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lp45511\Documents\CARBONE\PROJETS\Projet LBC en FD Lagnereau-Lea\Documents_dossier_LBC\Docs_finals\"/>
    </mc:Choice>
  </mc:AlternateContent>
  <xr:revisionPtr revIDLastSave="0" documentId="13_ncr:1_{F206C6BE-D44F-4C8E-9C6A-D5FC5B12A244}" xr6:coauthVersionLast="46" xr6:coauthVersionMax="46" xr10:uidLastSave="{00000000-0000-0000-0000-000000000000}"/>
  <bookViews>
    <workbookView xWindow="-20610" yWindow="-120" windowWidth="20730" windowHeight="11160" firstSheet="1" activeTab="1" xr2:uid="{00000000-000D-0000-FFFF-FFFF00000000}"/>
  </bookViews>
  <sheets>
    <sheet name="carto_sylv" sheetId="2" r:id="rId1"/>
    <sheet name="LBC" sheetId="8" r:id="rId2"/>
    <sheet name="BDD-Modèles" sheetId="13" r:id="rId3"/>
    <sheet name="BDD-Guides" sheetId="9" r:id="rId4"/>
    <sheet name="Liste" sheetId="7" r:id="rId5"/>
    <sheet name="Test" sheetId="16" r:id="rId6"/>
    <sheet name="Liste test" sheetId="17" r:id="rId7"/>
    <sheet name="Autre source1" sheetId="14" r:id="rId8"/>
    <sheet name="Autres sources2" sheetId="18" r:id="rId9"/>
    <sheet name="Autres sources3" sheetId="19" r:id="rId10"/>
    <sheet name="Autres sources4" sheetId="20" r:id="rId11"/>
    <sheet name="Sc de ref" sheetId="11" r:id="rId12"/>
    <sheet name="Coef Feuillus divers" sheetId="15" r:id="rId13"/>
    <sheet name="dico_mod" sheetId="5" r:id="rId14"/>
    <sheet name="dico_var" sheetId="3" r:id="rId15"/>
    <sheet name="infradensité" sheetId="10" r:id="rId16"/>
  </sheets>
  <definedNames>
    <definedName name="_xlnm._FilterDatabase" localSheetId="3" hidden="1">'BDD-Guides'!$A$2:$AG$663</definedName>
    <definedName name="_xlnm._FilterDatabase" localSheetId="2" hidden="1">'BDD-Modèles'!$A$2:$CO$1716</definedName>
    <definedName name="_xlnm._FilterDatabase" localSheetId="4" hidden="1">Liste!$A$7:$H$7</definedName>
    <definedName name="CA1_d5">Liste!#REF!</definedName>
    <definedName name="CA2_d5">Liste!#REF!</definedName>
    <definedName name="CA3_d5">Liste!#REF!</definedName>
    <definedName name="Cedre_Atlas">'Liste test'!$D$3</definedName>
    <definedName name="Cedre_AtlasGSM_Alpes_du_Sud">'Liste test'!$H$3:$H$5</definedName>
    <definedName name="Cedre_AtlasGSM_Alpes_du_SudF1">'Liste test'!$M$3</definedName>
    <definedName name="Cedre_AtlasGSM_Alpes_du_SudF2">'Liste test'!$M$4</definedName>
    <definedName name="Cedre_AtlasGSM_Alpes_du_SudF3">'Liste test'!$M$5</definedName>
    <definedName name="CèdreAtlas">Liste!#REF!</definedName>
    <definedName name="Chene_pedoncule">'Liste test'!$D$4</definedName>
    <definedName name="Chene_pedonculeguide_chenaie_continentale">'Liste test'!$H$6:$H$7</definedName>
    <definedName name="Chene_pedonculeguide_chenaie_continentaleF1">'Liste test'!$M$6</definedName>
    <definedName name="Chene_pedonculeguide_chenaie_continentaleF2">'Liste test'!$M$7</definedName>
    <definedName name="Chene_sessile">'Liste test'!$D$5:$D$6</definedName>
    <definedName name="Chene_sessileguide_chenaie_atlantique">'Liste test'!$H$10:$H$12</definedName>
    <definedName name="Chene_sessileguide_chenaie_atlantiqueF1">'Liste test'!$M$11</definedName>
    <definedName name="Chene_sessileguide_chenaie_atlantiqueF2">'Liste test'!$M$12</definedName>
    <definedName name="Chene_sessileguide_chenaie_atlantiqueF3">'Liste test'!$M$13</definedName>
    <definedName name="Chene_sessileguide_chenaie_continentale">'Liste test'!$H$8:$H$9</definedName>
    <definedName name="Chene_sessileguide_chenaie_continentaleF1">'Liste test'!$M$8:$M$9</definedName>
    <definedName name="Chene_sessileguide_chenaie_continentaleF2">'Liste test'!$M$10</definedName>
    <definedName name="ChènePédonculé">Liste!#REF!</definedName>
    <definedName name="Douglas">'Liste test'!$D$7</definedName>
    <definedName name="Douglasguide_national">'Liste test'!$H$13:$H$15</definedName>
    <definedName name="Douglasguide_nationalF1">'Liste test'!$M$14</definedName>
    <definedName name="Douglasguide_nationalF2">'Liste test'!$M$15</definedName>
    <definedName name="Douglasguide_nationalF3">'Liste test'!$M$16</definedName>
    <definedName name="espece">Liste!$C$53:$C$54</definedName>
    <definedName name="Essence">Liste!#REF!</definedName>
    <definedName name="F1_CèdreAtlas">Liste!#REF!</definedName>
    <definedName name="F2_CèdreAtlas">Liste!#REF!</definedName>
    <definedName name="F2_ChênePédonculé">Liste!#REF!</definedName>
    <definedName name="F3_CèdreAtlas">Liste!#REF!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5" i="8" l="1"/>
  <c r="E95" i="8"/>
  <c r="O662" i="9" l="1"/>
  <c r="O660" i="9"/>
  <c r="O658" i="9"/>
  <c r="O656" i="9"/>
  <c r="O654" i="9"/>
  <c r="O652" i="9"/>
  <c r="O650" i="9"/>
  <c r="O648" i="9"/>
  <c r="O646" i="9"/>
  <c r="O644" i="9"/>
  <c r="O642" i="9"/>
  <c r="O640" i="9"/>
  <c r="O638" i="9"/>
  <c r="CF1698" i="13" l="1"/>
  <c r="CI1698" i="13" s="1"/>
  <c r="BU1709" i="13"/>
  <c r="BV1712" i="13"/>
  <c r="BX1712" i="13" s="1"/>
  <c r="BT1678" i="13"/>
  <c r="BU1678" i="13" s="1"/>
  <c r="BT1679" i="13"/>
  <c r="BT1680" i="13"/>
  <c r="BU1680" i="13" s="1"/>
  <c r="BT1681" i="13"/>
  <c r="BV1681" i="13" s="1"/>
  <c r="BX1681" i="13" s="1"/>
  <c r="BT1682" i="13"/>
  <c r="BV1682" i="13" s="1"/>
  <c r="BX1682" i="13" s="1"/>
  <c r="BT1683" i="13"/>
  <c r="BV1683" i="13" s="1"/>
  <c r="BX1683" i="13" s="1"/>
  <c r="BT1684" i="13"/>
  <c r="BU1684" i="13" s="1"/>
  <c r="BT1685" i="13"/>
  <c r="BT1686" i="13"/>
  <c r="BU1686" i="13" s="1"/>
  <c r="BT1687" i="13"/>
  <c r="BU1687" i="13" s="1"/>
  <c r="BT1688" i="13"/>
  <c r="BU1688" i="13" s="1"/>
  <c r="BT1689" i="13"/>
  <c r="BV1689" i="13" s="1"/>
  <c r="BX1689" i="13" s="1"/>
  <c r="BT1690" i="13"/>
  <c r="BV1690" i="13" s="1"/>
  <c r="BX1690" i="13" s="1"/>
  <c r="BT1691" i="13"/>
  <c r="BT1692" i="13"/>
  <c r="BU1692" i="13" s="1"/>
  <c r="BT1693" i="13"/>
  <c r="BV1693" i="13" s="1"/>
  <c r="BX1693" i="13" s="1"/>
  <c r="BT1694" i="13"/>
  <c r="BU1694" i="13" s="1"/>
  <c r="BT1695" i="13"/>
  <c r="BU1695" i="13" s="1"/>
  <c r="BT1696" i="13"/>
  <c r="BU1696" i="13" s="1"/>
  <c r="BT1697" i="13"/>
  <c r="BV1697" i="13" s="1"/>
  <c r="BX1697" i="13" s="1"/>
  <c r="BT1698" i="13"/>
  <c r="BV1698" i="13" s="1"/>
  <c r="BX1698" i="13" s="1"/>
  <c r="BT1699" i="13"/>
  <c r="BT1700" i="13"/>
  <c r="BU1700" i="13" s="1"/>
  <c r="BT1701" i="13"/>
  <c r="BT1702" i="13"/>
  <c r="BV1702" i="13" s="1"/>
  <c r="BX1702" i="13" s="1"/>
  <c r="BT1703" i="13"/>
  <c r="BV1703" i="13" s="1"/>
  <c r="BX1703" i="13" s="1"/>
  <c r="BT1704" i="13"/>
  <c r="BU1704" i="13" s="1"/>
  <c r="BT1705" i="13"/>
  <c r="BV1705" i="13" s="1"/>
  <c r="BX1705" i="13" s="1"/>
  <c r="BT1706" i="13"/>
  <c r="BU1706" i="13" s="1"/>
  <c r="BT1707" i="13"/>
  <c r="BU1707" i="13" s="1"/>
  <c r="BT1708" i="13"/>
  <c r="BU1708" i="13" s="1"/>
  <c r="BT1709" i="13"/>
  <c r="BV1709" i="13" s="1"/>
  <c r="BX1709" i="13" s="1"/>
  <c r="BT1710" i="13"/>
  <c r="BV1710" i="13" s="1"/>
  <c r="BX1710" i="13" s="1"/>
  <c r="BT1711" i="13"/>
  <c r="BT1712" i="13"/>
  <c r="BU1712" i="13" s="1"/>
  <c r="BT1713" i="13"/>
  <c r="BV1713" i="13" s="1"/>
  <c r="BX1713" i="13" s="1"/>
  <c r="BT1714" i="13"/>
  <c r="BV1714" i="13" s="1"/>
  <c r="BX1714" i="13" s="1"/>
  <c r="BT1715" i="13"/>
  <c r="BV1715" i="13" s="1"/>
  <c r="BX1715" i="13" s="1"/>
  <c r="BT1716" i="13"/>
  <c r="BU1716" i="13" s="1"/>
  <c r="BJ1678" i="13"/>
  <c r="BJ1679" i="13"/>
  <c r="CE1679" i="13" s="1"/>
  <c r="CH1679" i="13" s="1"/>
  <c r="BJ1680" i="13"/>
  <c r="CD1680" i="13" s="1"/>
  <c r="CG1680" i="13" s="1"/>
  <c r="BJ1681" i="13"/>
  <c r="BJ1682" i="13"/>
  <c r="CF1682" i="13" s="1"/>
  <c r="CI1682" i="13" s="1"/>
  <c r="BJ1683" i="13"/>
  <c r="CF1683" i="13" s="1"/>
  <c r="CI1683" i="13" s="1"/>
  <c r="BJ1684" i="13"/>
  <c r="CD1684" i="13" s="1"/>
  <c r="CG1684" i="13" s="1"/>
  <c r="BJ1685" i="13"/>
  <c r="BJ1686" i="13"/>
  <c r="CD1686" i="13" s="1"/>
  <c r="CG1686" i="13" s="1"/>
  <c r="BJ1687" i="13"/>
  <c r="CE1687" i="13" s="1"/>
  <c r="CH1687" i="13" s="1"/>
  <c r="BJ1688" i="13"/>
  <c r="BJ1689" i="13"/>
  <c r="CO1689" i="13" s="1"/>
  <c r="BJ1690" i="13"/>
  <c r="BJ1691" i="13"/>
  <c r="CO1691" i="13" s="1"/>
  <c r="BJ1692" i="13"/>
  <c r="CD1692" i="13" s="1"/>
  <c r="CG1692" i="13" s="1"/>
  <c r="BJ1693" i="13"/>
  <c r="CO1693" i="13" s="1"/>
  <c r="BJ1694" i="13"/>
  <c r="CF1694" i="13" s="1"/>
  <c r="CI1694" i="13" s="1"/>
  <c r="BJ1695" i="13"/>
  <c r="CE1695" i="13" s="1"/>
  <c r="CH1695" i="13" s="1"/>
  <c r="BJ1696" i="13"/>
  <c r="BJ1697" i="13"/>
  <c r="BJ1698" i="13"/>
  <c r="CD1698" i="13" s="1"/>
  <c r="CG1698" i="13" s="1"/>
  <c r="BJ1699" i="13"/>
  <c r="CE1699" i="13" s="1"/>
  <c r="CH1699" i="13" s="1"/>
  <c r="BJ1700" i="13"/>
  <c r="CE1700" i="13" s="1"/>
  <c r="CH1700" i="13" s="1"/>
  <c r="BJ1701" i="13"/>
  <c r="BY1701" i="13" s="1"/>
  <c r="BJ1702" i="13"/>
  <c r="BJ1703" i="13"/>
  <c r="BY1703" i="13" s="1"/>
  <c r="BJ1704" i="13"/>
  <c r="BJ1705" i="13"/>
  <c r="BY1705" i="13" s="1"/>
  <c r="BJ1706" i="13"/>
  <c r="CD1706" i="13" s="1"/>
  <c r="CG1706" i="13" s="1"/>
  <c r="BJ1707" i="13"/>
  <c r="CF1707" i="13" s="1"/>
  <c r="CI1707" i="13" s="1"/>
  <c r="BJ1708" i="13"/>
  <c r="BJ1709" i="13"/>
  <c r="CO1709" i="13" s="1"/>
  <c r="BJ1710" i="13"/>
  <c r="CJ1710" i="13" s="1"/>
  <c r="BJ1711" i="13"/>
  <c r="CD1711" i="13" s="1"/>
  <c r="CG1711" i="13" s="1"/>
  <c r="BJ1712" i="13"/>
  <c r="BY1712" i="13" s="1"/>
  <c r="BJ1713" i="13"/>
  <c r="BY1713" i="13" s="1"/>
  <c r="BJ1714" i="13"/>
  <c r="CF1714" i="13" s="1"/>
  <c r="CI1714" i="13" s="1"/>
  <c r="BJ1715" i="13"/>
  <c r="CK1715" i="13" s="1"/>
  <c r="BJ1716" i="13"/>
  <c r="CN1716" i="13" s="1"/>
  <c r="G31" i="7" a="1"/>
  <c r="G31" i="7" s="1"/>
  <c r="BH1678" i="13"/>
  <c r="BI1678" i="13"/>
  <c r="BI1679" i="13"/>
  <c r="BI1680" i="13"/>
  <c r="BI1681" i="13"/>
  <c r="BI1682" i="13"/>
  <c r="BI1683" i="13"/>
  <c r="BI1684" i="13"/>
  <c r="BI1685" i="13"/>
  <c r="BI1686" i="13"/>
  <c r="BI1687" i="13"/>
  <c r="BI1688" i="13"/>
  <c r="BI1689" i="13"/>
  <c r="BI1690" i="13"/>
  <c r="BI1691" i="13"/>
  <c r="BI1692" i="13"/>
  <c r="BI1693" i="13"/>
  <c r="BI1694" i="13"/>
  <c r="BI1695" i="13"/>
  <c r="BI1696" i="13"/>
  <c r="BI1697" i="13"/>
  <c r="BI1698" i="13"/>
  <c r="BI1699" i="13"/>
  <c r="BI1700" i="13"/>
  <c r="BI1701" i="13"/>
  <c r="BI1702" i="13"/>
  <c r="BK1702" i="13" s="1"/>
  <c r="BI1703" i="13"/>
  <c r="BI1704" i="13"/>
  <c r="BI1705" i="13"/>
  <c r="BI1706" i="13"/>
  <c r="BI1707" i="13"/>
  <c r="BI1708" i="13"/>
  <c r="BI1709" i="13"/>
  <c r="BI1710" i="13"/>
  <c r="BI1711" i="13"/>
  <c r="BI1712" i="13"/>
  <c r="BI1713" i="13"/>
  <c r="BI1714" i="13"/>
  <c r="BI1715" i="13"/>
  <c r="BI1716" i="13"/>
  <c r="BH1679" i="13"/>
  <c r="BH1680" i="13"/>
  <c r="BH1681" i="13"/>
  <c r="BH1682" i="13"/>
  <c r="BH1683" i="13"/>
  <c r="BH1684" i="13"/>
  <c r="BK1684" i="13" s="1"/>
  <c r="BH1685" i="13"/>
  <c r="BH1686" i="13"/>
  <c r="BH1687" i="13"/>
  <c r="BH1688" i="13"/>
  <c r="BH1689" i="13"/>
  <c r="BH1690" i="13"/>
  <c r="BH1691" i="13"/>
  <c r="BH1692" i="13"/>
  <c r="BH1693" i="13"/>
  <c r="BH1694" i="13"/>
  <c r="BH1695" i="13"/>
  <c r="BH1696" i="13"/>
  <c r="BH1697" i="13"/>
  <c r="BH1698" i="13"/>
  <c r="BH1699" i="13"/>
  <c r="BH1700" i="13"/>
  <c r="BH1701" i="13"/>
  <c r="BH1702" i="13"/>
  <c r="BH1703" i="13"/>
  <c r="BH1704" i="13"/>
  <c r="BH1705" i="13"/>
  <c r="BH1706" i="13"/>
  <c r="BH1707" i="13"/>
  <c r="BH1708" i="13"/>
  <c r="BH1709" i="13"/>
  <c r="BH1710" i="13"/>
  <c r="BH1711" i="13"/>
  <c r="BH1712" i="13"/>
  <c r="BH1713" i="13"/>
  <c r="BH1714" i="13"/>
  <c r="BH1715" i="13"/>
  <c r="BH1716" i="13"/>
  <c r="BA1679" i="13"/>
  <c r="AZ1679" i="13"/>
  <c r="AY1679" i="13"/>
  <c r="G26" i="7" a="1"/>
  <c r="G26" i="7" s="1"/>
  <c r="CK1625" i="13"/>
  <c r="CK1677" i="13"/>
  <c r="CE1645" i="13"/>
  <c r="CH1645" i="13" s="1"/>
  <c r="BT1596" i="13"/>
  <c r="BV1596" i="13" s="1"/>
  <c r="BX1596" i="13" s="1"/>
  <c r="BT1597" i="13"/>
  <c r="BV1597" i="13" s="1"/>
  <c r="BX1597" i="13" s="1"/>
  <c r="BT1598" i="13"/>
  <c r="BV1598" i="13" s="1"/>
  <c r="BX1598" i="13" s="1"/>
  <c r="BT1599" i="13"/>
  <c r="BV1599" i="13" s="1"/>
  <c r="BX1599" i="13" s="1"/>
  <c r="BT1600" i="13"/>
  <c r="BU1600" i="13" s="1"/>
  <c r="BT1601" i="13"/>
  <c r="BU1601" i="13" s="1"/>
  <c r="BT1602" i="13"/>
  <c r="BV1602" i="13" s="1"/>
  <c r="BX1602" i="13" s="1"/>
  <c r="BT1603" i="13"/>
  <c r="BV1603" i="13" s="1"/>
  <c r="BX1603" i="13" s="1"/>
  <c r="BT1604" i="13"/>
  <c r="BV1604" i="13" s="1"/>
  <c r="BX1604" i="13" s="1"/>
  <c r="BT1605" i="13"/>
  <c r="BV1605" i="13" s="1"/>
  <c r="BX1605" i="13" s="1"/>
  <c r="BT1606" i="13"/>
  <c r="BV1606" i="13" s="1"/>
  <c r="BX1606" i="13" s="1"/>
  <c r="BT1607" i="13"/>
  <c r="BV1607" i="13" s="1"/>
  <c r="BX1607" i="13" s="1"/>
  <c r="BT1608" i="13"/>
  <c r="BU1608" i="13" s="1"/>
  <c r="BT1609" i="13"/>
  <c r="BU1609" i="13" s="1"/>
  <c r="BT1610" i="13"/>
  <c r="BV1610" i="13" s="1"/>
  <c r="BX1610" i="13" s="1"/>
  <c r="BT1611" i="13"/>
  <c r="BV1611" i="13" s="1"/>
  <c r="BX1611" i="13" s="1"/>
  <c r="BT1612" i="13"/>
  <c r="BV1612" i="13" s="1"/>
  <c r="BX1612" i="13" s="1"/>
  <c r="BT1613" i="13"/>
  <c r="BV1613" i="13" s="1"/>
  <c r="BX1613" i="13" s="1"/>
  <c r="BT1614" i="13"/>
  <c r="BV1614" i="13" s="1"/>
  <c r="BX1614" i="13" s="1"/>
  <c r="BT1615" i="13"/>
  <c r="BV1615" i="13" s="1"/>
  <c r="BX1615" i="13" s="1"/>
  <c r="BT1616" i="13"/>
  <c r="BU1616" i="13" s="1"/>
  <c r="BT1617" i="13"/>
  <c r="BU1617" i="13" s="1"/>
  <c r="BT1618" i="13"/>
  <c r="BV1618" i="13" s="1"/>
  <c r="BX1618" i="13" s="1"/>
  <c r="BT1619" i="13"/>
  <c r="BV1619" i="13" s="1"/>
  <c r="BX1619" i="13" s="1"/>
  <c r="BT1620" i="13"/>
  <c r="BV1620" i="13" s="1"/>
  <c r="BX1620" i="13" s="1"/>
  <c r="BT1621" i="13"/>
  <c r="BV1621" i="13" s="1"/>
  <c r="BX1621" i="13" s="1"/>
  <c r="BT1622" i="13"/>
  <c r="BV1622" i="13" s="1"/>
  <c r="BX1622" i="13" s="1"/>
  <c r="BT1623" i="13"/>
  <c r="BV1623" i="13" s="1"/>
  <c r="BX1623" i="13" s="1"/>
  <c r="BT1624" i="13"/>
  <c r="BU1624" i="13" s="1"/>
  <c r="BT1625" i="13"/>
  <c r="BU1625" i="13" s="1"/>
  <c r="BT1626" i="13"/>
  <c r="BV1626" i="13" s="1"/>
  <c r="BX1626" i="13" s="1"/>
  <c r="BT1627" i="13"/>
  <c r="BV1627" i="13" s="1"/>
  <c r="BX1627" i="13" s="1"/>
  <c r="BT1628" i="13"/>
  <c r="BV1628" i="13" s="1"/>
  <c r="BX1628" i="13" s="1"/>
  <c r="BT1629" i="13"/>
  <c r="BV1629" i="13" s="1"/>
  <c r="BX1629" i="13" s="1"/>
  <c r="BT1630" i="13"/>
  <c r="BV1630" i="13" s="1"/>
  <c r="BX1630" i="13" s="1"/>
  <c r="BT1631" i="13"/>
  <c r="BV1631" i="13" s="1"/>
  <c r="BX1631" i="13" s="1"/>
  <c r="BT1632" i="13"/>
  <c r="BU1632" i="13" s="1"/>
  <c r="BT1633" i="13"/>
  <c r="BU1633" i="13" s="1"/>
  <c r="BT1634" i="13"/>
  <c r="BV1634" i="13" s="1"/>
  <c r="BX1634" i="13" s="1"/>
  <c r="BT1635" i="13"/>
  <c r="BV1635" i="13" s="1"/>
  <c r="BX1635" i="13" s="1"/>
  <c r="BT1636" i="13"/>
  <c r="BV1636" i="13" s="1"/>
  <c r="BX1636" i="13" s="1"/>
  <c r="BT1637" i="13"/>
  <c r="BV1637" i="13" s="1"/>
  <c r="BX1637" i="13" s="1"/>
  <c r="BT1638" i="13"/>
  <c r="BV1638" i="13" s="1"/>
  <c r="BX1638" i="13" s="1"/>
  <c r="BT1639" i="13"/>
  <c r="BV1639" i="13" s="1"/>
  <c r="BX1639" i="13" s="1"/>
  <c r="BT1640" i="13"/>
  <c r="BU1640" i="13" s="1"/>
  <c r="BT1641" i="13"/>
  <c r="BU1641" i="13" s="1"/>
  <c r="BT1642" i="13"/>
  <c r="BV1642" i="13" s="1"/>
  <c r="BX1642" i="13" s="1"/>
  <c r="BT1643" i="13"/>
  <c r="BV1643" i="13" s="1"/>
  <c r="BX1643" i="13" s="1"/>
  <c r="BT1644" i="13"/>
  <c r="BV1644" i="13" s="1"/>
  <c r="BX1644" i="13" s="1"/>
  <c r="BT1645" i="13"/>
  <c r="BV1645" i="13" s="1"/>
  <c r="BX1645" i="13" s="1"/>
  <c r="BT1646" i="13"/>
  <c r="BV1646" i="13" s="1"/>
  <c r="BX1646" i="13" s="1"/>
  <c r="BT1647" i="13"/>
  <c r="BV1647" i="13" s="1"/>
  <c r="BX1647" i="13" s="1"/>
  <c r="BT1648" i="13"/>
  <c r="BU1648" i="13" s="1"/>
  <c r="BT1649" i="13"/>
  <c r="BU1649" i="13" s="1"/>
  <c r="BT1650" i="13"/>
  <c r="BV1650" i="13" s="1"/>
  <c r="BX1650" i="13" s="1"/>
  <c r="BT1651" i="13"/>
  <c r="BV1651" i="13" s="1"/>
  <c r="BX1651" i="13" s="1"/>
  <c r="BT1652" i="13"/>
  <c r="BV1652" i="13" s="1"/>
  <c r="BX1652" i="13" s="1"/>
  <c r="BT1653" i="13"/>
  <c r="BV1653" i="13" s="1"/>
  <c r="BX1653" i="13" s="1"/>
  <c r="BT1654" i="13"/>
  <c r="BV1654" i="13" s="1"/>
  <c r="BX1654" i="13" s="1"/>
  <c r="BT1655" i="13"/>
  <c r="BV1655" i="13" s="1"/>
  <c r="BX1655" i="13" s="1"/>
  <c r="BT1656" i="13"/>
  <c r="BU1656" i="13" s="1"/>
  <c r="BT1657" i="13"/>
  <c r="BU1657" i="13" s="1"/>
  <c r="BT1658" i="13"/>
  <c r="BV1658" i="13" s="1"/>
  <c r="BX1658" i="13" s="1"/>
  <c r="BT1659" i="13"/>
  <c r="BV1659" i="13" s="1"/>
  <c r="BX1659" i="13" s="1"/>
  <c r="BT1660" i="13"/>
  <c r="BV1660" i="13" s="1"/>
  <c r="BX1660" i="13" s="1"/>
  <c r="BT1661" i="13"/>
  <c r="BV1661" i="13" s="1"/>
  <c r="BX1661" i="13" s="1"/>
  <c r="BT1662" i="13"/>
  <c r="BV1662" i="13" s="1"/>
  <c r="BX1662" i="13" s="1"/>
  <c r="BT1663" i="13"/>
  <c r="BV1663" i="13" s="1"/>
  <c r="BX1663" i="13" s="1"/>
  <c r="BT1664" i="13"/>
  <c r="BU1664" i="13" s="1"/>
  <c r="BT1665" i="13"/>
  <c r="BU1665" i="13" s="1"/>
  <c r="BT1666" i="13"/>
  <c r="BV1666" i="13" s="1"/>
  <c r="BX1666" i="13" s="1"/>
  <c r="BT1667" i="13"/>
  <c r="BV1667" i="13" s="1"/>
  <c r="BX1667" i="13" s="1"/>
  <c r="BT1668" i="13"/>
  <c r="BV1668" i="13" s="1"/>
  <c r="BX1668" i="13" s="1"/>
  <c r="BT1669" i="13"/>
  <c r="BV1669" i="13" s="1"/>
  <c r="BX1669" i="13" s="1"/>
  <c r="BT1670" i="13"/>
  <c r="BV1670" i="13" s="1"/>
  <c r="BX1670" i="13" s="1"/>
  <c r="BT1671" i="13"/>
  <c r="BV1671" i="13" s="1"/>
  <c r="BX1671" i="13" s="1"/>
  <c r="BT1672" i="13"/>
  <c r="BU1672" i="13" s="1"/>
  <c r="BT1673" i="13"/>
  <c r="BU1673" i="13" s="1"/>
  <c r="BT1674" i="13"/>
  <c r="BV1674" i="13" s="1"/>
  <c r="BX1674" i="13" s="1"/>
  <c r="BT1675" i="13"/>
  <c r="BV1675" i="13" s="1"/>
  <c r="BX1675" i="13" s="1"/>
  <c r="BT1676" i="13"/>
  <c r="BV1676" i="13" s="1"/>
  <c r="BX1676" i="13" s="1"/>
  <c r="BT1677" i="13"/>
  <c r="BV1677" i="13" s="1"/>
  <c r="BX1677" i="13" s="1"/>
  <c r="BO972" i="13"/>
  <c r="BJ1596" i="13"/>
  <c r="CD1596" i="13" s="1"/>
  <c r="CG1596" i="13" s="1"/>
  <c r="BJ1597" i="13"/>
  <c r="CE1597" i="13" s="1"/>
  <c r="CH1597" i="13" s="1"/>
  <c r="BJ1598" i="13"/>
  <c r="BJ1599" i="13"/>
  <c r="CE1599" i="13" s="1"/>
  <c r="CH1599" i="13" s="1"/>
  <c r="BJ1600" i="13"/>
  <c r="CD1600" i="13" s="1"/>
  <c r="CG1600" i="13" s="1"/>
  <c r="BJ1601" i="13"/>
  <c r="CE1601" i="13" s="1"/>
  <c r="CH1601" i="13" s="1"/>
  <c r="BJ1602" i="13"/>
  <c r="CE1602" i="13" s="1"/>
  <c r="CH1602" i="13" s="1"/>
  <c r="BJ1603" i="13"/>
  <c r="BJ1604" i="13"/>
  <c r="CE1604" i="13" s="1"/>
  <c r="CH1604" i="13" s="1"/>
  <c r="BJ1605" i="13"/>
  <c r="CO1605" i="13" s="1"/>
  <c r="BJ1606" i="13"/>
  <c r="CD1606" i="13" s="1"/>
  <c r="CG1606" i="13" s="1"/>
  <c r="BJ1607" i="13"/>
  <c r="BJ1608" i="13"/>
  <c r="CF1608" i="13" s="1"/>
  <c r="CI1608" i="13" s="1"/>
  <c r="BJ1609" i="13"/>
  <c r="BJ1610" i="13"/>
  <c r="CN1610" i="13" s="1"/>
  <c r="BJ1611" i="13"/>
  <c r="BJ1612" i="13"/>
  <c r="CL1612" i="13" s="1"/>
  <c r="BJ1613" i="13"/>
  <c r="CK1613" i="13" s="1"/>
  <c r="BJ1614" i="13"/>
  <c r="CL1614" i="13" s="1"/>
  <c r="BJ1615" i="13"/>
  <c r="BJ1616" i="13"/>
  <c r="CE1616" i="13" s="1"/>
  <c r="CH1616" i="13" s="1"/>
  <c r="BJ1617" i="13"/>
  <c r="CE1617" i="13" s="1"/>
  <c r="CH1617" i="13" s="1"/>
  <c r="BJ1618" i="13"/>
  <c r="CL1618" i="13" s="1"/>
  <c r="BJ1619" i="13"/>
  <c r="BJ1620" i="13"/>
  <c r="CJ1620" i="13" s="1"/>
  <c r="BJ1621" i="13"/>
  <c r="CN1621" i="13" s="1"/>
  <c r="BJ1622" i="13"/>
  <c r="CD1622" i="13" s="1"/>
  <c r="CG1622" i="13" s="1"/>
  <c r="BJ1623" i="13"/>
  <c r="BJ1624" i="13"/>
  <c r="CF1624" i="13" s="1"/>
  <c r="CI1624" i="13" s="1"/>
  <c r="BJ1625" i="13"/>
  <c r="CO1625" i="13" s="1"/>
  <c r="BJ1626" i="13"/>
  <c r="CN1626" i="13" s="1"/>
  <c r="BJ1627" i="13"/>
  <c r="BJ1628" i="13"/>
  <c r="CL1628" i="13" s="1"/>
  <c r="BJ1629" i="13"/>
  <c r="CE1629" i="13" s="1"/>
  <c r="CH1629" i="13" s="1"/>
  <c r="BJ1630" i="13"/>
  <c r="CK1630" i="13" s="1"/>
  <c r="BJ1631" i="13"/>
  <c r="BJ1632" i="13"/>
  <c r="CF1632" i="13" s="1"/>
  <c r="CI1632" i="13" s="1"/>
  <c r="BJ1633" i="13"/>
  <c r="CE1633" i="13" s="1"/>
  <c r="CH1633" i="13" s="1"/>
  <c r="BJ1634" i="13"/>
  <c r="CE1634" i="13" s="1"/>
  <c r="CH1634" i="13" s="1"/>
  <c r="BJ1635" i="13"/>
  <c r="BJ1636" i="13"/>
  <c r="CJ1636" i="13" s="1"/>
  <c r="BJ1637" i="13"/>
  <c r="BJ1638" i="13"/>
  <c r="CD1638" i="13" s="1"/>
  <c r="CG1638" i="13" s="1"/>
  <c r="BJ1639" i="13"/>
  <c r="BJ1640" i="13"/>
  <c r="CF1640" i="13" s="1"/>
  <c r="CI1640" i="13" s="1"/>
  <c r="BJ1641" i="13"/>
  <c r="CO1641" i="13" s="1"/>
  <c r="BJ1642" i="13"/>
  <c r="CN1642" i="13" s="1"/>
  <c r="BJ1643" i="13"/>
  <c r="CO1643" i="13" s="1"/>
  <c r="BJ1644" i="13"/>
  <c r="CE1644" i="13" s="1"/>
  <c r="CH1644" i="13" s="1"/>
  <c r="BJ1645" i="13"/>
  <c r="CK1645" i="13" s="1"/>
  <c r="BJ1646" i="13"/>
  <c r="CL1646" i="13" s="1"/>
  <c r="BJ1647" i="13"/>
  <c r="BJ1648" i="13"/>
  <c r="CD1648" i="13" s="1"/>
  <c r="CG1648" i="13" s="1"/>
  <c r="BJ1649" i="13"/>
  <c r="CE1649" i="13" s="1"/>
  <c r="CH1649" i="13" s="1"/>
  <c r="BJ1650" i="13"/>
  <c r="CE1650" i="13" s="1"/>
  <c r="CH1650" i="13" s="1"/>
  <c r="BJ1651" i="13"/>
  <c r="CK1651" i="13" s="1"/>
  <c r="BJ1652" i="13"/>
  <c r="CJ1652" i="13" s="1"/>
  <c r="BJ1653" i="13"/>
  <c r="CO1653" i="13" s="1"/>
  <c r="BJ1654" i="13"/>
  <c r="CE1654" i="13" s="1"/>
  <c r="CH1654" i="13" s="1"/>
  <c r="BJ1655" i="13"/>
  <c r="BJ1656" i="13"/>
  <c r="CO1656" i="13" s="1"/>
  <c r="BJ1657" i="13"/>
  <c r="CK1657" i="13" s="1"/>
  <c r="BJ1658" i="13"/>
  <c r="CN1658" i="13" s="1"/>
  <c r="BJ1659" i="13"/>
  <c r="BJ1660" i="13"/>
  <c r="CD1660" i="13" s="1"/>
  <c r="CG1660" i="13" s="1"/>
  <c r="BJ1661" i="13"/>
  <c r="CE1661" i="13" s="1"/>
  <c r="CH1661" i="13" s="1"/>
  <c r="BJ1662" i="13"/>
  <c r="CK1662" i="13" s="1"/>
  <c r="BJ1663" i="13"/>
  <c r="CO1663" i="13" s="1"/>
  <c r="BJ1664" i="13"/>
  <c r="CL1664" i="13" s="1"/>
  <c r="BJ1665" i="13"/>
  <c r="CE1665" i="13" s="1"/>
  <c r="CH1665" i="13" s="1"/>
  <c r="BJ1666" i="13"/>
  <c r="CE1666" i="13" s="1"/>
  <c r="CH1666" i="13" s="1"/>
  <c r="BJ1667" i="13"/>
  <c r="BJ1668" i="13"/>
  <c r="CJ1668" i="13" s="1"/>
  <c r="BJ1669" i="13"/>
  <c r="CO1669" i="13" s="1"/>
  <c r="BJ1670" i="13"/>
  <c r="CD1670" i="13" s="1"/>
  <c r="CG1670" i="13" s="1"/>
  <c r="BJ1671" i="13"/>
  <c r="BJ1672" i="13"/>
  <c r="CO1672" i="13" s="1"/>
  <c r="BJ1673" i="13"/>
  <c r="CK1673" i="13" s="1"/>
  <c r="BJ1674" i="13"/>
  <c r="CN1674" i="13" s="1"/>
  <c r="BJ1675" i="13"/>
  <c r="BJ1676" i="13"/>
  <c r="CD1676" i="13" s="1"/>
  <c r="CG1676" i="13" s="1"/>
  <c r="BJ1677" i="13"/>
  <c r="CE1677" i="13" s="1"/>
  <c r="CH1677" i="13" s="1"/>
  <c r="BH1596" i="13"/>
  <c r="BH1597" i="13"/>
  <c r="BH1598" i="13"/>
  <c r="BH1599" i="13"/>
  <c r="BH1600" i="13"/>
  <c r="BH1601" i="13"/>
  <c r="BH1602" i="13"/>
  <c r="BH1603" i="13"/>
  <c r="BH1604" i="13"/>
  <c r="BH1605" i="13"/>
  <c r="BH1606" i="13"/>
  <c r="BH1607" i="13"/>
  <c r="BH1608" i="13"/>
  <c r="BH1609" i="13"/>
  <c r="BH1610" i="13"/>
  <c r="BH1611" i="13"/>
  <c r="BH1612" i="13"/>
  <c r="BH1613" i="13"/>
  <c r="BH1614" i="13"/>
  <c r="BH1615" i="13"/>
  <c r="BH1616" i="13"/>
  <c r="BH1617" i="13"/>
  <c r="BH1618" i="13"/>
  <c r="BH1619" i="13"/>
  <c r="BH1620" i="13"/>
  <c r="BH1621" i="13"/>
  <c r="BH1622" i="13"/>
  <c r="BH1623" i="13"/>
  <c r="BH1624" i="13"/>
  <c r="BH1625" i="13"/>
  <c r="BH1626" i="13"/>
  <c r="BH1627" i="13"/>
  <c r="BH1628" i="13"/>
  <c r="BH1629" i="13"/>
  <c r="BH1630" i="13"/>
  <c r="BH1631" i="13"/>
  <c r="BH1632" i="13"/>
  <c r="BH1633" i="13"/>
  <c r="BH1634" i="13"/>
  <c r="BH1635" i="13"/>
  <c r="BH1636" i="13"/>
  <c r="BH1637" i="13"/>
  <c r="BH1638" i="13"/>
  <c r="BH1639" i="13"/>
  <c r="BH1640" i="13"/>
  <c r="BH1641" i="13"/>
  <c r="BH1642" i="13"/>
  <c r="BH1643" i="13"/>
  <c r="BH1644" i="13"/>
  <c r="BH1645" i="13"/>
  <c r="BH1646" i="13"/>
  <c r="BH1647" i="13"/>
  <c r="BH1648" i="13"/>
  <c r="BH1649" i="13"/>
  <c r="BH1650" i="13"/>
  <c r="BH1651" i="13"/>
  <c r="BH1652" i="13"/>
  <c r="BH1653" i="13"/>
  <c r="BH1654" i="13"/>
  <c r="BH1655" i="13"/>
  <c r="BH1656" i="13"/>
  <c r="BH1657" i="13"/>
  <c r="BH1658" i="13"/>
  <c r="BH1659" i="13"/>
  <c r="BH1660" i="13"/>
  <c r="BH1661" i="13"/>
  <c r="BH1662" i="13"/>
  <c r="BH1663" i="13"/>
  <c r="BH1664" i="13"/>
  <c r="BH1665" i="13"/>
  <c r="BH1666" i="13"/>
  <c r="BH1667" i="13"/>
  <c r="BH1668" i="13"/>
  <c r="BH1669" i="13"/>
  <c r="BH1670" i="13"/>
  <c r="BH1671" i="13"/>
  <c r="BH1672" i="13"/>
  <c r="BH1673" i="13"/>
  <c r="BH1674" i="13"/>
  <c r="BH1675" i="13"/>
  <c r="BH1676" i="13"/>
  <c r="BH1677" i="13"/>
  <c r="BI1596" i="13"/>
  <c r="BI1597" i="13"/>
  <c r="BI1598" i="13"/>
  <c r="BI1599" i="13"/>
  <c r="BI1600" i="13"/>
  <c r="BI1601" i="13"/>
  <c r="BI1602" i="13"/>
  <c r="BI1603" i="13"/>
  <c r="BK1603" i="13" s="1"/>
  <c r="BI1604" i="13"/>
  <c r="BI1605" i="13"/>
  <c r="BI1606" i="13"/>
  <c r="BI1607" i="13"/>
  <c r="BI1608" i="13"/>
  <c r="BI1609" i="13"/>
  <c r="BI1610" i="13"/>
  <c r="BI1611" i="13"/>
  <c r="BI1612" i="13"/>
  <c r="BI1613" i="13"/>
  <c r="BI1614" i="13"/>
  <c r="BI1615" i="13"/>
  <c r="BI1616" i="13"/>
  <c r="BI1617" i="13"/>
  <c r="BI1618" i="13"/>
  <c r="BI1619" i="13"/>
  <c r="BI1620" i="13"/>
  <c r="BI1621" i="13"/>
  <c r="BI1622" i="13"/>
  <c r="BI1623" i="13"/>
  <c r="BI1624" i="13"/>
  <c r="BI1625" i="13"/>
  <c r="BI1626" i="13"/>
  <c r="BI1627" i="13"/>
  <c r="BI1628" i="13"/>
  <c r="BI1629" i="13"/>
  <c r="BI1630" i="13"/>
  <c r="BI1631" i="13"/>
  <c r="BI1632" i="13"/>
  <c r="BI1633" i="13"/>
  <c r="BI1634" i="13"/>
  <c r="BI1635" i="13"/>
  <c r="BI1636" i="13"/>
  <c r="BI1637" i="13"/>
  <c r="BI1638" i="13"/>
  <c r="BI1639" i="13"/>
  <c r="BI1640" i="13"/>
  <c r="BI1641" i="13"/>
  <c r="BI1642" i="13"/>
  <c r="BI1643" i="13"/>
  <c r="BI1644" i="13"/>
  <c r="BI1645" i="13"/>
  <c r="BI1646" i="13"/>
  <c r="BI1647" i="13"/>
  <c r="BI1648" i="13"/>
  <c r="BI1649" i="13"/>
  <c r="BI1650" i="13"/>
  <c r="BI1651" i="13"/>
  <c r="BI1652" i="13"/>
  <c r="BI1653" i="13"/>
  <c r="BI1654" i="13"/>
  <c r="BI1655" i="13"/>
  <c r="BI1656" i="13"/>
  <c r="BI1657" i="13"/>
  <c r="BI1658" i="13"/>
  <c r="BI1659" i="13"/>
  <c r="BI1660" i="13"/>
  <c r="BI1661" i="13"/>
  <c r="BI1662" i="13"/>
  <c r="BI1663" i="13"/>
  <c r="BI1664" i="13"/>
  <c r="BI1665" i="13"/>
  <c r="BI1666" i="13"/>
  <c r="BI1667" i="13"/>
  <c r="BI1668" i="13"/>
  <c r="BI1669" i="13"/>
  <c r="BI1670" i="13"/>
  <c r="BI1671" i="13"/>
  <c r="BI1672" i="13"/>
  <c r="BI1673" i="13"/>
  <c r="BI1674" i="13"/>
  <c r="BI1675" i="13"/>
  <c r="BI1676" i="13"/>
  <c r="BI1677" i="13"/>
  <c r="BA1386" i="13"/>
  <c r="AZ1386" i="13"/>
  <c r="AY1386" i="13"/>
  <c r="AD1119" i="13"/>
  <c r="AD1118" i="13"/>
  <c r="AD1117" i="13"/>
  <c r="AD1116" i="13"/>
  <c r="AD1115" i="13"/>
  <c r="AD1114" i="13"/>
  <c r="AD1113" i="13"/>
  <c r="AD1112" i="13"/>
  <c r="AD1111" i="13"/>
  <c r="AD1110" i="13"/>
  <c r="AD1109" i="13"/>
  <c r="AD1108" i="13"/>
  <c r="AD1107" i="13"/>
  <c r="AD1106" i="13"/>
  <c r="AD1105" i="13"/>
  <c r="AD1104" i="13"/>
  <c r="AD1103" i="13"/>
  <c r="AD1102" i="13"/>
  <c r="AD1101" i="13"/>
  <c r="AD1100" i="13"/>
  <c r="AD1099" i="13"/>
  <c r="AD1098" i="13"/>
  <c r="AD1097" i="13"/>
  <c r="AD1096" i="13"/>
  <c r="AD1064" i="13"/>
  <c r="AD1063" i="13"/>
  <c r="AD1062" i="13"/>
  <c r="AD1061" i="13"/>
  <c r="AD1060" i="13"/>
  <c r="AD1059" i="13"/>
  <c r="AD1058" i="13"/>
  <c r="AD1057" i="13"/>
  <c r="AD1056" i="13"/>
  <c r="AD1055" i="13"/>
  <c r="AD1054" i="13"/>
  <c r="AD1053" i="13"/>
  <c r="AD1052" i="13"/>
  <c r="AD1051" i="13"/>
  <c r="AD1050" i="13"/>
  <c r="AD1049" i="13"/>
  <c r="AD1048" i="13"/>
  <c r="AD1047" i="13"/>
  <c r="AD1046" i="13"/>
  <c r="AD1045" i="13"/>
  <c r="AD1044" i="13"/>
  <c r="AX641" i="13"/>
  <c r="AW641" i="13"/>
  <c r="AU641" i="13"/>
  <c r="AT641" i="13"/>
  <c r="AS641" i="13"/>
  <c r="AY177" i="13"/>
  <c r="AZ177" i="13" s="1"/>
  <c r="BA177" i="13" s="1"/>
  <c r="BE176" i="13"/>
  <c r="BD176" i="13"/>
  <c r="BC176" i="13"/>
  <c r="BB176" i="13"/>
  <c r="BA176" i="13"/>
  <c r="AZ176" i="13"/>
  <c r="AY176" i="13"/>
  <c r="BE175" i="13"/>
  <c r="BD175" i="13"/>
  <c r="BC175" i="13"/>
  <c r="BB175" i="13"/>
  <c r="BA175" i="13"/>
  <c r="AZ175" i="13"/>
  <c r="AY175" i="13"/>
  <c r="AY174" i="13"/>
  <c r="BE173" i="13"/>
  <c r="BD173" i="13"/>
  <c r="BC173" i="13"/>
  <c r="BB173" i="13"/>
  <c r="BA173" i="13"/>
  <c r="AZ173" i="13"/>
  <c r="AY173" i="13"/>
  <c r="AY172" i="13"/>
  <c r="BE171" i="13"/>
  <c r="BD171" i="13"/>
  <c r="BC171" i="13"/>
  <c r="BB171" i="13"/>
  <c r="BA171" i="13"/>
  <c r="AZ171" i="13"/>
  <c r="AY171" i="13"/>
  <c r="AY170" i="13"/>
  <c r="BE169" i="13"/>
  <c r="BD169" i="13"/>
  <c r="BC169" i="13"/>
  <c r="BB169" i="13"/>
  <c r="BA169" i="13"/>
  <c r="AZ169" i="13"/>
  <c r="AY169" i="13"/>
  <c r="AY168" i="13"/>
  <c r="AZ168" i="13" s="1"/>
  <c r="BE167" i="13"/>
  <c r="BD167" i="13"/>
  <c r="BC167" i="13"/>
  <c r="BB167" i="13"/>
  <c r="BA167" i="13"/>
  <c r="AZ167" i="13"/>
  <c r="AY167" i="13"/>
  <c r="AY166" i="13"/>
  <c r="BE165" i="13"/>
  <c r="BD165" i="13"/>
  <c r="BC165" i="13"/>
  <c r="BB165" i="13"/>
  <c r="BA165" i="13"/>
  <c r="AZ165" i="13"/>
  <c r="AY165" i="13"/>
  <c r="AY164" i="13"/>
  <c r="BE163" i="13"/>
  <c r="BD163" i="13"/>
  <c r="BC163" i="13"/>
  <c r="BB163" i="13"/>
  <c r="BA163" i="13"/>
  <c r="AZ163" i="13"/>
  <c r="AY163" i="13"/>
  <c r="AZ162" i="13"/>
  <c r="AY162" i="13"/>
  <c r="BE161" i="13"/>
  <c r="BD161" i="13"/>
  <c r="BC161" i="13"/>
  <c r="BB161" i="13"/>
  <c r="BA161" i="13"/>
  <c r="AZ161" i="13"/>
  <c r="AY161" i="13"/>
  <c r="BE160" i="13"/>
  <c r="BD160" i="13"/>
  <c r="BC160" i="13"/>
  <c r="BB160" i="13"/>
  <c r="BA160" i="13"/>
  <c r="AZ160" i="13"/>
  <c r="AY160" i="13"/>
  <c r="BE159" i="13"/>
  <c r="BD159" i="13"/>
  <c r="BC159" i="13"/>
  <c r="BB159" i="13"/>
  <c r="BA159" i="13"/>
  <c r="AZ159" i="13"/>
  <c r="AY159" i="13"/>
  <c r="AY158" i="13"/>
  <c r="BE157" i="13"/>
  <c r="BD157" i="13"/>
  <c r="BC157" i="13"/>
  <c r="BB157" i="13"/>
  <c r="BA157" i="13"/>
  <c r="AZ157" i="13"/>
  <c r="AY157" i="13"/>
  <c r="AY156" i="13"/>
  <c r="BE155" i="13"/>
  <c r="BD155" i="13"/>
  <c r="BC155" i="13"/>
  <c r="BB155" i="13"/>
  <c r="BA155" i="13"/>
  <c r="AZ155" i="13"/>
  <c r="AY155" i="13"/>
  <c r="AY154" i="13"/>
  <c r="BE153" i="13"/>
  <c r="BD153" i="13"/>
  <c r="BC153" i="13"/>
  <c r="BB153" i="13"/>
  <c r="BA153" i="13"/>
  <c r="AZ153" i="13"/>
  <c r="AY153" i="13"/>
  <c r="AY152" i="13"/>
  <c r="AZ152" i="13" s="1"/>
  <c r="BE151" i="13"/>
  <c r="BD151" i="13"/>
  <c r="BC151" i="13"/>
  <c r="BB151" i="13"/>
  <c r="BA151" i="13"/>
  <c r="AZ151" i="13"/>
  <c r="AY151" i="13"/>
  <c r="AY150" i="13"/>
  <c r="BE149" i="13"/>
  <c r="BD149" i="13"/>
  <c r="BC149" i="13"/>
  <c r="BB149" i="13"/>
  <c r="BA149" i="13"/>
  <c r="AZ149" i="13"/>
  <c r="AY149" i="13"/>
  <c r="AY148" i="13"/>
  <c r="BE147" i="13"/>
  <c r="BD147" i="13"/>
  <c r="BC147" i="13"/>
  <c r="BB147" i="13"/>
  <c r="BA147" i="13"/>
  <c r="AZ147" i="13"/>
  <c r="AY147" i="13"/>
  <c r="BE146" i="13"/>
  <c r="BD146" i="13"/>
  <c r="BC146" i="13"/>
  <c r="BB146" i="13"/>
  <c r="BA146" i="13"/>
  <c r="AZ146" i="13"/>
  <c r="AY146" i="13"/>
  <c r="AY145" i="13"/>
  <c r="BE144" i="13"/>
  <c r="BD144" i="13"/>
  <c r="BC144" i="13"/>
  <c r="BB144" i="13"/>
  <c r="BA144" i="13"/>
  <c r="AZ144" i="13"/>
  <c r="AY144" i="13"/>
  <c r="AZ143" i="13"/>
  <c r="AY143" i="13"/>
  <c r="BE142" i="13"/>
  <c r="BD142" i="13"/>
  <c r="BC142" i="13"/>
  <c r="BB142" i="13"/>
  <c r="BA142" i="13"/>
  <c r="AZ142" i="13"/>
  <c r="AY142" i="13"/>
  <c r="AT142" i="13"/>
  <c r="AS142" i="13"/>
  <c r="BE141" i="13"/>
  <c r="BD141" i="13"/>
  <c r="BC141" i="13"/>
  <c r="BB141" i="13"/>
  <c r="BA141" i="13"/>
  <c r="AZ141" i="13"/>
  <c r="AY141" i="13"/>
  <c r="AY47" i="13"/>
  <c r="BE46" i="13"/>
  <c r="BD46" i="13"/>
  <c r="BC46" i="13"/>
  <c r="BB46" i="13"/>
  <c r="BA46" i="13"/>
  <c r="AZ46" i="13"/>
  <c r="AY46" i="13"/>
  <c r="BE45" i="13"/>
  <c r="BD45" i="13"/>
  <c r="BC45" i="13"/>
  <c r="BB45" i="13"/>
  <c r="BA45" i="13"/>
  <c r="AZ45" i="13"/>
  <c r="AY45" i="13"/>
  <c r="BE44" i="13"/>
  <c r="BD44" i="13"/>
  <c r="BC44" i="13"/>
  <c r="BB44" i="13"/>
  <c r="BA44" i="13"/>
  <c r="AZ44" i="13"/>
  <c r="AY44" i="13"/>
  <c r="BE43" i="13"/>
  <c r="BD43" i="13"/>
  <c r="BC43" i="13"/>
  <c r="BB43" i="13"/>
  <c r="BA43" i="13"/>
  <c r="AZ43" i="13"/>
  <c r="AY43" i="13"/>
  <c r="BE42" i="13"/>
  <c r="BD42" i="13"/>
  <c r="BC42" i="13"/>
  <c r="BB42" i="13"/>
  <c r="BA42" i="13"/>
  <c r="AZ42" i="13"/>
  <c r="AY42" i="13"/>
  <c r="BE41" i="13"/>
  <c r="BD41" i="13"/>
  <c r="BC41" i="13"/>
  <c r="BB41" i="13"/>
  <c r="BA41" i="13"/>
  <c r="AZ41" i="13"/>
  <c r="AY41" i="13"/>
  <c r="AY40" i="13"/>
  <c r="AZ40" i="13" s="1"/>
  <c r="BE39" i="13"/>
  <c r="BD39" i="13"/>
  <c r="BC39" i="13"/>
  <c r="BB39" i="13"/>
  <c r="BA39" i="13"/>
  <c r="AZ39" i="13"/>
  <c r="AY39" i="13"/>
  <c r="BE38" i="13"/>
  <c r="BD38" i="13"/>
  <c r="BC38" i="13"/>
  <c r="BB38" i="13"/>
  <c r="BA38" i="13"/>
  <c r="AZ38" i="13"/>
  <c r="AY38" i="13"/>
  <c r="BE37" i="13"/>
  <c r="BD37" i="13"/>
  <c r="BC37" i="13"/>
  <c r="BB37" i="13"/>
  <c r="BA37" i="13"/>
  <c r="AZ37" i="13"/>
  <c r="AY37" i="13"/>
  <c r="BE36" i="13"/>
  <c r="BD36" i="13"/>
  <c r="BC36" i="13"/>
  <c r="BB36" i="13"/>
  <c r="BA36" i="13"/>
  <c r="AZ36" i="13"/>
  <c r="AY36" i="13"/>
  <c r="BE35" i="13"/>
  <c r="BD35" i="13"/>
  <c r="BC35" i="13"/>
  <c r="BB35" i="13"/>
  <c r="BA35" i="13"/>
  <c r="AZ35" i="13"/>
  <c r="AY35" i="13"/>
  <c r="BE34" i="13"/>
  <c r="BD34" i="13"/>
  <c r="BC34" i="13"/>
  <c r="BB34" i="13"/>
  <c r="BA34" i="13"/>
  <c r="AZ34" i="13"/>
  <c r="AY34" i="13"/>
  <c r="AY33" i="13"/>
  <c r="AZ33" i="13" s="1"/>
  <c r="BE32" i="13"/>
  <c r="BD32" i="13"/>
  <c r="BC32" i="13"/>
  <c r="BB32" i="13"/>
  <c r="BA32" i="13"/>
  <c r="AZ32" i="13"/>
  <c r="AY32" i="13"/>
  <c r="BE31" i="13"/>
  <c r="BD31" i="13"/>
  <c r="BC31" i="13"/>
  <c r="BB31" i="13"/>
  <c r="BA31" i="13"/>
  <c r="AZ31" i="13"/>
  <c r="AY31" i="13"/>
  <c r="BE30" i="13"/>
  <c r="BD30" i="13"/>
  <c r="BC30" i="13"/>
  <c r="BB30" i="13"/>
  <c r="BA30" i="13"/>
  <c r="AZ30" i="13"/>
  <c r="AY30" i="13"/>
  <c r="BE29" i="13"/>
  <c r="BD29" i="13"/>
  <c r="BC29" i="13"/>
  <c r="BB29" i="13"/>
  <c r="BA29" i="13"/>
  <c r="AZ29" i="13"/>
  <c r="AY29" i="13"/>
  <c r="BE28" i="13"/>
  <c r="BD28" i="13"/>
  <c r="BC28" i="13"/>
  <c r="BB28" i="13"/>
  <c r="BA28" i="13"/>
  <c r="AZ28" i="13"/>
  <c r="AY28" i="13"/>
  <c r="BE27" i="13"/>
  <c r="BD27" i="13"/>
  <c r="BC27" i="13"/>
  <c r="BB27" i="13"/>
  <c r="BA27" i="13"/>
  <c r="AZ27" i="13"/>
  <c r="AY27" i="13"/>
  <c r="AY26" i="13"/>
  <c r="BE25" i="13"/>
  <c r="BD25" i="13"/>
  <c r="BC25" i="13"/>
  <c r="BB25" i="13"/>
  <c r="BA25" i="13"/>
  <c r="AZ25" i="13"/>
  <c r="AY25" i="13"/>
  <c r="BE24" i="13"/>
  <c r="BD24" i="13"/>
  <c r="BC24" i="13"/>
  <c r="BB24" i="13"/>
  <c r="BA24" i="13"/>
  <c r="AZ24" i="13"/>
  <c r="AY24" i="13"/>
  <c r="BE23" i="13"/>
  <c r="BD23" i="13"/>
  <c r="BC23" i="13"/>
  <c r="BB23" i="13"/>
  <c r="BA23" i="13"/>
  <c r="AZ23" i="13"/>
  <c r="AY23" i="13"/>
  <c r="BE22" i="13"/>
  <c r="BD22" i="13"/>
  <c r="BC22" i="13"/>
  <c r="BB22" i="13"/>
  <c r="BA22" i="13"/>
  <c r="AZ22" i="13"/>
  <c r="AY22" i="13"/>
  <c r="BE21" i="13"/>
  <c r="BD21" i="13"/>
  <c r="BC21" i="13"/>
  <c r="BB21" i="13"/>
  <c r="BA21" i="13"/>
  <c r="AZ21" i="13"/>
  <c r="AY21" i="13"/>
  <c r="BE20" i="13"/>
  <c r="BD20" i="13"/>
  <c r="BC20" i="13"/>
  <c r="BB20" i="13"/>
  <c r="BA20" i="13"/>
  <c r="AZ20" i="13"/>
  <c r="AY20" i="13"/>
  <c r="AY19" i="13"/>
  <c r="BE18" i="13"/>
  <c r="BD18" i="13"/>
  <c r="BC18" i="13"/>
  <c r="BB18" i="13"/>
  <c r="BA18" i="13"/>
  <c r="AZ18" i="13"/>
  <c r="AY18" i="13"/>
  <c r="BE17" i="13"/>
  <c r="BD17" i="13"/>
  <c r="BC17" i="13"/>
  <c r="BB17" i="13"/>
  <c r="BA17" i="13"/>
  <c r="AZ17" i="13"/>
  <c r="AY17" i="13"/>
  <c r="BE16" i="13"/>
  <c r="BD16" i="13"/>
  <c r="BC16" i="13"/>
  <c r="BB16" i="13"/>
  <c r="BA16" i="13"/>
  <c r="AZ16" i="13"/>
  <c r="AY16" i="13"/>
  <c r="BE15" i="13"/>
  <c r="BD15" i="13"/>
  <c r="BC15" i="13"/>
  <c r="BB15" i="13"/>
  <c r="BA15" i="13"/>
  <c r="AZ15" i="13"/>
  <c r="AY15" i="13"/>
  <c r="BE14" i="13"/>
  <c r="BD14" i="13"/>
  <c r="BC14" i="13"/>
  <c r="BB14" i="13"/>
  <c r="BA14" i="13"/>
  <c r="AZ14" i="13"/>
  <c r="AY14" i="13"/>
  <c r="BE13" i="13"/>
  <c r="BD13" i="13"/>
  <c r="BC13" i="13"/>
  <c r="BB13" i="13"/>
  <c r="BA13" i="13"/>
  <c r="AZ13" i="13"/>
  <c r="AY13" i="13"/>
  <c r="AY12" i="13"/>
  <c r="AZ12" i="13" s="1"/>
  <c r="BE11" i="13"/>
  <c r="BD11" i="13"/>
  <c r="BC11" i="13"/>
  <c r="BB11" i="13"/>
  <c r="BA11" i="13"/>
  <c r="AZ11" i="13"/>
  <c r="AY11" i="13"/>
  <c r="BE10" i="13"/>
  <c r="BD10" i="13"/>
  <c r="BC10" i="13"/>
  <c r="BB10" i="13"/>
  <c r="BA10" i="13"/>
  <c r="AZ10" i="13"/>
  <c r="AY10" i="13"/>
  <c r="BE9" i="13"/>
  <c r="BD9" i="13"/>
  <c r="BC9" i="13"/>
  <c r="BB9" i="13"/>
  <c r="BA9" i="13"/>
  <c r="AZ9" i="13"/>
  <c r="AY9" i="13"/>
  <c r="BE8" i="13"/>
  <c r="BD8" i="13"/>
  <c r="BC8" i="13"/>
  <c r="BB8" i="13"/>
  <c r="BA8" i="13"/>
  <c r="AZ8" i="13"/>
  <c r="AY8" i="13"/>
  <c r="BE7" i="13"/>
  <c r="BD7" i="13"/>
  <c r="BC7" i="13"/>
  <c r="BB7" i="13"/>
  <c r="BA7" i="13"/>
  <c r="AZ7" i="13"/>
  <c r="AY7" i="13"/>
  <c r="BE6" i="13"/>
  <c r="BD6" i="13"/>
  <c r="BC6" i="13"/>
  <c r="BB6" i="13"/>
  <c r="BA6" i="13"/>
  <c r="AZ6" i="13"/>
  <c r="AY6" i="13"/>
  <c r="AZ5" i="13"/>
  <c r="AY5" i="13"/>
  <c r="BK1711" i="13" l="1"/>
  <c r="BK1699" i="13"/>
  <c r="CD1691" i="13"/>
  <c r="CG1691" i="13" s="1"/>
  <c r="CN1653" i="13"/>
  <c r="BK1710" i="13"/>
  <c r="BK1694" i="13"/>
  <c r="BK1690" i="13"/>
  <c r="BY1697" i="13"/>
  <c r="BY1681" i="13"/>
  <c r="BV1696" i="13"/>
  <c r="BX1696" i="13" s="1"/>
  <c r="CD1679" i="13"/>
  <c r="CG1679" i="13" s="1"/>
  <c r="BK1715" i="13"/>
  <c r="BK1691" i="13"/>
  <c r="BK1687" i="13"/>
  <c r="BU1693" i="13"/>
  <c r="CF1674" i="13"/>
  <c r="CI1674" i="13" s="1"/>
  <c r="BK1713" i="13"/>
  <c r="BK1709" i="13"/>
  <c r="BK1705" i="13"/>
  <c r="BK1701" i="13"/>
  <c r="BK1697" i="13"/>
  <c r="BK1693" i="13"/>
  <c r="BK1689" i="13"/>
  <c r="BK1685" i="13"/>
  <c r="BK1681" i="13"/>
  <c r="BV1684" i="13"/>
  <c r="BX1684" i="13" s="1"/>
  <c r="BZ1706" i="13"/>
  <c r="CE1608" i="13"/>
  <c r="CH1608" i="13" s="1"/>
  <c r="CE1600" i="13"/>
  <c r="CH1600" i="13" s="1"/>
  <c r="CF1660" i="13"/>
  <c r="CI1660" i="13" s="1"/>
  <c r="CF1628" i="13"/>
  <c r="CI1628" i="13" s="1"/>
  <c r="CF1612" i="13"/>
  <c r="CI1612" i="13" s="1"/>
  <c r="CJ1672" i="13"/>
  <c r="CJ1656" i="13"/>
  <c r="CJ1624" i="13"/>
  <c r="CL1648" i="13"/>
  <c r="CL1632" i="13"/>
  <c r="CL1616" i="13"/>
  <c r="CO1664" i="13"/>
  <c r="CO1648" i="13"/>
  <c r="CO1632" i="13"/>
  <c r="CO1616" i="13"/>
  <c r="CD1656" i="13"/>
  <c r="CG1656" i="13" s="1"/>
  <c r="CD1644" i="13"/>
  <c r="CG1644" i="13" s="1"/>
  <c r="CD1632" i="13"/>
  <c r="CG1632" i="13" s="1"/>
  <c r="CD1620" i="13"/>
  <c r="CG1620" i="13" s="1"/>
  <c r="CE1660" i="13"/>
  <c r="CH1660" i="13" s="1"/>
  <c r="CE1640" i="13"/>
  <c r="CH1640" i="13" s="1"/>
  <c r="CE1632" i="13"/>
  <c r="CH1632" i="13" s="1"/>
  <c r="CE1620" i="13"/>
  <c r="CH1620" i="13" s="1"/>
  <c r="CE1613" i="13"/>
  <c r="CH1613" i="13" s="1"/>
  <c r="CE1596" i="13"/>
  <c r="CH1596" i="13" s="1"/>
  <c r="CF1668" i="13"/>
  <c r="CI1668" i="13" s="1"/>
  <c r="CF1652" i="13"/>
  <c r="CI1652" i="13" s="1"/>
  <c r="CF1636" i="13"/>
  <c r="CI1636" i="13" s="1"/>
  <c r="CF1620" i="13"/>
  <c r="CI1620" i="13" s="1"/>
  <c r="CF1604" i="13"/>
  <c r="CI1604" i="13" s="1"/>
  <c r="CJ1664" i="13"/>
  <c r="CJ1648" i="13"/>
  <c r="CJ1628" i="13"/>
  <c r="CJ1618" i="13"/>
  <c r="CK1646" i="13"/>
  <c r="CL1660" i="13"/>
  <c r="CL1644" i="13"/>
  <c r="CL1624" i="13"/>
  <c r="CN1641" i="13"/>
  <c r="CO1640" i="13"/>
  <c r="CO1624" i="13"/>
  <c r="CO1604" i="13"/>
  <c r="BK1682" i="13"/>
  <c r="BV1706" i="13"/>
  <c r="BX1706" i="13" s="1"/>
  <c r="BY1696" i="13"/>
  <c r="BV1686" i="13"/>
  <c r="BX1686" i="13" s="1"/>
  <c r="BV1678" i="13"/>
  <c r="BX1678" i="13" s="1"/>
  <c r="BU1710" i="13"/>
  <c r="BU1702" i="13"/>
  <c r="BU1683" i="13"/>
  <c r="BY1711" i="13"/>
  <c r="BZ1713" i="13"/>
  <c r="CD1703" i="13"/>
  <c r="CG1703" i="13" s="1"/>
  <c r="CE1711" i="13"/>
  <c r="CH1711" i="13" s="1"/>
  <c r="CK1707" i="13"/>
  <c r="CO1701" i="13"/>
  <c r="CD1664" i="13"/>
  <c r="CG1664" i="13" s="1"/>
  <c r="CD1612" i="13"/>
  <c r="CG1612" i="13" s="1"/>
  <c r="CF1644" i="13"/>
  <c r="CI1644" i="13" s="1"/>
  <c r="CF1596" i="13"/>
  <c r="CI1596" i="13" s="1"/>
  <c r="CL1672" i="13"/>
  <c r="CD1668" i="13"/>
  <c r="CG1668" i="13" s="1"/>
  <c r="CD1654" i="13"/>
  <c r="CG1654" i="13" s="1"/>
  <c r="CD1640" i="13"/>
  <c r="CG1640" i="13" s="1"/>
  <c r="CD1628" i="13"/>
  <c r="CG1628" i="13" s="1"/>
  <c r="CD1616" i="13"/>
  <c r="CG1616" i="13" s="1"/>
  <c r="CD1604" i="13"/>
  <c r="CG1604" i="13" s="1"/>
  <c r="CE1676" i="13"/>
  <c r="CH1676" i="13" s="1"/>
  <c r="CE1656" i="13"/>
  <c r="CH1656" i="13" s="1"/>
  <c r="CE1648" i="13"/>
  <c r="CH1648" i="13" s="1"/>
  <c r="CE1636" i="13"/>
  <c r="CH1636" i="13" s="1"/>
  <c r="CE1618" i="13"/>
  <c r="CH1618" i="13" s="1"/>
  <c r="CE1612" i="13"/>
  <c r="CH1612" i="13" s="1"/>
  <c r="CF1676" i="13"/>
  <c r="CI1676" i="13" s="1"/>
  <c r="CF1664" i="13"/>
  <c r="CI1664" i="13" s="1"/>
  <c r="CF1648" i="13"/>
  <c r="CI1648" i="13" s="1"/>
  <c r="CF1616" i="13"/>
  <c r="CI1616" i="13" s="1"/>
  <c r="CF1600" i="13"/>
  <c r="CI1600" i="13" s="1"/>
  <c r="CJ1676" i="13"/>
  <c r="CJ1660" i="13"/>
  <c r="CJ1644" i="13"/>
  <c r="CJ1625" i="13"/>
  <c r="CJ1612" i="13"/>
  <c r="CL1676" i="13"/>
  <c r="CL1656" i="13"/>
  <c r="CL1640" i="13"/>
  <c r="CN1673" i="13"/>
  <c r="CO1668" i="13"/>
  <c r="CO1652" i="13"/>
  <c r="CO1636" i="13"/>
  <c r="CO1620" i="13"/>
  <c r="CO1600" i="13"/>
  <c r="BV1694" i="13"/>
  <c r="BX1694" i="13" s="1"/>
  <c r="BY1694" i="13" s="1"/>
  <c r="BU1715" i="13"/>
  <c r="BU1698" i="13"/>
  <c r="BU1690" i="13"/>
  <c r="BU1682" i="13"/>
  <c r="BY1684" i="13"/>
  <c r="BZ1711" i="13"/>
  <c r="BZ1703" i="13"/>
  <c r="CD1712" i="13"/>
  <c r="CG1712" i="13" s="1"/>
  <c r="CD1700" i="13"/>
  <c r="CG1700" i="13" s="1"/>
  <c r="CE1684" i="13"/>
  <c r="CH1684" i="13" s="1"/>
  <c r="CL1712" i="13"/>
  <c r="BY1689" i="13"/>
  <c r="BV1716" i="13"/>
  <c r="BX1716" i="13" s="1"/>
  <c r="BV1708" i="13"/>
  <c r="BX1708" i="13" s="1"/>
  <c r="BV1700" i="13"/>
  <c r="BX1700" i="13" s="1"/>
  <c r="BV1692" i="13"/>
  <c r="BX1692" i="13" s="1"/>
  <c r="BY1692" i="13" s="1"/>
  <c r="BU1714" i="13"/>
  <c r="BU1697" i="13"/>
  <c r="BU1689" i="13"/>
  <c r="BU1681" i="13"/>
  <c r="BZ1709" i="13"/>
  <c r="BZ1701" i="13"/>
  <c r="CF1691" i="13"/>
  <c r="CI1691" i="13" s="1"/>
  <c r="CD1652" i="13"/>
  <c r="CG1652" i="13" s="1"/>
  <c r="CD1624" i="13"/>
  <c r="CG1624" i="13" s="1"/>
  <c r="CE1672" i="13"/>
  <c r="CH1672" i="13" s="1"/>
  <c r="CE1664" i="13"/>
  <c r="CH1664" i="13" s="1"/>
  <c r="CE1652" i="13"/>
  <c r="CH1652" i="13" s="1"/>
  <c r="CE1628" i="13"/>
  <c r="CH1628" i="13" s="1"/>
  <c r="CJ1640" i="13"/>
  <c r="CD1672" i="13"/>
  <c r="CG1672" i="13" s="1"/>
  <c r="CD1636" i="13"/>
  <c r="CG1636" i="13" s="1"/>
  <c r="CD1608" i="13"/>
  <c r="CG1608" i="13" s="1"/>
  <c r="CE1668" i="13"/>
  <c r="CH1668" i="13" s="1"/>
  <c r="CE1624" i="13"/>
  <c r="CH1624" i="13" s="1"/>
  <c r="CF1672" i="13"/>
  <c r="CI1672" i="13" s="1"/>
  <c r="CF1656" i="13"/>
  <c r="CI1656" i="13" s="1"/>
  <c r="CK1614" i="13"/>
  <c r="BK1707" i="13"/>
  <c r="BK1703" i="13"/>
  <c r="BK1695" i="13"/>
  <c r="BK1683" i="13"/>
  <c r="BK1679" i="13"/>
  <c r="BK1678" i="13"/>
  <c r="BV1707" i="13"/>
  <c r="BX1707" i="13" s="1"/>
  <c r="BV1680" i="13"/>
  <c r="BX1680" i="13" s="1"/>
  <c r="BU1713" i="13"/>
  <c r="BU1703" i="13"/>
  <c r="BZ1714" i="13"/>
  <c r="BZ1707" i="13"/>
  <c r="CD1707" i="13"/>
  <c r="CG1707" i="13" s="1"/>
  <c r="CE1715" i="13"/>
  <c r="CH1715" i="13" s="1"/>
  <c r="BZ1639" i="13"/>
  <c r="CO1639" i="13"/>
  <c r="CE1639" i="13"/>
  <c r="CH1639" i="13" s="1"/>
  <c r="CN1639" i="13"/>
  <c r="BZ1635" i="13"/>
  <c r="CJ1635" i="13"/>
  <c r="CE1635" i="13"/>
  <c r="CH1635" i="13" s="1"/>
  <c r="CO1635" i="13"/>
  <c r="BZ1631" i="13"/>
  <c r="CJ1631" i="13"/>
  <c r="CL1631" i="13"/>
  <c r="CK1631" i="13"/>
  <c r="CE1631" i="13"/>
  <c r="CH1631" i="13" s="1"/>
  <c r="BZ1627" i="13"/>
  <c r="CJ1627" i="13"/>
  <c r="CN1627" i="13"/>
  <c r="CE1627" i="13"/>
  <c r="CH1627" i="13" s="1"/>
  <c r="CK1627" i="13"/>
  <c r="CL1627" i="13"/>
  <c r="BZ1623" i="13"/>
  <c r="CJ1623" i="13"/>
  <c r="CO1623" i="13"/>
  <c r="CE1623" i="13"/>
  <c r="CH1623" i="13" s="1"/>
  <c r="CN1623" i="13"/>
  <c r="BZ1619" i="13"/>
  <c r="CJ1619" i="13"/>
  <c r="CE1619" i="13"/>
  <c r="CH1619" i="13" s="1"/>
  <c r="CO1619" i="13"/>
  <c r="BZ1615" i="13"/>
  <c r="CJ1615" i="13"/>
  <c r="CL1615" i="13"/>
  <c r="CK1615" i="13"/>
  <c r="CE1615" i="13"/>
  <c r="CH1615" i="13" s="1"/>
  <c r="BZ1611" i="13"/>
  <c r="CJ1611" i="13"/>
  <c r="CN1611" i="13"/>
  <c r="CE1611" i="13"/>
  <c r="CH1611" i="13" s="1"/>
  <c r="CK1611" i="13"/>
  <c r="CL1611" i="13"/>
  <c r="CO1607" i="13"/>
  <c r="CE1607" i="13"/>
  <c r="CH1607" i="13" s="1"/>
  <c r="CE1603" i="13"/>
  <c r="CH1603" i="13" s="1"/>
  <c r="CO1603" i="13"/>
  <c r="CK1635" i="13"/>
  <c r="CN1663" i="13"/>
  <c r="CN1631" i="13"/>
  <c r="BZ1674" i="13"/>
  <c r="CO1674" i="13"/>
  <c r="CL1674" i="13"/>
  <c r="CK1674" i="13"/>
  <c r="CJ1674" i="13"/>
  <c r="BZ1650" i="13"/>
  <c r="CO1650" i="13"/>
  <c r="CJ1650" i="13"/>
  <c r="CF1650" i="13"/>
  <c r="CI1650" i="13" s="1"/>
  <c r="CN1650" i="13"/>
  <c r="BZ1675" i="13"/>
  <c r="CN1675" i="13"/>
  <c r="CE1675" i="13"/>
  <c r="CH1675" i="13" s="1"/>
  <c r="CK1675" i="13"/>
  <c r="CL1675" i="13"/>
  <c r="BZ1667" i="13"/>
  <c r="CE1667" i="13"/>
  <c r="CH1667" i="13" s="1"/>
  <c r="CO1667" i="13"/>
  <c r="BZ1659" i="13"/>
  <c r="CN1659" i="13"/>
  <c r="CE1659" i="13"/>
  <c r="CH1659" i="13" s="1"/>
  <c r="CL1659" i="13"/>
  <c r="CK1659" i="13"/>
  <c r="BZ1647" i="13"/>
  <c r="CL1647" i="13"/>
  <c r="CK1647" i="13"/>
  <c r="CE1647" i="13"/>
  <c r="CH1647" i="13" s="1"/>
  <c r="CD1659" i="13"/>
  <c r="CG1659" i="13" s="1"/>
  <c r="CD1611" i="13"/>
  <c r="CG1611" i="13" s="1"/>
  <c r="CK1667" i="13"/>
  <c r="CL1635" i="13"/>
  <c r="BZ1677" i="13"/>
  <c r="CL1677" i="13"/>
  <c r="CJ1677" i="13"/>
  <c r="CM1677" i="13" s="1"/>
  <c r="CF1677" i="13"/>
  <c r="CI1677" i="13" s="1"/>
  <c r="CD1677" i="13"/>
  <c r="CG1677" i="13" s="1"/>
  <c r="CO1677" i="13"/>
  <c r="CN1677" i="13"/>
  <c r="BZ1669" i="13"/>
  <c r="CL1669" i="13"/>
  <c r="CK1669" i="13"/>
  <c r="CJ1669" i="13"/>
  <c r="CF1669" i="13"/>
  <c r="CI1669" i="13" s="1"/>
  <c r="CD1669" i="13"/>
  <c r="CG1669" i="13" s="1"/>
  <c r="BZ1661" i="13"/>
  <c r="CL1661" i="13"/>
  <c r="CJ1661" i="13"/>
  <c r="CF1661" i="13"/>
  <c r="CI1661" i="13" s="1"/>
  <c r="CD1661" i="13"/>
  <c r="CG1661" i="13" s="1"/>
  <c r="CO1661" i="13"/>
  <c r="CN1661" i="13"/>
  <c r="BZ1657" i="13"/>
  <c r="CL1657" i="13"/>
  <c r="CJ1657" i="13"/>
  <c r="CM1657" i="13" s="1"/>
  <c r="CF1657" i="13"/>
  <c r="CI1657" i="13" s="1"/>
  <c r="CD1657" i="13"/>
  <c r="CG1657" i="13" s="1"/>
  <c r="BZ1653" i="13"/>
  <c r="CL1653" i="13"/>
  <c r="CK1653" i="13"/>
  <c r="CJ1653" i="13"/>
  <c r="CF1653" i="13"/>
  <c r="CI1653" i="13" s="1"/>
  <c r="CD1653" i="13"/>
  <c r="CG1653" i="13" s="1"/>
  <c r="BZ1645" i="13"/>
  <c r="CL1645" i="13"/>
  <c r="CJ1645" i="13"/>
  <c r="CF1645" i="13"/>
  <c r="CI1645" i="13" s="1"/>
  <c r="CD1645" i="13"/>
  <c r="CG1645" i="13" s="1"/>
  <c r="CN1645" i="13"/>
  <c r="CO1645" i="13"/>
  <c r="BZ1641" i="13"/>
  <c r="CL1641" i="13"/>
  <c r="CJ1641" i="13"/>
  <c r="CF1641" i="13"/>
  <c r="CI1641" i="13" s="1"/>
  <c r="CD1641" i="13"/>
  <c r="CG1641" i="13" s="1"/>
  <c r="BZ1637" i="13"/>
  <c r="CL1637" i="13"/>
  <c r="CK1637" i="13"/>
  <c r="CJ1637" i="13"/>
  <c r="CF1637" i="13"/>
  <c r="CI1637" i="13" s="1"/>
  <c r="CD1637" i="13"/>
  <c r="CG1637" i="13" s="1"/>
  <c r="BZ1633" i="13"/>
  <c r="CL1633" i="13"/>
  <c r="CO1633" i="13"/>
  <c r="CN1633" i="13"/>
  <c r="CF1633" i="13"/>
  <c r="CI1633" i="13" s="1"/>
  <c r="CD1633" i="13"/>
  <c r="CG1633" i="13" s="1"/>
  <c r="CK1633" i="13"/>
  <c r="CJ1633" i="13"/>
  <c r="BZ1629" i="13"/>
  <c r="CL1629" i="13"/>
  <c r="CF1629" i="13"/>
  <c r="CI1629" i="13" s="1"/>
  <c r="CD1629" i="13"/>
  <c r="CG1629" i="13" s="1"/>
  <c r="CO1629" i="13"/>
  <c r="CN1629" i="13"/>
  <c r="BZ1625" i="13"/>
  <c r="CL1625" i="13"/>
  <c r="CM1625" i="13" s="1"/>
  <c r="CF1625" i="13"/>
  <c r="CI1625" i="13" s="1"/>
  <c r="CD1625" i="13"/>
  <c r="CG1625" i="13" s="1"/>
  <c r="BZ1621" i="13"/>
  <c r="CL1621" i="13"/>
  <c r="CK1621" i="13"/>
  <c r="CJ1621" i="13"/>
  <c r="CF1621" i="13"/>
  <c r="CI1621" i="13" s="1"/>
  <c r="CD1621" i="13"/>
  <c r="CG1621" i="13" s="1"/>
  <c r="BZ1617" i="13"/>
  <c r="CL1617" i="13"/>
  <c r="CO1617" i="13"/>
  <c r="CN1617" i="13"/>
  <c r="CF1617" i="13"/>
  <c r="CI1617" i="13" s="1"/>
  <c r="CD1617" i="13"/>
  <c r="CG1617" i="13" s="1"/>
  <c r="CK1617" i="13"/>
  <c r="CJ1617" i="13"/>
  <c r="BZ1613" i="13"/>
  <c r="CL1613" i="13"/>
  <c r="CF1613" i="13"/>
  <c r="CI1613" i="13" s="1"/>
  <c r="CD1613" i="13"/>
  <c r="CG1613" i="13" s="1"/>
  <c r="CO1613" i="13"/>
  <c r="CN1613" i="13"/>
  <c r="BZ1609" i="13"/>
  <c r="CF1609" i="13"/>
  <c r="CI1609" i="13" s="1"/>
  <c r="CD1609" i="13"/>
  <c r="CG1609" i="13" s="1"/>
  <c r="CF1605" i="13"/>
  <c r="CI1605" i="13" s="1"/>
  <c r="CD1605" i="13"/>
  <c r="CG1605" i="13" s="1"/>
  <c r="CO1601" i="13"/>
  <c r="CF1601" i="13"/>
  <c r="CI1601" i="13" s="1"/>
  <c r="CD1601" i="13"/>
  <c r="CG1601" i="13" s="1"/>
  <c r="CF1597" i="13"/>
  <c r="CI1597" i="13" s="1"/>
  <c r="CD1597" i="13"/>
  <c r="CG1597" i="13" s="1"/>
  <c r="CO1597" i="13"/>
  <c r="CJ1630" i="13"/>
  <c r="CJ1613" i="13"/>
  <c r="CK1641" i="13"/>
  <c r="CK1619" i="13"/>
  <c r="CL1667" i="13"/>
  <c r="CL1650" i="13"/>
  <c r="CL1623" i="13"/>
  <c r="CN1669" i="13"/>
  <c r="CN1647" i="13"/>
  <c r="CN1637" i="13"/>
  <c r="CN1615" i="13"/>
  <c r="CO1675" i="13"/>
  <c r="CO1657" i="13"/>
  <c r="CO1631" i="13"/>
  <c r="CO1621" i="13"/>
  <c r="CO1611" i="13"/>
  <c r="BU1711" i="13"/>
  <c r="BV1711" i="13"/>
  <c r="BX1711" i="13" s="1"/>
  <c r="BV1699" i="13"/>
  <c r="BX1699" i="13" s="1"/>
  <c r="BU1699" i="13"/>
  <c r="BU1691" i="13"/>
  <c r="BV1691" i="13"/>
  <c r="BX1691" i="13" s="1"/>
  <c r="BY1691" i="13" s="1"/>
  <c r="BU1679" i="13"/>
  <c r="BV1679" i="13"/>
  <c r="BX1679" i="13" s="1"/>
  <c r="BY1679" i="13" s="1"/>
  <c r="CD1714" i="13"/>
  <c r="CG1714" i="13" s="1"/>
  <c r="BZ1671" i="13"/>
  <c r="CO1671" i="13"/>
  <c r="CE1671" i="13"/>
  <c r="CH1671" i="13" s="1"/>
  <c r="CN1671" i="13"/>
  <c r="BZ1663" i="13"/>
  <c r="CL1663" i="13"/>
  <c r="CK1663" i="13"/>
  <c r="CE1663" i="13"/>
  <c r="CH1663" i="13" s="1"/>
  <c r="BZ1655" i="13"/>
  <c r="CO1655" i="13"/>
  <c r="CE1655" i="13"/>
  <c r="CH1655" i="13" s="1"/>
  <c r="CN1655" i="13"/>
  <c r="BZ1651" i="13"/>
  <c r="CE1651" i="13"/>
  <c r="CH1651" i="13" s="1"/>
  <c r="CO1651" i="13"/>
  <c r="BZ1643" i="13"/>
  <c r="CN1643" i="13"/>
  <c r="CE1643" i="13"/>
  <c r="CH1643" i="13" s="1"/>
  <c r="CL1643" i="13"/>
  <c r="CK1643" i="13"/>
  <c r="CD1675" i="13"/>
  <c r="CG1675" i="13" s="1"/>
  <c r="CD1643" i="13"/>
  <c r="CG1643" i="13" s="1"/>
  <c r="CD1627" i="13"/>
  <c r="CG1627" i="13" s="1"/>
  <c r="CL1655" i="13"/>
  <c r="BY1670" i="13"/>
  <c r="CO1670" i="13"/>
  <c r="CN1670" i="13"/>
  <c r="CL1670" i="13"/>
  <c r="CK1670" i="13"/>
  <c r="CJ1670" i="13"/>
  <c r="BZ1666" i="13"/>
  <c r="CO1666" i="13"/>
  <c r="CN1666" i="13"/>
  <c r="CJ1666" i="13"/>
  <c r="CF1666" i="13"/>
  <c r="CI1666" i="13" s="1"/>
  <c r="BY1662" i="13"/>
  <c r="CO1662" i="13"/>
  <c r="CF1662" i="13"/>
  <c r="CI1662" i="13" s="1"/>
  <c r="CJ1662" i="13"/>
  <c r="BZ1658" i="13"/>
  <c r="CO1658" i="13"/>
  <c r="CL1658" i="13"/>
  <c r="CK1658" i="13"/>
  <c r="CJ1658" i="13"/>
  <c r="CM1658" i="13" s="1"/>
  <c r="CF1658" i="13"/>
  <c r="CI1658" i="13" s="1"/>
  <c r="BY1654" i="13"/>
  <c r="CO1654" i="13"/>
  <c r="CN1654" i="13"/>
  <c r="CF1654" i="13"/>
  <c r="CI1654" i="13" s="1"/>
  <c r="CL1654" i="13"/>
  <c r="CK1654" i="13"/>
  <c r="CJ1654" i="13"/>
  <c r="BY1646" i="13"/>
  <c r="CO1646" i="13"/>
  <c r="CJ1646" i="13"/>
  <c r="CM1646" i="13" s="1"/>
  <c r="CF1646" i="13"/>
  <c r="CI1646" i="13" s="1"/>
  <c r="BZ1642" i="13"/>
  <c r="CO1642" i="13"/>
  <c r="CL1642" i="13"/>
  <c r="CK1642" i="13"/>
  <c r="CJ1642" i="13"/>
  <c r="CF1642" i="13"/>
  <c r="CI1642" i="13" s="1"/>
  <c r="BY1638" i="13"/>
  <c r="CO1638" i="13"/>
  <c r="CN1638" i="13"/>
  <c r="CK1638" i="13"/>
  <c r="CL1638" i="13"/>
  <c r="CJ1638" i="13"/>
  <c r="CM1638" i="13" s="1"/>
  <c r="CF1638" i="13"/>
  <c r="CI1638" i="13" s="1"/>
  <c r="BZ1634" i="13"/>
  <c r="CO1634" i="13"/>
  <c r="CN1634" i="13"/>
  <c r="CF1634" i="13"/>
  <c r="CI1634" i="13" s="1"/>
  <c r="BY1630" i="13"/>
  <c r="CO1630" i="13"/>
  <c r="CF1630" i="13"/>
  <c r="CI1630" i="13" s="1"/>
  <c r="BZ1626" i="13"/>
  <c r="CO1626" i="13"/>
  <c r="CL1626" i="13"/>
  <c r="CK1626" i="13"/>
  <c r="CJ1626" i="13"/>
  <c r="CF1626" i="13"/>
  <c r="CI1626" i="13" s="1"/>
  <c r="BY1622" i="13"/>
  <c r="CO1622" i="13"/>
  <c r="CN1622" i="13"/>
  <c r="CJ1622" i="13"/>
  <c r="CL1622" i="13"/>
  <c r="CK1622" i="13"/>
  <c r="CF1622" i="13"/>
  <c r="CI1622" i="13" s="1"/>
  <c r="BZ1618" i="13"/>
  <c r="CO1618" i="13"/>
  <c r="CN1618" i="13"/>
  <c r="CF1618" i="13"/>
  <c r="CI1618" i="13" s="1"/>
  <c r="BY1614" i="13"/>
  <c r="CO1614" i="13"/>
  <c r="CF1614" i="13"/>
  <c r="CI1614" i="13" s="1"/>
  <c r="BZ1610" i="13"/>
  <c r="CO1610" i="13"/>
  <c r="CL1610" i="13"/>
  <c r="CK1610" i="13"/>
  <c r="CJ1610" i="13"/>
  <c r="CF1610" i="13"/>
  <c r="CI1610" i="13" s="1"/>
  <c r="CO1606" i="13"/>
  <c r="CF1606" i="13"/>
  <c r="CI1606" i="13" s="1"/>
  <c r="CO1602" i="13"/>
  <c r="CF1602" i="13"/>
  <c r="CI1602" i="13" s="1"/>
  <c r="CO1598" i="13"/>
  <c r="CF1598" i="13"/>
  <c r="CI1598" i="13" s="1"/>
  <c r="CD1674" i="13"/>
  <c r="CG1674" i="13" s="1"/>
  <c r="CD1663" i="13"/>
  <c r="CG1663" i="13" s="1"/>
  <c r="CD1658" i="13"/>
  <c r="CG1658" i="13" s="1"/>
  <c r="CD1647" i="13"/>
  <c r="CG1647" i="13" s="1"/>
  <c r="CD1642" i="13"/>
  <c r="CG1642" i="13" s="1"/>
  <c r="CD1631" i="13"/>
  <c r="CG1631" i="13" s="1"/>
  <c r="CD1626" i="13"/>
  <c r="CG1626" i="13" s="1"/>
  <c r="CD1615" i="13"/>
  <c r="CG1615" i="13" s="1"/>
  <c r="CD1610" i="13"/>
  <c r="CG1610" i="13" s="1"/>
  <c r="CD1599" i="13"/>
  <c r="CG1599" i="13" s="1"/>
  <c r="CE1670" i="13"/>
  <c r="CH1670" i="13" s="1"/>
  <c r="CE1638" i="13"/>
  <c r="CH1638" i="13" s="1"/>
  <c r="CE1622" i="13"/>
  <c r="CH1622" i="13" s="1"/>
  <c r="CE1606" i="13"/>
  <c r="CH1606" i="13" s="1"/>
  <c r="CF1667" i="13"/>
  <c r="CI1667" i="13" s="1"/>
  <c r="CF1659" i="13"/>
  <c r="CI1659" i="13" s="1"/>
  <c r="CF1651" i="13"/>
  <c r="CI1651" i="13" s="1"/>
  <c r="CF1643" i="13"/>
  <c r="CI1643" i="13" s="1"/>
  <c r="CF1635" i="13"/>
  <c r="CI1635" i="13" s="1"/>
  <c r="CF1627" i="13"/>
  <c r="CI1627" i="13" s="1"/>
  <c r="CF1619" i="13"/>
  <c r="CI1619" i="13" s="1"/>
  <c r="CF1611" i="13"/>
  <c r="CI1611" i="13" s="1"/>
  <c r="CF1603" i="13"/>
  <c r="CI1603" i="13" s="1"/>
  <c r="CJ1675" i="13"/>
  <c r="CM1675" i="13" s="1"/>
  <c r="CJ1667" i="13"/>
  <c r="CJ1659" i="13"/>
  <c r="CJ1651" i="13"/>
  <c r="CJ1643" i="13"/>
  <c r="CM1643" i="13" s="1"/>
  <c r="CJ1634" i="13"/>
  <c r="CJ1614" i="13"/>
  <c r="CM1614" i="13" s="1"/>
  <c r="CK1666" i="13"/>
  <c r="CK1655" i="13"/>
  <c r="CK1634" i="13"/>
  <c r="CK1623" i="13"/>
  <c r="CL1671" i="13"/>
  <c r="CL1662" i="13"/>
  <c r="CL1651" i="13"/>
  <c r="CL1634" i="13"/>
  <c r="CN1662" i="13"/>
  <c r="CN1651" i="13"/>
  <c r="CN1630" i="13"/>
  <c r="CN1619" i="13"/>
  <c r="CO1659" i="13"/>
  <c r="CO1615" i="13"/>
  <c r="BZ1673" i="13"/>
  <c r="CL1673" i="13"/>
  <c r="CJ1673" i="13"/>
  <c r="CM1673" i="13" s="1"/>
  <c r="CF1673" i="13"/>
  <c r="CI1673" i="13" s="1"/>
  <c r="CD1673" i="13"/>
  <c r="CG1673" i="13" s="1"/>
  <c r="BZ1665" i="13"/>
  <c r="CL1665" i="13"/>
  <c r="CO1665" i="13"/>
  <c r="CN1665" i="13"/>
  <c r="CJ1665" i="13"/>
  <c r="CF1665" i="13"/>
  <c r="CI1665" i="13" s="1"/>
  <c r="CD1665" i="13"/>
  <c r="CG1665" i="13" s="1"/>
  <c r="CK1665" i="13"/>
  <c r="BZ1649" i="13"/>
  <c r="CL1649" i="13"/>
  <c r="CO1649" i="13"/>
  <c r="CN1649" i="13"/>
  <c r="CJ1649" i="13"/>
  <c r="CF1649" i="13"/>
  <c r="CI1649" i="13" s="1"/>
  <c r="CD1649" i="13"/>
  <c r="CG1649" i="13" s="1"/>
  <c r="CK1649" i="13"/>
  <c r="CD1667" i="13"/>
  <c r="CG1667" i="13" s="1"/>
  <c r="CD1662" i="13"/>
  <c r="CG1662" i="13" s="1"/>
  <c r="CD1651" i="13"/>
  <c r="CG1651" i="13" s="1"/>
  <c r="CD1646" i="13"/>
  <c r="CG1646" i="13" s="1"/>
  <c r="CD1635" i="13"/>
  <c r="CG1635" i="13" s="1"/>
  <c r="CD1630" i="13"/>
  <c r="CG1630" i="13" s="1"/>
  <c r="CD1619" i="13"/>
  <c r="CG1619" i="13" s="1"/>
  <c r="CD1614" i="13"/>
  <c r="CG1614" i="13" s="1"/>
  <c r="CD1603" i="13"/>
  <c r="CG1603" i="13" s="1"/>
  <c r="CD1598" i="13"/>
  <c r="CG1598" i="13" s="1"/>
  <c r="CE1674" i="13"/>
  <c r="CH1674" i="13" s="1"/>
  <c r="CE1669" i="13"/>
  <c r="CH1669" i="13" s="1"/>
  <c r="CE1658" i="13"/>
  <c r="CH1658" i="13" s="1"/>
  <c r="CE1653" i="13"/>
  <c r="CH1653" i="13" s="1"/>
  <c r="CE1642" i="13"/>
  <c r="CH1642" i="13" s="1"/>
  <c r="CE1637" i="13"/>
  <c r="CH1637" i="13" s="1"/>
  <c r="CE1626" i="13"/>
  <c r="CH1626" i="13" s="1"/>
  <c r="CE1621" i="13"/>
  <c r="CH1621" i="13" s="1"/>
  <c r="CE1610" i="13"/>
  <c r="CH1610" i="13" s="1"/>
  <c r="CE1605" i="13"/>
  <c r="CH1605" i="13" s="1"/>
  <c r="CF1671" i="13"/>
  <c r="CI1671" i="13" s="1"/>
  <c r="CD1671" i="13"/>
  <c r="CG1671" i="13" s="1"/>
  <c r="CD1666" i="13"/>
  <c r="CG1666" i="13" s="1"/>
  <c r="CD1655" i="13"/>
  <c r="CG1655" i="13" s="1"/>
  <c r="CD1650" i="13"/>
  <c r="CG1650" i="13" s="1"/>
  <c r="CD1639" i="13"/>
  <c r="CG1639" i="13" s="1"/>
  <c r="CD1634" i="13"/>
  <c r="CG1634" i="13" s="1"/>
  <c r="CD1623" i="13"/>
  <c r="CG1623" i="13" s="1"/>
  <c r="CD1618" i="13"/>
  <c r="CG1618" i="13" s="1"/>
  <c r="CD1607" i="13"/>
  <c r="CG1607" i="13" s="1"/>
  <c r="CD1602" i="13"/>
  <c r="CG1602" i="13" s="1"/>
  <c r="CE1673" i="13"/>
  <c r="CH1673" i="13" s="1"/>
  <c r="CE1662" i="13"/>
  <c r="CH1662" i="13" s="1"/>
  <c r="CE1657" i="13"/>
  <c r="CH1657" i="13" s="1"/>
  <c r="CE1646" i="13"/>
  <c r="CH1646" i="13" s="1"/>
  <c r="CE1641" i="13"/>
  <c r="CH1641" i="13" s="1"/>
  <c r="CE1630" i="13"/>
  <c r="CH1630" i="13" s="1"/>
  <c r="CE1625" i="13"/>
  <c r="CH1625" i="13" s="1"/>
  <c r="CE1614" i="13"/>
  <c r="CH1614" i="13" s="1"/>
  <c r="CE1609" i="13"/>
  <c r="CH1609" i="13" s="1"/>
  <c r="CE1598" i="13"/>
  <c r="CH1598" i="13" s="1"/>
  <c r="CF1675" i="13"/>
  <c r="CI1675" i="13" s="1"/>
  <c r="CF1670" i="13"/>
  <c r="CI1670" i="13" s="1"/>
  <c r="CF1663" i="13"/>
  <c r="CI1663" i="13" s="1"/>
  <c r="CF1655" i="13"/>
  <c r="CI1655" i="13" s="1"/>
  <c r="CF1647" i="13"/>
  <c r="CI1647" i="13" s="1"/>
  <c r="CF1639" i="13"/>
  <c r="CI1639" i="13" s="1"/>
  <c r="CF1631" i="13"/>
  <c r="CI1631" i="13" s="1"/>
  <c r="CF1623" i="13"/>
  <c r="CI1623" i="13" s="1"/>
  <c r="CF1615" i="13"/>
  <c r="CI1615" i="13" s="1"/>
  <c r="CF1607" i="13"/>
  <c r="CI1607" i="13" s="1"/>
  <c r="CF1599" i="13"/>
  <c r="CI1599" i="13" s="1"/>
  <c r="CJ1671" i="13"/>
  <c r="CJ1663" i="13"/>
  <c r="CM1663" i="13" s="1"/>
  <c r="CJ1655" i="13"/>
  <c r="CM1655" i="13" s="1"/>
  <c r="CJ1647" i="13"/>
  <c r="CJ1639" i="13"/>
  <c r="CJ1629" i="13"/>
  <c r="CK1671" i="13"/>
  <c r="CK1661" i="13"/>
  <c r="CK1650" i="13"/>
  <c r="CK1639" i="13"/>
  <c r="CK1629" i="13"/>
  <c r="CK1618" i="13"/>
  <c r="CM1618" i="13" s="1"/>
  <c r="CL1666" i="13"/>
  <c r="CL1639" i="13"/>
  <c r="CL1630" i="13"/>
  <c r="CL1619" i="13"/>
  <c r="CN1667" i="13"/>
  <c r="CN1657" i="13"/>
  <c r="CN1646" i="13"/>
  <c r="CN1635" i="13"/>
  <c r="CN1625" i="13"/>
  <c r="CN1614" i="13"/>
  <c r="CO1673" i="13"/>
  <c r="CO1647" i="13"/>
  <c r="CO1637" i="13"/>
  <c r="CO1627" i="13"/>
  <c r="CO1609" i="13"/>
  <c r="CO1599" i="13"/>
  <c r="CO1714" i="13"/>
  <c r="CN1714" i="13"/>
  <c r="CL1714" i="13"/>
  <c r="CK1714" i="13"/>
  <c r="BY1714" i="13"/>
  <c r="CE1714" i="13"/>
  <c r="CH1714" i="13" s="1"/>
  <c r="BK1714" i="13"/>
  <c r="CO1710" i="13"/>
  <c r="CN1710" i="13"/>
  <c r="CL1710" i="13"/>
  <c r="CK1710" i="13"/>
  <c r="CE1710" i="13"/>
  <c r="CH1710" i="13" s="1"/>
  <c r="BY1710" i="13"/>
  <c r="CF1710" i="13"/>
  <c r="CI1710" i="13" s="1"/>
  <c r="CD1710" i="13"/>
  <c r="CG1710" i="13" s="1"/>
  <c r="BZ1710" i="13"/>
  <c r="CO1706" i="13"/>
  <c r="CN1706" i="13"/>
  <c r="CL1706" i="13"/>
  <c r="CK1706" i="13"/>
  <c r="CE1706" i="13"/>
  <c r="CH1706" i="13" s="1"/>
  <c r="BY1706" i="13"/>
  <c r="CJ1706" i="13"/>
  <c r="CF1706" i="13"/>
  <c r="CI1706" i="13" s="1"/>
  <c r="CO1702" i="13"/>
  <c r="CN1702" i="13"/>
  <c r="CL1702" i="13"/>
  <c r="CK1702" i="13"/>
  <c r="CE1702" i="13"/>
  <c r="CH1702" i="13" s="1"/>
  <c r="CJ1702" i="13"/>
  <c r="BY1702" i="13"/>
  <c r="CF1702" i="13"/>
  <c r="CI1702" i="13" s="1"/>
  <c r="CD1702" i="13"/>
  <c r="CG1702" i="13" s="1"/>
  <c r="BZ1702" i="13"/>
  <c r="CO1698" i="13"/>
  <c r="CE1698" i="13"/>
  <c r="CH1698" i="13" s="1"/>
  <c r="BY1698" i="13"/>
  <c r="BK1698" i="13"/>
  <c r="CO1694" i="13"/>
  <c r="CE1694" i="13"/>
  <c r="CH1694" i="13" s="1"/>
  <c r="CD1694" i="13"/>
  <c r="CG1694" i="13" s="1"/>
  <c r="CO1690" i="13"/>
  <c r="CE1690" i="13"/>
  <c r="CH1690" i="13" s="1"/>
  <c r="BY1690" i="13"/>
  <c r="CF1690" i="13"/>
  <c r="CI1690" i="13" s="1"/>
  <c r="CD1690" i="13"/>
  <c r="CG1690" i="13" s="1"/>
  <c r="CO1686" i="13"/>
  <c r="CE1686" i="13"/>
  <c r="CH1686" i="13" s="1"/>
  <c r="BY1686" i="13"/>
  <c r="CF1686" i="13"/>
  <c r="CI1686" i="13" s="1"/>
  <c r="BK1686" i="13"/>
  <c r="CO1682" i="13"/>
  <c r="CE1682" i="13"/>
  <c r="CH1682" i="13" s="1"/>
  <c r="BY1682" i="13"/>
  <c r="CD1682" i="13"/>
  <c r="CG1682" i="13" s="1"/>
  <c r="CO1678" i="13"/>
  <c r="CE1678" i="13"/>
  <c r="CH1678" i="13" s="1"/>
  <c r="CD1678" i="13"/>
  <c r="CG1678" i="13" s="1"/>
  <c r="CF1678" i="13"/>
  <c r="CI1678" i="13" s="1"/>
  <c r="BY1678" i="13"/>
  <c r="BK1706" i="13"/>
  <c r="BV1695" i="13"/>
  <c r="BX1695" i="13" s="1"/>
  <c r="BY1695" i="13" s="1"/>
  <c r="BV1687" i="13"/>
  <c r="BX1687" i="13" s="1"/>
  <c r="BY1687" i="13" s="1"/>
  <c r="CJ1714" i="13"/>
  <c r="CK1716" i="13"/>
  <c r="CJ1716" i="13"/>
  <c r="CF1716" i="13"/>
  <c r="CI1716" i="13" s="1"/>
  <c r="CO1716" i="13"/>
  <c r="BZ1716" i="13"/>
  <c r="CL1716" i="13"/>
  <c r="CK1712" i="13"/>
  <c r="CJ1712" i="13"/>
  <c r="CF1712" i="13"/>
  <c r="CI1712" i="13" s="1"/>
  <c r="CO1712" i="13"/>
  <c r="CN1712" i="13"/>
  <c r="CE1712" i="13"/>
  <c r="CH1712" i="13" s="1"/>
  <c r="BZ1712" i="13"/>
  <c r="CK1708" i="13"/>
  <c r="CJ1708" i="13"/>
  <c r="CF1708" i="13"/>
  <c r="CI1708" i="13" s="1"/>
  <c r="CO1708" i="13"/>
  <c r="BZ1708" i="13"/>
  <c r="CN1708" i="13"/>
  <c r="CK1704" i="13"/>
  <c r="CJ1704" i="13"/>
  <c r="CF1704" i="13"/>
  <c r="CI1704" i="13" s="1"/>
  <c r="CO1704" i="13"/>
  <c r="CL1704" i="13"/>
  <c r="CE1704" i="13"/>
  <c r="CH1704" i="13" s="1"/>
  <c r="BZ1704" i="13"/>
  <c r="CD1704" i="13"/>
  <c r="CG1704" i="13" s="1"/>
  <c r="BY1704" i="13"/>
  <c r="CF1700" i="13"/>
  <c r="CI1700" i="13" s="1"/>
  <c r="CO1700" i="13"/>
  <c r="BZ1700" i="13"/>
  <c r="CF1696" i="13"/>
  <c r="CI1696" i="13" s="1"/>
  <c r="CO1696" i="13"/>
  <c r="CE1696" i="13"/>
  <c r="CH1696" i="13" s="1"/>
  <c r="CF1692" i="13"/>
  <c r="CI1692" i="13" s="1"/>
  <c r="CO1692" i="13"/>
  <c r="CE1692" i="13"/>
  <c r="CH1692" i="13" s="1"/>
  <c r="CF1688" i="13"/>
  <c r="CI1688" i="13" s="1"/>
  <c r="CO1688" i="13"/>
  <c r="CE1688" i="13"/>
  <c r="CH1688" i="13" s="1"/>
  <c r="CD1688" i="13"/>
  <c r="CG1688" i="13" s="1"/>
  <c r="CF1684" i="13"/>
  <c r="CI1684" i="13" s="1"/>
  <c r="CO1684" i="13"/>
  <c r="CF1680" i="13"/>
  <c r="CI1680" i="13" s="1"/>
  <c r="CO1680" i="13"/>
  <c r="CE1680" i="13"/>
  <c r="CH1680" i="13" s="1"/>
  <c r="BK1680" i="13"/>
  <c r="BY1716" i="13"/>
  <c r="BY1708" i="13"/>
  <c r="BY1680" i="13"/>
  <c r="CD1696" i="13"/>
  <c r="CG1696" i="13" s="1"/>
  <c r="CE1708" i="13"/>
  <c r="CH1708" i="13" s="1"/>
  <c r="CL1708" i="13"/>
  <c r="CN1704" i="13"/>
  <c r="BZ1676" i="13"/>
  <c r="CN1676" i="13"/>
  <c r="CK1676" i="13"/>
  <c r="CM1676" i="13" s="1"/>
  <c r="BZ1672" i="13"/>
  <c r="CN1672" i="13"/>
  <c r="CK1672" i="13"/>
  <c r="BZ1668" i="13"/>
  <c r="CN1668" i="13"/>
  <c r="CK1668" i="13"/>
  <c r="BZ1664" i="13"/>
  <c r="CN1664" i="13"/>
  <c r="CK1664" i="13"/>
  <c r="CM1664" i="13" s="1"/>
  <c r="BZ1660" i="13"/>
  <c r="CN1660" i="13"/>
  <c r="CK1660" i="13"/>
  <c r="CM1660" i="13" s="1"/>
  <c r="BZ1656" i="13"/>
  <c r="CN1656" i="13"/>
  <c r="CK1656" i="13"/>
  <c r="BZ1652" i="13"/>
  <c r="CN1652" i="13"/>
  <c r="CK1652" i="13"/>
  <c r="BZ1648" i="13"/>
  <c r="CN1648" i="13"/>
  <c r="CK1648" i="13"/>
  <c r="BZ1644" i="13"/>
  <c r="CN1644" i="13"/>
  <c r="CK1644" i="13"/>
  <c r="BZ1640" i="13"/>
  <c r="CN1640" i="13"/>
  <c r="CK1640" i="13"/>
  <c r="CM1640" i="13" s="1"/>
  <c r="BZ1636" i="13"/>
  <c r="CN1636" i="13"/>
  <c r="CK1636" i="13"/>
  <c r="BZ1632" i="13"/>
  <c r="CN1632" i="13"/>
  <c r="CK1632" i="13"/>
  <c r="BZ1628" i="13"/>
  <c r="CN1628" i="13"/>
  <c r="CK1628" i="13"/>
  <c r="BZ1624" i="13"/>
  <c r="CN1624" i="13"/>
  <c r="CK1624" i="13"/>
  <c r="BZ1620" i="13"/>
  <c r="CN1620" i="13"/>
  <c r="CK1620" i="13"/>
  <c r="CM1620" i="13" s="1"/>
  <c r="BZ1616" i="13"/>
  <c r="CN1616" i="13"/>
  <c r="CK1616" i="13"/>
  <c r="BZ1612" i="13"/>
  <c r="CN1612" i="13"/>
  <c r="CK1612" i="13"/>
  <c r="CM1612" i="13" s="1"/>
  <c r="BY1604" i="13"/>
  <c r="CJ1632" i="13"/>
  <c r="CJ1616" i="13"/>
  <c r="CL1668" i="13"/>
  <c r="CL1652" i="13"/>
  <c r="CL1636" i="13"/>
  <c r="CL1620" i="13"/>
  <c r="CO1676" i="13"/>
  <c r="CO1660" i="13"/>
  <c r="CO1644" i="13"/>
  <c r="CO1628" i="13"/>
  <c r="CO1612" i="13"/>
  <c r="CO1596" i="13"/>
  <c r="BK1716" i="13"/>
  <c r="BK1712" i="13"/>
  <c r="BK1708" i="13"/>
  <c r="BK1704" i="13"/>
  <c r="BK1700" i="13"/>
  <c r="BK1696" i="13"/>
  <c r="BK1692" i="13"/>
  <c r="BK1688" i="13"/>
  <c r="CJ1715" i="13"/>
  <c r="CO1715" i="13"/>
  <c r="CN1715" i="13"/>
  <c r="CL1715" i="13"/>
  <c r="CD1715" i="13"/>
  <c r="CG1715" i="13" s="1"/>
  <c r="BZ1715" i="13"/>
  <c r="BY1715" i="13"/>
  <c r="CJ1711" i="13"/>
  <c r="CO1711" i="13"/>
  <c r="CN1711" i="13"/>
  <c r="CL1711" i="13"/>
  <c r="CF1711" i="13"/>
  <c r="CI1711" i="13" s="1"/>
  <c r="CJ1707" i="13"/>
  <c r="CO1707" i="13"/>
  <c r="CN1707" i="13"/>
  <c r="CL1707" i="13"/>
  <c r="CJ1703" i="13"/>
  <c r="CO1703" i="13"/>
  <c r="CN1703" i="13"/>
  <c r="CL1703" i="13"/>
  <c r="CK1703" i="13"/>
  <c r="CF1703" i="13"/>
  <c r="CI1703" i="13" s="1"/>
  <c r="CE1703" i="13"/>
  <c r="CH1703" i="13" s="1"/>
  <c r="CF1699" i="13"/>
  <c r="CI1699" i="13" s="1"/>
  <c r="CD1699" i="13"/>
  <c r="CG1699" i="13" s="1"/>
  <c r="BY1699" i="13"/>
  <c r="CO1695" i="13"/>
  <c r="CF1695" i="13"/>
  <c r="CI1695" i="13" s="1"/>
  <c r="CO1687" i="13"/>
  <c r="CF1687" i="13"/>
  <c r="CI1687" i="13" s="1"/>
  <c r="CO1683" i="13"/>
  <c r="CE1683" i="13"/>
  <c r="CH1683" i="13" s="1"/>
  <c r="CD1683" i="13"/>
  <c r="CG1683" i="13" s="1"/>
  <c r="BY1683" i="13"/>
  <c r="CO1679" i="13"/>
  <c r="CF1679" i="13"/>
  <c r="CI1679" i="13" s="1"/>
  <c r="BV1701" i="13"/>
  <c r="BX1701" i="13" s="1"/>
  <c r="BU1701" i="13"/>
  <c r="BV1685" i="13"/>
  <c r="BX1685" i="13" s="1"/>
  <c r="BY1685" i="13" s="1"/>
  <c r="BU1685" i="13"/>
  <c r="BU1705" i="13"/>
  <c r="BY1707" i="13"/>
  <c r="BY1700" i="13"/>
  <c r="CD1716" i="13"/>
  <c r="CG1716" i="13" s="1"/>
  <c r="CD1708" i="13"/>
  <c r="CG1708" i="13" s="1"/>
  <c r="CD1695" i="13"/>
  <c r="CG1695" i="13" s="1"/>
  <c r="CD1687" i="13"/>
  <c r="CG1687" i="13" s="1"/>
  <c r="CE1716" i="13"/>
  <c r="CH1716" i="13" s="1"/>
  <c r="CE1707" i="13"/>
  <c r="CH1707" i="13" s="1"/>
  <c r="CE1691" i="13"/>
  <c r="CH1691" i="13" s="1"/>
  <c r="CF1715" i="13"/>
  <c r="CI1715" i="13" s="1"/>
  <c r="CK1711" i="13"/>
  <c r="CN1713" i="13"/>
  <c r="CL1713" i="13"/>
  <c r="CK1713" i="13"/>
  <c r="CE1713" i="13"/>
  <c r="CH1713" i="13" s="1"/>
  <c r="CJ1713" i="13"/>
  <c r="CF1713" i="13"/>
  <c r="CI1713" i="13" s="1"/>
  <c r="CO1713" i="13"/>
  <c r="CD1713" i="13"/>
  <c r="CG1713" i="13" s="1"/>
  <c r="CN1709" i="13"/>
  <c r="CL1709" i="13"/>
  <c r="CK1709" i="13"/>
  <c r="CE1709" i="13"/>
  <c r="CH1709" i="13" s="1"/>
  <c r="CJ1709" i="13"/>
  <c r="CF1709" i="13"/>
  <c r="CI1709" i="13" s="1"/>
  <c r="CD1709" i="13"/>
  <c r="CG1709" i="13" s="1"/>
  <c r="CN1705" i="13"/>
  <c r="CL1705" i="13"/>
  <c r="CK1705" i="13"/>
  <c r="CE1705" i="13"/>
  <c r="CH1705" i="13" s="1"/>
  <c r="CJ1705" i="13"/>
  <c r="CF1705" i="13"/>
  <c r="CI1705" i="13" s="1"/>
  <c r="CD1705" i="13"/>
  <c r="CG1705" i="13" s="1"/>
  <c r="CN1701" i="13"/>
  <c r="CL1701" i="13"/>
  <c r="CK1701" i="13"/>
  <c r="CE1701" i="13"/>
  <c r="CH1701" i="13" s="1"/>
  <c r="CJ1701" i="13"/>
  <c r="CF1701" i="13"/>
  <c r="CI1701" i="13" s="1"/>
  <c r="CD1701" i="13"/>
  <c r="CG1701" i="13" s="1"/>
  <c r="CE1697" i="13"/>
  <c r="CH1697" i="13" s="1"/>
  <c r="CF1697" i="13"/>
  <c r="CI1697" i="13" s="1"/>
  <c r="CO1697" i="13"/>
  <c r="CD1697" i="13"/>
  <c r="CG1697" i="13" s="1"/>
  <c r="CE1693" i="13"/>
  <c r="CH1693" i="13" s="1"/>
  <c r="CF1693" i="13"/>
  <c r="CI1693" i="13" s="1"/>
  <c r="CD1693" i="13"/>
  <c r="CG1693" i="13" s="1"/>
  <c r="CE1689" i="13"/>
  <c r="CH1689" i="13" s="1"/>
  <c r="CF1689" i="13"/>
  <c r="CI1689" i="13" s="1"/>
  <c r="CD1689" i="13"/>
  <c r="CG1689" i="13" s="1"/>
  <c r="CE1685" i="13"/>
  <c r="CH1685" i="13" s="1"/>
  <c r="CF1685" i="13"/>
  <c r="CI1685" i="13" s="1"/>
  <c r="CD1685" i="13"/>
  <c r="CG1685" i="13" s="1"/>
  <c r="CE1681" i="13"/>
  <c r="CH1681" i="13" s="1"/>
  <c r="CF1681" i="13"/>
  <c r="CI1681" i="13" s="1"/>
  <c r="CO1681" i="13"/>
  <c r="CD1681" i="13"/>
  <c r="CG1681" i="13" s="1"/>
  <c r="BV1704" i="13"/>
  <c r="BX1704" i="13" s="1"/>
  <c r="BV1688" i="13"/>
  <c r="BX1688" i="13" s="1"/>
  <c r="BY1688" i="13" s="1"/>
  <c r="BY1709" i="13"/>
  <c r="BY1693" i="13"/>
  <c r="BZ1705" i="13"/>
  <c r="CO1705" i="13"/>
  <c r="CO1685" i="13"/>
  <c r="BY1602" i="13"/>
  <c r="BK1672" i="13"/>
  <c r="BK1664" i="13"/>
  <c r="BK1656" i="13"/>
  <c r="BK1648" i="13"/>
  <c r="BK1640" i="13"/>
  <c r="BK1632" i="13"/>
  <c r="BK1624" i="13"/>
  <c r="BK1616" i="13"/>
  <c r="BK1608" i="13"/>
  <c r="BK1600" i="13"/>
  <c r="BV1657" i="13"/>
  <c r="BX1657" i="13" s="1"/>
  <c r="BK1671" i="13"/>
  <c r="BK1663" i="13"/>
  <c r="BK1655" i="13"/>
  <c r="BK1647" i="13"/>
  <c r="BK1639" i="13"/>
  <c r="BK1631" i="13"/>
  <c r="BK1623" i="13"/>
  <c r="BK1615" i="13"/>
  <c r="BK1607" i="13"/>
  <c r="BK1599" i="13"/>
  <c r="BV1649" i="13"/>
  <c r="BX1649" i="13" s="1"/>
  <c r="BY1677" i="13"/>
  <c r="BY1669" i="13"/>
  <c r="BK1674" i="13"/>
  <c r="BK1650" i="13"/>
  <c r="BK1642" i="13"/>
  <c r="BK1634" i="13"/>
  <c r="BK1626" i="13"/>
  <c r="BK1618" i="13"/>
  <c r="BK1610" i="13"/>
  <c r="BZ1670" i="13"/>
  <c r="BY1603" i="13"/>
  <c r="BZ1662" i="13"/>
  <c r="BK1670" i="13"/>
  <c r="BK1662" i="13"/>
  <c r="BK1654" i="13"/>
  <c r="BK1646" i="13"/>
  <c r="BK1638" i="13"/>
  <c r="BK1630" i="13"/>
  <c r="BK1622" i="13"/>
  <c r="BK1614" i="13"/>
  <c r="BK1606" i="13"/>
  <c r="BK1598" i="13"/>
  <c r="BY1605" i="13"/>
  <c r="BU1623" i="13"/>
  <c r="BV1641" i="13"/>
  <c r="BX1641" i="13" s="1"/>
  <c r="BY1653" i="13"/>
  <c r="BZ1654" i="13"/>
  <c r="BK1669" i="13"/>
  <c r="BK1653" i="13"/>
  <c r="BK1645" i="13"/>
  <c r="BK1637" i="13"/>
  <c r="BK1621" i="13"/>
  <c r="BK1613" i="13"/>
  <c r="BK1605" i="13"/>
  <c r="BK1597" i="13"/>
  <c r="BY1607" i="13"/>
  <c r="BY1599" i="13"/>
  <c r="BY1596" i="13"/>
  <c r="BU1615" i="13"/>
  <c r="BV1633" i="13"/>
  <c r="BX1633" i="13" s="1"/>
  <c r="BY1645" i="13"/>
  <c r="BZ1646" i="13"/>
  <c r="BK1666" i="13"/>
  <c r="BK1676" i="13"/>
  <c r="BK1668" i="13"/>
  <c r="BK1660" i="13"/>
  <c r="BK1652" i="13"/>
  <c r="BK1644" i="13"/>
  <c r="BK1636" i="13"/>
  <c r="BK1628" i="13"/>
  <c r="BK1620" i="13"/>
  <c r="BK1612" i="13"/>
  <c r="BK1604" i="13"/>
  <c r="BK1596" i="13"/>
  <c r="BU1671" i="13"/>
  <c r="BU1607" i="13"/>
  <c r="BV1625" i="13"/>
  <c r="BX1625" i="13" s="1"/>
  <c r="BY1637" i="13"/>
  <c r="BZ1638" i="13"/>
  <c r="BU1639" i="13"/>
  <c r="BK1675" i="13"/>
  <c r="BK1667" i="13"/>
  <c r="BK1659" i="13"/>
  <c r="BK1651" i="13"/>
  <c r="BK1635" i="13"/>
  <c r="BK1627" i="13"/>
  <c r="BK1619" i="13"/>
  <c r="BK1611" i="13"/>
  <c r="BU1663" i="13"/>
  <c r="BU1599" i="13"/>
  <c r="BV1617" i="13"/>
  <c r="BX1617" i="13" s="1"/>
  <c r="BY1629" i="13"/>
  <c r="BZ1630" i="13"/>
  <c r="BU1631" i="13"/>
  <c r="BU1655" i="13"/>
  <c r="BV1673" i="13"/>
  <c r="BX1673" i="13" s="1"/>
  <c r="BV1609" i="13"/>
  <c r="BX1609" i="13" s="1"/>
  <c r="BY1621" i="13"/>
  <c r="BZ1622" i="13"/>
  <c r="BK1602" i="13"/>
  <c r="BK1658" i="13"/>
  <c r="BK1673" i="13"/>
  <c r="BK1665" i="13"/>
  <c r="BK1657" i="13"/>
  <c r="BK1649" i="13"/>
  <c r="BK1641" i="13"/>
  <c r="BK1633" i="13"/>
  <c r="BK1625" i="13"/>
  <c r="BK1617" i="13"/>
  <c r="BK1609" i="13"/>
  <c r="BK1601" i="13"/>
  <c r="BU1647" i="13"/>
  <c r="BV1665" i="13"/>
  <c r="BX1665" i="13" s="1"/>
  <c r="BV1601" i="13"/>
  <c r="BX1601" i="13" s="1"/>
  <c r="BY1601" i="13" s="1"/>
  <c r="BY1613" i="13"/>
  <c r="BZ1614" i="13"/>
  <c r="BY1661" i="13"/>
  <c r="BK1629" i="13"/>
  <c r="BK1643" i="13"/>
  <c r="BK1661" i="13"/>
  <c r="BK1677" i="13"/>
  <c r="BY1606" i="13"/>
  <c r="BY1598" i="13"/>
  <c r="BY1597" i="13"/>
  <c r="BU1670" i="13"/>
  <c r="BU1662" i="13"/>
  <c r="BU1654" i="13"/>
  <c r="BU1646" i="13"/>
  <c r="BU1638" i="13"/>
  <c r="BU1630" i="13"/>
  <c r="BU1622" i="13"/>
  <c r="BU1614" i="13"/>
  <c r="BU1606" i="13"/>
  <c r="BU1598" i="13"/>
  <c r="BV1672" i="13"/>
  <c r="BX1672" i="13" s="1"/>
  <c r="BV1664" i="13"/>
  <c r="BX1664" i="13" s="1"/>
  <c r="BV1656" i="13"/>
  <c r="BX1656" i="13" s="1"/>
  <c r="BV1648" i="13"/>
  <c r="BX1648" i="13" s="1"/>
  <c r="BV1640" i="13"/>
  <c r="BX1640" i="13" s="1"/>
  <c r="BV1632" i="13"/>
  <c r="BX1632" i="13" s="1"/>
  <c r="BV1624" i="13"/>
  <c r="BX1624" i="13" s="1"/>
  <c r="BV1616" i="13"/>
  <c r="BX1616" i="13" s="1"/>
  <c r="BV1608" i="13"/>
  <c r="BX1608" i="13" s="1"/>
  <c r="BY1608" i="13" s="1"/>
  <c r="BV1600" i="13"/>
  <c r="BX1600" i="13" s="1"/>
  <c r="BY1600" i="13" s="1"/>
  <c r="BY1676" i="13"/>
  <c r="BY1668" i="13"/>
  <c r="BY1660" i="13"/>
  <c r="BY1652" i="13"/>
  <c r="BY1644" i="13"/>
  <c r="BY1636" i="13"/>
  <c r="BY1628" i="13"/>
  <c r="BY1620" i="13"/>
  <c r="BY1612" i="13"/>
  <c r="BU1677" i="13"/>
  <c r="BU1669" i="13"/>
  <c r="BU1661" i="13"/>
  <c r="BU1653" i="13"/>
  <c r="BU1645" i="13"/>
  <c r="BU1637" i="13"/>
  <c r="BU1629" i="13"/>
  <c r="BU1621" i="13"/>
  <c r="BU1613" i="13"/>
  <c r="BU1605" i="13"/>
  <c r="BU1597" i="13"/>
  <c r="BY1675" i="13"/>
  <c r="BY1667" i="13"/>
  <c r="BY1659" i="13"/>
  <c r="BY1651" i="13"/>
  <c r="BY1643" i="13"/>
  <c r="BY1635" i="13"/>
  <c r="BY1627" i="13"/>
  <c r="BY1619" i="13"/>
  <c r="BY1611" i="13"/>
  <c r="BA5" i="13"/>
  <c r="BE5" i="13" s="1"/>
  <c r="BU1676" i="13"/>
  <c r="BU1668" i="13"/>
  <c r="BU1660" i="13"/>
  <c r="BU1652" i="13"/>
  <c r="BU1644" i="13"/>
  <c r="BU1636" i="13"/>
  <c r="BU1628" i="13"/>
  <c r="BU1620" i="13"/>
  <c r="BU1612" i="13"/>
  <c r="BU1604" i="13"/>
  <c r="BU1596" i="13"/>
  <c r="BY1674" i="13"/>
  <c r="BY1666" i="13"/>
  <c r="BY1658" i="13"/>
  <c r="BY1650" i="13"/>
  <c r="BY1642" i="13"/>
  <c r="BY1634" i="13"/>
  <c r="BY1626" i="13"/>
  <c r="BY1618" i="13"/>
  <c r="BY1610" i="13"/>
  <c r="BU1675" i="13"/>
  <c r="BU1667" i="13"/>
  <c r="BU1659" i="13"/>
  <c r="BU1651" i="13"/>
  <c r="BU1643" i="13"/>
  <c r="BU1635" i="13"/>
  <c r="BU1627" i="13"/>
  <c r="BU1619" i="13"/>
  <c r="BU1611" i="13"/>
  <c r="BU1603" i="13"/>
  <c r="BY1673" i="13"/>
  <c r="BY1665" i="13"/>
  <c r="BY1657" i="13"/>
  <c r="BY1649" i="13"/>
  <c r="BY1641" i="13"/>
  <c r="BY1633" i="13"/>
  <c r="BY1625" i="13"/>
  <c r="BY1617" i="13"/>
  <c r="BY1609" i="13"/>
  <c r="BD5" i="13"/>
  <c r="BU1674" i="13"/>
  <c r="BU1666" i="13"/>
  <c r="BU1658" i="13"/>
  <c r="BU1650" i="13"/>
  <c r="BU1642" i="13"/>
  <c r="BU1634" i="13"/>
  <c r="BU1626" i="13"/>
  <c r="BU1618" i="13"/>
  <c r="BU1610" i="13"/>
  <c r="BU1602" i="13"/>
  <c r="BY1672" i="13"/>
  <c r="BY1664" i="13"/>
  <c r="BY1656" i="13"/>
  <c r="BY1648" i="13"/>
  <c r="BY1640" i="13"/>
  <c r="BY1632" i="13"/>
  <c r="BY1624" i="13"/>
  <c r="BY1616" i="13"/>
  <c r="BY1671" i="13"/>
  <c r="BY1663" i="13"/>
  <c r="BY1655" i="13"/>
  <c r="BY1647" i="13"/>
  <c r="BY1639" i="13"/>
  <c r="BY1631" i="13"/>
  <c r="BY1623" i="13"/>
  <c r="BY1615" i="13"/>
  <c r="BE177" i="13"/>
  <c r="BA152" i="13"/>
  <c r="BE152" i="13" s="1"/>
  <c r="BC177" i="13"/>
  <c r="BB177" i="13"/>
  <c r="BD177" i="13"/>
  <c r="BA33" i="13"/>
  <c r="BE33" i="13" s="1"/>
  <c r="BA168" i="13"/>
  <c r="BE168" i="13" s="1"/>
  <c r="AZ47" i="13"/>
  <c r="AZ158" i="13"/>
  <c r="AZ166" i="13"/>
  <c r="AZ174" i="13"/>
  <c r="BA174" i="13" s="1"/>
  <c r="BD174" i="13" s="1"/>
  <c r="AZ148" i="13"/>
  <c r="AZ156" i="13"/>
  <c r="AZ164" i="13"/>
  <c r="AZ172" i="13"/>
  <c r="AZ19" i="13"/>
  <c r="AZ154" i="13"/>
  <c r="BA154" i="13" s="1"/>
  <c r="AZ170" i="13"/>
  <c r="AZ26" i="13"/>
  <c r="AZ145" i="13"/>
  <c r="BA145" i="13" s="1"/>
  <c r="BA162" i="13"/>
  <c r="BB162" i="13" s="1"/>
  <c r="BA40" i="13"/>
  <c r="BC40" i="13" s="1"/>
  <c r="BA143" i="13"/>
  <c r="BB143" i="13" s="1"/>
  <c r="AZ150" i="13"/>
  <c r="BA150" i="13" s="1"/>
  <c r="BB150" i="13" s="1"/>
  <c r="BA12" i="13"/>
  <c r="BC12" i="13" s="1"/>
  <c r="CM1654" i="13" l="1"/>
  <c r="CM1656" i="13"/>
  <c r="CM1672" i="13"/>
  <c r="CM1628" i="13"/>
  <c r="CM1644" i="13"/>
  <c r="CM1710" i="13"/>
  <c r="CM1629" i="13"/>
  <c r="CM1707" i="13"/>
  <c r="CM1715" i="13"/>
  <c r="CM1632" i="13"/>
  <c r="CM1652" i="13"/>
  <c r="CM1647" i="13"/>
  <c r="CM1616" i="13"/>
  <c r="CM1624" i="13"/>
  <c r="CM1712" i="13"/>
  <c r="CM1714" i="13"/>
  <c r="BZ1678" i="13"/>
  <c r="BZ1679" i="13" s="1"/>
  <c r="BZ1680" i="13" s="1"/>
  <c r="BZ1681" i="13" s="1"/>
  <c r="BZ1682" i="13" s="1"/>
  <c r="BZ1683" i="13" s="1"/>
  <c r="BZ1684" i="13" s="1"/>
  <c r="BZ1685" i="13" s="1"/>
  <c r="BZ1686" i="13" s="1"/>
  <c r="BZ1687" i="13" s="1"/>
  <c r="BZ1688" i="13" s="1"/>
  <c r="BZ1689" i="13" s="1"/>
  <c r="BZ1690" i="13" s="1"/>
  <c r="BZ1691" i="13" s="1"/>
  <c r="BZ1692" i="13" s="1"/>
  <c r="BZ1693" i="13" s="1"/>
  <c r="BZ1694" i="13" s="1"/>
  <c r="BZ1695" i="13" s="1"/>
  <c r="BZ1696" i="13" s="1"/>
  <c r="BZ1697" i="13" s="1"/>
  <c r="BZ1698" i="13" s="1"/>
  <c r="BZ1699" i="13" s="1"/>
  <c r="CM1636" i="13"/>
  <c r="CM1668" i="13"/>
  <c r="CM1621" i="13"/>
  <c r="CM1637" i="13"/>
  <c r="CM1669" i="13"/>
  <c r="CM1701" i="13"/>
  <c r="CM1648" i="13"/>
  <c r="CM1706" i="13"/>
  <c r="CM1611" i="13"/>
  <c r="CM1627" i="13"/>
  <c r="CM1708" i="13"/>
  <c r="CM1639" i="13"/>
  <c r="CM1671" i="13"/>
  <c r="CM1649" i="13"/>
  <c r="CM1665" i="13"/>
  <c r="CM1651" i="13"/>
  <c r="CM1662" i="13"/>
  <c r="CM1613" i="13"/>
  <c r="CM1645" i="13"/>
  <c r="CM1615" i="13"/>
  <c r="CM1619" i="13"/>
  <c r="CM1631" i="13"/>
  <c r="CM1635" i="13"/>
  <c r="CM1709" i="13"/>
  <c r="CM1713" i="13"/>
  <c r="CM1703" i="13"/>
  <c r="CM1716" i="13"/>
  <c r="CM1659" i="13"/>
  <c r="CM1622" i="13"/>
  <c r="CM1666" i="13"/>
  <c r="CM1670" i="13"/>
  <c r="CM1630" i="13"/>
  <c r="CM1617" i="13"/>
  <c r="CM1633" i="13"/>
  <c r="CM1641" i="13"/>
  <c r="CM1653" i="13"/>
  <c r="CM1674" i="13"/>
  <c r="CM1623" i="13"/>
  <c r="CM1705" i="13"/>
  <c r="CM1711" i="13"/>
  <c r="CM1704" i="13"/>
  <c r="CM1702" i="13"/>
  <c r="CM1634" i="13"/>
  <c r="CM1667" i="13"/>
  <c r="CM1610" i="13"/>
  <c r="CM1626" i="13"/>
  <c r="CM1642" i="13"/>
  <c r="CM1661" i="13"/>
  <c r="CM1650" i="13"/>
  <c r="BB5" i="13"/>
  <c r="BE40" i="13"/>
  <c r="BD168" i="13"/>
  <c r="BD143" i="13"/>
  <c r="BD33" i="13"/>
  <c r="BB12" i="13"/>
  <c r="BC5" i="13"/>
  <c r="BA166" i="13"/>
  <c r="BB166" i="13" s="1"/>
  <c r="BB168" i="13"/>
  <c r="BB174" i="13"/>
  <c r="BA158" i="13"/>
  <c r="BB158" i="13" s="1"/>
  <c r="BC168" i="13"/>
  <c r="BE145" i="13"/>
  <c r="BA47" i="13"/>
  <c r="BD47" i="13" s="1"/>
  <c r="BB154" i="13"/>
  <c r="BC174" i="13"/>
  <c r="BA172" i="13"/>
  <c r="BD172" i="13" s="1"/>
  <c r="BA148" i="13"/>
  <c r="BC148" i="13" s="1"/>
  <c r="BB40" i="13"/>
  <c r="BE143" i="13"/>
  <c r="BD150" i="13"/>
  <c r="BE150" i="13"/>
  <c r="BC150" i="13"/>
  <c r="BC143" i="13"/>
  <c r="BE162" i="13"/>
  <c r="BB33" i="13"/>
  <c r="BE174" i="13"/>
  <c r="BA164" i="13"/>
  <c r="BB164" i="13" s="1"/>
  <c r="BC33" i="13"/>
  <c r="BA170" i="13"/>
  <c r="BC170" i="13" s="1"/>
  <c r="BD145" i="13"/>
  <c r="BC145" i="13"/>
  <c r="BB145" i="13"/>
  <c r="BD154" i="13"/>
  <c r="BC154" i="13"/>
  <c r="BD40" i="13"/>
  <c r="BE154" i="13"/>
  <c r="BB152" i="13"/>
  <c r="BA156" i="13"/>
  <c r="BE156" i="13" s="1"/>
  <c r="BC152" i="13"/>
  <c r="BD12" i="13"/>
  <c r="BE12" i="13"/>
  <c r="BC162" i="13"/>
  <c r="BD162" i="13"/>
  <c r="BA19" i="13"/>
  <c r="BB19" i="13" s="1"/>
  <c r="BD152" i="13"/>
  <c r="BA26" i="13"/>
  <c r="BE26" i="13" s="1"/>
  <c r="BE166" i="13" l="1"/>
  <c r="BC166" i="13"/>
  <c r="BC47" i="13"/>
  <c r="BD166" i="13"/>
  <c r="BD164" i="13"/>
  <c r="BB148" i="13"/>
  <c r="BB26" i="13"/>
  <c r="BD26" i="13"/>
  <c r="BC158" i="13"/>
  <c r="BE47" i="13"/>
  <c r="BD158" i="13"/>
  <c r="BB47" i="13"/>
  <c r="BD148" i="13"/>
  <c r="BE158" i="13"/>
  <c r="BD170" i="13"/>
  <c r="BE172" i="13"/>
  <c r="BB156" i="13"/>
  <c r="BC156" i="13"/>
  <c r="BD19" i="13"/>
  <c r="BE170" i="13"/>
  <c r="BC26" i="13"/>
  <c r="BC164" i="13"/>
  <c r="BE19" i="13"/>
  <c r="BB172" i="13"/>
  <c r="BC172" i="13"/>
  <c r="BC19" i="13"/>
  <c r="BD156" i="13"/>
  <c r="BE164" i="13"/>
  <c r="BB170" i="13"/>
  <c r="BE148" i="13"/>
  <c r="A9" i="20" l="1"/>
  <c r="A10" i="20"/>
  <c r="A11" i="20"/>
  <c r="A12" i="20"/>
  <c r="A13" i="20"/>
  <c r="A14" i="20"/>
  <c r="A15" i="20"/>
  <c r="A16" i="20"/>
  <c r="A17" i="20"/>
  <c r="A18" i="20"/>
  <c r="A19" i="20"/>
  <c r="A20" i="20"/>
  <c r="A21" i="20"/>
  <c r="A22" i="20"/>
  <c r="A23" i="20"/>
  <c r="A24" i="20"/>
  <c r="A25" i="20"/>
  <c r="A8" i="20"/>
  <c r="J25" i="20" l="1"/>
  <c r="S25" i="20"/>
  <c r="S24" i="20"/>
  <c r="O24" i="20"/>
  <c r="N24" i="20"/>
  <c r="K24" i="20"/>
  <c r="J24" i="20"/>
  <c r="S23" i="20"/>
  <c r="O23" i="20"/>
  <c r="L23" i="20"/>
  <c r="K23" i="20"/>
  <c r="N22" i="20"/>
  <c r="L22" i="20"/>
  <c r="S22" i="20"/>
  <c r="J21" i="20"/>
  <c r="S21" i="20"/>
  <c r="S20" i="20"/>
  <c r="O20" i="20"/>
  <c r="N20" i="20"/>
  <c r="K20" i="20"/>
  <c r="J20" i="20"/>
  <c r="S19" i="20"/>
  <c r="O19" i="20"/>
  <c r="L19" i="20"/>
  <c r="K19" i="20"/>
  <c r="N18" i="20"/>
  <c r="L18" i="20"/>
  <c r="S18" i="20"/>
  <c r="J17" i="20"/>
  <c r="S17" i="20"/>
  <c r="S16" i="20"/>
  <c r="O16" i="20"/>
  <c r="N16" i="20"/>
  <c r="K16" i="20"/>
  <c r="J16" i="20"/>
  <c r="S15" i="20"/>
  <c r="O15" i="20"/>
  <c r="L15" i="20"/>
  <c r="K15" i="20"/>
  <c r="N14" i="20"/>
  <c r="L14" i="20"/>
  <c r="S14" i="20"/>
  <c r="J13" i="20"/>
  <c r="S13" i="20"/>
  <c r="S12" i="20"/>
  <c r="O12" i="20"/>
  <c r="N12" i="20"/>
  <c r="K12" i="20"/>
  <c r="J12" i="20"/>
  <c r="S11" i="20"/>
  <c r="O11" i="20"/>
  <c r="L11" i="20"/>
  <c r="K11" i="20"/>
  <c r="N10" i="20"/>
  <c r="L10" i="20"/>
  <c r="S10" i="20"/>
  <c r="J9" i="20"/>
  <c r="S9" i="20"/>
  <c r="S8" i="20"/>
  <c r="O8" i="20"/>
  <c r="N8" i="20"/>
  <c r="K8" i="20"/>
  <c r="J8" i="20"/>
  <c r="L25" i="20"/>
  <c r="L8" i="20" l="1"/>
  <c r="I8" i="20" s="1"/>
  <c r="M8" i="20" s="1"/>
  <c r="P8" i="20" s="1"/>
  <c r="Q8" i="20" s="1"/>
  <c r="R8" i="20" s="1"/>
  <c r="T8" i="20" s="1"/>
  <c r="K9" i="20"/>
  <c r="O9" i="20"/>
  <c r="J10" i="20"/>
  <c r="L12" i="20"/>
  <c r="I12" i="20" s="1"/>
  <c r="M12" i="20" s="1"/>
  <c r="P12" i="20" s="1"/>
  <c r="Q12" i="20" s="1"/>
  <c r="R12" i="20" s="1"/>
  <c r="T12" i="20" s="1"/>
  <c r="K13" i="20"/>
  <c r="O13" i="20"/>
  <c r="J14" i="20"/>
  <c r="L16" i="20"/>
  <c r="I16" i="20" s="1"/>
  <c r="M16" i="20" s="1"/>
  <c r="P16" i="20" s="1"/>
  <c r="Q16" i="20" s="1"/>
  <c r="R16" i="20" s="1"/>
  <c r="T16" i="20" s="1"/>
  <c r="K17" i="20"/>
  <c r="O17" i="20"/>
  <c r="J18" i="20"/>
  <c r="L20" i="20"/>
  <c r="I20" i="20" s="1"/>
  <c r="M20" i="20" s="1"/>
  <c r="P20" i="20" s="1"/>
  <c r="Q20" i="20" s="1"/>
  <c r="R20" i="20" s="1"/>
  <c r="T20" i="20" s="1"/>
  <c r="K21" i="20"/>
  <c r="O21" i="20"/>
  <c r="J22" i="20"/>
  <c r="L24" i="20"/>
  <c r="I24" i="20" s="1"/>
  <c r="M24" i="20" s="1"/>
  <c r="P24" i="20" s="1"/>
  <c r="Q24" i="20" s="1"/>
  <c r="R24" i="20" s="1"/>
  <c r="T24" i="20" s="1"/>
  <c r="K25" i="20"/>
  <c r="I25" i="20" s="1"/>
  <c r="O25" i="20"/>
  <c r="L9" i="20"/>
  <c r="K10" i="20"/>
  <c r="O10" i="20"/>
  <c r="J11" i="20"/>
  <c r="I11" i="20" s="1"/>
  <c r="L13" i="20"/>
  <c r="K14" i="20"/>
  <c r="O14" i="20"/>
  <c r="J15" i="20"/>
  <c r="I15" i="20" s="1"/>
  <c r="L17" i="20"/>
  <c r="K18" i="20"/>
  <c r="O18" i="20"/>
  <c r="J19" i="20"/>
  <c r="I19" i="20" s="1"/>
  <c r="L21" i="20"/>
  <c r="K22" i="20"/>
  <c r="O22" i="20"/>
  <c r="J23" i="20"/>
  <c r="I23" i="20" s="1"/>
  <c r="D84" i="8"/>
  <c r="N19" i="20" l="1"/>
  <c r="M19" i="20"/>
  <c r="P19" i="20" s="1"/>
  <c r="Q19" i="20" s="1"/>
  <c r="R19" i="20" s="1"/>
  <c r="T19" i="20" s="1"/>
  <c r="N25" i="20"/>
  <c r="M25" i="20"/>
  <c r="P25" i="20" s="1"/>
  <c r="Q25" i="20" s="1"/>
  <c r="R25" i="20" s="1"/>
  <c r="T25" i="20" s="1"/>
  <c r="I21" i="20"/>
  <c r="I17" i="20"/>
  <c r="I13" i="20"/>
  <c r="I9" i="20"/>
  <c r="N15" i="20"/>
  <c r="M15" i="20"/>
  <c r="P15" i="20" s="1"/>
  <c r="Q15" i="20" s="1"/>
  <c r="R15" i="20" s="1"/>
  <c r="T15" i="20" s="1"/>
  <c r="N23" i="20"/>
  <c r="M23" i="20"/>
  <c r="P23" i="20" s="1"/>
  <c r="Q23" i="20" s="1"/>
  <c r="R23" i="20" s="1"/>
  <c r="T23" i="20" s="1"/>
  <c r="N11" i="20"/>
  <c r="M11" i="20"/>
  <c r="P11" i="20" s="1"/>
  <c r="Q11" i="20" s="1"/>
  <c r="R11" i="20" s="1"/>
  <c r="T11" i="20" s="1"/>
  <c r="I22" i="20"/>
  <c r="M22" i="20" s="1"/>
  <c r="P22" i="20" s="1"/>
  <c r="Q22" i="20" s="1"/>
  <c r="R22" i="20" s="1"/>
  <c r="T22" i="20" s="1"/>
  <c r="I18" i="20"/>
  <c r="M18" i="20" s="1"/>
  <c r="P18" i="20" s="1"/>
  <c r="Q18" i="20" s="1"/>
  <c r="R18" i="20" s="1"/>
  <c r="T18" i="20" s="1"/>
  <c r="I14" i="20"/>
  <c r="M14" i="20" s="1"/>
  <c r="P14" i="20" s="1"/>
  <c r="Q14" i="20" s="1"/>
  <c r="R14" i="20" s="1"/>
  <c r="T14" i="20" s="1"/>
  <c r="I10" i="20"/>
  <c r="M10" i="20" s="1"/>
  <c r="P10" i="20" s="1"/>
  <c r="Q10" i="20" s="1"/>
  <c r="R10" i="20" s="1"/>
  <c r="T10" i="20" s="1"/>
  <c r="D85" i="8"/>
  <c r="D28" i="8"/>
  <c r="G24" i="7" a="1"/>
  <c r="G24" i="7" s="1"/>
  <c r="G25" i="7" a="1"/>
  <c r="G25" i="7" s="1"/>
  <c r="BT1306" i="13"/>
  <c r="BV1306" i="13" s="1"/>
  <c r="BX1306" i="13" s="1"/>
  <c r="BT1307" i="13"/>
  <c r="BV1307" i="13" s="1"/>
  <c r="BX1307" i="13" s="1"/>
  <c r="BT1308" i="13"/>
  <c r="BT1309" i="13"/>
  <c r="BV1309" i="13" s="1"/>
  <c r="BX1309" i="13" s="1"/>
  <c r="BT1310" i="13"/>
  <c r="BV1310" i="13" s="1"/>
  <c r="BX1310" i="13" s="1"/>
  <c r="BT1311" i="13"/>
  <c r="BV1311" i="13" s="1"/>
  <c r="BX1311" i="13" s="1"/>
  <c r="BT1312" i="13"/>
  <c r="BV1312" i="13" s="1"/>
  <c r="BX1312" i="13" s="1"/>
  <c r="BT1313" i="13"/>
  <c r="BV1313" i="13" s="1"/>
  <c r="BX1313" i="13" s="1"/>
  <c r="BT1314" i="13"/>
  <c r="BV1314" i="13" s="1"/>
  <c r="BX1314" i="13" s="1"/>
  <c r="BT1315" i="13"/>
  <c r="BV1315" i="13" s="1"/>
  <c r="BX1315" i="13" s="1"/>
  <c r="BT1316" i="13"/>
  <c r="BT1317" i="13"/>
  <c r="BV1317" i="13" s="1"/>
  <c r="BX1317" i="13" s="1"/>
  <c r="BT1318" i="13"/>
  <c r="BV1318" i="13" s="1"/>
  <c r="BX1318" i="13" s="1"/>
  <c r="BT1319" i="13"/>
  <c r="BV1319" i="13" s="1"/>
  <c r="BX1319" i="13" s="1"/>
  <c r="BT1320" i="13"/>
  <c r="BV1320" i="13" s="1"/>
  <c r="BX1320" i="13" s="1"/>
  <c r="BT1321" i="13"/>
  <c r="BV1321" i="13" s="1"/>
  <c r="BX1321" i="13" s="1"/>
  <c r="BT1322" i="13"/>
  <c r="BV1322" i="13" s="1"/>
  <c r="BX1322" i="13" s="1"/>
  <c r="BT1323" i="13"/>
  <c r="BV1323" i="13" s="1"/>
  <c r="BX1323" i="13" s="1"/>
  <c r="BT1324" i="13"/>
  <c r="BT1325" i="13"/>
  <c r="BV1325" i="13" s="1"/>
  <c r="BX1325" i="13" s="1"/>
  <c r="BT1326" i="13"/>
  <c r="BV1326" i="13" s="1"/>
  <c r="BX1326" i="13" s="1"/>
  <c r="BT1327" i="13"/>
  <c r="BV1327" i="13" s="1"/>
  <c r="BX1327" i="13" s="1"/>
  <c r="BT1328" i="13"/>
  <c r="BV1328" i="13" s="1"/>
  <c r="BX1328" i="13" s="1"/>
  <c r="BT1329" i="13"/>
  <c r="BV1329" i="13" s="1"/>
  <c r="BX1329" i="13" s="1"/>
  <c r="BT1330" i="13"/>
  <c r="BV1330" i="13" s="1"/>
  <c r="BX1330" i="13" s="1"/>
  <c r="BT1331" i="13"/>
  <c r="BV1331" i="13" s="1"/>
  <c r="BX1331" i="13" s="1"/>
  <c r="BT1332" i="13"/>
  <c r="BT1333" i="13"/>
  <c r="BV1333" i="13" s="1"/>
  <c r="BX1333" i="13" s="1"/>
  <c r="BT1334" i="13"/>
  <c r="BV1334" i="13" s="1"/>
  <c r="BX1334" i="13" s="1"/>
  <c r="BT1335" i="13"/>
  <c r="BV1335" i="13" s="1"/>
  <c r="BX1335" i="13" s="1"/>
  <c r="BT1336" i="13"/>
  <c r="BV1336" i="13" s="1"/>
  <c r="BX1336" i="13" s="1"/>
  <c r="BT1337" i="13"/>
  <c r="BV1337" i="13" s="1"/>
  <c r="BX1337" i="13" s="1"/>
  <c r="BT1338" i="13"/>
  <c r="BV1338" i="13" s="1"/>
  <c r="BX1338" i="13" s="1"/>
  <c r="BT1339" i="13"/>
  <c r="BV1339" i="13" s="1"/>
  <c r="BX1339" i="13" s="1"/>
  <c r="BT1340" i="13"/>
  <c r="BT1341" i="13"/>
  <c r="BV1341" i="13" s="1"/>
  <c r="BX1341" i="13" s="1"/>
  <c r="BT1342" i="13"/>
  <c r="BV1342" i="13" s="1"/>
  <c r="BX1342" i="13" s="1"/>
  <c r="BT1343" i="13"/>
  <c r="BV1343" i="13" s="1"/>
  <c r="BX1343" i="13" s="1"/>
  <c r="BT1344" i="13"/>
  <c r="BV1344" i="13" s="1"/>
  <c r="BX1344" i="13" s="1"/>
  <c r="BT1345" i="13"/>
  <c r="BV1345" i="13" s="1"/>
  <c r="BX1345" i="13" s="1"/>
  <c r="BT1346" i="13"/>
  <c r="BV1346" i="13" s="1"/>
  <c r="BX1346" i="13" s="1"/>
  <c r="BT1347" i="13"/>
  <c r="BV1347" i="13" s="1"/>
  <c r="BX1347" i="13" s="1"/>
  <c r="BT1348" i="13"/>
  <c r="BT1349" i="13"/>
  <c r="BV1349" i="13" s="1"/>
  <c r="BX1349" i="13" s="1"/>
  <c r="BT1350" i="13"/>
  <c r="BV1350" i="13" s="1"/>
  <c r="BX1350" i="13" s="1"/>
  <c r="BT1351" i="13"/>
  <c r="BV1351" i="13" s="1"/>
  <c r="BX1351" i="13" s="1"/>
  <c r="BT1352" i="13"/>
  <c r="BV1352" i="13" s="1"/>
  <c r="BX1352" i="13" s="1"/>
  <c r="BT1353" i="13"/>
  <c r="BV1353" i="13" s="1"/>
  <c r="BX1353" i="13" s="1"/>
  <c r="BT1354" i="13"/>
  <c r="BV1354" i="13" s="1"/>
  <c r="BX1354" i="13" s="1"/>
  <c r="BT1355" i="13"/>
  <c r="BV1355" i="13" s="1"/>
  <c r="BX1355" i="13" s="1"/>
  <c r="BT1356" i="13"/>
  <c r="BT1357" i="13"/>
  <c r="BV1357" i="13" s="1"/>
  <c r="BX1357" i="13" s="1"/>
  <c r="BT1358" i="13"/>
  <c r="BV1358" i="13" s="1"/>
  <c r="BX1358" i="13" s="1"/>
  <c r="BT1359" i="13"/>
  <c r="BV1359" i="13" s="1"/>
  <c r="BX1359" i="13" s="1"/>
  <c r="BT1360" i="13"/>
  <c r="BV1360" i="13" s="1"/>
  <c r="BX1360" i="13" s="1"/>
  <c r="BT1361" i="13"/>
  <c r="BV1361" i="13" s="1"/>
  <c r="BX1361" i="13" s="1"/>
  <c r="BT1362" i="13"/>
  <c r="BV1362" i="13" s="1"/>
  <c r="BX1362" i="13" s="1"/>
  <c r="BT1363" i="13"/>
  <c r="BV1363" i="13" s="1"/>
  <c r="BX1363" i="13" s="1"/>
  <c r="BT1364" i="13"/>
  <c r="BT1365" i="13"/>
  <c r="BV1365" i="13" s="1"/>
  <c r="BX1365" i="13" s="1"/>
  <c r="BT1366" i="13"/>
  <c r="BV1366" i="13" s="1"/>
  <c r="BX1366" i="13" s="1"/>
  <c r="BT1367" i="13"/>
  <c r="BV1367" i="13" s="1"/>
  <c r="BX1367" i="13" s="1"/>
  <c r="BT1368" i="13"/>
  <c r="BV1368" i="13" s="1"/>
  <c r="BX1368" i="13" s="1"/>
  <c r="BT1369" i="13"/>
  <c r="BV1369" i="13" s="1"/>
  <c r="BX1369" i="13" s="1"/>
  <c r="BT1370" i="13"/>
  <c r="BV1370" i="13" s="1"/>
  <c r="BX1370" i="13" s="1"/>
  <c r="BT1371" i="13"/>
  <c r="BV1371" i="13" s="1"/>
  <c r="BX1371" i="13" s="1"/>
  <c r="BT1372" i="13"/>
  <c r="BT1373" i="13"/>
  <c r="BV1373" i="13" s="1"/>
  <c r="BX1373" i="13" s="1"/>
  <c r="BT1374" i="13"/>
  <c r="BV1374" i="13" s="1"/>
  <c r="BX1374" i="13" s="1"/>
  <c r="BT1375" i="13"/>
  <c r="BV1375" i="13" s="1"/>
  <c r="BX1375" i="13" s="1"/>
  <c r="BT1376" i="13"/>
  <c r="BV1376" i="13" s="1"/>
  <c r="BX1376" i="13" s="1"/>
  <c r="BT1377" i="13"/>
  <c r="BV1377" i="13" s="1"/>
  <c r="BX1377" i="13" s="1"/>
  <c r="BT1378" i="13"/>
  <c r="BV1378" i="13" s="1"/>
  <c r="BX1378" i="13" s="1"/>
  <c r="BT1379" i="13"/>
  <c r="BV1379" i="13" s="1"/>
  <c r="BX1379" i="13" s="1"/>
  <c r="BT1380" i="13"/>
  <c r="BV1380" i="13" s="1"/>
  <c r="BX1380" i="13" s="1"/>
  <c r="BT1381" i="13"/>
  <c r="BV1381" i="13" s="1"/>
  <c r="BX1381" i="13" s="1"/>
  <c r="BT1382" i="13"/>
  <c r="BV1382" i="13" s="1"/>
  <c r="BX1382" i="13" s="1"/>
  <c r="BT1383" i="13"/>
  <c r="BV1383" i="13" s="1"/>
  <c r="BX1383" i="13" s="1"/>
  <c r="BT1384" i="13"/>
  <c r="BV1384" i="13" s="1"/>
  <c r="BX1384" i="13" s="1"/>
  <c r="BT1385" i="13"/>
  <c r="BV1385" i="13" s="1"/>
  <c r="BX1385" i="13" s="1"/>
  <c r="BT1386" i="13"/>
  <c r="BV1386" i="13" s="1"/>
  <c r="BX1386" i="13" s="1"/>
  <c r="BT1387" i="13"/>
  <c r="BV1387" i="13" s="1"/>
  <c r="BX1387" i="13" s="1"/>
  <c r="BT1388" i="13"/>
  <c r="BV1388" i="13" s="1"/>
  <c r="BX1388" i="13" s="1"/>
  <c r="BT1389" i="13"/>
  <c r="BV1389" i="13" s="1"/>
  <c r="BX1389" i="13" s="1"/>
  <c r="BT1390" i="13"/>
  <c r="BV1390" i="13" s="1"/>
  <c r="BX1390" i="13" s="1"/>
  <c r="BT1391" i="13"/>
  <c r="BV1391" i="13" s="1"/>
  <c r="BX1391" i="13" s="1"/>
  <c r="BT1392" i="13"/>
  <c r="BV1392" i="13" s="1"/>
  <c r="BX1392" i="13" s="1"/>
  <c r="BT1393" i="13"/>
  <c r="BV1393" i="13" s="1"/>
  <c r="BX1393" i="13" s="1"/>
  <c r="BT1394" i="13"/>
  <c r="BV1394" i="13" s="1"/>
  <c r="BX1394" i="13" s="1"/>
  <c r="BT1395" i="13"/>
  <c r="BV1395" i="13" s="1"/>
  <c r="BX1395" i="13" s="1"/>
  <c r="BT1396" i="13"/>
  <c r="BV1396" i="13" s="1"/>
  <c r="BX1396" i="13" s="1"/>
  <c r="BT1397" i="13"/>
  <c r="BV1397" i="13" s="1"/>
  <c r="BX1397" i="13" s="1"/>
  <c r="BT1398" i="13"/>
  <c r="BV1398" i="13" s="1"/>
  <c r="BX1398" i="13" s="1"/>
  <c r="BT1399" i="13"/>
  <c r="BV1399" i="13" s="1"/>
  <c r="BX1399" i="13" s="1"/>
  <c r="BT1400" i="13"/>
  <c r="BV1400" i="13" s="1"/>
  <c r="BX1400" i="13" s="1"/>
  <c r="BT1401" i="13"/>
  <c r="BV1401" i="13" s="1"/>
  <c r="BX1401" i="13" s="1"/>
  <c r="BT1402" i="13"/>
  <c r="BV1402" i="13" s="1"/>
  <c r="BX1402" i="13" s="1"/>
  <c r="BT1403" i="13"/>
  <c r="BV1403" i="13" s="1"/>
  <c r="BX1403" i="13" s="1"/>
  <c r="BT1404" i="13"/>
  <c r="BV1404" i="13" s="1"/>
  <c r="BX1404" i="13" s="1"/>
  <c r="BT1405" i="13"/>
  <c r="BV1405" i="13" s="1"/>
  <c r="BX1405" i="13" s="1"/>
  <c r="BT1406" i="13"/>
  <c r="BV1406" i="13" s="1"/>
  <c r="BX1406" i="13" s="1"/>
  <c r="BT1407" i="13"/>
  <c r="BV1407" i="13" s="1"/>
  <c r="BX1407" i="13" s="1"/>
  <c r="BT1408" i="13"/>
  <c r="BV1408" i="13" s="1"/>
  <c r="BX1408" i="13" s="1"/>
  <c r="BT1409" i="13"/>
  <c r="BV1409" i="13" s="1"/>
  <c r="BX1409" i="13" s="1"/>
  <c r="BT1410" i="13"/>
  <c r="BV1410" i="13" s="1"/>
  <c r="BX1410" i="13" s="1"/>
  <c r="BT1411" i="13"/>
  <c r="BV1411" i="13" s="1"/>
  <c r="BX1411" i="13" s="1"/>
  <c r="BT1412" i="13"/>
  <c r="BV1412" i="13" s="1"/>
  <c r="BX1412" i="13" s="1"/>
  <c r="BT1413" i="13"/>
  <c r="BV1413" i="13" s="1"/>
  <c r="BX1413" i="13" s="1"/>
  <c r="BT1414" i="13"/>
  <c r="BV1414" i="13" s="1"/>
  <c r="BX1414" i="13" s="1"/>
  <c r="BT1415" i="13"/>
  <c r="BV1415" i="13" s="1"/>
  <c r="BX1415" i="13" s="1"/>
  <c r="BT1416" i="13"/>
  <c r="BV1416" i="13" s="1"/>
  <c r="BX1416" i="13" s="1"/>
  <c r="BT1417" i="13"/>
  <c r="BV1417" i="13" s="1"/>
  <c r="BX1417" i="13" s="1"/>
  <c r="BT1418" i="13"/>
  <c r="BV1418" i="13" s="1"/>
  <c r="BX1418" i="13" s="1"/>
  <c r="BT1419" i="13"/>
  <c r="BV1419" i="13" s="1"/>
  <c r="BX1419" i="13" s="1"/>
  <c r="BT1420" i="13"/>
  <c r="BV1420" i="13" s="1"/>
  <c r="BX1420" i="13" s="1"/>
  <c r="BT1421" i="13"/>
  <c r="BV1421" i="13" s="1"/>
  <c r="BX1421" i="13" s="1"/>
  <c r="BT1422" i="13"/>
  <c r="BV1422" i="13" s="1"/>
  <c r="BX1422" i="13" s="1"/>
  <c r="BT1423" i="13"/>
  <c r="BV1423" i="13" s="1"/>
  <c r="BX1423" i="13" s="1"/>
  <c r="BT1424" i="13"/>
  <c r="BV1424" i="13" s="1"/>
  <c r="BX1424" i="13" s="1"/>
  <c r="BT1425" i="13"/>
  <c r="BV1425" i="13" s="1"/>
  <c r="BX1425" i="13" s="1"/>
  <c r="BT1426" i="13"/>
  <c r="BV1426" i="13" s="1"/>
  <c r="BX1426" i="13" s="1"/>
  <c r="BT1427" i="13"/>
  <c r="BV1427" i="13" s="1"/>
  <c r="BX1427" i="13" s="1"/>
  <c r="BT1428" i="13"/>
  <c r="BV1428" i="13" s="1"/>
  <c r="BX1428" i="13" s="1"/>
  <c r="BT1429" i="13"/>
  <c r="BV1429" i="13" s="1"/>
  <c r="BX1429" i="13" s="1"/>
  <c r="BT1430" i="13"/>
  <c r="BV1430" i="13" s="1"/>
  <c r="BX1430" i="13" s="1"/>
  <c r="BT1431" i="13"/>
  <c r="BV1431" i="13" s="1"/>
  <c r="BX1431" i="13" s="1"/>
  <c r="BT1432" i="13"/>
  <c r="BV1432" i="13" s="1"/>
  <c r="BX1432" i="13" s="1"/>
  <c r="BT1433" i="13"/>
  <c r="BV1433" i="13" s="1"/>
  <c r="BX1433" i="13" s="1"/>
  <c r="BT1434" i="13"/>
  <c r="BV1434" i="13" s="1"/>
  <c r="BX1434" i="13" s="1"/>
  <c r="BT1435" i="13"/>
  <c r="BV1435" i="13" s="1"/>
  <c r="BX1435" i="13" s="1"/>
  <c r="BT1436" i="13"/>
  <c r="BV1436" i="13" s="1"/>
  <c r="BX1436" i="13" s="1"/>
  <c r="BT1437" i="13"/>
  <c r="BV1437" i="13" s="1"/>
  <c r="BX1437" i="13" s="1"/>
  <c r="BT1438" i="13"/>
  <c r="BV1438" i="13" s="1"/>
  <c r="BX1438" i="13" s="1"/>
  <c r="BT1439" i="13"/>
  <c r="BV1439" i="13" s="1"/>
  <c r="BX1439" i="13" s="1"/>
  <c r="BT1440" i="13"/>
  <c r="BV1440" i="13" s="1"/>
  <c r="BX1440" i="13" s="1"/>
  <c r="BT1441" i="13"/>
  <c r="BV1441" i="13" s="1"/>
  <c r="BX1441" i="13" s="1"/>
  <c r="BT1442" i="13"/>
  <c r="BV1442" i="13" s="1"/>
  <c r="BX1442" i="13" s="1"/>
  <c r="BT1443" i="13"/>
  <c r="BV1443" i="13" s="1"/>
  <c r="BX1443" i="13" s="1"/>
  <c r="BT1444" i="13"/>
  <c r="BV1444" i="13" s="1"/>
  <c r="BX1444" i="13" s="1"/>
  <c r="BT1445" i="13"/>
  <c r="BV1445" i="13" s="1"/>
  <c r="BX1445" i="13" s="1"/>
  <c r="BT1446" i="13"/>
  <c r="BV1446" i="13" s="1"/>
  <c r="BX1446" i="13" s="1"/>
  <c r="BT1447" i="13"/>
  <c r="BV1447" i="13" s="1"/>
  <c r="BX1447" i="13" s="1"/>
  <c r="BT1448" i="13"/>
  <c r="BV1448" i="13" s="1"/>
  <c r="BX1448" i="13" s="1"/>
  <c r="BT1449" i="13"/>
  <c r="BV1449" i="13" s="1"/>
  <c r="BX1449" i="13" s="1"/>
  <c r="BT1450" i="13"/>
  <c r="BV1450" i="13" s="1"/>
  <c r="BX1450" i="13" s="1"/>
  <c r="BT1451" i="13"/>
  <c r="BV1451" i="13" s="1"/>
  <c r="BX1451" i="13" s="1"/>
  <c r="BT1452" i="13"/>
  <c r="BV1452" i="13" s="1"/>
  <c r="BX1452" i="13" s="1"/>
  <c r="BT1453" i="13"/>
  <c r="BV1453" i="13" s="1"/>
  <c r="BX1453" i="13" s="1"/>
  <c r="BT1454" i="13"/>
  <c r="BV1454" i="13" s="1"/>
  <c r="BX1454" i="13" s="1"/>
  <c r="BT1455" i="13"/>
  <c r="BV1455" i="13" s="1"/>
  <c r="BX1455" i="13" s="1"/>
  <c r="BT1456" i="13"/>
  <c r="BV1456" i="13" s="1"/>
  <c r="BX1456" i="13" s="1"/>
  <c r="BT1457" i="13"/>
  <c r="BV1457" i="13" s="1"/>
  <c r="BX1457" i="13" s="1"/>
  <c r="BT1458" i="13"/>
  <c r="BV1458" i="13" s="1"/>
  <c r="BX1458" i="13" s="1"/>
  <c r="BT1459" i="13"/>
  <c r="BV1459" i="13" s="1"/>
  <c r="BX1459" i="13" s="1"/>
  <c r="BT1460" i="13"/>
  <c r="BV1460" i="13" s="1"/>
  <c r="BX1460" i="13" s="1"/>
  <c r="BT1461" i="13"/>
  <c r="BV1461" i="13" s="1"/>
  <c r="BX1461" i="13" s="1"/>
  <c r="BT1462" i="13"/>
  <c r="BV1462" i="13" s="1"/>
  <c r="BX1462" i="13" s="1"/>
  <c r="BT1463" i="13"/>
  <c r="BV1463" i="13" s="1"/>
  <c r="BX1463" i="13" s="1"/>
  <c r="BT1464" i="13"/>
  <c r="BV1464" i="13" s="1"/>
  <c r="BX1464" i="13" s="1"/>
  <c r="BT1465" i="13"/>
  <c r="BV1465" i="13" s="1"/>
  <c r="BX1465" i="13" s="1"/>
  <c r="BT1466" i="13"/>
  <c r="BV1466" i="13" s="1"/>
  <c r="BX1466" i="13" s="1"/>
  <c r="BT1467" i="13"/>
  <c r="BV1467" i="13" s="1"/>
  <c r="BX1467" i="13" s="1"/>
  <c r="BT1468" i="13"/>
  <c r="BV1468" i="13" s="1"/>
  <c r="BX1468" i="13" s="1"/>
  <c r="BT1469" i="13"/>
  <c r="BV1469" i="13" s="1"/>
  <c r="BX1469" i="13" s="1"/>
  <c r="BT1470" i="13"/>
  <c r="BV1470" i="13" s="1"/>
  <c r="BX1470" i="13" s="1"/>
  <c r="BT1471" i="13"/>
  <c r="BV1471" i="13" s="1"/>
  <c r="BX1471" i="13" s="1"/>
  <c r="BT1472" i="13"/>
  <c r="BV1472" i="13" s="1"/>
  <c r="BX1472" i="13" s="1"/>
  <c r="BT1473" i="13"/>
  <c r="BV1473" i="13" s="1"/>
  <c r="BX1473" i="13" s="1"/>
  <c r="BT1474" i="13"/>
  <c r="BV1474" i="13" s="1"/>
  <c r="BX1474" i="13" s="1"/>
  <c r="BT1475" i="13"/>
  <c r="BV1475" i="13" s="1"/>
  <c r="BX1475" i="13" s="1"/>
  <c r="BT1476" i="13"/>
  <c r="BV1476" i="13" s="1"/>
  <c r="BX1476" i="13" s="1"/>
  <c r="BT1477" i="13"/>
  <c r="BV1477" i="13" s="1"/>
  <c r="BX1477" i="13" s="1"/>
  <c r="BT1478" i="13"/>
  <c r="BV1478" i="13" s="1"/>
  <c r="BX1478" i="13" s="1"/>
  <c r="BT1479" i="13"/>
  <c r="BV1479" i="13" s="1"/>
  <c r="BX1479" i="13" s="1"/>
  <c r="BT1480" i="13"/>
  <c r="BV1480" i="13" s="1"/>
  <c r="BX1480" i="13" s="1"/>
  <c r="BT1481" i="13"/>
  <c r="BV1481" i="13" s="1"/>
  <c r="BX1481" i="13" s="1"/>
  <c r="BT1482" i="13"/>
  <c r="BV1482" i="13" s="1"/>
  <c r="BX1482" i="13" s="1"/>
  <c r="BT1483" i="13"/>
  <c r="BV1483" i="13" s="1"/>
  <c r="BX1483" i="13" s="1"/>
  <c r="BT1484" i="13"/>
  <c r="BV1484" i="13" s="1"/>
  <c r="BX1484" i="13" s="1"/>
  <c r="BT1485" i="13"/>
  <c r="BV1485" i="13" s="1"/>
  <c r="BX1485" i="13" s="1"/>
  <c r="BT1486" i="13"/>
  <c r="BV1486" i="13" s="1"/>
  <c r="BX1486" i="13" s="1"/>
  <c r="BT1487" i="13"/>
  <c r="BV1487" i="13" s="1"/>
  <c r="BX1487" i="13" s="1"/>
  <c r="BT1488" i="13"/>
  <c r="BV1488" i="13" s="1"/>
  <c r="BX1488" i="13" s="1"/>
  <c r="BT1489" i="13"/>
  <c r="BV1489" i="13" s="1"/>
  <c r="BX1489" i="13" s="1"/>
  <c r="BT1490" i="13"/>
  <c r="BV1490" i="13" s="1"/>
  <c r="BX1490" i="13" s="1"/>
  <c r="BT1491" i="13"/>
  <c r="BV1491" i="13" s="1"/>
  <c r="BX1491" i="13" s="1"/>
  <c r="BT1492" i="13"/>
  <c r="BV1492" i="13" s="1"/>
  <c r="BX1492" i="13" s="1"/>
  <c r="BT1493" i="13"/>
  <c r="BV1493" i="13" s="1"/>
  <c r="BX1493" i="13" s="1"/>
  <c r="BT1494" i="13"/>
  <c r="BV1494" i="13" s="1"/>
  <c r="BX1494" i="13" s="1"/>
  <c r="BT1495" i="13"/>
  <c r="BV1495" i="13" s="1"/>
  <c r="BX1495" i="13" s="1"/>
  <c r="BT1496" i="13"/>
  <c r="BV1496" i="13" s="1"/>
  <c r="BX1496" i="13" s="1"/>
  <c r="BT1497" i="13"/>
  <c r="BV1497" i="13" s="1"/>
  <c r="BX1497" i="13" s="1"/>
  <c r="BT1498" i="13"/>
  <c r="BV1498" i="13" s="1"/>
  <c r="BX1498" i="13" s="1"/>
  <c r="BT1499" i="13"/>
  <c r="BV1499" i="13" s="1"/>
  <c r="BX1499" i="13" s="1"/>
  <c r="BT1500" i="13"/>
  <c r="BV1500" i="13" s="1"/>
  <c r="BX1500" i="13" s="1"/>
  <c r="BT1501" i="13"/>
  <c r="BV1501" i="13" s="1"/>
  <c r="BX1501" i="13" s="1"/>
  <c r="BT1502" i="13"/>
  <c r="BV1502" i="13" s="1"/>
  <c r="BX1502" i="13" s="1"/>
  <c r="BT1503" i="13"/>
  <c r="BV1503" i="13" s="1"/>
  <c r="BX1503" i="13" s="1"/>
  <c r="BT1504" i="13"/>
  <c r="BV1504" i="13" s="1"/>
  <c r="BX1504" i="13" s="1"/>
  <c r="BT1505" i="13"/>
  <c r="BV1505" i="13" s="1"/>
  <c r="BX1505" i="13" s="1"/>
  <c r="BT1506" i="13"/>
  <c r="BV1506" i="13" s="1"/>
  <c r="BX1506" i="13" s="1"/>
  <c r="BT1507" i="13"/>
  <c r="BV1507" i="13" s="1"/>
  <c r="BX1507" i="13" s="1"/>
  <c r="BT1508" i="13"/>
  <c r="BV1508" i="13" s="1"/>
  <c r="BX1508" i="13" s="1"/>
  <c r="BT1509" i="13"/>
  <c r="BV1509" i="13" s="1"/>
  <c r="BX1509" i="13" s="1"/>
  <c r="BT1510" i="13"/>
  <c r="BV1510" i="13" s="1"/>
  <c r="BX1510" i="13" s="1"/>
  <c r="BT1511" i="13"/>
  <c r="BV1511" i="13" s="1"/>
  <c r="BX1511" i="13" s="1"/>
  <c r="BT1512" i="13"/>
  <c r="BV1512" i="13" s="1"/>
  <c r="BX1512" i="13" s="1"/>
  <c r="BT1513" i="13"/>
  <c r="BV1513" i="13" s="1"/>
  <c r="BX1513" i="13" s="1"/>
  <c r="BT1514" i="13"/>
  <c r="BV1514" i="13" s="1"/>
  <c r="BX1514" i="13" s="1"/>
  <c r="BT1515" i="13"/>
  <c r="BV1515" i="13" s="1"/>
  <c r="BX1515" i="13" s="1"/>
  <c r="BT1516" i="13"/>
  <c r="BV1516" i="13" s="1"/>
  <c r="BX1516" i="13" s="1"/>
  <c r="BT1517" i="13"/>
  <c r="BV1517" i="13" s="1"/>
  <c r="BX1517" i="13" s="1"/>
  <c r="BT1518" i="13"/>
  <c r="BV1518" i="13" s="1"/>
  <c r="BX1518" i="13" s="1"/>
  <c r="BT1519" i="13"/>
  <c r="BV1519" i="13" s="1"/>
  <c r="BX1519" i="13" s="1"/>
  <c r="BT1520" i="13"/>
  <c r="BV1520" i="13" s="1"/>
  <c r="BX1520" i="13" s="1"/>
  <c r="BT1521" i="13"/>
  <c r="BV1521" i="13" s="1"/>
  <c r="BX1521" i="13" s="1"/>
  <c r="BT1522" i="13"/>
  <c r="BV1522" i="13" s="1"/>
  <c r="BX1522" i="13" s="1"/>
  <c r="BT1523" i="13"/>
  <c r="BV1523" i="13" s="1"/>
  <c r="BX1523" i="13" s="1"/>
  <c r="BT1524" i="13"/>
  <c r="BV1524" i="13" s="1"/>
  <c r="BX1524" i="13" s="1"/>
  <c r="BT1525" i="13"/>
  <c r="BV1525" i="13" s="1"/>
  <c r="BX1525" i="13" s="1"/>
  <c r="BT1526" i="13"/>
  <c r="BV1526" i="13" s="1"/>
  <c r="BX1526" i="13" s="1"/>
  <c r="BT1527" i="13"/>
  <c r="BV1527" i="13" s="1"/>
  <c r="BX1527" i="13" s="1"/>
  <c r="BT1528" i="13"/>
  <c r="BV1528" i="13" s="1"/>
  <c r="BX1528" i="13" s="1"/>
  <c r="BT1529" i="13"/>
  <c r="BV1529" i="13" s="1"/>
  <c r="BX1529" i="13" s="1"/>
  <c r="BT1530" i="13"/>
  <c r="BV1530" i="13" s="1"/>
  <c r="BX1530" i="13" s="1"/>
  <c r="BT1531" i="13"/>
  <c r="BV1531" i="13" s="1"/>
  <c r="BX1531" i="13" s="1"/>
  <c r="BT1532" i="13"/>
  <c r="BV1532" i="13" s="1"/>
  <c r="BX1532" i="13" s="1"/>
  <c r="BT1533" i="13"/>
  <c r="BV1533" i="13" s="1"/>
  <c r="BX1533" i="13" s="1"/>
  <c r="BT1534" i="13"/>
  <c r="BV1534" i="13" s="1"/>
  <c r="BX1534" i="13" s="1"/>
  <c r="BT1535" i="13"/>
  <c r="BV1535" i="13" s="1"/>
  <c r="BX1535" i="13" s="1"/>
  <c r="BT1536" i="13"/>
  <c r="BV1536" i="13" s="1"/>
  <c r="BX1536" i="13" s="1"/>
  <c r="BT1537" i="13"/>
  <c r="BV1537" i="13" s="1"/>
  <c r="BX1537" i="13" s="1"/>
  <c r="BT1538" i="13"/>
  <c r="BV1538" i="13" s="1"/>
  <c r="BX1538" i="13" s="1"/>
  <c r="BT1539" i="13"/>
  <c r="BV1539" i="13" s="1"/>
  <c r="BX1539" i="13" s="1"/>
  <c r="BT1540" i="13"/>
  <c r="BV1540" i="13" s="1"/>
  <c r="BX1540" i="13" s="1"/>
  <c r="BT1541" i="13"/>
  <c r="BV1541" i="13" s="1"/>
  <c r="BX1541" i="13" s="1"/>
  <c r="BT1542" i="13"/>
  <c r="BV1542" i="13" s="1"/>
  <c r="BX1542" i="13" s="1"/>
  <c r="BT1543" i="13"/>
  <c r="BV1543" i="13" s="1"/>
  <c r="BX1543" i="13" s="1"/>
  <c r="BT1544" i="13"/>
  <c r="BV1544" i="13" s="1"/>
  <c r="BX1544" i="13" s="1"/>
  <c r="BT1545" i="13"/>
  <c r="BV1545" i="13" s="1"/>
  <c r="BX1545" i="13" s="1"/>
  <c r="BT1546" i="13"/>
  <c r="BV1546" i="13" s="1"/>
  <c r="BX1546" i="13" s="1"/>
  <c r="BT1547" i="13"/>
  <c r="BV1547" i="13" s="1"/>
  <c r="BX1547" i="13" s="1"/>
  <c r="BT1548" i="13"/>
  <c r="BV1548" i="13" s="1"/>
  <c r="BX1548" i="13" s="1"/>
  <c r="BT1549" i="13"/>
  <c r="BV1549" i="13" s="1"/>
  <c r="BX1549" i="13" s="1"/>
  <c r="BT1550" i="13"/>
  <c r="BV1550" i="13" s="1"/>
  <c r="BX1550" i="13" s="1"/>
  <c r="BT1551" i="13"/>
  <c r="BV1551" i="13" s="1"/>
  <c r="BX1551" i="13" s="1"/>
  <c r="BT1552" i="13"/>
  <c r="BV1552" i="13" s="1"/>
  <c r="BX1552" i="13" s="1"/>
  <c r="BT1553" i="13"/>
  <c r="BV1553" i="13" s="1"/>
  <c r="BX1553" i="13" s="1"/>
  <c r="BT1554" i="13"/>
  <c r="BV1554" i="13" s="1"/>
  <c r="BX1554" i="13" s="1"/>
  <c r="BT1555" i="13"/>
  <c r="BV1555" i="13" s="1"/>
  <c r="BX1555" i="13" s="1"/>
  <c r="BT1556" i="13"/>
  <c r="BV1556" i="13" s="1"/>
  <c r="BX1556" i="13" s="1"/>
  <c r="BT1557" i="13"/>
  <c r="BV1557" i="13" s="1"/>
  <c r="BX1557" i="13" s="1"/>
  <c r="BT1558" i="13"/>
  <c r="BV1558" i="13" s="1"/>
  <c r="BX1558" i="13" s="1"/>
  <c r="BT1559" i="13"/>
  <c r="BV1559" i="13" s="1"/>
  <c r="BX1559" i="13" s="1"/>
  <c r="BT1560" i="13"/>
  <c r="BV1560" i="13" s="1"/>
  <c r="BX1560" i="13" s="1"/>
  <c r="BT1561" i="13"/>
  <c r="BV1561" i="13" s="1"/>
  <c r="BX1561" i="13" s="1"/>
  <c r="BT1562" i="13"/>
  <c r="BV1562" i="13" s="1"/>
  <c r="BX1562" i="13" s="1"/>
  <c r="BT1563" i="13"/>
  <c r="BV1563" i="13" s="1"/>
  <c r="BX1563" i="13" s="1"/>
  <c r="BT1564" i="13"/>
  <c r="BV1564" i="13" s="1"/>
  <c r="BX1564" i="13" s="1"/>
  <c r="BT1565" i="13"/>
  <c r="BV1565" i="13" s="1"/>
  <c r="BX1565" i="13" s="1"/>
  <c r="BT1566" i="13"/>
  <c r="BV1566" i="13" s="1"/>
  <c r="BX1566" i="13" s="1"/>
  <c r="BT1567" i="13"/>
  <c r="BV1567" i="13" s="1"/>
  <c r="BX1567" i="13" s="1"/>
  <c r="BT1568" i="13"/>
  <c r="BV1568" i="13" s="1"/>
  <c r="BX1568" i="13" s="1"/>
  <c r="BT1569" i="13"/>
  <c r="BV1569" i="13" s="1"/>
  <c r="BX1569" i="13" s="1"/>
  <c r="BT1570" i="13"/>
  <c r="BV1570" i="13" s="1"/>
  <c r="BX1570" i="13" s="1"/>
  <c r="BT1571" i="13"/>
  <c r="BU1571" i="13" s="1"/>
  <c r="BT1572" i="13"/>
  <c r="BV1572" i="13" s="1"/>
  <c r="BX1572" i="13" s="1"/>
  <c r="BT1573" i="13"/>
  <c r="BU1573" i="13" s="1"/>
  <c r="BT1574" i="13"/>
  <c r="BV1574" i="13" s="1"/>
  <c r="BX1574" i="13" s="1"/>
  <c r="BT1575" i="13"/>
  <c r="BU1575" i="13" s="1"/>
  <c r="BT1576" i="13"/>
  <c r="BU1576" i="13" s="1"/>
  <c r="BT1577" i="13"/>
  <c r="BV1577" i="13" s="1"/>
  <c r="BX1577" i="13" s="1"/>
  <c r="BT1578" i="13"/>
  <c r="BV1578" i="13" s="1"/>
  <c r="BX1578" i="13" s="1"/>
  <c r="BT1579" i="13"/>
  <c r="BU1579" i="13" s="1"/>
  <c r="BT1580" i="13"/>
  <c r="BU1580" i="13" s="1"/>
  <c r="BT1581" i="13"/>
  <c r="BU1581" i="13" s="1"/>
  <c r="BT1582" i="13"/>
  <c r="BV1582" i="13" s="1"/>
  <c r="BX1582" i="13" s="1"/>
  <c r="BT1583" i="13"/>
  <c r="BV1583" i="13" s="1"/>
  <c r="BX1583" i="13" s="1"/>
  <c r="BT1584" i="13"/>
  <c r="BV1584" i="13" s="1"/>
  <c r="BX1584" i="13" s="1"/>
  <c r="BT1585" i="13"/>
  <c r="BV1585" i="13" s="1"/>
  <c r="BX1585" i="13" s="1"/>
  <c r="BT1586" i="13"/>
  <c r="BV1586" i="13" s="1"/>
  <c r="BX1586" i="13" s="1"/>
  <c r="BT1587" i="13"/>
  <c r="BV1587" i="13" s="1"/>
  <c r="BX1587" i="13" s="1"/>
  <c r="BT1588" i="13"/>
  <c r="BV1588" i="13" s="1"/>
  <c r="BX1588" i="13" s="1"/>
  <c r="BT1589" i="13"/>
  <c r="BV1589" i="13" s="1"/>
  <c r="BX1589" i="13" s="1"/>
  <c r="BT1590" i="13"/>
  <c r="BV1590" i="13" s="1"/>
  <c r="BX1590" i="13" s="1"/>
  <c r="BT1591" i="13"/>
  <c r="BV1591" i="13" s="1"/>
  <c r="BX1591" i="13" s="1"/>
  <c r="BT1592" i="13"/>
  <c r="BV1592" i="13" s="1"/>
  <c r="BX1592" i="13" s="1"/>
  <c r="BT1593" i="13"/>
  <c r="BV1593" i="13" s="1"/>
  <c r="BX1593" i="13" s="1"/>
  <c r="BT1594" i="13"/>
  <c r="BV1594" i="13" s="1"/>
  <c r="BX1594" i="13" s="1"/>
  <c r="BT1595" i="13"/>
  <c r="BU1595" i="13" s="1"/>
  <c r="BJ1306" i="13"/>
  <c r="BJ1307" i="13"/>
  <c r="BJ1308" i="13"/>
  <c r="BJ1309" i="13"/>
  <c r="CE1309" i="13" s="1"/>
  <c r="CH1309" i="13" s="1"/>
  <c r="BJ1310" i="13"/>
  <c r="BJ1311" i="13"/>
  <c r="BJ1312" i="13"/>
  <c r="BJ1313" i="13"/>
  <c r="CF1313" i="13" s="1"/>
  <c r="CI1313" i="13" s="1"/>
  <c r="BJ1314" i="13"/>
  <c r="BJ1315" i="13"/>
  <c r="BJ1316" i="13"/>
  <c r="BJ1317" i="13"/>
  <c r="BJ1318" i="13"/>
  <c r="BJ1319" i="13"/>
  <c r="BJ1320" i="13"/>
  <c r="BJ1321" i="13"/>
  <c r="BJ1322" i="13"/>
  <c r="BY1322" i="13" s="1"/>
  <c r="BJ1323" i="13"/>
  <c r="BZ1323" i="13" s="1"/>
  <c r="BJ1324" i="13"/>
  <c r="BY1324" i="13" s="1"/>
  <c r="BJ1325" i="13"/>
  <c r="BJ1326" i="13"/>
  <c r="BJ1327" i="13"/>
  <c r="BJ1328" i="13"/>
  <c r="BJ1329" i="13"/>
  <c r="BJ1330" i="13"/>
  <c r="BJ1331" i="13"/>
  <c r="CD1331" i="13" s="1"/>
  <c r="CG1331" i="13" s="1"/>
  <c r="BJ1332" i="13"/>
  <c r="BJ1333" i="13"/>
  <c r="BJ1334" i="13"/>
  <c r="BJ1335" i="13"/>
  <c r="BJ1336" i="13"/>
  <c r="BJ1337" i="13"/>
  <c r="BJ1338" i="13"/>
  <c r="BJ1339" i="13"/>
  <c r="CD1339" i="13" s="1"/>
  <c r="CG1339" i="13" s="1"/>
  <c r="BJ1340" i="13"/>
  <c r="BJ1341" i="13"/>
  <c r="BJ1342" i="13"/>
  <c r="BJ1343" i="13"/>
  <c r="BJ1344" i="13"/>
  <c r="BJ1345" i="13"/>
  <c r="BZ1345" i="13" s="1"/>
  <c r="BJ1346" i="13"/>
  <c r="BJ1347" i="13"/>
  <c r="BZ1347" i="13" s="1"/>
  <c r="BJ1348" i="13"/>
  <c r="BY1348" i="13" s="1"/>
  <c r="BJ1349" i="13"/>
  <c r="BJ1350" i="13"/>
  <c r="BJ1351" i="13"/>
  <c r="BJ1352" i="13"/>
  <c r="BJ1353" i="13"/>
  <c r="BZ1353" i="13" s="1"/>
  <c r="BJ1354" i="13"/>
  <c r="BY1354" i="13" s="1"/>
  <c r="BJ1355" i="13"/>
  <c r="BZ1355" i="13" s="1"/>
  <c r="BJ1356" i="13"/>
  <c r="BY1356" i="13" s="1"/>
  <c r="BJ1357" i="13"/>
  <c r="BJ1358" i="13"/>
  <c r="BJ1359" i="13"/>
  <c r="BJ1360" i="13"/>
  <c r="BJ1361" i="13"/>
  <c r="BJ1362" i="13"/>
  <c r="BJ1363" i="13"/>
  <c r="CD1363" i="13" s="1"/>
  <c r="CG1363" i="13" s="1"/>
  <c r="BJ1364" i="13"/>
  <c r="BJ1365" i="13"/>
  <c r="BJ1366" i="13"/>
  <c r="BJ1367" i="13"/>
  <c r="BJ1368" i="13"/>
  <c r="BJ1369" i="13"/>
  <c r="BJ1370" i="13"/>
  <c r="BJ1371" i="13"/>
  <c r="BZ1371" i="13" s="1"/>
  <c r="BJ1372" i="13"/>
  <c r="BJ1373" i="13"/>
  <c r="BJ1374" i="13"/>
  <c r="BJ1375" i="13"/>
  <c r="BJ1376" i="13"/>
  <c r="BJ1377" i="13"/>
  <c r="BZ1377" i="13" s="1"/>
  <c r="BJ1378" i="13"/>
  <c r="BJ1379" i="13"/>
  <c r="BZ1379" i="13" s="1"/>
  <c r="BJ1380" i="13"/>
  <c r="BY1380" i="13" s="1"/>
  <c r="BJ1381" i="13"/>
  <c r="BJ1382" i="13"/>
  <c r="BJ1383" i="13"/>
  <c r="BJ1384" i="13"/>
  <c r="BJ1385" i="13"/>
  <c r="BJ1386" i="13"/>
  <c r="BJ1387" i="13"/>
  <c r="BJ1388" i="13"/>
  <c r="BJ1389" i="13"/>
  <c r="BJ1390" i="13"/>
  <c r="BJ1391" i="13"/>
  <c r="BJ1392" i="13"/>
  <c r="BJ1393" i="13"/>
  <c r="BJ1394" i="13"/>
  <c r="BJ1395" i="13"/>
  <c r="CD1395" i="13" s="1"/>
  <c r="CG1395" i="13" s="1"/>
  <c r="BJ1396" i="13"/>
  <c r="BJ1397" i="13"/>
  <c r="BJ1398" i="13"/>
  <c r="BJ1399" i="13"/>
  <c r="BJ1400" i="13"/>
  <c r="BJ1401" i="13"/>
  <c r="BJ1402" i="13"/>
  <c r="BZ1402" i="13" s="1"/>
  <c r="BJ1403" i="13"/>
  <c r="BY1403" i="13" s="1"/>
  <c r="BJ1404" i="13"/>
  <c r="BZ1404" i="13" s="1"/>
  <c r="BJ1405" i="13"/>
  <c r="BY1405" i="13" s="1"/>
  <c r="BJ1406" i="13"/>
  <c r="BJ1407" i="13"/>
  <c r="BJ1408" i="13"/>
  <c r="BJ1409" i="13"/>
  <c r="BJ1410" i="13"/>
  <c r="BJ1411" i="13"/>
  <c r="BJ1412" i="13"/>
  <c r="BJ1413" i="13"/>
  <c r="BJ1414" i="13"/>
  <c r="BJ1415" i="13"/>
  <c r="BJ1416" i="13"/>
  <c r="BJ1417" i="13"/>
  <c r="BJ1418" i="13"/>
  <c r="BJ1419" i="13"/>
  <c r="BJ1420" i="13"/>
  <c r="BJ1421" i="13"/>
  <c r="BJ1422" i="13"/>
  <c r="BJ1423" i="13"/>
  <c r="BJ1424" i="13"/>
  <c r="BJ1425" i="13"/>
  <c r="BJ1426" i="13"/>
  <c r="BJ1427" i="13"/>
  <c r="BY1427" i="13" s="1"/>
  <c r="BJ1428" i="13"/>
  <c r="BZ1428" i="13" s="1"/>
  <c r="BJ1429" i="13"/>
  <c r="BJ1430" i="13"/>
  <c r="BJ1431" i="13"/>
  <c r="BJ1432" i="13"/>
  <c r="BJ1433" i="13"/>
  <c r="BJ1434" i="13"/>
  <c r="BZ1434" i="13" s="1"/>
  <c r="BJ1435" i="13"/>
  <c r="BY1435" i="13" s="1"/>
  <c r="BJ1436" i="13"/>
  <c r="BZ1436" i="13" s="1"/>
  <c r="BJ1437" i="13"/>
  <c r="CE1437" i="13" s="1"/>
  <c r="CH1437" i="13" s="1"/>
  <c r="BJ1438" i="13"/>
  <c r="BJ1439" i="13"/>
  <c r="BJ1440" i="13"/>
  <c r="BJ1441" i="13"/>
  <c r="BJ1442" i="13"/>
  <c r="BJ1443" i="13"/>
  <c r="BJ1444" i="13"/>
  <c r="BJ1445" i="13"/>
  <c r="BJ1446" i="13"/>
  <c r="BJ1447" i="13"/>
  <c r="BJ1448" i="13"/>
  <c r="BJ1449" i="13"/>
  <c r="BJ1450" i="13"/>
  <c r="BJ1451" i="13"/>
  <c r="BJ1452" i="13"/>
  <c r="BJ1453" i="13"/>
  <c r="BJ1454" i="13"/>
  <c r="BJ1455" i="13"/>
  <c r="BJ1456" i="13"/>
  <c r="BY1456" i="13" s="1"/>
  <c r="BJ1457" i="13"/>
  <c r="BJ1458" i="13"/>
  <c r="BJ1459" i="13"/>
  <c r="CD1459" i="13" s="1"/>
  <c r="CG1459" i="13" s="1"/>
  <c r="BJ1460" i="13"/>
  <c r="BY1460" i="13" s="1"/>
  <c r="BJ1461" i="13"/>
  <c r="BJ1462" i="13"/>
  <c r="BJ1463" i="13"/>
  <c r="BJ1464" i="13"/>
  <c r="BJ1465" i="13"/>
  <c r="BJ1466" i="13"/>
  <c r="BZ1466" i="13" s="1"/>
  <c r="BJ1467" i="13"/>
  <c r="BY1467" i="13" s="1"/>
  <c r="BJ1468" i="13"/>
  <c r="BZ1468" i="13" s="1"/>
  <c r="BJ1469" i="13"/>
  <c r="CD1469" i="13" s="1"/>
  <c r="CG1469" i="13" s="1"/>
  <c r="BJ1470" i="13"/>
  <c r="BJ1471" i="13"/>
  <c r="BJ1472" i="13"/>
  <c r="BY1472" i="13" s="1"/>
  <c r="BJ1473" i="13"/>
  <c r="BJ1474" i="13"/>
  <c r="BJ1475" i="13"/>
  <c r="BJ1476" i="13"/>
  <c r="BJ1477" i="13"/>
  <c r="BJ1478" i="13"/>
  <c r="BY1478" i="13" s="1"/>
  <c r="BJ1479" i="13"/>
  <c r="BJ1480" i="13"/>
  <c r="BY1480" i="13" s="1"/>
  <c r="BJ1481" i="13"/>
  <c r="BY1481" i="13" s="1"/>
  <c r="BJ1482" i="13"/>
  <c r="BJ1483" i="13"/>
  <c r="BY1483" i="13" s="1"/>
  <c r="BJ1484" i="13"/>
  <c r="BJ1485" i="13"/>
  <c r="BJ1486" i="13"/>
  <c r="BY1486" i="13" s="1"/>
  <c r="BJ1487" i="13"/>
  <c r="BJ1488" i="13"/>
  <c r="BY1488" i="13" s="1"/>
  <c r="BJ1489" i="13"/>
  <c r="BY1489" i="13" s="1"/>
  <c r="BJ1490" i="13"/>
  <c r="BJ1491" i="13"/>
  <c r="BY1491" i="13" s="1"/>
  <c r="BJ1492" i="13"/>
  <c r="BJ1493" i="13"/>
  <c r="BJ1494" i="13"/>
  <c r="BJ1495" i="13"/>
  <c r="BJ1496" i="13"/>
  <c r="BJ1497" i="13"/>
  <c r="BJ1498" i="13"/>
  <c r="BJ1499" i="13"/>
  <c r="CD1499" i="13" s="1"/>
  <c r="CG1499" i="13" s="1"/>
  <c r="BJ1500" i="13"/>
  <c r="BJ1501" i="13"/>
  <c r="BJ1502" i="13"/>
  <c r="BY1502" i="13" s="1"/>
  <c r="BJ1503" i="13"/>
  <c r="BJ1504" i="13"/>
  <c r="BY1504" i="13" s="1"/>
  <c r="BJ1505" i="13"/>
  <c r="BJ1506" i="13"/>
  <c r="BJ1507" i="13"/>
  <c r="BJ1508" i="13"/>
  <c r="BJ1509" i="13"/>
  <c r="BJ1510" i="13"/>
  <c r="BY1510" i="13" s="1"/>
  <c r="BJ1511" i="13"/>
  <c r="BJ1512" i="13"/>
  <c r="BY1512" i="13" s="1"/>
  <c r="BJ1513" i="13"/>
  <c r="BY1513" i="13" s="1"/>
  <c r="BJ1514" i="13"/>
  <c r="BJ1515" i="13"/>
  <c r="BY1515" i="13" s="1"/>
  <c r="BJ1516" i="13"/>
  <c r="BJ1517" i="13"/>
  <c r="BJ1518" i="13"/>
  <c r="BY1518" i="13" s="1"/>
  <c r="BJ1519" i="13"/>
  <c r="BJ1520" i="13"/>
  <c r="BY1520" i="13" s="1"/>
  <c r="BJ1521" i="13"/>
  <c r="BY1521" i="13" s="1"/>
  <c r="BJ1522" i="13"/>
  <c r="BJ1523" i="13"/>
  <c r="CD1523" i="13" s="1"/>
  <c r="CG1523" i="13" s="1"/>
  <c r="BJ1524" i="13"/>
  <c r="BJ1525" i="13"/>
  <c r="BY1525" i="13" s="1"/>
  <c r="BJ1526" i="13"/>
  <c r="BJ1527" i="13"/>
  <c r="CF1527" i="13" s="1"/>
  <c r="CI1527" i="13" s="1"/>
  <c r="BJ1528" i="13"/>
  <c r="BJ1529" i="13"/>
  <c r="BJ1530" i="13"/>
  <c r="BJ1531" i="13"/>
  <c r="CD1531" i="13" s="1"/>
  <c r="CG1531" i="13" s="1"/>
  <c r="BJ1532" i="13"/>
  <c r="BJ1533" i="13"/>
  <c r="BJ1534" i="13"/>
  <c r="BY1534" i="13" s="1"/>
  <c r="BJ1535" i="13"/>
  <c r="CF1535" i="13" s="1"/>
  <c r="CI1535" i="13" s="1"/>
  <c r="BJ1536" i="13"/>
  <c r="BJ1537" i="13"/>
  <c r="BY1537" i="13" s="1"/>
  <c r="BJ1538" i="13"/>
  <c r="BJ1539" i="13"/>
  <c r="BJ1540" i="13"/>
  <c r="BJ1541" i="13"/>
  <c r="BJ1542" i="13"/>
  <c r="BZ1542" i="13" s="1"/>
  <c r="BJ1543" i="13"/>
  <c r="BY1543" i="13" s="1"/>
  <c r="BJ1544" i="13"/>
  <c r="BY1544" i="13" s="1"/>
  <c r="BJ1545" i="13"/>
  <c r="BY1545" i="13" s="1"/>
  <c r="BJ1546" i="13"/>
  <c r="BJ1547" i="13"/>
  <c r="BJ1548" i="13"/>
  <c r="BJ1549" i="13"/>
  <c r="BJ1550" i="13"/>
  <c r="BZ1550" i="13" s="1"/>
  <c r="BJ1551" i="13"/>
  <c r="BY1551" i="13" s="1"/>
  <c r="BJ1552" i="13"/>
  <c r="BY1552" i="13" s="1"/>
  <c r="BJ1553" i="13"/>
  <c r="BY1553" i="13" s="1"/>
  <c r="BJ1554" i="13"/>
  <c r="BJ1555" i="13"/>
  <c r="CD1555" i="13" s="1"/>
  <c r="CG1555" i="13" s="1"/>
  <c r="BJ1556" i="13"/>
  <c r="BJ1557" i="13"/>
  <c r="BJ1558" i="13"/>
  <c r="BY1558" i="13" s="1"/>
  <c r="BJ1559" i="13"/>
  <c r="CF1559" i="13" s="1"/>
  <c r="CI1559" i="13" s="1"/>
  <c r="BJ1560" i="13"/>
  <c r="BY1560" i="13" s="1"/>
  <c r="BJ1561" i="13"/>
  <c r="BY1561" i="13" s="1"/>
  <c r="BJ1562" i="13"/>
  <c r="BJ1563" i="13"/>
  <c r="CD1563" i="13" s="1"/>
  <c r="CG1563" i="13" s="1"/>
  <c r="BJ1564" i="13"/>
  <c r="BJ1565" i="13"/>
  <c r="BJ1566" i="13"/>
  <c r="BY1566" i="13" s="1"/>
  <c r="BJ1567" i="13"/>
  <c r="BY1567" i="13" s="1"/>
  <c r="BJ1568" i="13"/>
  <c r="BY1568" i="13" s="1"/>
  <c r="BJ1569" i="13"/>
  <c r="BY1569" i="13" s="1"/>
  <c r="BJ1570" i="13"/>
  <c r="BJ1571" i="13"/>
  <c r="BJ1572" i="13"/>
  <c r="BJ1573" i="13"/>
  <c r="BJ1574" i="13"/>
  <c r="BZ1574" i="13" s="1"/>
  <c r="BJ1575" i="13"/>
  <c r="BY1575" i="13" s="1"/>
  <c r="BJ1576" i="13"/>
  <c r="BY1576" i="13" s="1"/>
  <c r="BJ1577" i="13"/>
  <c r="BY1577" i="13" s="1"/>
  <c r="BJ1578" i="13"/>
  <c r="BJ1579" i="13"/>
  <c r="CD1579" i="13" s="1"/>
  <c r="CG1579" i="13" s="1"/>
  <c r="BJ1580" i="13"/>
  <c r="BJ1581" i="13"/>
  <c r="BJ1582" i="13"/>
  <c r="BZ1582" i="13" s="1"/>
  <c r="BJ1583" i="13"/>
  <c r="BY1583" i="13" s="1"/>
  <c r="BJ1584" i="13"/>
  <c r="BY1584" i="13" s="1"/>
  <c r="BJ1585" i="13"/>
  <c r="BY1585" i="13" s="1"/>
  <c r="BJ1586" i="13"/>
  <c r="BJ1587" i="13"/>
  <c r="CD1587" i="13" s="1"/>
  <c r="CG1587" i="13" s="1"/>
  <c r="BJ1588" i="13"/>
  <c r="BJ1589" i="13"/>
  <c r="BJ1590" i="13"/>
  <c r="BY1590" i="13" s="1"/>
  <c r="BJ1591" i="13"/>
  <c r="CF1591" i="13" s="1"/>
  <c r="CI1591" i="13" s="1"/>
  <c r="BJ1592" i="13"/>
  <c r="BY1592" i="13" s="1"/>
  <c r="BJ1593" i="13"/>
  <c r="BY1593" i="13" s="1"/>
  <c r="BJ1594" i="13"/>
  <c r="BJ1595" i="13"/>
  <c r="CD1595" i="13" s="1"/>
  <c r="CG1595" i="13" s="1"/>
  <c r="BI1306" i="13"/>
  <c r="BI1307" i="13"/>
  <c r="BI1308" i="13"/>
  <c r="BI1309" i="13"/>
  <c r="BI1310" i="13"/>
  <c r="BI1311" i="13"/>
  <c r="BI1312" i="13"/>
  <c r="BI1313" i="13"/>
  <c r="BI1314" i="13"/>
  <c r="BI1315" i="13"/>
  <c r="BI1316" i="13"/>
  <c r="BI1317" i="13"/>
  <c r="BI1318" i="13"/>
  <c r="BI1319" i="13"/>
  <c r="BI1320" i="13"/>
  <c r="BI1321" i="13"/>
  <c r="BI1322" i="13"/>
  <c r="BI1323" i="13"/>
  <c r="BI1324" i="13"/>
  <c r="BI1325" i="13"/>
  <c r="BI1326" i="13"/>
  <c r="BI1327" i="13"/>
  <c r="BI1328" i="13"/>
  <c r="BI1329" i="13"/>
  <c r="BI1330" i="13"/>
  <c r="BI1331" i="13"/>
  <c r="BI1332" i="13"/>
  <c r="BI1333" i="13"/>
  <c r="BI1334" i="13"/>
  <c r="BI1335" i="13"/>
  <c r="BI1336" i="13"/>
  <c r="BI1337" i="13"/>
  <c r="BI1338" i="13"/>
  <c r="BI1339" i="13"/>
  <c r="BI1340" i="13"/>
  <c r="BI1341" i="13"/>
  <c r="BI1342" i="13"/>
  <c r="BI1343" i="13"/>
  <c r="BI1344" i="13"/>
  <c r="BI1345" i="13"/>
  <c r="BI1346" i="13"/>
  <c r="BI1347" i="13"/>
  <c r="BI1348" i="13"/>
  <c r="BI1349" i="13"/>
  <c r="BI1350" i="13"/>
  <c r="BI1351" i="13"/>
  <c r="BI1352" i="13"/>
  <c r="BI1353" i="13"/>
  <c r="BI1354" i="13"/>
  <c r="BI1355" i="13"/>
  <c r="BI1356" i="13"/>
  <c r="BI1357" i="13"/>
  <c r="BI1358" i="13"/>
  <c r="BI1359" i="13"/>
  <c r="BI1360" i="13"/>
  <c r="BI1361" i="13"/>
  <c r="BI1362" i="13"/>
  <c r="BI1363" i="13"/>
  <c r="BI1364" i="13"/>
  <c r="BI1365" i="13"/>
  <c r="BI1366" i="13"/>
  <c r="BI1367" i="13"/>
  <c r="BI1368" i="13"/>
  <c r="BI1369" i="13"/>
  <c r="BI1370" i="13"/>
  <c r="BI1371" i="13"/>
  <c r="BI1372" i="13"/>
  <c r="BI1373" i="13"/>
  <c r="BI1374" i="13"/>
  <c r="BI1375" i="13"/>
  <c r="BI1376" i="13"/>
  <c r="BI1377" i="13"/>
  <c r="BI1378" i="13"/>
  <c r="BI1379" i="13"/>
  <c r="BI1380" i="13"/>
  <c r="BI1381" i="13"/>
  <c r="BI1382" i="13"/>
  <c r="BI1383" i="13"/>
  <c r="BI1384" i="13"/>
  <c r="BI1385" i="13"/>
  <c r="BI1386" i="13"/>
  <c r="BI1387" i="13"/>
  <c r="BI1388" i="13"/>
  <c r="BI1389" i="13"/>
  <c r="BI1390" i="13"/>
  <c r="BI1391" i="13"/>
  <c r="BI1392" i="13"/>
  <c r="BI1393" i="13"/>
  <c r="BI1394" i="13"/>
  <c r="BI1395" i="13"/>
  <c r="BI1396" i="13"/>
  <c r="BI1397" i="13"/>
  <c r="BI1398" i="13"/>
  <c r="BI1399" i="13"/>
  <c r="BI1400" i="13"/>
  <c r="BI1401" i="13"/>
  <c r="BI1402" i="13"/>
  <c r="BI1403" i="13"/>
  <c r="BI1404" i="13"/>
  <c r="BI1405" i="13"/>
  <c r="BI1406" i="13"/>
  <c r="BI1407" i="13"/>
  <c r="BI1408" i="13"/>
  <c r="BI1409" i="13"/>
  <c r="BI1410" i="13"/>
  <c r="BI1411" i="13"/>
  <c r="BI1412" i="13"/>
  <c r="BI1413" i="13"/>
  <c r="BI1414" i="13"/>
  <c r="BI1415" i="13"/>
  <c r="BI1416" i="13"/>
  <c r="BI1417" i="13"/>
  <c r="BI1418" i="13"/>
  <c r="BI1419" i="13"/>
  <c r="BI1420" i="13"/>
  <c r="BI1421" i="13"/>
  <c r="BI1422" i="13"/>
  <c r="BI1423" i="13"/>
  <c r="BI1424" i="13"/>
  <c r="BI1425" i="13"/>
  <c r="BI1426" i="13"/>
  <c r="BI1427" i="13"/>
  <c r="BI1428" i="13"/>
  <c r="BI1429" i="13"/>
  <c r="BI1430" i="13"/>
  <c r="BI1431" i="13"/>
  <c r="BI1432" i="13"/>
  <c r="BI1433" i="13"/>
  <c r="BI1434" i="13"/>
  <c r="BI1435" i="13"/>
  <c r="BI1436" i="13"/>
  <c r="BI1437" i="13"/>
  <c r="BI1438" i="13"/>
  <c r="BI1439" i="13"/>
  <c r="BI1440" i="13"/>
  <c r="BI1441" i="13"/>
  <c r="BI1442" i="13"/>
  <c r="BI1443" i="13"/>
  <c r="BI1444" i="13"/>
  <c r="BI1445" i="13"/>
  <c r="BI1446" i="13"/>
  <c r="BI1447" i="13"/>
  <c r="BI1448" i="13"/>
  <c r="BI1449" i="13"/>
  <c r="BI1450" i="13"/>
  <c r="BI1451" i="13"/>
  <c r="BI1452" i="13"/>
  <c r="BI1453" i="13"/>
  <c r="BI1454" i="13"/>
  <c r="BI1455" i="13"/>
  <c r="BI1456" i="13"/>
  <c r="BI1457" i="13"/>
  <c r="BI1458" i="13"/>
  <c r="BI1459" i="13"/>
  <c r="BI1460" i="13"/>
  <c r="BI1461" i="13"/>
  <c r="BI1462" i="13"/>
  <c r="BI1463" i="13"/>
  <c r="BI1464" i="13"/>
  <c r="BI1465" i="13"/>
  <c r="BI1466" i="13"/>
  <c r="BI1467" i="13"/>
  <c r="BI1468" i="13"/>
  <c r="BI1469" i="13"/>
  <c r="BI1470" i="13"/>
  <c r="BI1471" i="13"/>
  <c r="BI1472" i="13"/>
  <c r="BI1473" i="13"/>
  <c r="BI1474" i="13"/>
  <c r="BI1475" i="13"/>
  <c r="BI1476" i="13"/>
  <c r="BI1477" i="13"/>
  <c r="BI1478" i="13"/>
  <c r="BI1479" i="13"/>
  <c r="BI1480" i="13"/>
  <c r="BI1481" i="13"/>
  <c r="BI1482" i="13"/>
  <c r="BI1483" i="13"/>
  <c r="BI1484" i="13"/>
  <c r="BI1485" i="13"/>
  <c r="BI1486" i="13"/>
  <c r="BI1487" i="13"/>
  <c r="BI1488" i="13"/>
  <c r="BI1489" i="13"/>
  <c r="BI1490" i="13"/>
  <c r="BI1491" i="13"/>
  <c r="BI1492" i="13"/>
  <c r="BI1493" i="13"/>
  <c r="BI1494" i="13"/>
  <c r="BI1495" i="13"/>
  <c r="BI1496" i="13"/>
  <c r="BI1497" i="13"/>
  <c r="BI1498" i="13"/>
  <c r="BI1499" i="13"/>
  <c r="BI1500" i="13"/>
  <c r="BI1501" i="13"/>
  <c r="BI1502" i="13"/>
  <c r="BI1503" i="13"/>
  <c r="BI1504" i="13"/>
  <c r="BI1505" i="13"/>
  <c r="BI1506" i="13"/>
  <c r="BI1507" i="13"/>
  <c r="BI1508" i="13"/>
  <c r="BI1509" i="13"/>
  <c r="BI1510" i="13"/>
  <c r="BI1511" i="13"/>
  <c r="BI1512" i="13"/>
  <c r="BI1513" i="13"/>
  <c r="BI1514" i="13"/>
  <c r="BI1515" i="13"/>
  <c r="BI1516" i="13"/>
  <c r="BI1517" i="13"/>
  <c r="BI1518" i="13"/>
  <c r="BI1519" i="13"/>
  <c r="BI1520" i="13"/>
  <c r="BI1521" i="13"/>
  <c r="BI1522" i="13"/>
  <c r="BI1523" i="13"/>
  <c r="BI1524" i="13"/>
  <c r="BI1525" i="13"/>
  <c r="BI1526" i="13"/>
  <c r="BI1527" i="13"/>
  <c r="BI1528" i="13"/>
  <c r="BI1529" i="13"/>
  <c r="BI1530" i="13"/>
  <c r="BI1531" i="13"/>
  <c r="BI1532" i="13"/>
  <c r="BI1533" i="13"/>
  <c r="BI1534" i="13"/>
  <c r="BI1535" i="13"/>
  <c r="BI1536" i="13"/>
  <c r="BI1537" i="13"/>
  <c r="BI1538" i="13"/>
  <c r="BI1539" i="13"/>
  <c r="BI1540" i="13"/>
  <c r="BI1541" i="13"/>
  <c r="BI1542" i="13"/>
  <c r="BI1543" i="13"/>
  <c r="BI1544" i="13"/>
  <c r="BI1545" i="13"/>
  <c r="BI1546" i="13"/>
  <c r="BI1547" i="13"/>
  <c r="BI1548" i="13"/>
  <c r="BI1549" i="13"/>
  <c r="BI1550" i="13"/>
  <c r="BI1551" i="13"/>
  <c r="BI1552" i="13"/>
  <c r="BI1553" i="13"/>
  <c r="BI1554" i="13"/>
  <c r="BI1555" i="13"/>
  <c r="BI1556" i="13"/>
  <c r="BI1557" i="13"/>
  <c r="BI1558" i="13"/>
  <c r="BI1559" i="13"/>
  <c r="BI1560" i="13"/>
  <c r="BI1561" i="13"/>
  <c r="BI1562" i="13"/>
  <c r="BI1563" i="13"/>
  <c r="BI1564" i="13"/>
  <c r="BI1565" i="13"/>
  <c r="BI1566" i="13"/>
  <c r="BI1567" i="13"/>
  <c r="BI1568" i="13"/>
  <c r="BI1569" i="13"/>
  <c r="BI1570" i="13"/>
  <c r="BI1571" i="13"/>
  <c r="BI1572" i="13"/>
  <c r="BI1573" i="13"/>
  <c r="BI1574" i="13"/>
  <c r="BI1575" i="13"/>
  <c r="BI1576" i="13"/>
  <c r="BI1577" i="13"/>
  <c r="BI1578" i="13"/>
  <c r="BI1579" i="13"/>
  <c r="BI1580" i="13"/>
  <c r="BI1581" i="13"/>
  <c r="BI1582" i="13"/>
  <c r="BI1583" i="13"/>
  <c r="BI1584" i="13"/>
  <c r="BI1585" i="13"/>
  <c r="BI1586" i="13"/>
  <c r="BI1587" i="13"/>
  <c r="BI1588" i="13"/>
  <c r="BI1589" i="13"/>
  <c r="BI1590" i="13"/>
  <c r="BI1591" i="13"/>
  <c r="BI1592" i="13"/>
  <c r="BI1593" i="13"/>
  <c r="BI1594" i="13"/>
  <c r="BI1595" i="13"/>
  <c r="BH1306" i="13"/>
  <c r="BH1307" i="13"/>
  <c r="BH1308" i="13"/>
  <c r="BH1309" i="13"/>
  <c r="BH1310" i="13"/>
  <c r="BH1311" i="13"/>
  <c r="BH1312" i="13"/>
  <c r="BH1313" i="13"/>
  <c r="BH1314" i="13"/>
  <c r="BH1315" i="13"/>
  <c r="BH1316" i="13"/>
  <c r="BH1317" i="13"/>
  <c r="BH1318" i="13"/>
  <c r="BH1319" i="13"/>
  <c r="BH1320" i="13"/>
  <c r="BH1321" i="13"/>
  <c r="BH1322" i="13"/>
  <c r="BH1323" i="13"/>
  <c r="BH1324" i="13"/>
  <c r="BH1325" i="13"/>
  <c r="BH1326" i="13"/>
  <c r="BH1327" i="13"/>
  <c r="BH1328" i="13"/>
  <c r="BH1329" i="13"/>
  <c r="BH1330" i="13"/>
  <c r="BH1331" i="13"/>
  <c r="BH1332" i="13"/>
  <c r="BH1333" i="13"/>
  <c r="BH1334" i="13"/>
  <c r="BH1335" i="13"/>
  <c r="BH1336" i="13"/>
  <c r="BH1337" i="13"/>
  <c r="BH1338" i="13"/>
  <c r="BH1339" i="13"/>
  <c r="BH1340" i="13"/>
  <c r="BH1341" i="13"/>
  <c r="BH1342" i="13"/>
  <c r="BH1343" i="13"/>
  <c r="BH1344" i="13"/>
  <c r="BH1345" i="13"/>
  <c r="BH1346" i="13"/>
  <c r="BH1347" i="13"/>
  <c r="BH1348" i="13"/>
  <c r="BH1349" i="13"/>
  <c r="BH1350" i="13"/>
  <c r="BH1351" i="13"/>
  <c r="BH1352" i="13"/>
  <c r="BH1353" i="13"/>
  <c r="BH1354" i="13"/>
  <c r="BH1355" i="13"/>
  <c r="BH1356" i="13"/>
  <c r="BH1357" i="13"/>
  <c r="BH1358" i="13"/>
  <c r="BH1359" i="13"/>
  <c r="BH1360" i="13"/>
  <c r="BH1361" i="13"/>
  <c r="BH1362" i="13"/>
  <c r="BH1363" i="13"/>
  <c r="BH1364" i="13"/>
  <c r="BH1365" i="13"/>
  <c r="BH1366" i="13"/>
  <c r="BH1367" i="13"/>
  <c r="BH1368" i="13"/>
  <c r="BH1369" i="13"/>
  <c r="BH1370" i="13"/>
  <c r="BH1371" i="13"/>
  <c r="BH1372" i="13"/>
  <c r="BH1373" i="13"/>
  <c r="BH1374" i="13"/>
  <c r="BH1375" i="13"/>
  <c r="BH1376" i="13"/>
  <c r="BH1377" i="13"/>
  <c r="BH1378" i="13"/>
  <c r="BH1379" i="13"/>
  <c r="BH1380" i="13"/>
  <c r="BH1381" i="13"/>
  <c r="BH1382" i="13"/>
  <c r="BH1383" i="13"/>
  <c r="BH1384" i="13"/>
  <c r="BH1385" i="13"/>
  <c r="BH1386" i="13"/>
  <c r="BH1387" i="13"/>
  <c r="BH1388" i="13"/>
  <c r="BH1389" i="13"/>
  <c r="BH1390" i="13"/>
  <c r="BH1391" i="13"/>
  <c r="BH1392" i="13"/>
  <c r="BH1393" i="13"/>
  <c r="BH1394" i="13"/>
  <c r="BH1395" i="13"/>
  <c r="BH1396" i="13"/>
  <c r="BH1397" i="13"/>
  <c r="BH1398" i="13"/>
  <c r="BH1399" i="13"/>
  <c r="BH1400" i="13"/>
  <c r="BH1401" i="13"/>
  <c r="BH1402" i="13"/>
  <c r="BH1403" i="13"/>
  <c r="BH1404" i="13"/>
  <c r="BH1405" i="13"/>
  <c r="BH1406" i="13"/>
  <c r="BH1407" i="13"/>
  <c r="BH1408" i="13"/>
  <c r="BH1409" i="13"/>
  <c r="BH1410" i="13"/>
  <c r="BH1411" i="13"/>
  <c r="BH1412" i="13"/>
  <c r="BH1413" i="13"/>
  <c r="BH1414" i="13"/>
  <c r="BH1415" i="13"/>
  <c r="BH1416" i="13"/>
  <c r="BH1417" i="13"/>
  <c r="BH1418" i="13"/>
  <c r="BH1419" i="13"/>
  <c r="BH1420" i="13"/>
  <c r="BH1421" i="13"/>
  <c r="BH1422" i="13"/>
  <c r="BH1423" i="13"/>
  <c r="BH1424" i="13"/>
  <c r="BH1425" i="13"/>
  <c r="BH1426" i="13"/>
  <c r="BH1427" i="13"/>
  <c r="BH1428" i="13"/>
  <c r="BH1429" i="13"/>
  <c r="BH1430" i="13"/>
  <c r="BH1431" i="13"/>
  <c r="BH1432" i="13"/>
  <c r="BH1433" i="13"/>
  <c r="BH1434" i="13"/>
  <c r="BH1435" i="13"/>
  <c r="BH1436" i="13"/>
  <c r="BH1437" i="13"/>
  <c r="BH1438" i="13"/>
  <c r="BH1439" i="13"/>
  <c r="BH1440" i="13"/>
  <c r="BH1441" i="13"/>
  <c r="BH1442" i="13"/>
  <c r="BH1443" i="13"/>
  <c r="BH1444" i="13"/>
  <c r="BH1445" i="13"/>
  <c r="BH1446" i="13"/>
  <c r="BH1447" i="13"/>
  <c r="BH1448" i="13"/>
  <c r="BH1449" i="13"/>
  <c r="BH1450" i="13"/>
  <c r="BH1451" i="13"/>
  <c r="BH1452" i="13"/>
  <c r="BH1453" i="13"/>
  <c r="BH1454" i="13"/>
  <c r="BH1455" i="13"/>
  <c r="BH1456" i="13"/>
  <c r="BH1457" i="13"/>
  <c r="BH1458" i="13"/>
  <c r="BH1459" i="13"/>
  <c r="BH1460" i="13"/>
  <c r="BH1461" i="13"/>
  <c r="BH1462" i="13"/>
  <c r="BH1463" i="13"/>
  <c r="BH1464" i="13"/>
  <c r="BH1465" i="13"/>
  <c r="BH1466" i="13"/>
  <c r="BH1467" i="13"/>
  <c r="BH1468" i="13"/>
  <c r="BH1469" i="13"/>
  <c r="BH1470" i="13"/>
  <c r="BH1471" i="13"/>
  <c r="BH1472" i="13"/>
  <c r="BH1473" i="13"/>
  <c r="BH1474" i="13"/>
  <c r="BH1475" i="13"/>
  <c r="BH1476" i="13"/>
  <c r="BH1477" i="13"/>
  <c r="BH1478" i="13"/>
  <c r="BH1479" i="13"/>
  <c r="BH1480" i="13"/>
  <c r="BH1481" i="13"/>
  <c r="BH1482" i="13"/>
  <c r="BH1483" i="13"/>
  <c r="BH1484" i="13"/>
  <c r="BH1485" i="13"/>
  <c r="BH1486" i="13"/>
  <c r="BH1487" i="13"/>
  <c r="BH1488" i="13"/>
  <c r="BH1489" i="13"/>
  <c r="BH1490" i="13"/>
  <c r="BH1491" i="13"/>
  <c r="BH1492" i="13"/>
  <c r="BH1493" i="13"/>
  <c r="BH1494" i="13"/>
  <c r="BH1495" i="13"/>
  <c r="BH1496" i="13"/>
  <c r="BH1497" i="13"/>
  <c r="BH1498" i="13"/>
  <c r="BH1499" i="13"/>
  <c r="BH1500" i="13"/>
  <c r="BH1501" i="13"/>
  <c r="BH1502" i="13"/>
  <c r="BH1503" i="13"/>
  <c r="BH1504" i="13"/>
  <c r="BH1505" i="13"/>
  <c r="BH1506" i="13"/>
  <c r="BH1507" i="13"/>
  <c r="BH1508" i="13"/>
  <c r="BH1509" i="13"/>
  <c r="BH1510" i="13"/>
  <c r="BH1511" i="13"/>
  <c r="BH1512" i="13"/>
  <c r="BH1513" i="13"/>
  <c r="BH1514" i="13"/>
  <c r="BH1515" i="13"/>
  <c r="BH1516" i="13"/>
  <c r="BH1517" i="13"/>
  <c r="BH1518" i="13"/>
  <c r="BH1519" i="13"/>
  <c r="BH1520" i="13"/>
  <c r="BH1521" i="13"/>
  <c r="BH1522" i="13"/>
  <c r="BH1523" i="13"/>
  <c r="BH1524" i="13"/>
  <c r="BH1525" i="13"/>
  <c r="BH1526" i="13"/>
  <c r="BH1527" i="13"/>
  <c r="BH1528" i="13"/>
  <c r="BH1529" i="13"/>
  <c r="BH1530" i="13"/>
  <c r="BH1531" i="13"/>
  <c r="BH1532" i="13"/>
  <c r="BH1533" i="13"/>
  <c r="BH1534" i="13"/>
  <c r="BH1535" i="13"/>
  <c r="BH1536" i="13"/>
  <c r="BH1537" i="13"/>
  <c r="BH1538" i="13"/>
  <c r="BH1539" i="13"/>
  <c r="BH1540" i="13"/>
  <c r="BH1541" i="13"/>
  <c r="BH1542" i="13"/>
  <c r="BH1543" i="13"/>
  <c r="BH1544" i="13"/>
  <c r="BH1545" i="13"/>
  <c r="BH1546" i="13"/>
  <c r="BH1547" i="13"/>
  <c r="BH1548" i="13"/>
  <c r="BH1549" i="13"/>
  <c r="BH1550" i="13"/>
  <c r="BH1551" i="13"/>
  <c r="BH1552" i="13"/>
  <c r="BH1553" i="13"/>
  <c r="BH1554" i="13"/>
  <c r="BH1555" i="13"/>
  <c r="BH1556" i="13"/>
  <c r="BH1557" i="13"/>
  <c r="BH1558" i="13"/>
  <c r="BH1559" i="13"/>
  <c r="BH1560" i="13"/>
  <c r="BH1561" i="13"/>
  <c r="BH1562" i="13"/>
  <c r="BH1563" i="13"/>
  <c r="BH1564" i="13"/>
  <c r="BH1565" i="13"/>
  <c r="BH1566" i="13"/>
  <c r="BH1567" i="13"/>
  <c r="BH1568" i="13"/>
  <c r="BH1569" i="13"/>
  <c r="BH1570" i="13"/>
  <c r="BH1571" i="13"/>
  <c r="BH1572" i="13"/>
  <c r="BH1573" i="13"/>
  <c r="BH1574" i="13"/>
  <c r="BH1575" i="13"/>
  <c r="BH1576" i="13"/>
  <c r="BH1577" i="13"/>
  <c r="BH1578" i="13"/>
  <c r="BH1579" i="13"/>
  <c r="BH1580" i="13"/>
  <c r="BH1581" i="13"/>
  <c r="BH1582" i="13"/>
  <c r="BH1583" i="13"/>
  <c r="BH1584" i="13"/>
  <c r="BH1585" i="13"/>
  <c r="BH1586" i="13"/>
  <c r="BH1587" i="13"/>
  <c r="BH1588" i="13"/>
  <c r="BH1589" i="13"/>
  <c r="BH1590" i="13"/>
  <c r="BH1591" i="13"/>
  <c r="BH1592" i="13"/>
  <c r="BH1593" i="13"/>
  <c r="BH1594" i="13"/>
  <c r="BH1595" i="13"/>
  <c r="N13" i="20" l="1"/>
  <c r="M13" i="20"/>
  <c r="P13" i="20" s="1"/>
  <c r="Q13" i="20" s="1"/>
  <c r="R13" i="20" s="1"/>
  <c r="T13" i="20" s="1"/>
  <c r="N9" i="20"/>
  <c r="M9" i="20"/>
  <c r="P9" i="20" s="1"/>
  <c r="Q9" i="20" s="1"/>
  <c r="R9" i="20" s="1"/>
  <c r="T9" i="20" s="1"/>
  <c r="N17" i="20"/>
  <c r="M17" i="20"/>
  <c r="P17" i="20" s="1"/>
  <c r="Q17" i="20" s="1"/>
  <c r="R17" i="20" s="1"/>
  <c r="T17" i="20" s="1"/>
  <c r="N21" i="20"/>
  <c r="M21" i="20"/>
  <c r="P21" i="20" s="1"/>
  <c r="Q21" i="20" s="1"/>
  <c r="R21" i="20" s="1"/>
  <c r="T21" i="20" s="1"/>
  <c r="BK1594" i="13"/>
  <c r="BK1586" i="13"/>
  <c r="BK1578" i="13"/>
  <c r="BK1570" i="13"/>
  <c r="BK1562" i="13"/>
  <c r="BK1554" i="13"/>
  <c r="BK1546" i="13"/>
  <c r="BK1538" i="13"/>
  <c r="BK1530" i="13"/>
  <c r="BK1522" i="13"/>
  <c r="BK1514" i="13"/>
  <c r="BK1506" i="13"/>
  <c r="BK1498" i="13"/>
  <c r="BK1490" i="13"/>
  <c r="BK1482" i="13"/>
  <c r="BK1474" i="13"/>
  <c r="BK1466" i="13"/>
  <c r="BK1458" i="13"/>
  <c r="BK1450" i="13"/>
  <c r="BK1442" i="13"/>
  <c r="BK1434" i="13"/>
  <c r="BK1426" i="13"/>
  <c r="BK1418" i="13"/>
  <c r="BK1410" i="13"/>
  <c r="BK1402" i="13"/>
  <c r="BK1394" i="13"/>
  <c r="BK1386" i="13"/>
  <c r="BK1378" i="13"/>
  <c r="BK1370" i="13"/>
  <c r="BK1362" i="13"/>
  <c r="BK1354" i="13"/>
  <c r="BK1346" i="13"/>
  <c r="BK1338" i="13"/>
  <c r="BK1330" i="13"/>
  <c r="BK1322" i="13"/>
  <c r="BK1314" i="13"/>
  <c r="BK1306" i="13"/>
  <c r="BZ1460" i="13"/>
  <c r="BY1591" i="13"/>
  <c r="BY1559" i="13"/>
  <c r="BY1399" i="13"/>
  <c r="BY1391" i="13"/>
  <c r="BY1319" i="13"/>
  <c r="BY1311" i="13"/>
  <c r="BZ1590" i="13"/>
  <c r="BK1463" i="13"/>
  <c r="BK1455" i="13"/>
  <c r="BK1447" i="13"/>
  <c r="BK1439" i="13"/>
  <c r="BK1431" i="13"/>
  <c r="BK1423" i="13"/>
  <c r="BK1415" i="13"/>
  <c r="BK1407" i="13"/>
  <c r="BK1399" i="13"/>
  <c r="BK1391" i="13"/>
  <c r="BK1383" i="13"/>
  <c r="BK1375" i="13"/>
  <c r="BK1367" i="13"/>
  <c r="BK1359" i="13"/>
  <c r="BK1351" i="13"/>
  <c r="BK1343" i="13"/>
  <c r="BK1335" i="13"/>
  <c r="BK1327" i="13"/>
  <c r="BK1319" i="13"/>
  <c r="BK1311" i="13"/>
  <c r="BY1397" i="13"/>
  <c r="BY1389" i="13"/>
  <c r="BY1468" i="13"/>
  <c r="BZ1566" i="13"/>
  <c r="CF1567" i="13"/>
  <c r="CI1567" i="13" s="1"/>
  <c r="BZ1558" i="13"/>
  <c r="CF1345" i="13"/>
  <c r="CI1345" i="13" s="1"/>
  <c r="BZ1534" i="13"/>
  <c r="BK1588" i="13"/>
  <c r="BK1580" i="13"/>
  <c r="BK1572" i="13"/>
  <c r="BK1564" i="13"/>
  <c r="BK1556" i="13"/>
  <c r="BK1548" i="13"/>
  <c r="BK1540" i="13"/>
  <c r="BK1532" i="13"/>
  <c r="BK1524" i="13"/>
  <c r="BK1516" i="13"/>
  <c r="BK1508" i="13"/>
  <c r="BK1500" i="13"/>
  <c r="BK1492" i="13"/>
  <c r="BK1484" i="13"/>
  <c r="BK1476" i="13"/>
  <c r="BK1468" i="13"/>
  <c r="BK1460" i="13"/>
  <c r="BK1452" i="13"/>
  <c r="BK1444" i="13"/>
  <c r="BK1436" i="13"/>
  <c r="BK1428" i="13"/>
  <c r="BK1420" i="13"/>
  <c r="BK1412" i="13"/>
  <c r="BK1404" i="13"/>
  <c r="BK1396" i="13"/>
  <c r="BK1388" i="13"/>
  <c r="BK1380" i="13"/>
  <c r="BK1372" i="13"/>
  <c r="BK1364" i="13"/>
  <c r="BK1356" i="13"/>
  <c r="BK1348" i="13"/>
  <c r="BK1340" i="13"/>
  <c r="BK1332" i="13"/>
  <c r="BK1324" i="13"/>
  <c r="BK1316" i="13"/>
  <c r="BK1308" i="13"/>
  <c r="BK1590" i="13"/>
  <c r="BK1582" i="13"/>
  <c r="BK1574" i="13"/>
  <c r="BK1566" i="13"/>
  <c r="BK1558" i="13"/>
  <c r="BK1550" i="13"/>
  <c r="BK1542" i="13"/>
  <c r="BK1534" i="13"/>
  <c r="BK1526" i="13"/>
  <c r="BK1518" i="13"/>
  <c r="BK1510" i="13"/>
  <c r="BK1502" i="13"/>
  <c r="BK1494" i="13"/>
  <c r="BK1486" i="13"/>
  <c r="BK1478" i="13"/>
  <c r="BK1470" i="13"/>
  <c r="BK1462" i="13"/>
  <c r="BK1454" i="13"/>
  <c r="BK1446" i="13"/>
  <c r="BK1438" i="13"/>
  <c r="BK1430" i="13"/>
  <c r="BK1422" i="13"/>
  <c r="BK1414" i="13"/>
  <c r="BK1406" i="13"/>
  <c r="BK1398" i="13"/>
  <c r="BK1390" i="13"/>
  <c r="BK1382" i="13"/>
  <c r="BK1374" i="13"/>
  <c r="BK1366" i="13"/>
  <c r="BK1358" i="13"/>
  <c r="BK1350" i="13"/>
  <c r="BK1342" i="13"/>
  <c r="BK1334" i="13"/>
  <c r="BK1326" i="13"/>
  <c r="BK1318" i="13"/>
  <c r="BK1310" i="13"/>
  <c r="CO1589" i="13"/>
  <c r="CN1589" i="13"/>
  <c r="CL1589" i="13"/>
  <c r="CJ1589" i="13"/>
  <c r="CK1589" i="13"/>
  <c r="CF1589" i="13"/>
  <c r="CI1589" i="13" s="1"/>
  <c r="BZ1589" i="13"/>
  <c r="CO1581" i="13"/>
  <c r="CN1581" i="13"/>
  <c r="CL1581" i="13"/>
  <c r="CJ1581" i="13"/>
  <c r="CK1581" i="13"/>
  <c r="CF1581" i="13"/>
  <c r="CI1581" i="13" s="1"/>
  <c r="CE1581" i="13"/>
  <c r="CH1581" i="13" s="1"/>
  <c r="BZ1581" i="13"/>
  <c r="CO1565" i="13"/>
  <c r="CN1565" i="13"/>
  <c r="CL1565" i="13"/>
  <c r="CJ1565" i="13"/>
  <c r="CK1565" i="13"/>
  <c r="CF1565" i="13"/>
  <c r="CI1565" i="13" s="1"/>
  <c r="BZ1565" i="13"/>
  <c r="CO1549" i="13"/>
  <c r="CN1549" i="13"/>
  <c r="CL1549" i="13"/>
  <c r="CJ1549" i="13"/>
  <c r="CK1549" i="13"/>
  <c r="CF1549" i="13"/>
  <c r="CI1549" i="13" s="1"/>
  <c r="CE1549" i="13"/>
  <c r="CH1549" i="13" s="1"/>
  <c r="BZ1549" i="13"/>
  <c r="CO1533" i="13"/>
  <c r="CN1533" i="13"/>
  <c r="CL1533" i="13"/>
  <c r="CJ1533" i="13"/>
  <c r="CK1533" i="13"/>
  <c r="CF1533" i="13"/>
  <c r="CI1533" i="13" s="1"/>
  <c r="BZ1533" i="13"/>
  <c r="CO1517" i="13"/>
  <c r="CN1517" i="13"/>
  <c r="CL1517" i="13"/>
  <c r="CJ1517" i="13"/>
  <c r="CK1517" i="13"/>
  <c r="CF1517" i="13"/>
  <c r="CI1517" i="13" s="1"/>
  <c r="CE1517" i="13"/>
  <c r="CH1517" i="13" s="1"/>
  <c r="CO1501" i="13"/>
  <c r="CN1501" i="13"/>
  <c r="CL1501" i="13"/>
  <c r="CJ1501" i="13"/>
  <c r="CK1501" i="13"/>
  <c r="CF1501" i="13"/>
  <c r="CI1501" i="13" s="1"/>
  <c r="CO1493" i="13"/>
  <c r="CN1493" i="13"/>
  <c r="CL1493" i="13"/>
  <c r="CJ1493" i="13"/>
  <c r="CK1493" i="13"/>
  <c r="CF1493" i="13"/>
  <c r="CI1493" i="13" s="1"/>
  <c r="CO1477" i="13"/>
  <c r="CN1477" i="13"/>
  <c r="CL1477" i="13"/>
  <c r="CJ1477" i="13"/>
  <c r="CK1477" i="13"/>
  <c r="CF1477" i="13"/>
  <c r="CI1477" i="13" s="1"/>
  <c r="CE1477" i="13"/>
  <c r="CH1477" i="13" s="1"/>
  <c r="CO1461" i="13"/>
  <c r="CN1461" i="13"/>
  <c r="CL1461" i="13"/>
  <c r="CJ1461" i="13"/>
  <c r="CK1461" i="13"/>
  <c r="CF1461" i="13"/>
  <c r="CI1461" i="13" s="1"/>
  <c r="BZ1461" i="13"/>
  <c r="CO1445" i="13"/>
  <c r="CN1445" i="13"/>
  <c r="CL1445" i="13"/>
  <c r="CJ1445" i="13"/>
  <c r="CK1445" i="13"/>
  <c r="CF1445" i="13"/>
  <c r="CI1445" i="13" s="1"/>
  <c r="CD1445" i="13"/>
  <c r="CG1445" i="13" s="1"/>
  <c r="BZ1445" i="13"/>
  <c r="CE1445" i="13"/>
  <c r="CH1445" i="13" s="1"/>
  <c r="CO1429" i="13"/>
  <c r="CN1429" i="13"/>
  <c r="CL1429" i="13"/>
  <c r="CJ1429" i="13"/>
  <c r="CK1429" i="13"/>
  <c r="CF1429" i="13"/>
  <c r="CI1429" i="13" s="1"/>
  <c r="CD1429" i="13"/>
  <c r="CG1429" i="13" s="1"/>
  <c r="BZ1429" i="13"/>
  <c r="CO1413" i="13"/>
  <c r="CN1413" i="13"/>
  <c r="CL1413" i="13"/>
  <c r="CJ1413" i="13"/>
  <c r="CK1413" i="13"/>
  <c r="CF1413" i="13"/>
  <c r="CI1413" i="13" s="1"/>
  <c r="CD1413" i="13"/>
  <c r="CG1413" i="13" s="1"/>
  <c r="BZ1413" i="13"/>
  <c r="CE1413" i="13"/>
  <c r="CH1413" i="13" s="1"/>
  <c r="CO1397" i="13"/>
  <c r="CF1397" i="13"/>
  <c r="CI1397" i="13" s="1"/>
  <c r="CD1397" i="13"/>
  <c r="CG1397" i="13" s="1"/>
  <c r="CO1381" i="13"/>
  <c r="CN1381" i="13"/>
  <c r="CL1381" i="13"/>
  <c r="CK1381" i="13"/>
  <c r="CJ1381" i="13"/>
  <c r="CF1381" i="13"/>
  <c r="CI1381" i="13" s="1"/>
  <c r="CD1381" i="13"/>
  <c r="CG1381" i="13" s="1"/>
  <c r="BY1381" i="13"/>
  <c r="CE1381" i="13"/>
  <c r="CH1381" i="13" s="1"/>
  <c r="BZ1381" i="13"/>
  <c r="CO1365" i="13"/>
  <c r="CN1365" i="13"/>
  <c r="CL1365" i="13"/>
  <c r="CJ1365" i="13"/>
  <c r="CK1365" i="13"/>
  <c r="CF1365" i="13"/>
  <c r="CI1365" i="13" s="1"/>
  <c r="CD1365" i="13"/>
  <c r="CG1365" i="13" s="1"/>
  <c r="BY1365" i="13"/>
  <c r="BZ1365" i="13"/>
  <c r="CO1349" i="13"/>
  <c r="CN1349" i="13"/>
  <c r="CL1349" i="13"/>
  <c r="CK1349" i="13"/>
  <c r="CJ1349" i="13"/>
  <c r="CF1349" i="13"/>
  <c r="CI1349" i="13" s="1"/>
  <c r="CD1349" i="13"/>
  <c r="CG1349" i="13" s="1"/>
  <c r="BY1349" i="13"/>
  <c r="CE1349" i="13"/>
  <c r="CH1349" i="13" s="1"/>
  <c r="BZ1349" i="13"/>
  <c r="CO1333" i="13"/>
  <c r="CN1333" i="13"/>
  <c r="CL1333" i="13"/>
  <c r="CK1333" i="13"/>
  <c r="CJ1333" i="13"/>
  <c r="CF1333" i="13"/>
  <c r="CI1333" i="13" s="1"/>
  <c r="CD1333" i="13"/>
  <c r="CG1333" i="13" s="1"/>
  <c r="BY1333" i="13"/>
  <c r="BZ1333" i="13"/>
  <c r="BY1493" i="13"/>
  <c r="BY1437" i="13"/>
  <c r="BZ1501" i="13"/>
  <c r="CD1565" i="13"/>
  <c r="CG1565" i="13" s="1"/>
  <c r="CD1533" i="13"/>
  <c r="CG1533" i="13" s="1"/>
  <c r="CD1501" i="13"/>
  <c r="CG1501" i="13" s="1"/>
  <c r="CD1403" i="13"/>
  <c r="CG1403" i="13" s="1"/>
  <c r="CE1565" i="13"/>
  <c r="CH1565" i="13" s="1"/>
  <c r="CO1573" i="13"/>
  <c r="CN1573" i="13"/>
  <c r="CL1573" i="13"/>
  <c r="CJ1573" i="13"/>
  <c r="CK1573" i="13"/>
  <c r="CF1573" i="13"/>
  <c r="CI1573" i="13" s="1"/>
  <c r="CE1573" i="13"/>
  <c r="CH1573" i="13" s="1"/>
  <c r="BZ1573" i="13"/>
  <c r="CO1557" i="13"/>
  <c r="CN1557" i="13"/>
  <c r="CL1557" i="13"/>
  <c r="CJ1557" i="13"/>
  <c r="CK1557" i="13"/>
  <c r="CF1557" i="13"/>
  <c r="CI1557" i="13" s="1"/>
  <c r="BZ1557" i="13"/>
  <c r="CO1541" i="13"/>
  <c r="CN1541" i="13"/>
  <c r="CL1541" i="13"/>
  <c r="CJ1541" i="13"/>
  <c r="CK1541" i="13"/>
  <c r="CF1541" i="13"/>
  <c r="CI1541" i="13" s="1"/>
  <c r="CE1541" i="13"/>
  <c r="CH1541" i="13" s="1"/>
  <c r="BZ1541" i="13"/>
  <c r="CO1525" i="13"/>
  <c r="CN1525" i="13"/>
  <c r="CL1525" i="13"/>
  <c r="CJ1525" i="13"/>
  <c r="CK1525" i="13"/>
  <c r="CF1525" i="13"/>
  <c r="CI1525" i="13" s="1"/>
  <c r="CO1509" i="13"/>
  <c r="CN1509" i="13"/>
  <c r="CL1509" i="13"/>
  <c r="CJ1509" i="13"/>
  <c r="CK1509" i="13"/>
  <c r="CF1509" i="13"/>
  <c r="CI1509" i="13" s="1"/>
  <c r="CE1509" i="13"/>
  <c r="CH1509" i="13" s="1"/>
  <c r="CO1485" i="13"/>
  <c r="CN1485" i="13"/>
  <c r="CL1485" i="13"/>
  <c r="CJ1485" i="13"/>
  <c r="CK1485" i="13"/>
  <c r="CF1485" i="13"/>
  <c r="CI1485" i="13" s="1"/>
  <c r="CE1485" i="13"/>
  <c r="CH1485" i="13" s="1"/>
  <c r="CO1469" i="13"/>
  <c r="CN1469" i="13"/>
  <c r="CL1469" i="13"/>
  <c r="CJ1469" i="13"/>
  <c r="CK1469" i="13"/>
  <c r="CF1469" i="13"/>
  <c r="CI1469" i="13" s="1"/>
  <c r="BZ1469" i="13"/>
  <c r="CO1453" i="13"/>
  <c r="CN1453" i="13"/>
  <c r="CL1453" i="13"/>
  <c r="CJ1453" i="13"/>
  <c r="CK1453" i="13"/>
  <c r="CF1453" i="13"/>
  <c r="CI1453" i="13" s="1"/>
  <c r="BZ1453" i="13"/>
  <c r="CE1453" i="13"/>
  <c r="CH1453" i="13" s="1"/>
  <c r="CO1437" i="13"/>
  <c r="CN1437" i="13"/>
  <c r="CL1437" i="13"/>
  <c r="CJ1437" i="13"/>
  <c r="CK1437" i="13"/>
  <c r="CF1437" i="13"/>
  <c r="CI1437" i="13" s="1"/>
  <c r="CD1437" i="13"/>
  <c r="CG1437" i="13" s="1"/>
  <c r="BZ1437" i="13"/>
  <c r="CO1421" i="13"/>
  <c r="CN1421" i="13"/>
  <c r="CL1421" i="13"/>
  <c r="CJ1421" i="13"/>
  <c r="CK1421" i="13"/>
  <c r="CF1421" i="13"/>
  <c r="CI1421" i="13" s="1"/>
  <c r="CD1421" i="13"/>
  <c r="CG1421" i="13" s="1"/>
  <c r="BZ1421" i="13"/>
  <c r="CE1421" i="13"/>
  <c r="CH1421" i="13" s="1"/>
  <c r="CO1405" i="13"/>
  <c r="CN1405" i="13"/>
  <c r="CL1405" i="13"/>
  <c r="CJ1405" i="13"/>
  <c r="CK1405" i="13"/>
  <c r="CF1405" i="13"/>
  <c r="CI1405" i="13" s="1"/>
  <c r="CD1405" i="13"/>
  <c r="CG1405" i="13" s="1"/>
  <c r="BZ1405" i="13"/>
  <c r="CO1389" i="13"/>
  <c r="CF1389" i="13"/>
  <c r="CI1389" i="13" s="1"/>
  <c r="CD1389" i="13"/>
  <c r="CG1389" i="13" s="1"/>
  <c r="CE1389" i="13"/>
  <c r="CH1389" i="13" s="1"/>
  <c r="CO1373" i="13"/>
  <c r="CN1373" i="13"/>
  <c r="CL1373" i="13"/>
  <c r="CJ1373" i="13"/>
  <c r="CK1373" i="13"/>
  <c r="CF1373" i="13"/>
  <c r="CI1373" i="13" s="1"/>
  <c r="CD1373" i="13"/>
  <c r="CG1373" i="13" s="1"/>
  <c r="BY1373" i="13"/>
  <c r="BZ1373" i="13"/>
  <c r="CO1357" i="13"/>
  <c r="CN1357" i="13"/>
  <c r="CL1357" i="13"/>
  <c r="CK1357" i="13"/>
  <c r="CJ1357" i="13"/>
  <c r="CF1357" i="13"/>
  <c r="CI1357" i="13" s="1"/>
  <c r="CD1357" i="13"/>
  <c r="CG1357" i="13" s="1"/>
  <c r="BY1357" i="13"/>
  <c r="BZ1357" i="13"/>
  <c r="CE1357" i="13"/>
  <c r="CH1357" i="13" s="1"/>
  <c r="CO1341" i="13"/>
  <c r="CN1341" i="13"/>
  <c r="CL1341" i="13"/>
  <c r="CK1341" i="13"/>
  <c r="CJ1341" i="13"/>
  <c r="CF1341" i="13"/>
  <c r="CI1341" i="13" s="1"/>
  <c r="CD1341" i="13"/>
  <c r="CG1341" i="13" s="1"/>
  <c r="BY1341" i="13"/>
  <c r="BZ1341" i="13"/>
  <c r="CO1325" i="13"/>
  <c r="CN1325" i="13"/>
  <c r="CL1325" i="13"/>
  <c r="CK1325" i="13"/>
  <c r="CJ1325" i="13"/>
  <c r="CF1325" i="13"/>
  <c r="CI1325" i="13" s="1"/>
  <c r="CD1325" i="13"/>
  <c r="CG1325" i="13" s="1"/>
  <c r="BY1325" i="13"/>
  <c r="BZ1325" i="13"/>
  <c r="CE1325" i="13"/>
  <c r="CH1325" i="13" s="1"/>
  <c r="CO1317" i="13"/>
  <c r="CF1317" i="13"/>
  <c r="CI1317" i="13" s="1"/>
  <c r="CD1317" i="13"/>
  <c r="CG1317" i="13" s="1"/>
  <c r="CE1317" i="13"/>
  <c r="CH1317" i="13" s="1"/>
  <c r="CO1309" i="13"/>
  <c r="CF1309" i="13"/>
  <c r="CI1309" i="13" s="1"/>
  <c r="CD1309" i="13"/>
  <c r="CG1309" i="13" s="1"/>
  <c r="CO1588" i="13"/>
  <c r="CN1588" i="13"/>
  <c r="CK1588" i="13"/>
  <c r="CL1588" i="13"/>
  <c r="CJ1588" i="13"/>
  <c r="CF1588" i="13"/>
  <c r="CI1588" i="13" s="1"/>
  <c r="CE1588" i="13"/>
  <c r="CH1588" i="13" s="1"/>
  <c r="CD1588" i="13"/>
  <c r="CG1588" i="13" s="1"/>
  <c r="CO1580" i="13"/>
  <c r="CN1580" i="13"/>
  <c r="CK1580" i="13"/>
  <c r="CL1580" i="13"/>
  <c r="CJ1580" i="13"/>
  <c r="CF1580" i="13"/>
  <c r="CI1580" i="13" s="1"/>
  <c r="CE1580" i="13"/>
  <c r="CH1580" i="13" s="1"/>
  <c r="CD1580" i="13"/>
  <c r="CG1580" i="13" s="1"/>
  <c r="CO1572" i="13"/>
  <c r="CN1572" i="13"/>
  <c r="CK1572" i="13"/>
  <c r="CL1572" i="13"/>
  <c r="CJ1572" i="13"/>
  <c r="CF1572" i="13"/>
  <c r="CI1572" i="13" s="1"/>
  <c r="CE1572" i="13"/>
  <c r="CH1572" i="13" s="1"/>
  <c r="CD1572" i="13"/>
  <c r="CG1572" i="13" s="1"/>
  <c r="CO1564" i="13"/>
  <c r="CN1564" i="13"/>
  <c r="CK1564" i="13"/>
  <c r="CL1564" i="13"/>
  <c r="CJ1564" i="13"/>
  <c r="CF1564" i="13"/>
  <c r="CI1564" i="13" s="1"/>
  <c r="CE1564" i="13"/>
  <c r="CH1564" i="13" s="1"/>
  <c r="CD1564" i="13"/>
  <c r="CG1564" i="13" s="1"/>
  <c r="CO1556" i="13"/>
  <c r="CN1556" i="13"/>
  <c r="CK1556" i="13"/>
  <c r="CL1556" i="13"/>
  <c r="CJ1556" i="13"/>
  <c r="CF1556" i="13"/>
  <c r="CI1556" i="13" s="1"/>
  <c r="CE1556" i="13"/>
  <c r="CH1556" i="13" s="1"/>
  <c r="CD1556" i="13"/>
  <c r="CG1556" i="13" s="1"/>
  <c r="CO1548" i="13"/>
  <c r="CK1548" i="13"/>
  <c r="CL1548" i="13"/>
  <c r="CN1548" i="13"/>
  <c r="CJ1548" i="13"/>
  <c r="CF1548" i="13"/>
  <c r="CI1548" i="13" s="1"/>
  <c r="CE1548" i="13"/>
  <c r="CH1548" i="13" s="1"/>
  <c r="CD1548" i="13"/>
  <c r="CG1548" i="13" s="1"/>
  <c r="CO1540" i="13"/>
  <c r="CN1540" i="13"/>
  <c r="CK1540" i="13"/>
  <c r="CL1540" i="13"/>
  <c r="CJ1540" i="13"/>
  <c r="CF1540" i="13"/>
  <c r="CI1540" i="13" s="1"/>
  <c r="CE1540" i="13"/>
  <c r="CH1540" i="13" s="1"/>
  <c r="CD1540" i="13"/>
  <c r="CG1540" i="13" s="1"/>
  <c r="CO1532" i="13"/>
  <c r="CN1532" i="13"/>
  <c r="CK1532" i="13"/>
  <c r="CL1532" i="13"/>
  <c r="CJ1532" i="13"/>
  <c r="CF1532" i="13"/>
  <c r="CI1532" i="13" s="1"/>
  <c r="CE1532" i="13"/>
  <c r="CH1532" i="13" s="1"/>
  <c r="CD1532" i="13"/>
  <c r="CG1532" i="13" s="1"/>
  <c r="CO1524" i="13"/>
  <c r="CN1524" i="13"/>
  <c r="CL1524" i="13"/>
  <c r="CJ1524" i="13"/>
  <c r="CK1524" i="13"/>
  <c r="CF1524" i="13"/>
  <c r="CI1524" i="13" s="1"/>
  <c r="CE1524" i="13"/>
  <c r="CH1524" i="13" s="1"/>
  <c r="CD1524" i="13"/>
  <c r="CG1524" i="13" s="1"/>
  <c r="BZ1524" i="13"/>
  <c r="CO1516" i="13"/>
  <c r="CN1516" i="13"/>
  <c r="CL1516" i="13"/>
  <c r="CJ1516" i="13"/>
  <c r="CK1516" i="13"/>
  <c r="CF1516" i="13"/>
  <c r="CI1516" i="13" s="1"/>
  <c r="CE1516" i="13"/>
  <c r="CH1516" i="13" s="1"/>
  <c r="CD1516" i="13"/>
  <c r="CG1516" i="13" s="1"/>
  <c r="BZ1516" i="13"/>
  <c r="CO1508" i="13"/>
  <c r="CN1508" i="13"/>
  <c r="CL1508" i="13"/>
  <c r="CJ1508" i="13"/>
  <c r="CK1508" i="13"/>
  <c r="CF1508" i="13"/>
  <c r="CI1508" i="13" s="1"/>
  <c r="CE1508" i="13"/>
  <c r="CH1508" i="13" s="1"/>
  <c r="CD1508" i="13"/>
  <c r="CG1508" i="13" s="1"/>
  <c r="BZ1508" i="13"/>
  <c r="CO1500" i="13"/>
  <c r="CN1500" i="13"/>
  <c r="CL1500" i="13"/>
  <c r="CJ1500" i="13"/>
  <c r="CK1500" i="13"/>
  <c r="CF1500" i="13"/>
  <c r="CI1500" i="13" s="1"/>
  <c r="CE1500" i="13"/>
  <c r="CH1500" i="13" s="1"/>
  <c r="CD1500" i="13"/>
  <c r="CG1500" i="13" s="1"/>
  <c r="BZ1500" i="13"/>
  <c r="CO1492" i="13"/>
  <c r="CN1492" i="13"/>
  <c r="CL1492" i="13"/>
  <c r="CJ1492" i="13"/>
  <c r="CK1492" i="13"/>
  <c r="CF1492" i="13"/>
  <c r="CI1492" i="13" s="1"/>
  <c r="CE1492" i="13"/>
  <c r="CH1492" i="13" s="1"/>
  <c r="CD1492" i="13"/>
  <c r="CG1492" i="13" s="1"/>
  <c r="BZ1492" i="13"/>
  <c r="CO1484" i="13"/>
  <c r="CN1484" i="13"/>
  <c r="CL1484" i="13"/>
  <c r="CJ1484" i="13"/>
  <c r="CK1484" i="13"/>
  <c r="CF1484" i="13"/>
  <c r="CI1484" i="13" s="1"/>
  <c r="CE1484" i="13"/>
  <c r="CH1484" i="13" s="1"/>
  <c r="CD1484" i="13"/>
  <c r="CG1484" i="13" s="1"/>
  <c r="BZ1484" i="13"/>
  <c r="CO1476" i="13"/>
  <c r="CN1476" i="13"/>
  <c r="CL1476" i="13"/>
  <c r="CJ1476" i="13"/>
  <c r="CK1476" i="13"/>
  <c r="CF1476" i="13"/>
  <c r="CI1476" i="13" s="1"/>
  <c r="CE1476" i="13"/>
  <c r="CH1476" i="13" s="1"/>
  <c r="CD1476" i="13"/>
  <c r="CG1476" i="13" s="1"/>
  <c r="BZ1476" i="13"/>
  <c r="CO1468" i="13"/>
  <c r="CN1468" i="13"/>
  <c r="CL1468" i="13"/>
  <c r="CJ1468" i="13"/>
  <c r="CK1468" i="13"/>
  <c r="CF1468" i="13"/>
  <c r="CI1468" i="13" s="1"/>
  <c r="CE1468" i="13"/>
  <c r="CH1468" i="13" s="1"/>
  <c r="CD1468" i="13"/>
  <c r="CG1468" i="13" s="1"/>
  <c r="CO1460" i="13"/>
  <c r="CN1460" i="13"/>
  <c r="CL1460" i="13"/>
  <c r="CJ1460" i="13"/>
  <c r="CK1460" i="13"/>
  <c r="CF1460" i="13"/>
  <c r="CI1460" i="13" s="1"/>
  <c r="CE1460" i="13"/>
  <c r="CH1460" i="13" s="1"/>
  <c r="CD1460" i="13"/>
  <c r="CG1460" i="13" s="1"/>
  <c r="CO1452" i="13"/>
  <c r="CN1452" i="13"/>
  <c r="CL1452" i="13"/>
  <c r="CJ1452" i="13"/>
  <c r="CK1452" i="13"/>
  <c r="CF1452" i="13"/>
  <c r="CI1452" i="13" s="1"/>
  <c r="CE1452" i="13"/>
  <c r="CH1452" i="13" s="1"/>
  <c r="CD1452" i="13"/>
  <c r="CG1452" i="13" s="1"/>
  <c r="CO1444" i="13"/>
  <c r="CN1444" i="13"/>
  <c r="CL1444" i="13"/>
  <c r="CJ1444" i="13"/>
  <c r="CK1444" i="13"/>
  <c r="CF1444" i="13"/>
  <c r="CI1444" i="13" s="1"/>
  <c r="CD1444" i="13"/>
  <c r="CG1444" i="13" s="1"/>
  <c r="CE1444" i="13"/>
  <c r="CH1444" i="13" s="1"/>
  <c r="BY1444" i="13"/>
  <c r="CO1436" i="13"/>
  <c r="CN1436" i="13"/>
  <c r="CL1436" i="13"/>
  <c r="CJ1436" i="13"/>
  <c r="CK1436" i="13"/>
  <c r="CF1436" i="13"/>
  <c r="CI1436" i="13" s="1"/>
  <c r="CD1436" i="13"/>
  <c r="CG1436" i="13" s="1"/>
  <c r="CE1436" i="13"/>
  <c r="CH1436" i="13" s="1"/>
  <c r="BY1436" i="13"/>
  <c r="CO1428" i="13"/>
  <c r="CN1428" i="13"/>
  <c r="CL1428" i="13"/>
  <c r="CJ1428" i="13"/>
  <c r="CK1428" i="13"/>
  <c r="CF1428" i="13"/>
  <c r="CI1428" i="13" s="1"/>
  <c r="CD1428" i="13"/>
  <c r="CG1428" i="13" s="1"/>
  <c r="CE1428" i="13"/>
  <c r="CH1428" i="13" s="1"/>
  <c r="BY1428" i="13"/>
  <c r="CO1420" i="13"/>
  <c r="CN1420" i="13"/>
  <c r="CL1420" i="13"/>
  <c r="CJ1420" i="13"/>
  <c r="CK1420" i="13"/>
  <c r="CF1420" i="13"/>
  <c r="CI1420" i="13" s="1"/>
  <c r="CD1420" i="13"/>
  <c r="CG1420" i="13" s="1"/>
  <c r="CE1420" i="13"/>
  <c r="CH1420" i="13" s="1"/>
  <c r="BY1420" i="13"/>
  <c r="CO1412" i="13"/>
  <c r="CN1412" i="13"/>
  <c r="CL1412" i="13"/>
  <c r="CJ1412" i="13"/>
  <c r="CK1412" i="13"/>
  <c r="CF1412" i="13"/>
  <c r="CI1412" i="13" s="1"/>
  <c r="CD1412" i="13"/>
  <c r="CG1412" i="13" s="1"/>
  <c r="CE1412" i="13"/>
  <c r="CH1412" i="13" s="1"/>
  <c r="BY1412" i="13"/>
  <c r="CO1404" i="13"/>
  <c r="CN1404" i="13"/>
  <c r="CL1404" i="13"/>
  <c r="CK1404" i="13"/>
  <c r="CJ1404" i="13"/>
  <c r="CF1404" i="13"/>
  <c r="CI1404" i="13" s="1"/>
  <c r="CD1404" i="13"/>
  <c r="CG1404" i="13" s="1"/>
  <c r="CE1404" i="13"/>
  <c r="CH1404" i="13" s="1"/>
  <c r="BY1404" i="13"/>
  <c r="CO1396" i="13"/>
  <c r="CF1396" i="13"/>
  <c r="CI1396" i="13" s="1"/>
  <c r="CD1396" i="13"/>
  <c r="CG1396" i="13" s="1"/>
  <c r="CE1396" i="13"/>
  <c r="CH1396" i="13" s="1"/>
  <c r="CO1388" i="13"/>
  <c r="CF1388" i="13"/>
  <c r="CI1388" i="13" s="1"/>
  <c r="CD1388" i="13"/>
  <c r="CG1388" i="13" s="1"/>
  <c r="CE1388" i="13"/>
  <c r="CH1388" i="13" s="1"/>
  <c r="CO1380" i="13"/>
  <c r="CN1380" i="13"/>
  <c r="CL1380" i="13"/>
  <c r="CK1380" i="13"/>
  <c r="CJ1380" i="13"/>
  <c r="CF1380" i="13"/>
  <c r="CI1380" i="13" s="1"/>
  <c r="CD1380" i="13"/>
  <c r="CG1380" i="13" s="1"/>
  <c r="CE1380" i="13"/>
  <c r="CH1380" i="13" s="1"/>
  <c r="BZ1380" i="13"/>
  <c r="CO1372" i="13"/>
  <c r="CN1372" i="13"/>
  <c r="CL1372" i="13"/>
  <c r="CJ1372" i="13"/>
  <c r="CK1372" i="13"/>
  <c r="CF1372" i="13"/>
  <c r="CI1372" i="13" s="1"/>
  <c r="CD1372" i="13"/>
  <c r="CG1372" i="13" s="1"/>
  <c r="BZ1372" i="13"/>
  <c r="CE1372" i="13"/>
  <c r="CH1372" i="13" s="1"/>
  <c r="CO1364" i="13"/>
  <c r="CN1364" i="13"/>
  <c r="CL1364" i="13"/>
  <c r="CJ1364" i="13"/>
  <c r="CK1364" i="13"/>
  <c r="CF1364" i="13"/>
  <c r="CI1364" i="13" s="1"/>
  <c r="CD1364" i="13"/>
  <c r="CG1364" i="13" s="1"/>
  <c r="BZ1364" i="13"/>
  <c r="CE1364" i="13"/>
  <c r="CH1364" i="13" s="1"/>
  <c r="CO1356" i="13"/>
  <c r="CN1356" i="13"/>
  <c r="CL1356" i="13"/>
  <c r="CK1356" i="13"/>
  <c r="CJ1356" i="13"/>
  <c r="CF1356" i="13"/>
  <c r="CI1356" i="13" s="1"/>
  <c r="CD1356" i="13"/>
  <c r="CG1356" i="13" s="1"/>
  <c r="BZ1356" i="13"/>
  <c r="CE1356" i="13"/>
  <c r="CH1356" i="13" s="1"/>
  <c r="CO1348" i="13"/>
  <c r="CN1348" i="13"/>
  <c r="CL1348" i="13"/>
  <c r="CK1348" i="13"/>
  <c r="CJ1348" i="13"/>
  <c r="CF1348" i="13"/>
  <c r="CI1348" i="13" s="1"/>
  <c r="CD1348" i="13"/>
  <c r="CG1348" i="13" s="1"/>
  <c r="CE1348" i="13"/>
  <c r="CH1348" i="13" s="1"/>
  <c r="BZ1348" i="13"/>
  <c r="CO1340" i="13"/>
  <c r="CN1340" i="13"/>
  <c r="CL1340" i="13"/>
  <c r="CK1340" i="13"/>
  <c r="CJ1340" i="13"/>
  <c r="CF1340" i="13"/>
  <c r="CI1340" i="13" s="1"/>
  <c r="CD1340" i="13"/>
  <c r="CG1340" i="13" s="1"/>
  <c r="BZ1340" i="13"/>
  <c r="CE1340" i="13"/>
  <c r="CH1340" i="13" s="1"/>
  <c r="CO1332" i="13"/>
  <c r="CN1332" i="13"/>
  <c r="CL1332" i="13"/>
  <c r="CK1332" i="13"/>
  <c r="CJ1332" i="13"/>
  <c r="CF1332" i="13"/>
  <c r="CI1332" i="13" s="1"/>
  <c r="CD1332" i="13"/>
  <c r="CG1332" i="13" s="1"/>
  <c r="BZ1332" i="13"/>
  <c r="CE1332" i="13"/>
  <c r="CH1332" i="13" s="1"/>
  <c r="CO1324" i="13"/>
  <c r="CN1324" i="13"/>
  <c r="CL1324" i="13"/>
  <c r="CK1324" i="13"/>
  <c r="CJ1324" i="13"/>
  <c r="CF1324" i="13"/>
  <c r="CI1324" i="13" s="1"/>
  <c r="CD1324" i="13"/>
  <c r="CG1324" i="13" s="1"/>
  <c r="BZ1324" i="13"/>
  <c r="CE1324" i="13"/>
  <c r="CH1324" i="13" s="1"/>
  <c r="CO1316" i="13"/>
  <c r="CF1316" i="13"/>
  <c r="CI1316" i="13" s="1"/>
  <c r="CD1316" i="13"/>
  <c r="CG1316" i="13" s="1"/>
  <c r="CE1316" i="13"/>
  <c r="CH1316" i="13" s="1"/>
  <c r="CO1308" i="13"/>
  <c r="CF1308" i="13"/>
  <c r="CI1308" i="13" s="1"/>
  <c r="CD1308" i="13"/>
  <c r="CG1308" i="13" s="1"/>
  <c r="CE1308" i="13"/>
  <c r="CH1308" i="13" s="1"/>
  <c r="BY1470" i="13"/>
  <c r="BY1398" i="13"/>
  <c r="BY1390" i="13"/>
  <c r="BY1318" i="13"/>
  <c r="BY1310" i="13"/>
  <c r="BY1535" i="13"/>
  <c r="BY1524" i="13"/>
  <c r="BY1492" i="13"/>
  <c r="BY1469" i="13"/>
  <c r="BY1459" i="13"/>
  <c r="BZ1564" i="13"/>
  <c r="BZ1532" i="13"/>
  <c r="BZ1499" i="13"/>
  <c r="CD1467" i="13"/>
  <c r="CG1467" i="13" s="1"/>
  <c r="CE1557" i="13"/>
  <c r="CH1557" i="13" s="1"/>
  <c r="CE1429" i="13"/>
  <c r="CH1429" i="13" s="1"/>
  <c r="CO1595" i="13"/>
  <c r="CN1595" i="13"/>
  <c r="CL1595" i="13"/>
  <c r="CJ1595" i="13"/>
  <c r="CK1595" i="13"/>
  <c r="CF1595" i="13"/>
  <c r="CI1595" i="13" s="1"/>
  <c r="CE1595" i="13"/>
  <c r="CH1595" i="13" s="1"/>
  <c r="BZ1595" i="13"/>
  <c r="BZ1596" i="13" s="1"/>
  <c r="BZ1597" i="13" s="1"/>
  <c r="BZ1598" i="13" s="1"/>
  <c r="BZ1599" i="13" s="1"/>
  <c r="BZ1600" i="13" s="1"/>
  <c r="BZ1601" i="13" s="1"/>
  <c r="BZ1602" i="13" s="1"/>
  <c r="BZ1603" i="13" s="1"/>
  <c r="BZ1604" i="13" s="1"/>
  <c r="BZ1605" i="13" s="1"/>
  <c r="BZ1606" i="13" s="1"/>
  <c r="BZ1607" i="13" s="1"/>
  <c r="BZ1608" i="13" s="1"/>
  <c r="CO1571" i="13"/>
  <c r="CN1571" i="13"/>
  <c r="CL1571" i="13"/>
  <c r="CJ1571" i="13"/>
  <c r="CK1571" i="13"/>
  <c r="CF1571" i="13"/>
  <c r="CI1571" i="13" s="1"/>
  <c r="CE1571" i="13"/>
  <c r="CH1571" i="13" s="1"/>
  <c r="BZ1571" i="13"/>
  <c r="CO1539" i="13"/>
  <c r="CN1539" i="13"/>
  <c r="CL1539" i="13"/>
  <c r="CJ1539" i="13"/>
  <c r="CK1539" i="13"/>
  <c r="CF1539" i="13"/>
  <c r="CI1539" i="13" s="1"/>
  <c r="CE1539" i="13"/>
  <c r="CH1539" i="13" s="1"/>
  <c r="BZ1539" i="13"/>
  <c r="CO1515" i="13"/>
  <c r="CN1515" i="13"/>
  <c r="CK1515" i="13"/>
  <c r="CL1515" i="13"/>
  <c r="CJ1515" i="13"/>
  <c r="CF1515" i="13"/>
  <c r="CI1515" i="13" s="1"/>
  <c r="CE1515" i="13"/>
  <c r="CH1515" i="13" s="1"/>
  <c r="CO1483" i="13"/>
  <c r="CN1483" i="13"/>
  <c r="CK1483" i="13"/>
  <c r="CL1483" i="13"/>
  <c r="CF1483" i="13"/>
  <c r="CI1483" i="13" s="1"/>
  <c r="CE1483" i="13"/>
  <c r="CH1483" i="13" s="1"/>
  <c r="CJ1483" i="13"/>
  <c r="CO1451" i="13"/>
  <c r="CN1451" i="13"/>
  <c r="CJ1451" i="13"/>
  <c r="CK1451" i="13"/>
  <c r="CL1451" i="13"/>
  <c r="CF1451" i="13"/>
  <c r="CI1451" i="13" s="1"/>
  <c r="CE1451" i="13"/>
  <c r="CH1451" i="13" s="1"/>
  <c r="BZ1451" i="13"/>
  <c r="CO1403" i="13"/>
  <c r="CN1403" i="13"/>
  <c r="CJ1403" i="13"/>
  <c r="CK1403" i="13"/>
  <c r="CL1403" i="13"/>
  <c r="CF1403" i="13"/>
  <c r="CI1403" i="13" s="1"/>
  <c r="CE1403" i="13"/>
  <c r="CH1403" i="13" s="1"/>
  <c r="BZ1403" i="13"/>
  <c r="BY1317" i="13"/>
  <c r="BY1501" i="13"/>
  <c r="BZ1525" i="13"/>
  <c r="CD1589" i="13"/>
  <c r="CG1589" i="13" s="1"/>
  <c r="CD1525" i="13"/>
  <c r="CG1525" i="13" s="1"/>
  <c r="CD1493" i="13"/>
  <c r="CG1493" i="13" s="1"/>
  <c r="CD1371" i="13"/>
  <c r="CG1371" i="13" s="1"/>
  <c r="CE1533" i="13"/>
  <c r="CH1533" i="13" s="1"/>
  <c r="CE1405" i="13"/>
  <c r="CH1405" i="13" s="1"/>
  <c r="CO1594" i="13"/>
  <c r="CN1594" i="13"/>
  <c r="CJ1594" i="13"/>
  <c r="CK1594" i="13"/>
  <c r="CL1594" i="13"/>
  <c r="CF1594" i="13"/>
  <c r="CI1594" i="13" s="1"/>
  <c r="CE1594" i="13"/>
  <c r="CH1594" i="13" s="1"/>
  <c r="BZ1594" i="13"/>
  <c r="CD1594" i="13"/>
  <c r="CG1594" i="13" s="1"/>
  <c r="CO1586" i="13"/>
  <c r="CN1586" i="13"/>
  <c r="CL1586" i="13"/>
  <c r="CJ1586" i="13"/>
  <c r="CK1586" i="13"/>
  <c r="CF1586" i="13"/>
  <c r="CI1586" i="13" s="1"/>
  <c r="CE1586" i="13"/>
  <c r="CH1586" i="13" s="1"/>
  <c r="BZ1586" i="13"/>
  <c r="CD1586" i="13"/>
  <c r="CG1586" i="13" s="1"/>
  <c r="CO1578" i="13"/>
  <c r="CN1578" i="13"/>
  <c r="CL1578" i="13"/>
  <c r="CJ1578" i="13"/>
  <c r="CK1578" i="13"/>
  <c r="CF1578" i="13"/>
  <c r="CI1578" i="13" s="1"/>
  <c r="CE1578" i="13"/>
  <c r="CH1578" i="13" s="1"/>
  <c r="BZ1578" i="13"/>
  <c r="CD1578" i="13"/>
  <c r="CG1578" i="13" s="1"/>
  <c r="CO1570" i="13"/>
  <c r="CN1570" i="13"/>
  <c r="CL1570" i="13"/>
  <c r="CJ1570" i="13"/>
  <c r="CK1570" i="13"/>
  <c r="CF1570" i="13"/>
  <c r="CI1570" i="13" s="1"/>
  <c r="CE1570" i="13"/>
  <c r="CH1570" i="13" s="1"/>
  <c r="BZ1570" i="13"/>
  <c r="CD1570" i="13"/>
  <c r="CG1570" i="13" s="1"/>
  <c r="CO1562" i="13"/>
  <c r="CN1562" i="13"/>
  <c r="CJ1562" i="13"/>
  <c r="CL1562" i="13"/>
  <c r="CK1562" i="13"/>
  <c r="CF1562" i="13"/>
  <c r="CI1562" i="13" s="1"/>
  <c r="CE1562" i="13"/>
  <c r="CH1562" i="13" s="1"/>
  <c r="BZ1562" i="13"/>
  <c r="CD1562" i="13"/>
  <c r="CG1562" i="13" s="1"/>
  <c r="CO1554" i="13"/>
  <c r="CN1554" i="13"/>
  <c r="CL1554" i="13"/>
  <c r="CJ1554" i="13"/>
  <c r="CK1554" i="13"/>
  <c r="CF1554" i="13"/>
  <c r="CI1554" i="13" s="1"/>
  <c r="CE1554" i="13"/>
  <c r="CH1554" i="13" s="1"/>
  <c r="BZ1554" i="13"/>
  <c r="CD1554" i="13"/>
  <c r="CG1554" i="13" s="1"/>
  <c r="CO1546" i="13"/>
  <c r="CN1546" i="13"/>
  <c r="CL1546" i="13"/>
  <c r="CJ1546" i="13"/>
  <c r="CK1546" i="13"/>
  <c r="CF1546" i="13"/>
  <c r="CI1546" i="13" s="1"/>
  <c r="CE1546" i="13"/>
  <c r="CH1546" i="13" s="1"/>
  <c r="BZ1546" i="13"/>
  <c r="CD1546" i="13"/>
  <c r="CG1546" i="13" s="1"/>
  <c r="CO1538" i="13"/>
  <c r="CN1538" i="13"/>
  <c r="CL1538" i="13"/>
  <c r="CJ1538" i="13"/>
  <c r="CK1538" i="13"/>
  <c r="CF1538" i="13"/>
  <c r="CI1538" i="13" s="1"/>
  <c r="CE1538" i="13"/>
  <c r="CH1538" i="13" s="1"/>
  <c r="BZ1538" i="13"/>
  <c r="CD1538" i="13"/>
  <c r="CG1538" i="13" s="1"/>
  <c r="CO1530" i="13"/>
  <c r="CN1530" i="13"/>
  <c r="CL1530" i="13"/>
  <c r="CJ1530" i="13"/>
  <c r="CK1530" i="13"/>
  <c r="CF1530" i="13"/>
  <c r="CI1530" i="13" s="1"/>
  <c r="CE1530" i="13"/>
  <c r="CH1530" i="13" s="1"/>
  <c r="BY1530" i="13"/>
  <c r="CD1530" i="13"/>
  <c r="CG1530" i="13" s="1"/>
  <c r="BZ1530" i="13"/>
  <c r="CO1522" i="13"/>
  <c r="CN1522" i="13"/>
  <c r="CL1522" i="13"/>
  <c r="CJ1522" i="13"/>
  <c r="CK1522" i="13"/>
  <c r="CF1522" i="13"/>
  <c r="CI1522" i="13" s="1"/>
  <c r="CE1522" i="13"/>
  <c r="CH1522" i="13" s="1"/>
  <c r="BY1522" i="13"/>
  <c r="CD1522" i="13"/>
  <c r="CG1522" i="13" s="1"/>
  <c r="BZ1522" i="13"/>
  <c r="CO1514" i="13"/>
  <c r="CN1514" i="13"/>
  <c r="CL1514" i="13"/>
  <c r="CJ1514" i="13"/>
  <c r="CF1514" i="13"/>
  <c r="CI1514" i="13" s="1"/>
  <c r="CK1514" i="13"/>
  <c r="CE1514" i="13"/>
  <c r="CH1514" i="13" s="1"/>
  <c r="BY1514" i="13"/>
  <c r="CD1514" i="13"/>
  <c r="CG1514" i="13" s="1"/>
  <c r="BZ1514" i="13"/>
  <c r="CO1506" i="13"/>
  <c r="CN1506" i="13"/>
  <c r="CL1506" i="13"/>
  <c r="CJ1506" i="13"/>
  <c r="CK1506" i="13"/>
  <c r="CF1506" i="13"/>
  <c r="CI1506" i="13" s="1"/>
  <c r="CE1506" i="13"/>
  <c r="CH1506" i="13" s="1"/>
  <c r="BY1506" i="13"/>
  <c r="CD1506" i="13"/>
  <c r="CG1506" i="13" s="1"/>
  <c r="BZ1506" i="13"/>
  <c r="CO1498" i="13"/>
  <c r="CN1498" i="13"/>
  <c r="CL1498" i="13"/>
  <c r="CJ1498" i="13"/>
  <c r="CK1498" i="13"/>
  <c r="CF1498" i="13"/>
  <c r="CI1498" i="13" s="1"/>
  <c r="CE1498" i="13"/>
  <c r="CH1498" i="13" s="1"/>
  <c r="BY1498" i="13"/>
  <c r="CD1498" i="13"/>
  <c r="CG1498" i="13" s="1"/>
  <c r="BZ1498" i="13"/>
  <c r="CO1490" i="13"/>
  <c r="CN1490" i="13"/>
  <c r="CL1490" i="13"/>
  <c r="CJ1490" i="13"/>
  <c r="CK1490" i="13"/>
  <c r="CF1490" i="13"/>
  <c r="CI1490" i="13" s="1"/>
  <c r="CE1490" i="13"/>
  <c r="CH1490" i="13" s="1"/>
  <c r="BY1490" i="13"/>
  <c r="CD1490" i="13"/>
  <c r="CG1490" i="13" s="1"/>
  <c r="BZ1490" i="13"/>
  <c r="CO1482" i="13"/>
  <c r="CN1482" i="13"/>
  <c r="CL1482" i="13"/>
  <c r="CF1482" i="13"/>
  <c r="CI1482" i="13" s="1"/>
  <c r="CK1482" i="13"/>
  <c r="CE1482" i="13"/>
  <c r="CH1482" i="13" s="1"/>
  <c r="CJ1482" i="13"/>
  <c r="BY1482" i="13"/>
  <c r="CD1482" i="13"/>
  <c r="CG1482" i="13" s="1"/>
  <c r="BZ1482" i="13"/>
  <c r="CO1474" i="13"/>
  <c r="CN1474" i="13"/>
  <c r="CL1474" i="13"/>
  <c r="CJ1474" i="13"/>
  <c r="CK1474" i="13"/>
  <c r="CF1474" i="13"/>
  <c r="CI1474" i="13" s="1"/>
  <c r="CE1474" i="13"/>
  <c r="CH1474" i="13" s="1"/>
  <c r="BY1474" i="13"/>
  <c r="CD1474" i="13"/>
  <c r="CG1474" i="13" s="1"/>
  <c r="BZ1474" i="13"/>
  <c r="CO1466" i="13"/>
  <c r="CN1466" i="13"/>
  <c r="CL1466" i="13"/>
  <c r="CK1466" i="13"/>
  <c r="CJ1466" i="13"/>
  <c r="CF1466" i="13"/>
  <c r="CI1466" i="13" s="1"/>
  <c r="CE1466" i="13"/>
  <c r="CH1466" i="13" s="1"/>
  <c r="CD1466" i="13"/>
  <c r="CG1466" i="13" s="1"/>
  <c r="CO1458" i="13"/>
  <c r="CN1458" i="13"/>
  <c r="CL1458" i="13"/>
  <c r="CK1458" i="13"/>
  <c r="CJ1458" i="13"/>
  <c r="CF1458" i="13"/>
  <c r="CI1458" i="13" s="1"/>
  <c r="CE1458" i="13"/>
  <c r="CH1458" i="13" s="1"/>
  <c r="CD1458" i="13"/>
  <c r="CG1458" i="13" s="1"/>
  <c r="BY1458" i="13"/>
  <c r="CO1450" i="13"/>
  <c r="CN1450" i="13"/>
  <c r="CL1450" i="13"/>
  <c r="CK1450" i="13"/>
  <c r="CF1450" i="13"/>
  <c r="CI1450" i="13" s="1"/>
  <c r="CJ1450" i="13"/>
  <c r="CE1450" i="13"/>
  <c r="CH1450" i="13" s="1"/>
  <c r="CD1450" i="13"/>
  <c r="CG1450" i="13" s="1"/>
  <c r="BY1450" i="13"/>
  <c r="CO1442" i="13"/>
  <c r="CN1442" i="13"/>
  <c r="CL1442" i="13"/>
  <c r="CK1442" i="13"/>
  <c r="CJ1442" i="13"/>
  <c r="CF1442" i="13"/>
  <c r="CI1442" i="13" s="1"/>
  <c r="CE1442" i="13"/>
  <c r="CH1442" i="13" s="1"/>
  <c r="CD1442" i="13"/>
  <c r="CG1442" i="13" s="1"/>
  <c r="BY1442" i="13"/>
  <c r="CO1434" i="13"/>
  <c r="CN1434" i="13"/>
  <c r="CL1434" i="13"/>
  <c r="CK1434" i="13"/>
  <c r="CJ1434" i="13"/>
  <c r="CF1434" i="13"/>
  <c r="CI1434" i="13" s="1"/>
  <c r="CE1434" i="13"/>
  <c r="CH1434" i="13" s="1"/>
  <c r="BY1434" i="13"/>
  <c r="CD1434" i="13"/>
  <c r="CG1434" i="13" s="1"/>
  <c r="CO1426" i="13"/>
  <c r="CN1426" i="13"/>
  <c r="CL1426" i="13"/>
  <c r="CK1426" i="13"/>
  <c r="CJ1426" i="13"/>
  <c r="CF1426" i="13"/>
  <c r="CI1426" i="13" s="1"/>
  <c r="CE1426" i="13"/>
  <c r="CH1426" i="13" s="1"/>
  <c r="CD1426" i="13"/>
  <c r="CG1426" i="13" s="1"/>
  <c r="BY1426" i="13"/>
  <c r="CO1418" i="13"/>
  <c r="CN1418" i="13"/>
  <c r="CL1418" i="13"/>
  <c r="CK1418" i="13"/>
  <c r="CF1418" i="13"/>
  <c r="CI1418" i="13" s="1"/>
  <c r="CJ1418" i="13"/>
  <c r="CE1418" i="13"/>
  <c r="CH1418" i="13" s="1"/>
  <c r="CD1418" i="13"/>
  <c r="CG1418" i="13" s="1"/>
  <c r="BY1418" i="13"/>
  <c r="CO1410" i="13"/>
  <c r="CN1410" i="13"/>
  <c r="CL1410" i="13"/>
  <c r="CK1410" i="13"/>
  <c r="CJ1410" i="13"/>
  <c r="CF1410" i="13"/>
  <c r="CI1410" i="13" s="1"/>
  <c r="CE1410" i="13"/>
  <c r="CH1410" i="13" s="1"/>
  <c r="CD1410" i="13"/>
  <c r="CG1410" i="13" s="1"/>
  <c r="BY1410" i="13"/>
  <c r="CO1402" i="13"/>
  <c r="CF1402" i="13"/>
  <c r="CI1402" i="13" s="1"/>
  <c r="CE1402" i="13"/>
  <c r="CH1402" i="13" s="1"/>
  <c r="BY1402" i="13"/>
  <c r="CD1402" i="13"/>
  <c r="CG1402" i="13" s="1"/>
  <c r="CO1394" i="13"/>
  <c r="CF1394" i="13"/>
  <c r="CI1394" i="13" s="1"/>
  <c r="CE1394" i="13"/>
  <c r="CH1394" i="13" s="1"/>
  <c r="CD1394" i="13"/>
  <c r="CG1394" i="13" s="1"/>
  <c r="CO1386" i="13"/>
  <c r="CF1386" i="13"/>
  <c r="CI1386" i="13" s="1"/>
  <c r="CE1386" i="13"/>
  <c r="CH1386" i="13" s="1"/>
  <c r="CD1386" i="13"/>
  <c r="CG1386" i="13" s="1"/>
  <c r="CO1378" i="13"/>
  <c r="CN1378" i="13"/>
  <c r="CJ1378" i="13"/>
  <c r="CL1378" i="13"/>
  <c r="CK1378" i="13"/>
  <c r="CF1378" i="13"/>
  <c r="CI1378" i="13" s="1"/>
  <c r="CE1378" i="13"/>
  <c r="CH1378" i="13" s="1"/>
  <c r="CD1378" i="13"/>
  <c r="CG1378" i="13" s="1"/>
  <c r="BZ1378" i="13"/>
  <c r="CO1370" i="13"/>
  <c r="CN1370" i="13"/>
  <c r="CJ1370" i="13"/>
  <c r="CK1370" i="13"/>
  <c r="CL1370" i="13"/>
  <c r="CF1370" i="13"/>
  <c r="CI1370" i="13" s="1"/>
  <c r="CE1370" i="13"/>
  <c r="CH1370" i="13" s="1"/>
  <c r="CD1370" i="13"/>
  <c r="CG1370" i="13" s="1"/>
  <c r="BZ1370" i="13"/>
  <c r="CO1362" i="13"/>
  <c r="CN1362" i="13"/>
  <c r="CJ1362" i="13"/>
  <c r="CL1362" i="13"/>
  <c r="CK1362" i="13"/>
  <c r="CF1362" i="13"/>
  <c r="CI1362" i="13" s="1"/>
  <c r="CE1362" i="13"/>
  <c r="CH1362" i="13" s="1"/>
  <c r="CD1362" i="13"/>
  <c r="CG1362" i="13" s="1"/>
  <c r="BZ1362" i="13"/>
  <c r="CO1354" i="13"/>
  <c r="CN1354" i="13"/>
  <c r="CJ1354" i="13"/>
  <c r="CK1354" i="13"/>
  <c r="CF1354" i="13"/>
  <c r="CI1354" i="13" s="1"/>
  <c r="CL1354" i="13"/>
  <c r="CE1354" i="13"/>
  <c r="CH1354" i="13" s="1"/>
  <c r="CD1354" i="13"/>
  <c r="CG1354" i="13" s="1"/>
  <c r="BZ1354" i="13"/>
  <c r="CO1346" i="13"/>
  <c r="CN1346" i="13"/>
  <c r="CJ1346" i="13"/>
  <c r="CL1346" i="13"/>
  <c r="CK1346" i="13"/>
  <c r="CF1346" i="13"/>
  <c r="CI1346" i="13" s="1"/>
  <c r="CE1346" i="13"/>
  <c r="CH1346" i="13" s="1"/>
  <c r="CD1346" i="13"/>
  <c r="CG1346" i="13" s="1"/>
  <c r="BZ1346" i="13"/>
  <c r="CO1338" i="13"/>
  <c r="CN1338" i="13"/>
  <c r="CJ1338" i="13"/>
  <c r="CL1338" i="13"/>
  <c r="CK1338" i="13"/>
  <c r="CF1338" i="13"/>
  <c r="CI1338" i="13" s="1"/>
  <c r="CE1338" i="13"/>
  <c r="CH1338" i="13" s="1"/>
  <c r="CD1338" i="13"/>
  <c r="CG1338" i="13" s="1"/>
  <c r="BZ1338" i="13"/>
  <c r="CO1330" i="13"/>
  <c r="CN1330" i="13"/>
  <c r="CJ1330" i="13"/>
  <c r="CL1330" i="13"/>
  <c r="CK1330" i="13"/>
  <c r="CF1330" i="13"/>
  <c r="CI1330" i="13" s="1"/>
  <c r="CE1330" i="13"/>
  <c r="CH1330" i="13" s="1"/>
  <c r="CD1330" i="13"/>
  <c r="CG1330" i="13" s="1"/>
  <c r="BZ1330" i="13"/>
  <c r="CO1322" i="13"/>
  <c r="CF1322" i="13"/>
  <c r="CI1322" i="13" s="1"/>
  <c r="CE1322" i="13"/>
  <c r="CH1322" i="13" s="1"/>
  <c r="CD1322" i="13"/>
  <c r="CG1322" i="13" s="1"/>
  <c r="BZ1322" i="13"/>
  <c r="CO1314" i="13"/>
  <c r="CF1314" i="13"/>
  <c r="CI1314" i="13" s="1"/>
  <c r="CE1314" i="13"/>
  <c r="CH1314" i="13" s="1"/>
  <c r="CD1314" i="13"/>
  <c r="CG1314" i="13" s="1"/>
  <c r="CO1306" i="13"/>
  <c r="CF1306" i="13"/>
  <c r="CI1306" i="13" s="1"/>
  <c r="CE1306" i="13"/>
  <c r="CH1306" i="13" s="1"/>
  <c r="CD1306" i="13"/>
  <c r="CG1306" i="13" s="1"/>
  <c r="BY1396" i="13"/>
  <c r="BY1388" i="13"/>
  <c r="BY1582" i="13"/>
  <c r="BY1574" i="13"/>
  <c r="BY1550" i="13"/>
  <c r="BY1542" i="13"/>
  <c r="BY1533" i="13"/>
  <c r="BY1500" i="13"/>
  <c r="BY1453" i="13"/>
  <c r="BY1378" i="13"/>
  <c r="BY1346" i="13"/>
  <c r="BZ1588" i="13"/>
  <c r="BZ1556" i="13"/>
  <c r="BZ1523" i="13"/>
  <c r="BZ1491" i="13"/>
  <c r="BZ1458" i="13"/>
  <c r="BZ1426" i="13"/>
  <c r="CD1491" i="13"/>
  <c r="CG1491" i="13" s="1"/>
  <c r="CE1525" i="13"/>
  <c r="CH1525" i="13" s="1"/>
  <c r="CE1397" i="13"/>
  <c r="CH1397" i="13" s="1"/>
  <c r="CO1563" i="13"/>
  <c r="CN1563" i="13"/>
  <c r="CL1563" i="13"/>
  <c r="CJ1563" i="13"/>
  <c r="CK1563" i="13"/>
  <c r="CF1563" i="13"/>
  <c r="CI1563" i="13" s="1"/>
  <c r="CE1563" i="13"/>
  <c r="CH1563" i="13" s="1"/>
  <c r="BZ1563" i="13"/>
  <c r="CF1531" i="13"/>
  <c r="CI1531" i="13" s="1"/>
  <c r="CE1531" i="13"/>
  <c r="CH1531" i="13" s="1"/>
  <c r="CO1499" i="13"/>
  <c r="CN1499" i="13"/>
  <c r="CK1499" i="13"/>
  <c r="CJ1499" i="13"/>
  <c r="CF1499" i="13"/>
  <c r="CI1499" i="13" s="1"/>
  <c r="CL1499" i="13"/>
  <c r="CE1499" i="13"/>
  <c r="CH1499" i="13" s="1"/>
  <c r="CO1475" i="13"/>
  <c r="CN1475" i="13"/>
  <c r="CK1475" i="13"/>
  <c r="CL1475" i="13"/>
  <c r="CJ1475" i="13"/>
  <c r="CF1475" i="13"/>
  <c r="CI1475" i="13" s="1"/>
  <c r="CE1475" i="13"/>
  <c r="CH1475" i="13" s="1"/>
  <c r="CO1443" i="13"/>
  <c r="CN1443" i="13"/>
  <c r="CJ1443" i="13"/>
  <c r="CL1443" i="13"/>
  <c r="CK1443" i="13"/>
  <c r="CF1443" i="13"/>
  <c r="CI1443" i="13" s="1"/>
  <c r="CE1443" i="13"/>
  <c r="CH1443" i="13" s="1"/>
  <c r="CD1443" i="13"/>
  <c r="CG1443" i="13" s="1"/>
  <c r="BZ1443" i="13"/>
  <c r="CO1419" i="13"/>
  <c r="CN1419" i="13"/>
  <c r="CJ1419" i="13"/>
  <c r="CK1419" i="13"/>
  <c r="CL1419" i="13"/>
  <c r="CF1419" i="13"/>
  <c r="CI1419" i="13" s="1"/>
  <c r="CE1419" i="13"/>
  <c r="CH1419" i="13" s="1"/>
  <c r="CD1419" i="13"/>
  <c r="CG1419" i="13" s="1"/>
  <c r="BZ1419" i="13"/>
  <c r="CO1387" i="13"/>
  <c r="CF1387" i="13"/>
  <c r="CI1387" i="13" s="1"/>
  <c r="CE1387" i="13"/>
  <c r="CH1387" i="13" s="1"/>
  <c r="CD1387" i="13"/>
  <c r="CG1387" i="13" s="1"/>
  <c r="CO1355" i="13"/>
  <c r="CN1355" i="13"/>
  <c r="CL1355" i="13"/>
  <c r="CK1355" i="13"/>
  <c r="CJ1355" i="13"/>
  <c r="CF1355" i="13"/>
  <c r="CI1355" i="13" s="1"/>
  <c r="CE1355" i="13"/>
  <c r="CH1355" i="13" s="1"/>
  <c r="CD1355" i="13"/>
  <c r="CG1355" i="13" s="1"/>
  <c r="BY1355" i="13"/>
  <c r="BY1309" i="13"/>
  <c r="BY1429" i="13"/>
  <c r="BZ1493" i="13"/>
  <c r="CD1557" i="13"/>
  <c r="CG1557" i="13" s="1"/>
  <c r="CD1461" i="13"/>
  <c r="CG1461" i="13" s="1"/>
  <c r="BK1589" i="13"/>
  <c r="BK1581" i="13"/>
  <c r="BK1573" i="13"/>
  <c r="BK1565" i="13"/>
  <c r="BK1557" i="13"/>
  <c r="BK1549" i="13"/>
  <c r="BK1541" i="13"/>
  <c r="BK1533" i="13"/>
  <c r="BK1525" i="13"/>
  <c r="BK1517" i="13"/>
  <c r="BK1509" i="13"/>
  <c r="BK1501" i="13"/>
  <c r="BK1493" i="13"/>
  <c r="BK1485" i="13"/>
  <c r="BK1477" i="13"/>
  <c r="BK1469" i="13"/>
  <c r="BK1461" i="13"/>
  <c r="BK1453" i="13"/>
  <c r="BK1445" i="13"/>
  <c r="BK1437" i="13"/>
  <c r="BK1429" i="13"/>
  <c r="BK1421" i="13"/>
  <c r="BK1413" i="13"/>
  <c r="BK1405" i="13"/>
  <c r="BK1397" i="13"/>
  <c r="BK1389" i="13"/>
  <c r="BK1381" i="13"/>
  <c r="BK1373" i="13"/>
  <c r="BK1365" i="13"/>
  <c r="BK1357" i="13"/>
  <c r="BK1349" i="13"/>
  <c r="BK1341" i="13"/>
  <c r="BK1333" i="13"/>
  <c r="BK1325" i="13"/>
  <c r="BK1317" i="13"/>
  <c r="BK1309" i="13"/>
  <c r="CL1593" i="13"/>
  <c r="CN1593" i="13"/>
  <c r="CO1593" i="13"/>
  <c r="CJ1593" i="13"/>
  <c r="CK1593" i="13"/>
  <c r="CF1593" i="13"/>
  <c r="CI1593" i="13" s="1"/>
  <c r="CE1593" i="13"/>
  <c r="CH1593" i="13" s="1"/>
  <c r="BZ1593" i="13"/>
  <c r="CD1593" i="13"/>
  <c r="CG1593" i="13" s="1"/>
  <c r="CN1585" i="13"/>
  <c r="CL1585" i="13"/>
  <c r="CO1585" i="13"/>
  <c r="CJ1585" i="13"/>
  <c r="CK1585" i="13"/>
  <c r="CF1585" i="13"/>
  <c r="CI1585" i="13" s="1"/>
  <c r="CE1585" i="13"/>
  <c r="CH1585" i="13" s="1"/>
  <c r="BZ1585" i="13"/>
  <c r="CD1585" i="13"/>
  <c r="CG1585" i="13" s="1"/>
  <c r="CN1577" i="13"/>
  <c r="CO1577" i="13"/>
  <c r="CL1577" i="13"/>
  <c r="CJ1577" i="13"/>
  <c r="CK1577" i="13"/>
  <c r="CF1577" i="13"/>
  <c r="CI1577" i="13" s="1"/>
  <c r="CE1577" i="13"/>
  <c r="CH1577" i="13" s="1"/>
  <c r="BZ1577" i="13"/>
  <c r="CD1577" i="13"/>
  <c r="CG1577" i="13" s="1"/>
  <c r="CO1569" i="13"/>
  <c r="CL1569" i="13"/>
  <c r="CN1569" i="13"/>
  <c r="CJ1569" i="13"/>
  <c r="CK1569" i="13"/>
  <c r="CF1569" i="13"/>
  <c r="CI1569" i="13" s="1"/>
  <c r="CE1569" i="13"/>
  <c r="CH1569" i="13" s="1"/>
  <c r="BZ1569" i="13"/>
  <c r="CD1569" i="13"/>
  <c r="CG1569" i="13" s="1"/>
  <c r="CN1561" i="13"/>
  <c r="CL1561" i="13"/>
  <c r="CJ1561" i="13"/>
  <c r="CK1561" i="13"/>
  <c r="CO1561" i="13"/>
  <c r="CF1561" i="13"/>
  <c r="CI1561" i="13" s="1"/>
  <c r="CE1561" i="13"/>
  <c r="CH1561" i="13" s="1"/>
  <c r="BZ1561" i="13"/>
  <c r="CD1561" i="13"/>
  <c r="CG1561" i="13" s="1"/>
  <c r="CL1553" i="13"/>
  <c r="CJ1553" i="13"/>
  <c r="CK1553" i="13"/>
  <c r="CO1553" i="13"/>
  <c r="CN1553" i="13"/>
  <c r="CF1553" i="13"/>
  <c r="CI1553" i="13" s="1"/>
  <c r="CE1553" i="13"/>
  <c r="CH1553" i="13" s="1"/>
  <c r="BZ1553" i="13"/>
  <c r="CD1553" i="13"/>
  <c r="CG1553" i="13" s="1"/>
  <c r="CO1545" i="13"/>
  <c r="CN1545" i="13"/>
  <c r="CL1545" i="13"/>
  <c r="CJ1545" i="13"/>
  <c r="CK1545" i="13"/>
  <c r="CF1545" i="13"/>
  <c r="CI1545" i="13" s="1"/>
  <c r="CE1545" i="13"/>
  <c r="CH1545" i="13" s="1"/>
  <c r="BZ1545" i="13"/>
  <c r="CD1545" i="13"/>
  <c r="CG1545" i="13" s="1"/>
  <c r="CO1537" i="13"/>
  <c r="CN1537" i="13"/>
  <c r="CL1537" i="13"/>
  <c r="CJ1537" i="13"/>
  <c r="CK1537" i="13"/>
  <c r="CF1537" i="13"/>
  <c r="CI1537" i="13" s="1"/>
  <c r="CE1537" i="13"/>
  <c r="CH1537" i="13" s="1"/>
  <c r="BZ1537" i="13"/>
  <c r="CD1537" i="13"/>
  <c r="CG1537" i="13" s="1"/>
  <c r="CO1529" i="13"/>
  <c r="CN1529" i="13"/>
  <c r="CJ1529" i="13"/>
  <c r="CL1529" i="13"/>
  <c r="CK1529" i="13"/>
  <c r="CF1529" i="13"/>
  <c r="CI1529" i="13" s="1"/>
  <c r="CE1529" i="13"/>
  <c r="CH1529" i="13" s="1"/>
  <c r="CD1529" i="13"/>
  <c r="CG1529" i="13" s="1"/>
  <c r="BZ1529" i="13"/>
  <c r="CO1521" i="13"/>
  <c r="CN1521" i="13"/>
  <c r="CL1521" i="13"/>
  <c r="CJ1521" i="13"/>
  <c r="CK1521" i="13"/>
  <c r="CF1521" i="13"/>
  <c r="CI1521" i="13" s="1"/>
  <c r="CE1521" i="13"/>
  <c r="CH1521" i="13" s="1"/>
  <c r="CD1521" i="13"/>
  <c r="CG1521" i="13" s="1"/>
  <c r="BZ1521" i="13"/>
  <c r="CO1513" i="13"/>
  <c r="CN1513" i="13"/>
  <c r="CL1513" i="13"/>
  <c r="CJ1513" i="13"/>
  <c r="CK1513" i="13"/>
  <c r="CF1513" i="13"/>
  <c r="CI1513" i="13" s="1"/>
  <c r="CE1513" i="13"/>
  <c r="CH1513" i="13" s="1"/>
  <c r="CD1513" i="13"/>
  <c r="CG1513" i="13" s="1"/>
  <c r="BZ1513" i="13"/>
  <c r="CO1505" i="13"/>
  <c r="CN1505" i="13"/>
  <c r="CL1505" i="13"/>
  <c r="CJ1505" i="13"/>
  <c r="CK1505" i="13"/>
  <c r="CE1505" i="13"/>
  <c r="CH1505" i="13" s="1"/>
  <c r="CF1505" i="13"/>
  <c r="CI1505" i="13" s="1"/>
  <c r="CD1505" i="13"/>
  <c r="CG1505" i="13" s="1"/>
  <c r="BZ1505" i="13"/>
  <c r="CO1497" i="13"/>
  <c r="CN1497" i="13"/>
  <c r="CJ1497" i="13"/>
  <c r="CK1497" i="13"/>
  <c r="CL1497" i="13"/>
  <c r="CE1497" i="13"/>
  <c r="CH1497" i="13" s="1"/>
  <c r="CF1497" i="13"/>
  <c r="CI1497" i="13" s="1"/>
  <c r="CD1497" i="13"/>
  <c r="CG1497" i="13" s="1"/>
  <c r="BZ1497" i="13"/>
  <c r="CO1489" i="13"/>
  <c r="CN1489" i="13"/>
  <c r="CL1489" i="13"/>
  <c r="CJ1489" i="13"/>
  <c r="CK1489" i="13"/>
  <c r="CF1489" i="13"/>
  <c r="CI1489" i="13" s="1"/>
  <c r="CE1489" i="13"/>
  <c r="CH1489" i="13" s="1"/>
  <c r="CD1489" i="13"/>
  <c r="CG1489" i="13" s="1"/>
  <c r="BZ1489" i="13"/>
  <c r="CO1481" i="13"/>
  <c r="CN1481" i="13"/>
  <c r="CL1481" i="13"/>
  <c r="CJ1481" i="13"/>
  <c r="CF1481" i="13"/>
  <c r="CI1481" i="13" s="1"/>
  <c r="CK1481" i="13"/>
  <c r="CE1481" i="13"/>
  <c r="CH1481" i="13" s="1"/>
  <c r="CD1481" i="13"/>
  <c r="CG1481" i="13" s="1"/>
  <c r="BZ1481" i="13"/>
  <c r="CO1473" i="13"/>
  <c r="CN1473" i="13"/>
  <c r="CL1473" i="13"/>
  <c r="CJ1473" i="13"/>
  <c r="CK1473" i="13"/>
  <c r="CE1473" i="13"/>
  <c r="CH1473" i="13" s="1"/>
  <c r="CD1473" i="13"/>
  <c r="CG1473" i="13" s="1"/>
  <c r="BZ1473" i="13"/>
  <c r="CN1465" i="13"/>
  <c r="CO1465" i="13"/>
  <c r="CJ1465" i="13"/>
  <c r="CK1465" i="13"/>
  <c r="CL1465" i="13"/>
  <c r="CE1465" i="13"/>
  <c r="CH1465" i="13" s="1"/>
  <c r="CF1465" i="13"/>
  <c r="CI1465" i="13" s="1"/>
  <c r="CD1465" i="13"/>
  <c r="CG1465" i="13" s="1"/>
  <c r="BY1465" i="13"/>
  <c r="BZ1465" i="13"/>
  <c r="CN1457" i="13"/>
  <c r="CO1457" i="13"/>
  <c r="CL1457" i="13"/>
  <c r="CJ1457" i="13"/>
  <c r="CK1457" i="13"/>
  <c r="CF1457" i="13"/>
  <c r="CI1457" i="13" s="1"/>
  <c r="CE1457" i="13"/>
  <c r="CH1457" i="13" s="1"/>
  <c r="CD1457" i="13"/>
  <c r="CG1457" i="13" s="1"/>
  <c r="BY1457" i="13"/>
  <c r="BZ1457" i="13"/>
  <c r="CN1449" i="13"/>
  <c r="CO1449" i="13"/>
  <c r="CL1449" i="13"/>
  <c r="CJ1449" i="13"/>
  <c r="CK1449" i="13"/>
  <c r="CF1449" i="13"/>
  <c r="CI1449" i="13" s="1"/>
  <c r="CE1449" i="13"/>
  <c r="CH1449" i="13" s="1"/>
  <c r="CD1449" i="13"/>
  <c r="CG1449" i="13" s="1"/>
  <c r="BY1449" i="13"/>
  <c r="BZ1449" i="13"/>
  <c r="CN1441" i="13"/>
  <c r="CO1441" i="13"/>
  <c r="CL1441" i="13"/>
  <c r="CJ1441" i="13"/>
  <c r="CK1441" i="13"/>
  <c r="CE1441" i="13"/>
  <c r="CH1441" i="13" s="1"/>
  <c r="CD1441" i="13"/>
  <c r="CG1441" i="13" s="1"/>
  <c r="BY1441" i="13"/>
  <c r="BZ1441" i="13"/>
  <c r="CN1433" i="13"/>
  <c r="CO1433" i="13"/>
  <c r="CL1433" i="13"/>
  <c r="CJ1433" i="13"/>
  <c r="CK1433" i="13"/>
  <c r="CE1433" i="13"/>
  <c r="CH1433" i="13" s="1"/>
  <c r="CF1433" i="13"/>
  <c r="CI1433" i="13" s="1"/>
  <c r="CD1433" i="13"/>
  <c r="CG1433" i="13" s="1"/>
  <c r="BY1433" i="13"/>
  <c r="BZ1433" i="13"/>
  <c r="CN1425" i="13"/>
  <c r="CL1425" i="13"/>
  <c r="CO1425" i="13"/>
  <c r="CJ1425" i="13"/>
  <c r="CK1425" i="13"/>
  <c r="CF1425" i="13"/>
  <c r="CI1425" i="13" s="1"/>
  <c r="CE1425" i="13"/>
  <c r="CH1425" i="13" s="1"/>
  <c r="CD1425" i="13"/>
  <c r="CG1425" i="13" s="1"/>
  <c r="BY1425" i="13"/>
  <c r="BZ1425" i="13"/>
  <c r="CN1417" i="13"/>
  <c r="CO1417" i="13"/>
  <c r="CL1417" i="13"/>
  <c r="CJ1417" i="13"/>
  <c r="CK1417" i="13"/>
  <c r="CF1417" i="13"/>
  <c r="CI1417" i="13" s="1"/>
  <c r="CE1417" i="13"/>
  <c r="CH1417" i="13" s="1"/>
  <c r="CD1417" i="13"/>
  <c r="CG1417" i="13" s="1"/>
  <c r="BY1417" i="13"/>
  <c r="BZ1417" i="13"/>
  <c r="CN1409" i="13"/>
  <c r="CO1409" i="13"/>
  <c r="CL1409" i="13"/>
  <c r="CJ1409" i="13"/>
  <c r="CK1409" i="13"/>
  <c r="CE1409" i="13"/>
  <c r="CH1409" i="13" s="1"/>
  <c r="CD1409" i="13"/>
  <c r="CG1409" i="13" s="1"/>
  <c r="CF1409" i="13"/>
  <c r="CI1409" i="13" s="1"/>
  <c r="BY1409" i="13"/>
  <c r="BZ1409" i="13"/>
  <c r="CE1401" i="13"/>
  <c r="CH1401" i="13" s="1"/>
  <c r="CF1401" i="13"/>
  <c r="CI1401" i="13" s="1"/>
  <c r="CD1401" i="13"/>
  <c r="CG1401" i="13" s="1"/>
  <c r="CO1393" i="13"/>
  <c r="CF1393" i="13"/>
  <c r="CI1393" i="13" s="1"/>
  <c r="CE1393" i="13"/>
  <c r="CH1393" i="13" s="1"/>
  <c r="CD1393" i="13"/>
  <c r="CG1393" i="13" s="1"/>
  <c r="CO1385" i="13"/>
  <c r="CF1385" i="13"/>
  <c r="CI1385" i="13" s="1"/>
  <c r="CE1385" i="13"/>
  <c r="CH1385" i="13" s="1"/>
  <c r="CD1385" i="13"/>
  <c r="CG1385" i="13" s="1"/>
  <c r="CN1377" i="13"/>
  <c r="CO1377" i="13"/>
  <c r="CL1377" i="13"/>
  <c r="CJ1377" i="13"/>
  <c r="CK1377" i="13"/>
  <c r="CE1377" i="13"/>
  <c r="CH1377" i="13" s="1"/>
  <c r="CD1377" i="13"/>
  <c r="CG1377" i="13" s="1"/>
  <c r="CF1377" i="13"/>
  <c r="CI1377" i="13" s="1"/>
  <c r="BY1377" i="13"/>
  <c r="CN1369" i="13"/>
  <c r="CL1369" i="13"/>
  <c r="CK1369" i="13"/>
  <c r="CO1369" i="13"/>
  <c r="CJ1369" i="13"/>
  <c r="CE1369" i="13"/>
  <c r="CH1369" i="13" s="1"/>
  <c r="CF1369" i="13"/>
  <c r="CI1369" i="13" s="1"/>
  <c r="CD1369" i="13"/>
  <c r="CG1369" i="13" s="1"/>
  <c r="BY1369" i="13"/>
  <c r="CN1361" i="13"/>
  <c r="CL1361" i="13"/>
  <c r="CO1361" i="13"/>
  <c r="CK1361" i="13"/>
  <c r="CJ1361" i="13"/>
  <c r="CF1361" i="13"/>
  <c r="CI1361" i="13" s="1"/>
  <c r="CE1361" i="13"/>
  <c r="CH1361" i="13" s="1"/>
  <c r="CD1361" i="13"/>
  <c r="CG1361" i="13" s="1"/>
  <c r="BY1361" i="13"/>
  <c r="CN1353" i="13"/>
  <c r="CO1353" i="13"/>
  <c r="CL1353" i="13"/>
  <c r="CK1353" i="13"/>
  <c r="CJ1353" i="13"/>
  <c r="CF1353" i="13"/>
  <c r="CI1353" i="13" s="1"/>
  <c r="CE1353" i="13"/>
  <c r="CH1353" i="13" s="1"/>
  <c r="CD1353" i="13"/>
  <c r="CG1353" i="13" s="1"/>
  <c r="BY1353" i="13"/>
  <c r="CN1345" i="13"/>
  <c r="CO1345" i="13"/>
  <c r="CL1345" i="13"/>
  <c r="CK1345" i="13"/>
  <c r="CJ1345" i="13"/>
  <c r="CE1345" i="13"/>
  <c r="CH1345" i="13" s="1"/>
  <c r="CD1345" i="13"/>
  <c r="CG1345" i="13" s="1"/>
  <c r="BY1345" i="13"/>
  <c r="CN1337" i="13"/>
  <c r="CL1337" i="13"/>
  <c r="CK1337" i="13"/>
  <c r="CO1337" i="13"/>
  <c r="CE1337" i="13"/>
  <c r="CH1337" i="13" s="1"/>
  <c r="CJ1337" i="13"/>
  <c r="CF1337" i="13"/>
  <c r="CI1337" i="13" s="1"/>
  <c r="CD1337" i="13"/>
  <c r="CG1337" i="13" s="1"/>
  <c r="BY1337" i="13"/>
  <c r="CN1329" i="13"/>
  <c r="CL1329" i="13"/>
  <c r="CK1329" i="13"/>
  <c r="CO1329" i="13"/>
  <c r="CJ1329" i="13"/>
  <c r="CF1329" i="13"/>
  <c r="CI1329" i="13" s="1"/>
  <c r="CE1329" i="13"/>
  <c r="CH1329" i="13" s="1"/>
  <c r="CD1329" i="13"/>
  <c r="CG1329" i="13" s="1"/>
  <c r="BY1329" i="13"/>
  <c r="CF1321" i="13"/>
  <c r="CI1321" i="13" s="1"/>
  <c r="CE1321" i="13"/>
  <c r="CH1321" i="13" s="1"/>
  <c r="CD1321" i="13"/>
  <c r="CG1321" i="13" s="1"/>
  <c r="CO1313" i="13"/>
  <c r="CE1313" i="13"/>
  <c r="CH1313" i="13" s="1"/>
  <c r="CD1313" i="13"/>
  <c r="CG1313" i="13" s="1"/>
  <c r="BY1531" i="13"/>
  <c r="BY1395" i="13"/>
  <c r="BY1387" i="13"/>
  <c r="BY1315" i="13"/>
  <c r="BY1307" i="13"/>
  <c r="BY1589" i="13"/>
  <c r="BY1581" i="13"/>
  <c r="BY1573" i="13"/>
  <c r="BY1565" i="13"/>
  <c r="BY1557" i="13"/>
  <c r="BY1549" i="13"/>
  <c r="BY1541" i="13"/>
  <c r="BY1532" i="13"/>
  <c r="BY1509" i="13"/>
  <c r="BY1499" i="13"/>
  <c r="BY1477" i="13"/>
  <c r="BY1466" i="13"/>
  <c r="BY1452" i="13"/>
  <c r="BY1421" i="13"/>
  <c r="BY1372" i="13"/>
  <c r="BY1340" i="13"/>
  <c r="BZ1517" i="13"/>
  <c r="BZ1485" i="13"/>
  <c r="BZ1452" i="13"/>
  <c r="BZ1420" i="13"/>
  <c r="BZ1339" i="13"/>
  <c r="CD1581" i="13"/>
  <c r="CG1581" i="13" s="1"/>
  <c r="CD1549" i="13"/>
  <c r="CG1549" i="13" s="1"/>
  <c r="CD1517" i="13"/>
  <c r="CG1517" i="13" s="1"/>
  <c r="CD1485" i="13"/>
  <c r="CG1485" i="13" s="1"/>
  <c r="CD1453" i="13"/>
  <c r="CG1453" i="13" s="1"/>
  <c r="CE1501" i="13"/>
  <c r="CH1501" i="13" s="1"/>
  <c r="CE1373" i="13"/>
  <c r="CH1373" i="13" s="1"/>
  <c r="CO1587" i="13"/>
  <c r="CN1587" i="13"/>
  <c r="CL1587" i="13"/>
  <c r="CJ1587" i="13"/>
  <c r="CK1587" i="13"/>
  <c r="CF1587" i="13"/>
  <c r="CI1587" i="13" s="1"/>
  <c r="CE1587" i="13"/>
  <c r="CH1587" i="13" s="1"/>
  <c r="BZ1587" i="13"/>
  <c r="CO1547" i="13"/>
  <c r="CN1547" i="13"/>
  <c r="CL1547" i="13"/>
  <c r="CJ1547" i="13"/>
  <c r="CK1547" i="13"/>
  <c r="CF1547" i="13"/>
  <c r="CI1547" i="13" s="1"/>
  <c r="CE1547" i="13"/>
  <c r="CH1547" i="13" s="1"/>
  <c r="BZ1547" i="13"/>
  <c r="CO1507" i="13"/>
  <c r="CN1507" i="13"/>
  <c r="CK1507" i="13"/>
  <c r="CL1507" i="13"/>
  <c r="CJ1507" i="13"/>
  <c r="CF1507" i="13"/>
  <c r="CI1507" i="13" s="1"/>
  <c r="CE1507" i="13"/>
  <c r="CH1507" i="13" s="1"/>
  <c r="CO1459" i="13"/>
  <c r="CN1459" i="13"/>
  <c r="CJ1459" i="13"/>
  <c r="CK1459" i="13"/>
  <c r="CL1459" i="13"/>
  <c r="CF1459" i="13"/>
  <c r="CI1459" i="13" s="1"/>
  <c r="CE1459" i="13"/>
  <c r="CH1459" i="13" s="1"/>
  <c r="BZ1459" i="13"/>
  <c r="CO1427" i="13"/>
  <c r="CN1427" i="13"/>
  <c r="CJ1427" i="13"/>
  <c r="CK1427" i="13"/>
  <c r="CL1427" i="13"/>
  <c r="CF1427" i="13"/>
  <c r="CI1427" i="13" s="1"/>
  <c r="CE1427" i="13"/>
  <c r="CH1427" i="13" s="1"/>
  <c r="BZ1427" i="13"/>
  <c r="CO1395" i="13"/>
  <c r="CF1395" i="13"/>
  <c r="CI1395" i="13" s="1"/>
  <c r="CE1395" i="13"/>
  <c r="CH1395" i="13" s="1"/>
  <c r="CO1371" i="13"/>
  <c r="CN1371" i="13"/>
  <c r="CL1371" i="13"/>
  <c r="CK1371" i="13"/>
  <c r="CJ1371" i="13"/>
  <c r="CF1371" i="13"/>
  <c r="CI1371" i="13" s="1"/>
  <c r="CE1371" i="13"/>
  <c r="CH1371" i="13" s="1"/>
  <c r="BY1371" i="13"/>
  <c r="CO1339" i="13"/>
  <c r="CN1339" i="13"/>
  <c r="CL1339" i="13"/>
  <c r="CK1339" i="13"/>
  <c r="CJ1339" i="13"/>
  <c r="CF1339" i="13"/>
  <c r="CI1339" i="13" s="1"/>
  <c r="CE1339" i="13"/>
  <c r="CH1339" i="13" s="1"/>
  <c r="BY1339" i="13"/>
  <c r="CO1315" i="13"/>
  <c r="CF1315" i="13"/>
  <c r="CI1315" i="13" s="1"/>
  <c r="CE1315" i="13"/>
  <c r="CH1315" i="13" s="1"/>
  <c r="CD1315" i="13"/>
  <c r="CG1315" i="13" s="1"/>
  <c r="CL1592" i="13"/>
  <c r="CO1592" i="13"/>
  <c r="CN1592" i="13"/>
  <c r="CJ1592" i="13"/>
  <c r="CK1592" i="13"/>
  <c r="CF1592" i="13"/>
  <c r="CI1592" i="13" s="1"/>
  <c r="CE1592" i="13"/>
  <c r="CH1592" i="13" s="1"/>
  <c r="BZ1592" i="13"/>
  <c r="CD1592" i="13"/>
  <c r="CG1592" i="13" s="1"/>
  <c r="CN1584" i="13"/>
  <c r="CL1584" i="13"/>
  <c r="CO1584" i="13"/>
  <c r="CJ1584" i="13"/>
  <c r="CK1584" i="13"/>
  <c r="CF1584" i="13"/>
  <c r="CI1584" i="13" s="1"/>
  <c r="CE1584" i="13"/>
  <c r="CH1584" i="13" s="1"/>
  <c r="BZ1584" i="13"/>
  <c r="CD1584" i="13"/>
  <c r="CG1584" i="13" s="1"/>
  <c r="CO1576" i="13"/>
  <c r="CL1576" i="13"/>
  <c r="CN1576" i="13"/>
  <c r="CJ1576" i="13"/>
  <c r="CK1576" i="13"/>
  <c r="CF1576" i="13"/>
  <c r="CI1576" i="13" s="1"/>
  <c r="CE1576" i="13"/>
  <c r="CH1576" i="13" s="1"/>
  <c r="BZ1576" i="13"/>
  <c r="CD1576" i="13"/>
  <c r="CG1576" i="13" s="1"/>
  <c r="CO1568" i="13"/>
  <c r="CL1568" i="13"/>
  <c r="CN1568" i="13"/>
  <c r="CJ1568" i="13"/>
  <c r="CK1568" i="13"/>
  <c r="CF1568" i="13"/>
  <c r="CI1568" i="13" s="1"/>
  <c r="CE1568" i="13"/>
  <c r="CH1568" i="13" s="1"/>
  <c r="BZ1568" i="13"/>
  <c r="CD1568" i="13"/>
  <c r="CG1568" i="13" s="1"/>
  <c r="CN1560" i="13"/>
  <c r="CL1560" i="13"/>
  <c r="CO1560" i="13"/>
  <c r="CJ1560" i="13"/>
  <c r="CK1560" i="13"/>
  <c r="CF1560" i="13"/>
  <c r="CI1560" i="13" s="1"/>
  <c r="CE1560" i="13"/>
  <c r="CH1560" i="13" s="1"/>
  <c r="BZ1560" i="13"/>
  <c r="CD1560" i="13"/>
  <c r="CG1560" i="13" s="1"/>
  <c r="CL1552" i="13"/>
  <c r="CO1552" i="13"/>
  <c r="CN1552" i="13"/>
  <c r="CJ1552" i="13"/>
  <c r="CK1552" i="13"/>
  <c r="CF1552" i="13"/>
  <c r="CI1552" i="13" s="1"/>
  <c r="CE1552" i="13"/>
  <c r="CH1552" i="13" s="1"/>
  <c r="BZ1552" i="13"/>
  <c r="CD1552" i="13"/>
  <c r="CG1552" i="13" s="1"/>
  <c r="CO1544" i="13"/>
  <c r="CN1544" i="13"/>
  <c r="CL1544" i="13"/>
  <c r="CJ1544" i="13"/>
  <c r="CK1544" i="13"/>
  <c r="CF1544" i="13"/>
  <c r="CI1544" i="13" s="1"/>
  <c r="CE1544" i="13"/>
  <c r="CH1544" i="13" s="1"/>
  <c r="BZ1544" i="13"/>
  <c r="CD1544" i="13"/>
  <c r="CG1544" i="13" s="1"/>
  <c r="CO1536" i="13"/>
  <c r="CN1536" i="13"/>
  <c r="CL1536" i="13"/>
  <c r="CJ1536" i="13"/>
  <c r="CK1536" i="13"/>
  <c r="CF1536" i="13"/>
  <c r="CI1536" i="13" s="1"/>
  <c r="CE1536" i="13"/>
  <c r="CH1536" i="13" s="1"/>
  <c r="BY1536" i="13"/>
  <c r="BZ1536" i="13"/>
  <c r="CD1536" i="13"/>
  <c r="CG1536" i="13" s="1"/>
  <c r="CL1528" i="13"/>
  <c r="CO1528" i="13"/>
  <c r="CN1528" i="13"/>
  <c r="CJ1528" i="13"/>
  <c r="CK1528" i="13"/>
  <c r="CF1528" i="13"/>
  <c r="CI1528" i="13" s="1"/>
  <c r="CE1528" i="13"/>
  <c r="CH1528" i="13" s="1"/>
  <c r="CD1528" i="13"/>
  <c r="CG1528" i="13" s="1"/>
  <c r="BZ1528" i="13"/>
  <c r="CO1520" i="13"/>
  <c r="CN1520" i="13"/>
  <c r="CL1520" i="13"/>
  <c r="CJ1520" i="13"/>
  <c r="CK1520" i="13"/>
  <c r="CF1520" i="13"/>
  <c r="CI1520" i="13" s="1"/>
  <c r="CE1520" i="13"/>
  <c r="CH1520" i="13" s="1"/>
  <c r="CD1520" i="13"/>
  <c r="CG1520" i="13" s="1"/>
  <c r="BZ1520" i="13"/>
  <c r="CO1512" i="13"/>
  <c r="CN1512" i="13"/>
  <c r="CL1512" i="13"/>
  <c r="CJ1512" i="13"/>
  <c r="CK1512" i="13"/>
  <c r="CF1512" i="13"/>
  <c r="CI1512" i="13" s="1"/>
  <c r="CE1512" i="13"/>
  <c r="CH1512" i="13" s="1"/>
  <c r="CD1512" i="13"/>
  <c r="CG1512" i="13" s="1"/>
  <c r="BZ1512" i="13"/>
  <c r="CO1504" i="13"/>
  <c r="CN1504" i="13"/>
  <c r="CL1504" i="13"/>
  <c r="CJ1504" i="13"/>
  <c r="CK1504" i="13"/>
  <c r="CE1504" i="13"/>
  <c r="CH1504" i="13" s="1"/>
  <c r="CF1504" i="13"/>
  <c r="CI1504" i="13" s="1"/>
  <c r="CD1504" i="13"/>
  <c r="CG1504" i="13" s="1"/>
  <c r="BZ1504" i="13"/>
  <c r="CL1496" i="13"/>
  <c r="CO1496" i="13"/>
  <c r="CN1496" i="13"/>
  <c r="CJ1496" i="13"/>
  <c r="CK1496" i="13"/>
  <c r="CE1496" i="13"/>
  <c r="CH1496" i="13" s="1"/>
  <c r="CF1496" i="13"/>
  <c r="CI1496" i="13" s="1"/>
  <c r="CD1496" i="13"/>
  <c r="CG1496" i="13" s="1"/>
  <c r="BZ1496" i="13"/>
  <c r="CO1488" i="13"/>
  <c r="CN1488" i="13"/>
  <c r="CL1488" i="13"/>
  <c r="CJ1488" i="13"/>
  <c r="CK1488" i="13"/>
  <c r="CF1488" i="13"/>
  <c r="CI1488" i="13" s="1"/>
  <c r="CE1488" i="13"/>
  <c r="CH1488" i="13" s="1"/>
  <c r="CD1488" i="13"/>
  <c r="CG1488" i="13" s="1"/>
  <c r="BZ1488" i="13"/>
  <c r="CO1480" i="13"/>
  <c r="CN1480" i="13"/>
  <c r="CL1480" i="13"/>
  <c r="CJ1480" i="13"/>
  <c r="CK1480" i="13"/>
  <c r="CF1480" i="13"/>
  <c r="CI1480" i="13" s="1"/>
  <c r="CE1480" i="13"/>
  <c r="CH1480" i="13" s="1"/>
  <c r="CD1480" i="13"/>
  <c r="CG1480" i="13" s="1"/>
  <c r="BZ1480" i="13"/>
  <c r="CO1472" i="13"/>
  <c r="CN1472" i="13"/>
  <c r="CL1472" i="13"/>
  <c r="CJ1472" i="13"/>
  <c r="CK1472" i="13"/>
  <c r="CE1472" i="13"/>
  <c r="CH1472" i="13" s="1"/>
  <c r="CD1472" i="13"/>
  <c r="CG1472" i="13" s="1"/>
  <c r="BZ1472" i="13"/>
  <c r="CF1472" i="13"/>
  <c r="CI1472" i="13" s="1"/>
  <c r="CL1464" i="13"/>
  <c r="CO1464" i="13"/>
  <c r="CN1464" i="13"/>
  <c r="CJ1464" i="13"/>
  <c r="CK1464" i="13"/>
  <c r="CE1464" i="13"/>
  <c r="CH1464" i="13" s="1"/>
  <c r="CF1464" i="13"/>
  <c r="CI1464" i="13" s="1"/>
  <c r="CD1464" i="13"/>
  <c r="CG1464" i="13" s="1"/>
  <c r="BZ1464" i="13"/>
  <c r="CO1456" i="13"/>
  <c r="CL1456" i="13"/>
  <c r="CN1456" i="13"/>
  <c r="CJ1456" i="13"/>
  <c r="CK1456" i="13"/>
  <c r="CF1456" i="13"/>
  <c r="CI1456" i="13" s="1"/>
  <c r="CE1456" i="13"/>
  <c r="CH1456" i="13" s="1"/>
  <c r="CD1456" i="13"/>
  <c r="CG1456" i="13" s="1"/>
  <c r="BZ1456" i="13"/>
  <c r="CO1448" i="13"/>
  <c r="CN1448" i="13"/>
  <c r="CL1448" i="13"/>
  <c r="CJ1448" i="13"/>
  <c r="CK1448" i="13"/>
  <c r="CF1448" i="13"/>
  <c r="CI1448" i="13" s="1"/>
  <c r="CE1448" i="13"/>
  <c r="CH1448" i="13" s="1"/>
  <c r="CD1448" i="13"/>
  <c r="CG1448" i="13" s="1"/>
  <c r="BY1448" i="13"/>
  <c r="BZ1448" i="13"/>
  <c r="CO1440" i="13"/>
  <c r="CN1440" i="13"/>
  <c r="CL1440" i="13"/>
  <c r="CJ1440" i="13"/>
  <c r="CK1440" i="13"/>
  <c r="CE1440" i="13"/>
  <c r="CH1440" i="13" s="1"/>
  <c r="CD1440" i="13"/>
  <c r="CG1440" i="13" s="1"/>
  <c r="BY1440" i="13"/>
  <c r="BZ1440" i="13"/>
  <c r="CF1440" i="13"/>
  <c r="CI1440" i="13" s="1"/>
  <c r="CL1432" i="13"/>
  <c r="CO1432" i="13"/>
  <c r="CJ1432" i="13"/>
  <c r="CK1432" i="13"/>
  <c r="CN1432" i="13"/>
  <c r="CE1432" i="13"/>
  <c r="CH1432" i="13" s="1"/>
  <c r="CF1432" i="13"/>
  <c r="CI1432" i="13" s="1"/>
  <c r="CD1432" i="13"/>
  <c r="CG1432" i="13" s="1"/>
  <c r="BY1432" i="13"/>
  <c r="BZ1432" i="13"/>
  <c r="CO1424" i="13"/>
  <c r="CL1424" i="13"/>
  <c r="CJ1424" i="13"/>
  <c r="CK1424" i="13"/>
  <c r="CN1424" i="13"/>
  <c r="CF1424" i="13"/>
  <c r="CI1424" i="13" s="1"/>
  <c r="CE1424" i="13"/>
  <c r="CH1424" i="13" s="1"/>
  <c r="CD1424" i="13"/>
  <c r="CG1424" i="13" s="1"/>
  <c r="BY1424" i="13"/>
  <c r="BZ1424" i="13"/>
  <c r="CO1416" i="13"/>
  <c r="CN1416" i="13"/>
  <c r="CL1416" i="13"/>
  <c r="CJ1416" i="13"/>
  <c r="CK1416" i="13"/>
  <c r="CF1416" i="13"/>
  <c r="CI1416" i="13" s="1"/>
  <c r="CE1416" i="13"/>
  <c r="CH1416" i="13" s="1"/>
  <c r="CD1416" i="13"/>
  <c r="CG1416" i="13" s="1"/>
  <c r="BY1416" i="13"/>
  <c r="BZ1416" i="13"/>
  <c r="CO1408" i="13"/>
  <c r="CN1408" i="13"/>
  <c r="CL1408" i="13"/>
  <c r="CK1408" i="13"/>
  <c r="CJ1408" i="13"/>
  <c r="CE1408" i="13"/>
  <c r="CH1408" i="13" s="1"/>
  <c r="CD1408" i="13"/>
  <c r="CG1408" i="13" s="1"/>
  <c r="CF1408" i="13"/>
  <c r="CI1408" i="13" s="1"/>
  <c r="BY1408" i="13"/>
  <c r="BZ1408" i="13"/>
  <c r="CO1400" i="13"/>
  <c r="CE1400" i="13"/>
  <c r="CH1400" i="13" s="1"/>
  <c r="CF1400" i="13"/>
  <c r="CI1400" i="13" s="1"/>
  <c r="CD1400" i="13"/>
  <c r="CG1400" i="13" s="1"/>
  <c r="CO1392" i="13"/>
  <c r="CF1392" i="13"/>
  <c r="CI1392" i="13" s="1"/>
  <c r="CE1392" i="13"/>
  <c r="CH1392" i="13" s="1"/>
  <c r="CD1392" i="13"/>
  <c r="CG1392" i="13" s="1"/>
  <c r="CN1384" i="13"/>
  <c r="CO1384" i="13"/>
  <c r="CK1384" i="13"/>
  <c r="CL1384" i="13"/>
  <c r="CJ1384" i="13"/>
  <c r="CF1384" i="13"/>
  <c r="CI1384" i="13" s="1"/>
  <c r="CE1384" i="13"/>
  <c r="CH1384" i="13" s="1"/>
  <c r="CD1384" i="13"/>
  <c r="CG1384" i="13" s="1"/>
  <c r="BY1384" i="13"/>
  <c r="BZ1384" i="13"/>
  <c r="CN1376" i="13"/>
  <c r="CO1376" i="13"/>
  <c r="CL1376" i="13"/>
  <c r="CK1376" i="13"/>
  <c r="CJ1376" i="13"/>
  <c r="CE1376" i="13"/>
  <c r="CH1376" i="13" s="1"/>
  <c r="CD1376" i="13"/>
  <c r="CG1376" i="13" s="1"/>
  <c r="CF1376" i="13"/>
  <c r="CI1376" i="13" s="1"/>
  <c r="BY1376" i="13"/>
  <c r="BZ1376" i="13"/>
  <c r="CN1368" i="13"/>
  <c r="CO1368" i="13"/>
  <c r="CK1368" i="13"/>
  <c r="CL1368" i="13"/>
  <c r="CJ1368" i="13"/>
  <c r="CE1368" i="13"/>
  <c r="CH1368" i="13" s="1"/>
  <c r="CF1368" i="13"/>
  <c r="CI1368" i="13" s="1"/>
  <c r="CD1368" i="13"/>
  <c r="CG1368" i="13" s="1"/>
  <c r="BY1368" i="13"/>
  <c r="BZ1368" i="13"/>
  <c r="CN1360" i="13"/>
  <c r="CO1360" i="13"/>
  <c r="CL1360" i="13"/>
  <c r="CK1360" i="13"/>
  <c r="CJ1360" i="13"/>
  <c r="CF1360" i="13"/>
  <c r="CI1360" i="13" s="1"/>
  <c r="CE1360" i="13"/>
  <c r="CH1360" i="13" s="1"/>
  <c r="CD1360" i="13"/>
  <c r="CG1360" i="13" s="1"/>
  <c r="BY1360" i="13"/>
  <c r="BZ1360" i="13"/>
  <c r="CN1352" i="13"/>
  <c r="CO1352" i="13"/>
  <c r="CJ1352" i="13"/>
  <c r="CK1352" i="13"/>
  <c r="CL1352" i="13"/>
  <c r="CF1352" i="13"/>
  <c r="CI1352" i="13" s="1"/>
  <c r="CE1352" i="13"/>
  <c r="CH1352" i="13" s="1"/>
  <c r="CD1352" i="13"/>
  <c r="CG1352" i="13" s="1"/>
  <c r="BY1352" i="13"/>
  <c r="BZ1352" i="13"/>
  <c r="CN1344" i="13"/>
  <c r="CO1344" i="13"/>
  <c r="CL1344" i="13"/>
  <c r="CK1344" i="13"/>
  <c r="CJ1344" i="13"/>
  <c r="CE1344" i="13"/>
  <c r="CH1344" i="13" s="1"/>
  <c r="CD1344" i="13"/>
  <c r="CG1344" i="13" s="1"/>
  <c r="BY1344" i="13"/>
  <c r="BZ1344" i="13"/>
  <c r="CF1344" i="13"/>
  <c r="CI1344" i="13" s="1"/>
  <c r="CN1336" i="13"/>
  <c r="CO1336" i="13"/>
  <c r="CL1336" i="13"/>
  <c r="CK1336" i="13"/>
  <c r="CE1336" i="13"/>
  <c r="CH1336" i="13" s="1"/>
  <c r="CJ1336" i="13"/>
  <c r="CF1336" i="13"/>
  <c r="CI1336" i="13" s="1"/>
  <c r="CD1336" i="13"/>
  <c r="CG1336" i="13" s="1"/>
  <c r="BY1336" i="13"/>
  <c r="BZ1336" i="13"/>
  <c r="CN1328" i="13"/>
  <c r="CO1328" i="13"/>
  <c r="CL1328" i="13"/>
  <c r="CK1328" i="13"/>
  <c r="CJ1328" i="13"/>
  <c r="CF1328" i="13"/>
  <c r="CI1328" i="13" s="1"/>
  <c r="CE1328" i="13"/>
  <c r="CH1328" i="13" s="1"/>
  <c r="CD1328" i="13"/>
  <c r="CG1328" i="13" s="1"/>
  <c r="BY1328" i="13"/>
  <c r="BZ1328" i="13"/>
  <c r="CO1320" i="13"/>
  <c r="CF1320" i="13"/>
  <c r="CI1320" i="13" s="1"/>
  <c r="CE1320" i="13"/>
  <c r="CH1320" i="13" s="1"/>
  <c r="CD1320" i="13"/>
  <c r="CG1320" i="13" s="1"/>
  <c r="CO1312" i="13"/>
  <c r="CE1312" i="13"/>
  <c r="CH1312" i="13" s="1"/>
  <c r="CD1312" i="13"/>
  <c r="CG1312" i="13" s="1"/>
  <c r="CF1312" i="13"/>
  <c r="CI1312" i="13" s="1"/>
  <c r="BY1394" i="13"/>
  <c r="BY1386" i="13"/>
  <c r="BY1314" i="13"/>
  <c r="BY1306" i="13"/>
  <c r="BY1588" i="13"/>
  <c r="BY1580" i="13"/>
  <c r="BY1572" i="13"/>
  <c r="BY1564" i="13"/>
  <c r="BY1556" i="13"/>
  <c r="BY1548" i="13"/>
  <c r="BY1540" i="13"/>
  <c r="BY1529" i="13"/>
  <c r="BY1508" i="13"/>
  <c r="BY1497" i="13"/>
  <c r="BY1476" i="13"/>
  <c r="BY1464" i="13"/>
  <c r="BY1451" i="13"/>
  <c r="BY1419" i="13"/>
  <c r="BY1370" i="13"/>
  <c r="BY1338" i="13"/>
  <c r="BZ1580" i="13"/>
  <c r="BZ1548" i="13"/>
  <c r="BZ1515" i="13"/>
  <c r="BZ1483" i="13"/>
  <c r="BZ1450" i="13"/>
  <c r="BZ1418" i="13"/>
  <c r="BZ1369" i="13"/>
  <c r="BZ1337" i="13"/>
  <c r="CD1547" i="13"/>
  <c r="CG1547" i="13" s="1"/>
  <c r="CD1515" i="13"/>
  <c r="CG1515" i="13" s="1"/>
  <c r="CD1483" i="13"/>
  <c r="CG1483" i="13" s="1"/>
  <c r="CD1451" i="13"/>
  <c r="CG1451" i="13" s="1"/>
  <c r="CE1493" i="13"/>
  <c r="CH1493" i="13" s="1"/>
  <c r="CE1365" i="13"/>
  <c r="CH1365" i="13" s="1"/>
  <c r="CO1579" i="13"/>
  <c r="CN1579" i="13"/>
  <c r="CL1579" i="13"/>
  <c r="CJ1579" i="13"/>
  <c r="CK1579" i="13"/>
  <c r="CF1579" i="13"/>
  <c r="CI1579" i="13" s="1"/>
  <c r="CE1579" i="13"/>
  <c r="CH1579" i="13" s="1"/>
  <c r="BZ1579" i="13"/>
  <c r="CO1555" i="13"/>
  <c r="CN1555" i="13"/>
  <c r="CL1555" i="13"/>
  <c r="CJ1555" i="13"/>
  <c r="CK1555" i="13"/>
  <c r="CF1555" i="13"/>
  <c r="CI1555" i="13" s="1"/>
  <c r="CE1555" i="13"/>
  <c r="CH1555" i="13" s="1"/>
  <c r="BZ1555" i="13"/>
  <c r="CO1523" i="13"/>
  <c r="CN1523" i="13"/>
  <c r="CK1523" i="13"/>
  <c r="CL1523" i="13"/>
  <c r="CJ1523" i="13"/>
  <c r="CF1523" i="13"/>
  <c r="CI1523" i="13" s="1"/>
  <c r="CE1523" i="13"/>
  <c r="CH1523" i="13" s="1"/>
  <c r="CO1491" i="13"/>
  <c r="CN1491" i="13"/>
  <c r="CK1491" i="13"/>
  <c r="CL1491" i="13"/>
  <c r="CJ1491" i="13"/>
  <c r="CF1491" i="13"/>
  <c r="CI1491" i="13" s="1"/>
  <c r="CE1491" i="13"/>
  <c r="CH1491" i="13" s="1"/>
  <c r="CO1467" i="13"/>
  <c r="CN1467" i="13"/>
  <c r="CJ1467" i="13"/>
  <c r="CK1467" i="13"/>
  <c r="CL1467" i="13"/>
  <c r="CF1467" i="13"/>
  <c r="CI1467" i="13" s="1"/>
  <c r="CE1467" i="13"/>
  <c r="CH1467" i="13" s="1"/>
  <c r="BZ1467" i="13"/>
  <c r="CO1435" i="13"/>
  <c r="CN1435" i="13"/>
  <c r="CJ1435" i="13"/>
  <c r="CK1435" i="13"/>
  <c r="CL1435" i="13"/>
  <c r="CF1435" i="13"/>
  <c r="CI1435" i="13" s="1"/>
  <c r="CE1435" i="13"/>
  <c r="CH1435" i="13" s="1"/>
  <c r="BZ1435" i="13"/>
  <c r="CO1411" i="13"/>
  <c r="CN1411" i="13"/>
  <c r="CJ1411" i="13"/>
  <c r="CL1411" i="13"/>
  <c r="CK1411" i="13"/>
  <c r="CF1411" i="13"/>
  <c r="CI1411" i="13" s="1"/>
  <c r="CE1411" i="13"/>
  <c r="CH1411" i="13" s="1"/>
  <c r="CD1411" i="13"/>
  <c r="CG1411" i="13" s="1"/>
  <c r="BZ1411" i="13"/>
  <c r="CO1379" i="13"/>
  <c r="CN1379" i="13"/>
  <c r="CL1379" i="13"/>
  <c r="CK1379" i="13"/>
  <c r="CJ1379" i="13"/>
  <c r="CF1379" i="13"/>
  <c r="CI1379" i="13" s="1"/>
  <c r="CE1379" i="13"/>
  <c r="CH1379" i="13" s="1"/>
  <c r="CD1379" i="13"/>
  <c r="CG1379" i="13" s="1"/>
  <c r="BY1379" i="13"/>
  <c r="CO1363" i="13"/>
  <c r="CN1363" i="13"/>
  <c r="CL1363" i="13"/>
  <c r="CK1363" i="13"/>
  <c r="CJ1363" i="13"/>
  <c r="CF1363" i="13"/>
  <c r="CI1363" i="13" s="1"/>
  <c r="CE1363" i="13"/>
  <c r="CH1363" i="13" s="1"/>
  <c r="BY1363" i="13"/>
  <c r="CO1347" i="13"/>
  <c r="CN1347" i="13"/>
  <c r="CL1347" i="13"/>
  <c r="CK1347" i="13"/>
  <c r="CJ1347" i="13"/>
  <c r="CF1347" i="13"/>
  <c r="CI1347" i="13" s="1"/>
  <c r="CE1347" i="13"/>
  <c r="CH1347" i="13" s="1"/>
  <c r="CD1347" i="13"/>
  <c r="CG1347" i="13" s="1"/>
  <c r="BY1347" i="13"/>
  <c r="CO1331" i="13"/>
  <c r="CN1331" i="13"/>
  <c r="CL1331" i="13"/>
  <c r="CK1331" i="13"/>
  <c r="CJ1331" i="13"/>
  <c r="CF1331" i="13"/>
  <c r="CI1331" i="13" s="1"/>
  <c r="CE1331" i="13"/>
  <c r="CH1331" i="13" s="1"/>
  <c r="BY1331" i="13"/>
  <c r="CO1323" i="13"/>
  <c r="CN1323" i="13"/>
  <c r="CL1323" i="13"/>
  <c r="CK1323" i="13"/>
  <c r="CJ1323" i="13"/>
  <c r="CF1323" i="13"/>
  <c r="CI1323" i="13" s="1"/>
  <c r="CE1323" i="13"/>
  <c r="CH1323" i="13" s="1"/>
  <c r="CD1323" i="13"/>
  <c r="CG1323" i="13" s="1"/>
  <c r="BY1323" i="13"/>
  <c r="CO1307" i="13"/>
  <c r="CF1307" i="13"/>
  <c r="CI1307" i="13" s="1"/>
  <c r="CE1307" i="13"/>
  <c r="CH1307" i="13" s="1"/>
  <c r="BY1523" i="13"/>
  <c r="BK1595" i="13"/>
  <c r="BK1587" i="13"/>
  <c r="BK1579" i="13"/>
  <c r="BK1571" i="13"/>
  <c r="BK1563" i="13"/>
  <c r="BK1555" i="13"/>
  <c r="BK1547" i="13"/>
  <c r="BK1539" i="13"/>
  <c r="BK1531" i="13"/>
  <c r="BK1523" i="13"/>
  <c r="BK1515" i="13"/>
  <c r="BK1507" i="13"/>
  <c r="BK1499" i="13"/>
  <c r="BK1491" i="13"/>
  <c r="BK1483" i="13"/>
  <c r="BK1475" i="13"/>
  <c r="BK1467" i="13"/>
  <c r="BK1459" i="13"/>
  <c r="BK1451" i="13"/>
  <c r="BK1443" i="13"/>
  <c r="BK1435" i="13"/>
  <c r="BK1427" i="13"/>
  <c r="BK1419" i="13"/>
  <c r="BK1411" i="13"/>
  <c r="BK1403" i="13"/>
  <c r="BK1395" i="13"/>
  <c r="BK1387" i="13"/>
  <c r="BK1379" i="13"/>
  <c r="BK1371" i="13"/>
  <c r="BK1363" i="13"/>
  <c r="BK1355" i="13"/>
  <c r="BK1347" i="13"/>
  <c r="BK1339" i="13"/>
  <c r="BK1331" i="13"/>
  <c r="BK1323" i="13"/>
  <c r="BK1315" i="13"/>
  <c r="BK1307" i="13"/>
  <c r="CO1591" i="13"/>
  <c r="CN1591" i="13"/>
  <c r="CL1591" i="13"/>
  <c r="CJ1591" i="13"/>
  <c r="CK1591" i="13"/>
  <c r="CE1591" i="13"/>
  <c r="CH1591" i="13" s="1"/>
  <c r="BZ1591" i="13"/>
  <c r="CD1591" i="13"/>
  <c r="CG1591" i="13" s="1"/>
  <c r="CO1583" i="13"/>
  <c r="CN1583" i="13"/>
  <c r="CL1583" i="13"/>
  <c r="CJ1583" i="13"/>
  <c r="CK1583" i="13"/>
  <c r="CE1583" i="13"/>
  <c r="CH1583" i="13" s="1"/>
  <c r="BZ1583" i="13"/>
  <c r="CD1583" i="13"/>
  <c r="CG1583" i="13" s="1"/>
  <c r="CF1583" i="13"/>
  <c r="CI1583" i="13" s="1"/>
  <c r="CO1575" i="13"/>
  <c r="CN1575" i="13"/>
  <c r="CL1575" i="13"/>
  <c r="CJ1575" i="13"/>
  <c r="CK1575" i="13"/>
  <c r="CE1575" i="13"/>
  <c r="CH1575" i="13" s="1"/>
  <c r="BZ1575" i="13"/>
  <c r="CF1575" i="13"/>
  <c r="CI1575" i="13" s="1"/>
  <c r="CD1575" i="13"/>
  <c r="CG1575" i="13" s="1"/>
  <c r="CO1567" i="13"/>
  <c r="CN1567" i="13"/>
  <c r="CL1567" i="13"/>
  <c r="CJ1567" i="13"/>
  <c r="CK1567" i="13"/>
  <c r="CE1567" i="13"/>
  <c r="CH1567" i="13" s="1"/>
  <c r="BZ1567" i="13"/>
  <c r="CD1567" i="13"/>
  <c r="CG1567" i="13" s="1"/>
  <c r="CO1559" i="13"/>
  <c r="CN1559" i="13"/>
  <c r="CL1559" i="13"/>
  <c r="CJ1559" i="13"/>
  <c r="CK1559" i="13"/>
  <c r="CE1559" i="13"/>
  <c r="CH1559" i="13" s="1"/>
  <c r="BZ1559" i="13"/>
  <c r="CD1559" i="13"/>
  <c r="CG1559" i="13" s="1"/>
  <c r="CO1551" i="13"/>
  <c r="CN1551" i="13"/>
  <c r="CL1551" i="13"/>
  <c r="CJ1551" i="13"/>
  <c r="CK1551" i="13"/>
  <c r="CE1551" i="13"/>
  <c r="CH1551" i="13" s="1"/>
  <c r="BZ1551" i="13"/>
  <c r="CD1551" i="13"/>
  <c r="CG1551" i="13" s="1"/>
  <c r="CF1551" i="13"/>
  <c r="CI1551" i="13" s="1"/>
  <c r="CO1543" i="13"/>
  <c r="CN1543" i="13"/>
  <c r="CL1543" i="13"/>
  <c r="CJ1543" i="13"/>
  <c r="CK1543" i="13"/>
  <c r="CE1543" i="13"/>
  <c r="CH1543" i="13" s="1"/>
  <c r="BZ1543" i="13"/>
  <c r="CF1543" i="13"/>
  <c r="CI1543" i="13" s="1"/>
  <c r="CD1543" i="13"/>
  <c r="CG1543" i="13" s="1"/>
  <c r="CO1535" i="13"/>
  <c r="CN1535" i="13"/>
  <c r="CL1535" i="13"/>
  <c r="CJ1535" i="13"/>
  <c r="CK1535" i="13"/>
  <c r="CE1535" i="13"/>
  <c r="CH1535" i="13" s="1"/>
  <c r="BZ1535" i="13"/>
  <c r="CD1535" i="13"/>
  <c r="CG1535" i="13" s="1"/>
  <c r="CO1527" i="13"/>
  <c r="CN1527" i="13"/>
  <c r="CL1527" i="13"/>
  <c r="CJ1527" i="13"/>
  <c r="CK1527" i="13"/>
  <c r="CE1527" i="13"/>
  <c r="CH1527" i="13" s="1"/>
  <c r="BY1527" i="13"/>
  <c r="CD1527" i="13"/>
  <c r="CG1527" i="13" s="1"/>
  <c r="BZ1527" i="13"/>
  <c r="CO1519" i="13"/>
  <c r="CN1519" i="13"/>
  <c r="CL1519" i="13"/>
  <c r="CJ1519" i="13"/>
  <c r="CK1519" i="13"/>
  <c r="CE1519" i="13"/>
  <c r="CH1519" i="13" s="1"/>
  <c r="BY1519" i="13"/>
  <c r="CD1519" i="13"/>
  <c r="CG1519" i="13" s="1"/>
  <c r="BZ1519" i="13"/>
  <c r="CF1519" i="13"/>
  <c r="CI1519" i="13" s="1"/>
  <c r="CO1511" i="13"/>
  <c r="CN1511" i="13"/>
  <c r="CL1511" i="13"/>
  <c r="CJ1511" i="13"/>
  <c r="CK1511" i="13"/>
  <c r="CF1511" i="13"/>
  <c r="CI1511" i="13" s="1"/>
  <c r="CE1511" i="13"/>
  <c r="CH1511" i="13" s="1"/>
  <c r="BY1511" i="13"/>
  <c r="CD1511" i="13"/>
  <c r="CG1511" i="13" s="1"/>
  <c r="BZ1511" i="13"/>
  <c r="CO1503" i="13"/>
  <c r="CN1503" i="13"/>
  <c r="CL1503" i="13"/>
  <c r="CJ1503" i="13"/>
  <c r="CK1503" i="13"/>
  <c r="CF1503" i="13"/>
  <c r="CI1503" i="13" s="1"/>
  <c r="CE1503" i="13"/>
  <c r="CH1503" i="13" s="1"/>
  <c r="BY1503" i="13"/>
  <c r="CD1503" i="13"/>
  <c r="CG1503" i="13" s="1"/>
  <c r="BZ1503" i="13"/>
  <c r="CO1495" i="13"/>
  <c r="CN1495" i="13"/>
  <c r="CL1495" i="13"/>
  <c r="CJ1495" i="13"/>
  <c r="CK1495" i="13"/>
  <c r="CF1495" i="13"/>
  <c r="CI1495" i="13" s="1"/>
  <c r="CE1495" i="13"/>
  <c r="CH1495" i="13" s="1"/>
  <c r="BY1495" i="13"/>
  <c r="CD1495" i="13"/>
  <c r="CG1495" i="13" s="1"/>
  <c r="BZ1495" i="13"/>
  <c r="CO1487" i="13"/>
  <c r="CN1487" i="13"/>
  <c r="CL1487" i="13"/>
  <c r="CJ1487" i="13"/>
  <c r="CK1487" i="13"/>
  <c r="CF1487" i="13"/>
  <c r="CI1487" i="13" s="1"/>
  <c r="CE1487" i="13"/>
  <c r="CH1487" i="13" s="1"/>
  <c r="BY1487" i="13"/>
  <c r="CD1487" i="13"/>
  <c r="CG1487" i="13" s="1"/>
  <c r="BZ1487" i="13"/>
  <c r="CO1479" i="13"/>
  <c r="CN1479" i="13"/>
  <c r="CL1479" i="13"/>
  <c r="CJ1479" i="13"/>
  <c r="CK1479" i="13"/>
  <c r="CF1479" i="13"/>
  <c r="CI1479" i="13" s="1"/>
  <c r="CE1479" i="13"/>
  <c r="CH1479" i="13" s="1"/>
  <c r="BY1479" i="13"/>
  <c r="CD1479" i="13"/>
  <c r="CG1479" i="13" s="1"/>
  <c r="BZ1479" i="13"/>
  <c r="CO1471" i="13"/>
  <c r="CN1471" i="13"/>
  <c r="CL1471" i="13"/>
  <c r="CJ1471" i="13"/>
  <c r="CK1471" i="13"/>
  <c r="CF1471" i="13"/>
  <c r="CI1471" i="13" s="1"/>
  <c r="CE1471" i="13"/>
  <c r="CH1471" i="13" s="1"/>
  <c r="BY1471" i="13"/>
  <c r="CD1471" i="13"/>
  <c r="CG1471" i="13" s="1"/>
  <c r="BZ1471" i="13"/>
  <c r="CO1463" i="13"/>
  <c r="CL1463" i="13"/>
  <c r="CN1463" i="13"/>
  <c r="CJ1463" i="13"/>
  <c r="CK1463" i="13"/>
  <c r="CF1463" i="13"/>
  <c r="CI1463" i="13" s="1"/>
  <c r="CE1463" i="13"/>
  <c r="CH1463" i="13" s="1"/>
  <c r="CD1463" i="13"/>
  <c r="CG1463" i="13" s="1"/>
  <c r="BZ1463" i="13"/>
  <c r="CO1455" i="13"/>
  <c r="CL1455" i="13"/>
  <c r="CN1455" i="13"/>
  <c r="CJ1455" i="13"/>
  <c r="CK1455" i="13"/>
  <c r="CF1455" i="13"/>
  <c r="CI1455" i="13" s="1"/>
  <c r="CE1455" i="13"/>
  <c r="CH1455" i="13" s="1"/>
  <c r="CD1455" i="13"/>
  <c r="CG1455" i="13" s="1"/>
  <c r="BY1455" i="13"/>
  <c r="BZ1455" i="13"/>
  <c r="CO1447" i="13"/>
  <c r="CN1447" i="13"/>
  <c r="CL1447" i="13"/>
  <c r="CJ1447" i="13"/>
  <c r="CK1447" i="13"/>
  <c r="CF1447" i="13"/>
  <c r="CI1447" i="13" s="1"/>
  <c r="CE1447" i="13"/>
  <c r="CH1447" i="13" s="1"/>
  <c r="CD1447" i="13"/>
  <c r="CG1447" i="13" s="1"/>
  <c r="BY1447" i="13"/>
  <c r="BZ1447" i="13"/>
  <c r="CO1439" i="13"/>
  <c r="CN1439" i="13"/>
  <c r="CL1439" i="13"/>
  <c r="CJ1439" i="13"/>
  <c r="CK1439" i="13"/>
  <c r="CF1439" i="13"/>
  <c r="CI1439" i="13" s="1"/>
  <c r="CE1439" i="13"/>
  <c r="CH1439" i="13" s="1"/>
  <c r="CD1439" i="13"/>
  <c r="CG1439" i="13" s="1"/>
  <c r="BY1439" i="13"/>
  <c r="BZ1439" i="13"/>
  <c r="CO1431" i="13"/>
  <c r="CL1431" i="13"/>
  <c r="CN1431" i="13"/>
  <c r="CJ1431" i="13"/>
  <c r="CK1431" i="13"/>
  <c r="CF1431" i="13"/>
  <c r="CI1431" i="13" s="1"/>
  <c r="CE1431" i="13"/>
  <c r="CH1431" i="13" s="1"/>
  <c r="CD1431" i="13"/>
  <c r="CG1431" i="13" s="1"/>
  <c r="BY1431" i="13"/>
  <c r="BZ1431" i="13"/>
  <c r="CO1423" i="13"/>
  <c r="CL1423" i="13"/>
  <c r="CN1423" i="13"/>
  <c r="CJ1423" i="13"/>
  <c r="CK1423" i="13"/>
  <c r="CF1423" i="13"/>
  <c r="CI1423" i="13" s="1"/>
  <c r="CE1423" i="13"/>
  <c r="CH1423" i="13" s="1"/>
  <c r="CD1423" i="13"/>
  <c r="CG1423" i="13" s="1"/>
  <c r="BY1423" i="13"/>
  <c r="BZ1423" i="13"/>
  <c r="CO1415" i="13"/>
  <c r="CN1415" i="13"/>
  <c r="CL1415" i="13"/>
  <c r="CJ1415" i="13"/>
  <c r="CK1415" i="13"/>
  <c r="CF1415" i="13"/>
  <c r="CI1415" i="13" s="1"/>
  <c r="CE1415" i="13"/>
  <c r="CH1415" i="13" s="1"/>
  <c r="CD1415" i="13"/>
  <c r="CG1415" i="13" s="1"/>
  <c r="BY1415" i="13"/>
  <c r="BZ1415" i="13"/>
  <c r="CO1407" i="13"/>
  <c r="CN1407" i="13"/>
  <c r="CL1407" i="13"/>
  <c r="CK1407" i="13"/>
  <c r="CJ1407" i="13"/>
  <c r="CF1407" i="13"/>
  <c r="CI1407" i="13" s="1"/>
  <c r="CE1407" i="13"/>
  <c r="CH1407" i="13" s="1"/>
  <c r="CD1407" i="13"/>
  <c r="CG1407" i="13" s="1"/>
  <c r="BY1407" i="13"/>
  <c r="BZ1407" i="13"/>
  <c r="CO1399" i="13"/>
  <c r="CF1399" i="13"/>
  <c r="CI1399" i="13" s="1"/>
  <c r="CE1399" i="13"/>
  <c r="CH1399" i="13" s="1"/>
  <c r="CD1399" i="13"/>
  <c r="CG1399" i="13" s="1"/>
  <c r="CO1391" i="13"/>
  <c r="CF1391" i="13"/>
  <c r="CI1391" i="13" s="1"/>
  <c r="CE1391" i="13"/>
  <c r="CH1391" i="13" s="1"/>
  <c r="CD1391" i="13"/>
  <c r="CG1391" i="13" s="1"/>
  <c r="CO1383" i="13"/>
  <c r="CL1383" i="13"/>
  <c r="CK1383" i="13"/>
  <c r="CN1383" i="13"/>
  <c r="CJ1383" i="13"/>
  <c r="CF1383" i="13"/>
  <c r="CI1383" i="13" s="1"/>
  <c r="CE1383" i="13"/>
  <c r="CH1383" i="13" s="1"/>
  <c r="CD1383" i="13"/>
  <c r="CG1383" i="13" s="1"/>
  <c r="BY1383" i="13"/>
  <c r="BZ1383" i="13"/>
  <c r="CO1375" i="13"/>
  <c r="CL1375" i="13"/>
  <c r="CK1375" i="13"/>
  <c r="CN1375" i="13"/>
  <c r="CJ1375" i="13"/>
  <c r="CF1375" i="13"/>
  <c r="CI1375" i="13" s="1"/>
  <c r="CE1375" i="13"/>
  <c r="CH1375" i="13" s="1"/>
  <c r="CD1375" i="13"/>
  <c r="CG1375" i="13" s="1"/>
  <c r="BY1375" i="13"/>
  <c r="BZ1375" i="13"/>
  <c r="CO1367" i="13"/>
  <c r="CN1367" i="13"/>
  <c r="CL1367" i="13"/>
  <c r="CK1367" i="13"/>
  <c r="CJ1367" i="13"/>
  <c r="CF1367" i="13"/>
  <c r="CI1367" i="13" s="1"/>
  <c r="CE1367" i="13"/>
  <c r="CH1367" i="13" s="1"/>
  <c r="CD1367" i="13"/>
  <c r="CG1367" i="13" s="1"/>
  <c r="BY1367" i="13"/>
  <c r="BZ1367" i="13"/>
  <c r="CO1359" i="13"/>
  <c r="CN1359" i="13"/>
  <c r="CL1359" i="13"/>
  <c r="CK1359" i="13"/>
  <c r="CJ1359" i="13"/>
  <c r="CF1359" i="13"/>
  <c r="CI1359" i="13" s="1"/>
  <c r="CE1359" i="13"/>
  <c r="CH1359" i="13" s="1"/>
  <c r="CD1359" i="13"/>
  <c r="CG1359" i="13" s="1"/>
  <c r="BY1359" i="13"/>
  <c r="BZ1359" i="13"/>
  <c r="CO1351" i="13"/>
  <c r="CL1351" i="13"/>
  <c r="CK1351" i="13"/>
  <c r="CN1351" i="13"/>
  <c r="CJ1351" i="13"/>
  <c r="CF1351" i="13"/>
  <c r="CI1351" i="13" s="1"/>
  <c r="CE1351" i="13"/>
  <c r="CH1351" i="13" s="1"/>
  <c r="CD1351" i="13"/>
  <c r="CG1351" i="13" s="1"/>
  <c r="BY1351" i="13"/>
  <c r="BZ1351" i="13"/>
  <c r="CO1343" i="13"/>
  <c r="CL1343" i="13"/>
  <c r="CK1343" i="13"/>
  <c r="CN1343" i="13"/>
  <c r="CJ1343" i="13"/>
  <c r="CF1343" i="13"/>
  <c r="CI1343" i="13" s="1"/>
  <c r="CE1343" i="13"/>
  <c r="CH1343" i="13" s="1"/>
  <c r="CD1343" i="13"/>
  <c r="CG1343" i="13" s="1"/>
  <c r="BY1343" i="13"/>
  <c r="BZ1343" i="13"/>
  <c r="CO1335" i="13"/>
  <c r="CN1335" i="13"/>
  <c r="CL1335" i="13"/>
  <c r="CK1335" i="13"/>
  <c r="CJ1335" i="13"/>
  <c r="CF1335" i="13"/>
  <c r="CI1335" i="13" s="1"/>
  <c r="CE1335" i="13"/>
  <c r="CH1335" i="13" s="1"/>
  <c r="CD1335" i="13"/>
  <c r="CG1335" i="13" s="1"/>
  <c r="BY1335" i="13"/>
  <c r="BZ1335" i="13"/>
  <c r="CO1327" i="13"/>
  <c r="CN1327" i="13"/>
  <c r="CL1327" i="13"/>
  <c r="CK1327" i="13"/>
  <c r="CJ1327" i="13"/>
  <c r="CF1327" i="13"/>
  <c r="CI1327" i="13" s="1"/>
  <c r="CE1327" i="13"/>
  <c r="CH1327" i="13" s="1"/>
  <c r="CD1327" i="13"/>
  <c r="CG1327" i="13" s="1"/>
  <c r="BY1327" i="13"/>
  <c r="BZ1327" i="13"/>
  <c r="CO1319" i="13"/>
  <c r="CF1319" i="13"/>
  <c r="CI1319" i="13" s="1"/>
  <c r="CE1319" i="13"/>
  <c r="CH1319" i="13" s="1"/>
  <c r="CD1319" i="13"/>
  <c r="CG1319" i="13" s="1"/>
  <c r="CO1311" i="13"/>
  <c r="CF1311" i="13"/>
  <c r="CI1311" i="13" s="1"/>
  <c r="CE1311" i="13"/>
  <c r="CH1311" i="13" s="1"/>
  <c r="CD1311" i="13"/>
  <c r="CG1311" i="13" s="1"/>
  <c r="BY1401" i="13"/>
  <c r="BY1393" i="13"/>
  <c r="BY1385" i="13"/>
  <c r="BY1321" i="13"/>
  <c r="BY1313" i="13"/>
  <c r="BY1595" i="13"/>
  <c r="BY1587" i="13"/>
  <c r="BY1579" i="13"/>
  <c r="BY1571" i="13"/>
  <c r="BY1563" i="13"/>
  <c r="BY1555" i="13"/>
  <c r="BY1547" i="13"/>
  <c r="BY1539" i="13"/>
  <c r="BY1528" i="13"/>
  <c r="BY1517" i="13"/>
  <c r="BY1507" i="13"/>
  <c r="BY1496" i="13"/>
  <c r="BY1485" i="13"/>
  <c r="BY1475" i="13"/>
  <c r="BY1463" i="13"/>
  <c r="BY1445" i="13"/>
  <c r="BY1413" i="13"/>
  <c r="BY1364" i="13"/>
  <c r="BY1332" i="13"/>
  <c r="BZ1509" i="13"/>
  <c r="BZ1477" i="13"/>
  <c r="BZ1444" i="13"/>
  <c r="BZ1412" i="13"/>
  <c r="BZ1363" i="13"/>
  <c r="BZ1331" i="13"/>
  <c r="CD1573" i="13"/>
  <c r="CG1573" i="13" s="1"/>
  <c r="CD1541" i="13"/>
  <c r="CG1541" i="13" s="1"/>
  <c r="CD1509" i="13"/>
  <c r="CG1509" i="13" s="1"/>
  <c r="CD1477" i="13"/>
  <c r="CG1477" i="13" s="1"/>
  <c r="CD1435" i="13"/>
  <c r="CG1435" i="13" s="1"/>
  <c r="CD1307" i="13"/>
  <c r="CG1307" i="13" s="1"/>
  <c r="CE1469" i="13"/>
  <c r="CH1469" i="13" s="1"/>
  <c r="CE1341" i="13"/>
  <c r="CH1341" i="13" s="1"/>
  <c r="CF1473" i="13"/>
  <c r="CI1473" i="13" s="1"/>
  <c r="CO1590" i="13"/>
  <c r="CN1590" i="13"/>
  <c r="CL1590" i="13"/>
  <c r="CJ1590" i="13"/>
  <c r="CK1590" i="13"/>
  <c r="CE1590" i="13"/>
  <c r="CH1590" i="13" s="1"/>
  <c r="CD1590" i="13"/>
  <c r="CG1590" i="13" s="1"/>
  <c r="CF1590" i="13"/>
  <c r="CI1590" i="13" s="1"/>
  <c r="CO1582" i="13"/>
  <c r="CN1582" i="13"/>
  <c r="CL1582" i="13"/>
  <c r="CJ1582" i="13"/>
  <c r="CK1582" i="13"/>
  <c r="CE1582" i="13"/>
  <c r="CH1582" i="13" s="1"/>
  <c r="CD1582" i="13"/>
  <c r="CG1582" i="13" s="1"/>
  <c r="CF1582" i="13"/>
  <c r="CI1582" i="13" s="1"/>
  <c r="CO1574" i="13"/>
  <c r="CN1574" i="13"/>
  <c r="CL1574" i="13"/>
  <c r="CJ1574" i="13"/>
  <c r="CK1574" i="13"/>
  <c r="CE1574" i="13"/>
  <c r="CH1574" i="13" s="1"/>
  <c r="CF1574" i="13"/>
  <c r="CI1574" i="13" s="1"/>
  <c r="CD1574" i="13"/>
  <c r="CG1574" i="13" s="1"/>
  <c r="CO1566" i="13"/>
  <c r="CN1566" i="13"/>
  <c r="CL1566" i="13"/>
  <c r="CJ1566" i="13"/>
  <c r="CK1566" i="13"/>
  <c r="CE1566" i="13"/>
  <c r="CH1566" i="13" s="1"/>
  <c r="CD1566" i="13"/>
  <c r="CG1566" i="13" s="1"/>
  <c r="CF1566" i="13"/>
  <c r="CI1566" i="13" s="1"/>
  <c r="CO1558" i="13"/>
  <c r="CN1558" i="13"/>
  <c r="CL1558" i="13"/>
  <c r="CJ1558" i="13"/>
  <c r="CK1558" i="13"/>
  <c r="CE1558" i="13"/>
  <c r="CH1558" i="13" s="1"/>
  <c r="CD1558" i="13"/>
  <c r="CG1558" i="13" s="1"/>
  <c r="CF1558" i="13"/>
  <c r="CI1558" i="13" s="1"/>
  <c r="CO1550" i="13"/>
  <c r="CN1550" i="13"/>
  <c r="CL1550" i="13"/>
  <c r="CJ1550" i="13"/>
  <c r="CK1550" i="13"/>
  <c r="CE1550" i="13"/>
  <c r="CH1550" i="13" s="1"/>
  <c r="CD1550" i="13"/>
  <c r="CG1550" i="13" s="1"/>
  <c r="CF1550" i="13"/>
  <c r="CI1550" i="13" s="1"/>
  <c r="CO1542" i="13"/>
  <c r="CN1542" i="13"/>
  <c r="CL1542" i="13"/>
  <c r="CJ1542" i="13"/>
  <c r="CK1542" i="13"/>
  <c r="CE1542" i="13"/>
  <c r="CH1542" i="13" s="1"/>
  <c r="CF1542" i="13"/>
  <c r="CI1542" i="13" s="1"/>
  <c r="CD1542" i="13"/>
  <c r="CG1542" i="13" s="1"/>
  <c r="CO1534" i="13"/>
  <c r="CN1534" i="13"/>
  <c r="CL1534" i="13"/>
  <c r="CJ1534" i="13"/>
  <c r="CK1534" i="13"/>
  <c r="CE1534" i="13"/>
  <c r="CH1534" i="13" s="1"/>
  <c r="CD1534" i="13"/>
  <c r="CG1534" i="13" s="1"/>
  <c r="CF1534" i="13"/>
  <c r="CI1534" i="13" s="1"/>
  <c r="CO1526" i="13"/>
  <c r="CN1526" i="13"/>
  <c r="CL1526" i="13"/>
  <c r="CJ1526" i="13"/>
  <c r="CK1526" i="13"/>
  <c r="CE1526" i="13"/>
  <c r="CH1526" i="13" s="1"/>
  <c r="CD1526" i="13"/>
  <c r="CG1526" i="13" s="1"/>
  <c r="BZ1526" i="13"/>
  <c r="CF1526" i="13"/>
  <c r="CI1526" i="13" s="1"/>
  <c r="CO1518" i="13"/>
  <c r="CN1518" i="13"/>
  <c r="CL1518" i="13"/>
  <c r="CJ1518" i="13"/>
  <c r="CK1518" i="13"/>
  <c r="CE1518" i="13"/>
  <c r="CH1518" i="13" s="1"/>
  <c r="CD1518" i="13"/>
  <c r="CG1518" i="13" s="1"/>
  <c r="BZ1518" i="13"/>
  <c r="CF1518" i="13"/>
  <c r="CI1518" i="13" s="1"/>
  <c r="CO1510" i="13"/>
  <c r="CN1510" i="13"/>
  <c r="CL1510" i="13"/>
  <c r="CJ1510" i="13"/>
  <c r="CK1510" i="13"/>
  <c r="CF1510" i="13"/>
  <c r="CI1510" i="13" s="1"/>
  <c r="CE1510" i="13"/>
  <c r="CH1510" i="13" s="1"/>
  <c r="CD1510" i="13"/>
  <c r="CG1510" i="13" s="1"/>
  <c r="BZ1510" i="13"/>
  <c r="CO1502" i="13"/>
  <c r="CN1502" i="13"/>
  <c r="CL1502" i="13"/>
  <c r="CJ1502" i="13"/>
  <c r="CK1502" i="13"/>
  <c r="CF1502" i="13"/>
  <c r="CI1502" i="13" s="1"/>
  <c r="CE1502" i="13"/>
  <c r="CH1502" i="13" s="1"/>
  <c r="CD1502" i="13"/>
  <c r="CG1502" i="13" s="1"/>
  <c r="BZ1502" i="13"/>
  <c r="CO1494" i="13"/>
  <c r="CN1494" i="13"/>
  <c r="CL1494" i="13"/>
  <c r="CJ1494" i="13"/>
  <c r="CK1494" i="13"/>
  <c r="CF1494" i="13"/>
  <c r="CI1494" i="13" s="1"/>
  <c r="CE1494" i="13"/>
  <c r="CH1494" i="13" s="1"/>
  <c r="CD1494" i="13"/>
  <c r="CG1494" i="13" s="1"/>
  <c r="BZ1494" i="13"/>
  <c r="CO1486" i="13"/>
  <c r="CN1486" i="13"/>
  <c r="CL1486" i="13"/>
  <c r="CJ1486" i="13"/>
  <c r="CK1486" i="13"/>
  <c r="CF1486" i="13"/>
  <c r="CI1486" i="13" s="1"/>
  <c r="CE1486" i="13"/>
  <c r="CH1486" i="13" s="1"/>
  <c r="CD1486" i="13"/>
  <c r="CG1486" i="13" s="1"/>
  <c r="BZ1486" i="13"/>
  <c r="CO1478" i="13"/>
  <c r="CN1478" i="13"/>
  <c r="CL1478" i="13"/>
  <c r="CJ1478" i="13"/>
  <c r="CK1478" i="13"/>
  <c r="CF1478" i="13"/>
  <c r="CI1478" i="13" s="1"/>
  <c r="CE1478" i="13"/>
  <c r="CH1478" i="13" s="1"/>
  <c r="CD1478" i="13"/>
  <c r="CG1478" i="13" s="1"/>
  <c r="BZ1478" i="13"/>
  <c r="CF1470" i="13"/>
  <c r="CI1470" i="13" s="1"/>
  <c r="CE1470" i="13"/>
  <c r="CH1470" i="13" s="1"/>
  <c r="CD1470" i="13"/>
  <c r="CG1470" i="13" s="1"/>
  <c r="CO1462" i="13"/>
  <c r="CN1462" i="13"/>
  <c r="CL1462" i="13"/>
  <c r="CJ1462" i="13"/>
  <c r="CK1462" i="13"/>
  <c r="CF1462" i="13"/>
  <c r="CI1462" i="13" s="1"/>
  <c r="CE1462" i="13"/>
  <c r="CH1462" i="13" s="1"/>
  <c r="CD1462" i="13"/>
  <c r="CG1462" i="13" s="1"/>
  <c r="BY1462" i="13"/>
  <c r="BZ1462" i="13"/>
  <c r="CO1454" i="13"/>
  <c r="CN1454" i="13"/>
  <c r="CL1454" i="13"/>
  <c r="CJ1454" i="13"/>
  <c r="CK1454" i="13"/>
  <c r="CF1454" i="13"/>
  <c r="CI1454" i="13" s="1"/>
  <c r="CE1454" i="13"/>
  <c r="CH1454" i="13" s="1"/>
  <c r="CD1454" i="13"/>
  <c r="CG1454" i="13" s="1"/>
  <c r="BY1454" i="13"/>
  <c r="BZ1454" i="13"/>
  <c r="CO1446" i="13"/>
  <c r="CN1446" i="13"/>
  <c r="CL1446" i="13"/>
  <c r="CJ1446" i="13"/>
  <c r="CK1446" i="13"/>
  <c r="CF1446" i="13"/>
  <c r="CI1446" i="13" s="1"/>
  <c r="CE1446" i="13"/>
  <c r="CH1446" i="13" s="1"/>
  <c r="CD1446" i="13"/>
  <c r="CG1446" i="13" s="1"/>
  <c r="BY1446" i="13"/>
  <c r="BZ1446" i="13"/>
  <c r="CO1438" i="13"/>
  <c r="CN1438" i="13"/>
  <c r="CL1438" i="13"/>
  <c r="CJ1438" i="13"/>
  <c r="CK1438" i="13"/>
  <c r="CF1438" i="13"/>
  <c r="CI1438" i="13" s="1"/>
  <c r="CE1438" i="13"/>
  <c r="CH1438" i="13" s="1"/>
  <c r="CD1438" i="13"/>
  <c r="CG1438" i="13" s="1"/>
  <c r="BY1438" i="13"/>
  <c r="BZ1438" i="13"/>
  <c r="CO1430" i="13"/>
  <c r="CN1430" i="13"/>
  <c r="CL1430" i="13"/>
  <c r="CJ1430" i="13"/>
  <c r="CK1430" i="13"/>
  <c r="CF1430" i="13"/>
  <c r="CI1430" i="13" s="1"/>
  <c r="CE1430" i="13"/>
  <c r="CH1430" i="13" s="1"/>
  <c r="CD1430" i="13"/>
  <c r="CG1430" i="13" s="1"/>
  <c r="BY1430" i="13"/>
  <c r="BZ1430" i="13"/>
  <c r="CO1422" i="13"/>
  <c r="CN1422" i="13"/>
  <c r="CL1422" i="13"/>
  <c r="CJ1422" i="13"/>
  <c r="CK1422" i="13"/>
  <c r="CF1422" i="13"/>
  <c r="CI1422" i="13" s="1"/>
  <c r="CE1422" i="13"/>
  <c r="CH1422" i="13" s="1"/>
  <c r="CD1422" i="13"/>
  <c r="CG1422" i="13" s="1"/>
  <c r="BY1422" i="13"/>
  <c r="BZ1422" i="13"/>
  <c r="CO1414" i="13"/>
  <c r="CN1414" i="13"/>
  <c r="CL1414" i="13"/>
  <c r="CJ1414" i="13"/>
  <c r="CK1414" i="13"/>
  <c r="CF1414" i="13"/>
  <c r="CI1414" i="13" s="1"/>
  <c r="CE1414" i="13"/>
  <c r="CH1414" i="13" s="1"/>
  <c r="CD1414" i="13"/>
  <c r="CG1414" i="13" s="1"/>
  <c r="BY1414" i="13"/>
  <c r="BZ1414" i="13"/>
  <c r="CO1406" i="13"/>
  <c r="CN1406" i="13"/>
  <c r="CL1406" i="13"/>
  <c r="CJ1406" i="13"/>
  <c r="CK1406" i="13"/>
  <c r="CF1406" i="13"/>
  <c r="CI1406" i="13" s="1"/>
  <c r="CE1406" i="13"/>
  <c r="CH1406" i="13" s="1"/>
  <c r="CD1406" i="13"/>
  <c r="CG1406" i="13" s="1"/>
  <c r="BY1406" i="13"/>
  <c r="BZ1406" i="13"/>
  <c r="CO1398" i="13"/>
  <c r="CF1398" i="13"/>
  <c r="CI1398" i="13" s="1"/>
  <c r="CE1398" i="13"/>
  <c r="CH1398" i="13" s="1"/>
  <c r="CD1398" i="13"/>
  <c r="CG1398" i="13" s="1"/>
  <c r="CO1390" i="13"/>
  <c r="CF1390" i="13"/>
  <c r="CI1390" i="13" s="1"/>
  <c r="CE1390" i="13"/>
  <c r="CH1390" i="13" s="1"/>
  <c r="CD1390" i="13"/>
  <c r="CG1390" i="13" s="1"/>
  <c r="CO1382" i="13"/>
  <c r="CL1382" i="13"/>
  <c r="CK1382" i="13"/>
  <c r="CN1382" i="13"/>
  <c r="CJ1382" i="13"/>
  <c r="CF1382" i="13"/>
  <c r="CI1382" i="13" s="1"/>
  <c r="CE1382" i="13"/>
  <c r="CH1382" i="13" s="1"/>
  <c r="CD1382" i="13"/>
  <c r="CG1382" i="13" s="1"/>
  <c r="BY1382" i="13"/>
  <c r="BZ1382" i="13"/>
  <c r="CO1374" i="13"/>
  <c r="CL1374" i="13"/>
  <c r="CK1374" i="13"/>
  <c r="CN1374" i="13"/>
  <c r="CJ1374" i="13"/>
  <c r="CF1374" i="13"/>
  <c r="CI1374" i="13" s="1"/>
  <c r="CE1374" i="13"/>
  <c r="CH1374" i="13" s="1"/>
  <c r="CD1374" i="13"/>
  <c r="CG1374" i="13" s="1"/>
  <c r="BY1374" i="13"/>
  <c r="BZ1374" i="13"/>
  <c r="CO1366" i="13"/>
  <c r="CN1366" i="13"/>
  <c r="CL1366" i="13"/>
  <c r="CK1366" i="13"/>
  <c r="CJ1366" i="13"/>
  <c r="CF1366" i="13"/>
  <c r="CI1366" i="13" s="1"/>
  <c r="CE1366" i="13"/>
  <c r="CH1366" i="13" s="1"/>
  <c r="CD1366" i="13"/>
  <c r="CG1366" i="13" s="1"/>
  <c r="BY1366" i="13"/>
  <c r="BZ1366" i="13"/>
  <c r="CO1358" i="13"/>
  <c r="CN1358" i="13"/>
  <c r="CL1358" i="13"/>
  <c r="CK1358" i="13"/>
  <c r="CJ1358" i="13"/>
  <c r="CF1358" i="13"/>
  <c r="CI1358" i="13" s="1"/>
  <c r="CE1358" i="13"/>
  <c r="CH1358" i="13" s="1"/>
  <c r="CD1358" i="13"/>
  <c r="CG1358" i="13" s="1"/>
  <c r="BY1358" i="13"/>
  <c r="BZ1358" i="13"/>
  <c r="CO1350" i="13"/>
  <c r="CL1350" i="13"/>
  <c r="CK1350" i="13"/>
  <c r="CN1350" i="13"/>
  <c r="CJ1350" i="13"/>
  <c r="CF1350" i="13"/>
  <c r="CI1350" i="13" s="1"/>
  <c r="CE1350" i="13"/>
  <c r="CH1350" i="13" s="1"/>
  <c r="CD1350" i="13"/>
  <c r="CG1350" i="13" s="1"/>
  <c r="BY1350" i="13"/>
  <c r="BZ1350" i="13"/>
  <c r="CO1342" i="13"/>
  <c r="CL1342" i="13"/>
  <c r="CK1342" i="13"/>
  <c r="CN1342" i="13"/>
  <c r="CJ1342" i="13"/>
  <c r="CF1342" i="13"/>
  <c r="CI1342" i="13" s="1"/>
  <c r="CE1342" i="13"/>
  <c r="CH1342" i="13" s="1"/>
  <c r="CD1342" i="13"/>
  <c r="CG1342" i="13" s="1"/>
  <c r="BY1342" i="13"/>
  <c r="BZ1342" i="13"/>
  <c r="CO1334" i="13"/>
  <c r="CN1334" i="13"/>
  <c r="CL1334" i="13"/>
  <c r="CK1334" i="13"/>
  <c r="CJ1334" i="13"/>
  <c r="CF1334" i="13"/>
  <c r="CI1334" i="13" s="1"/>
  <c r="CE1334" i="13"/>
  <c r="CH1334" i="13" s="1"/>
  <c r="CD1334" i="13"/>
  <c r="CG1334" i="13" s="1"/>
  <c r="BY1334" i="13"/>
  <c r="BZ1334" i="13"/>
  <c r="CO1326" i="13"/>
  <c r="CN1326" i="13"/>
  <c r="CL1326" i="13"/>
  <c r="CK1326" i="13"/>
  <c r="CJ1326" i="13"/>
  <c r="CF1326" i="13"/>
  <c r="CI1326" i="13" s="1"/>
  <c r="CE1326" i="13"/>
  <c r="CH1326" i="13" s="1"/>
  <c r="CD1326" i="13"/>
  <c r="CG1326" i="13" s="1"/>
  <c r="BY1326" i="13"/>
  <c r="BZ1326" i="13"/>
  <c r="CO1318" i="13"/>
  <c r="CF1318" i="13"/>
  <c r="CI1318" i="13" s="1"/>
  <c r="CE1318" i="13"/>
  <c r="CH1318" i="13" s="1"/>
  <c r="CD1318" i="13"/>
  <c r="CG1318" i="13" s="1"/>
  <c r="CO1310" i="13"/>
  <c r="CF1310" i="13"/>
  <c r="CI1310" i="13" s="1"/>
  <c r="CE1310" i="13"/>
  <c r="CH1310" i="13" s="1"/>
  <c r="CD1310" i="13"/>
  <c r="CG1310" i="13" s="1"/>
  <c r="BY1400" i="13"/>
  <c r="BY1392" i="13"/>
  <c r="BY1320" i="13"/>
  <c r="BY1312" i="13"/>
  <c r="BY1594" i="13"/>
  <c r="BY1586" i="13"/>
  <c r="BY1578" i="13"/>
  <c r="BY1570" i="13"/>
  <c r="BY1562" i="13"/>
  <c r="BY1554" i="13"/>
  <c r="BY1546" i="13"/>
  <c r="BY1538" i="13"/>
  <c r="BY1526" i="13"/>
  <c r="BY1516" i="13"/>
  <c r="BY1505" i="13"/>
  <c r="BY1494" i="13"/>
  <c r="BY1484" i="13"/>
  <c r="BY1473" i="13"/>
  <c r="BY1461" i="13"/>
  <c r="BY1443" i="13"/>
  <c r="BY1411" i="13"/>
  <c r="BY1362" i="13"/>
  <c r="BY1330" i="13"/>
  <c r="BZ1572" i="13"/>
  <c r="BZ1540" i="13"/>
  <c r="BZ1507" i="13"/>
  <c r="BZ1475" i="13"/>
  <c r="BZ1442" i="13"/>
  <c r="BZ1410" i="13"/>
  <c r="BZ1361" i="13"/>
  <c r="BZ1329" i="13"/>
  <c r="CD1571" i="13"/>
  <c r="CG1571" i="13" s="1"/>
  <c r="CD1539" i="13"/>
  <c r="CG1539" i="13" s="1"/>
  <c r="CD1507" i="13"/>
  <c r="CG1507" i="13" s="1"/>
  <c r="CD1475" i="13"/>
  <c r="CG1475" i="13" s="1"/>
  <c r="CD1427" i="13"/>
  <c r="CG1427" i="13" s="1"/>
  <c r="CE1589" i="13"/>
  <c r="CH1589" i="13" s="1"/>
  <c r="CE1461" i="13"/>
  <c r="CH1461" i="13" s="1"/>
  <c r="CE1333" i="13"/>
  <c r="CH1333" i="13" s="1"/>
  <c r="CF1441" i="13"/>
  <c r="CI1441" i="13" s="1"/>
  <c r="BK1593" i="13"/>
  <c r="BK1585" i="13"/>
  <c r="BK1577" i="13"/>
  <c r="BK1569" i="13"/>
  <c r="BK1561" i="13"/>
  <c r="BK1553" i="13"/>
  <c r="BK1545" i="13"/>
  <c r="BK1537" i="13"/>
  <c r="BK1529" i="13"/>
  <c r="BK1521" i="13"/>
  <c r="BK1513" i="13"/>
  <c r="BK1505" i="13"/>
  <c r="BK1497" i="13"/>
  <c r="BK1489" i="13"/>
  <c r="BK1481" i="13"/>
  <c r="BK1473" i="13"/>
  <c r="BK1465" i="13"/>
  <c r="BK1457" i="13"/>
  <c r="BK1449" i="13"/>
  <c r="BK1441" i="13"/>
  <c r="BK1433" i="13"/>
  <c r="BK1425" i="13"/>
  <c r="BK1417" i="13"/>
  <c r="BK1409" i="13"/>
  <c r="BK1401" i="13"/>
  <c r="BK1393" i="13"/>
  <c r="BK1385" i="13"/>
  <c r="BK1377" i="13"/>
  <c r="BK1369" i="13"/>
  <c r="BK1361" i="13"/>
  <c r="BK1353" i="13"/>
  <c r="BK1345" i="13"/>
  <c r="BK1337" i="13"/>
  <c r="BK1329" i="13"/>
  <c r="BK1321" i="13"/>
  <c r="BK1313" i="13"/>
  <c r="BK1592" i="13"/>
  <c r="BK1584" i="13"/>
  <c r="BK1576" i="13"/>
  <c r="BK1568" i="13"/>
  <c r="BK1560" i="13"/>
  <c r="BK1552" i="13"/>
  <c r="BK1544" i="13"/>
  <c r="BK1536" i="13"/>
  <c r="BK1528" i="13"/>
  <c r="BK1520" i="13"/>
  <c r="BK1512" i="13"/>
  <c r="BK1504" i="13"/>
  <c r="BK1496" i="13"/>
  <c r="BK1488" i="13"/>
  <c r="BK1480" i="13"/>
  <c r="BK1472" i="13"/>
  <c r="BK1464" i="13"/>
  <c r="BK1456" i="13"/>
  <c r="BK1448" i="13"/>
  <c r="BK1440" i="13"/>
  <c r="BK1432" i="13"/>
  <c r="BK1424" i="13"/>
  <c r="BK1416" i="13"/>
  <c r="BK1408" i="13"/>
  <c r="BK1400" i="13"/>
  <c r="BK1392" i="13"/>
  <c r="BK1384" i="13"/>
  <c r="BK1376" i="13"/>
  <c r="BK1368" i="13"/>
  <c r="BK1360" i="13"/>
  <c r="BK1352" i="13"/>
  <c r="BK1344" i="13"/>
  <c r="BK1336" i="13"/>
  <c r="BK1328" i="13"/>
  <c r="BK1320" i="13"/>
  <c r="BK1312" i="13"/>
  <c r="BU1402" i="13"/>
  <c r="BU1323" i="13"/>
  <c r="BK1591" i="13"/>
  <c r="BK1583" i="13"/>
  <c r="BK1575" i="13"/>
  <c r="BK1567" i="13"/>
  <c r="BK1559" i="13"/>
  <c r="BK1551" i="13"/>
  <c r="BK1543" i="13"/>
  <c r="BK1535" i="13"/>
  <c r="BK1527" i="13"/>
  <c r="BK1519" i="13"/>
  <c r="BK1511" i="13"/>
  <c r="BK1503" i="13"/>
  <c r="BK1495" i="13"/>
  <c r="BK1487" i="13"/>
  <c r="BK1479" i="13"/>
  <c r="BK1471" i="13"/>
  <c r="BU1594" i="13"/>
  <c r="BU1530" i="13"/>
  <c r="BU1466" i="13"/>
  <c r="BU1586" i="13"/>
  <c r="BU1522" i="13"/>
  <c r="BU1458" i="13"/>
  <c r="BU1394" i="13"/>
  <c r="BU1314" i="13"/>
  <c r="BU1578" i="13"/>
  <c r="BU1514" i="13"/>
  <c r="BU1450" i="13"/>
  <c r="BU1386" i="13"/>
  <c r="BV1595" i="13"/>
  <c r="BX1595" i="13" s="1"/>
  <c r="BU1570" i="13"/>
  <c r="BU1506" i="13"/>
  <c r="BU1442" i="13"/>
  <c r="BU1378" i="13"/>
  <c r="BU1562" i="13"/>
  <c r="BU1498" i="13"/>
  <c r="BU1434" i="13"/>
  <c r="BU1369" i="13"/>
  <c r="BU1554" i="13"/>
  <c r="BU1490" i="13"/>
  <c r="BU1426" i="13"/>
  <c r="BU1351" i="13"/>
  <c r="BU1546" i="13"/>
  <c r="BU1482" i="13"/>
  <c r="BU1418" i="13"/>
  <c r="BU1342" i="13"/>
  <c r="BU1538" i="13"/>
  <c r="BU1474" i="13"/>
  <c r="BU1410" i="13"/>
  <c r="BU1333" i="13"/>
  <c r="BU1360" i="13"/>
  <c r="BV1576" i="13"/>
  <c r="BX1576" i="13" s="1"/>
  <c r="BU1593" i="13"/>
  <c r="BU1585" i="13"/>
  <c r="BU1577" i="13"/>
  <c r="BU1569" i="13"/>
  <c r="BU1561" i="13"/>
  <c r="BU1553" i="13"/>
  <c r="BU1545" i="13"/>
  <c r="BU1537" i="13"/>
  <c r="BU1529" i="13"/>
  <c r="BU1521" i="13"/>
  <c r="BU1513" i="13"/>
  <c r="BU1505" i="13"/>
  <c r="BU1497" i="13"/>
  <c r="BU1489" i="13"/>
  <c r="BU1481" i="13"/>
  <c r="BU1473" i="13"/>
  <c r="BU1465" i="13"/>
  <c r="BU1457" i="13"/>
  <c r="BU1449" i="13"/>
  <c r="BU1441" i="13"/>
  <c r="BU1433" i="13"/>
  <c r="BU1425" i="13"/>
  <c r="BU1417" i="13"/>
  <c r="BU1409" i="13"/>
  <c r="BU1401" i="13"/>
  <c r="BU1393" i="13"/>
  <c r="BU1385" i="13"/>
  <c r="BU1377" i="13"/>
  <c r="BU1368" i="13"/>
  <c r="BU1359" i="13"/>
  <c r="BU1350" i="13"/>
  <c r="BU1341" i="13"/>
  <c r="BU1331" i="13"/>
  <c r="BU1322" i="13"/>
  <c r="BU1313" i="13"/>
  <c r="BV1575" i="13"/>
  <c r="BX1575" i="13" s="1"/>
  <c r="BU1592" i="13"/>
  <c r="BU1584" i="13"/>
  <c r="BU1568" i="13"/>
  <c r="BU1560" i="13"/>
  <c r="BU1552" i="13"/>
  <c r="BU1544" i="13"/>
  <c r="BU1536" i="13"/>
  <c r="BU1528" i="13"/>
  <c r="BU1520" i="13"/>
  <c r="BU1512" i="13"/>
  <c r="BU1504" i="13"/>
  <c r="BU1496" i="13"/>
  <c r="BU1488" i="13"/>
  <c r="BU1480" i="13"/>
  <c r="BU1472" i="13"/>
  <c r="BU1464" i="13"/>
  <c r="BU1456" i="13"/>
  <c r="BU1448" i="13"/>
  <c r="BU1440" i="13"/>
  <c r="BU1432" i="13"/>
  <c r="BU1424" i="13"/>
  <c r="BU1416" i="13"/>
  <c r="BU1408" i="13"/>
  <c r="BU1400" i="13"/>
  <c r="BU1392" i="13"/>
  <c r="BU1384" i="13"/>
  <c r="BU1376" i="13"/>
  <c r="BU1367" i="13"/>
  <c r="BU1358" i="13"/>
  <c r="BU1349" i="13"/>
  <c r="BU1339" i="13"/>
  <c r="BU1330" i="13"/>
  <c r="BU1321" i="13"/>
  <c r="BU1312" i="13"/>
  <c r="BV1573" i="13"/>
  <c r="BX1573" i="13" s="1"/>
  <c r="BU1591" i="13"/>
  <c r="BU1583" i="13"/>
  <c r="BU1567" i="13"/>
  <c r="BU1559" i="13"/>
  <c r="BU1551" i="13"/>
  <c r="BU1543" i="13"/>
  <c r="BU1535" i="13"/>
  <c r="BU1527" i="13"/>
  <c r="BU1519" i="13"/>
  <c r="BU1511" i="13"/>
  <c r="BU1503" i="13"/>
  <c r="BU1495" i="13"/>
  <c r="BU1487" i="13"/>
  <c r="BU1479" i="13"/>
  <c r="BU1471" i="13"/>
  <c r="BU1463" i="13"/>
  <c r="BU1455" i="13"/>
  <c r="BU1447" i="13"/>
  <c r="BU1439" i="13"/>
  <c r="BU1431" i="13"/>
  <c r="BU1423" i="13"/>
  <c r="BU1415" i="13"/>
  <c r="BU1407" i="13"/>
  <c r="BU1399" i="13"/>
  <c r="BU1391" i="13"/>
  <c r="BU1383" i="13"/>
  <c r="BU1375" i="13"/>
  <c r="BU1366" i="13"/>
  <c r="BU1357" i="13"/>
  <c r="BU1347" i="13"/>
  <c r="BU1338" i="13"/>
  <c r="BU1329" i="13"/>
  <c r="BU1320" i="13"/>
  <c r="BU1311" i="13"/>
  <c r="BV1571" i="13"/>
  <c r="BX1571" i="13" s="1"/>
  <c r="BU1372" i="13"/>
  <c r="BV1372" i="13"/>
  <c r="BX1372" i="13" s="1"/>
  <c r="BU1364" i="13"/>
  <c r="BV1364" i="13"/>
  <c r="BX1364" i="13" s="1"/>
  <c r="BU1356" i="13"/>
  <c r="BV1356" i="13"/>
  <c r="BX1356" i="13" s="1"/>
  <c r="BU1348" i="13"/>
  <c r="BV1348" i="13"/>
  <c r="BX1348" i="13" s="1"/>
  <c r="BU1340" i="13"/>
  <c r="BV1340" i="13"/>
  <c r="BX1340" i="13" s="1"/>
  <c r="BU1332" i="13"/>
  <c r="BV1332" i="13"/>
  <c r="BX1332" i="13" s="1"/>
  <c r="BU1324" i="13"/>
  <c r="BV1324" i="13"/>
  <c r="BX1324" i="13" s="1"/>
  <c r="BU1316" i="13"/>
  <c r="BV1316" i="13"/>
  <c r="BX1316" i="13" s="1"/>
  <c r="BY1316" i="13" s="1"/>
  <c r="BU1308" i="13"/>
  <c r="BV1308" i="13"/>
  <c r="BX1308" i="13" s="1"/>
  <c r="BY1308" i="13" s="1"/>
  <c r="BU1590" i="13"/>
  <c r="BU1582" i="13"/>
  <c r="BU1574" i="13"/>
  <c r="BU1566" i="13"/>
  <c r="BU1558" i="13"/>
  <c r="BU1550" i="13"/>
  <c r="BU1542" i="13"/>
  <c r="BU1534" i="13"/>
  <c r="BU1526" i="13"/>
  <c r="BU1518" i="13"/>
  <c r="BU1510" i="13"/>
  <c r="BU1502" i="13"/>
  <c r="BU1494" i="13"/>
  <c r="BU1486" i="13"/>
  <c r="BU1478" i="13"/>
  <c r="BU1470" i="13"/>
  <c r="BU1462" i="13"/>
  <c r="BU1454" i="13"/>
  <c r="BU1446" i="13"/>
  <c r="BU1438" i="13"/>
  <c r="BU1430" i="13"/>
  <c r="BU1422" i="13"/>
  <c r="BU1414" i="13"/>
  <c r="BU1406" i="13"/>
  <c r="BU1398" i="13"/>
  <c r="BU1390" i="13"/>
  <c r="BU1382" i="13"/>
  <c r="BU1374" i="13"/>
  <c r="BU1365" i="13"/>
  <c r="BU1355" i="13"/>
  <c r="BU1346" i="13"/>
  <c r="BU1337" i="13"/>
  <c r="BU1328" i="13"/>
  <c r="BU1319" i="13"/>
  <c r="BU1310" i="13"/>
  <c r="BV1581" i="13"/>
  <c r="BX1581" i="13" s="1"/>
  <c r="BU1589" i="13"/>
  <c r="BU1565" i="13"/>
  <c r="BU1557" i="13"/>
  <c r="BU1549" i="13"/>
  <c r="BU1541" i="13"/>
  <c r="BU1533" i="13"/>
  <c r="BU1525" i="13"/>
  <c r="BU1517" i="13"/>
  <c r="BU1509" i="13"/>
  <c r="BU1501" i="13"/>
  <c r="BU1493" i="13"/>
  <c r="BU1485" i="13"/>
  <c r="BU1477" i="13"/>
  <c r="BU1469" i="13"/>
  <c r="BU1461" i="13"/>
  <c r="BU1453" i="13"/>
  <c r="BU1445" i="13"/>
  <c r="BU1437" i="13"/>
  <c r="BU1429" i="13"/>
  <c r="BU1421" i="13"/>
  <c r="BU1413" i="13"/>
  <c r="BU1405" i="13"/>
  <c r="BU1397" i="13"/>
  <c r="BU1389" i="13"/>
  <c r="BU1381" i="13"/>
  <c r="BU1373" i="13"/>
  <c r="BU1363" i="13"/>
  <c r="BU1354" i="13"/>
  <c r="BU1345" i="13"/>
  <c r="BU1336" i="13"/>
  <c r="BU1327" i="13"/>
  <c r="BU1318" i="13"/>
  <c r="BU1309" i="13"/>
  <c r="BV1580" i="13"/>
  <c r="BX1580" i="13" s="1"/>
  <c r="BU1588" i="13"/>
  <c r="BU1572" i="13"/>
  <c r="BU1564" i="13"/>
  <c r="BU1556" i="13"/>
  <c r="BU1548" i="13"/>
  <c r="BU1540" i="13"/>
  <c r="BU1532" i="13"/>
  <c r="BU1524" i="13"/>
  <c r="BU1516" i="13"/>
  <c r="BU1508" i="13"/>
  <c r="BU1500" i="13"/>
  <c r="BU1492" i="13"/>
  <c r="BU1484" i="13"/>
  <c r="BU1476" i="13"/>
  <c r="BU1468" i="13"/>
  <c r="BU1460" i="13"/>
  <c r="BU1452" i="13"/>
  <c r="BU1444" i="13"/>
  <c r="BU1436" i="13"/>
  <c r="BU1428" i="13"/>
  <c r="BU1420" i="13"/>
  <c r="BU1412" i="13"/>
  <c r="BU1404" i="13"/>
  <c r="BU1396" i="13"/>
  <c r="BU1388" i="13"/>
  <c r="BU1380" i="13"/>
  <c r="BU1371" i="13"/>
  <c r="BU1362" i="13"/>
  <c r="BU1353" i="13"/>
  <c r="BU1344" i="13"/>
  <c r="BU1335" i="13"/>
  <c r="BU1326" i="13"/>
  <c r="BU1317" i="13"/>
  <c r="BU1307" i="13"/>
  <c r="BV1579" i="13"/>
  <c r="BX1579" i="13" s="1"/>
  <c r="BU1587" i="13"/>
  <c r="BU1563" i="13"/>
  <c r="BU1555" i="13"/>
  <c r="BU1547" i="13"/>
  <c r="BU1539" i="13"/>
  <c r="BU1531" i="13"/>
  <c r="BU1523" i="13"/>
  <c r="BU1515" i="13"/>
  <c r="BU1507" i="13"/>
  <c r="BU1499" i="13"/>
  <c r="BU1491" i="13"/>
  <c r="BU1483" i="13"/>
  <c r="BU1475" i="13"/>
  <c r="BU1467" i="13"/>
  <c r="BU1459" i="13"/>
  <c r="BU1451" i="13"/>
  <c r="BU1443" i="13"/>
  <c r="BU1435" i="13"/>
  <c r="BU1427" i="13"/>
  <c r="BU1419" i="13"/>
  <c r="BU1411" i="13"/>
  <c r="BU1403" i="13"/>
  <c r="BU1395" i="13"/>
  <c r="BU1387" i="13"/>
  <c r="BU1379" i="13"/>
  <c r="BU1370" i="13"/>
  <c r="BU1361" i="13"/>
  <c r="BU1352" i="13"/>
  <c r="BU1343" i="13"/>
  <c r="BU1334" i="13"/>
  <c r="BU1325" i="13"/>
  <c r="BU1315" i="13"/>
  <c r="BU1306" i="13"/>
  <c r="BZ1385" i="13" l="1"/>
  <c r="BZ1386" i="13" s="1"/>
  <c r="BZ1387" i="13" s="1"/>
  <c r="BZ1388" i="13" s="1"/>
  <c r="BZ1389" i="13" s="1"/>
  <c r="BZ1390" i="13" s="1"/>
  <c r="BZ1391" i="13" s="1"/>
  <c r="BZ1392" i="13" s="1"/>
  <c r="BZ1393" i="13" s="1"/>
  <c r="BZ1394" i="13" s="1"/>
  <c r="BZ1395" i="13" s="1"/>
  <c r="BZ1396" i="13" s="1"/>
  <c r="BZ1397" i="13" s="1"/>
  <c r="BZ1398" i="13" s="1"/>
  <c r="BZ1399" i="13" s="1"/>
  <c r="BZ1400" i="13" s="1"/>
  <c r="BZ1401" i="13" s="1"/>
  <c r="CM1334" i="13"/>
  <c r="CM1366" i="13"/>
  <c r="CM1520" i="13"/>
  <c r="CM1332" i="13"/>
  <c r="CM1442" i="13"/>
  <c r="CM1450" i="13"/>
  <c r="CM1356" i="13"/>
  <c r="CM1428" i="13"/>
  <c r="CM1516" i="13"/>
  <c r="CM1532" i="13"/>
  <c r="CM1540" i="13"/>
  <c r="CM1556" i="13"/>
  <c r="CM1564" i="13"/>
  <c r="CM1572" i="13"/>
  <c r="CM1580" i="13"/>
  <c r="CM1333" i="13"/>
  <c r="CM1372" i="13"/>
  <c r="CM1476" i="13"/>
  <c r="CM1354" i="13"/>
  <c r="CM1475" i="13"/>
  <c r="CM1589" i="13"/>
  <c r="CM1486" i="13"/>
  <c r="CM1415" i="13"/>
  <c r="CM1447" i="13"/>
  <c r="CM1349" i="13"/>
  <c r="CM1507" i="13"/>
  <c r="CM1498" i="13"/>
  <c r="CM1351" i="13"/>
  <c r="CM1383" i="13"/>
  <c r="CM1463" i="13"/>
  <c r="CM1473" i="13"/>
  <c r="CM1529" i="13"/>
  <c r="CM1537" i="13"/>
  <c r="CM1499" i="13"/>
  <c r="CM1381" i="13"/>
  <c r="CM1501" i="13"/>
  <c r="CM1384" i="13"/>
  <c r="CM1481" i="13"/>
  <c r="CM1357" i="13"/>
  <c r="CM1406" i="13"/>
  <c r="CM1438" i="13"/>
  <c r="CM1327" i="13"/>
  <c r="CM1359" i="13"/>
  <c r="CM1407" i="13"/>
  <c r="CM1362" i="13"/>
  <c r="CM1426" i="13"/>
  <c r="CM1554" i="13"/>
  <c r="CM1340" i="13"/>
  <c r="CM1563" i="13"/>
  <c r="CM1434" i="13"/>
  <c r="CM1514" i="13"/>
  <c r="CM1440" i="13"/>
  <c r="CM1588" i="13"/>
  <c r="CM1417" i="13"/>
  <c r="CM1513" i="13"/>
  <c r="CM1577" i="13"/>
  <c r="CM1347" i="13"/>
  <c r="CM1363" i="13"/>
  <c r="CM1523" i="13"/>
  <c r="CM1344" i="13"/>
  <c r="CM1376" i="13"/>
  <c r="CM1456" i="13"/>
  <c r="CM1576" i="13"/>
  <c r="CM1380" i="13"/>
  <c r="CM1325" i="13"/>
  <c r="CM1510" i="13"/>
  <c r="CM1495" i="13"/>
  <c r="CM1543" i="13"/>
  <c r="CM1379" i="13"/>
  <c r="CM1491" i="13"/>
  <c r="CM1329" i="13"/>
  <c r="CM1324" i="13"/>
  <c r="CM1404" i="13"/>
  <c r="CM1341" i="13"/>
  <c r="BZ1531" i="13"/>
  <c r="BZ1470" i="13"/>
  <c r="CM1518" i="13"/>
  <c r="CM1431" i="13"/>
  <c r="CM1559" i="13"/>
  <c r="CM1579" i="13"/>
  <c r="CM1547" i="13"/>
  <c r="CM1545" i="13"/>
  <c r="CM1477" i="13"/>
  <c r="CM1414" i="13"/>
  <c r="CM1446" i="13"/>
  <c r="CM1526" i="13"/>
  <c r="CM1534" i="13"/>
  <c r="CM1542" i="13"/>
  <c r="CM1550" i="13"/>
  <c r="CM1558" i="13"/>
  <c r="CM1566" i="13"/>
  <c r="CM1574" i="13"/>
  <c r="CM1582" i="13"/>
  <c r="CM1590" i="13"/>
  <c r="CM1471" i="13"/>
  <c r="CM1503" i="13"/>
  <c r="CM1575" i="13"/>
  <c r="CM1424" i="13"/>
  <c r="CM1472" i="13"/>
  <c r="CM1592" i="13"/>
  <c r="CM1441" i="13"/>
  <c r="CM1489" i="13"/>
  <c r="CM1378" i="13"/>
  <c r="CM1562" i="13"/>
  <c r="CM1570" i="13"/>
  <c r="CM1403" i="13"/>
  <c r="CM1451" i="13"/>
  <c r="CM1492" i="13"/>
  <c r="CM1485" i="13"/>
  <c r="CM1413" i="13"/>
  <c r="CM1429" i="13"/>
  <c r="CM1461" i="13"/>
  <c r="CM1565" i="13"/>
  <c r="CM1581" i="13"/>
  <c r="CM1528" i="13"/>
  <c r="CM1342" i="13"/>
  <c r="CM1374" i="13"/>
  <c r="CM1439" i="13"/>
  <c r="CM1583" i="13"/>
  <c r="CM1591" i="13"/>
  <c r="CM1480" i="13"/>
  <c r="CM1536" i="13"/>
  <c r="CM1427" i="13"/>
  <c r="CM1459" i="13"/>
  <c r="CM1337" i="13"/>
  <c r="CM1409" i="13"/>
  <c r="CM1419" i="13"/>
  <c r="CM1490" i="13"/>
  <c r="CM1522" i="13"/>
  <c r="CM1578" i="13"/>
  <c r="CM1412" i="13"/>
  <c r="CM1500" i="13"/>
  <c r="CM1405" i="13"/>
  <c r="CM1469" i="13"/>
  <c r="CM1445" i="13"/>
  <c r="CM1533" i="13"/>
  <c r="CM1549" i="13"/>
  <c r="CM1484" i="13"/>
  <c r="CM1422" i="13"/>
  <c r="CM1454" i="13"/>
  <c r="CM1478" i="13"/>
  <c r="CM1335" i="13"/>
  <c r="CM1367" i="13"/>
  <c r="CM1479" i="13"/>
  <c r="CM1511" i="13"/>
  <c r="CM1411" i="13"/>
  <c r="CM1435" i="13"/>
  <c r="CM1467" i="13"/>
  <c r="CM1328" i="13"/>
  <c r="CM1352" i="13"/>
  <c r="CM1360" i="13"/>
  <c r="CM1408" i="13"/>
  <c r="CM1432" i="13"/>
  <c r="CM1488" i="13"/>
  <c r="CM1544" i="13"/>
  <c r="CM1345" i="13"/>
  <c r="CM1449" i="13"/>
  <c r="CM1497" i="13"/>
  <c r="CM1505" i="13"/>
  <c r="CM1553" i="13"/>
  <c r="CM1561" i="13"/>
  <c r="CM1569" i="13"/>
  <c r="CM1355" i="13"/>
  <c r="CM1443" i="13"/>
  <c r="CM1330" i="13"/>
  <c r="CM1458" i="13"/>
  <c r="CM1466" i="13"/>
  <c r="CM1586" i="13"/>
  <c r="CM1348" i="13"/>
  <c r="CM1420" i="13"/>
  <c r="CM1508" i="13"/>
  <c r="CM1421" i="13"/>
  <c r="CM1437" i="13"/>
  <c r="CM1453" i="13"/>
  <c r="CM1365" i="13"/>
  <c r="CM1517" i="13"/>
  <c r="CM1567" i="13"/>
  <c r="CM1464" i="13"/>
  <c r="CM1587" i="13"/>
  <c r="CM1377" i="13"/>
  <c r="CM1465" i="13"/>
  <c r="CM1350" i="13"/>
  <c r="CM1382" i="13"/>
  <c r="CM1336" i="13"/>
  <c r="CM1496" i="13"/>
  <c r="CM1552" i="13"/>
  <c r="CM1353" i="13"/>
  <c r="CM1338" i="13"/>
  <c r="CM1530" i="13"/>
  <c r="CM1483" i="13"/>
  <c r="CM1548" i="13"/>
  <c r="CM1551" i="13"/>
  <c r="CM1555" i="13"/>
  <c r="CM1433" i="13"/>
  <c r="CM1370" i="13"/>
  <c r="CM1509" i="13"/>
  <c r="CM1430" i="13"/>
  <c r="CM1462" i="13"/>
  <c r="CM1494" i="13"/>
  <c r="CM1343" i="13"/>
  <c r="CM1375" i="13"/>
  <c r="CM1487" i="13"/>
  <c r="CM1519" i="13"/>
  <c r="CM1368" i="13"/>
  <c r="CM1504" i="13"/>
  <c r="CM1560" i="13"/>
  <c r="CM1339" i="13"/>
  <c r="CM1371" i="13"/>
  <c r="CM1361" i="13"/>
  <c r="CM1457" i="13"/>
  <c r="CM1521" i="13"/>
  <c r="CM1585" i="13"/>
  <c r="CM1346" i="13"/>
  <c r="CM1410" i="13"/>
  <c r="CM1418" i="13"/>
  <c r="CM1482" i="13"/>
  <c r="CM1538" i="13"/>
  <c r="CM1594" i="13"/>
  <c r="CM1515" i="13"/>
  <c r="CM1436" i="13"/>
  <c r="CM1524" i="13"/>
  <c r="CM1557" i="13"/>
  <c r="CM1573" i="13"/>
  <c r="CM1584" i="13"/>
  <c r="CM1326" i="13"/>
  <c r="CM1358" i="13"/>
  <c r="CM1502" i="13"/>
  <c r="CM1423" i="13"/>
  <c r="CM1455" i="13"/>
  <c r="CM1527" i="13"/>
  <c r="CM1535" i="13"/>
  <c r="CM1323" i="13"/>
  <c r="CM1331" i="13"/>
  <c r="CM1416" i="13"/>
  <c r="CM1448" i="13"/>
  <c r="CM1512" i="13"/>
  <c r="CM1568" i="13"/>
  <c r="CM1369" i="13"/>
  <c r="CM1425" i="13"/>
  <c r="CM1593" i="13"/>
  <c r="CM1474" i="13"/>
  <c r="CM1506" i="13"/>
  <c r="CM1546" i="13"/>
  <c r="CM1539" i="13"/>
  <c r="CM1571" i="13"/>
  <c r="CM1595" i="13"/>
  <c r="CM1364" i="13"/>
  <c r="CM1444" i="13"/>
  <c r="CM1452" i="13"/>
  <c r="CM1460" i="13"/>
  <c r="CM1468" i="13"/>
  <c r="CM1373" i="13"/>
  <c r="CM1525" i="13"/>
  <c r="CM1541" i="13"/>
  <c r="CM1493" i="13"/>
  <c r="O628" i="9" l="1"/>
  <c r="AF628" i="9" s="1"/>
  <c r="O631" i="9"/>
  <c r="O633" i="9"/>
  <c r="O626" i="9"/>
  <c r="AF626" i="9" s="1"/>
  <c r="G13" i="7" a="1"/>
  <c r="G13" i="7" s="1"/>
  <c r="AB636" i="9"/>
  <c r="AB637" i="9"/>
  <c r="AA637" i="9" s="1"/>
  <c r="AB638" i="9"/>
  <c r="AA638" i="9" s="1"/>
  <c r="AB639" i="9"/>
  <c r="AA639" i="9" s="1"/>
  <c r="AB640" i="9"/>
  <c r="AA640" i="9" s="1"/>
  <c r="AB641" i="9"/>
  <c r="AB642" i="9"/>
  <c r="AA642" i="9" s="1"/>
  <c r="AB643" i="9"/>
  <c r="AA643" i="9" s="1"/>
  <c r="AB644" i="9"/>
  <c r="AA644" i="9" s="1"/>
  <c r="AB645" i="9"/>
  <c r="AA645" i="9" s="1"/>
  <c r="AB646" i="9"/>
  <c r="AA646" i="9" s="1"/>
  <c r="AB647" i="9"/>
  <c r="AB648" i="9"/>
  <c r="AA648" i="9" s="1"/>
  <c r="AB649" i="9"/>
  <c r="AA649" i="9" s="1"/>
  <c r="AB650" i="9"/>
  <c r="AA650" i="9" s="1"/>
  <c r="AB651" i="9"/>
  <c r="AA651" i="9" s="1"/>
  <c r="AB652" i="9"/>
  <c r="AB653" i="9"/>
  <c r="AA653" i="9" s="1"/>
  <c r="AB654" i="9"/>
  <c r="AA654" i="9" s="1"/>
  <c r="AB655" i="9"/>
  <c r="AA655" i="9" s="1"/>
  <c r="AB656" i="9"/>
  <c r="AB657" i="9"/>
  <c r="AB658" i="9"/>
  <c r="AA658" i="9" s="1"/>
  <c r="AB659" i="9"/>
  <c r="AA659" i="9" s="1"/>
  <c r="AB660" i="9"/>
  <c r="AB661" i="9"/>
  <c r="AA661" i="9" s="1"/>
  <c r="AB662" i="9"/>
  <c r="AA662" i="9" s="1"/>
  <c r="AB663" i="9"/>
  <c r="AA663" i="9" s="1"/>
  <c r="AA636" i="9"/>
  <c r="AA641" i="9"/>
  <c r="AA647" i="9"/>
  <c r="AA652" i="9"/>
  <c r="AA656" i="9"/>
  <c r="AA657" i="9"/>
  <c r="AA660" i="9"/>
  <c r="W635" i="9"/>
  <c r="W636" i="9"/>
  <c r="W637" i="9"/>
  <c r="Y637" i="9" s="1"/>
  <c r="Z637" i="9" s="1"/>
  <c r="AC637" i="9" s="1"/>
  <c r="W638" i="9"/>
  <c r="Y638" i="9" s="1"/>
  <c r="Z638" i="9" s="1"/>
  <c r="AC638" i="9" s="1"/>
  <c r="W639" i="9"/>
  <c r="Y639" i="9" s="1"/>
  <c r="Z639" i="9" s="1"/>
  <c r="AC639" i="9" s="1"/>
  <c r="W640" i="9"/>
  <c r="Y640" i="9" s="1"/>
  <c r="Z640" i="9" s="1"/>
  <c r="AC640" i="9" s="1"/>
  <c r="W641" i="9"/>
  <c r="Y641" i="9" s="1"/>
  <c r="Z641" i="9" s="1"/>
  <c r="AC641" i="9" s="1"/>
  <c r="W642" i="9"/>
  <c r="Y642" i="9" s="1"/>
  <c r="Z642" i="9" s="1"/>
  <c r="AC642" i="9" s="1"/>
  <c r="W643" i="9"/>
  <c r="Y643" i="9" s="1"/>
  <c r="Z643" i="9" s="1"/>
  <c r="AC643" i="9" s="1"/>
  <c r="W644" i="9"/>
  <c r="Y644" i="9" s="1"/>
  <c r="Z644" i="9" s="1"/>
  <c r="AC644" i="9" s="1"/>
  <c r="W645" i="9"/>
  <c r="Y645" i="9" s="1"/>
  <c r="Z645" i="9" s="1"/>
  <c r="AC645" i="9" s="1"/>
  <c r="W646" i="9"/>
  <c r="Y646" i="9" s="1"/>
  <c r="Z646" i="9" s="1"/>
  <c r="AC646" i="9" s="1"/>
  <c r="W647" i="9"/>
  <c r="Y647" i="9" s="1"/>
  <c r="Z647" i="9" s="1"/>
  <c r="AC647" i="9" s="1"/>
  <c r="W648" i="9"/>
  <c r="Y648" i="9" s="1"/>
  <c r="Z648" i="9" s="1"/>
  <c r="AC648" i="9" s="1"/>
  <c r="W649" i="9"/>
  <c r="Y649" i="9" s="1"/>
  <c r="Z649" i="9" s="1"/>
  <c r="AC649" i="9" s="1"/>
  <c r="W650" i="9"/>
  <c r="Y650" i="9" s="1"/>
  <c r="Z650" i="9" s="1"/>
  <c r="AC650" i="9" s="1"/>
  <c r="W651" i="9"/>
  <c r="Y651" i="9" s="1"/>
  <c r="Z651" i="9" s="1"/>
  <c r="AC651" i="9" s="1"/>
  <c r="W652" i="9"/>
  <c r="Y652" i="9" s="1"/>
  <c r="Z652" i="9" s="1"/>
  <c r="AC652" i="9" s="1"/>
  <c r="W653" i="9"/>
  <c r="Y653" i="9" s="1"/>
  <c r="Z653" i="9" s="1"/>
  <c r="AC653" i="9" s="1"/>
  <c r="W654" i="9"/>
  <c r="Y654" i="9" s="1"/>
  <c r="Z654" i="9" s="1"/>
  <c r="AC654" i="9" s="1"/>
  <c r="W655" i="9"/>
  <c r="Y655" i="9" s="1"/>
  <c r="Z655" i="9" s="1"/>
  <c r="AC655" i="9" s="1"/>
  <c r="W656" i="9"/>
  <c r="Y656" i="9" s="1"/>
  <c r="Z656" i="9" s="1"/>
  <c r="AC656" i="9" s="1"/>
  <c r="W657" i="9"/>
  <c r="Y657" i="9" s="1"/>
  <c r="Z657" i="9" s="1"/>
  <c r="AC657" i="9" s="1"/>
  <c r="W658" i="9"/>
  <c r="Y658" i="9" s="1"/>
  <c r="Z658" i="9" s="1"/>
  <c r="AC658" i="9" s="1"/>
  <c r="W659" i="9"/>
  <c r="Y659" i="9" s="1"/>
  <c r="Z659" i="9" s="1"/>
  <c r="AC659" i="9" s="1"/>
  <c r="W660" i="9"/>
  <c r="Y660" i="9" s="1"/>
  <c r="Z660" i="9" s="1"/>
  <c r="AC660" i="9" s="1"/>
  <c r="W661" i="9"/>
  <c r="Y661" i="9" s="1"/>
  <c r="Z661" i="9" s="1"/>
  <c r="AC661" i="9" s="1"/>
  <c r="W662" i="9"/>
  <c r="Y662" i="9" s="1"/>
  <c r="Z662" i="9" s="1"/>
  <c r="AC662" i="9" s="1"/>
  <c r="W663" i="9"/>
  <c r="Y663" i="9" s="1"/>
  <c r="Z663" i="9" s="1"/>
  <c r="AC663" i="9" s="1"/>
  <c r="J636" i="9"/>
  <c r="J635" i="9"/>
  <c r="AB635" i="9"/>
  <c r="AA635" i="9" s="1"/>
  <c r="AD655" i="9" l="1"/>
  <c r="AD647" i="9"/>
  <c r="AD639" i="9"/>
  <c r="AD659" i="9"/>
  <c r="AD651" i="9"/>
  <c r="AD643" i="9"/>
  <c r="AD648" i="9"/>
  <c r="AD663" i="9"/>
  <c r="AD660" i="9"/>
  <c r="AD652" i="9"/>
  <c r="AD644" i="9"/>
  <c r="AD656" i="9"/>
  <c r="AD662" i="9"/>
  <c r="AD646" i="9"/>
  <c r="AD638" i="9"/>
  <c r="AG629" i="9"/>
  <c r="AD654" i="9"/>
  <c r="Y636" i="9"/>
  <c r="Z636" i="9" s="1"/>
  <c r="AC636" i="9" s="1"/>
  <c r="Y635" i="9"/>
  <c r="AC635" i="9" s="1"/>
  <c r="AD635" i="9" s="1"/>
  <c r="AD640" i="9"/>
  <c r="AD661" i="9"/>
  <c r="AD653" i="9"/>
  <c r="AD658" i="9"/>
  <c r="AD650" i="9"/>
  <c r="AD642" i="9"/>
  <c r="AD645" i="9"/>
  <c r="AD657" i="9"/>
  <c r="AD649" i="9"/>
  <c r="AD641" i="9"/>
  <c r="AD636" i="9" l="1"/>
  <c r="AD637" i="9"/>
  <c r="AE657" i="9" s="1"/>
  <c r="AE642" i="9"/>
  <c r="AB625" i="9"/>
  <c r="AA625" i="9" s="1"/>
  <c r="AB626" i="9"/>
  <c r="AA626" i="9" s="1"/>
  <c r="AB627" i="9"/>
  <c r="AA627" i="9" s="1"/>
  <c r="AB628" i="9"/>
  <c r="AA628" i="9" s="1"/>
  <c r="AB629" i="9"/>
  <c r="AA629" i="9" s="1"/>
  <c r="AB630" i="9"/>
  <c r="AA630" i="9" s="1"/>
  <c r="AB631" i="9"/>
  <c r="AA631" i="9" s="1"/>
  <c r="AB632" i="9"/>
  <c r="AB633" i="9"/>
  <c r="AA633" i="9" s="1"/>
  <c r="AB634" i="9"/>
  <c r="AA634" i="9" s="1"/>
  <c r="AA632" i="9"/>
  <c r="W624" i="9"/>
  <c r="Y624" i="9" s="1"/>
  <c r="AC624" i="9" s="1"/>
  <c r="AD624" i="9" s="1"/>
  <c r="W625" i="9"/>
  <c r="Y625" i="9" s="1"/>
  <c r="Z625" i="9" s="1"/>
  <c r="AC625" i="9" s="1"/>
  <c r="W626" i="9"/>
  <c r="Y626" i="9" s="1"/>
  <c r="Z626" i="9" s="1"/>
  <c r="AC626" i="9" s="1"/>
  <c r="W627" i="9"/>
  <c r="Y627" i="9" s="1"/>
  <c r="Z627" i="9" s="1"/>
  <c r="AC627" i="9" s="1"/>
  <c r="W628" i="9"/>
  <c r="Y628" i="9" s="1"/>
  <c r="Z628" i="9" s="1"/>
  <c r="AC628" i="9" s="1"/>
  <c r="W629" i="9"/>
  <c r="Y629" i="9" s="1"/>
  <c r="Z629" i="9" s="1"/>
  <c r="AC629" i="9" s="1"/>
  <c r="W630" i="9"/>
  <c r="Y630" i="9" s="1"/>
  <c r="Z630" i="9" s="1"/>
  <c r="AC630" i="9" s="1"/>
  <c r="W631" i="9"/>
  <c r="Y631" i="9" s="1"/>
  <c r="Z631" i="9" s="1"/>
  <c r="AC631" i="9" s="1"/>
  <c r="W632" i="9"/>
  <c r="Y632" i="9" s="1"/>
  <c r="Z632" i="9" s="1"/>
  <c r="AC632" i="9" s="1"/>
  <c r="W633" i="9"/>
  <c r="Y633" i="9" s="1"/>
  <c r="Z633" i="9" s="1"/>
  <c r="AC633" i="9" s="1"/>
  <c r="W634" i="9"/>
  <c r="Y634" i="9" s="1"/>
  <c r="Z634" i="9" s="1"/>
  <c r="AC634" i="9" s="1"/>
  <c r="AB624" i="9"/>
  <c r="AA624" i="9" s="1"/>
  <c r="G32" i="7" a="1"/>
  <c r="G32" i="7" s="1"/>
  <c r="AD634" i="9" l="1"/>
  <c r="AD630" i="9"/>
  <c r="AE652" i="9"/>
  <c r="AE658" i="9"/>
  <c r="AE654" i="9"/>
  <c r="AE663" i="9"/>
  <c r="AE648" i="9"/>
  <c r="AE661" i="9"/>
  <c r="AE662" i="9"/>
  <c r="AE646" i="9"/>
  <c r="AE647" i="9"/>
  <c r="AE644" i="9"/>
  <c r="AE641" i="9"/>
  <c r="AE639" i="9"/>
  <c r="AE635" i="9"/>
  <c r="AE638" i="9"/>
  <c r="AE655" i="9"/>
  <c r="AE640" i="9"/>
  <c r="AE636" i="9"/>
  <c r="AE651" i="9"/>
  <c r="AE645" i="9"/>
  <c r="AE637" i="9"/>
  <c r="AE650" i="9"/>
  <c r="AE656" i="9"/>
  <c r="AE653" i="9"/>
  <c r="AE649" i="9"/>
  <c r="AE660" i="9"/>
  <c r="AE643" i="9"/>
  <c r="AE659" i="9"/>
  <c r="AD626" i="9"/>
  <c r="AD625" i="9"/>
  <c r="AD633" i="9"/>
  <c r="AD629" i="9"/>
  <c r="AD627" i="9"/>
  <c r="AD632" i="9"/>
  <c r="AD631" i="9"/>
  <c r="AD628" i="9"/>
  <c r="AE627" i="9" l="1"/>
  <c r="AE624" i="9"/>
  <c r="AE632" i="9"/>
  <c r="AE629" i="9"/>
  <c r="AE625" i="9"/>
  <c r="AE633" i="9"/>
  <c r="AE628" i="9"/>
  <c r="AE634" i="9"/>
  <c r="AE631" i="9"/>
  <c r="AE626" i="9"/>
  <c r="AE630" i="9"/>
  <c r="D78" i="8" l="1"/>
  <c r="D75" i="8"/>
  <c r="D72" i="8"/>
  <c r="D9" i="8"/>
  <c r="G9" i="11"/>
  <c r="G23" i="7" a="1"/>
  <c r="G23" i="7" s="1"/>
  <c r="AD543" i="9"/>
  <c r="AB544" i="9"/>
  <c r="AB545" i="9"/>
  <c r="AB546" i="9"/>
  <c r="AB547" i="9"/>
  <c r="AB548" i="9"/>
  <c r="AB549" i="9"/>
  <c r="AB550" i="9"/>
  <c r="AB551" i="9"/>
  <c r="AB552" i="9"/>
  <c r="AB553" i="9"/>
  <c r="AB554" i="9"/>
  <c r="AB555" i="9"/>
  <c r="AB556" i="9"/>
  <c r="AB557" i="9"/>
  <c r="AB558" i="9"/>
  <c r="AB559" i="9"/>
  <c r="AB560" i="9"/>
  <c r="AB561" i="9"/>
  <c r="AB562" i="9"/>
  <c r="AB563" i="9"/>
  <c r="AB564" i="9"/>
  <c r="AB565" i="9"/>
  <c r="AB566" i="9"/>
  <c r="AB567" i="9"/>
  <c r="AB568" i="9"/>
  <c r="AB569" i="9"/>
  <c r="AB570" i="9"/>
  <c r="AB571" i="9"/>
  <c r="AB572" i="9"/>
  <c r="AB573" i="9"/>
  <c r="AB574" i="9"/>
  <c r="AB575" i="9"/>
  <c r="AB576" i="9"/>
  <c r="AB577" i="9"/>
  <c r="AB578" i="9"/>
  <c r="AB579" i="9"/>
  <c r="AB580" i="9"/>
  <c r="AB581" i="9"/>
  <c r="AB582" i="9"/>
  <c r="AB583" i="9"/>
  <c r="AB584" i="9"/>
  <c r="AB585" i="9"/>
  <c r="AB586" i="9"/>
  <c r="AB587" i="9"/>
  <c r="AB588" i="9"/>
  <c r="AB589" i="9"/>
  <c r="AB590" i="9"/>
  <c r="AB591" i="9"/>
  <c r="AB592" i="9"/>
  <c r="AB593" i="9"/>
  <c r="AB594" i="9"/>
  <c r="AB595" i="9"/>
  <c r="AB596" i="9"/>
  <c r="AB597" i="9"/>
  <c r="AA597" i="9" s="1"/>
  <c r="AB598" i="9"/>
  <c r="AA598" i="9" s="1"/>
  <c r="AB599" i="9"/>
  <c r="AB600" i="9"/>
  <c r="AA600" i="9" s="1"/>
  <c r="AB601" i="9"/>
  <c r="AB602" i="9"/>
  <c r="AA602" i="9" s="1"/>
  <c r="AB603" i="9"/>
  <c r="AB604" i="9"/>
  <c r="AA604" i="9" s="1"/>
  <c r="AB605" i="9"/>
  <c r="AA605" i="9" s="1"/>
  <c r="AB606" i="9"/>
  <c r="AA606" i="9" s="1"/>
  <c r="AB607" i="9"/>
  <c r="AB608" i="9"/>
  <c r="AA608" i="9" s="1"/>
  <c r="AB609" i="9"/>
  <c r="AB610" i="9"/>
  <c r="AB611" i="9"/>
  <c r="AB612" i="9"/>
  <c r="AA612" i="9" s="1"/>
  <c r="AB613" i="9"/>
  <c r="AA613" i="9" s="1"/>
  <c r="AB614" i="9"/>
  <c r="AA614" i="9" s="1"/>
  <c r="AB615" i="9"/>
  <c r="AB616" i="9"/>
  <c r="AA616" i="9" s="1"/>
  <c r="AB617" i="9"/>
  <c r="AB618" i="9"/>
  <c r="AA618" i="9" s="1"/>
  <c r="AB619" i="9"/>
  <c r="AB620" i="9"/>
  <c r="AA620" i="9" s="1"/>
  <c r="AB621" i="9"/>
  <c r="AA621" i="9" s="1"/>
  <c r="AB622" i="9"/>
  <c r="AA622" i="9" s="1"/>
  <c r="AB623" i="9"/>
  <c r="AA544" i="9"/>
  <c r="AA545" i="9"/>
  <c r="AA546" i="9"/>
  <c r="AA547" i="9"/>
  <c r="AA548" i="9"/>
  <c r="AA549" i="9"/>
  <c r="AA550" i="9"/>
  <c r="AA551" i="9"/>
  <c r="AA552" i="9"/>
  <c r="AA553" i="9"/>
  <c r="AA554" i="9"/>
  <c r="AA555" i="9"/>
  <c r="AA556" i="9"/>
  <c r="AA557" i="9"/>
  <c r="AA558" i="9"/>
  <c r="AA559" i="9"/>
  <c r="AA560" i="9"/>
  <c r="AA561" i="9"/>
  <c r="AA562" i="9"/>
  <c r="AA563" i="9"/>
  <c r="AA564" i="9"/>
  <c r="AA565" i="9"/>
  <c r="AA566" i="9"/>
  <c r="AA567" i="9"/>
  <c r="AA568" i="9"/>
  <c r="AA569" i="9"/>
  <c r="AA570" i="9"/>
  <c r="AA571" i="9"/>
  <c r="AA572" i="9"/>
  <c r="AA573" i="9"/>
  <c r="AA574" i="9"/>
  <c r="AA575" i="9"/>
  <c r="AA576" i="9"/>
  <c r="AA577" i="9"/>
  <c r="AA578" i="9"/>
  <c r="AA579" i="9"/>
  <c r="AA580" i="9"/>
  <c r="AA581" i="9"/>
  <c r="AA582" i="9"/>
  <c r="AA583" i="9"/>
  <c r="AA584" i="9"/>
  <c r="AA585" i="9"/>
  <c r="AA586" i="9"/>
  <c r="AA587" i="9"/>
  <c r="AA588" i="9"/>
  <c r="AA589" i="9"/>
  <c r="AA590" i="9"/>
  <c r="AA591" i="9"/>
  <c r="AA592" i="9"/>
  <c r="AA593" i="9"/>
  <c r="AA594" i="9"/>
  <c r="AA595" i="9"/>
  <c r="AA596" i="9"/>
  <c r="AA599" i="9"/>
  <c r="AA601" i="9"/>
  <c r="AA603" i="9"/>
  <c r="AA607" i="9"/>
  <c r="AA609" i="9"/>
  <c r="AA610" i="9"/>
  <c r="AA611" i="9"/>
  <c r="AA615" i="9"/>
  <c r="AA617" i="9"/>
  <c r="AA619" i="9"/>
  <c r="AA623" i="9"/>
  <c r="W543" i="9"/>
  <c r="Y543" i="9" s="1"/>
  <c r="Z543" i="9" s="1"/>
  <c r="W544" i="9"/>
  <c r="Y544" i="9" s="1"/>
  <c r="Z544" i="9" s="1"/>
  <c r="AC544" i="9" s="1"/>
  <c r="W545" i="9"/>
  <c r="Y545" i="9" s="1"/>
  <c r="Z545" i="9" s="1"/>
  <c r="AC545" i="9" s="1"/>
  <c r="W546" i="9"/>
  <c r="Y546" i="9" s="1"/>
  <c r="Z546" i="9" s="1"/>
  <c r="AC546" i="9" s="1"/>
  <c r="W547" i="9"/>
  <c r="Y547" i="9" s="1"/>
  <c r="Z547" i="9" s="1"/>
  <c r="AC547" i="9" s="1"/>
  <c r="W548" i="9"/>
  <c r="Y548" i="9" s="1"/>
  <c r="Z548" i="9" s="1"/>
  <c r="AC548" i="9" s="1"/>
  <c r="W549" i="9"/>
  <c r="Y549" i="9" s="1"/>
  <c r="Z549" i="9" s="1"/>
  <c r="AC549" i="9" s="1"/>
  <c r="W550" i="9"/>
  <c r="Y550" i="9" s="1"/>
  <c r="Z550" i="9" s="1"/>
  <c r="AC550" i="9" s="1"/>
  <c r="W551" i="9"/>
  <c r="Y551" i="9" s="1"/>
  <c r="Z551" i="9" s="1"/>
  <c r="AC551" i="9" s="1"/>
  <c r="W552" i="9"/>
  <c r="Y552" i="9" s="1"/>
  <c r="Z552" i="9" s="1"/>
  <c r="AC552" i="9" s="1"/>
  <c r="W553" i="9"/>
  <c r="Y553" i="9" s="1"/>
  <c r="Z553" i="9" s="1"/>
  <c r="AC553" i="9" s="1"/>
  <c r="W554" i="9"/>
  <c r="Y554" i="9" s="1"/>
  <c r="Z554" i="9" s="1"/>
  <c r="AC554" i="9" s="1"/>
  <c r="W555" i="9"/>
  <c r="Y555" i="9" s="1"/>
  <c r="Z555" i="9" s="1"/>
  <c r="AC555" i="9" s="1"/>
  <c r="W556" i="9"/>
  <c r="Y556" i="9" s="1"/>
  <c r="Z556" i="9" s="1"/>
  <c r="AC556" i="9" s="1"/>
  <c r="W557" i="9"/>
  <c r="Y557" i="9" s="1"/>
  <c r="Z557" i="9" s="1"/>
  <c r="AC557" i="9" s="1"/>
  <c r="W558" i="9"/>
  <c r="Y558" i="9" s="1"/>
  <c r="Z558" i="9" s="1"/>
  <c r="AC558" i="9" s="1"/>
  <c r="W559" i="9"/>
  <c r="Y559" i="9" s="1"/>
  <c r="Z559" i="9" s="1"/>
  <c r="AC559" i="9" s="1"/>
  <c r="W560" i="9"/>
  <c r="Y560" i="9" s="1"/>
  <c r="Z560" i="9" s="1"/>
  <c r="AC560" i="9" s="1"/>
  <c r="W561" i="9"/>
  <c r="Y561" i="9" s="1"/>
  <c r="Z561" i="9" s="1"/>
  <c r="AC561" i="9" s="1"/>
  <c r="W562" i="9"/>
  <c r="Y562" i="9" s="1"/>
  <c r="Z562" i="9" s="1"/>
  <c r="AC562" i="9" s="1"/>
  <c r="W563" i="9"/>
  <c r="Y563" i="9" s="1"/>
  <c r="Z563" i="9" s="1"/>
  <c r="AC563" i="9" s="1"/>
  <c r="W564" i="9"/>
  <c r="Y564" i="9" s="1"/>
  <c r="Z564" i="9" s="1"/>
  <c r="AC564" i="9" s="1"/>
  <c r="W565" i="9"/>
  <c r="Y565" i="9" s="1"/>
  <c r="Z565" i="9" s="1"/>
  <c r="AC565" i="9" s="1"/>
  <c r="W566" i="9"/>
  <c r="Y566" i="9" s="1"/>
  <c r="Z566" i="9" s="1"/>
  <c r="AC566" i="9" s="1"/>
  <c r="W567" i="9"/>
  <c r="Y567" i="9" s="1"/>
  <c r="Z567" i="9" s="1"/>
  <c r="AC567" i="9" s="1"/>
  <c r="W568" i="9"/>
  <c r="Y568" i="9" s="1"/>
  <c r="Z568" i="9" s="1"/>
  <c r="AC568" i="9" s="1"/>
  <c r="W569" i="9"/>
  <c r="Y569" i="9" s="1"/>
  <c r="Z569" i="9" s="1"/>
  <c r="AC569" i="9" s="1"/>
  <c r="W570" i="9"/>
  <c r="Y570" i="9" s="1"/>
  <c r="Z570" i="9" s="1"/>
  <c r="AC570" i="9" s="1"/>
  <c r="W571" i="9"/>
  <c r="Y571" i="9" s="1"/>
  <c r="Z571" i="9" s="1"/>
  <c r="AC571" i="9" s="1"/>
  <c r="W572" i="9"/>
  <c r="Y572" i="9" s="1"/>
  <c r="Z572" i="9" s="1"/>
  <c r="AC572" i="9" s="1"/>
  <c r="W573" i="9"/>
  <c r="Y573" i="9" s="1"/>
  <c r="Z573" i="9" s="1"/>
  <c r="AC573" i="9" s="1"/>
  <c r="W574" i="9"/>
  <c r="Y574" i="9" s="1"/>
  <c r="Z574" i="9" s="1"/>
  <c r="AC574" i="9" s="1"/>
  <c r="W575" i="9"/>
  <c r="Y575" i="9" s="1"/>
  <c r="Z575" i="9" s="1"/>
  <c r="AC575" i="9" s="1"/>
  <c r="W576" i="9"/>
  <c r="Y576" i="9" s="1"/>
  <c r="Z576" i="9" s="1"/>
  <c r="AC576" i="9" s="1"/>
  <c r="W577" i="9"/>
  <c r="Y577" i="9" s="1"/>
  <c r="Z577" i="9" s="1"/>
  <c r="AC577" i="9" s="1"/>
  <c r="W578" i="9"/>
  <c r="Y578" i="9" s="1"/>
  <c r="Z578" i="9" s="1"/>
  <c r="AC578" i="9" s="1"/>
  <c r="W579" i="9"/>
  <c r="Y579" i="9" s="1"/>
  <c r="Z579" i="9" s="1"/>
  <c r="AC579" i="9" s="1"/>
  <c r="W580" i="9"/>
  <c r="Y580" i="9" s="1"/>
  <c r="Z580" i="9" s="1"/>
  <c r="AC580" i="9" s="1"/>
  <c r="W581" i="9"/>
  <c r="Y581" i="9" s="1"/>
  <c r="Z581" i="9" s="1"/>
  <c r="AC581" i="9" s="1"/>
  <c r="W582" i="9"/>
  <c r="Y582" i="9" s="1"/>
  <c r="Z582" i="9" s="1"/>
  <c r="AC582" i="9" s="1"/>
  <c r="W583" i="9"/>
  <c r="Y583" i="9" s="1"/>
  <c r="Z583" i="9" s="1"/>
  <c r="AC583" i="9" s="1"/>
  <c r="W584" i="9"/>
  <c r="Y584" i="9" s="1"/>
  <c r="Z584" i="9" s="1"/>
  <c r="AC584" i="9" s="1"/>
  <c r="W585" i="9"/>
  <c r="Y585" i="9" s="1"/>
  <c r="Z585" i="9" s="1"/>
  <c r="AC585" i="9" s="1"/>
  <c r="W586" i="9"/>
  <c r="Y586" i="9" s="1"/>
  <c r="Z586" i="9" s="1"/>
  <c r="AC586" i="9" s="1"/>
  <c r="W587" i="9"/>
  <c r="Y587" i="9" s="1"/>
  <c r="Z587" i="9" s="1"/>
  <c r="AC587" i="9" s="1"/>
  <c r="W588" i="9"/>
  <c r="Y588" i="9" s="1"/>
  <c r="Z588" i="9" s="1"/>
  <c r="AC588" i="9" s="1"/>
  <c r="W589" i="9"/>
  <c r="Y589" i="9" s="1"/>
  <c r="Z589" i="9" s="1"/>
  <c r="AC589" i="9" s="1"/>
  <c r="W590" i="9"/>
  <c r="Y590" i="9" s="1"/>
  <c r="Z590" i="9" s="1"/>
  <c r="AC590" i="9" s="1"/>
  <c r="W591" i="9"/>
  <c r="Y591" i="9" s="1"/>
  <c r="Z591" i="9" s="1"/>
  <c r="AC591" i="9" s="1"/>
  <c r="W592" i="9"/>
  <c r="Y592" i="9" s="1"/>
  <c r="Z592" i="9" s="1"/>
  <c r="AC592" i="9" s="1"/>
  <c r="W593" i="9"/>
  <c r="Y593" i="9" s="1"/>
  <c r="Z593" i="9" s="1"/>
  <c r="AC593" i="9" s="1"/>
  <c r="W594" i="9"/>
  <c r="Y594" i="9" s="1"/>
  <c r="Z594" i="9" s="1"/>
  <c r="AC594" i="9" s="1"/>
  <c r="W595" i="9"/>
  <c r="Y595" i="9" s="1"/>
  <c r="Z595" i="9" s="1"/>
  <c r="AC595" i="9" s="1"/>
  <c r="W596" i="9"/>
  <c r="Y596" i="9" s="1"/>
  <c r="Z596" i="9" s="1"/>
  <c r="AC596" i="9" s="1"/>
  <c r="W597" i="9"/>
  <c r="Y597" i="9" s="1"/>
  <c r="Z597" i="9" s="1"/>
  <c r="AC597" i="9" s="1"/>
  <c r="W598" i="9"/>
  <c r="Y598" i="9" s="1"/>
  <c r="Z598" i="9" s="1"/>
  <c r="AC598" i="9" s="1"/>
  <c r="W599" i="9"/>
  <c r="Y599" i="9" s="1"/>
  <c r="Z599" i="9" s="1"/>
  <c r="AC599" i="9" s="1"/>
  <c r="W600" i="9"/>
  <c r="Y600" i="9" s="1"/>
  <c r="Z600" i="9" s="1"/>
  <c r="AC600" i="9" s="1"/>
  <c r="W601" i="9"/>
  <c r="Y601" i="9" s="1"/>
  <c r="Z601" i="9" s="1"/>
  <c r="AC601" i="9" s="1"/>
  <c r="W602" i="9"/>
  <c r="Y602" i="9" s="1"/>
  <c r="Z602" i="9" s="1"/>
  <c r="AC602" i="9" s="1"/>
  <c r="W603" i="9"/>
  <c r="Y603" i="9" s="1"/>
  <c r="Z603" i="9" s="1"/>
  <c r="AC603" i="9" s="1"/>
  <c r="W604" i="9"/>
  <c r="Y604" i="9" s="1"/>
  <c r="Z604" i="9" s="1"/>
  <c r="AC604" i="9" s="1"/>
  <c r="W605" i="9"/>
  <c r="Y605" i="9" s="1"/>
  <c r="Z605" i="9" s="1"/>
  <c r="AC605" i="9" s="1"/>
  <c r="W606" i="9"/>
  <c r="Y606" i="9" s="1"/>
  <c r="Z606" i="9" s="1"/>
  <c r="AC606" i="9" s="1"/>
  <c r="W607" i="9"/>
  <c r="Y607" i="9" s="1"/>
  <c r="Z607" i="9" s="1"/>
  <c r="AC607" i="9" s="1"/>
  <c r="W608" i="9"/>
  <c r="Y608" i="9" s="1"/>
  <c r="Z608" i="9" s="1"/>
  <c r="AC608" i="9" s="1"/>
  <c r="W609" i="9"/>
  <c r="Y609" i="9" s="1"/>
  <c r="Z609" i="9" s="1"/>
  <c r="AC609" i="9" s="1"/>
  <c r="W610" i="9"/>
  <c r="Y610" i="9" s="1"/>
  <c r="Z610" i="9" s="1"/>
  <c r="AC610" i="9" s="1"/>
  <c r="W611" i="9"/>
  <c r="Y611" i="9" s="1"/>
  <c r="Z611" i="9" s="1"/>
  <c r="AC611" i="9" s="1"/>
  <c r="W612" i="9"/>
  <c r="Y612" i="9" s="1"/>
  <c r="Z612" i="9" s="1"/>
  <c r="AC612" i="9" s="1"/>
  <c r="W613" i="9"/>
  <c r="Y613" i="9" s="1"/>
  <c r="Z613" i="9" s="1"/>
  <c r="AC613" i="9" s="1"/>
  <c r="W614" i="9"/>
  <c r="Y614" i="9" s="1"/>
  <c r="Z614" i="9" s="1"/>
  <c r="AC614" i="9" s="1"/>
  <c r="W615" i="9"/>
  <c r="Y615" i="9" s="1"/>
  <c r="Z615" i="9" s="1"/>
  <c r="AC615" i="9" s="1"/>
  <c r="W616" i="9"/>
  <c r="Y616" i="9" s="1"/>
  <c r="Z616" i="9" s="1"/>
  <c r="AC616" i="9" s="1"/>
  <c r="W617" i="9"/>
  <c r="Y617" i="9" s="1"/>
  <c r="Z617" i="9" s="1"/>
  <c r="AC617" i="9" s="1"/>
  <c r="W618" i="9"/>
  <c r="Y618" i="9" s="1"/>
  <c r="Z618" i="9" s="1"/>
  <c r="AC618" i="9" s="1"/>
  <c r="W619" i="9"/>
  <c r="Y619" i="9" s="1"/>
  <c r="Z619" i="9" s="1"/>
  <c r="AC619" i="9" s="1"/>
  <c r="W620" i="9"/>
  <c r="Y620" i="9" s="1"/>
  <c r="Z620" i="9" s="1"/>
  <c r="AC620" i="9" s="1"/>
  <c r="W621" i="9"/>
  <c r="Y621" i="9" s="1"/>
  <c r="Z621" i="9" s="1"/>
  <c r="AC621" i="9" s="1"/>
  <c r="W622" i="9"/>
  <c r="Y622" i="9" s="1"/>
  <c r="Z622" i="9" s="1"/>
  <c r="AC622" i="9" s="1"/>
  <c r="W623" i="9"/>
  <c r="Y623" i="9" s="1"/>
  <c r="Z623" i="9" s="1"/>
  <c r="AC623" i="9" s="1"/>
  <c r="AB543" i="9"/>
  <c r="AA543" i="9" s="1"/>
  <c r="AD618" i="9" l="1"/>
  <c r="AD610" i="9"/>
  <c r="AD602" i="9"/>
  <c r="AD594" i="9"/>
  <c r="AD586" i="9"/>
  <c r="AD578" i="9"/>
  <c r="AD619" i="9"/>
  <c r="AD611" i="9"/>
  <c r="AD603" i="9"/>
  <c r="AD595" i="9"/>
  <c r="AD587" i="9"/>
  <c r="AD570" i="9"/>
  <c r="AD616" i="9"/>
  <c r="AD620" i="9"/>
  <c r="AD588" i="9"/>
  <c r="AD564" i="9"/>
  <c r="AD607" i="9"/>
  <c r="AD562" i="9"/>
  <c r="AD554" i="9"/>
  <c r="AD546" i="9"/>
  <c r="AD608" i="9"/>
  <c r="AD599" i="9"/>
  <c r="AD591" i="9"/>
  <c r="AD583" i="9"/>
  <c r="AD575" i="9"/>
  <c r="AD567" i="9"/>
  <c r="AD559" i="9"/>
  <c r="AD551" i="9"/>
  <c r="AD615" i="9"/>
  <c r="AD613" i="9"/>
  <c r="AD605" i="9"/>
  <c r="AD597" i="9"/>
  <c r="AD589" i="9"/>
  <c r="AD581" i="9"/>
  <c r="AD573" i="9"/>
  <c r="AD565" i="9"/>
  <c r="AD557" i="9"/>
  <c r="AD549" i="9"/>
  <c r="AD600" i="9"/>
  <c r="AD596" i="9"/>
  <c r="AD590" i="9"/>
  <c r="AD561" i="9"/>
  <c r="AD614" i="9"/>
  <c r="AD582" i="9"/>
  <c r="AD556" i="9"/>
  <c r="AD579" i="9"/>
  <c r="AD571" i="9"/>
  <c r="AD563" i="9"/>
  <c r="AD555" i="9"/>
  <c r="AD547" i="9"/>
  <c r="AD612" i="9"/>
  <c r="AD580" i="9"/>
  <c r="AD553" i="9"/>
  <c r="AD606" i="9"/>
  <c r="AD574" i="9"/>
  <c r="AD550" i="9"/>
  <c r="AD617" i="9"/>
  <c r="AD609" i="9"/>
  <c r="AD601" i="9"/>
  <c r="AD593" i="9"/>
  <c r="AD585" i="9"/>
  <c r="AD577" i="9"/>
  <c r="AD569" i="9"/>
  <c r="AD604" i="9"/>
  <c r="AD572" i="9"/>
  <c r="AD548" i="9"/>
  <c r="AD558" i="9"/>
  <c r="AD592" i="9"/>
  <c r="AD584" i="9"/>
  <c r="AD576" i="9"/>
  <c r="AD568" i="9"/>
  <c r="AD560" i="9"/>
  <c r="AD552" i="9"/>
  <c r="AD544" i="9"/>
  <c r="AD598" i="9"/>
  <c r="AD566" i="9"/>
  <c r="AD545" i="9"/>
  <c r="AD623" i="9"/>
  <c r="AD621" i="9"/>
  <c r="AD622" i="9"/>
  <c r="AE586" i="9" l="1"/>
  <c r="AE604" i="9"/>
  <c r="AE585" i="9"/>
  <c r="AE591" i="9"/>
  <c r="AE560" i="9"/>
  <c r="AE596" i="9"/>
  <c r="AE543" i="9"/>
  <c r="AE598" i="9"/>
  <c r="AE568" i="9"/>
  <c r="AE607" i="9"/>
  <c r="AE611" i="9"/>
  <c r="AE613" i="9"/>
  <c r="AE556" i="9"/>
  <c r="AE590" i="9"/>
  <c r="AE587" i="9"/>
  <c r="AE619" i="9"/>
  <c r="AE578" i="9"/>
  <c r="AE572" i="9"/>
  <c r="AE577" i="9"/>
  <c r="AE616" i="9"/>
  <c r="AE552" i="9"/>
  <c r="AE599" i="9"/>
  <c r="AE565" i="9"/>
  <c r="AE582" i="9"/>
  <c r="AE570" i="9"/>
  <c r="AE544" i="9"/>
  <c r="AE574" i="9"/>
  <c r="AE562" i="9"/>
  <c r="AE600" i="9"/>
  <c r="AE597" i="9"/>
  <c r="AE583" i="9"/>
  <c r="AE564" i="9"/>
  <c r="AE566" i="9"/>
  <c r="AE571" i="9"/>
  <c r="AE618" i="9"/>
  <c r="AE617" i="9"/>
  <c r="AE553" i="9"/>
  <c r="AE592" i="9"/>
  <c r="AE549" i="9"/>
  <c r="AE575" i="9"/>
  <c r="AE622" i="9"/>
  <c r="AE558" i="9"/>
  <c r="AE579" i="9"/>
  <c r="AE603" i="9"/>
  <c r="AE608" i="9"/>
  <c r="AE612" i="9"/>
  <c r="AE555" i="9"/>
  <c r="AE561" i="9"/>
  <c r="AE547" i="9"/>
  <c r="AE554" i="9"/>
  <c r="AE548" i="9"/>
  <c r="AE621" i="9"/>
  <c r="AE610" i="9"/>
  <c r="AE546" i="9"/>
  <c r="AE609" i="9"/>
  <c r="AE545" i="9"/>
  <c r="AE584" i="9"/>
  <c r="AE580" i="9"/>
  <c r="AE567" i="9"/>
  <c r="AE614" i="9"/>
  <c r="AE550" i="9"/>
  <c r="AE595" i="9"/>
  <c r="AE569" i="9"/>
  <c r="AE563" i="9"/>
  <c r="AE573" i="9"/>
  <c r="AE605" i="9"/>
  <c r="AE601" i="9"/>
  <c r="AE581" i="9"/>
  <c r="AE576" i="9"/>
  <c r="AE623" i="9"/>
  <c r="AE559" i="9"/>
  <c r="AE606" i="9"/>
  <c r="AE557" i="9"/>
  <c r="AE602" i="9"/>
  <c r="AE620" i="9"/>
  <c r="AE594" i="9"/>
  <c r="AE589" i="9"/>
  <c r="AE593" i="9"/>
  <c r="AE588" i="9"/>
  <c r="AE615" i="9"/>
  <c r="AE551" i="9"/>
  <c r="G8" i="7" l="1" a="1"/>
  <c r="G8" i="7" s="1"/>
  <c r="AD432" i="9"/>
  <c r="AB434" i="9"/>
  <c r="AA434" i="9" s="1"/>
  <c r="AB435" i="9"/>
  <c r="AB436" i="9"/>
  <c r="AA436" i="9" s="1"/>
  <c r="AB437" i="9"/>
  <c r="AA437" i="9" s="1"/>
  <c r="AB438" i="9"/>
  <c r="AA438" i="9" s="1"/>
  <c r="AB439" i="9"/>
  <c r="AA439" i="9" s="1"/>
  <c r="AB440" i="9"/>
  <c r="AB441" i="9"/>
  <c r="AA441" i="9" s="1"/>
  <c r="AB442" i="9"/>
  <c r="AB443" i="9"/>
  <c r="AA443" i="9" s="1"/>
  <c r="AB444" i="9"/>
  <c r="AA444" i="9" s="1"/>
  <c r="AB445" i="9"/>
  <c r="AA445" i="9" s="1"/>
  <c r="AB446" i="9"/>
  <c r="AA446" i="9" s="1"/>
  <c r="AB447" i="9"/>
  <c r="AA447" i="9" s="1"/>
  <c r="AB448" i="9"/>
  <c r="AB449" i="9"/>
  <c r="AA449" i="9" s="1"/>
  <c r="AB450" i="9"/>
  <c r="AB451" i="9"/>
  <c r="AA451" i="9" s="1"/>
  <c r="AB452" i="9"/>
  <c r="AA452" i="9" s="1"/>
  <c r="AB453" i="9"/>
  <c r="AA453" i="9" s="1"/>
  <c r="AB454" i="9"/>
  <c r="AA454" i="9" s="1"/>
  <c r="AB455" i="9"/>
  <c r="AA455" i="9" s="1"/>
  <c r="AB456" i="9"/>
  <c r="AB457" i="9"/>
  <c r="AA457" i="9" s="1"/>
  <c r="AB458" i="9"/>
  <c r="AB459" i="9"/>
  <c r="AA459" i="9" s="1"/>
  <c r="AB460" i="9"/>
  <c r="AA460" i="9" s="1"/>
  <c r="AB461" i="9"/>
  <c r="AA461" i="9" s="1"/>
  <c r="AB462" i="9"/>
  <c r="AA462" i="9" s="1"/>
  <c r="AB463" i="9"/>
  <c r="AA463" i="9" s="1"/>
  <c r="AB464" i="9"/>
  <c r="AB465" i="9"/>
  <c r="AA465" i="9" s="1"/>
  <c r="AB466" i="9"/>
  <c r="AB467" i="9"/>
  <c r="AA467" i="9" s="1"/>
  <c r="AB468" i="9"/>
  <c r="AA468" i="9" s="1"/>
  <c r="AB469" i="9"/>
  <c r="AA469" i="9" s="1"/>
  <c r="AB470" i="9"/>
  <c r="AA470" i="9" s="1"/>
  <c r="AB471" i="9"/>
  <c r="AA471" i="9" s="1"/>
  <c r="AB472" i="9"/>
  <c r="AB473" i="9"/>
  <c r="AA473" i="9" s="1"/>
  <c r="AB474" i="9"/>
  <c r="AB475" i="9"/>
  <c r="AA475" i="9" s="1"/>
  <c r="AB476" i="9"/>
  <c r="AA476" i="9" s="1"/>
  <c r="AB477" i="9"/>
  <c r="AA477" i="9" s="1"/>
  <c r="AB478" i="9"/>
  <c r="AB479" i="9"/>
  <c r="AA479" i="9" s="1"/>
  <c r="AB480" i="9"/>
  <c r="AB481" i="9"/>
  <c r="AA481" i="9" s="1"/>
  <c r="AB482" i="9"/>
  <c r="AB483" i="9"/>
  <c r="AA483" i="9" s="1"/>
  <c r="AB484" i="9"/>
  <c r="AA484" i="9" s="1"/>
  <c r="AB485" i="9"/>
  <c r="AA485" i="9" s="1"/>
  <c r="AB486" i="9"/>
  <c r="AA486" i="9" s="1"/>
  <c r="AB487" i="9"/>
  <c r="AA487" i="9" s="1"/>
  <c r="AB488" i="9"/>
  <c r="AB489" i="9"/>
  <c r="AA489" i="9" s="1"/>
  <c r="AB490" i="9"/>
  <c r="AB491" i="9"/>
  <c r="AA491" i="9" s="1"/>
  <c r="AB492" i="9"/>
  <c r="AA492" i="9" s="1"/>
  <c r="AB493" i="9"/>
  <c r="AA493" i="9" s="1"/>
  <c r="AB494" i="9"/>
  <c r="AA494" i="9" s="1"/>
  <c r="AB495" i="9"/>
  <c r="AA495" i="9" s="1"/>
  <c r="AB496" i="9"/>
  <c r="AB497" i="9"/>
  <c r="AA497" i="9" s="1"/>
  <c r="AB498" i="9"/>
  <c r="AB499" i="9"/>
  <c r="AA499" i="9" s="1"/>
  <c r="AB500" i="9"/>
  <c r="AA500" i="9" s="1"/>
  <c r="AB501" i="9"/>
  <c r="AA501" i="9" s="1"/>
  <c r="AB502" i="9"/>
  <c r="AA502" i="9" s="1"/>
  <c r="AB503" i="9"/>
  <c r="AA503" i="9" s="1"/>
  <c r="AB504" i="9"/>
  <c r="AB505" i="9"/>
  <c r="AA505" i="9" s="1"/>
  <c r="AB506" i="9"/>
  <c r="AB507" i="9"/>
  <c r="AB508" i="9"/>
  <c r="AA508" i="9" s="1"/>
  <c r="AB509" i="9"/>
  <c r="AA509" i="9" s="1"/>
  <c r="AB510" i="9"/>
  <c r="AA510" i="9" s="1"/>
  <c r="AB511" i="9"/>
  <c r="AA511" i="9" s="1"/>
  <c r="AB512" i="9"/>
  <c r="AB513" i="9"/>
  <c r="AA513" i="9" s="1"/>
  <c r="AB514" i="9"/>
  <c r="AB515" i="9"/>
  <c r="AA515" i="9" s="1"/>
  <c r="AB516" i="9"/>
  <c r="AA516" i="9" s="1"/>
  <c r="AB517" i="9"/>
  <c r="AA517" i="9" s="1"/>
  <c r="AB518" i="9"/>
  <c r="AA518" i="9" s="1"/>
  <c r="AB519" i="9"/>
  <c r="AA519" i="9" s="1"/>
  <c r="AB520" i="9"/>
  <c r="AB521" i="9"/>
  <c r="AA521" i="9" s="1"/>
  <c r="AB522" i="9"/>
  <c r="AB523" i="9"/>
  <c r="AA523" i="9" s="1"/>
  <c r="AB524" i="9"/>
  <c r="AA524" i="9" s="1"/>
  <c r="AB525" i="9"/>
  <c r="AA525" i="9" s="1"/>
  <c r="AB526" i="9"/>
  <c r="AA526" i="9" s="1"/>
  <c r="AB527" i="9"/>
  <c r="AA527" i="9" s="1"/>
  <c r="AB528" i="9"/>
  <c r="AB529" i="9"/>
  <c r="AA529" i="9" s="1"/>
  <c r="AB530" i="9"/>
  <c r="AB531" i="9"/>
  <c r="AA531" i="9" s="1"/>
  <c r="AB532" i="9"/>
  <c r="AA532" i="9" s="1"/>
  <c r="AB533" i="9"/>
  <c r="AA533" i="9" s="1"/>
  <c r="AB534" i="9"/>
  <c r="AA534" i="9" s="1"/>
  <c r="AB535" i="9"/>
  <c r="AA535" i="9" s="1"/>
  <c r="AB536" i="9"/>
  <c r="AB537" i="9"/>
  <c r="AA537" i="9" s="1"/>
  <c r="AB538" i="9"/>
  <c r="AB539" i="9"/>
  <c r="AA539" i="9" s="1"/>
  <c r="AB540" i="9"/>
  <c r="AA540" i="9" s="1"/>
  <c r="AB541" i="9"/>
  <c r="AA541" i="9" s="1"/>
  <c r="AB542" i="9"/>
  <c r="AA542" i="9" s="1"/>
  <c r="AA435" i="9"/>
  <c r="AA440" i="9"/>
  <c r="AA442" i="9"/>
  <c r="AA448" i="9"/>
  <c r="AA450" i="9"/>
  <c r="AA456" i="9"/>
  <c r="AA458" i="9"/>
  <c r="AA464" i="9"/>
  <c r="AA466" i="9"/>
  <c r="AA472" i="9"/>
  <c r="AA474" i="9"/>
  <c r="AA478" i="9"/>
  <c r="AA480" i="9"/>
  <c r="AA482" i="9"/>
  <c r="AA488" i="9"/>
  <c r="AA490" i="9"/>
  <c r="AA496" i="9"/>
  <c r="AA498" i="9"/>
  <c r="AA504" i="9"/>
  <c r="AA506" i="9"/>
  <c r="AA507" i="9"/>
  <c r="AA512" i="9"/>
  <c r="AA514" i="9"/>
  <c r="AA520" i="9"/>
  <c r="AA522" i="9"/>
  <c r="AA528" i="9"/>
  <c r="AA530" i="9"/>
  <c r="AA536" i="9"/>
  <c r="AA538" i="9"/>
  <c r="W432" i="9"/>
  <c r="Y432" i="9" s="1"/>
  <c r="Z432" i="9" s="1"/>
  <c r="W433" i="9"/>
  <c r="Y433" i="9" s="1"/>
  <c r="Z433" i="9" s="1"/>
  <c r="AC433" i="9" s="1"/>
  <c r="W434" i="9"/>
  <c r="Y434" i="9" s="1"/>
  <c r="Z434" i="9" s="1"/>
  <c r="AC434" i="9" s="1"/>
  <c r="W435" i="9"/>
  <c r="Y435" i="9" s="1"/>
  <c r="Z435" i="9" s="1"/>
  <c r="AC435" i="9" s="1"/>
  <c r="W436" i="9"/>
  <c r="Y436" i="9" s="1"/>
  <c r="Z436" i="9" s="1"/>
  <c r="AC436" i="9" s="1"/>
  <c r="W437" i="9"/>
  <c r="Y437" i="9" s="1"/>
  <c r="Z437" i="9" s="1"/>
  <c r="AC437" i="9" s="1"/>
  <c r="W438" i="9"/>
  <c r="Y438" i="9" s="1"/>
  <c r="Z438" i="9" s="1"/>
  <c r="AC438" i="9" s="1"/>
  <c r="W439" i="9"/>
  <c r="Y439" i="9" s="1"/>
  <c r="Z439" i="9" s="1"/>
  <c r="AC439" i="9" s="1"/>
  <c r="W440" i="9"/>
  <c r="Y440" i="9" s="1"/>
  <c r="Z440" i="9" s="1"/>
  <c r="AC440" i="9" s="1"/>
  <c r="W441" i="9"/>
  <c r="Y441" i="9" s="1"/>
  <c r="Z441" i="9" s="1"/>
  <c r="AC441" i="9" s="1"/>
  <c r="W442" i="9"/>
  <c r="Y442" i="9" s="1"/>
  <c r="Z442" i="9" s="1"/>
  <c r="AC442" i="9" s="1"/>
  <c r="W443" i="9"/>
  <c r="Y443" i="9" s="1"/>
  <c r="Z443" i="9" s="1"/>
  <c r="AC443" i="9" s="1"/>
  <c r="W444" i="9"/>
  <c r="Y444" i="9" s="1"/>
  <c r="Z444" i="9" s="1"/>
  <c r="AC444" i="9" s="1"/>
  <c r="W445" i="9"/>
  <c r="Y445" i="9" s="1"/>
  <c r="Z445" i="9" s="1"/>
  <c r="AC445" i="9" s="1"/>
  <c r="W446" i="9"/>
  <c r="Y446" i="9" s="1"/>
  <c r="Z446" i="9" s="1"/>
  <c r="AC446" i="9" s="1"/>
  <c r="W447" i="9"/>
  <c r="Y447" i="9" s="1"/>
  <c r="Z447" i="9" s="1"/>
  <c r="AC447" i="9" s="1"/>
  <c r="W448" i="9"/>
  <c r="Y448" i="9" s="1"/>
  <c r="Z448" i="9" s="1"/>
  <c r="AC448" i="9" s="1"/>
  <c r="W449" i="9"/>
  <c r="Y449" i="9" s="1"/>
  <c r="Z449" i="9" s="1"/>
  <c r="AC449" i="9" s="1"/>
  <c r="W450" i="9"/>
  <c r="Y450" i="9" s="1"/>
  <c r="Z450" i="9" s="1"/>
  <c r="AC450" i="9" s="1"/>
  <c r="W451" i="9"/>
  <c r="Y451" i="9" s="1"/>
  <c r="Z451" i="9" s="1"/>
  <c r="AC451" i="9" s="1"/>
  <c r="W452" i="9"/>
  <c r="Y452" i="9" s="1"/>
  <c r="Z452" i="9" s="1"/>
  <c r="AC452" i="9" s="1"/>
  <c r="W453" i="9"/>
  <c r="Y453" i="9" s="1"/>
  <c r="Z453" i="9" s="1"/>
  <c r="AC453" i="9" s="1"/>
  <c r="W454" i="9"/>
  <c r="Y454" i="9" s="1"/>
  <c r="Z454" i="9" s="1"/>
  <c r="AC454" i="9" s="1"/>
  <c r="W455" i="9"/>
  <c r="Y455" i="9" s="1"/>
  <c r="Z455" i="9" s="1"/>
  <c r="AC455" i="9" s="1"/>
  <c r="W456" i="9"/>
  <c r="Y456" i="9" s="1"/>
  <c r="Z456" i="9" s="1"/>
  <c r="AC456" i="9" s="1"/>
  <c r="W457" i="9"/>
  <c r="Y457" i="9" s="1"/>
  <c r="Z457" i="9" s="1"/>
  <c r="AC457" i="9" s="1"/>
  <c r="W458" i="9"/>
  <c r="Y458" i="9" s="1"/>
  <c r="Z458" i="9" s="1"/>
  <c r="AC458" i="9" s="1"/>
  <c r="W459" i="9"/>
  <c r="Y459" i="9" s="1"/>
  <c r="Z459" i="9" s="1"/>
  <c r="AC459" i="9" s="1"/>
  <c r="W460" i="9"/>
  <c r="Y460" i="9" s="1"/>
  <c r="Z460" i="9" s="1"/>
  <c r="AC460" i="9" s="1"/>
  <c r="W461" i="9"/>
  <c r="Y461" i="9" s="1"/>
  <c r="Z461" i="9" s="1"/>
  <c r="AC461" i="9" s="1"/>
  <c r="W462" i="9"/>
  <c r="Y462" i="9" s="1"/>
  <c r="Z462" i="9" s="1"/>
  <c r="AC462" i="9" s="1"/>
  <c r="W463" i="9"/>
  <c r="Y463" i="9" s="1"/>
  <c r="Z463" i="9" s="1"/>
  <c r="AC463" i="9" s="1"/>
  <c r="W464" i="9"/>
  <c r="Y464" i="9" s="1"/>
  <c r="Z464" i="9" s="1"/>
  <c r="AC464" i="9" s="1"/>
  <c r="W465" i="9"/>
  <c r="Y465" i="9" s="1"/>
  <c r="Z465" i="9" s="1"/>
  <c r="AC465" i="9" s="1"/>
  <c r="W466" i="9"/>
  <c r="Y466" i="9" s="1"/>
  <c r="Z466" i="9" s="1"/>
  <c r="AC466" i="9" s="1"/>
  <c r="W467" i="9"/>
  <c r="Y467" i="9" s="1"/>
  <c r="Z467" i="9" s="1"/>
  <c r="AC467" i="9" s="1"/>
  <c r="W468" i="9"/>
  <c r="Y468" i="9" s="1"/>
  <c r="Z468" i="9" s="1"/>
  <c r="AC468" i="9" s="1"/>
  <c r="W469" i="9"/>
  <c r="Y469" i="9" s="1"/>
  <c r="Z469" i="9" s="1"/>
  <c r="AC469" i="9" s="1"/>
  <c r="W470" i="9"/>
  <c r="Y470" i="9" s="1"/>
  <c r="Z470" i="9" s="1"/>
  <c r="AC470" i="9" s="1"/>
  <c r="W471" i="9"/>
  <c r="Y471" i="9" s="1"/>
  <c r="Z471" i="9" s="1"/>
  <c r="AC471" i="9" s="1"/>
  <c r="W472" i="9"/>
  <c r="Y472" i="9" s="1"/>
  <c r="Z472" i="9" s="1"/>
  <c r="AC472" i="9" s="1"/>
  <c r="W473" i="9"/>
  <c r="Y473" i="9" s="1"/>
  <c r="Z473" i="9" s="1"/>
  <c r="AC473" i="9" s="1"/>
  <c r="W474" i="9"/>
  <c r="Y474" i="9" s="1"/>
  <c r="Z474" i="9" s="1"/>
  <c r="AC474" i="9" s="1"/>
  <c r="W475" i="9"/>
  <c r="Y475" i="9" s="1"/>
  <c r="Z475" i="9" s="1"/>
  <c r="AC475" i="9" s="1"/>
  <c r="W476" i="9"/>
  <c r="Y476" i="9" s="1"/>
  <c r="Z476" i="9" s="1"/>
  <c r="AC476" i="9" s="1"/>
  <c r="W477" i="9"/>
  <c r="Y477" i="9" s="1"/>
  <c r="Z477" i="9" s="1"/>
  <c r="AC477" i="9" s="1"/>
  <c r="W478" i="9"/>
  <c r="Y478" i="9" s="1"/>
  <c r="Z478" i="9" s="1"/>
  <c r="AC478" i="9" s="1"/>
  <c r="W479" i="9"/>
  <c r="Y479" i="9" s="1"/>
  <c r="Z479" i="9" s="1"/>
  <c r="AC479" i="9" s="1"/>
  <c r="W480" i="9"/>
  <c r="Y480" i="9" s="1"/>
  <c r="Z480" i="9" s="1"/>
  <c r="AC480" i="9" s="1"/>
  <c r="W481" i="9"/>
  <c r="Y481" i="9" s="1"/>
  <c r="Z481" i="9" s="1"/>
  <c r="AC481" i="9" s="1"/>
  <c r="W482" i="9"/>
  <c r="Y482" i="9" s="1"/>
  <c r="Z482" i="9" s="1"/>
  <c r="AC482" i="9" s="1"/>
  <c r="W483" i="9"/>
  <c r="Y483" i="9" s="1"/>
  <c r="Z483" i="9" s="1"/>
  <c r="AC483" i="9" s="1"/>
  <c r="W484" i="9"/>
  <c r="Y484" i="9" s="1"/>
  <c r="Z484" i="9" s="1"/>
  <c r="AC484" i="9" s="1"/>
  <c r="W485" i="9"/>
  <c r="Y485" i="9" s="1"/>
  <c r="Z485" i="9" s="1"/>
  <c r="AC485" i="9" s="1"/>
  <c r="W486" i="9"/>
  <c r="Y486" i="9" s="1"/>
  <c r="Z486" i="9" s="1"/>
  <c r="AC486" i="9" s="1"/>
  <c r="W487" i="9"/>
  <c r="Y487" i="9" s="1"/>
  <c r="Z487" i="9" s="1"/>
  <c r="AC487" i="9" s="1"/>
  <c r="W488" i="9"/>
  <c r="Y488" i="9" s="1"/>
  <c r="Z488" i="9" s="1"/>
  <c r="AC488" i="9" s="1"/>
  <c r="W489" i="9"/>
  <c r="Y489" i="9" s="1"/>
  <c r="Z489" i="9" s="1"/>
  <c r="AC489" i="9" s="1"/>
  <c r="W490" i="9"/>
  <c r="Y490" i="9" s="1"/>
  <c r="Z490" i="9" s="1"/>
  <c r="AC490" i="9" s="1"/>
  <c r="W491" i="9"/>
  <c r="Y491" i="9" s="1"/>
  <c r="Z491" i="9" s="1"/>
  <c r="AC491" i="9" s="1"/>
  <c r="W492" i="9"/>
  <c r="Y492" i="9" s="1"/>
  <c r="Z492" i="9" s="1"/>
  <c r="AC492" i="9" s="1"/>
  <c r="W493" i="9"/>
  <c r="Y493" i="9" s="1"/>
  <c r="Z493" i="9" s="1"/>
  <c r="AC493" i="9" s="1"/>
  <c r="W494" i="9"/>
  <c r="Y494" i="9" s="1"/>
  <c r="Z494" i="9" s="1"/>
  <c r="AC494" i="9" s="1"/>
  <c r="W495" i="9"/>
  <c r="Y495" i="9" s="1"/>
  <c r="Z495" i="9" s="1"/>
  <c r="AC495" i="9" s="1"/>
  <c r="W496" i="9"/>
  <c r="Y496" i="9" s="1"/>
  <c r="Z496" i="9" s="1"/>
  <c r="AC496" i="9" s="1"/>
  <c r="W497" i="9"/>
  <c r="Y497" i="9" s="1"/>
  <c r="Z497" i="9" s="1"/>
  <c r="AC497" i="9" s="1"/>
  <c r="W498" i="9"/>
  <c r="Y498" i="9" s="1"/>
  <c r="Z498" i="9" s="1"/>
  <c r="AC498" i="9" s="1"/>
  <c r="W499" i="9"/>
  <c r="Y499" i="9" s="1"/>
  <c r="Z499" i="9" s="1"/>
  <c r="AC499" i="9" s="1"/>
  <c r="W500" i="9"/>
  <c r="Y500" i="9" s="1"/>
  <c r="Z500" i="9" s="1"/>
  <c r="AC500" i="9" s="1"/>
  <c r="W501" i="9"/>
  <c r="Y501" i="9" s="1"/>
  <c r="Z501" i="9" s="1"/>
  <c r="AC501" i="9" s="1"/>
  <c r="W502" i="9"/>
  <c r="Y502" i="9" s="1"/>
  <c r="Z502" i="9" s="1"/>
  <c r="AC502" i="9" s="1"/>
  <c r="W503" i="9"/>
  <c r="Y503" i="9" s="1"/>
  <c r="Z503" i="9" s="1"/>
  <c r="AC503" i="9" s="1"/>
  <c r="W504" i="9"/>
  <c r="Y504" i="9" s="1"/>
  <c r="Z504" i="9" s="1"/>
  <c r="AC504" i="9" s="1"/>
  <c r="W505" i="9"/>
  <c r="Y505" i="9" s="1"/>
  <c r="Z505" i="9" s="1"/>
  <c r="AC505" i="9" s="1"/>
  <c r="W506" i="9"/>
  <c r="Y506" i="9" s="1"/>
  <c r="Z506" i="9" s="1"/>
  <c r="AC506" i="9" s="1"/>
  <c r="W507" i="9"/>
  <c r="Y507" i="9" s="1"/>
  <c r="Z507" i="9" s="1"/>
  <c r="AC507" i="9" s="1"/>
  <c r="W508" i="9"/>
  <c r="Y508" i="9" s="1"/>
  <c r="Z508" i="9" s="1"/>
  <c r="AC508" i="9" s="1"/>
  <c r="W509" i="9"/>
  <c r="Y509" i="9" s="1"/>
  <c r="Z509" i="9" s="1"/>
  <c r="AC509" i="9" s="1"/>
  <c r="W510" i="9"/>
  <c r="Y510" i="9" s="1"/>
  <c r="Z510" i="9" s="1"/>
  <c r="AC510" i="9" s="1"/>
  <c r="W511" i="9"/>
  <c r="Y511" i="9" s="1"/>
  <c r="Z511" i="9" s="1"/>
  <c r="AC511" i="9" s="1"/>
  <c r="W512" i="9"/>
  <c r="Y512" i="9" s="1"/>
  <c r="Z512" i="9" s="1"/>
  <c r="AC512" i="9" s="1"/>
  <c r="W513" i="9"/>
  <c r="Y513" i="9" s="1"/>
  <c r="Z513" i="9" s="1"/>
  <c r="AC513" i="9" s="1"/>
  <c r="W514" i="9"/>
  <c r="Y514" i="9" s="1"/>
  <c r="Z514" i="9" s="1"/>
  <c r="AC514" i="9" s="1"/>
  <c r="W515" i="9"/>
  <c r="Y515" i="9" s="1"/>
  <c r="Z515" i="9" s="1"/>
  <c r="AC515" i="9" s="1"/>
  <c r="W516" i="9"/>
  <c r="Y516" i="9" s="1"/>
  <c r="Z516" i="9" s="1"/>
  <c r="AC516" i="9" s="1"/>
  <c r="W517" i="9"/>
  <c r="Y517" i="9" s="1"/>
  <c r="Z517" i="9" s="1"/>
  <c r="AC517" i="9" s="1"/>
  <c r="W518" i="9"/>
  <c r="Y518" i="9" s="1"/>
  <c r="Z518" i="9" s="1"/>
  <c r="AC518" i="9" s="1"/>
  <c r="W519" i="9"/>
  <c r="Y519" i="9" s="1"/>
  <c r="Z519" i="9" s="1"/>
  <c r="AC519" i="9" s="1"/>
  <c r="W520" i="9"/>
  <c r="Y520" i="9" s="1"/>
  <c r="Z520" i="9" s="1"/>
  <c r="AC520" i="9" s="1"/>
  <c r="W521" i="9"/>
  <c r="Y521" i="9" s="1"/>
  <c r="Z521" i="9" s="1"/>
  <c r="AC521" i="9" s="1"/>
  <c r="W522" i="9"/>
  <c r="Y522" i="9" s="1"/>
  <c r="Z522" i="9" s="1"/>
  <c r="AC522" i="9" s="1"/>
  <c r="W523" i="9"/>
  <c r="Y523" i="9" s="1"/>
  <c r="Z523" i="9" s="1"/>
  <c r="AC523" i="9" s="1"/>
  <c r="W524" i="9"/>
  <c r="Y524" i="9" s="1"/>
  <c r="Z524" i="9" s="1"/>
  <c r="AC524" i="9" s="1"/>
  <c r="W525" i="9"/>
  <c r="Y525" i="9" s="1"/>
  <c r="Z525" i="9" s="1"/>
  <c r="AC525" i="9" s="1"/>
  <c r="W526" i="9"/>
  <c r="Y526" i="9" s="1"/>
  <c r="Z526" i="9" s="1"/>
  <c r="AC526" i="9" s="1"/>
  <c r="W527" i="9"/>
  <c r="Y527" i="9" s="1"/>
  <c r="Z527" i="9" s="1"/>
  <c r="AC527" i="9" s="1"/>
  <c r="W528" i="9"/>
  <c r="Y528" i="9" s="1"/>
  <c r="Z528" i="9" s="1"/>
  <c r="AC528" i="9" s="1"/>
  <c r="W529" i="9"/>
  <c r="Y529" i="9" s="1"/>
  <c r="Z529" i="9" s="1"/>
  <c r="AC529" i="9" s="1"/>
  <c r="W530" i="9"/>
  <c r="Y530" i="9" s="1"/>
  <c r="Z530" i="9" s="1"/>
  <c r="AC530" i="9" s="1"/>
  <c r="W531" i="9"/>
  <c r="Y531" i="9" s="1"/>
  <c r="Z531" i="9" s="1"/>
  <c r="AC531" i="9" s="1"/>
  <c r="W532" i="9"/>
  <c r="Y532" i="9" s="1"/>
  <c r="Z532" i="9" s="1"/>
  <c r="AC532" i="9" s="1"/>
  <c r="W533" i="9"/>
  <c r="Y533" i="9" s="1"/>
  <c r="Z533" i="9" s="1"/>
  <c r="AC533" i="9" s="1"/>
  <c r="W534" i="9"/>
  <c r="Y534" i="9" s="1"/>
  <c r="Z534" i="9" s="1"/>
  <c r="AC534" i="9" s="1"/>
  <c r="W535" i="9"/>
  <c r="Y535" i="9" s="1"/>
  <c r="Z535" i="9" s="1"/>
  <c r="AC535" i="9" s="1"/>
  <c r="W536" i="9"/>
  <c r="Y536" i="9" s="1"/>
  <c r="Z536" i="9" s="1"/>
  <c r="AC536" i="9" s="1"/>
  <c r="W537" i="9"/>
  <c r="Y537" i="9" s="1"/>
  <c r="Z537" i="9" s="1"/>
  <c r="AC537" i="9" s="1"/>
  <c r="W538" i="9"/>
  <c r="Y538" i="9" s="1"/>
  <c r="Z538" i="9" s="1"/>
  <c r="AC538" i="9" s="1"/>
  <c r="W539" i="9"/>
  <c r="Y539" i="9" s="1"/>
  <c r="Z539" i="9" s="1"/>
  <c r="AC539" i="9" s="1"/>
  <c r="W540" i="9"/>
  <c r="Y540" i="9" s="1"/>
  <c r="Z540" i="9" s="1"/>
  <c r="AC540" i="9" s="1"/>
  <c r="W541" i="9"/>
  <c r="Y541" i="9" s="1"/>
  <c r="Z541" i="9" s="1"/>
  <c r="AC541" i="9" s="1"/>
  <c r="W542" i="9"/>
  <c r="Y542" i="9" s="1"/>
  <c r="Z542" i="9" s="1"/>
  <c r="AC542" i="9" s="1"/>
  <c r="AB433" i="9"/>
  <c r="AA433" i="9" s="1"/>
  <c r="AB432" i="9"/>
  <c r="AA432" i="9" s="1"/>
  <c r="AD542" i="9" l="1"/>
  <c r="AD534" i="9"/>
  <c r="AD526" i="9"/>
  <c r="AD518" i="9"/>
  <c r="AD510" i="9"/>
  <c r="AD502" i="9"/>
  <c r="AD494" i="9"/>
  <c r="AD486" i="9"/>
  <c r="AD478" i="9"/>
  <c r="AD433" i="9"/>
  <c r="AD496" i="9"/>
  <c r="AD480" i="9"/>
  <c r="AD527" i="9"/>
  <c r="AD503" i="9"/>
  <c r="AD495" i="9"/>
  <c r="AD487" i="9"/>
  <c r="AD479" i="9"/>
  <c r="AD471" i="9"/>
  <c r="AD463" i="9"/>
  <c r="AD455" i="9"/>
  <c r="AD447" i="9"/>
  <c r="AD439" i="9"/>
  <c r="AD535" i="9"/>
  <c r="AD511" i="9"/>
  <c r="AD519" i="9"/>
  <c r="AD461" i="9"/>
  <c r="AD467" i="9"/>
  <c r="AD539" i="9"/>
  <c r="AD523" i="9"/>
  <c r="AD507" i="9"/>
  <c r="AD537" i="9"/>
  <c r="AD521" i="9"/>
  <c r="AD505" i="9"/>
  <c r="AD489" i="9"/>
  <c r="AD473" i="9"/>
  <c r="AD457" i="9"/>
  <c r="AD449" i="9"/>
  <c r="AD441" i="9"/>
  <c r="AD437" i="9"/>
  <c r="AD529" i="9"/>
  <c r="AD513" i="9"/>
  <c r="AD481" i="9"/>
  <c r="AD465" i="9"/>
  <c r="AD453" i="9"/>
  <c r="AD470" i="9"/>
  <c r="AD446" i="9"/>
  <c r="AD531" i="9"/>
  <c r="AD499" i="9"/>
  <c r="AD491" i="9"/>
  <c r="AD451" i="9"/>
  <c r="AD443" i="9"/>
  <c r="AD514" i="9"/>
  <c r="AD482" i="9"/>
  <c r="AD458" i="9"/>
  <c r="AD488" i="9"/>
  <c r="AD538" i="9"/>
  <c r="AD506" i="9"/>
  <c r="AD474" i="9"/>
  <c r="AD536" i="9"/>
  <c r="AD472" i="9"/>
  <c r="AD497" i="9"/>
  <c r="AD462" i="9"/>
  <c r="AD454" i="9"/>
  <c r="AD438" i="9"/>
  <c r="AD450" i="9"/>
  <c r="AD528" i="9"/>
  <c r="AD464" i="9"/>
  <c r="AD541" i="9"/>
  <c r="AD533" i="9"/>
  <c r="AD525" i="9"/>
  <c r="AD517" i="9"/>
  <c r="AD509" i="9"/>
  <c r="AD501" i="9"/>
  <c r="AD493" i="9"/>
  <c r="AD485" i="9"/>
  <c r="AD477" i="9"/>
  <c r="AD530" i="9"/>
  <c r="AD498" i="9"/>
  <c r="AD469" i="9"/>
  <c r="AD520" i="9"/>
  <c r="AD456" i="9"/>
  <c r="AD540" i="9"/>
  <c r="AD532" i="9"/>
  <c r="AD524" i="9"/>
  <c r="AD516" i="9"/>
  <c r="AD508" i="9"/>
  <c r="AD500" i="9"/>
  <c r="AD492" i="9"/>
  <c r="AD484" i="9"/>
  <c r="AD476" i="9"/>
  <c r="AD468" i="9"/>
  <c r="AD460" i="9"/>
  <c r="AD452" i="9"/>
  <c r="AD444" i="9"/>
  <c r="AD436" i="9"/>
  <c r="AD466" i="9"/>
  <c r="AD445" i="9"/>
  <c r="AD512" i="9"/>
  <c r="AD448" i="9"/>
  <c r="AD515" i="9"/>
  <c r="AD483" i="9"/>
  <c r="AD475" i="9"/>
  <c r="AD459" i="9"/>
  <c r="AD522" i="9"/>
  <c r="AD490" i="9"/>
  <c r="AD442" i="9"/>
  <c r="AD504" i="9"/>
  <c r="AD440" i="9"/>
  <c r="AD434" i="9"/>
  <c r="AD435" i="9"/>
  <c r="G11" i="7" a="1"/>
  <c r="G11" i="7" s="1"/>
  <c r="AD399" i="9"/>
  <c r="W399" i="9"/>
  <c r="Y399" i="9" s="1"/>
  <c r="Z399" i="9" s="1"/>
  <c r="W400" i="9"/>
  <c r="W401" i="9"/>
  <c r="W402" i="9"/>
  <c r="W403" i="9"/>
  <c r="W404" i="9"/>
  <c r="W405" i="9"/>
  <c r="Y405" i="9" s="1"/>
  <c r="Z405" i="9" s="1"/>
  <c r="AC405" i="9" s="1"/>
  <c r="W406" i="9"/>
  <c r="Y406" i="9" s="1"/>
  <c r="Z406" i="9" s="1"/>
  <c r="W407" i="9"/>
  <c r="Y407" i="9" s="1"/>
  <c r="Z407" i="9" s="1"/>
  <c r="AC407" i="9" s="1"/>
  <c r="W408" i="9"/>
  <c r="Y408" i="9" s="1"/>
  <c r="Z408" i="9" s="1"/>
  <c r="W409" i="9"/>
  <c r="Y409" i="9" s="1"/>
  <c r="W410" i="9"/>
  <c r="Y410" i="9" s="1"/>
  <c r="Z410" i="9" s="1"/>
  <c r="AC410" i="9" s="1"/>
  <c r="W411" i="9"/>
  <c r="Y411" i="9" s="1"/>
  <c r="Z411" i="9" s="1"/>
  <c r="AC411" i="9" s="1"/>
  <c r="W412" i="9"/>
  <c r="Y412" i="9" s="1"/>
  <c r="Z412" i="9" s="1"/>
  <c r="AC412" i="9" s="1"/>
  <c r="W413" i="9"/>
  <c r="Y413" i="9" s="1"/>
  <c r="Z413" i="9" s="1"/>
  <c r="AC413" i="9" s="1"/>
  <c r="W414" i="9"/>
  <c r="Y414" i="9" s="1"/>
  <c r="Z414" i="9" s="1"/>
  <c r="W415" i="9"/>
  <c r="Y415" i="9" s="1"/>
  <c r="Z415" i="9" s="1"/>
  <c r="AC415" i="9" s="1"/>
  <c r="W416" i="9"/>
  <c r="Y416" i="9" s="1"/>
  <c r="Z416" i="9" s="1"/>
  <c r="W417" i="9"/>
  <c r="Y417" i="9" s="1"/>
  <c r="W418" i="9"/>
  <c r="Y418" i="9" s="1"/>
  <c r="Z418" i="9" s="1"/>
  <c r="AC418" i="9" s="1"/>
  <c r="W419" i="9"/>
  <c r="Y419" i="9" s="1"/>
  <c r="Z419" i="9" s="1"/>
  <c r="AC419" i="9" s="1"/>
  <c r="W420" i="9"/>
  <c r="Y420" i="9" s="1"/>
  <c r="Z420" i="9" s="1"/>
  <c r="AC420" i="9" s="1"/>
  <c r="W421" i="9"/>
  <c r="Y421" i="9" s="1"/>
  <c r="Z421" i="9" s="1"/>
  <c r="AC421" i="9" s="1"/>
  <c r="W422" i="9"/>
  <c r="Y422" i="9" s="1"/>
  <c r="Z422" i="9" s="1"/>
  <c r="W423" i="9"/>
  <c r="Y423" i="9" s="1"/>
  <c r="Z423" i="9" s="1"/>
  <c r="AC423" i="9" s="1"/>
  <c r="W424" i="9"/>
  <c r="Y424" i="9" s="1"/>
  <c r="Z424" i="9" s="1"/>
  <c r="W425" i="9"/>
  <c r="Y425" i="9" s="1"/>
  <c r="W426" i="9"/>
  <c r="Y426" i="9" s="1"/>
  <c r="Z426" i="9" s="1"/>
  <c r="AC426" i="9" s="1"/>
  <c r="W427" i="9"/>
  <c r="Y427" i="9" s="1"/>
  <c r="Z427" i="9" s="1"/>
  <c r="AC427" i="9" s="1"/>
  <c r="W428" i="9"/>
  <c r="Y428" i="9" s="1"/>
  <c r="Z428" i="9" s="1"/>
  <c r="AC428" i="9" s="1"/>
  <c r="W429" i="9"/>
  <c r="Y429" i="9" s="1"/>
  <c r="Z429" i="9" s="1"/>
  <c r="AC429" i="9" s="1"/>
  <c r="W430" i="9"/>
  <c r="Y430" i="9" s="1"/>
  <c r="Z430" i="9" s="1"/>
  <c r="W431" i="9"/>
  <c r="Y431" i="9" s="1"/>
  <c r="Z431" i="9" s="1"/>
  <c r="AC431" i="9" s="1"/>
  <c r="AB400" i="9"/>
  <c r="AB401" i="9"/>
  <c r="AB402" i="9"/>
  <c r="AB403" i="9"/>
  <c r="AB404" i="9"/>
  <c r="AB405" i="9"/>
  <c r="AB406" i="9"/>
  <c r="AB407" i="9"/>
  <c r="AB408" i="9"/>
  <c r="AB409" i="9"/>
  <c r="AB410" i="9"/>
  <c r="AB411" i="9"/>
  <c r="AB412" i="9"/>
  <c r="AB413" i="9"/>
  <c r="AB414" i="9"/>
  <c r="AB415" i="9"/>
  <c r="AA415" i="9" s="1"/>
  <c r="AB416" i="9"/>
  <c r="AA416" i="9" s="1"/>
  <c r="AB417" i="9"/>
  <c r="AB418" i="9"/>
  <c r="AA418" i="9" s="1"/>
  <c r="AB419" i="9"/>
  <c r="AA419" i="9" s="1"/>
  <c r="AB420" i="9"/>
  <c r="AA420" i="9" s="1"/>
  <c r="AB421" i="9"/>
  <c r="AB422" i="9"/>
  <c r="AA422" i="9" s="1"/>
  <c r="AB423" i="9"/>
  <c r="AA423" i="9" s="1"/>
  <c r="AB424" i="9"/>
  <c r="AA424" i="9" s="1"/>
  <c r="AB425" i="9"/>
  <c r="AB426" i="9"/>
  <c r="AA426" i="9" s="1"/>
  <c r="AB427" i="9"/>
  <c r="AA427" i="9" s="1"/>
  <c r="AB428" i="9"/>
  <c r="AA428" i="9" s="1"/>
  <c r="AB429" i="9"/>
  <c r="AB430" i="9"/>
  <c r="AA430" i="9" s="1"/>
  <c r="AB431" i="9"/>
  <c r="AA431" i="9" s="1"/>
  <c r="AA400" i="9"/>
  <c r="AA401" i="9"/>
  <c r="AA402" i="9"/>
  <c r="AA403" i="9"/>
  <c r="AA404" i="9"/>
  <c r="AA405" i="9"/>
  <c r="AA406" i="9"/>
  <c r="AA407" i="9"/>
  <c r="AA408" i="9"/>
  <c r="AA409" i="9"/>
  <c r="AA410" i="9"/>
  <c r="AA411" i="9"/>
  <c r="AA412" i="9"/>
  <c r="AA413" i="9"/>
  <c r="AA414" i="9"/>
  <c r="AA417" i="9"/>
  <c r="AA421" i="9"/>
  <c r="AA425" i="9"/>
  <c r="AA429" i="9"/>
  <c r="J400" i="9"/>
  <c r="J402" i="9"/>
  <c r="J403" i="9"/>
  <c r="J404" i="9"/>
  <c r="J401" i="9"/>
  <c r="AB399" i="9"/>
  <c r="AA399" i="9" s="1"/>
  <c r="O430" i="9"/>
  <c r="O428" i="9"/>
  <c r="O426" i="9"/>
  <c r="O424" i="9"/>
  <c r="O422" i="9"/>
  <c r="O420" i="9"/>
  <c r="O418" i="9"/>
  <c r="O416" i="9"/>
  <c r="O414" i="9"/>
  <c r="O412" i="9"/>
  <c r="O410" i="9"/>
  <c r="O408" i="9"/>
  <c r="O406" i="9"/>
  <c r="G9" i="7" a="1"/>
  <c r="G9" i="7" s="1"/>
  <c r="AD364" i="9"/>
  <c r="J366" i="9"/>
  <c r="J367" i="9"/>
  <c r="J368" i="9"/>
  <c r="J369" i="9"/>
  <c r="J365" i="9"/>
  <c r="AB367" i="9"/>
  <c r="AA367" i="9" s="1"/>
  <c r="W367" i="9"/>
  <c r="AB364" i="9"/>
  <c r="AA364" i="9" s="1"/>
  <c r="W364" i="9"/>
  <c r="Y364" i="9" s="1"/>
  <c r="Z364" i="9" s="1"/>
  <c r="AB365" i="9"/>
  <c r="AA365" i="9" s="1"/>
  <c r="AB366" i="9"/>
  <c r="AA366" i="9" s="1"/>
  <c r="AB368" i="9"/>
  <c r="AA368" i="9" s="1"/>
  <c r="AB369" i="9"/>
  <c r="AA369" i="9" s="1"/>
  <c r="AB370" i="9"/>
  <c r="AA370" i="9" s="1"/>
  <c r="AB371" i="9"/>
  <c r="AA371" i="9" s="1"/>
  <c r="AB372" i="9"/>
  <c r="AA372" i="9" s="1"/>
  <c r="AB373" i="9"/>
  <c r="AA373" i="9" s="1"/>
  <c r="AB374" i="9"/>
  <c r="AA374" i="9" s="1"/>
  <c r="AB375" i="9"/>
  <c r="AA375" i="9" s="1"/>
  <c r="AB376" i="9"/>
  <c r="AA376" i="9" s="1"/>
  <c r="AB377" i="9"/>
  <c r="AA377" i="9" s="1"/>
  <c r="AB378" i="9"/>
  <c r="AA378" i="9" s="1"/>
  <c r="AB379" i="9"/>
  <c r="AA379" i="9" s="1"/>
  <c r="AB380" i="9"/>
  <c r="AA380" i="9" s="1"/>
  <c r="AB381" i="9"/>
  <c r="AA381" i="9" s="1"/>
  <c r="AB382" i="9"/>
  <c r="AA382" i="9" s="1"/>
  <c r="AB383" i="9"/>
  <c r="AA383" i="9" s="1"/>
  <c r="AB384" i="9"/>
  <c r="AA384" i="9" s="1"/>
  <c r="AB385" i="9"/>
  <c r="AA385" i="9" s="1"/>
  <c r="AB386" i="9"/>
  <c r="AA386" i="9" s="1"/>
  <c r="AB387" i="9"/>
  <c r="AA387" i="9" s="1"/>
  <c r="AB388" i="9"/>
  <c r="AA388" i="9" s="1"/>
  <c r="AB389" i="9"/>
  <c r="AA389" i="9" s="1"/>
  <c r="AB390" i="9"/>
  <c r="AA390" i="9" s="1"/>
  <c r="AB391" i="9"/>
  <c r="AA391" i="9" s="1"/>
  <c r="AB392" i="9"/>
  <c r="AA392" i="9" s="1"/>
  <c r="AB393" i="9"/>
  <c r="AA393" i="9" s="1"/>
  <c r="AB394" i="9"/>
  <c r="AA394" i="9" s="1"/>
  <c r="AB395" i="9"/>
  <c r="AA395" i="9" s="1"/>
  <c r="AB396" i="9"/>
  <c r="AA396" i="9" s="1"/>
  <c r="AB397" i="9"/>
  <c r="AA397" i="9" s="1"/>
  <c r="AB398" i="9"/>
  <c r="AA398" i="9" s="1"/>
  <c r="W365" i="9"/>
  <c r="W366" i="9"/>
  <c r="W368" i="9"/>
  <c r="W369" i="9"/>
  <c r="W370" i="9"/>
  <c r="Y370" i="9" s="1"/>
  <c r="Z370" i="9" s="1"/>
  <c r="AC370" i="9" s="1"/>
  <c r="W371" i="9"/>
  <c r="Y371" i="9" s="1"/>
  <c r="Z371" i="9" s="1"/>
  <c r="AC371" i="9" s="1"/>
  <c r="W372" i="9"/>
  <c r="Y372" i="9" s="1"/>
  <c r="Z372" i="9" s="1"/>
  <c r="AC372" i="9" s="1"/>
  <c r="W373" i="9"/>
  <c r="Y373" i="9" s="1"/>
  <c r="Z373" i="9" s="1"/>
  <c r="AC373" i="9" s="1"/>
  <c r="W374" i="9"/>
  <c r="Y374" i="9" s="1"/>
  <c r="Z374" i="9" s="1"/>
  <c r="AC374" i="9" s="1"/>
  <c r="W375" i="9"/>
  <c r="Y375" i="9" s="1"/>
  <c r="Z375" i="9" s="1"/>
  <c r="AC375" i="9" s="1"/>
  <c r="W376" i="9"/>
  <c r="Y376" i="9" s="1"/>
  <c r="Z376" i="9" s="1"/>
  <c r="AC376" i="9" s="1"/>
  <c r="W377" i="9"/>
  <c r="Y377" i="9" s="1"/>
  <c r="Z377" i="9" s="1"/>
  <c r="AC377" i="9" s="1"/>
  <c r="W378" i="9"/>
  <c r="Y378" i="9" s="1"/>
  <c r="Z378" i="9" s="1"/>
  <c r="AC378" i="9" s="1"/>
  <c r="W379" i="9"/>
  <c r="Y379" i="9" s="1"/>
  <c r="Z379" i="9" s="1"/>
  <c r="AC379" i="9" s="1"/>
  <c r="W380" i="9"/>
  <c r="Y380" i="9" s="1"/>
  <c r="Z380" i="9" s="1"/>
  <c r="AC380" i="9" s="1"/>
  <c r="W381" i="9"/>
  <c r="Y381" i="9" s="1"/>
  <c r="Z381" i="9" s="1"/>
  <c r="AC381" i="9" s="1"/>
  <c r="W382" i="9"/>
  <c r="Y382" i="9" s="1"/>
  <c r="Z382" i="9" s="1"/>
  <c r="AC382" i="9" s="1"/>
  <c r="W383" i="9"/>
  <c r="Y383" i="9" s="1"/>
  <c r="Z383" i="9" s="1"/>
  <c r="AC383" i="9" s="1"/>
  <c r="W384" i="9"/>
  <c r="Y384" i="9" s="1"/>
  <c r="Z384" i="9" s="1"/>
  <c r="AC384" i="9" s="1"/>
  <c r="W385" i="9"/>
  <c r="Y385" i="9" s="1"/>
  <c r="Z385" i="9" s="1"/>
  <c r="AC385" i="9" s="1"/>
  <c r="W386" i="9"/>
  <c r="Y386" i="9" s="1"/>
  <c r="Z386" i="9" s="1"/>
  <c r="AC386" i="9" s="1"/>
  <c r="W387" i="9"/>
  <c r="Y387" i="9" s="1"/>
  <c r="Z387" i="9" s="1"/>
  <c r="AC387" i="9" s="1"/>
  <c r="W388" i="9"/>
  <c r="Y388" i="9" s="1"/>
  <c r="Z388" i="9" s="1"/>
  <c r="AC388" i="9" s="1"/>
  <c r="W389" i="9"/>
  <c r="Y389" i="9" s="1"/>
  <c r="Z389" i="9" s="1"/>
  <c r="AC389" i="9" s="1"/>
  <c r="W390" i="9"/>
  <c r="Y390" i="9" s="1"/>
  <c r="Z390" i="9" s="1"/>
  <c r="AC390" i="9" s="1"/>
  <c r="W391" i="9"/>
  <c r="Y391" i="9" s="1"/>
  <c r="Z391" i="9" s="1"/>
  <c r="AC391" i="9" s="1"/>
  <c r="W392" i="9"/>
  <c r="Y392" i="9" s="1"/>
  <c r="Z392" i="9" s="1"/>
  <c r="AC392" i="9" s="1"/>
  <c r="W393" i="9"/>
  <c r="Y393" i="9" s="1"/>
  <c r="Z393" i="9" s="1"/>
  <c r="AC393" i="9" s="1"/>
  <c r="W394" i="9"/>
  <c r="Y394" i="9" s="1"/>
  <c r="Z394" i="9" s="1"/>
  <c r="AC394" i="9" s="1"/>
  <c r="W395" i="9"/>
  <c r="Y395" i="9" s="1"/>
  <c r="Z395" i="9" s="1"/>
  <c r="AC395" i="9" s="1"/>
  <c r="W396" i="9"/>
  <c r="Y396" i="9" s="1"/>
  <c r="Z396" i="9" s="1"/>
  <c r="AC396" i="9" s="1"/>
  <c r="W397" i="9"/>
  <c r="Y397" i="9" s="1"/>
  <c r="Z397" i="9" s="1"/>
  <c r="AC397" i="9" s="1"/>
  <c r="W398" i="9"/>
  <c r="Y398" i="9" s="1"/>
  <c r="Z398" i="9" s="1"/>
  <c r="AC398" i="9" s="1"/>
  <c r="O397" i="9"/>
  <c r="O395" i="9"/>
  <c r="O393" i="9"/>
  <c r="O391" i="9"/>
  <c r="O389" i="9"/>
  <c r="O387" i="9"/>
  <c r="O385" i="9"/>
  <c r="O383" i="9"/>
  <c r="O381" i="9"/>
  <c r="O379" i="9"/>
  <c r="O377" i="9"/>
  <c r="O375" i="9"/>
  <c r="O373" i="9"/>
  <c r="O371" i="9"/>
  <c r="Y365" i="9" l="1"/>
  <c r="Z365" i="9" s="1"/>
  <c r="AC365" i="9" s="1"/>
  <c r="Y401" i="9"/>
  <c r="Y400" i="9"/>
  <c r="Z400" i="9" s="1"/>
  <c r="AC400" i="9" s="1"/>
  <c r="AD400" i="9" s="1"/>
  <c r="AE529" i="9"/>
  <c r="AE534" i="9"/>
  <c r="AE516" i="9"/>
  <c r="AE488" i="9"/>
  <c r="AE489" i="9"/>
  <c r="Y402" i="9"/>
  <c r="Z402" i="9" s="1"/>
  <c r="AC402" i="9" s="1"/>
  <c r="AE536" i="9"/>
  <c r="AE472" i="9"/>
  <c r="AE519" i="9"/>
  <c r="AE455" i="9"/>
  <c r="AE454" i="9"/>
  <c r="AE493" i="9"/>
  <c r="AE542" i="9"/>
  <c r="AE532" i="9"/>
  <c r="AE468" i="9"/>
  <c r="AE515" i="9"/>
  <c r="AE451" i="9"/>
  <c r="AE498" i="9"/>
  <c r="AE434" i="9"/>
  <c r="AE481" i="9"/>
  <c r="AE528" i="9"/>
  <c r="AE464" i="9"/>
  <c r="AE511" i="9"/>
  <c r="AE447" i="9"/>
  <c r="AE438" i="9"/>
  <c r="AE485" i="9"/>
  <c r="AE526" i="9"/>
  <c r="AE524" i="9"/>
  <c r="AE460" i="9"/>
  <c r="AE507" i="9"/>
  <c r="AE443" i="9"/>
  <c r="AE490" i="9"/>
  <c r="AE537" i="9"/>
  <c r="AE473" i="9"/>
  <c r="AE512" i="9"/>
  <c r="AE448" i="9"/>
  <c r="AE495" i="9"/>
  <c r="AE533" i="9"/>
  <c r="AE469" i="9"/>
  <c r="AE494" i="9"/>
  <c r="AE508" i="9"/>
  <c r="AE444" i="9"/>
  <c r="AE491" i="9"/>
  <c r="AE538" i="9"/>
  <c r="AE474" i="9"/>
  <c r="AE521" i="9"/>
  <c r="AE457" i="9"/>
  <c r="AE439" i="9"/>
  <c r="AE510" i="9"/>
  <c r="AE452" i="9"/>
  <c r="AE482" i="9"/>
  <c r="AE465" i="9"/>
  <c r="AE504" i="9"/>
  <c r="AE440" i="9"/>
  <c r="AE487" i="9"/>
  <c r="AE518" i="9"/>
  <c r="AE525" i="9"/>
  <c r="AE461" i="9"/>
  <c r="AE478" i="9"/>
  <c r="AE500" i="9"/>
  <c r="AE436" i="9"/>
  <c r="AE483" i="9"/>
  <c r="AE530" i="9"/>
  <c r="AE466" i="9"/>
  <c r="AE513" i="9"/>
  <c r="AE449" i="9"/>
  <c r="AE520" i="9"/>
  <c r="AE477" i="9"/>
  <c r="AE499" i="9"/>
  <c r="AD429" i="9"/>
  <c r="AD421" i="9"/>
  <c r="AD413" i="9"/>
  <c r="AE496" i="9"/>
  <c r="AE432" i="9"/>
  <c r="AE479" i="9"/>
  <c r="AE502" i="9"/>
  <c r="AE517" i="9"/>
  <c r="AE453" i="9"/>
  <c r="AE462" i="9"/>
  <c r="AE492" i="9"/>
  <c r="AE539" i="9"/>
  <c r="AE475" i="9"/>
  <c r="AE522" i="9"/>
  <c r="AE458" i="9"/>
  <c r="AE505" i="9"/>
  <c r="AE441" i="9"/>
  <c r="AE456" i="9"/>
  <c r="AD428" i="9"/>
  <c r="AD420" i="9"/>
  <c r="AD412" i="9"/>
  <c r="Y404" i="9"/>
  <c r="Z404" i="9" s="1"/>
  <c r="AC404" i="9" s="1"/>
  <c r="AD405" i="9" s="1"/>
  <c r="AE535" i="9"/>
  <c r="AE471" i="9"/>
  <c r="AE486" i="9"/>
  <c r="AE509" i="9"/>
  <c r="AE445" i="9"/>
  <c r="AE446" i="9"/>
  <c r="AE484" i="9"/>
  <c r="AE531" i="9"/>
  <c r="AE467" i="9"/>
  <c r="AE514" i="9"/>
  <c r="AE450" i="9"/>
  <c r="AE497" i="9"/>
  <c r="AE433" i="9"/>
  <c r="AE503" i="9"/>
  <c r="AE541" i="9"/>
  <c r="AE435" i="9"/>
  <c r="Y403" i="9"/>
  <c r="Z403" i="9" s="1"/>
  <c r="AC403" i="9" s="1"/>
  <c r="AE480" i="9"/>
  <c r="AE527" i="9"/>
  <c r="AE463" i="9"/>
  <c r="AE470" i="9"/>
  <c r="AE501" i="9"/>
  <c r="AE437" i="9"/>
  <c r="AE540" i="9"/>
  <c r="AE476" i="9"/>
  <c r="AE523" i="9"/>
  <c r="AE459" i="9"/>
  <c r="AE506" i="9"/>
  <c r="AE442" i="9"/>
  <c r="AD427" i="9"/>
  <c r="AD419" i="9"/>
  <c r="AD411" i="9"/>
  <c r="Z425" i="9"/>
  <c r="AC425" i="9" s="1"/>
  <c r="Z417" i="9"/>
  <c r="AC417" i="9" s="1"/>
  <c r="Z409" i="9"/>
  <c r="AC409" i="9" s="1"/>
  <c r="AD410" i="9" s="1"/>
  <c r="Z401" i="9"/>
  <c r="AC401" i="9" s="1"/>
  <c r="Y366" i="9"/>
  <c r="Z366" i="9" s="1"/>
  <c r="AC366" i="9" s="1"/>
  <c r="AD366" i="9" s="1"/>
  <c r="AD398" i="9"/>
  <c r="AD390" i="9"/>
  <c r="AD382" i="9"/>
  <c r="AD374" i="9"/>
  <c r="Y369" i="9"/>
  <c r="Z369" i="9" s="1"/>
  <c r="AC369" i="9" s="1"/>
  <c r="AD370" i="9" s="1"/>
  <c r="AC424" i="9"/>
  <c r="AD424" i="9" s="1"/>
  <c r="AC416" i="9"/>
  <c r="AD416" i="9" s="1"/>
  <c r="AC408" i="9"/>
  <c r="AD408" i="9" s="1"/>
  <c r="AC430" i="9"/>
  <c r="AD430" i="9" s="1"/>
  <c r="AC422" i="9"/>
  <c r="AD422" i="9" s="1"/>
  <c r="AC414" i="9"/>
  <c r="AD414" i="9" s="1"/>
  <c r="AC406" i="9"/>
  <c r="AD406" i="9" s="1"/>
  <c r="AD394" i="9"/>
  <c r="AD386" i="9"/>
  <c r="AD378" i="9"/>
  <c r="AD384" i="9"/>
  <c r="AD376" i="9"/>
  <c r="AD393" i="9"/>
  <c r="AD385" i="9"/>
  <c r="AD377" i="9"/>
  <c r="AD391" i="9"/>
  <c r="AD383" i="9"/>
  <c r="AD375" i="9"/>
  <c r="AD397" i="9"/>
  <c r="AD389" i="9"/>
  <c r="AD381" i="9"/>
  <c r="AD373" i="9"/>
  <c r="AD396" i="9"/>
  <c r="AD388" i="9"/>
  <c r="AD380" i="9"/>
  <c r="AD372" i="9"/>
  <c r="AD395" i="9"/>
  <c r="AD387" i="9"/>
  <c r="AD379" i="9"/>
  <c r="AD371" i="9"/>
  <c r="AD392" i="9"/>
  <c r="AD365" i="9"/>
  <c r="Y367" i="9"/>
  <c r="Z367" i="9" s="1"/>
  <c r="AC367" i="9" s="1"/>
  <c r="Y368" i="9"/>
  <c r="Z368" i="9" s="1"/>
  <c r="AC368" i="9" s="1"/>
  <c r="AD403" i="9" l="1"/>
  <c r="AD423" i="9"/>
  <c r="AD367" i="9"/>
  <c r="AD404" i="9"/>
  <c r="AD431" i="9"/>
  <c r="AD425" i="9"/>
  <c r="AD426" i="9"/>
  <c r="AD401" i="9"/>
  <c r="AD402" i="9"/>
  <c r="AD417" i="9"/>
  <c r="AD418" i="9"/>
  <c r="AD409" i="9"/>
  <c r="AD415" i="9"/>
  <c r="AD368" i="9"/>
  <c r="AD407" i="9"/>
  <c r="AD369" i="9"/>
  <c r="BT4" i="13"/>
  <c r="BT5" i="13"/>
  <c r="BT6" i="13"/>
  <c r="BT7" i="13"/>
  <c r="BT8" i="13"/>
  <c r="BT9" i="13"/>
  <c r="BT10" i="13"/>
  <c r="BT11" i="13"/>
  <c r="BT12" i="13"/>
  <c r="BT13" i="13"/>
  <c r="BT14" i="13"/>
  <c r="BT15" i="13"/>
  <c r="BT16" i="13"/>
  <c r="BT17" i="13"/>
  <c r="BT18" i="13"/>
  <c r="BT19" i="13"/>
  <c r="BT20" i="13"/>
  <c r="BT21" i="13"/>
  <c r="BT22" i="13"/>
  <c r="BT23" i="13"/>
  <c r="BT24" i="13"/>
  <c r="BT25" i="13"/>
  <c r="BT26" i="13"/>
  <c r="BV26" i="13" s="1"/>
  <c r="BT27" i="13"/>
  <c r="BT28" i="13"/>
  <c r="BT29" i="13"/>
  <c r="BT30" i="13"/>
  <c r="BT31" i="13"/>
  <c r="BT32" i="13"/>
  <c r="BT33" i="13"/>
  <c r="BT34" i="13"/>
  <c r="BT35" i="13"/>
  <c r="BT36" i="13"/>
  <c r="BT37" i="13"/>
  <c r="BT38" i="13"/>
  <c r="BT39" i="13"/>
  <c r="BT40" i="13"/>
  <c r="BT41" i="13"/>
  <c r="BT42" i="13"/>
  <c r="BV42" i="13" s="1"/>
  <c r="BT43" i="13"/>
  <c r="BT44" i="13"/>
  <c r="BT45" i="13"/>
  <c r="BT46" i="13"/>
  <c r="BT47" i="13"/>
  <c r="BT48" i="13"/>
  <c r="BT49" i="13"/>
  <c r="BT50" i="13"/>
  <c r="BT51" i="13"/>
  <c r="BT52" i="13"/>
  <c r="BT53" i="13"/>
  <c r="BT54" i="13"/>
  <c r="BT55" i="13"/>
  <c r="BT56" i="13"/>
  <c r="BT57" i="13"/>
  <c r="BT58" i="13"/>
  <c r="BV58" i="13" s="1"/>
  <c r="BT59" i="13"/>
  <c r="BT60" i="13"/>
  <c r="BT61" i="13"/>
  <c r="BT62" i="13"/>
  <c r="BT63" i="13"/>
  <c r="BT64" i="13"/>
  <c r="BT65" i="13"/>
  <c r="BT66" i="13"/>
  <c r="BT67" i="13"/>
  <c r="BT68" i="13"/>
  <c r="BT69" i="13"/>
  <c r="BT70" i="13"/>
  <c r="BT71" i="13"/>
  <c r="BT72" i="13"/>
  <c r="BT73" i="13"/>
  <c r="BT74" i="13"/>
  <c r="BV74" i="13" s="1"/>
  <c r="BT75" i="13"/>
  <c r="BT76" i="13"/>
  <c r="BT77" i="13"/>
  <c r="BT78" i="13"/>
  <c r="BT79" i="13"/>
  <c r="BT80" i="13"/>
  <c r="BT81" i="13"/>
  <c r="BT82" i="13"/>
  <c r="BT83" i="13"/>
  <c r="BT84" i="13"/>
  <c r="BT85" i="13"/>
  <c r="BT86" i="13"/>
  <c r="BT87" i="13"/>
  <c r="BT88" i="13"/>
  <c r="BT89" i="13"/>
  <c r="BT90" i="13"/>
  <c r="BT91" i="13"/>
  <c r="BT92" i="13"/>
  <c r="BT93" i="13"/>
  <c r="BT94" i="13"/>
  <c r="BT95" i="13"/>
  <c r="BT96" i="13"/>
  <c r="BT97" i="13"/>
  <c r="BT98" i="13"/>
  <c r="BT99" i="13"/>
  <c r="BT100" i="13"/>
  <c r="BT101" i="13"/>
  <c r="BT102" i="13"/>
  <c r="BT103" i="13"/>
  <c r="BU103" i="13" s="1"/>
  <c r="BT104" i="13"/>
  <c r="BT105" i="13"/>
  <c r="BT106" i="13"/>
  <c r="BT107" i="13"/>
  <c r="BT108" i="13"/>
  <c r="BT109" i="13"/>
  <c r="BT110" i="13"/>
  <c r="BT111" i="13"/>
  <c r="BT112" i="13"/>
  <c r="BT113" i="13"/>
  <c r="BU113" i="13" s="1"/>
  <c r="BT114" i="13"/>
  <c r="BV114" i="13" s="1"/>
  <c r="BT115" i="13"/>
  <c r="BT116" i="13"/>
  <c r="BT117" i="13"/>
  <c r="BT118" i="13"/>
  <c r="BT119" i="13"/>
  <c r="BT120" i="13"/>
  <c r="BT121" i="13"/>
  <c r="BT122" i="13"/>
  <c r="BT123" i="13"/>
  <c r="BT124" i="13"/>
  <c r="BT125" i="13"/>
  <c r="BT126" i="13"/>
  <c r="BT127" i="13"/>
  <c r="BT128" i="13"/>
  <c r="BT129" i="13"/>
  <c r="BT130" i="13"/>
  <c r="BT131" i="13"/>
  <c r="BT132" i="13"/>
  <c r="BT133" i="13"/>
  <c r="BT134" i="13"/>
  <c r="BT135" i="13"/>
  <c r="BT136" i="13"/>
  <c r="BT137" i="13"/>
  <c r="BT138" i="13"/>
  <c r="BT139" i="13"/>
  <c r="BT140" i="13"/>
  <c r="BT141" i="13"/>
  <c r="BT142" i="13"/>
  <c r="BT143" i="13"/>
  <c r="BT144" i="13"/>
  <c r="BT145" i="13"/>
  <c r="BT146" i="13"/>
  <c r="BT147" i="13"/>
  <c r="BT148" i="13"/>
  <c r="BT149" i="13"/>
  <c r="BT150" i="13"/>
  <c r="BT151" i="13"/>
  <c r="BT152" i="13"/>
  <c r="BT153" i="13"/>
  <c r="BT154" i="13"/>
  <c r="BT155" i="13"/>
  <c r="BT156" i="13"/>
  <c r="BT157" i="13"/>
  <c r="BT158" i="13"/>
  <c r="BV158" i="13" s="1"/>
  <c r="BX158" i="13" s="1"/>
  <c r="BT159" i="13"/>
  <c r="BT160" i="13"/>
  <c r="BT161" i="13"/>
  <c r="BT162" i="13"/>
  <c r="BT163" i="13"/>
  <c r="BT164" i="13"/>
  <c r="BT165" i="13"/>
  <c r="BT166" i="13"/>
  <c r="BT167" i="13"/>
  <c r="BT168" i="13"/>
  <c r="BT169" i="13"/>
  <c r="BT170" i="13"/>
  <c r="BT171" i="13"/>
  <c r="BT172" i="13"/>
  <c r="BT173" i="13"/>
  <c r="BT174" i="13"/>
  <c r="BT175" i="13"/>
  <c r="BT176" i="13"/>
  <c r="BT177" i="13"/>
  <c r="BT178" i="13"/>
  <c r="BT179" i="13"/>
  <c r="BT180" i="13"/>
  <c r="BT181" i="13"/>
  <c r="BT182" i="13"/>
  <c r="BT183" i="13"/>
  <c r="BT184" i="13"/>
  <c r="BT185" i="13"/>
  <c r="BT186" i="13"/>
  <c r="BT187" i="13"/>
  <c r="BT188" i="13"/>
  <c r="BT189" i="13"/>
  <c r="BT190" i="13"/>
  <c r="BV190" i="13" s="1"/>
  <c r="BX190" i="13" s="1"/>
  <c r="BT191" i="13"/>
  <c r="BT192" i="13"/>
  <c r="BT193" i="13"/>
  <c r="BT194" i="13"/>
  <c r="BT195" i="13"/>
  <c r="BT196" i="13"/>
  <c r="BT197" i="13"/>
  <c r="BT198" i="13"/>
  <c r="BT199" i="13"/>
  <c r="BT200" i="13"/>
  <c r="BT201" i="13"/>
  <c r="BT202" i="13"/>
  <c r="BT203" i="13"/>
  <c r="BT204" i="13"/>
  <c r="BT205" i="13"/>
  <c r="BT206" i="13"/>
  <c r="BT207" i="13"/>
  <c r="BT208" i="13"/>
  <c r="BT209" i="13"/>
  <c r="BT210" i="13"/>
  <c r="BT211" i="13"/>
  <c r="BT212" i="13"/>
  <c r="BT213" i="13"/>
  <c r="BT214" i="13"/>
  <c r="BT215" i="13"/>
  <c r="BT216" i="13"/>
  <c r="BT217" i="13"/>
  <c r="BT218" i="13"/>
  <c r="BT219" i="13"/>
  <c r="BT220" i="13"/>
  <c r="BT221" i="13"/>
  <c r="BT222" i="13"/>
  <c r="BV222" i="13" s="1"/>
  <c r="BX222" i="13" s="1"/>
  <c r="BT223" i="13"/>
  <c r="BT224" i="13"/>
  <c r="BT225" i="13"/>
  <c r="BT226" i="13"/>
  <c r="BT227" i="13"/>
  <c r="BT228" i="13"/>
  <c r="BT229" i="13"/>
  <c r="BT230" i="13"/>
  <c r="BT231" i="13"/>
  <c r="BT232" i="13"/>
  <c r="BT233" i="13"/>
  <c r="BT234" i="13"/>
  <c r="BT235" i="13"/>
  <c r="BT236" i="13"/>
  <c r="BT237" i="13"/>
  <c r="BT238" i="13"/>
  <c r="BT239" i="13"/>
  <c r="BT240" i="13"/>
  <c r="BT241" i="13"/>
  <c r="BT242" i="13"/>
  <c r="BT243" i="13"/>
  <c r="BT244" i="13"/>
  <c r="BT245" i="13"/>
  <c r="BT246" i="13"/>
  <c r="BT247" i="13"/>
  <c r="BT248" i="13"/>
  <c r="BT249" i="13"/>
  <c r="BT250" i="13"/>
  <c r="BT251" i="13"/>
  <c r="BT252" i="13"/>
  <c r="BT253" i="13"/>
  <c r="BT254" i="13"/>
  <c r="BV254" i="13" s="1"/>
  <c r="BX254" i="13" s="1"/>
  <c r="BT255" i="13"/>
  <c r="BT256" i="13"/>
  <c r="BT257" i="13"/>
  <c r="BT258" i="13"/>
  <c r="BT259" i="13"/>
  <c r="BT260" i="13"/>
  <c r="BT261" i="13"/>
  <c r="BT262" i="13"/>
  <c r="BT263" i="13"/>
  <c r="BT264" i="13"/>
  <c r="BT265" i="13"/>
  <c r="BT266" i="13"/>
  <c r="BT267" i="13"/>
  <c r="BT268" i="13"/>
  <c r="BT269" i="13"/>
  <c r="BT270" i="13"/>
  <c r="BT271" i="13"/>
  <c r="BT272" i="13"/>
  <c r="BT273" i="13"/>
  <c r="BT274" i="13"/>
  <c r="BT275" i="13"/>
  <c r="BT276" i="13"/>
  <c r="BT277" i="13"/>
  <c r="BT278" i="13"/>
  <c r="BT279" i="13"/>
  <c r="BT280" i="13"/>
  <c r="BT281" i="13"/>
  <c r="BT282" i="13"/>
  <c r="BT283" i="13"/>
  <c r="BT284" i="13"/>
  <c r="BT285" i="13"/>
  <c r="BT286" i="13"/>
  <c r="BV286" i="13" s="1"/>
  <c r="BX286" i="13" s="1"/>
  <c r="BT287" i="13"/>
  <c r="BT288" i="13"/>
  <c r="BT289" i="13"/>
  <c r="BT290" i="13"/>
  <c r="BT291" i="13"/>
  <c r="BT292" i="13"/>
  <c r="BT293" i="13"/>
  <c r="BT294" i="13"/>
  <c r="BT295" i="13"/>
  <c r="BT296" i="13"/>
  <c r="BT297" i="13"/>
  <c r="BT298" i="13"/>
  <c r="BT299" i="13"/>
  <c r="BT300" i="13"/>
  <c r="BT301" i="13"/>
  <c r="BT302" i="13"/>
  <c r="BT303" i="13"/>
  <c r="BT304" i="13"/>
  <c r="BT305" i="13"/>
  <c r="BT306" i="13"/>
  <c r="BT307" i="13"/>
  <c r="BT308" i="13"/>
  <c r="BT309" i="13"/>
  <c r="BT310" i="13"/>
  <c r="BT311" i="13"/>
  <c r="BT312" i="13"/>
  <c r="BT313" i="13"/>
  <c r="BT314" i="13"/>
  <c r="BT315" i="13"/>
  <c r="BT316" i="13"/>
  <c r="BT317" i="13"/>
  <c r="BT318" i="13"/>
  <c r="BV318" i="13" s="1"/>
  <c r="BX318" i="13" s="1"/>
  <c r="BT319" i="13"/>
  <c r="BT320" i="13"/>
  <c r="BT321" i="13"/>
  <c r="BT322" i="13"/>
  <c r="BT323" i="13"/>
  <c r="BT324" i="13"/>
  <c r="BT325" i="13"/>
  <c r="BT326" i="13"/>
  <c r="BT327" i="13"/>
  <c r="BT328" i="13"/>
  <c r="BT329" i="13"/>
  <c r="BT330" i="13"/>
  <c r="BT331" i="13"/>
  <c r="BT332" i="13"/>
  <c r="BT333" i="13"/>
  <c r="BT334" i="13"/>
  <c r="BT335" i="13"/>
  <c r="BT336" i="13"/>
  <c r="BT337" i="13"/>
  <c r="BT338" i="13"/>
  <c r="BT339" i="13"/>
  <c r="BT340" i="13"/>
  <c r="BT341" i="13"/>
  <c r="BT342" i="13"/>
  <c r="BT343" i="13"/>
  <c r="BT344" i="13"/>
  <c r="BT345" i="13"/>
  <c r="BT346" i="13"/>
  <c r="BT347" i="13"/>
  <c r="BT348" i="13"/>
  <c r="BT349" i="13"/>
  <c r="BT350" i="13"/>
  <c r="BT351" i="13"/>
  <c r="BT352" i="13"/>
  <c r="BT353" i="13"/>
  <c r="BT354" i="13"/>
  <c r="BT355" i="13"/>
  <c r="BT356" i="13"/>
  <c r="BT357" i="13"/>
  <c r="BT358" i="13"/>
  <c r="BT359" i="13"/>
  <c r="BT360" i="13"/>
  <c r="BT361" i="13"/>
  <c r="BT362" i="13"/>
  <c r="BT363" i="13"/>
  <c r="BT364" i="13"/>
  <c r="BT365" i="13"/>
  <c r="BT366" i="13"/>
  <c r="BT367" i="13"/>
  <c r="BT368" i="13"/>
  <c r="BT369" i="13"/>
  <c r="BT370" i="13"/>
  <c r="BT371" i="13"/>
  <c r="BT372" i="13"/>
  <c r="BT373" i="13"/>
  <c r="BT374" i="13"/>
  <c r="BT375" i="13"/>
  <c r="BT376" i="13"/>
  <c r="BT377" i="13"/>
  <c r="BT378" i="13"/>
  <c r="BT379" i="13"/>
  <c r="BT380" i="13"/>
  <c r="BT381" i="13"/>
  <c r="BT382" i="13"/>
  <c r="BT383" i="13"/>
  <c r="BT384" i="13"/>
  <c r="BT385" i="13"/>
  <c r="BT386" i="13"/>
  <c r="BT387" i="13"/>
  <c r="BT388" i="13"/>
  <c r="BT389" i="13"/>
  <c r="BT390" i="13"/>
  <c r="BT391" i="13"/>
  <c r="BT392" i="13"/>
  <c r="BT393" i="13"/>
  <c r="BT394" i="13"/>
  <c r="BT395" i="13"/>
  <c r="BT396" i="13"/>
  <c r="BT397" i="13"/>
  <c r="BT398" i="13"/>
  <c r="BT399" i="13"/>
  <c r="BT400" i="13"/>
  <c r="BT401" i="13"/>
  <c r="BT402" i="13"/>
  <c r="BT403" i="13"/>
  <c r="BT404" i="13"/>
  <c r="BT405" i="13"/>
  <c r="BT406" i="13"/>
  <c r="BT407" i="13"/>
  <c r="BT408" i="13"/>
  <c r="BT409" i="13"/>
  <c r="BT410" i="13"/>
  <c r="BT411" i="13"/>
  <c r="BT412" i="13"/>
  <c r="BT413" i="13"/>
  <c r="BT414" i="13"/>
  <c r="BT415" i="13"/>
  <c r="BT416" i="13"/>
  <c r="BT417" i="13"/>
  <c r="BT418" i="13"/>
  <c r="BT419" i="13"/>
  <c r="BT420" i="13"/>
  <c r="BT421" i="13"/>
  <c r="BT422" i="13"/>
  <c r="BT423" i="13"/>
  <c r="BT424" i="13"/>
  <c r="BT425" i="13"/>
  <c r="BT426" i="13"/>
  <c r="BT427" i="13"/>
  <c r="BT428" i="13"/>
  <c r="BT429" i="13"/>
  <c r="BT430" i="13"/>
  <c r="BT431" i="13"/>
  <c r="BT432" i="13"/>
  <c r="BT433" i="13"/>
  <c r="BT434" i="13"/>
  <c r="BT435" i="13"/>
  <c r="BT436" i="13"/>
  <c r="BT437" i="13"/>
  <c r="BT438" i="13"/>
  <c r="BT439" i="13"/>
  <c r="BT440" i="13"/>
  <c r="BT441" i="13"/>
  <c r="BT442" i="13"/>
  <c r="BT443" i="13"/>
  <c r="BT444" i="13"/>
  <c r="BT445" i="13"/>
  <c r="BT446" i="13"/>
  <c r="BT447" i="13"/>
  <c r="BT448" i="13"/>
  <c r="BT449" i="13"/>
  <c r="BT450" i="13"/>
  <c r="BT451" i="13"/>
  <c r="BT452" i="13"/>
  <c r="BT453" i="13"/>
  <c r="BT454" i="13"/>
  <c r="BT455" i="13"/>
  <c r="BT456" i="13"/>
  <c r="BT457" i="13"/>
  <c r="BT458" i="13"/>
  <c r="BT459" i="13"/>
  <c r="BT460" i="13"/>
  <c r="BT461" i="13"/>
  <c r="BT462" i="13"/>
  <c r="BT463" i="13"/>
  <c r="BT464" i="13"/>
  <c r="BT465" i="13"/>
  <c r="BT466" i="13"/>
  <c r="BT467" i="13"/>
  <c r="BT468" i="13"/>
  <c r="BT469" i="13"/>
  <c r="BT470" i="13"/>
  <c r="BT471" i="13"/>
  <c r="BT472" i="13"/>
  <c r="BT473" i="13"/>
  <c r="BT474" i="13"/>
  <c r="BT475" i="13"/>
  <c r="BT476" i="13"/>
  <c r="BT477" i="13"/>
  <c r="BT478" i="13"/>
  <c r="BT479" i="13"/>
  <c r="BT480" i="13"/>
  <c r="BT481" i="13"/>
  <c r="BT482" i="13"/>
  <c r="BT483" i="13"/>
  <c r="BT484" i="13"/>
  <c r="BT485" i="13"/>
  <c r="BT486" i="13"/>
  <c r="BT487" i="13"/>
  <c r="BT488" i="13"/>
  <c r="BT489" i="13"/>
  <c r="BT490" i="13"/>
  <c r="BT491" i="13"/>
  <c r="BT492" i="13"/>
  <c r="BT493" i="13"/>
  <c r="BT494" i="13"/>
  <c r="BT495" i="13"/>
  <c r="BT496" i="13"/>
  <c r="BT497" i="13"/>
  <c r="BT498" i="13"/>
  <c r="BT499" i="13"/>
  <c r="BT500" i="13"/>
  <c r="BT501" i="13"/>
  <c r="BT502" i="13"/>
  <c r="BT503" i="13"/>
  <c r="BT504" i="13"/>
  <c r="BT505" i="13"/>
  <c r="BT506" i="13"/>
  <c r="BT507" i="13"/>
  <c r="BT508" i="13"/>
  <c r="BT509" i="13"/>
  <c r="BT510" i="13"/>
  <c r="BT511" i="13"/>
  <c r="BT512" i="13"/>
  <c r="BT513" i="13"/>
  <c r="BT514" i="13"/>
  <c r="BT515" i="13"/>
  <c r="BT516" i="13"/>
  <c r="BT517" i="13"/>
  <c r="BT518" i="13"/>
  <c r="BT519" i="13"/>
  <c r="BT520" i="13"/>
  <c r="BT521" i="13"/>
  <c r="BT522" i="13"/>
  <c r="BT523" i="13"/>
  <c r="BT524" i="13"/>
  <c r="BT525" i="13"/>
  <c r="BT526" i="13"/>
  <c r="BT527" i="13"/>
  <c r="BT528" i="13"/>
  <c r="BT529" i="13"/>
  <c r="BT530" i="13"/>
  <c r="BT531" i="13"/>
  <c r="BT532" i="13"/>
  <c r="BT533" i="13"/>
  <c r="BT534" i="13"/>
  <c r="BT535" i="13"/>
  <c r="BT536" i="13"/>
  <c r="BT537" i="13"/>
  <c r="BT538" i="13"/>
  <c r="BT539" i="13"/>
  <c r="BT540" i="13"/>
  <c r="BT541" i="13"/>
  <c r="BT542" i="13"/>
  <c r="BT543" i="13"/>
  <c r="BT544" i="13"/>
  <c r="BT545" i="13"/>
  <c r="BT546" i="13"/>
  <c r="BT547" i="13"/>
  <c r="BT548" i="13"/>
  <c r="BT549" i="13"/>
  <c r="BT550" i="13"/>
  <c r="BT551" i="13"/>
  <c r="BT552" i="13"/>
  <c r="BT553" i="13"/>
  <c r="BT554" i="13"/>
  <c r="BT555" i="13"/>
  <c r="BT556" i="13"/>
  <c r="BT557" i="13"/>
  <c r="BT558" i="13"/>
  <c r="BT559" i="13"/>
  <c r="BT560" i="13"/>
  <c r="BT561" i="13"/>
  <c r="BT562" i="13"/>
  <c r="BT563" i="13"/>
  <c r="BT564" i="13"/>
  <c r="BT565" i="13"/>
  <c r="BT566" i="13"/>
  <c r="BT567" i="13"/>
  <c r="BT568" i="13"/>
  <c r="BT569" i="13"/>
  <c r="BT570" i="13"/>
  <c r="BT571" i="13"/>
  <c r="BT572" i="13"/>
  <c r="BT573" i="13"/>
  <c r="BT574" i="13"/>
  <c r="BT575" i="13"/>
  <c r="BT576" i="13"/>
  <c r="BT577" i="13"/>
  <c r="BT578" i="13"/>
  <c r="BT579" i="13"/>
  <c r="BT580" i="13"/>
  <c r="BT581" i="13"/>
  <c r="BT582" i="13"/>
  <c r="BT583" i="13"/>
  <c r="BT584" i="13"/>
  <c r="BT585" i="13"/>
  <c r="BT586" i="13"/>
  <c r="BT587" i="13"/>
  <c r="BT588" i="13"/>
  <c r="BT589" i="13"/>
  <c r="BT590" i="13"/>
  <c r="BT591" i="13"/>
  <c r="BT592" i="13"/>
  <c r="BT593" i="13"/>
  <c r="BT594" i="13"/>
  <c r="BT595" i="13"/>
  <c r="BT596" i="13"/>
  <c r="BT597" i="13"/>
  <c r="BT598" i="13"/>
  <c r="BT599" i="13"/>
  <c r="BT600" i="13"/>
  <c r="BT601" i="13"/>
  <c r="BT602" i="13"/>
  <c r="BT603" i="13"/>
  <c r="BT604" i="13"/>
  <c r="BT605" i="13"/>
  <c r="BT606" i="13"/>
  <c r="BT607" i="13"/>
  <c r="BT608" i="13"/>
  <c r="BT609" i="13"/>
  <c r="BT610" i="13"/>
  <c r="BT611" i="13"/>
  <c r="BT612" i="13"/>
  <c r="BT613" i="13"/>
  <c r="BT614" i="13"/>
  <c r="BT615" i="13"/>
  <c r="BT616" i="13"/>
  <c r="BT617" i="13"/>
  <c r="BT618" i="13"/>
  <c r="BT619" i="13"/>
  <c r="BT620" i="13"/>
  <c r="BT621" i="13"/>
  <c r="BT622" i="13"/>
  <c r="BT623" i="13"/>
  <c r="BT624" i="13"/>
  <c r="BT625" i="13"/>
  <c r="BT626" i="13"/>
  <c r="BT627" i="13"/>
  <c r="BT628" i="13"/>
  <c r="BT629" i="13"/>
  <c r="BT630" i="13"/>
  <c r="BT631" i="13"/>
  <c r="BT632" i="13"/>
  <c r="BT633" i="13"/>
  <c r="BT634" i="13"/>
  <c r="BT635" i="13"/>
  <c r="BT636" i="13"/>
  <c r="BT637" i="13"/>
  <c r="BT638" i="13"/>
  <c r="BT639" i="13"/>
  <c r="BT640" i="13"/>
  <c r="BT641" i="13"/>
  <c r="BT642" i="13"/>
  <c r="BT643" i="13"/>
  <c r="BT644" i="13"/>
  <c r="BT645" i="13"/>
  <c r="BT646" i="13"/>
  <c r="BT647" i="13"/>
  <c r="BT648" i="13"/>
  <c r="BT649" i="13"/>
  <c r="BT650" i="13"/>
  <c r="BT651" i="13"/>
  <c r="BT652" i="13"/>
  <c r="BT653" i="13"/>
  <c r="BT654" i="13"/>
  <c r="BT655" i="13"/>
  <c r="BT656" i="13"/>
  <c r="BT657" i="13"/>
  <c r="BT658" i="13"/>
  <c r="BT659" i="13"/>
  <c r="BT660" i="13"/>
  <c r="BT661" i="13"/>
  <c r="BT662" i="13"/>
  <c r="BT663" i="13"/>
  <c r="BT664" i="13"/>
  <c r="BT665" i="13"/>
  <c r="BT666" i="13"/>
  <c r="BT667" i="13"/>
  <c r="BT668" i="13"/>
  <c r="BT669" i="13"/>
  <c r="BT670" i="13"/>
  <c r="BT671" i="13"/>
  <c r="BT672" i="13"/>
  <c r="BT673" i="13"/>
  <c r="BT674" i="13"/>
  <c r="BT675" i="13"/>
  <c r="BT676" i="13"/>
  <c r="BT677" i="13"/>
  <c r="BT678" i="13"/>
  <c r="BT679" i="13"/>
  <c r="BT680" i="13"/>
  <c r="BT681" i="13"/>
  <c r="BT682" i="13"/>
  <c r="BT683" i="13"/>
  <c r="BT684" i="13"/>
  <c r="BT685" i="13"/>
  <c r="BT686" i="13"/>
  <c r="BT687" i="13"/>
  <c r="BT688" i="13"/>
  <c r="BT689" i="13"/>
  <c r="BT690" i="13"/>
  <c r="BT691" i="13"/>
  <c r="BT692" i="13"/>
  <c r="BT693" i="13"/>
  <c r="BT694" i="13"/>
  <c r="BT695" i="13"/>
  <c r="BT696" i="13"/>
  <c r="BT697" i="13"/>
  <c r="BT698" i="13"/>
  <c r="BT699" i="13"/>
  <c r="BT700" i="13"/>
  <c r="BT701" i="13"/>
  <c r="BT702" i="13"/>
  <c r="BT703" i="13"/>
  <c r="BT704" i="13"/>
  <c r="BT705" i="13"/>
  <c r="BT706" i="13"/>
  <c r="BT707" i="13"/>
  <c r="BT708" i="13"/>
  <c r="BT709" i="13"/>
  <c r="BT710" i="13"/>
  <c r="BT711" i="13"/>
  <c r="BT712" i="13"/>
  <c r="BT713" i="13"/>
  <c r="BT714" i="13"/>
  <c r="BT715" i="13"/>
  <c r="BT716" i="13"/>
  <c r="BT717" i="13"/>
  <c r="BT718" i="13"/>
  <c r="BT719" i="13"/>
  <c r="BT720" i="13"/>
  <c r="BT721" i="13"/>
  <c r="BT722" i="13"/>
  <c r="BT723" i="13"/>
  <c r="BT724" i="13"/>
  <c r="BT725" i="13"/>
  <c r="BT726" i="13"/>
  <c r="BT727" i="13"/>
  <c r="BT728" i="13"/>
  <c r="BT729" i="13"/>
  <c r="BT730" i="13"/>
  <c r="BT731" i="13"/>
  <c r="BT732" i="13"/>
  <c r="BT733" i="13"/>
  <c r="BT734" i="13"/>
  <c r="BT735" i="13"/>
  <c r="BT736" i="13"/>
  <c r="BT737" i="13"/>
  <c r="BT738" i="13"/>
  <c r="BT739" i="13"/>
  <c r="BT740" i="13"/>
  <c r="BT741" i="13"/>
  <c r="BT742" i="13"/>
  <c r="BT743" i="13"/>
  <c r="BT744" i="13"/>
  <c r="BT745" i="13"/>
  <c r="BT746" i="13"/>
  <c r="BT747" i="13"/>
  <c r="BT748" i="13"/>
  <c r="BT749" i="13"/>
  <c r="BT750" i="13"/>
  <c r="BT751" i="13"/>
  <c r="BT752" i="13"/>
  <c r="BT753" i="13"/>
  <c r="BT754" i="13"/>
  <c r="BT755" i="13"/>
  <c r="BT756" i="13"/>
  <c r="BT757" i="13"/>
  <c r="BT758" i="13"/>
  <c r="BT759" i="13"/>
  <c r="BT760" i="13"/>
  <c r="BT761" i="13"/>
  <c r="BT762" i="13"/>
  <c r="BT763" i="13"/>
  <c r="BT764" i="13"/>
  <c r="BT765" i="13"/>
  <c r="BT766" i="13"/>
  <c r="BT767" i="13"/>
  <c r="BT768" i="13"/>
  <c r="BT769" i="13"/>
  <c r="BT770" i="13"/>
  <c r="BT771" i="13"/>
  <c r="BT772" i="13"/>
  <c r="BT773" i="13"/>
  <c r="BT774" i="13"/>
  <c r="BT775" i="13"/>
  <c r="BT776" i="13"/>
  <c r="BT777" i="13"/>
  <c r="BT778" i="13"/>
  <c r="BT779" i="13"/>
  <c r="BT780" i="13"/>
  <c r="BT781" i="13"/>
  <c r="BT782" i="13"/>
  <c r="BT783" i="13"/>
  <c r="BT784" i="13"/>
  <c r="BT785" i="13"/>
  <c r="BT786" i="13"/>
  <c r="BT787" i="13"/>
  <c r="BT788" i="13"/>
  <c r="BT789" i="13"/>
  <c r="BT790" i="13"/>
  <c r="BT791" i="13"/>
  <c r="BT792" i="13"/>
  <c r="BT793" i="13"/>
  <c r="BT794" i="13"/>
  <c r="BT795" i="13"/>
  <c r="BT796" i="13"/>
  <c r="BT797" i="13"/>
  <c r="BT798" i="13"/>
  <c r="BT799" i="13"/>
  <c r="BT800" i="13"/>
  <c r="BT801" i="13"/>
  <c r="BT802" i="13"/>
  <c r="BT803" i="13"/>
  <c r="BT804" i="13"/>
  <c r="BT805" i="13"/>
  <c r="BT806" i="13"/>
  <c r="BT807" i="13"/>
  <c r="BT808" i="13"/>
  <c r="BT809" i="13"/>
  <c r="BT810" i="13"/>
  <c r="BT811" i="13"/>
  <c r="BT812" i="13"/>
  <c r="BT813" i="13"/>
  <c r="BT814" i="13"/>
  <c r="BT815" i="13"/>
  <c r="BT816" i="13"/>
  <c r="BT817" i="13"/>
  <c r="BT818" i="13"/>
  <c r="BT819" i="13"/>
  <c r="BT820" i="13"/>
  <c r="BT821" i="13"/>
  <c r="BT822" i="13"/>
  <c r="BT823" i="13"/>
  <c r="BT824" i="13"/>
  <c r="BT825" i="13"/>
  <c r="BT826" i="13"/>
  <c r="BT827" i="13"/>
  <c r="BT828" i="13"/>
  <c r="BT829" i="13"/>
  <c r="BT830" i="13"/>
  <c r="BT831" i="13"/>
  <c r="BT832" i="13"/>
  <c r="BT833" i="13"/>
  <c r="BT834" i="13"/>
  <c r="BT835" i="13"/>
  <c r="BT836" i="13"/>
  <c r="BT837" i="13"/>
  <c r="BT838" i="13"/>
  <c r="BT839" i="13"/>
  <c r="BT840" i="13"/>
  <c r="BT841" i="13"/>
  <c r="BT842" i="13"/>
  <c r="BT843" i="13"/>
  <c r="BT844" i="13"/>
  <c r="BT845" i="13"/>
  <c r="BT846" i="13"/>
  <c r="BT847" i="13"/>
  <c r="BT848" i="13"/>
  <c r="BT849" i="13"/>
  <c r="BT850" i="13"/>
  <c r="BT851" i="13"/>
  <c r="BT852" i="13"/>
  <c r="BT853" i="13"/>
  <c r="BT854" i="13"/>
  <c r="BT855" i="13"/>
  <c r="BT856" i="13"/>
  <c r="BT857" i="13"/>
  <c r="BT858" i="13"/>
  <c r="BT859" i="13"/>
  <c r="BT860" i="13"/>
  <c r="BT861" i="13"/>
  <c r="BT862" i="13"/>
  <c r="BT863" i="13"/>
  <c r="BT864" i="13"/>
  <c r="BT865" i="13"/>
  <c r="BT866" i="13"/>
  <c r="BT867" i="13"/>
  <c r="BT868" i="13"/>
  <c r="BT869" i="13"/>
  <c r="BT870" i="13"/>
  <c r="BT871" i="13"/>
  <c r="BT872" i="13"/>
  <c r="BT873" i="13"/>
  <c r="BT874" i="13"/>
  <c r="BT875" i="13"/>
  <c r="BT876" i="13"/>
  <c r="BT877" i="13"/>
  <c r="BT878" i="13"/>
  <c r="BT879" i="13"/>
  <c r="BT880" i="13"/>
  <c r="BT881" i="13"/>
  <c r="BT882" i="13"/>
  <c r="BT883" i="13"/>
  <c r="BT884" i="13"/>
  <c r="BT885" i="13"/>
  <c r="BT886" i="13"/>
  <c r="BT887" i="13"/>
  <c r="BT888" i="13"/>
  <c r="BT889" i="13"/>
  <c r="BT890" i="13"/>
  <c r="BT891" i="13"/>
  <c r="BT892" i="13"/>
  <c r="BT893" i="13"/>
  <c r="BT894" i="13"/>
  <c r="BT895" i="13"/>
  <c r="BT896" i="13"/>
  <c r="BT897" i="13"/>
  <c r="BT898" i="13"/>
  <c r="BT899" i="13"/>
  <c r="BT900" i="13"/>
  <c r="BT901" i="13"/>
  <c r="BT902" i="13"/>
  <c r="BT903" i="13"/>
  <c r="BT904" i="13"/>
  <c r="BT905" i="13"/>
  <c r="BT906" i="13"/>
  <c r="BT907" i="13"/>
  <c r="BT908" i="13"/>
  <c r="BT909" i="13"/>
  <c r="BT910" i="13"/>
  <c r="BT911" i="13"/>
  <c r="BT912" i="13"/>
  <c r="BT913" i="13"/>
  <c r="BT914" i="13"/>
  <c r="BT915" i="13"/>
  <c r="BT916" i="13"/>
  <c r="BT917" i="13"/>
  <c r="BT918" i="13"/>
  <c r="BT919" i="13"/>
  <c r="BT920" i="13"/>
  <c r="BT921" i="13"/>
  <c r="BT922" i="13"/>
  <c r="BT923" i="13"/>
  <c r="BT924" i="13"/>
  <c r="BT925" i="13"/>
  <c r="BT926" i="13"/>
  <c r="BT927" i="13"/>
  <c r="BT928" i="13"/>
  <c r="BT929" i="13"/>
  <c r="BT930" i="13"/>
  <c r="BT931" i="13"/>
  <c r="BT932" i="13"/>
  <c r="BT933" i="13"/>
  <c r="BT934" i="13"/>
  <c r="BT935" i="13"/>
  <c r="BT936" i="13"/>
  <c r="BT937" i="13"/>
  <c r="BT938" i="13"/>
  <c r="BT939" i="13"/>
  <c r="BT940" i="13"/>
  <c r="BT941" i="13"/>
  <c r="BT942" i="13"/>
  <c r="BT943" i="13"/>
  <c r="BT944" i="13"/>
  <c r="BT945" i="13"/>
  <c r="BT946" i="13"/>
  <c r="BT947" i="13"/>
  <c r="BT948" i="13"/>
  <c r="BT949" i="13"/>
  <c r="BT950" i="13"/>
  <c r="BV950" i="13" s="1"/>
  <c r="BX950" i="13" s="1"/>
  <c r="BT951" i="13"/>
  <c r="BT952" i="13"/>
  <c r="BT953" i="13"/>
  <c r="BT954" i="13"/>
  <c r="BT955" i="13"/>
  <c r="BT956" i="13"/>
  <c r="BT957" i="13"/>
  <c r="BT958" i="13"/>
  <c r="BT959" i="13"/>
  <c r="BT960" i="13"/>
  <c r="BT961" i="13"/>
  <c r="BT962" i="13"/>
  <c r="BT963" i="13"/>
  <c r="BT964" i="13"/>
  <c r="BT965" i="13"/>
  <c r="BT966" i="13"/>
  <c r="BT967" i="13"/>
  <c r="BT968" i="13"/>
  <c r="BT969" i="13"/>
  <c r="BT970" i="13"/>
  <c r="BT971" i="13"/>
  <c r="BT972" i="13"/>
  <c r="BT973" i="13"/>
  <c r="BT974" i="13"/>
  <c r="BT975" i="13"/>
  <c r="BT976" i="13"/>
  <c r="BT977" i="13"/>
  <c r="BT978" i="13"/>
  <c r="BT979" i="13"/>
  <c r="BT980" i="13"/>
  <c r="BT981" i="13"/>
  <c r="BT982" i="13"/>
  <c r="BT983" i="13"/>
  <c r="BT984" i="13"/>
  <c r="BT985" i="13"/>
  <c r="BT986" i="13"/>
  <c r="BT987" i="13"/>
  <c r="BT988" i="13"/>
  <c r="BT989" i="13"/>
  <c r="BT990" i="13"/>
  <c r="BT991" i="13"/>
  <c r="BT992" i="13"/>
  <c r="BT993" i="13"/>
  <c r="BT994" i="13"/>
  <c r="BT995" i="13"/>
  <c r="BT996" i="13"/>
  <c r="BT997" i="13"/>
  <c r="BT998" i="13"/>
  <c r="BT999" i="13"/>
  <c r="BT1000" i="13"/>
  <c r="BT1001" i="13"/>
  <c r="BT1002" i="13"/>
  <c r="BT1003" i="13"/>
  <c r="BT1004" i="13"/>
  <c r="BT1005" i="13"/>
  <c r="BT1006" i="13"/>
  <c r="BT1007" i="13"/>
  <c r="BT1008" i="13"/>
  <c r="BT1009" i="13"/>
  <c r="BT1010" i="13"/>
  <c r="BT1011" i="13"/>
  <c r="BT1012" i="13"/>
  <c r="BT1013" i="13"/>
  <c r="BT1014" i="13"/>
  <c r="BT1015" i="13"/>
  <c r="BT1016" i="13"/>
  <c r="BT1017" i="13"/>
  <c r="BT1018" i="13"/>
  <c r="BT1019" i="13"/>
  <c r="BT1020" i="13"/>
  <c r="BT1021" i="13"/>
  <c r="BT1022" i="13"/>
  <c r="BT1023" i="13"/>
  <c r="BT1024" i="13"/>
  <c r="BT1025" i="13"/>
  <c r="BT1026" i="13"/>
  <c r="BT1027" i="13"/>
  <c r="BT1028" i="13"/>
  <c r="BT1029" i="13"/>
  <c r="BT1030" i="13"/>
  <c r="BT1031" i="13"/>
  <c r="BT1032" i="13"/>
  <c r="BT1033" i="13"/>
  <c r="BT1034" i="13"/>
  <c r="BT1035" i="13"/>
  <c r="BT1036" i="13"/>
  <c r="BT1037" i="13"/>
  <c r="BT1038" i="13"/>
  <c r="BT1039" i="13"/>
  <c r="BT1040" i="13"/>
  <c r="BT1041" i="13"/>
  <c r="BT1042" i="13"/>
  <c r="BT1043" i="13"/>
  <c r="BT1044" i="13"/>
  <c r="BT1045" i="13"/>
  <c r="BT1046" i="13"/>
  <c r="BT1047" i="13"/>
  <c r="BT1048" i="13"/>
  <c r="BT1049" i="13"/>
  <c r="BT1050" i="13"/>
  <c r="BT1051" i="13"/>
  <c r="BT1052" i="13"/>
  <c r="BT1053" i="13"/>
  <c r="BT1054" i="13"/>
  <c r="BT1055" i="13"/>
  <c r="BT1056" i="13"/>
  <c r="BT1057" i="13"/>
  <c r="BT1058" i="13"/>
  <c r="BT1059" i="13"/>
  <c r="BT1060" i="13"/>
  <c r="BT1061" i="13"/>
  <c r="BT1062" i="13"/>
  <c r="BT1063" i="13"/>
  <c r="BT1064" i="13"/>
  <c r="BT1065" i="13"/>
  <c r="BT1066" i="13"/>
  <c r="BT1067" i="13"/>
  <c r="BT1068" i="13"/>
  <c r="BT1069" i="13"/>
  <c r="BT1070" i="13"/>
  <c r="BT1071" i="13"/>
  <c r="BT1072" i="13"/>
  <c r="BT1073" i="13"/>
  <c r="BT1074" i="13"/>
  <c r="BT1075" i="13"/>
  <c r="BT1076" i="13"/>
  <c r="BT1077" i="13"/>
  <c r="BT1078" i="13"/>
  <c r="BT1079" i="13"/>
  <c r="BT1080" i="13"/>
  <c r="BT1081" i="13"/>
  <c r="BT1082" i="13"/>
  <c r="BT1083" i="13"/>
  <c r="BT1084" i="13"/>
  <c r="BT1085" i="13"/>
  <c r="BT1086" i="13"/>
  <c r="BT1087" i="13"/>
  <c r="BT1088" i="13"/>
  <c r="BT1089" i="13"/>
  <c r="BT1090" i="13"/>
  <c r="BT1091" i="13"/>
  <c r="BT1092" i="13"/>
  <c r="BT1093" i="13"/>
  <c r="BT1094" i="13"/>
  <c r="BT1095" i="13"/>
  <c r="BT1096" i="13"/>
  <c r="BT1097" i="13"/>
  <c r="BT1098" i="13"/>
  <c r="BT1099" i="13"/>
  <c r="BT1100" i="13"/>
  <c r="BT1101" i="13"/>
  <c r="BT1102" i="13"/>
  <c r="BT1103" i="13"/>
  <c r="BT1104" i="13"/>
  <c r="BT1105" i="13"/>
  <c r="BT1106" i="13"/>
  <c r="BT1107" i="13"/>
  <c r="BT1108" i="13"/>
  <c r="BT1109" i="13"/>
  <c r="BT1110" i="13"/>
  <c r="BT1111" i="13"/>
  <c r="BT1112" i="13"/>
  <c r="BT1113" i="13"/>
  <c r="BT1114" i="13"/>
  <c r="BT1115" i="13"/>
  <c r="BT1116" i="13"/>
  <c r="BT1117" i="13"/>
  <c r="BT1118" i="13"/>
  <c r="BT1119" i="13"/>
  <c r="BT1120" i="13"/>
  <c r="BT1121" i="13"/>
  <c r="BT1122" i="13"/>
  <c r="BT1123" i="13"/>
  <c r="BT1124" i="13"/>
  <c r="BT1125" i="13"/>
  <c r="BT1126" i="13"/>
  <c r="BT1127" i="13"/>
  <c r="BT1128" i="13"/>
  <c r="BT1129" i="13"/>
  <c r="BT1130" i="13"/>
  <c r="BT1131" i="13"/>
  <c r="BT1132" i="13"/>
  <c r="BT1133" i="13"/>
  <c r="BT1134" i="13"/>
  <c r="BT1135" i="13"/>
  <c r="BT1136" i="13"/>
  <c r="BT1137" i="13"/>
  <c r="BT1138" i="13"/>
  <c r="BT1139" i="13"/>
  <c r="BT1140" i="13"/>
  <c r="BT1141" i="13"/>
  <c r="BT1142" i="13"/>
  <c r="BT1143" i="13"/>
  <c r="BT1144" i="13"/>
  <c r="BT1145" i="13"/>
  <c r="BT1146" i="13"/>
  <c r="BT1147" i="13"/>
  <c r="BT1148" i="13"/>
  <c r="BT1149" i="13"/>
  <c r="BT1150" i="13"/>
  <c r="BT1151" i="13"/>
  <c r="BT1152" i="13"/>
  <c r="BT1153" i="13"/>
  <c r="BT1154" i="13"/>
  <c r="BT1155" i="13"/>
  <c r="BT1156" i="13"/>
  <c r="BT1157" i="13"/>
  <c r="BT1158" i="13"/>
  <c r="BT1159" i="13"/>
  <c r="BT1160" i="13"/>
  <c r="BT1161" i="13"/>
  <c r="BT1162" i="13"/>
  <c r="BT1163" i="13"/>
  <c r="BT1164" i="13"/>
  <c r="BT1165" i="13"/>
  <c r="BT1166" i="13"/>
  <c r="BT1167" i="13"/>
  <c r="BT1168" i="13"/>
  <c r="BT1169" i="13"/>
  <c r="BT1170" i="13"/>
  <c r="BT1171" i="13"/>
  <c r="BT1172" i="13"/>
  <c r="BT1173" i="13"/>
  <c r="BT1174" i="13"/>
  <c r="BT1175" i="13"/>
  <c r="BT1176" i="13"/>
  <c r="BT1177" i="13"/>
  <c r="BT1178" i="13"/>
  <c r="BT1179" i="13"/>
  <c r="BT1180" i="13"/>
  <c r="BT1181" i="13"/>
  <c r="BT1182" i="13"/>
  <c r="BV1182" i="13" s="1"/>
  <c r="BX1182" i="13" s="1"/>
  <c r="BT1183" i="13"/>
  <c r="BT1184" i="13"/>
  <c r="BT1185" i="13"/>
  <c r="BT1186" i="13"/>
  <c r="BT1187" i="13"/>
  <c r="BT1188" i="13"/>
  <c r="BT1189" i="13"/>
  <c r="BT1190" i="13"/>
  <c r="BT1191" i="13"/>
  <c r="BT1192" i="13"/>
  <c r="BT1193" i="13"/>
  <c r="BT1194" i="13"/>
  <c r="BT1195" i="13"/>
  <c r="BT1196" i="13"/>
  <c r="BT1197" i="13"/>
  <c r="BT1198" i="13"/>
  <c r="BT1199" i="13"/>
  <c r="BT1200" i="13"/>
  <c r="BT1201" i="13"/>
  <c r="BT1202" i="13"/>
  <c r="BT1203" i="13"/>
  <c r="BT1204" i="13"/>
  <c r="BT1205" i="13"/>
  <c r="BT1206" i="13"/>
  <c r="BT1207" i="13"/>
  <c r="BT1208" i="13"/>
  <c r="BT1209" i="13"/>
  <c r="BT1210" i="13"/>
  <c r="BT1211" i="13"/>
  <c r="BT1212" i="13"/>
  <c r="BT1213" i="13"/>
  <c r="BT1214" i="13"/>
  <c r="BT1215" i="13"/>
  <c r="BT1216" i="13"/>
  <c r="BT1217" i="13"/>
  <c r="BT1218" i="13"/>
  <c r="BT1219" i="13"/>
  <c r="BT1220" i="13"/>
  <c r="BT1221" i="13"/>
  <c r="BT1222" i="13"/>
  <c r="BT1223" i="13"/>
  <c r="BT1224" i="13"/>
  <c r="BT1225" i="13"/>
  <c r="BT1226" i="13"/>
  <c r="BT1227" i="13"/>
  <c r="BT1228" i="13"/>
  <c r="BT1229" i="13"/>
  <c r="BT1230" i="13"/>
  <c r="BT1231" i="13"/>
  <c r="BT1232" i="13"/>
  <c r="BT1233" i="13"/>
  <c r="BT1234" i="13"/>
  <c r="BT1235" i="13"/>
  <c r="BT1236" i="13"/>
  <c r="BT1237" i="13"/>
  <c r="BT1238" i="13"/>
  <c r="BT1239" i="13"/>
  <c r="BT1240" i="13"/>
  <c r="BT1241" i="13"/>
  <c r="BT1242" i="13"/>
  <c r="BT1243" i="13"/>
  <c r="BT1244" i="13"/>
  <c r="BT1245" i="13"/>
  <c r="BT1246" i="13"/>
  <c r="BT1247" i="13"/>
  <c r="BT1248" i="13"/>
  <c r="BT1249" i="13"/>
  <c r="BT1250" i="13"/>
  <c r="BT1251" i="13"/>
  <c r="BT1252" i="13"/>
  <c r="BT1253" i="13"/>
  <c r="BT1254" i="13"/>
  <c r="BT1255" i="13"/>
  <c r="BT1256" i="13"/>
  <c r="BT1257" i="13"/>
  <c r="BT1258" i="13"/>
  <c r="BT1259" i="13"/>
  <c r="BT1260" i="13"/>
  <c r="BT1261" i="13"/>
  <c r="BT1262" i="13"/>
  <c r="BT1263" i="13"/>
  <c r="BT1264" i="13"/>
  <c r="BT1265" i="13"/>
  <c r="BT1266" i="13"/>
  <c r="BT1267" i="13"/>
  <c r="BT1268" i="13"/>
  <c r="BT1269" i="13"/>
  <c r="BT1270" i="13"/>
  <c r="BT1271" i="13"/>
  <c r="BT1272" i="13"/>
  <c r="BT1273" i="13"/>
  <c r="BT1274" i="13"/>
  <c r="BT1275" i="13"/>
  <c r="BT1276" i="13"/>
  <c r="BT1277" i="13"/>
  <c r="BT1278" i="13"/>
  <c r="BT1279" i="13"/>
  <c r="BT1280" i="13"/>
  <c r="BT1281" i="13"/>
  <c r="BT1282" i="13"/>
  <c r="BT1283" i="13"/>
  <c r="BT1284" i="13"/>
  <c r="BT1285" i="13"/>
  <c r="BT1286" i="13"/>
  <c r="BT1287" i="13"/>
  <c r="BT1288" i="13"/>
  <c r="BT1289" i="13"/>
  <c r="BT1290" i="13"/>
  <c r="BT1291" i="13"/>
  <c r="BT1292" i="13"/>
  <c r="BT1293" i="13"/>
  <c r="BT1294" i="13"/>
  <c r="BT1295" i="13"/>
  <c r="BT1296" i="13"/>
  <c r="BT1297" i="13"/>
  <c r="BT1298" i="13"/>
  <c r="BT1299" i="13"/>
  <c r="BT1300" i="13"/>
  <c r="BT1301" i="13"/>
  <c r="BT1302" i="13"/>
  <c r="BT1303" i="13"/>
  <c r="BT1304" i="13"/>
  <c r="BT1305" i="13"/>
  <c r="BT3" i="13"/>
  <c r="BU3" i="13" s="1"/>
  <c r="AE395" i="9" l="1"/>
  <c r="AE423" i="9"/>
  <c r="AE410" i="9"/>
  <c r="AE407" i="9"/>
  <c r="AE428" i="9"/>
  <c r="AE399" i="9"/>
  <c r="AE419" i="9"/>
  <c r="AE405" i="9"/>
  <c r="AE426" i="9"/>
  <c r="AE403" i="9"/>
  <c r="AE409" i="9"/>
  <c r="AE408" i="9"/>
  <c r="AE417" i="9"/>
  <c r="AE413" i="9"/>
  <c r="AE431" i="9"/>
  <c r="AE402" i="9"/>
  <c r="AE427" i="9"/>
  <c r="AE406" i="9"/>
  <c r="AE416" i="9"/>
  <c r="AE401" i="9"/>
  <c r="AE404" i="9"/>
  <c r="AE424" i="9"/>
  <c r="AE422" i="9"/>
  <c r="AE420" i="9"/>
  <c r="AE418" i="9"/>
  <c r="AE415" i="9"/>
  <c r="AE429" i="9"/>
  <c r="AE411" i="9"/>
  <c r="AE414" i="9"/>
  <c r="AE421" i="9"/>
  <c r="AE425" i="9"/>
  <c r="AE412" i="9"/>
  <c r="AE400" i="9"/>
  <c r="AE430" i="9"/>
  <c r="AE383" i="9"/>
  <c r="AE366" i="9"/>
  <c r="AE397" i="9"/>
  <c r="AE389" i="9"/>
  <c r="AE396" i="9"/>
  <c r="AE380" i="9"/>
  <c r="AE379" i="9"/>
  <c r="AE382" i="9"/>
  <c r="AE369" i="9"/>
  <c r="AE377" i="9"/>
  <c r="AE388" i="9"/>
  <c r="AE373" i="9"/>
  <c r="AE367" i="9"/>
  <c r="AE375" i="9"/>
  <c r="AE372" i="9"/>
  <c r="AE387" i="9"/>
  <c r="AE384" i="9"/>
  <c r="AE392" i="9"/>
  <c r="AE378" i="9"/>
  <c r="AE368" i="9"/>
  <c r="AE393" i="9"/>
  <c r="AE365" i="9"/>
  <c r="AE398" i="9"/>
  <c r="AE394" i="9"/>
  <c r="AE371" i="9"/>
  <c r="AE364" i="9"/>
  <c r="AE385" i="9"/>
  <c r="AE390" i="9"/>
  <c r="AE386" i="9"/>
  <c r="AE376" i="9"/>
  <c r="AE374" i="9"/>
  <c r="AE391" i="9"/>
  <c r="AE381" i="9"/>
  <c r="AE370" i="9"/>
  <c r="BU190" i="13"/>
  <c r="BU114" i="13"/>
  <c r="BU58" i="13"/>
  <c r="BV1258" i="13"/>
  <c r="BX1258" i="13" s="1"/>
  <c r="BU1258" i="13"/>
  <c r="BV1210" i="13"/>
  <c r="BX1210" i="13" s="1"/>
  <c r="BU1210" i="13"/>
  <c r="BV1114" i="13"/>
  <c r="BX1114" i="13" s="1"/>
  <c r="BU1114" i="13"/>
  <c r="BV1066" i="13"/>
  <c r="BX1066" i="13" s="1"/>
  <c r="BU1066" i="13"/>
  <c r="BV1018" i="13"/>
  <c r="BX1018" i="13" s="1"/>
  <c r="BU1018" i="13"/>
  <c r="BV970" i="13"/>
  <c r="BX970" i="13" s="1"/>
  <c r="BU970" i="13"/>
  <c r="BV922" i="13"/>
  <c r="BX922" i="13" s="1"/>
  <c r="BU922" i="13"/>
  <c r="BV874" i="13"/>
  <c r="BX874" i="13" s="1"/>
  <c r="BU874" i="13"/>
  <c r="BV842" i="13"/>
  <c r="BX842" i="13" s="1"/>
  <c r="BU842" i="13"/>
  <c r="BV810" i="13"/>
  <c r="BX810" i="13" s="1"/>
  <c r="BU810" i="13"/>
  <c r="BV794" i="13"/>
  <c r="BX794" i="13" s="1"/>
  <c r="BU794" i="13"/>
  <c r="BV778" i="13"/>
  <c r="BX778" i="13" s="1"/>
  <c r="BU778" i="13"/>
  <c r="BV762" i="13"/>
  <c r="BX762" i="13" s="1"/>
  <c r="BU762" i="13"/>
  <c r="BV746" i="13"/>
  <c r="BX746" i="13" s="1"/>
  <c r="BU746" i="13"/>
  <c r="BV730" i="13"/>
  <c r="BX730" i="13" s="1"/>
  <c r="BU730" i="13"/>
  <c r="BV714" i="13"/>
  <c r="BX714" i="13" s="1"/>
  <c r="BU714" i="13"/>
  <c r="BV698" i="13"/>
  <c r="BX698" i="13" s="1"/>
  <c r="BU698" i="13"/>
  <c r="BV682" i="13"/>
  <c r="BX682" i="13" s="1"/>
  <c r="BU682" i="13"/>
  <c r="BV666" i="13"/>
  <c r="BX666" i="13" s="1"/>
  <c r="BU666" i="13"/>
  <c r="BV650" i="13"/>
  <c r="BX650" i="13" s="1"/>
  <c r="BU650" i="13"/>
  <c r="BV634" i="13"/>
  <c r="BX634" i="13" s="1"/>
  <c r="BU634" i="13"/>
  <c r="BV618" i="13"/>
  <c r="BX618" i="13" s="1"/>
  <c r="BU618" i="13"/>
  <c r="BV602" i="13"/>
  <c r="BX602" i="13" s="1"/>
  <c r="BU602" i="13"/>
  <c r="BV586" i="13"/>
  <c r="BX586" i="13" s="1"/>
  <c r="BU586" i="13"/>
  <c r="BV570" i="13"/>
  <c r="BX570" i="13" s="1"/>
  <c r="BU570" i="13"/>
  <c r="BV554" i="13"/>
  <c r="BX554" i="13" s="1"/>
  <c r="BU554" i="13"/>
  <c r="BV538" i="13"/>
  <c r="BX538" i="13" s="1"/>
  <c r="BU538" i="13"/>
  <c r="BV522" i="13"/>
  <c r="BX522" i="13" s="1"/>
  <c r="BU522" i="13"/>
  <c r="BV506" i="13"/>
  <c r="BX506" i="13" s="1"/>
  <c r="BU506" i="13"/>
  <c r="BV490" i="13"/>
  <c r="BX490" i="13" s="1"/>
  <c r="BU490" i="13"/>
  <c r="BV474" i="13"/>
  <c r="BX474" i="13" s="1"/>
  <c r="BU474" i="13"/>
  <c r="BV458" i="13"/>
  <c r="BX458" i="13" s="1"/>
  <c r="BU458" i="13"/>
  <c r="BV442" i="13"/>
  <c r="BX442" i="13" s="1"/>
  <c r="BU442" i="13"/>
  <c r="BV426" i="13"/>
  <c r="BX426" i="13" s="1"/>
  <c r="BU426" i="13"/>
  <c r="BV410" i="13"/>
  <c r="BX410" i="13" s="1"/>
  <c r="BU410" i="13"/>
  <c r="BV394" i="13"/>
  <c r="BX394" i="13" s="1"/>
  <c r="BU394" i="13"/>
  <c r="BV378" i="13"/>
  <c r="BX378" i="13" s="1"/>
  <c r="BU378" i="13"/>
  <c r="BV362" i="13"/>
  <c r="BX362" i="13" s="1"/>
  <c r="BU362" i="13"/>
  <c r="BV346" i="13"/>
  <c r="BX346" i="13" s="1"/>
  <c r="BU346" i="13"/>
  <c r="BV330" i="13"/>
  <c r="BX330" i="13" s="1"/>
  <c r="BU330" i="13"/>
  <c r="BV314" i="13"/>
  <c r="BX314" i="13" s="1"/>
  <c r="BU314" i="13"/>
  <c r="BV298" i="13"/>
  <c r="BX298" i="13" s="1"/>
  <c r="BU298" i="13"/>
  <c r="BV282" i="13"/>
  <c r="BX282" i="13" s="1"/>
  <c r="BU282" i="13"/>
  <c r="BV266" i="13"/>
  <c r="BX266" i="13" s="1"/>
  <c r="BU266" i="13"/>
  <c r="BV250" i="13"/>
  <c r="BX250" i="13" s="1"/>
  <c r="BU250" i="13"/>
  <c r="BV234" i="13"/>
  <c r="BX234" i="13" s="1"/>
  <c r="BU234" i="13"/>
  <c r="BV218" i="13"/>
  <c r="BX218" i="13" s="1"/>
  <c r="BU218" i="13"/>
  <c r="BV202" i="13"/>
  <c r="BX202" i="13" s="1"/>
  <c r="BU202" i="13"/>
  <c r="BV186" i="13"/>
  <c r="BX186" i="13" s="1"/>
  <c r="BU186" i="13"/>
  <c r="BV170" i="13"/>
  <c r="BX170" i="13" s="1"/>
  <c r="BU170" i="13"/>
  <c r="BV162" i="13"/>
  <c r="BX162" i="13" s="1"/>
  <c r="BU162" i="13"/>
  <c r="BV154" i="13"/>
  <c r="BX154" i="13" s="1"/>
  <c r="BU154" i="13"/>
  <c r="BV138" i="13"/>
  <c r="BX138" i="13" s="1"/>
  <c r="BU138" i="13"/>
  <c r="BV130" i="13"/>
  <c r="BX130" i="13" s="1"/>
  <c r="BU130" i="13"/>
  <c r="BV122" i="13"/>
  <c r="BX122" i="13" s="1"/>
  <c r="BU122" i="13"/>
  <c r="BV1305" i="13"/>
  <c r="BX1305" i="13" s="1"/>
  <c r="BU1305" i="13"/>
  <c r="BV1297" i="13"/>
  <c r="BX1297" i="13" s="1"/>
  <c r="BU1297" i="13"/>
  <c r="BV1289" i="13"/>
  <c r="BX1289" i="13" s="1"/>
  <c r="BU1289" i="13"/>
  <c r="BV1281" i="13"/>
  <c r="BX1281" i="13" s="1"/>
  <c r="BU1281" i="13"/>
  <c r="BV1273" i="13"/>
  <c r="BX1273" i="13" s="1"/>
  <c r="BU1273" i="13"/>
  <c r="BV1265" i="13"/>
  <c r="BX1265" i="13" s="1"/>
  <c r="BU1265" i="13"/>
  <c r="BV1257" i="13"/>
  <c r="BX1257" i="13" s="1"/>
  <c r="BU1257" i="13"/>
  <c r="BV1249" i="13"/>
  <c r="BX1249" i="13" s="1"/>
  <c r="BU1249" i="13"/>
  <c r="BV1241" i="13"/>
  <c r="BX1241" i="13" s="1"/>
  <c r="BU1241" i="13"/>
  <c r="BV1233" i="13"/>
  <c r="BX1233" i="13" s="1"/>
  <c r="BU1233" i="13"/>
  <c r="BV1225" i="13"/>
  <c r="BX1225" i="13" s="1"/>
  <c r="BU1225" i="13"/>
  <c r="BV1217" i="13"/>
  <c r="BX1217" i="13" s="1"/>
  <c r="BU1217" i="13"/>
  <c r="BV1209" i="13"/>
  <c r="BX1209" i="13" s="1"/>
  <c r="BU1209" i="13"/>
  <c r="BV1201" i="13"/>
  <c r="BX1201" i="13" s="1"/>
  <c r="BU1201" i="13"/>
  <c r="BV1193" i="13"/>
  <c r="BX1193" i="13" s="1"/>
  <c r="BU1193" i="13"/>
  <c r="BV1185" i="13"/>
  <c r="BX1185" i="13" s="1"/>
  <c r="BU1185" i="13"/>
  <c r="BV1177" i="13"/>
  <c r="BX1177" i="13" s="1"/>
  <c r="BU1177" i="13"/>
  <c r="BV1169" i="13"/>
  <c r="BX1169" i="13" s="1"/>
  <c r="BU1169" i="13"/>
  <c r="BV1161" i="13"/>
  <c r="BX1161" i="13" s="1"/>
  <c r="BU1161" i="13"/>
  <c r="BV1153" i="13"/>
  <c r="BX1153" i="13" s="1"/>
  <c r="BU1153" i="13"/>
  <c r="BV1145" i="13"/>
  <c r="BX1145" i="13" s="1"/>
  <c r="BU1145" i="13"/>
  <c r="BV1137" i="13"/>
  <c r="BX1137" i="13" s="1"/>
  <c r="BU1137" i="13"/>
  <c r="BV1129" i="13"/>
  <c r="BX1129" i="13" s="1"/>
  <c r="BU1129" i="13"/>
  <c r="BV1121" i="13"/>
  <c r="BX1121" i="13" s="1"/>
  <c r="BU1121" i="13"/>
  <c r="BV1113" i="13"/>
  <c r="BX1113" i="13" s="1"/>
  <c r="BU1113" i="13"/>
  <c r="BV1105" i="13"/>
  <c r="BX1105" i="13" s="1"/>
  <c r="BU1105" i="13"/>
  <c r="BV1097" i="13"/>
  <c r="BX1097" i="13" s="1"/>
  <c r="BU1097" i="13"/>
  <c r="BV1089" i="13"/>
  <c r="BX1089" i="13" s="1"/>
  <c r="BU1089" i="13"/>
  <c r="BU1081" i="13"/>
  <c r="BV1081" i="13"/>
  <c r="BX1081" i="13" s="1"/>
  <c r="BV1073" i="13"/>
  <c r="BX1073" i="13" s="1"/>
  <c r="BU1073" i="13"/>
  <c r="BV1065" i="13"/>
  <c r="BX1065" i="13" s="1"/>
  <c r="BU1065" i="13"/>
  <c r="BV1057" i="13"/>
  <c r="BX1057" i="13" s="1"/>
  <c r="BU1057" i="13"/>
  <c r="BU1049" i="13"/>
  <c r="BV1049" i="13"/>
  <c r="BX1049" i="13" s="1"/>
  <c r="BV1041" i="13"/>
  <c r="BX1041" i="13" s="1"/>
  <c r="BU1041" i="13"/>
  <c r="BV1033" i="13"/>
  <c r="BX1033" i="13" s="1"/>
  <c r="BU1033" i="13"/>
  <c r="BV1025" i="13"/>
  <c r="BX1025" i="13" s="1"/>
  <c r="BU1025" i="13"/>
  <c r="BV1017" i="13"/>
  <c r="BX1017" i="13" s="1"/>
  <c r="BU1017" i="13"/>
  <c r="BV1009" i="13"/>
  <c r="BX1009" i="13" s="1"/>
  <c r="BU1009" i="13"/>
  <c r="BV1001" i="13"/>
  <c r="BX1001" i="13" s="1"/>
  <c r="BU1001" i="13"/>
  <c r="BV993" i="13"/>
  <c r="BX993" i="13" s="1"/>
  <c r="BU993" i="13"/>
  <c r="BU985" i="13"/>
  <c r="BV985" i="13"/>
  <c r="BX985" i="13" s="1"/>
  <c r="BV977" i="13"/>
  <c r="BX977" i="13" s="1"/>
  <c r="BU977" i="13"/>
  <c r="BV969" i="13"/>
  <c r="BX969" i="13" s="1"/>
  <c r="BU969" i="13"/>
  <c r="BV961" i="13"/>
  <c r="BX961" i="13" s="1"/>
  <c r="BU961" i="13"/>
  <c r="BU953" i="13"/>
  <c r="BV953" i="13"/>
  <c r="BX953" i="13" s="1"/>
  <c r="BV945" i="13"/>
  <c r="BX945" i="13" s="1"/>
  <c r="BU945" i="13"/>
  <c r="BV937" i="13"/>
  <c r="BX937" i="13" s="1"/>
  <c r="BU937" i="13"/>
  <c r="BV929" i="13"/>
  <c r="BX929" i="13" s="1"/>
  <c r="BU929" i="13"/>
  <c r="BU921" i="13"/>
  <c r="BV921" i="13"/>
  <c r="BX921" i="13" s="1"/>
  <c r="BV913" i="13"/>
  <c r="BX913" i="13" s="1"/>
  <c r="BU913" i="13"/>
  <c r="BV905" i="13"/>
  <c r="BX905" i="13" s="1"/>
  <c r="BU905" i="13"/>
  <c r="BV897" i="13"/>
  <c r="BX897" i="13" s="1"/>
  <c r="BU897" i="13"/>
  <c r="BV889" i="13"/>
  <c r="BX889" i="13" s="1"/>
  <c r="BU889" i="13"/>
  <c r="BV881" i="13"/>
  <c r="BX881" i="13" s="1"/>
  <c r="BU881" i="13"/>
  <c r="BV873" i="13"/>
  <c r="BX873" i="13" s="1"/>
  <c r="BU873" i="13"/>
  <c r="BV865" i="13"/>
  <c r="BX865" i="13" s="1"/>
  <c r="BU865" i="13"/>
  <c r="BU857" i="13"/>
  <c r="BV857" i="13"/>
  <c r="BX857" i="13" s="1"/>
  <c r="BV849" i="13"/>
  <c r="BX849" i="13" s="1"/>
  <c r="BU849" i="13"/>
  <c r="BV841" i="13"/>
  <c r="BX841" i="13" s="1"/>
  <c r="BU841" i="13"/>
  <c r="BV833" i="13"/>
  <c r="BX833" i="13" s="1"/>
  <c r="BU833" i="13"/>
  <c r="BU825" i="13"/>
  <c r="BV825" i="13"/>
  <c r="BX825" i="13" s="1"/>
  <c r="BV817" i="13"/>
  <c r="BX817" i="13" s="1"/>
  <c r="BU817" i="13"/>
  <c r="BV809" i="13"/>
  <c r="BX809" i="13" s="1"/>
  <c r="BU809" i="13"/>
  <c r="BV801" i="13"/>
  <c r="BX801" i="13" s="1"/>
  <c r="BU801" i="13"/>
  <c r="BU793" i="13"/>
  <c r="BV793" i="13"/>
  <c r="BX793" i="13" s="1"/>
  <c r="BV785" i="13"/>
  <c r="BX785" i="13" s="1"/>
  <c r="BU785" i="13"/>
  <c r="BV777" i="13"/>
  <c r="BX777" i="13" s="1"/>
  <c r="BU777" i="13"/>
  <c r="BV769" i="13"/>
  <c r="BX769" i="13" s="1"/>
  <c r="BU769" i="13"/>
  <c r="BV761" i="13"/>
  <c r="BX761" i="13" s="1"/>
  <c r="BU761" i="13"/>
  <c r="BV753" i="13"/>
  <c r="BX753" i="13" s="1"/>
  <c r="BU753" i="13"/>
  <c r="BV745" i="13"/>
  <c r="BX745" i="13" s="1"/>
  <c r="BU745" i="13"/>
  <c r="BV737" i="13"/>
  <c r="BX737" i="13" s="1"/>
  <c r="BU737" i="13"/>
  <c r="BU729" i="13"/>
  <c r="BV729" i="13"/>
  <c r="BX729" i="13" s="1"/>
  <c r="BV721" i="13"/>
  <c r="BX721" i="13" s="1"/>
  <c r="BU721" i="13"/>
  <c r="BV713" i="13"/>
  <c r="BX713" i="13" s="1"/>
  <c r="BU713" i="13"/>
  <c r="BV705" i="13"/>
  <c r="BX705" i="13" s="1"/>
  <c r="BU705" i="13"/>
  <c r="BU697" i="13"/>
  <c r="BV697" i="13"/>
  <c r="BX697" i="13" s="1"/>
  <c r="BV689" i="13"/>
  <c r="BX689" i="13" s="1"/>
  <c r="BU689" i="13"/>
  <c r="BV681" i="13"/>
  <c r="BX681" i="13" s="1"/>
  <c r="BU681" i="13"/>
  <c r="BV673" i="13"/>
  <c r="BX673" i="13" s="1"/>
  <c r="BU673" i="13"/>
  <c r="BV665" i="13"/>
  <c r="BX665" i="13" s="1"/>
  <c r="BU665" i="13"/>
  <c r="BV657" i="13"/>
  <c r="BX657" i="13" s="1"/>
  <c r="BU657" i="13"/>
  <c r="BV649" i="13"/>
  <c r="BX649" i="13" s="1"/>
  <c r="BU649" i="13"/>
  <c r="BV641" i="13"/>
  <c r="BX641" i="13" s="1"/>
  <c r="BU641" i="13"/>
  <c r="BV633" i="13"/>
  <c r="BX633" i="13" s="1"/>
  <c r="BU633" i="13"/>
  <c r="BV625" i="13"/>
  <c r="BX625" i="13" s="1"/>
  <c r="BU625" i="13"/>
  <c r="BV617" i="13"/>
  <c r="BX617" i="13" s="1"/>
  <c r="BU617" i="13"/>
  <c r="BV609" i="13"/>
  <c r="BX609" i="13" s="1"/>
  <c r="BU609" i="13"/>
  <c r="BV601" i="13"/>
  <c r="BX601" i="13" s="1"/>
  <c r="BU601" i="13"/>
  <c r="BV593" i="13"/>
  <c r="BX593" i="13" s="1"/>
  <c r="BU593" i="13"/>
  <c r="BV585" i="13"/>
  <c r="BX585" i="13" s="1"/>
  <c r="BU585" i="13"/>
  <c r="BV577" i="13"/>
  <c r="BX577" i="13" s="1"/>
  <c r="BU577" i="13"/>
  <c r="BV569" i="13"/>
  <c r="BX569" i="13" s="1"/>
  <c r="BU569" i="13"/>
  <c r="BV561" i="13"/>
  <c r="BX561" i="13" s="1"/>
  <c r="BU561" i="13"/>
  <c r="BV553" i="13"/>
  <c r="BX553" i="13" s="1"/>
  <c r="BU553" i="13"/>
  <c r="BV545" i="13"/>
  <c r="BX545" i="13" s="1"/>
  <c r="BU545" i="13"/>
  <c r="BV537" i="13"/>
  <c r="BX537" i="13" s="1"/>
  <c r="BU537" i="13"/>
  <c r="BV529" i="13"/>
  <c r="BX529" i="13" s="1"/>
  <c r="BU529" i="13"/>
  <c r="BV521" i="13"/>
  <c r="BX521" i="13" s="1"/>
  <c r="BU521" i="13"/>
  <c r="BV513" i="13"/>
  <c r="BX513" i="13" s="1"/>
  <c r="BU513" i="13"/>
  <c r="BV505" i="13"/>
  <c r="BX505" i="13" s="1"/>
  <c r="BU505" i="13"/>
  <c r="BV497" i="13"/>
  <c r="BX497" i="13" s="1"/>
  <c r="BU497" i="13"/>
  <c r="BV489" i="13"/>
  <c r="BX489" i="13" s="1"/>
  <c r="BU489" i="13"/>
  <c r="BV481" i="13"/>
  <c r="BX481" i="13" s="1"/>
  <c r="BU481" i="13"/>
  <c r="BV473" i="13"/>
  <c r="BX473" i="13" s="1"/>
  <c r="BU473" i="13"/>
  <c r="BV465" i="13"/>
  <c r="BX465" i="13" s="1"/>
  <c r="BU465" i="13"/>
  <c r="BV457" i="13"/>
  <c r="BX457" i="13" s="1"/>
  <c r="BU457" i="13"/>
  <c r="BV449" i="13"/>
  <c r="BX449" i="13" s="1"/>
  <c r="BU449" i="13"/>
  <c r="BV441" i="13"/>
  <c r="BX441" i="13" s="1"/>
  <c r="BU441" i="13"/>
  <c r="BV433" i="13"/>
  <c r="BX433" i="13" s="1"/>
  <c r="BU433" i="13"/>
  <c r="BV425" i="13"/>
  <c r="BX425" i="13" s="1"/>
  <c r="BU425" i="13"/>
  <c r="BV417" i="13"/>
  <c r="BX417" i="13" s="1"/>
  <c r="BU417" i="13"/>
  <c r="BV409" i="13"/>
  <c r="BX409" i="13" s="1"/>
  <c r="BU409" i="13"/>
  <c r="BV401" i="13"/>
  <c r="BX401" i="13" s="1"/>
  <c r="BU401" i="13"/>
  <c r="BV393" i="13"/>
  <c r="BX393" i="13" s="1"/>
  <c r="BU393" i="13"/>
  <c r="BV385" i="13"/>
  <c r="BX385" i="13" s="1"/>
  <c r="BU385" i="13"/>
  <c r="BV377" i="13"/>
  <c r="BX377" i="13" s="1"/>
  <c r="BU377" i="13"/>
  <c r="BV369" i="13"/>
  <c r="BX369" i="13" s="1"/>
  <c r="BU369" i="13"/>
  <c r="BV361" i="13"/>
  <c r="BX361" i="13" s="1"/>
  <c r="BU361" i="13"/>
  <c r="BV353" i="13"/>
  <c r="BX353" i="13" s="1"/>
  <c r="BU353" i="13"/>
  <c r="BV345" i="13"/>
  <c r="BX345" i="13" s="1"/>
  <c r="BU345" i="13"/>
  <c r="BV337" i="13"/>
  <c r="BX337" i="13" s="1"/>
  <c r="BU337" i="13"/>
  <c r="BV329" i="13"/>
  <c r="BX329" i="13" s="1"/>
  <c r="BU329" i="13"/>
  <c r="BV321" i="13"/>
  <c r="BX321" i="13" s="1"/>
  <c r="BU321" i="13"/>
  <c r="BV313" i="13"/>
  <c r="BX313" i="13" s="1"/>
  <c r="BU313" i="13"/>
  <c r="BV305" i="13"/>
  <c r="BX305" i="13" s="1"/>
  <c r="BU305" i="13"/>
  <c r="BV297" i="13"/>
  <c r="BX297" i="13" s="1"/>
  <c r="BU297" i="13"/>
  <c r="BV289" i="13"/>
  <c r="BX289" i="13" s="1"/>
  <c r="BU289" i="13"/>
  <c r="BV281" i="13"/>
  <c r="BX281" i="13" s="1"/>
  <c r="BU281" i="13"/>
  <c r="BV273" i="13"/>
  <c r="BX273" i="13" s="1"/>
  <c r="BU273" i="13"/>
  <c r="BV265" i="13"/>
  <c r="BX265" i="13" s="1"/>
  <c r="BU265" i="13"/>
  <c r="BV257" i="13"/>
  <c r="BX257" i="13" s="1"/>
  <c r="BU257" i="13"/>
  <c r="BV249" i="13"/>
  <c r="BX249" i="13" s="1"/>
  <c r="BU249" i="13"/>
  <c r="BV241" i="13"/>
  <c r="BX241" i="13" s="1"/>
  <c r="BU241" i="13"/>
  <c r="BV233" i="13"/>
  <c r="BX233" i="13" s="1"/>
  <c r="BU233" i="13"/>
  <c r="BV225" i="13"/>
  <c r="BX225" i="13" s="1"/>
  <c r="BU225" i="13"/>
  <c r="BV217" i="13"/>
  <c r="BX217" i="13" s="1"/>
  <c r="BU217" i="13"/>
  <c r="BV209" i="13"/>
  <c r="BX209" i="13" s="1"/>
  <c r="BU209" i="13"/>
  <c r="BV201" i="13"/>
  <c r="BX201" i="13" s="1"/>
  <c r="BU201" i="13"/>
  <c r="BU158" i="13"/>
  <c r="BV1274" i="13"/>
  <c r="BX1274" i="13" s="1"/>
  <c r="BU1274" i="13"/>
  <c r="BV1226" i="13"/>
  <c r="BX1226" i="13" s="1"/>
  <c r="BU1226" i="13"/>
  <c r="BV1178" i="13"/>
  <c r="BX1178" i="13" s="1"/>
  <c r="BU1178" i="13"/>
  <c r="BV1138" i="13"/>
  <c r="BX1138" i="13" s="1"/>
  <c r="BU1138" i="13"/>
  <c r="BV1090" i="13"/>
  <c r="BX1090" i="13" s="1"/>
  <c r="BU1090" i="13"/>
  <c r="BV1042" i="13"/>
  <c r="BX1042" i="13" s="1"/>
  <c r="BU1042" i="13"/>
  <c r="BV994" i="13"/>
  <c r="BX994" i="13" s="1"/>
  <c r="BU994" i="13"/>
  <c r="BV946" i="13"/>
  <c r="BX946" i="13" s="1"/>
  <c r="BU946" i="13"/>
  <c r="BV906" i="13"/>
  <c r="BX906" i="13" s="1"/>
  <c r="BU906" i="13"/>
  <c r="BV866" i="13"/>
  <c r="BX866" i="13" s="1"/>
  <c r="BU866" i="13"/>
  <c r="BV818" i="13"/>
  <c r="BX818" i="13" s="1"/>
  <c r="BU818" i="13"/>
  <c r="BV802" i="13"/>
  <c r="BX802" i="13" s="1"/>
  <c r="BU802" i="13"/>
  <c r="BV786" i="13"/>
  <c r="BX786" i="13" s="1"/>
  <c r="BU786" i="13"/>
  <c r="BV770" i="13"/>
  <c r="BX770" i="13" s="1"/>
  <c r="BU770" i="13"/>
  <c r="BV754" i="13"/>
  <c r="BX754" i="13" s="1"/>
  <c r="BU754" i="13"/>
  <c r="BV738" i="13"/>
  <c r="BX738" i="13" s="1"/>
  <c r="BU738" i="13"/>
  <c r="BV722" i="13"/>
  <c r="BX722" i="13" s="1"/>
  <c r="BU722" i="13"/>
  <c r="BV706" i="13"/>
  <c r="BX706" i="13" s="1"/>
  <c r="BU706" i="13"/>
  <c r="BV690" i="13"/>
  <c r="BX690" i="13" s="1"/>
  <c r="BU690" i="13"/>
  <c r="BV674" i="13"/>
  <c r="BX674" i="13" s="1"/>
  <c r="BU674" i="13"/>
  <c r="BV658" i="13"/>
  <c r="BX658" i="13" s="1"/>
  <c r="BU658" i="13"/>
  <c r="BV642" i="13"/>
  <c r="BX642" i="13" s="1"/>
  <c r="BU642" i="13"/>
  <c r="BV626" i="13"/>
  <c r="BX626" i="13" s="1"/>
  <c r="BU626" i="13"/>
  <c r="BV610" i="13"/>
  <c r="BX610" i="13" s="1"/>
  <c r="BU610" i="13"/>
  <c r="BV594" i="13"/>
  <c r="BX594" i="13" s="1"/>
  <c r="BU594" i="13"/>
  <c r="BV578" i="13"/>
  <c r="BX578" i="13" s="1"/>
  <c r="BU578" i="13"/>
  <c r="BV562" i="13"/>
  <c r="BX562" i="13" s="1"/>
  <c r="BU562" i="13"/>
  <c r="BV546" i="13"/>
  <c r="BX546" i="13" s="1"/>
  <c r="BU546" i="13"/>
  <c r="BV530" i="13"/>
  <c r="BX530" i="13" s="1"/>
  <c r="BU530" i="13"/>
  <c r="BV514" i="13"/>
  <c r="BX514" i="13" s="1"/>
  <c r="BU514" i="13"/>
  <c r="BV498" i="13"/>
  <c r="BX498" i="13" s="1"/>
  <c r="BU498" i="13"/>
  <c r="BV482" i="13"/>
  <c r="BX482" i="13" s="1"/>
  <c r="BU482" i="13"/>
  <c r="BV466" i="13"/>
  <c r="BX466" i="13" s="1"/>
  <c r="BU466" i="13"/>
  <c r="BV450" i="13"/>
  <c r="BX450" i="13" s="1"/>
  <c r="BU450" i="13"/>
  <c r="BV434" i="13"/>
  <c r="BX434" i="13" s="1"/>
  <c r="BU434" i="13"/>
  <c r="BV418" i="13"/>
  <c r="BX418" i="13" s="1"/>
  <c r="BU418" i="13"/>
  <c r="BV402" i="13"/>
  <c r="BX402" i="13" s="1"/>
  <c r="BU402" i="13"/>
  <c r="BV386" i="13"/>
  <c r="BX386" i="13" s="1"/>
  <c r="BU386" i="13"/>
  <c r="BV370" i="13"/>
  <c r="BX370" i="13" s="1"/>
  <c r="BU370" i="13"/>
  <c r="BV354" i="13"/>
  <c r="BX354" i="13" s="1"/>
  <c r="BU354" i="13"/>
  <c r="BV338" i="13"/>
  <c r="BX338" i="13" s="1"/>
  <c r="BU338" i="13"/>
  <c r="BV322" i="13"/>
  <c r="BX322" i="13" s="1"/>
  <c r="BU322" i="13"/>
  <c r="BV306" i="13"/>
  <c r="BX306" i="13" s="1"/>
  <c r="BU306" i="13"/>
  <c r="BV290" i="13"/>
  <c r="BX290" i="13" s="1"/>
  <c r="BU290" i="13"/>
  <c r="BV274" i="13"/>
  <c r="BX274" i="13" s="1"/>
  <c r="BU274" i="13"/>
  <c r="BV258" i="13"/>
  <c r="BX258" i="13" s="1"/>
  <c r="BU258" i="13"/>
  <c r="BV242" i="13"/>
  <c r="BX242" i="13" s="1"/>
  <c r="BU242" i="13"/>
  <c r="BV226" i="13"/>
  <c r="BX226" i="13" s="1"/>
  <c r="BU226" i="13"/>
  <c r="BV210" i="13"/>
  <c r="BX210" i="13" s="1"/>
  <c r="BU210" i="13"/>
  <c r="BV194" i="13"/>
  <c r="BX194" i="13" s="1"/>
  <c r="BU194" i="13"/>
  <c r="BV178" i="13"/>
  <c r="BX178" i="13" s="1"/>
  <c r="BU178" i="13"/>
  <c r="BV146" i="13"/>
  <c r="BX146" i="13" s="1"/>
  <c r="BU146" i="13"/>
  <c r="BV1304" i="13"/>
  <c r="BX1304" i="13" s="1"/>
  <c r="BU1304" i="13"/>
  <c r="BU1296" i="13"/>
  <c r="BV1296" i="13"/>
  <c r="BX1296" i="13" s="1"/>
  <c r="BV1288" i="13"/>
  <c r="BX1288" i="13" s="1"/>
  <c r="BU1288" i="13"/>
  <c r="BV1280" i="13"/>
  <c r="BX1280" i="13" s="1"/>
  <c r="BU1280" i="13"/>
  <c r="BV1272" i="13"/>
  <c r="BX1272" i="13" s="1"/>
  <c r="BU1272" i="13"/>
  <c r="BU1264" i="13"/>
  <c r="BV1264" i="13"/>
  <c r="BX1264" i="13" s="1"/>
  <c r="BV1256" i="13"/>
  <c r="BX1256" i="13" s="1"/>
  <c r="BU1256" i="13"/>
  <c r="BV1248" i="13"/>
  <c r="BX1248" i="13" s="1"/>
  <c r="BU1248" i="13"/>
  <c r="BV1240" i="13"/>
  <c r="BX1240" i="13" s="1"/>
  <c r="BU1240" i="13"/>
  <c r="BU1232" i="13"/>
  <c r="BV1232" i="13"/>
  <c r="BX1232" i="13" s="1"/>
  <c r="BV1224" i="13"/>
  <c r="BX1224" i="13" s="1"/>
  <c r="BU1224" i="13"/>
  <c r="BV1216" i="13"/>
  <c r="BX1216" i="13" s="1"/>
  <c r="BU1216" i="13"/>
  <c r="BV1208" i="13"/>
  <c r="BX1208" i="13" s="1"/>
  <c r="BU1208" i="13"/>
  <c r="BV1200" i="13"/>
  <c r="BX1200" i="13" s="1"/>
  <c r="BU1200" i="13"/>
  <c r="BV1192" i="13"/>
  <c r="BX1192" i="13" s="1"/>
  <c r="BU1192" i="13"/>
  <c r="BV1184" i="13"/>
  <c r="BX1184" i="13" s="1"/>
  <c r="BU1184" i="13"/>
  <c r="BV1176" i="13"/>
  <c r="BX1176" i="13" s="1"/>
  <c r="BU1176" i="13"/>
  <c r="BV1168" i="13"/>
  <c r="BX1168" i="13" s="1"/>
  <c r="BU1168" i="13"/>
  <c r="BV1160" i="13"/>
  <c r="BX1160" i="13" s="1"/>
  <c r="BU1160" i="13"/>
  <c r="BV1152" i="13"/>
  <c r="BX1152" i="13" s="1"/>
  <c r="BU1152" i="13"/>
  <c r="BV1144" i="13"/>
  <c r="BX1144" i="13" s="1"/>
  <c r="BU1144" i="13"/>
  <c r="BV1136" i="13"/>
  <c r="BX1136" i="13" s="1"/>
  <c r="BU1136" i="13"/>
  <c r="BV1128" i="13"/>
  <c r="BX1128" i="13" s="1"/>
  <c r="BU1128" i="13"/>
  <c r="BV1120" i="13"/>
  <c r="BX1120" i="13" s="1"/>
  <c r="BU1120" i="13"/>
  <c r="BV1112" i="13"/>
  <c r="BX1112" i="13" s="1"/>
  <c r="BU1112" i="13"/>
  <c r="BV1104" i="13"/>
  <c r="BX1104" i="13" s="1"/>
  <c r="BU1104" i="13"/>
  <c r="BV1096" i="13"/>
  <c r="BX1096" i="13" s="1"/>
  <c r="BU1096" i="13"/>
  <c r="BV1088" i="13"/>
  <c r="BX1088" i="13" s="1"/>
  <c r="BU1088" i="13"/>
  <c r="BV1080" i="13"/>
  <c r="BX1080" i="13" s="1"/>
  <c r="BU1080" i="13"/>
  <c r="BV1072" i="13"/>
  <c r="BX1072" i="13" s="1"/>
  <c r="BU1072" i="13"/>
  <c r="BV1064" i="13"/>
  <c r="BX1064" i="13" s="1"/>
  <c r="BU1064" i="13"/>
  <c r="BV1056" i="13"/>
  <c r="BX1056" i="13" s="1"/>
  <c r="BU1056" i="13"/>
  <c r="BV1048" i="13"/>
  <c r="BX1048" i="13" s="1"/>
  <c r="BU1048" i="13"/>
  <c r="BV1040" i="13"/>
  <c r="BX1040" i="13" s="1"/>
  <c r="BU1040" i="13"/>
  <c r="BV1032" i="13"/>
  <c r="BX1032" i="13" s="1"/>
  <c r="BU1032" i="13"/>
  <c r="BV1024" i="13"/>
  <c r="BX1024" i="13" s="1"/>
  <c r="BU1024" i="13"/>
  <c r="BV1016" i="13"/>
  <c r="BX1016" i="13" s="1"/>
  <c r="BU1016" i="13"/>
  <c r="BV1008" i="13"/>
  <c r="BX1008" i="13" s="1"/>
  <c r="BU1008" i="13"/>
  <c r="BV1000" i="13"/>
  <c r="BX1000" i="13" s="1"/>
  <c r="BU1000" i="13"/>
  <c r="BV992" i="13"/>
  <c r="BX992" i="13" s="1"/>
  <c r="BU992" i="13"/>
  <c r="BV984" i="13"/>
  <c r="BX984" i="13" s="1"/>
  <c r="BU984" i="13"/>
  <c r="BV976" i="13"/>
  <c r="BX976" i="13" s="1"/>
  <c r="BU976" i="13"/>
  <c r="BV968" i="13"/>
  <c r="BX968" i="13" s="1"/>
  <c r="BU968" i="13"/>
  <c r="BV960" i="13"/>
  <c r="BX960" i="13" s="1"/>
  <c r="BU960" i="13"/>
  <c r="BV952" i="13"/>
  <c r="BX952" i="13" s="1"/>
  <c r="BU952" i="13"/>
  <c r="BV944" i="13"/>
  <c r="BX944" i="13" s="1"/>
  <c r="BU944" i="13"/>
  <c r="BV936" i="13"/>
  <c r="BX936" i="13" s="1"/>
  <c r="BU936" i="13"/>
  <c r="BV928" i="13"/>
  <c r="BX928" i="13" s="1"/>
  <c r="BU928" i="13"/>
  <c r="BV920" i="13"/>
  <c r="BX920" i="13" s="1"/>
  <c r="BU920" i="13"/>
  <c r="BV912" i="13"/>
  <c r="BX912" i="13" s="1"/>
  <c r="BU912" i="13"/>
  <c r="BV904" i="13"/>
  <c r="BX904" i="13" s="1"/>
  <c r="BU904" i="13"/>
  <c r="BV896" i="13"/>
  <c r="BX896" i="13" s="1"/>
  <c r="BU896" i="13"/>
  <c r="BV888" i="13"/>
  <c r="BX888" i="13" s="1"/>
  <c r="BU888" i="13"/>
  <c r="BV880" i="13"/>
  <c r="BX880" i="13" s="1"/>
  <c r="BU880" i="13"/>
  <c r="BV872" i="13"/>
  <c r="BX872" i="13" s="1"/>
  <c r="BU872" i="13"/>
  <c r="BV864" i="13"/>
  <c r="BX864" i="13" s="1"/>
  <c r="BU864" i="13"/>
  <c r="BV856" i="13"/>
  <c r="BX856" i="13" s="1"/>
  <c r="BU856" i="13"/>
  <c r="BV848" i="13"/>
  <c r="BX848" i="13" s="1"/>
  <c r="BU848" i="13"/>
  <c r="BV840" i="13"/>
  <c r="BX840" i="13" s="1"/>
  <c r="BU840" i="13"/>
  <c r="BV832" i="13"/>
  <c r="BX832" i="13" s="1"/>
  <c r="BU832" i="13"/>
  <c r="BV824" i="13"/>
  <c r="BX824" i="13" s="1"/>
  <c r="BU824" i="13"/>
  <c r="BV816" i="13"/>
  <c r="BX816" i="13" s="1"/>
  <c r="BU816" i="13"/>
  <c r="BV808" i="13"/>
  <c r="BX808" i="13" s="1"/>
  <c r="BU808" i="13"/>
  <c r="BV800" i="13"/>
  <c r="BX800" i="13" s="1"/>
  <c r="BU800" i="13"/>
  <c r="BV792" i="13"/>
  <c r="BX792" i="13" s="1"/>
  <c r="BU792" i="13"/>
  <c r="BV784" i="13"/>
  <c r="BX784" i="13" s="1"/>
  <c r="BU784" i="13"/>
  <c r="BV776" i="13"/>
  <c r="BX776" i="13" s="1"/>
  <c r="BU776" i="13"/>
  <c r="BV768" i="13"/>
  <c r="BX768" i="13" s="1"/>
  <c r="BU768" i="13"/>
  <c r="BV760" i="13"/>
  <c r="BX760" i="13" s="1"/>
  <c r="BU760" i="13"/>
  <c r="BV752" i="13"/>
  <c r="BX752" i="13" s="1"/>
  <c r="BU752" i="13"/>
  <c r="BV744" i="13"/>
  <c r="BX744" i="13" s="1"/>
  <c r="BU744" i="13"/>
  <c r="BV736" i="13"/>
  <c r="BX736" i="13" s="1"/>
  <c r="BU736" i="13"/>
  <c r="BV728" i="13"/>
  <c r="BX728" i="13" s="1"/>
  <c r="BU728" i="13"/>
  <c r="BV720" i="13"/>
  <c r="BX720" i="13" s="1"/>
  <c r="BU720" i="13"/>
  <c r="BV712" i="13"/>
  <c r="BX712" i="13" s="1"/>
  <c r="BU712" i="13"/>
  <c r="BV704" i="13"/>
  <c r="BX704" i="13" s="1"/>
  <c r="BU704" i="13"/>
  <c r="BV696" i="13"/>
  <c r="BX696" i="13" s="1"/>
  <c r="BU696" i="13"/>
  <c r="BV688" i="13"/>
  <c r="BX688" i="13" s="1"/>
  <c r="BU688" i="13"/>
  <c r="BV680" i="13"/>
  <c r="BX680" i="13" s="1"/>
  <c r="BU680" i="13"/>
  <c r="BV672" i="13"/>
  <c r="BX672" i="13" s="1"/>
  <c r="BU672" i="13"/>
  <c r="BV664" i="13"/>
  <c r="BX664" i="13" s="1"/>
  <c r="BU664" i="13"/>
  <c r="BV656" i="13"/>
  <c r="BX656" i="13" s="1"/>
  <c r="BU656" i="13"/>
  <c r="BV648" i="13"/>
  <c r="BX648" i="13" s="1"/>
  <c r="BU648" i="13"/>
  <c r="BV640" i="13"/>
  <c r="BX640" i="13" s="1"/>
  <c r="BU640" i="13"/>
  <c r="BV632" i="13"/>
  <c r="BX632" i="13" s="1"/>
  <c r="BU632" i="13"/>
  <c r="BV624" i="13"/>
  <c r="BX624" i="13" s="1"/>
  <c r="BU624" i="13"/>
  <c r="BV616" i="13"/>
  <c r="BX616" i="13" s="1"/>
  <c r="BU616" i="13"/>
  <c r="BV608" i="13"/>
  <c r="BX608" i="13" s="1"/>
  <c r="BU608" i="13"/>
  <c r="BV600" i="13"/>
  <c r="BX600" i="13" s="1"/>
  <c r="BU600" i="13"/>
  <c r="BV592" i="13"/>
  <c r="BX592" i="13" s="1"/>
  <c r="BU592" i="13"/>
  <c r="BV584" i="13"/>
  <c r="BX584" i="13" s="1"/>
  <c r="BU584" i="13"/>
  <c r="BV576" i="13"/>
  <c r="BX576" i="13" s="1"/>
  <c r="BU576" i="13"/>
  <c r="BV568" i="13"/>
  <c r="BX568" i="13" s="1"/>
  <c r="BU568" i="13"/>
  <c r="BV560" i="13"/>
  <c r="BX560" i="13" s="1"/>
  <c r="BU560" i="13"/>
  <c r="BV552" i="13"/>
  <c r="BX552" i="13" s="1"/>
  <c r="BU552" i="13"/>
  <c r="BV544" i="13"/>
  <c r="BX544" i="13" s="1"/>
  <c r="BU544" i="13"/>
  <c r="BV536" i="13"/>
  <c r="BX536" i="13" s="1"/>
  <c r="BU536" i="13"/>
  <c r="BV528" i="13"/>
  <c r="BX528" i="13" s="1"/>
  <c r="BU528" i="13"/>
  <c r="BV520" i="13"/>
  <c r="BX520" i="13" s="1"/>
  <c r="BU520" i="13"/>
  <c r="BV512" i="13"/>
  <c r="BX512" i="13" s="1"/>
  <c r="BU512" i="13"/>
  <c r="BV504" i="13"/>
  <c r="BX504" i="13" s="1"/>
  <c r="BU504" i="13"/>
  <c r="BV496" i="13"/>
  <c r="BX496" i="13" s="1"/>
  <c r="BU496" i="13"/>
  <c r="BV488" i="13"/>
  <c r="BX488" i="13" s="1"/>
  <c r="BU488" i="13"/>
  <c r="BV480" i="13"/>
  <c r="BX480" i="13" s="1"/>
  <c r="BU480" i="13"/>
  <c r="BV472" i="13"/>
  <c r="BX472" i="13" s="1"/>
  <c r="BU472" i="13"/>
  <c r="BV464" i="13"/>
  <c r="BX464" i="13" s="1"/>
  <c r="BU464" i="13"/>
  <c r="BV456" i="13"/>
  <c r="BX456" i="13" s="1"/>
  <c r="BU456" i="13"/>
  <c r="BV448" i="13"/>
  <c r="BX448" i="13" s="1"/>
  <c r="BU448" i="13"/>
  <c r="BV440" i="13"/>
  <c r="BX440" i="13" s="1"/>
  <c r="BU440" i="13"/>
  <c r="BV432" i="13"/>
  <c r="BX432" i="13" s="1"/>
  <c r="BU432" i="13"/>
  <c r="BV424" i="13"/>
  <c r="BX424" i="13" s="1"/>
  <c r="BU424" i="13"/>
  <c r="BV416" i="13"/>
  <c r="BX416" i="13" s="1"/>
  <c r="BU416" i="13"/>
  <c r="BV408" i="13"/>
  <c r="BX408" i="13" s="1"/>
  <c r="BU408" i="13"/>
  <c r="BV400" i="13"/>
  <c r="BX400" i="13" s="1"/>
  <c r="BU400" i="13"/>
  <c r="BV392" i="13"/>
  <c r="BX392" i="13" s="1"/>
  <c r="BU392" i="13"/>
  <c r="BV384" i="13"/>
  <c r="BX384" i="13" s="1"/>
  <c r="BU384" i="13"/>
  <c r="BV376" i="13"/>
  <c r="BX376" i="13" s="1"/>
  <c r="BU376" i="13"/>
  <c r="BV368" i="13"/>
  <c r="BX368" i="13" s="1"/>
  <c r="BU368" i="13"/>
  <c r="BV360" i="13"/>
  <c r="BX360" i="13" s="1"/>
  <c r="BU360" i="13"/>
  <c r="BV352" i="13"/>
  <c r="BX352" i="13" s="1"/>
  <c r="BU352" i="13"/>
  <c r="BV344" i="13"/>
  <c r="BX344" i="13" s="1"/>
  <c r="BU344" i="13"/>
  <c r="BV336" i="13"/>
  <c r="BX336" i="13" s="1"/>
  <c r="BU336" i="13"/>
  <c r="BV328" i="13"/>
  <c r="BX328" i="13" s="1"/>
  <c r="BU328" i="13"/>
  <c r="BV320" i="13"/>
  <c r="BX320" i="13" s="1"/>
  <c r="BU320" i="13"/>
  <c r="BV312" i="13"/>
  <c r="BX312" i="13" s="1"/>
  <c r="BU312" i="13"/>
  <c r="BV304" i="13"/>
  <c r="BX304" i="13" s="1"/>
  <c r="BU304" i="13"/>
  <c r="BV296" i="13"/>
  <c r="BX296" i="13" s="1"/>
  <c r="BU296" i="13"/>
  <c r="BV288" i="13"/>
  <c r="BX288" i="13" s="1"/>
  <c r="BU288" i="13"/>
  <c r="BV280" i="13"/>
  <c r="BX280" i="13" s="1"/>
  <c r="BU280" i="13"/>
  <c r="BV272" i="13"/>
  <c r="BX272" i="13" s="1"/>
  <c r="BU272" i="13"/>
  <c r="BV264" i="13"/>
  <c r="BX264" i="13" s="1"/>
  <c r="BU264" i="13"/>
  <c r="BV256" i="13"/>
  <c r="BX256" i="13" s="1"/>
  <c r="BU256" i="13"/>
  <c r="BV248" i="13"/>
  <c r="BX248" i="13" s="1"/>
  <c r="BU248" i="13"/>
  <c r="BV240" i="13"/>
  <c r="BX240" i="13" s="1"/>
  <c r="BU240" i="13"/>
  <c r="BV232" i="13"/>
  <c r="BX232" i="13" s="1"/>
  <c r="BU232" i="13"/>
  <c r="BV224" i="13"/>
  <c r="BX224" i="13" s="1"/>
  <c r="BU224" i="13"/>
  <c r="BV216" i="13"/>
  <c r="BX216" i="13" s="1"/>
  <c r="BU216" i="13"/>
  <c r="BV208" i="13"/>
  <c r="BX208" i="13" s="1"/>
  <c r="BU208" i="13"/>
  <c r="BV200" i="13"/>
  <c r="BX200" i="13" s="1"/>
  <c r="BU200" i="13"/>
  <c r="BV192" i="13"/>
  <c r="BX192" i="13" s="1"/>
  <c r="BU192" i="13"/>
  <c r="BV184" i="13"/>
  <c r="BX184" i="13" s="1"/>
  <c r="BU184" i="13"/>
  <c r="BV176" i="13"/>
  <c r="BX176" i="13" s="1"/>
  <c r="BU176" i="13"/>
  <c r="BV168" i="13"/>
  <c r="BX168" i="13" s="1"/>
  <c r="BU168" i="13"/>
  <c r="BV160" i="13"/>
  <c r="BX160" i="13" s="1"/>
  <c r="BU160" i="13"/>
  <c r="BV152" i="13"/>
  <c r="BX152" i="13" s="1"/>
  <c r="BU152" i="13"/>
  <c r="BV144" i="13"/>
  <c r="BX144" i="13" s="1"/>
  <c r="BU144" i="13"/>
  <c r="BV136" i="13"/>
  <c r="BX136" i="13" s="1"/>
  <c r="BU136" i="13"/>
  <c r="BV128" i="13"/>
  <c r="BX128" i="13" s="1"/>
  <c r="BU128" i="13"/>
  <c r="BV120" i="13"/>
  <c r="BX120" i="13" s="1"/>
  <c r="BU120" i="13"/>
  <c r="BV112" i="13"/>
  <c r="BX112" i="13" s="1"/>
  <c r="BU112" i="13"/>
  <c r="BV104" i="13"/>
  <c r="BX104" i="13" s="1"/>
  <c r="BU104" i="13"/>
  <c r="BV96" i="13"/>
  <c r="BX96" i="13" s="1"/>
  <c r="BU96" i="13"/>
  <c r="BV88" i="13"/>
  <c r="BX88" i="13" s="1"/>
  <c r="BU88" i="13"/>
  <c r="BV80" i="13"/>
  <c r="BX80" i="13" s="1"/>
  <c r="BU80" i="13"/>
  <c r="BV72" i="13"/>
  <c r="BX72" i="13" s="1"/>
  <c r="BU72" i="13"/>
  <c r="BV64" i="13"/>
  <c r="BX64" i="13" s="1"/>
  <c r="BU64" i="13"/>
  <c r="BV56" i="13"/>
  <c r="BX56" i="13" s="1"/>
  <c r="BU56" i="13"/>
  <c r="BV48" i="13"/>
  <c r="BX48" i="13" s="1"/>
  <c r="BU48" i="13"/>
  <c r="BV40" i="13"/>
  <c r="BX40" i="13" s="1"/>
  <c r="BU40" i="13"/>
  <c r="BV32" i="13"/>
  <c r="BX32" i="13" s="1"/>
  <c r="BU32" i="13"/>
  <c r="BV24" i="13"/>
  <c r="BX24" i="13" s="1"/>
  <c r="BU24" i="13"/>
  <c r="BV16" i="13"/>
  <c r="BX16" i="13" s="1"/>
  <c r="BU16" i="13"/>
  <c r="BV8" i="13"/>
  <c r="BX8" i="13" s="1"/>
  <c r="BU8" i="13"/>
  <c r="BV1290" i="13"/>
  <c r="BX1290" i="13" s="1"/>
  <c r="BU1290" i="13"/>
  <c r="BV1242" i="13"/>
  <c r="BX1242" i="13" s="1"/>
  <c r="BU1242" i="13"/>
  <c r="BV1194" i="13"/>
  <c r="BX1194" i="13" s="1"/>
  <c r="BU1194" i="13"/>
  <c r="BV1154" i="13"/>
  <c r="BX1154" i="13" s="1"/>
  <c r="BU1154" i="13"/>
  <c r="BV1130" i="13"/>
  <c r="BX1130" i="13" s="1"/>
  <c r="BU1130" i="13"/>
  <c r="BV1082" i="13"/>
  <c r="BX1082" i="13" s="1"/>
  <c r="BU1082" i="13"/>
  <c r="BV1034" i="13"/>
  <c r="BX1034" i="13" s="1"/>
  <c r="BU1034" i="13"/>
  <c r="BV986" i="13"/>
  <c r="BX986" i="13" s="1"/>
  <c r="BU986" i="13"/>
  <c r="BV938" i="13"/>
  <c r="BX938" i="13" s="1"/>
  <c r="BU938" i="13"/>
  <c r="BV882" i="13"/>
  <c r="BX882" i="13" s="1"/>
  <c r="BU882" i="13"/>
  <c r="BV826" i="13"/>
  <c r="BX826" i="13" s="1"/>
  <c r="BU826" i="13"/>
  <c r="BV1295" i="13"/>
  <c r="BX1295" i="13" s="1"/>
  <c r="BU1295" i="13"/>
  <c r="BV1271" i="13"/>
  <c r="BX1271" i="13" s="1"/>
  <c r="BU1271" i="13"/>
  <c r="BV1239" i="13"/>
  <c r="BX1239" i="13" s="1"/>
  <c r="BU1239" i="13"/>
  <c r="BV1207" i="13"/>
  <c r="BX1207" i="13" s="1"/>
  <c r="BU1207" i="13"/>
  <c r="BV1175" i="13"/>
  <c r="BX1175" i="13" s="1"/>
  <c r="BU1175" i="13"/>
  <c r="BV1159" i="13"/>
  <c r="BX1159" i="13" s="1"/>
  <c r="BU1159" i="13"/>
  <c r="BV1143" i="13"/>
  <c r="BX1143" i="13" s="1"/>
  <c r="BU1143" i="13"/>
  <c r="BV1103" i="13"/>
  <c r="BX1103" i="13" s="1"/>
  <c r="BU1103" i="13"/>
  <c r="BV1071" i="13"/>
  <c r="BX1071" i="13" s="1"/>
  <c r="BU1071" i="13"/>
  <c r="BV1039" i="13"/>
  <c r="BX1039" i="13" s="1"/>
  <c r="BU1039" i="13"/>
  <c r="BV1007" i="13"/>
  <c r="BX1007" i="13" s="1"/>
  <c r="BU1007" i="13"/>
  <c r="BV975" i="13"/>
  <c r="BX975" i="13" s="1"/>
  <c r="BU975" i="13"/>
  <c r="BV943" i="13"/>
  <c r="BX943" i="13" s="1"/>
  <c r="BU943" i="13"/>
  <c r="BV911" i="13"/>
  <c r="BX911" i="13" s="1"/>
  <c r="BU911" i="13"/>
  <c r="BV863" i="13"/>
  <c r="BX863" i="13" s="1"/>
  <c r="BU863" i="13"/>
  <c r="BV831" i="13"/>
  <c r="BX831" i="13" s="1"/>
  <c r="BU831" i="13"/>
  <c r="BV799" i="13"/>
  <c r="BX799" i="13" s="1"/>
  <c r="BU799" i="13"/>
  <c r="BV767" i="13"/>
  <c r="BX767" i="13" s="1"/>
  <c r="BU767" i="13"/>
  <c r="BV735" i="13"/>
  <c r="BX735" i="13" s="1"/>
  <c r="BU735" i="13"/>
  <c r="BV703" i="13"/>
  <c r="BX703" i="13" s="1"/>
  <c r="BU703" i="13"/>
  <c r="BV671" i="13"/>
  <c r="BX671" i="13" s="1"/>
  <c r="BU671" i="13"/>
  <c r="BV639" i="13"/>
  <c r="BX639" i="13" s="1"/>
  <c r="BU639" i="13"/>
  <c r="BV607" i="13"/>
  <c r="BX607" i="13" s="1"/>
  <c r="BU607" i="13"/>
  <c r="BV575" i="13"/>
  <c r="BX575" i="13" s="1"/>
  <c r="BU575" i="13"/>
  <c r="BV543" i="13"/>
  <c r="BX543" i="13" s="1"/>
  <c r="BU543" i="13"/>
  <c r="BV503" i="13"/>
  <c r="BX503" i="13" s="1"/>
  <c r="BU503" i="13"/>
  <c r="BV471" i="13"/>
  <c r="BX471" i="13" s="1"/>
  <c r="BU471" i="13"/>
  <c r="BV447" i="13"/>
  <c r="BX447" i="13" s="1"/>
  <c r="BU447" i="13"/>
  <c r="BV407" i="13"/>
  <c r="BX407" i="13" s="1"/>
  <c r="BU407" i="13"/>
  <c r="BV375" i="13"/>
  <c r="BX375" i="13" s="1"/>
  <c r="BU375" i="13"/>
  <c r="BV343" i="13"/>
  <c r="BX343" i="13" s="1"/>
  <c r="BU343" i="13"/>
  <c r="BV303" i="13"/>
  <c r="BX303" i="13" s="1"/>
  <c r="BU303" i="13"/>
  <c r="BV271" i="13"/>
  <c r="BX271" i="13" s="1"/>
  <c r="BU271" i="13"/>
  <c r="BV239" i="13"/>
  <c r="BX239" i="13" s="1"/>
  <c r="BU239" i="13"/>
  <c r="BV215" i="13"/>
  <c r="BX215" i="13" s="1"/>
  <c r="BU215" i="13"/>
  <c r="BV1302" i="13"/>
  <c r="BX1302" i="13" s="1"/>
  <c r="BU1302" i="13"/>
  <c r="BV1294" i="13"/>
  <c r="BX1294" i="13" s="1"/>
  <c r="BU1294" i="13"/>
  <c r="BV1286" i="13"/>
  <c r="BX1286" i="13" s="1"/>
  <c r="BU1286" i="13"/>
  <c r="BV1278" i="13"/>
  <c r="BX1278" i="13" s="1"/>
  <c r="BU1278" i="13"/>
  <c r="BV1270" i="13"/>
  <c r="BX1270" i="13" s="1"/>
  <c r="BU1270" i="13"/>
  <c r="BV1262" i="13"/>
  <c r="BX1262" i="13" s="1"/>
  <c r="BU1262" i="13"/>
  <c r="BV1254" i="13"/>
  <c r="BX1254" i="13" s="1"/>
  <c r="BU1254" i="13"/>
  <c r="BV1246" i="13"/>
  <c r="BX1246" i="13" s="1"/>
  <c r="BU1246" i="13"/>
  <c r="BV1238" i="13"/>
  <c r="BX1238" i="13" s="1"/>
  <c r="BU1238" i="13"/>
  <c r="BV1230" i="13"/>
  <c r="BX1230" i="13" s="1"/>
  <c r="BU1230" i="13"/>
  <c r="BV1222" i="13"/>
  <c r="BX1222" i="13" s="1"/>
  <c r="BU1222" i="13"/>
  <c r="BV1214" i="13"/>
  <c r="BX1214" i="13" s="1"/>
  <c r="BU1214" i="13"/>
  <c r="BV1206" i="13"/>
  <c r="BX1206" i="13" s="1"/>
  <c r="BU1206" i="13"/>
  <c r="BV1198" i="13"/>
  <c r="BX1198" i="13" s="1"/>
  <c r="BU1198" i="13"/>
  <c r="BV1190" i="13"/>
  <c r="BX1190" i="13" s="1"/>
  <c r="BU1190" i="13"/>
  <c r="BV1174" i="13"/>
  <c r="BX1174" i="13" s="1"/>
  <c r="BU1174" i="13"/>
  <c r="BV1166" i="13"/>
  <c r="BX1166" i="13" s="1"/>
  <c r="BU1166" i="13"/>
  <c r="BV1158" i="13"/>
  <c r="BX1158" i="13" s="1"/>
  <c r="BU1158" i="13"/>
  <c r="BV1150" i="13"/>
  <c r="BX1150" i="13" s="1"/>
  <c r="BU1150" i="13"/>
  <c r="BV1142" i="13"/>
  <c r="BX1142" i="13" s="1"/>
  <c r="BU1142" i="13"/>
  <c r="BV1134" i="13"/>
  <c r="BX1134" i="13" s="1"/>
  <c r="BU1134" i="13"/>
  <c r="BV1126" i="13"/>
  <c r="BX1126" i="13" s="1"/>
  <c r="BU1126" i="13"/>
  <c r="BV1118" i="13"/>
  <c r="BX1118" i="13" s="1"/>
  <c r="BU1118" i="13"/>
  <c r="BV1110" i="13"/>
  <c r="BX1110" i="13" s="1"/>
  <c r="BU1110" i="13"/>
  <c r="BU1102" i="13"/>
  <c r="BV1102" i="13"/>
  <c r="BX1102" i="13" s="1"/>
  <c r="BV1094" i="13"/>
  <c r="BX1094" i="13" s="1"/>
  <c r="BU1094" i="13"/>
  <c r="BV1086" i="13"/>
  <c r="BX1086" i="13" s="1"/>
  <c r="BU1086" i="13"/>
  <c r="BV1078" i="13"/>
  <c r="BX1078" i="13" s="1"/>
  <c r="BU1078" i="13"/>
  <c r="BV1070" i="13"/>
  <c r="BX1070" i="13" s="1"/>
  <c r="BU1070" i="13"/>
  <c r="BV1062" i="13"/>
  <c r="BX1062" i="13" s="1"/>
  <c r="BU1062" i="13"/>
  <c r="BV1054" i="13"/>
  <c r="BX1054" i="13" s="1"/>
  <c r="BU1054" i="13"/>
  <c r="BV1046" i="13"/>
  <c r="BX1046" i="13" s="1"/>
  <c r="BU1046" i="13"/>
  <c r="BV1038" i="13"/>
  <c r="BX1038" i="13" s="1"/>
  <c r="BU1038" i="13"/>
  <c r="BV1030" i="13"/>
  <c r="BX1030" i="13" s="1"/>
  <c r="BU1030" i="13"/>
  <c r="BV1022" i="13"/>
  <c r="BX1022" i="13" s="1"/>
  <c r="BU1022" i="13"/>
  <c r="BV1014" i="13"/>
  <c r="BX1014" i="13" s="1"/>
  <c r="BU1014" i="13"/>
  <c r="BV1006" i="13"/>
  <c r="BX1006" i="13" s="1"/>
  <c r="BU1006" i="13"/>
  <c r="BV998" i="13"/>
  <c r="BX998" i="13" s="1"/>
  <c r="BU998" i="13"/>
  <c r="BV990" i="13"/>
  <c r="BX990" i="13" s="1"/>
  <c r="BU990" i="13"/>
  <c r="BV982" i="13"/>
  <c r="BX982" i="13" s="1"/>
  <c r="BU982" i="13"/>
  <c r="BV974" i="13"/>
  <c r="BX974" i="13" s="1"/>
  <c r="BU974" i="13"/>
  <c r="BV966" i="13"/>
  <c r="BX966" i="13" s="1"/>
  <c r="BU966" i="13"/>
  <c r="BV958" i="13"/>
  <c r="BX958" i="13" s="1"/>
  <c r="BU958" i="13"/>
  <c r="BV942" i="13"/>
  <c r="BX942" i="13" s="1"/>
  <c r="BU942" i="13"/>
  <c r="BV934" i="13"/>
  <c r="BX934" i="13" s="1"/>
  <c r="BU934" i="13"/>
  <c r="BV926" i="13"/>
  <c r="BX926" i="13" s="1"/>
  <c r="BU926" i="13"/>
  <c r="BV918" i="13"/>
  <c r="BX918" i="13" s="1"/>
  <c r="BU918" i="13"/>
  <c r="BV910" i="13"/>
  <c r="BX910" i="13" s="1"/>
  <c r="BU910" i="13"/>
  <c r="BV902" i="13"/>
  <c r="BX902" i="13" s="1"/>
  <c r="BU902" i="13"/>
  <c r="BV894" i="13"/>
  <c r="BX894" i="13" s="1"/>
  <c r="BU894" i="13"/>
  <c r="BV886" i="13"/>
  <c r="BX886" i="13" s="1"/>
  <c r="BU886" i="13"/>
  <c r="BV878" i="13"/>
  <c r="BX878" i="13" s="1"/>
  <c r="BU878" i="13"/>
  <c r="BV870" i="13"/>
  <c r="BX870" i="13" s="1"/>
  <c r="BU870" i="13"/>
  <c r="BV862" i="13"/>
  <c r="BX862" i="13" s="1"/>
  <c r="BU862" i="13"/>
  <c r="BV854" i="13"/>
  <c r="BX854" i="13" s="1"/>
  <c r="BU854" i="13"/>
  <c r="BV846" i="13"/>
  <c r="BX846" i="13" s="1"/>
  <c r="BU846" i="13"/>
  <c r="BV838" i="13"/>
  <c r="BX838" i="13" s="1"/>
  <c r="BU838" i="13"/>
  <c r="BV830" i="13"/>
  <c r="BX830" i="13" s="1"/>
  <c r="BU830" i="13"/>
  <c r="BV822" i="13"/>
  <c r="BX822" i="13" s="1"/>
  <c r="BU822" i="13"/>
  <c r="BV814" i="13"/>
  <c r="BX814" i="13" s="1"/>
  <c r="BU814" i="13"/>
  <c r="BV806" i="13"/>
  <c r="BX806" i="13" s="1"/>
  <c r="BU806" i="13"/>
  <c r="BV798" i="13"/>
  <c r="BX798" i="13" s="1"/>
  <c r="BU798" i="13"/>
  <c r="BV790" i="13"/>
  <c r="BX790" i="13" s="1"/>
  <c r="BU790" i="13"/>
  <c r="BV782" i="13"/>
  <c r="BX782" i="13" s="1"/>
  <c r="BU782" i="13"/>
  <c r="BV774" i="13"/>
  <c r="BX774" i="13" s="1"/>
  <c r="BU774" i="13"/>
  <c r="BV766" i="13"/>
  <c r="BX766" i="13" s="1"/>
  <c r="BU766" i="13"/>
  <c r="BV758" i="13"/>
  <c r="BX758" i="13" s="1"/>
  <c r="BU758" i="13"/>
  <c r="BV750" i="13"/>
  <c r="BX750" i="13" s="1"/>
  <c r="BU750" i="13"/>
  <c r="BV742" i="13"/>
  <c r="BX742" i="13" s="1"/>
  <c r="BU742" i="13"/>
  <c r="BV734" i="13"/>
  <c r="BX734" i="13" s="1"/>
  <c r="BU734" i="13"/>
  <c r="BV726" i="13"/>
  <c r="BX726" i="13" s="1"/>
  <c r="BU726" i="13"/>
  <c r="BV718" i="13"/>
  <c r="BX718" i="13" s="1"/>
  <c r="BU718" i="13"/>
  <c r="BV710" i="13"/>
  <c r="BX710" i="13" s="1"/>
  <c r="BU710" i="13"/>
  <c r="BV702" i="13"/>
  <c r="BX702" i="13" s="1"/>
  <c r="BU702" i="13"/>
  <c r="BV694" i="13"/>
  <c r="BX694" i="13" s="1"/>
  <c r="BU694" i="13"/>
  <c r="BV686" i="13"/>
  <c r="BX686" i="13" s="1"/>
  <c r="BU686" i="13"/>
  <c r="BV678" i="13"/>
  <c r="BX678" i="13" s="1"/>
  <c r="BU678" i="13"/>
  <c r="BV670" i="13"/>
  <c r="BX670" i="13" s="1"/>
  <c r="BU670" i="13"/>
  <c r="BV662" i="13"/>
  <c r="BX662" i="13" s="1"/>
  <c r="BU662" i="13"/>
  <c r="BV654" i="13"/>
  <c r="BX654" i="13" s="1"/>
  <c r="BU654" i="13"/>
  <c r="BV646" i="13"/>
  <c r="BX646" i="13" s="1"/>
  <c r="BU646" i="13"/>
  <c r="BV638" i="13"/>
  <c r="BX638" i="13" s="1"/>
  <c r="BU638" i="13"/>
  <c r="BV630" i="13"/>
  <c r="BX630" i="13" s="1"/>
  <c r="BU630" i="13"/>
  <c r="BV622" i="13"/>
  <c r="BX622" i="13" s="1"/>
  <c r="BU622" i="13"/>
  <c r="BV614" i="13"/>
  <c r="BX614" i="13" s="1"/>
  <c r="BU614" i="13"/>
  <c r="BV606" i="13"/>
  <c r="BX606" i="13" s="1"/>
  <c r="BU606" i="13"/>
  <c r="BV598" i="13"/>
  <c r="BX598" i="13" s="1"/>
  <c r="BU598" i="13"/>
  <c r="BV590" i="13"/>
  <c r="BX590" i="13" s="1"/>
  <c r="BU590" i="13"/>
  <c r="BV582" i="13"/>
  <c r="BX582" i="13" s="1"/>
  <c r="BU582" i="13"/>
  <c r="BV574" i="13"/>
  <c r="BX574" i="13" s="1"/>
  <c r="BU574" i="13"/>
  <c r="BV566" i="13"/>
  <c r="BX566" i="13" s="1"/>
  <c r="BU566" i="13"/>
  <c r="BV558" i="13"/>
  <c r="BX558" i="13" s="1"/>
  <c r="BU558" i="13"/>
  <c r="BV550" i="13"/>
  <c r="BX550" i="13" s="1"/>
  <c r="BU550" i="13"/>
  <c r="BV542" i="13"/>
  <c r="BX542" i="13" s="1"/>
  <c r="BU542" i="13"/>
  <c r="BV534" i="13"/>
  <c r="BX534" i="13" s="1"/>
  <c r="BU534" i="13"/>
  <c r="BV526" i="13"/>
  <c r="BX526" i="13" s="1"/>
  <c r="BU526" i="13"/>
  <c r="BV518" i="13"/>
  <c r="BX518" i="13" s="1"/>
  <c r="BU518" i="13"/>
  <c r="BV510" i="13"/>
  <c r="BX510" i="13" s="1"/>
  <c r="BU510" i="13"/>
  <c r="BV502" i="13"/>
  <c r="BX502" i="13" s="1"/>
  <c r="BU502" i="13"/>
  <c r="BV494" i="13"/>
  <c r="BX494" i="13" s="1"/>
  <c r="BU494" i="13"/>
  <c r="BV486" i="13"/>
  <c r="BX486" i="13" s="1"/>
  <c r="BU486" i="13"/>
  <c r="BV478" i="13"/>
  <c r="BX478" i="13" s="1"/>
  <c r="BU478" i="13"/>
  <c r="BV470" i="13"/>
  <c r="BX470" i="13" s="1"/>
  <c r="BU470" i="13"/>
  <c r="BV462" i="13"/>
  <c r="BX462" i="13" s="1"/>
  <c r="BU462" i="13"/>
  <c r="BV454" i="13"/>
  <c r="BX454" i="13" s="1"/>
  <c r="BU454" i="13"/>
  <c r="BV446" i="13"/>
  <c r="BX446" i="13" s="1"/>
  <c r="BU446" i="13"/>
  <c r="BV438" i="13"/>
  <c r="BX438" i="13" s="1"/>
  <c r="BU438" i="13"/>
  <c r="BV430" i="13"/>
  <c r="BX430" i="13" s="1"/>
  <c r="BU430" i="13"/>
  <c r="BV422" i="13"/>
  <c r="BX422" i="13" s="1"/>
  <c r="BU422" i="13"/>
  <c r="BV414" i="13"/>
  <c r="BX414" i="13" s="1"/>
  <c r="BU414" i="13"/>
  <c r="BV406" i="13"/>
  <c r="BX406" i="13" s="1"/>
  <c r="BU406" i="13"/>
  <c r="BV398" i="13"/>
  <c r="BX398" i="13" s="1"/>
  <c r="BU398" i="13"/>
  <c r="BV390" i="13"/>
  <c r="BX390" i="13" s="1"/>
  <c r="BU390" i="13"/>
  <c r="BV382" i="13"/>
  <c r="BX382" i="13" s="1"/>
  <c r="BU382" i="13"/>
  <c r="BV374" i="13"/>
  <c r="BX374" i="13" s="1"/>
  <c r="BU374" i="13"/>
  <c r="BV366" i="13"/>
  <c r="BX366" i="13" s="1"/>
  <c r="BU366" i="13"/>
  <c r="BV358" i="13"/>
  <c r="BX358" i="13" s="1"/>
  <c r="BU358" i="13"/>
  <c r="BV350" i="13"/>
  <c r="BX350" i="13" s="1"/>
  <c r="BU350" i="13"/>
  <c r="BV342" i="13"/>
  <c r="BX342" i="13" s="1"/>
  <c r="BU342" i="13"/>
  <c r="BV334" i="13"/>
  <c r="BX334" i="13" s="1"/>
  <c r="BU334" i="13"/>
  <c r="BV326" i="13"/>
  <c r="BX326" i="13" s="1"/>
  <c r="BU326" i="13"/>
  <c r="BV310" i="13"/>
  <c r="BX310" i="13" s="1"/>
  <c r="BU310" i="13"/>
  <c r="BV302" i="13"/>
  <c r="BX302" i="13" s="1"/>
  <c r="BU302" i="13"/>
  <c r="BV294" i="13"/>
  <c r="BX294" i="13" s="1"/>
  <c r="BU294" i="13"/>
  <c r="BV278" i="13"/>
  <c r="BX278" i="13" s="1"/>
  <c r="BU278" i="13"/>
  <c r="BV270" i="13"/>
  <c r="BX270" i="13" s="1"/>
  <c r="BU270" i="13"/>
  <c r="BV262" i="13"/>
  <c r="BX262" i="13" s="1"/>
  <c r="BU262" i="13"/>
  <c r="BV246" i="13"/>
  <c r="BX246" i="13" s="1"/>
  <c r="BU246" i="13"/>
  <c r="BV238" i="13"/>
  <c r="BX238" i="13" s="1"/>
  <c r="BU238" i="13"/>
  <c r="BV230" i="13"/>
  <c r="BX230" i="13" s="1"/>
  <c r="BU230" i="13"/>
  <c r="BV214" i="13"/>
  <c r="BX214" i="13" s="1"/>
  <c r="BU214" i="13"/>
  <c r="BV206" i="13"/>
  <c r="BX206" i="13" s="1"/>
  <c r="BU206" i="13"/>
  <c r="BV198" i="13"/>
  <c r="BX198" i="13" s="1"/>
  <c r="BU198" i="13"/>
  <c r="BV182" i="13"/>
  <c r="BX182" i="13" s="1"/>
  <c r="BU182" i="13"/>
  <c r="BV174" i="13"/>
  <c r="BX174" i="13" s="1"/>
  <c r="BU174" i="13"/>
  <c r="BV166" i="13"/>
  <c r="BX166" i="13" s="1"/>
  <c r="BU166" i="13"/>
  <c r="BV150" i="13"/>
  <c r="BX150" i="13" s="1"/>
  <c r="BU150" i="13"/>
  <c r="BV142" i="13"/>
  <c r="BX142" i="13" s="1"/>
  <c r="BU142" i="13"/>
  <c r="BV134" i="13"/>
  <c r="BX134" i="13" s="1"/>
  <c r="BU134" i="13"/>
  <c r="BV126" i="13"/>
  <c r="BX126" i="13" s="1"/>
  <c r="BU126" i="13"/>
  <c r="BV118" i="13"/>
  <c r="BX118" i="13" s="1"/>
  <c r="BU118" i="13"/>
  <c r="BV110" i="13"/>
  <c r="BX110" i="13" s="1"/>
  <c r="BU110" i="13"/>
  <c r="BV102" i="13"/>
  <c r="BX102" i="13" s="1"/>
  <c r="BU102" i="13"/>
  <c r="BV94" i="13"/>
  <c r="BX94" i="13" s="1"/>
  <c r="BU94" i="13"/>
  <c r="BV86" i="13"/>
  <c r="BX86" i="13" s="1"/>
  <c r="BU86" i="13"/>
  <c r="BV78" i="13"/>
  <c r="BX78" i="13" s="1"/>
  <c r="BU78" i="13"/>
  <c r="BV70" i="13"/>
  <c r="BX70" i="13" s="1"/>
  <c r="BU70" i="13"/>
  <c r="BV62" i="13"/>
  <c r="BX62" i="13" s="1"/>
  <c r="BU62" i="13"/>
  <c r="BV54" i="13"/>
  <c r="BX54" i="13" s="1"/>
  <c r="BU54" i="13"/>
  <c r="BV46" i="13"/>
  <c r="BX46" i="13" s="1"/>
  <c r="BU46" i="13"/>
  <c r="BV38" i="13"/>
  <c r="BX38" i="13" s="1"/>
  <c r="BU38" i="13"/>
  <c r="BV30" i="13"/>
  <c r="BX30" i="13" s="1"/>
  <c r="BU30" i="13"/>
  <c r="BV22" i="13"/>
  <c r="BX22" i="13" s="1"/>
  <c r="BU22" i="13"/>
  <c r="BV14" i="13"/>
  <c r="BX14" i="13" s="1"/>
  <c r="BU14" i="13"/>
  <c r="BU318" i="13"/>
  <c r="BV1298" i="13"/>
  <c r="BX1298" i="13" s="1"/>
  <c r="BU1298" i="13"/>
  <c r="BV1250" i="13"/>
  <c r="BX1250" i="13" s="1"/>
  <c r="BU1250" i="13"/>
  <c r="BV1202" i="13"/>
  <c r="BX1202" i="13" s="1"/>
  <c r="BU1202" i="13"/>
  <c r="BV1162" i="13"/>
  <c r="BX1162" i="13" s="1"/>
  <c r="BU1162" i="13"/>
  <c r="BV1122" i="13"/>
  <c r="BX1122" i="13" s="1"/>
  <c r="BU1122" i="13"/>
  <c r="BV1074" i="13"/>
  <c r="BX1074" i="13" s="1"/>
  <c r="BU1074" i="13"/>
  <c r="BV1026" i="13"/>
  <c r="BX1026" i="13" s="1"/>
  <c r="BU1026" i="13"/>
  <c r="BV978" i="13"/>
  <c r="BX978" i="13" s="1"/>
  <c r="BU978" i="13"/>
  <c r="BV930" i="13"/>
  <c r="BX930" i="13" s="1"/>
  <c r="BU930" i="13"/>
  <c r="BV890" i="13"/>
  <c r="BX890" i="13" s="1"/>
  <c r="BU890" i="13"/>
  <c r="BV834" i="13"/>
  <c r="BX834" i="13" s="1"/>
  <c r="BU834" i="13"/>
  <c r="BV1303" i="13"/>
  <c r="BX1303" i="13" s="1"/>
  <c r="BU1303" i="13"/>
  <c r="BV1263" i="13"/>
  <c r="BX1263" i="13" s="1"/>
  <c r="BU1263" i="13"/>
  <c r="BV1231" i="13"/>
  <c r="BX1231" i="13" s="1"/>
  <c r="BU1231" i="13"/>
  <c r="BV1199" i="13"/>
  <c r="BX1199" i="13" s="1"/>
  <c r="BU1199" i="13"/>
  <c r="BV1167" i="13"/>
  <c r="BX1167" i="13" s="1"/>
  <c r="BU1167" i="13"/>
  <c r="BV1151" i="13"/>
  <c r="BX1151" i="13" s="1"/>
  <c r="BU1151" i="13"/>
  <c r="BV1135" i="13"/>
  <c r="BX1135" i="13" s="1"/>
  <c r="BU1135" i="13"/>
  <c r="BV1127" i="13"/>
  <c r="BX1127" i="13" s="1"/>
  <c r="BU1127" i="13"/>
  <c r="BV1095" i="13"/>
  <c r="BX1095" i="13" s="1"/>
  <c r="BU1095" i="13"/>
  <c r="BV1063" i="13"/>
  <c r="BX1063" i="13" s="1"/>
  <c r="BU1063" i="13"/>
  <c r="BV1015" i="13"/>
  <c r="BX1015" i="13" s="1"/>
  <c r="BU1015" i="13"/>
  <c r="BV983" i="13"/>
  <c r="BX983" i="13" s="1"/>
  <c r="BU983" i="13"/>
  <c r="BV951" i="13"/>
  <c r="BX951" i="13" s="1"/>
  <c r="BU951" i="13"/>
  <c r="BV919" i="13"/>
  <c r="BX919" i="13" s="1"/>
  <c r="BU919" i="13"/>
  <c r="BV887" i="13"/>
  <c r="BX887" i="13" s="1"/>
  <c r="BU887" i="13"/>
  <c r="BV855" i="13"/>
  <c r="BX855" i="13" s="1"/>
  <c r="BU855" i="13"/>
  <c r="BV823" i="13"/>
  <c r="BX823" i="13" s="1"/>
  <c r="BU823" i="13"/>
  <c r="BV791" i="13"/>
  <c r="BX791" i="13" s="1"/>
  <c r="BU791" i="13"/>
  <c r="BV759" i="13"/>
  <c r="BX759" i="13" s="1"/>
  <c r="BU759" i="13"/>
  <c r="BV727" i="13"/>
  <c r="BX727" i="13" s="1"/>
  <c r="BU727" i="13"/>
  <c r="BV695" i="13"/>
  <c r="BX695" i="13" s="1"/>
  <c r="BU695" i="13"/>
  <c r="BV663" i="13"/>
  <c r="BX663" i="13" s="1"/>
  <c r="BU663" i="13"/>
  <c r="BV631" i="13"/>
  <c r="BX631" i="13" s="1"/>
  <c r="BU631" i="13"/>
  <c r="BV599" i="13"/>
  <c r="BX599" i="13" s="1"/>
  <c r="BU599" i="13"/>
  <c r="BV567" i="13"/>
  <c r="BX567" i="13" s="1"/>
  <c r="BU567" i="13"/>
  <c r="BV535" i="13"/>
  <c r="BX535" i="13" s="1"/>
  <c r="BU535" i="13"/>
  <c r="BV511" i="13"/>
  <c r="BX511" i="13" s="1"/>
  <c r="BU511" i="13"/>
  <c r="BV479" i="13"/>
  <c r="BX479" i="13" s="1"/>
  <c r="BU479" i="13"/>
  <c r="BV439" i="13"/>
  <c r="BX439" i="13" s="1"/>
  <c r="BU439" i="13"/>
  <c r="BV415" i="13"/>
  <c r="BX415" i="13" s="1"/>
  <c r="BU415" i="13"/>
  <c r="BV383" i="13"/>
  <c r="BX383" i="13" s="1"/>
  <c r="BU383" i="13"/>
  <c r="BV351" i="13"/>
  <c r="BX351" i="13" s="1"/>
  <c r="BU351" i="13"/>
  <c r="BV319" i="13"/>
  <c r="BX319" i="13" s="1"/>
  <c r="BU319" i="13"/>
  <c r="BV287" i="13"/>
  <c r="BX287" i="13" s="1"/>
  <c r="BU287" i="13"/>
  <c r="BV255" i="13"/>
  <c r="BX255" i="13" s="1"/>
  <c r="BU255" i="13"/>
  <c r="BV223" i="13"/>
  <c r="BX223" i="13" s="1"/>
  <c r="BU223" i="13"/>
  <c r="BV1301" i="13"/>
  <c r="BX1301" i="13" s="1"/>
  <c r="BU1301" i="13"/>
  <c r="BV1285" i="13"/>
  <c r="BX1285" i="13" s="1"/>
  <c r="BU1285" i="13"/>
  <c r="BV1269" i="13"/>
  <c r="BX1269" i="13" s="1"/>
  <c r="BU1269" i="13"/>
  <c r="BV1253" i="13"/>
  <c r="BX1253" i="13" s="1"/>
  <c r="BU1253" i="13"/>
  <c r="BV1237" i="13"/>
  <c r="BX1237" i="13" s="1"/>
  <c r="BU1237" i="13"/>
  <c r="BV1221" i="13"/>
  <c r="BX1221" i="13" s="1"/>
  <c r="BU1221" i="13"/>
  <c r="BV1205" i="13"/>
  <c r="BX1205" i="13" s="1"/>
  <c r="BU1205" i="13"/>
  <c r="BV1189" i="13"/>
  <c r="BX1189" i="13" s="1"/>
  <c r="BU1189" i="13"/>
  <c r="BV1173" i="13"/>
  <c r="BX1173" i="13" s="1"/>
  <c r="BU1173" i="13"/>
  <c r="BV1157" i="13"/>
  <c r="BX1157" i="13" s="1"/>
  <c r="BU1157" i="13"/>
  <c r="BV1141" i="13"/>
  <c r="BX1141" i="13" s="1"/>
  <c r="BU1141" i="13"/>
  <c r="BV1125" i="13"/>
  <c r="BX1125" i="13" s="1"/>
  <c r="BU1125" i="13"/>
  <c r="BV1117" i="13"/>
  <c r="BX1117" i="13" s="1"/>
  <c r="BU1117" i="13"/>
  <c r="BV1109" i="13"/>
  <c r="BX1109" i="13" s="1"/>
  <c r="BU1109" i="13"/>
  <c r="BV1101" i="13"/>
  <c r="BX1101" i="13" s="1"/>
  <c r="BU1101" i="13"/>
  <c r="BV1093" i="13"/>
  <c r="BX1093" i="13" s="1"/>
  <c r="BU1093" i="13"/>
  <c r="BV1085" i="13"/>
  <c r="BX1085" i="13" s="1"/>
  <c r="BU1085" i="13"/>
  <c r="BV1077" i="13"/>
  <c r="BX1077" i="13" s="1"/>
  <c r="BU1077" i="13"/>
  <c r="BV1069" i="13"/>
  <c r="BX1069" i="13" s="1"/>
  <c r="BU1069" i="13"/>
  <c r="BV1061" i="13"/>
  <c r="BX1061" i="13" s="1"/>
  <c r="BU1061" i="13"/>
  <c r="BV1053" i="13"/>
  <c r="BX1053" i="13" s="1"/>
  <c r="BU1053" i="13"/>
  <c r="BV1045" i="13"/>
  <c r="BX1045" i="13" s="1"/>
  <c r="BU1045" i="13"/>
  <c r="BV1037" i="13"/>
  <c r="BX1037" i="13" s="1"/>
  <c r="BU1037" i="13"/>
  <c r="BV1029" i="13"/>
  <c r="BX1029" i="13" s="1"/>
  <c r="BU1029" i="13"/>
  <c r="BV1021" i="13"/>
  <c r="BX1021" i="13" s="1"/>
  <c r="BU1021" i="13"/>
  <c r="BV1013" i="13"/>
  <c r="BX1013" i="13" s="1"/>
  <c r="BU1013" i="13"/>
  <c r="BV1005" i="13"/>
  <c r="BX1005" i="13" s="1"/>
  <c r="BU1005" i="13"/>
  <c r="BV997" i="13"/>
  <c r="BX997" i="13" s="1"/>
  <c r="BU997" i="13"/>
  <c r="BV989" i="13"/>
  <c r="BX989" i="13" s="1"/>
  <c r="BU989" i="13"/>
  <c r="BV981" i="13"/>
  <c r="BX981" i="13" s="1"/>
  <c r="BU981" i="13"/>
  <c r="BV973" i="13"/>
  <c r="BX973" i="13" s="1"/>
  <c r="BU973" i="13"/>
  <c r="BV965" i="13"/>
  <c r="BX965" i="13" s="1"/>
  <c r="BU965" i="13"/>
  <c r="BV957" i="13"/>
  <c r="BX957" i="13" s="1"/>
  <c r="BU957" i="13"/>
  <c r="BV949" i="13"/>
  <c r="BX949" i="13" s="1"/>
  <c r="BU949" i="13"/>
  <c r="BV941" i="13"/>
  <c r="BX941" i="13" s="1"/>
  <c r="BU941" i="13"/>
  <c r="BV933" i="13"/>
  <c r="BX933" i="13" s="1"/>
  <c r="BU933" i="13"/>
  <c r="BV925" i="13"/>
  <c r="BX925" i="13" s="1"/>
  <c r="BU925" i="13"/>
  <c r="BV917" i="13"/>
  <c r="BX917" i="13" s="1"/>
  <c r="BU917" i="13"/>
  <c r="BV909" i="13"/>
  <c r="BX909" i="13" s="1"/>
  <c r="BU909" i="13"/>
  <c r="BV901" i="13"/>
  <c r="BX901" i="13" s="1"/>
  <c r="BU901" i="13"/>
  <c r="BV893" i="13"/>
  <c r="BX893" i="13" s="1"/>
  <c r="BU893" i="13"/>
  <c r="BV885" i="13"/>
  <c r="BX885" i="13" s="1"/>
  <c r="BU885" i="13"/>
  <c r="BV877" i="13"/>
  <c r="BX877" i="13" s="1"/>
  <c r="BU877" i="13"/>
  <c r="BV869" i="13"/>
  <c r="BX869" i="13" s="1"/>
  <c r="BU869" i="13"/>
  <c r="BV861" i="13"/>
  <c r="BX861" i="13" s="1"/>
  <c r="BU861" i="13"/>
  <c r="BV853" i="13"/>
  <c r="BX853" i="13" s="1"/>
  <c r="BU853" i="13"/>
  <c r="BV845" i="13"/>
  <c r="BX845" i="13" s="1"/>
  <c r="BU845" i="13"/>
  <c r="BV837" i="13"/>
  <c r="BX837" i="13" s="1"/>
  <c r="BU837" i="13"/>
  <c r="BV829" i="13"/>
  <c r="BX829" i="13" s="1"/>
  <c r="BU829" i="13"/>
  <c r="BV821" i="13"/>
  <c r="BX821" i="13" s="1"/>
  <c r="BU821" i="13"/>
  <c r="BV813" i="13"/>
  <c r="BX813" i="13" s="1"/>
  <c r="BU813" i="13"/>
  <c r="BV805" i="13"/>
  <c r="BX805" i="13" s="1"/>
  <c r="BU805" i="13"/>
  <c r="BV797" i="13"/>
  <c r="BX797" i="13" s="1"/>
  <c r="BU797" i="13"/>
  <c r="BV789" i="13"/>
  <c r="BX789" i="13" s="1"/>
  <c r="BU789" i="13"/>
  <c r="BV781" i="13"/>
  <c r="BX781" i="13" s="1"/>
  <c r="BU781" i="13"/>
  <c r="BV773" i="13"/>
  <c r="BX773" i="13" s="1"/>
  <c r="BU773" i="13"/>
  <c r="BV765" i="13"/>
  <c r="BX765" i="13" s="1"/>
  <c r="BU765" i="13"/>
  <c r="BV757" i="13"/>
  <c r="BX757" i="13" s="1"/>
  <c r="BU757" i="13"/>
  <c r="BV749" i="13"/>
  <c r="BX749" i="13" s="1"/>
  <c r="BU749" i="13"/>
  <c r="BV741" i="13"/>
  <c r="BX741" i="13" s="1"/>
  <c r="BU741" i="13"/>
  <c r="BV733" i="13"/>
  <c r="BX733" i="13" s="1"/>
  <c r="BU733" i="13"/>
  <c r="BV725" i="13"/>
  <c r="BX725" i="13" s="1"/>
  <c r="BU725" i="13"/>
  <c r="BV717" i="13"/>
  <c r="BX717" i="13" s="1"/>
  <c r="BU717" i="13"/>
  <c r="BV709" i="13"/>
  <c r="BX709" i="13" s="1"/>
  <c r="BU709" i="13"/>
  <c r="BV701" i="13"/>
  <c r="BX701" i="13" s="1"/>
  <c r="BU701" i="13"/>
  <c r="BV693" i="13"/>
  <c r="BX693" i="13" s="1"/>
  <c r="BU693" i="13"/>
  <c r="BV685" i="13"/>
  <c r="BX685" i="13" s="1"/>
  <c r="BU685" i="13"/>
  <c r="BV677" i="13"/>
  <c r="BX677" i="13" s="1"/>
  <c r="BU677" i="13"/>
  <c r="BV669" i="13"/>
  <c r="BX669" i="13" s="1"/>
  <c r="BU669" i="13"/>
  <c r="BV661" i="13"/>
  <c r="BX661" i="13" s="1"/>
  <c r="BU661" i="13"/>
  <c r="BV653" i="13"/>
  <c r="BX653" i="13" s="1"/>
  <c r="BU653" i="13"/>
  <c r="BV645" i="13"/>
  <c r="BX645" i="13" s="1"/>
  <c r="BU645" i="13"/>
  <c r="BV637" i="13"/>
  <c r="BX637" i="13" s="1"/>
  <c r="BU637" i="13"/>
  <c r="BV629" i="13"/>
  <c r="BX629" i="13" s="1"/>
  <c r="BU629" i="13"/>
  <c r="BV621" i="13"/>
  <c r="BX621" i="13" s="1"/>
  <c r="BU621" i="13"/>
  <c r="BV613" i="13"/>
  <c r="BX613" i="13" s="1"/>
  <c r="BU613" i="13"/>
  <c r="BV605" i="13"/>
  <c r="BX605" i="13" s="1"/>
  <c r="BU605" i="13"/>
  <c r="BV597" i="13"/>
  <c r="BX597" i="13" s="1"/>
  <c r="BU597" i="13"/>
  <c r="BV589" i="13"/>
  <c r="BX589" i="13" s="1"/>
  <c r="BU589" i="13"/>
  <c r="BV581" i="13"/>
  <c r="BX581" i="13" s="1"/>
  <c r="BU581" i="13"/>
  <c r="BV573" i="13"/>
  <c r="BX573" i="13" s="1"/>
  <c r="BU573" i="13"/>
  <c r="BU565" i="13"/>
  <c r="BV565" i="13"/>
  <c r="BX565" i="13" s="1"/>
  <c r="BV557" i="13"/>
  <c r="BX557" i="13" s="1"/>
  <c r="BU557" i="13"/>
  <c r="BV549" i="13"/>
  <c r="BX549" i="13" s="1"/>
  <c r="BU549" i="13"/>
  <c r="BV541" i="13"/>
  <c r="BX541" i="13" s="1"/>
  <c r="BU541" i="13"/>
  <c r="BV533" i="13"/>
  <c r="BX533" i="13" s="1"/>
  <c r="BU533" i="13"/>
  <c r="BV525" i="13"/>
  <c r="BX525" i="13" s="1"/>
  <c r="BU525" i="13"/>
  <c r="BV517" i="13"/>
  <c r="BX517" i="13" s="1"/>
  <c r="BU517" i="13"/>
  <c r="BV509" i="13"/>
  <c r="BX509" i="13" s="1"/>
  <c r="BU509" i="13"/>
  <c r="BV501" i="13"/>
  <c r="BX501" i="13" s="1"/>
  <c r="BU501" i="13"/>
  <c r="BV493" i="13"/>
  <c r="BX493" i="13" s="1"/>
  <c r="BU493" i="13"/>
  <c r="BV485" i="13"/>
  <c r="BX485" i="13" s="1"/>
  <c r="BU485" i="13"/>
  <c r="BV477" i="13"/>
  <c r="BX477" i="13" s="1"/>
  <c r="BU477" i="13"/>
  <c r="BV469" i="13"/>
  <c r="BX469" i="13" s="1"/>
  <c r="BU469" i="13"/>
  <c r="BV461" i="13"/>
  <c r="BX461" i="13" s="1"/>
  <c r="BU461" i="13"/>
  <c r="BV453" i="13"/>
  <c r="BX453" i="13" s="1"/>
  <c r="BU453" i="13"/>
  <c r="BV445" i="13"/>
  <c r="BX445" i="13" s="1"/>
  <c r="BU445" i="13"/>
  <c r="BV437" i="13"/>
  <c r="BX437" i="13" s="1"/>
  <c r="BU437" i="13"/>
  <c r="BV429" i="13"/>
  <c r="BX429" i="13" s="1"/>
  <c r="BU429" i="13"/>
  <c r="BV421" i="13"/>
  <c r="BX421" i="13" s="1"/>
  <c r="BU421" i="13"/>
  <c r="BV413" i="13"/>
  <c r="BX413" i="13" s="1"/>
  <c r="BU413" i="13"/>
  <c r="BU405" i="13"/>
  <c r="BV405" i="13"/>
  <c r="BX405" i="13" s="1"/>
  <c r="BV397" i="13"/>
  <c r="BX397" i="13" s="1"/>
  <c r="BU397" i="13"/>
  <c r="BV389" i="13"/>
  <c r="BX389" i="13" s="1"/>
  <c r="BU389" i="13"/>
  <c r="BV381" i="13"/>
  <c r="BX381" i="13" s="1"/>
  <c r="BU381" i="13"/>
  <c r="BU373" i="13"/>
  <c r="BV373" i="13"/>
  <c r="BX373" i="13" s="1"/>
  <c r="BV365" i="13"/>
  <c r="BX365" i="13" s="1"/>
  <c r="BU365" i="13"/>
  <c r="BV357" i="13"/>
  <c r="BX357" i="13" s="1"/>
  <c r="BU357" i="13"/>
  <c r="BV349" i="13"/>
  <c r="BX349" i="13" s="1"/>
  <c r="BU349" i="13"/>
  <c r="BV341" i="13"/>
  <c r="BX341" i="13" s="1"/>
  <c r="BU341" i="13"/>
  <c r="BV333" i="13"/>
  <c r="BX333" i="13" s="1"/>
  <c r="BU333" i="13"/>
  <c r="BV325" i="13"/>
  <c r="BX325" i="13" s="1"/>
  <c r="BU325" i="13"/>
  <c r="BV317" i="13"/>
  <c r="BX317" i="13" s="1"/>
  <c r="BU317" i="13"/>
  <c r="BV309" i="13"/>
  <c r="BX309" i="13" s="1"/>
  <c r="BU309" i="13"/>
  <c r="BV301" i="13"/>
  <c r="BX301" i="13" s="1"/>
  <c r="BU301" i="13"/>
  <c r="BV293" i="13"/>
  <c r="BX293" i="13" s="1"/>
  <c r="BU293" i="13"/>
  <c r="BV285" i="13"/>
  <c r="BX285" i="13" s="1"/>
  <c r="BU285" i="13"/>
  <c r="BV277" i="13"/>
  <c r="BX277" i="13" s="1"/>
  <c r="BU277" i="13"/>
  <c r="BV269" i="13"/>
  <c r="BX269" i="13" s="1"/>
  <c r="BU269" i="13"/>
  <c r="BV261" i="13"/>
  <c r="BX261" i="13" s="1"/>
  <c r="BU261" i="13"/>
  <c r="BV253" i="13"/>
  <c r="BX253" i="13" s="1"/>
  <c r="BU253" i="13"/>
  <c r="BV245" i="13"/>
  <c r="BX245" i="13" s="1"/>
  <c r="BU245" i="13"/>
  <c r="BV237" i="13"/>
  <c r="BX237" i="13" s="1"/>
  <c r="BU237" i="13"/>
  <c r="BV229" i="13"/>
  <c r="BX229" i="13" s="1"/>
  <c r="BU229" i="13"/>
  <c r="BV221" i="13"/>
  <c r="BX221" i="13" s="1"/>
  <c r="BU221" i="13"/>
  <c r="BV213" i="13"/>
  <c r="BX213" i="13" s="1"/>
  <c r="BU213" i="13"/>
  <c r="BV205" i="13"/>
  <c r="BX205" i="13" s="1"/>
  <c r="BU205" i="13"/>
  <c r="BV197" i="13"/>
  <c r="BX197" i="13" s="1"/>
  <c r="BU197" i="13"/>
  <c r="BV189" i="13"/>
  <c r="BX189" i="13" s="1"/>
  <c r="BU189" i="13"/>
  <c r="BV181" i="13"/>
  <c r="BX181" i="13" s="1"/>
  <c r="BU181" i="13"/>
  <c r="BV173" i="13"/>
  <c r="BX173" i="13" s="1"/>
  <c r="BU173" i="13"/>
  <c r="BV165" i="13"/>
  <c r="BX165" i="13" s="1"/>
  <c r="BU165" i="13"/>
  <c r="BV157" i="13"/>
  <c r="BX157" i="13" s="1"/>
  <c r="BU157" i="13"/>
  <c r="BV149" i="13"/>
  <c r="BX149" i="13" s="1"/>
  <c r="BU149" i="13"/>
  <c r="BV141" i="13"/>
  <c r="BX141" i="13" s="1"/>
  <c r="BU141" i="13"/>
  <c r="BV133" i="13"/>
  <c r="BX133" i="13" s="1"/>
  <c r="BU133" i="13"/>
  <c r="BV125" i="13"/>
  <c r="BX125" i="13" s="1"/>
  <c r="BU125" i="13"/>
  <c r="BV117" i="13"/>
  <c r="BX117" i="13" s="1"/>
  <c r="BU117" i="13"/>
  <c r="BV109" i="13"/>
  <c r="BX109" i="13" s="1"/>
  <c r="BU109" i="13"/>
  <c r="BV101" i="13"/>
  <c r="BX101" i="13" s="1"/>
  <c r="BU101" i="13"/>
  <c r="BV93" i="13"/>
  <c r="BX93" i="13" s="1"/>
  <c r="BU93" i="13"/>
  <c r="BV85" i="13"/>
  <c r="BX85" i="13" s="1"/>
  <c r="BU85" i="13"/>
  <c r="BV77" i="13"/>
  <c r="BX77" i="13" s="1"/>
  <c r="BU77" i="13"/>
  <c r="BV69" i="13"/>
  <c r="BX69" i="13" s="1"/>
  <c r="BU69" i="13"/>
  <c r="BV61" i="13"/>
  <c r="BX61" i="13" s="1"/>
  <c r="BU61" i="13"/>
  <c r="BV53" i="13"/>
  <c r="BX53" i="13" s="1"/>
  <c r="BU53" i="13"/>
  <c r="BV45" i="13"/>
  <c r="BX45" i="13" s="1"/>
  <c r="BU45" i="13"/>
  <c r="BV37" i="13"/>
  <c r="BX37" i="13" s="1"/>
  <c r="BU37" i="13"/>
  <c r="BV29" i="13"/>
  <c r="BX29" i="13" s="1"/>
  <c r="BU29" i="13"/>
  <c r="BV21" i="13"/>
  <c r="BX21" i="13" s="1"/>
  <c r="BU21" i="13"/>
  <c r="BV13" i="13"/>
  <c r="BX13" i="13" s="1"/>
  <c r="BU13" i="13"/>
  <c r="BV5" i="13"/>
  <c r="BX5" i="13" s="1"/>
  <c r="BU5" i="13"/>
  <c r="BU286" i="13"/>
  <c r="BV1282" i="13"/>
  <c r="BX1282" i="13" s="1"/>
  <c r="BU1282" i="13"/>
  <c r="BV1234" i="13"/>
  <c r="BX1234" i="13" s="1"/>
  <c r="BU1234" i="13"/>
  <c r="BV1186" i="13"/>
  <c r="BX1186" i="13" s="1"/>
  <c r="BU1186" i="13"/>
  <c r="BV1146" i="13"/>
  <c r="BX1146" i="13" s="1"/>
  <c r="BU1146" i="13"/>
  <c r="BV1098" i="13"/>
  <c r="BX1098" i="13" s="1"/>
  <c r="BU1098" i="13"/>
  <c r="BV1050" i="13"/>
  <c r="BX1050" i="13" s="1"/>
  <c r="BU1050" i="13"/>
  <c r="BV1002" i="13"/>
  <c r="BX1002" i="13" s="1"/>
  <c r="BU1002" i="13"/>
  <c r="BV954" i="13"/>
  <c r="BX954" i="13" s="1"/>
  <c r="BU954" i="13"/>
  <c r="BV898" i="13"/>
  <c r="BX898" i="13" s="1"/>
  <c r="BU898" i="13"/>
  <c r="BV850" i="13"/>
  <c r="BX850" i="13" s="1"/>
  <c r="BU850" i="13"/>
  <c r="BV1279" i="13"/>
  <c r="BX1279" i="13" s="1"/>
  <c r="BU1279" i="13"/>
  <c r="BV1247" i="13"/>
  <c r="BX1247" i="13" s="1"/>
  <c r="BU1247" i="13"/>
  <c r="BV1215" i="13"/>
  <c r="BX1215" i="13" s="1"/>
  <c r="BU1215" i="13"/>
  <c r="BV1183" i="13"/>
  <c r="BX1183" i="13" s="1"/>
  <c r="BU1183" i="13"/>
  <c r="BV1119" i="13"/>
  <c r="BX1119" i="13" s="1"/>
  <c r="BU1119" i="13"/>
  <c r="BV1087" i="13"/>
  <c r="BX1087" i="13" s="1"/>
  <c r="BU1087" i="13"/>
  <c r="BV1055" i="13"/>
  <c r="BX1055" i="13" s="1"/>
  <c r="BU1055" i="13"/>
  <c r="BV1023" i="13"/>
  <c r="BX1023" i="13" s="1"/>
  <c r="BU1023" i="13"/>
  <c r="BV991" i="13"/>
  <c r="BX991" i="13" s="1"/>
  <c r="BU991" i="13"/>
  <c r="BV959" i="13"/>
  <c r="BX959" i="13" s="1"/>
  <c r="BU959" i="13"/>
  <c r="BV927" i="13"/>
  <c r="BX927" i="13" s="1"/>
  <c r="BU927" i="13"/>
  <c r="BV895" i="13"/>
  <c r="BX895" i="13" s="1"/>
  <c r="BU895" i="13"/>
  <c r="BV871" i="13"/>
  <c r="BX871" i="13" s="1"/>
  <c r="BU871" i="13"/>
  <c r="BV839" i="13"/>
  <c r="BX839" i="13" s="1"/>
  <c r="BU839" i="13"/>
  <c r="BV815" i="13"/>
  <c r="BX815" i="13" s="1"/>
  <c r="BU815" i="13"/>
  <c r="BV783" i="13"/>
  <c r="BX783" i="13" s="1"/>
  <c r="BU783" i="13"/>
  <c r="BV751" i="13"/>
  <c r="BX751" i="13" s="1"/>
  <c r="BU751" i="13"/>
  <c r="BV719" i="13"/>
  <c r="BX719" i="13" s="1"/>
  <c r="BU719" i="13"/>
  <c r="BV687" i="13"/>
  <c r="BX687" i="13" s="1"/>
  <c r="BU687" i="13"/>
  <c r="BV655" i="13"/>
  <c r="BX655" i="13" s="1"/>
  <c r="BU655" i="13"/>
  <c r="BV623" i="13"/>
  <c r="BX623" i="13" s="1"/>
  <c r="BU623" i="13"/>
  <c r="BV591" i="13"/>
  <c r="BX591" i="13" s="1"/>
  <c r="BU591" i="13"/>
  <c r="BV559" i="13"/>
  <c r="BX559" i="13" s="1"/>
  <c r="BU559" i="13"/>
  <c r="BV527" i="13"/>
  <c r="BX527" i="13" s="1"/>
  <c r="BU527" i="13"/>
  <c r="BV495" i="13"/>
  <c r="BX495" i="13" s="1"/>
  <c r="BU495" i="13"/>
  <c r="BV463" i="13"/>
  <c r="BX463" i="13" s="1"/>
  <c r="BU463" i="13"/>
  <c r="BV431" i="13"/>
  <c r="BX431" i="13" s="1"/>
  <c r="BU431" i="13"/>
  <c r="BV399" i="13"/>
  <c r="BX399" i="13" s="1"/>
  <c r="BU399" i="13"/>
  <c r="BV367" i="13"/>
  <c r="BX367" i="13" s="1"/>
  <c r="BU367" i="13"/>
  <c r="BV335" i="13"/>
  <c r="BX335" i="13" s="1"/>
  <c r="BU335" i="13"/>
  <c r="BV311" i="13"/>
  <c r="BX311" i="13" s="1"/>
  <c r="BU311" i="13"/>
  <c r="BV279" i="13"/>
  <c r="BX279" i="13" s="1"/>
  <c r="BU279" i="13"/>
  <c r="BV247" i="13"/>
  <c r="BX247" i="13" s="1"/>
  <c r="BU247" i="13"/>
  <c r="BV207" i="13"/>
  <c r="BX207" i="13" s="1"/>
  <c r="BU207" i="13"/>
  <c r="BV1293" i="13"/>
  <c r="BX1293" i="13" s="1"/>
  <c r="BU1293" i="13"/>
  <c r="BV1277" i="13"/>
  <c r="BX1277" i="13" s="1"/>
  <c r="BU1277" i="13"/>
  <c r="BV1261" i="13"/>
  <c r="BX1261" i="13" s="1"/>
  <c r="BU1261" i="13"/>
  <c r="BV1245" i="13"/>
  <c r="BX1245" i="13" s="1"/>
  <c r="BU1245" i="13"/>
  <c r="BV1229" i="13"/>
  <c r="BX1229" i="13" s="1"/>
  <c r="BU1229" i="13"/>
  <c r="BV1213" i="13"/>
  <c r="BX1213" i="13" s="1"/>
  <c r="BU1213" i="13"/>
  <c r="BV1197" i="13"/>
  <c r="BX1197" i="13" s="1"/>
  <c r="BU1197" i="13"/>
  <c r="BV1181" i="13"/>
  <c r="BX1181" i="13" s="1"/>
  <c r="BU1181" i="13"/>
  <c r="BV1165" i="13"/>
  <c r="BX1165" i="13" s="1"/>
  <c r="BU1165" i="13"/>
  <c r="BV1149" i="13"/>
  <c r="BX1149" i="13" s="1"/>
  <c r="BU1149" i="13"/>
  <c r="BV1133" i="13"/>
  <c r="BX1133" i="13" s="1"/>
  <c r="BU1133" i="13"/>
  <c r="BV1300" i="13"/>
  <c r="BX1300" i="13" s="1"/>
  <c r="BU1300" i="13"/>
  <c r="BV1292" i="13"/>
  <c r="BX1292" i="13" s="1"/>
  <c r="BU1292" i="13"/>
  <c r="BV1284" i="13"/>
  <c r="BX1284" i="13" s="1"/>
  <c r="BU1284" i="13"/>
  <c r="BV1276" i="13"/>
  <c r="BX1276" i="13" s="1"/>
  <c r="BU1276" i="13"/>
  <c r="BV1268" i="13"/>
  <c r="BX1268" i="13" s="1"/>
  <c r="BU1268" i="13"/>
  <c r="BV1260" i="13"/>
  <c r="BX1260" i="13" s="1"/>
  <c r="BU1260" i="13"/>
  <c r="BV1252" i="13"/>
  <c r="BX1252" i="13" s="1"/>
  <c r="BU1252" i="13"/>
  <c r="BV1244" i="13"/>
  <c r="BX1244" i="13" s="1"/>
  <c r="BU1244" i="13"/>
  <c r="BV1236" i="13"/>
  <c r="BX1236" i="13" s="1"/>
  <c r="BU1236" i="13"/>
  <c r="BV1228" i="13"/>
  <c r="BX1228" i="13" s="1"/>
  <c r="BU1228" i="13"/>
  <c r="BV1220" i="13"/>
  <c r="BX1220" i="13" s="1"/>
  <c r="BU1220" i="13"/>
  <c r="BV1212" i="13"/>
  <c r="BX1212" i="13" s="1"/>
  <c r="BU1212" i="13"/>
  <c r="BV1204" i="13"/>
  <c r="BX1204" i="13" s="1"/>
  <c r="BU1204" i="13"/>
  <c r="BV1196" i="13"/>
  <c r="BX1196" i="13" s="1"/>
  <c r="BU1196" i="13"/>
  <c r="BV1188" i="13"/>
  <c r="BX1188" i="13" s="1"/>
  <c r="BU1188" i="13"/>
  <c r="BV1180" i="13"/>
  <c r="BX1180" i="13" s="1"/>
  <c r="BU1180" i="13"/>
  <c r="BV1172" i="13"/>
  <c r="BX1172" i="13" s="1"/>
  <c r="BU1172" i="13"/>
  <c r="BV1164" i="13"/>
  <c r="BX1164" i="13" s="1"/>
  <c r="BU1164" i="13"/>
  <c r="BV1156" i="13"/>
  <c r="BX1156" i="13" s="1"/>
  <c r="BU1156" i="13"/>
  <c r="BV1148" i="13"/>
  <c r="BX1148" i="13" s="1"/>
  <c r="BU1148" i="13"/>
  <c r="BV1140" i="13"/>
  <c r="BX1140" i="13" s="1"/>
  <c r="BU1140" i="13"/>
  <c r="BV1132" i="13"/>
  <c r="BX1132" i="13" s="1"/>
  <c r="BU1132" i="13"/>
  <c r="BV1124" i="13"/>
  <c r="BX1124" i="13" s="1"/>
  <c r="BU1124" i="13"/>
  <c r="BV1116" i="13"/>
  <c r="BX1116" i="13" s="1"/>
  <c r="BU1116" i="13"/>
  <c r="BV1108" i="13"/>
  <c r="BX1108" i="13" s="1"/>
  <c r="BU1108" i="13"/>
  <c r="BV1100" i="13"/>
  <c r="BX1100" i="13" s="1"/>
  <c r="BU1100" i="13"/>
  <c r="BV1092" i="13"/>
  <c r="BX1092" i="13" s="1"/>
  <c r="BU1092" i="13"/>
  <c r="BV1084" i="13"/>
  <c r="BX1084" i="13" s="1"/>
  <c r="BU1084" i="13"/>
  <c r="BV1076" i="13"/>
  <c r="BX1076" i="13" s="1"/>
  <c r="BU1076" i="13"/>
  <c r="BV1068" i="13"/>
  <c r="BX1068" i="13" s="1"/>
  <c r="BU1068" i="13"/>
  <c r="BV1060" i="13"/>
  <c r="BX1060" i="13" s="1"/>
  <c r="BU1060" i="13"/>
  <c r="BV1052" i="13"/>
  <c r="BX1052" i="13" s="1"/>
  <c r="BU1052" i="13"/>
  <c r="BV1044" i="13"/>
  <c r="BX1044" i="13" s="1"/>
  <c r="BU1044" i="13"/>
  <c r="BV1036" i="13"/>
  <c r="BX1036" i="13" s="1"/>
  <c r="BU1036" i="13"/>
  <c r="BV1028" i="13"/>
  <c r="BX1028" i="13" s="1"/>
  <c r="BU1028" i="13"/>
  <c r="BV1020" i="13"/>
  <c r="BX1020" i="13" s="1"/>
  <c r="BU1020" i="13"/>
  <c r="BV1012" i="13"/>
  <c r="BX1012" i="13" s="1"/>
  <c r="BU1012" i="13"/>
  <c r="BV1004" i="13"/>
  <c r="BX1004" i="13" s="1"/>
  <c r="BU1004" i="13"/>
  <c r="BV996" i="13"/>
  <c r="BX996" i="13" s="1"/>
  <c r="BU996" i="13"/>
  <c r="BV988" i="13"/>
  <c r="BX988" i="13" s="1"/>
  <c r="BU988" i="13"/>
  <c r="BV980" i="13"/>
  <c r="BX980" i="13" s="1"/>
  <c r="BU980" i="13"/>
  <c r="BV972" i="13"/>
  <c r="BX972" i="13" s="1"/>
  <c r="BU972" i="13"/>
  <c r="BV964" i="13"/>
  <c r="BX964" i="13" s="1"/>
  <c r="BU964" i="13"/>
  <c r="BV956" i="13"/>
  <c r="BX956" i="13" s="1"/>
  <c r="BU956" i="13"/>
  <c r="BV948" i="13"/>
  <c r="BX948" i="13" s="1"/>
  <c r="BU948" i="13"/>
  <c r="BV940" i="13"/>
  <c r="BX940" i="13" s="1"/>
  <c r="BU940" i="13"/>
  <c r="BV932" i="13"/>
  <c r="BX932" i="13" s="1"/>
  <c r="BU932" i="13"/>
  <c r="BV924" i="13"/>
  <c r="BX924" i="13" s="1"/>
  <c r="BU924" i="13"/>
  <c r="BV916" i="13"/>
  <c r="BX916" i="13" s="1"/>
  <c r="BU916" i="13"/>
  <c r="BV908" i="13"/>
  <c r="BX908" i="13" s="1"/>
  <c r="BU908" i="13"/>
  <c r="BV900" i="13"/>
  <c r="BX900" i="13" s="1"/>
  <c r="BU900" i="13"/>
  <c r="BV892" i="13"/>
  <c r="BX892" i="13" s="1"/>
  <c r="BU892" i="13"/>
  <c r="BV884" i="13"/>
  <c r="BX884" i="13" s="1"/>
  <c r="BU884" i="13"/>
  <c r="BV876" i="13"/>
  <c r="BX876" i="13" s="1"/>
  <c r="BU876" i="13"/>
  <c r="BV868" i="13"/>
  <c r="BX868" i="13" s="1"/>
  <c r="BU868" i="13"/>
  <c r="BV860" i="13"/>
  <c r="BX860" i="13" s="1"/>
  <c r="BU860" i="13"/>
  <c r="BV852" i="13"/>
  <c r="BX852" i="13" s="1"/>
  <c r="BU852" i="13"/>
  <c r="BV844" i="13"/>
  <c r="BX844" i="13" s="1"/>
  <c r="BU844" i="13"/>
  <c r="BV836" i="13"/>
  <c r="BX836" i="13" s="1"/>
  <c r="BU836" i="13"/>
  <c r="BV828" i="13"/>
  <c r="BX828" i="13" s="1"/>
  <c r="BU828" i="13"/>
  <c r="BV820" i="13"/>
  <c r="BX820" i="13" s="1"/>
  <c r="BU820" i="13"/>
  <c r="BV812" i="13"/>
  <c r="BX812" i="13" s="1"/>
  <c r="BU812" i="13"/>
  <c r="BV804" i="13"/>
  <c r="BX804" i="13" s="1"/>
  <c r="BU804" i="13"/>
  <c r="BV796" i="13"/>
  <c r="BX796" i="13" s="1"/>
  <c r="BU796" i="13"/>
  <c r="BV788" i="13"/>
  <c r="BX788" i="13" s="1"/>
  <c r="BU788" i="13"/>
  <c r="BV780" i="13"/>
  <c r="BX780" i="13" s="1"/>
  <c r="BU780" i="13"/>
  <c r="BV772" i="13"/>
  <c r="BX772" i="13" s="1"/>
  <c r="BU772" i="13"/>
  <c r="BV764" i="13"/>
  <c r="BX764" i="13" s="1"/>
  <c r="BU764" i="13"/>
  <c r="BV756" i="13"/>
  <c r="BX756" i="13" s="1"/>
  <c r="BU756" i="13"/>
  <c r="BV748" i="13"/>
  <c r="BX748" i="13" s="1"/>
  <c r="BU748" i="13"/>
  <c r="BV740" i="13"/>
  <c r="BX740" i="13" s="1"/>
  <c r="BU740" i="13"/>
  <c r="BV732" i="13"/>
  <c r="BX732" i="13" s="1"/>
  <c r="BU732" i="13"/>
  <c r="BV724" i="13"/>
  <c r="BX724" i="13" s="1"/>
  <c r="BU724" i="13"/>
  <c r="BV716" i="13"/>
  <c r="BX716" i="13" s="1"/>
  <c r="BU716" i="13"/>
  <c r="BV708" i="13"/>
  <c r="BX708" i="13" s="1"/>
  <c r="BU708" i="13"/>
  <c r="BV700" i="13"/>
  <c r="BX700" i="13" s="1"/>
  <c r="BU700" i="13"/>
  <c r="BV692" i="13"/>
  <c r="BX692" i="13" s="1"/>
  <c r="BU692" i="13"/>
  <c r="BV684" i="13"/>
  <c r="BX684" i="13" s="1"/>
  <c r="BU684" i="13"/>
  <c r="BV676" i="13"/>
  <c r="BX676" i="13" s="1"/>
  <c r="BU676" i="13"/>
  <c r="BV668" i="13"/>
  <c r="BX668" i="13" s="1"/>
  <c r="BU668" i="13"/>
  <c r="BV660" i="13"/>
  <c r="BX660" i="13" s="1"/>
  <c r="BU660" i="13"/>
  <c r="BV652" i="13"/>
  <c r="BX652" i="13" s="1"/>
  <c r="BU652" i="13"/>
  <c r="BV644" i="13"/>
  <c r="BX644" i="13" s="1"/>
  <c r="BU644" i="13"/>
  <c r="BV636" i="13"/>
  <c r="BX636" i="13" s="1"/>
  <c r="BU636" i="13"/>
  <c r="BV628" i="13"/>
  <c r="BX628" i="13" s="1"/>
  <c r="BU628" i="13"/>
  <c r="BV620" i="13"/>
  <c r="BX620" i="13" s="1"/>
  <c r="BU620" i="13"/>
  <c r="BV612" i="13"/>
  <c r="BX612" i="13" s="1"/>
  <c r="BU612" i="13"/>
  <c r="BV604" i="13"/>
  <c r="BX604" i="13" s="1"/>
  <c r="BU604" i="13"/>
  <c r="BV596" i="13"/>
  <c r="BX596" i="13" s="1"/>
  <c r="BU596" i="13"/>
  <c r="BV588" i="13"/>
  <c r="BX588" i="13" s="1"/>
  <c r="BU588" i="13"/>
  <c r="BV580" i="13"/>
  <c r="BX580" i="13" s="1"/>
  <c r="BU580" i="13"/>
  <c r="BV572" i="13"/>
  <c r="BX572" i="13" s="1"/>
  <c r="BU572" i="13"/>
  <c r="BV564" i="13"/>
  <c r="BX564" i="13" s="1"/>
  <c r="BU564" i="13"/>
  <c r="BV556" i="13"/>
  <c r="BX556" i="13" s="1"/>
  <c r="BU556" i="13"/>
  <c r="BV548" i="13"/>
  <c r="BX548" i="13" s="1"/>
  <c r="BU548" i="13"/>
  <c r="BV540" i="13"/>
  <c r="BX540" i="13" s="1"/>
  <c r="BU540" i="13"/>
  <c r="BV532" i="13"/>
  <c r="BX532" i="13" s="1"/>
  <c r="BU532" i="13"/>
  <c r="BV524" i="13"/>
  <c r="BX524" i="13" s="1"/>
  <c r="BU524" i="13"/>
  <c r="BV516" i="13"/>
  <c r="BX516" i="13" s="1"/>
  <c r="BU516" i="13"/>
  <c r="BV508" i="13"/>
  <c r="BX508" i="13" s="1"/>
  <c r="BU508" i="13"/>
  <c r="BV500" i="13"/>
  <c r="BX500" i="13" s="1"/>
  <c r="BU500" i="13"/>
  <c r="BV492" i="13"/>
  <c r="BX492" i="13" s="1"/>
  <c r="BU492" i="13"/>
  <c r="BV484" i="13"/>
  <c r="BX484" i="13" s="1"/>
  <c r="BU484" i="13"/>
  <c r="BV476" i="13"/>
  <c r="BX476" i="13" s="1"/>
  <c r="BU476" i="13"/>
  <c r="BV468" i="13"/>
  <c r="BX468" i="13" s="1"/>
  <c r="BU468" i="13"/>
  <c r="BV460" i="13"/>
  <c r="BX460" i="13" s="1"/>
  <c r="BU460" i="13"/>
  <c r="BV452" i="13"/>
  <c r="BX452" i="13" s="1"/>
  <c r="BU452" i="13"/>
  <c r="BV444" i="13"/>
  <c r="BX444" i="13" s="1"/>
  <c r="BU444" i="13"/>
  <c r="BV436" i="13"/>
  <c r="BX436" i="13" s="1"/>
  <c r="BU436" i="13"/>
  <c r="BV428" i="13"/>
  <c r="BX428" i="13" s="1"/>
  <c r="BU428" i="13"/>
  <c r="BV420" i="13"/>
  <c r="BX420" i="13" s="1"/>
  <c r="BU420" i="13"/>
  <c r="BV412" i="13"/>
  <c r="BX412" i="13" s="1"/>
  <c r="BU412" i="13"/>
  <c r="BV404" i="13"/>
  <c r="BX404" i="13" s="1"/>
  <c r="BU404" i="13"/>
  <c r="BV396" i="13"/>
  <c r="BX396" i="13" s="1"/>
  <c r="BU396" i="13"/>
  <c r="BV388" i="13"/>
  <c r="BX388" i="13" s="1"/>
  <c r="BU388" i="13"/>
  <c r="BV380" i="13"/>
  <c r="BX380" i="13" s="1"/>
  <c r="BU380" i="13"/>
  <c r="BV372" i="13"/>
  <c r="BX372" i="13" s="1"/>
  <c r="BU372" i="13"/>
  <c r="BV364" i="13"/>
  <c r="BX364" i="13" s="1"/>
  <c r="BU364" i="13"/>
  <c r="BV356" i="13"/>
  <c r="BX356" i="13" s="1"/>
  <c r="BU356" i="13"/>
  <c r="BV348" i="13"/>
  <c r="BX348" i="13" s="1"/>
  <c r="BU348" i="13"/>
  <c r="BV340" i="13"/>
  <c r="BX340" i="13" s="1"/>
  <c r="BU340" i="13"/>
  <c r="BV332" i="13"/>
  <c r="BX332" i="13" s="1"/>
  <c r="BU332" i="13"/>
  <c r="BV324" i="13"/>
  <c r="BX324" i="13" s="1"/>
  <c r="BU324" i="13"/>
  <c r="BV316" i="13"/>
  <c r="BX316" i="13" s="1"/>
  <c r="BU316" i="13"/>
  <c r="BV308" i="13"/>
  <c r="BX308" i="13" s="1"/>
  <c r="BU308" i="13"/>
  <c r="BV300" i="13"/>
  <c r="BX300" i="13" s="1"/>
  <c r="BU300" i="13"/>
  <c r="BV292" i="13"/>
  <c r="BX292" i="13" s="1"/>
  <c r="BU292" i="13"/>
  <c r="BV284" i="13"/>
  <c r="BX284" i="13" s="1"/>
  <c r="BU284" i="13"/>
  <c r="BV276" i="13"/>
  <c r="BX276" i="13" s="1"/>
  <c r="BU276" i="13"/>
  <c r="BV268" i="13"/>
  <c r="BX268" i="13" s="1"/>
  <c r="BU268" i="13"/>
  <c r="BV260" i="13"/>
  <c r="BX260" i="13" s="1"/>
  <c r="BU260" i="13"/>
  <c r="BV252" i="13"/>
  <c r="BX252" i="13" s="1"/>
  <c r="BU252" i="13"/>
  <c r="BV244" i="13"/>
  <c r="BX244" i="13" s="1"/>
  <c r="BU244" i="13"/>
  <c r="BV236" i="13"/>
  <c r="BX236" i="13" s="1"/>
  <c r="BU236" i="13"/>
  <c r="BV228" i="13"/>
  <c r="BX228" i="13" s="1"/>
  <c r="BU228" i="13"/>
  <c r="BV220" i="13"/>
  <c r="BX220" i="13" s="1"/>
  <c r="BU220" i="13"/>
  <c r="BV212" i="13"/>
  <c r="BX212" i="13" s="1"/>
  <c r="BU212" i="13"/>
  <c r="BU254" i="13"/>
  <c r="BU1182" i="13"/>
  <c r="BV1266" i="13"/>
  <c r="BX1266" i="13" s="1"/>
  <c r="BU1266" i="13"/>
  <c r="BV1218" i="13"/>
  <c r="BX1218" i="13" s="1"/>
  <c r="BU1218" i="13"/>
  <c r="BV1170" i="13"/>
  <c r="BX1170" i="13" s="1"/>
  <c r="BU1170" i="13"/>
  <c r="BV1106" i="13"/>
  <c r="BX1106" i="13" s="1"/>
  <c r="BU1106" i="13"/>
  <c r="BV1058" i="13"/>
  <c r="BX1058" i="13" s="1"/>
  <c r="BU1058" i="13"/>
  <c r="BV1010" i="13"/>
  <c r="BX1010" i="13" s="1"/>
  <c r="BU1010" i="13"/>
  <c r="BV962" i="13"/>
  <c r="BX962" i="13" s="1"/>
  <c r="BU962" i="13"/>
  <c r="BV914" i="13"/>
  <c r="BX914" i="13" s="1"/>
  <c r="BU914" i="13"/>
  <c r="BV858" i="13"/>
  <c r="BX858" i="13" s="1"/>
  <c r="BU858" i="13"/>
  <c r="BV1287" i="13"/>
  <c r="BX1287" i="13" s="1"/>
  <c r="BU1287" i="13"/>
  <c r="BV1255" i="13"/>
  <c r="BX1255" i="13" s="1"/>
  <c r="BU1255" i="13"/>
  <c r="BV1223" i="13"/>
  <c r="BX1223" i="13" s="1"/>
  <c r="BU1223" i="13"/>
  <c r="BV1191" i="13"/>
  <c r="BX1191" i="13" s="1"/>
  <c r="BU1191" i="13"/>
  <c r="BV1111" i="13"/>
  <c r="BX1111" i="13" s="1"/>
  <c r="BU1111" i="13"/>
  <c r="BV1079" i="13"/>
  <c r="BX1079" i="13" s="1"/>
  <c r="BU1079" i="13"/>
  <c r="BV1047" i="13"/>
  <c r="BX1047" i="13" s="1"/>
  <c r="BU1047" i="13"/>
  <c r="BV1031" i="13"/>
  <c r="BX1031" i="13" s="1"/>
  <c r="BU1031" i="13"/>
  <c r="BV999" i="13"/>
  <c r="BX999" i="13" s="1"/>
  <c r="BU999" i="13"/>
  <c r="BV967" i="13"/>
  <c r="BX967" i="13" s="1"/>
  <c r="BU967" i="13"/>
  <c r="BV935" i="13"/>
  <c r="BX935" i="13" s="1"/>
  <c r="BU935" i="13"/>
  <c r="BV903" i="13"/>
  <c r="BX903" i="13" s="1"/>
  <c r="BU903" i="13"/>
  <c r="BV879" i="13"/>
  <c r="BX879" i="13" s="1"/>
  <c r="BU879" i="13"/>
  <c r="BV847" i="13"/>
  <c r="BX847" i="13" s="1"/>
  <c r="BU847" i="13"/>
  <c r="BV807" i="13"/>
  <c r="BX807" i="13" s="1"/>
  <c r="BU807" i="13"/>
  <c r="BV775" i="13"/>
  <c r="BX775" i="13" s="1"/>
  <c r="BU775" i="13"/>
  <c r="BV743" i="13"/>
  <c r="BX743" i="13" s="1"/>
  <c r="BU743" i="13"/>
  <c r="BV711" i="13"/>
  <c r="BX711" i="13" s="1"/>
  <c r="BU711" i="13"/>
  <c r="BV679" i="13"/>
  <c r="BX679" i="13" s="1"/>
  <c r="BU679" i="13"/>
  <c r="BV647" i="13"/>
  <c r="BX647" i="13" s="1"/>
  <c r="BU647" i="13"/>
  <c r="BV615" i="13"/>
  <c r="BX615" i="13" s="1"/>
  <c r="BU615" i="13"/>
  <c r="BV583" i="13"/>
  <c r="BX583" i="13" s="1"/>
  <c r="BU583" i="13"/>
  <c r="BV551" i="13"/>
  <c r="BX551" i="13" s="1"/>
  <c r="BU551" i="13"/>
  <c r="BV519" i="13"/>
  <c r="BX519" i="13" s="1"/>
  <c r="BU519" i="13"/>
  <c r="BV487" i="13"/>
  <c r="BX487" i="13" s="1"/>
  <c r="BU487" i="13"/>
  <c r="BV455" i="13"/>
  <c r="BX455" i="13" s="1"/>
  <c r="BU455" i="13"/>
  <c r="BV423" i="13"/>
  <c r="BX423" i="13" s="1"/>
  <c r="BU423" i="13"/>
  <c r="BV391" i="13"/>
  <c r="BX391" i="13" s="1"/>
  <c r="BU391" i="13"/>
  <c r="BV359" i="13"/>
  <c r="BX359" i="13" s="1"/>
  <c r="BU359" i="13"/>
  <c r="BV327" i="13"/>
  <c r="BX327" i="13" s="1"/>
  <c r="BU327" i="13"/>
  <c r="BV295" i="13"/>
  <c r="BX295" i="13" s="1"/>
  <c r="BU295" i="13"/>
  <c r="BV263" i="13"/>
  <c r="BX263" i="13" s="1"/>
  <c r="BU263" i="13"/>
  <c r="BV231" i="13"/>
  <c r="BX231" i="13" s="1"/>
  <c r="BU231" i="13"/>
  <c r="BU1299" i="13"/>
  <c r="BV1299" i="13"/>
  <c r="BX1299" i="13" s="1"/>
  <c r="BV1291" i="13"/>
  <c r="BX1291" i="13" s="1"/>
  <c r="BU1291" i="13"/>
  <c r="BV1283" i="13"/>
  <c r="BX1283" i="13" s="1"/>
  <c r="BU1283" i="13"/>
  <c r="BV1275" i="13"/>
  <c r="BX1275" i="13" s="1"/>
  <c r="BU1275" i="13"/>
  <c r="BU1267" i="13"/>
  <c r="BV1267" i="13"/>
  <c r="BX1267" i="13" s="1"/>
  <c r="BV1259" i="13"/>
  <c r="BX1259" i="13" s="1"/>
  <c r="BU1259" i="13"/>
  <c r="BV1251" i="13"/>
  <c r="BX1251" i="13" s="1"/>
  <c r="BU1251" i="13"/>
  <c r="BV1243" i="13"/>
  <c r="BX1243" i="13" s="1"/>
  <c r="BU1243" i="13"/>
  <c r="BV1235" i="13"/>
  <c r="BX1235" i="13" s="1"/>
  <c r="BU1235" i="13"/>
  <c r="BV1227" i="13"/>
  <c r="BX1227" i="13" s="1"/>
  <c r="BU1227" i="13"/>
  <c r="BV1219" i="13"/>
  <c r="BX1219" i="13" s="1"/>
  <c r="BU1219" i="13"/>
  <c r="BV1211" i="13"/>
  <c r="BX1211" i="13" s="1"/>
  <c r="BU1211" i="13"/>
  <c r="BV1203" i="13"/>
  <c r="BX1203" i="13" s="1"/>
  <c r="BU1203" i="13"/>
  <c r="BV1195" i="13"/>
  <c r="BX1195" i="13" s="1"/>
  <c r="BU1195" i="13"/>
  <c r="BV1187" i="13"/>
  <c r="BX1187" i="13" s="1"/>
  <c r="BU1187" i="13"/>
  <c r="BV1179" i="13"/>
  <c r="BX1179" i="13" s="1"/>
  <c r="BU1179" i="13"/>
  <c r="BV1171" i="13"/>
  <c r="BX1171" i="13" s="1"/>
  <c r="BU1171" i="13"/>
  <c r="BV1163" i="13"/>
  <c r="BX1163" i="13" s="1"/>
  <c r="BU1163" i="13"/>
  <c r="BV1155" i="13"/>
  <c r="BX1155" i="13" s="1"/>
  <c r="BU1155" i="13"/>
  <c r="BV1147" i="13"/>
  <c r="BX1147" i="13" s="1"/>
  <c r="BU1147" i="13"/>
  <c r="BV1139" i="13"/>
  <c r="BX1139" i="13" s="1"/>
  <c r="BU1139" i="13"/>
  <c r="BV1131" i="13"/>
  <c r="BX1131" i="13" s="1"/>
  <c r="BU1131" i="13"/>
  <c r="BV1123" i="13"/>
  <c r="BX1123" i="13" s="1"/>
  <c r="BU1123" i="13"/>
  <c r="BV1115" i="13"/>
  <c r="BX1115" i="13" s="1"/>
  <c r="BU1115" i="13"/>
  <c r="BV1107" i="13"/>
  <c r="BX1107" i="13" s="1"/>
  <c r="BU1107" i="13"/>
  <c r="BV1099" i="13"/>
  <c r="BX1099" i="13" s="1"/>
  <c r="BU1099" i="13"/>
  <c r="BV1091" i="13"/>
  <c r="BX1091" i="13" s="1"/>
  <c r="BU1091" i="13"/>
  <c r="BV1083" i="13"/>
  <c r="BX1083" i="13" s="1"/>
  <c r="BU1083" i="13"/>
  <c r="BV1075" i="13"/>
  <c r="BX1075" i="13" s="1"/>
  <c r="BU1075" i="13"/>
  <c r="BV1067" i="13"/>
  <c r="BX1067" i="13" s="1"/>
  <c r="BU1067" i="13"/>
  <c r="BV1059" i="13"/>
  <c r="BX1059" i="13" s="1"/>
  <c r="BU1059" i="13"/>
  <c r="BV1051" i="13"/>
  <c r="BX1051" i="13" s="1"/>
  <c r="BU1051" i="13"/>
  <c r="BV1043" i="13"/>
  <c r="BX1043" i="13" s="1"/>
  <c r="BU1043" i="13"/>
  <c r="BV1035" i="13"/>
  <c r="BX1035" i="13" s="1"/>
  <c r="BU1035" i="13"/>
  <c r="BV1027" i="13"/>
  <c r="BX1027" i="13" s="1"/>
  <c r="BU1027" i="13"/>
  <c r="BV1019" i="13"/>
  <c r="BX1019" i="13" s="1"/>
  <c r="BU1019" i="13"/>
  <c r="BV1011" i="13"/>
  <c r="BX1011" i="13" s="1"/>
  <c r="BU1011" i="13"/>
  <c r="BV1003" i="13"/>
  <c r="BX1003" i="13" s="1"/>
  <c r="BU1003" i="13"/>
  <c r="BV995" i="13"/>
  <c r="BX995" i="13" s="1"/>
  <c r="BU995" i="13"/>
  <c r="BV987" i="13"/>
  <c r="BX987" i="13" s="1"/>
  <c r="BU987" i="13"/>
  <c r="BV979" i="13"/>
  <c r="BX979" i="13" s="1"/>
  <c r="BU979" i="13"/>
  <c r="BV971" i="13"/>
  <c r="BX971" i="13" s="1"/>
  <c r="BU971" i="13"/>
  <c r="BV963" i="13"/>
  <c r="BX963" i="13" s="1"/>
  <c r="BU963" i="13"/>
  <c r="BV955" i="13"/>
  <c r="BX955" i="13" s="1"/>
  <c r="BU955" i="13"/>
  <c r="BV947" i="13"/>
  <c r="BX947" i="13" s="1"/>
  <c r="BU947" i="13"/>
  <c r="BV939" i="13"/>
  <c r="BX939" i="13" s="1"/>
  <c r="BU939" i="13"/>
  <c r="BV931" i="13"/>
  <c r="BX931" i="13" s="1"/>
  <c r="BU931" i="13"/>
  <c r="BV923" i="13"/>
  <c r="BX923" i="13" s="1"/>
  <c r="BU923" i="13"/>
  <c r="BV915" i="13"/>
  <c r="BX915" i="13" s="1"/>
  <c r="BU915" i="13"/>
  <c r="BV907" i="13"/>
  <c r="BX907" i="13" s="1"/>
  <c r="BU907" i="13"/>
  <c r="BV899" i="13"/>
  <c r="BX899" i="13" s="1"/>
  <c r="BU899" i="13"/>
  <c r="BV891" i="13"/>
  <c r="BX891" i="13" s="1"/>
  <c r="BU891" i="13"/>
  <c r="BV883" i="13"/>
  <c r="BX883" i="13" s="1"/>
  <c r="BU883" i="13"/>
  <c r="BV875" i="13"/>
  <c r="BX875" i="13" s="1"/>
  <c r="BU875" i="13"/>
  <c r="BV867" i="13"/>
  <c r="BX867" i="13" s="1"/>
  <c r="BU867" i="13"/>
  <c r="BV859" i="13"/>
  <c r="BX859" i="13" s="1"/>
  <c r="BU859" i="13"/>
  <c r="BV851" i="13"/>
  <c r="BX851" i="13" s="1"/>
  <c r="BU851" i="13"/>
  <c r="BV843" i="13"/>
  <c r="BX843" i="13" s="1"/>
  <c r="BU843" i="13"/>
  <c r="BV835" i="13"/>
  <c r="BX835" i="13" s="1"/>
  <c r="BU835" i="13"/>
  <c r="BV827" i="13"/>
  <c r="BX827" i="13" s="1"/>
  <c r="BU827" i="13"/>
  <c r="BV819" i="13"/>
  <c r="BX819" i="13" s="1"/>
  <c r="BU819" i="13"/>
  <c r="BV811" i="13"/>
  <c r="BX811" i="13" s="1"/>
  <c r="BU811" i="13"/>
  <c r="BV803" i="13"/>
  <c r="BX803" i="13" s="1"/>
  <c r="BU803" i="13"/>
  <c r="BV795" i="13"/>
  <c r="BX795" i="13" s="1"/>
  <c r="BU795" i="13"/>
  <c r="BV787" i="13"/>
  <c r="BX787" i="13" s="1"/>
  <c r="BU787" i="13"/>
  <c r="BV779" i="13"/>
  <c r="BX779" i="13" s="1"/>
  <c r="BU779" i="13"/>
  <c r="BV771" i="13"/>
  <c r="BX771" i="13" s="1"/>
  <c r="BU771" i="13"/>
  <c r="BV763" i="13"/>
  <c r="BX763" i="13" s="1"/>
  <c r="BU763" i="13"/>
  <c r="BV755" i="13"/>
  <c r="BX755" i="13" s="1"/>
  <c r="BU755" i="13"/>
  <c r="BV747" i="13"/>
  <c r="BX747" i="13" s="1"/>
  <c r="BU747" i="13"/>
  <c r="BV739" i="13"/>
  <c r="BX739" i="13" s="1"/>
  <c r="BU739" i="13"/>
  <c r="BV731" i="13"/>
  <c r="BX731" i="13" s="1"/>
  <c r="BU731" i="13"/>
  <c r="BV723" i="13"/>
  <c r="BX723" i="13" s="1"/>
  <c r="BU723" i="13"/>
  <c r="BV715" i="13"/>
  <c r="BX715" i="13" s="1"/>
  <c r="BU715" i="13"/>
  <c r="BV707" i="13"/>
  <c r="BX707" i="13" s="1"/>
  <c r="BU707" i="13"/>
  <c r="BV699" i="13"/>
  <c r="BX699" i="13" s="1"/>
  <c r="BU699" i="13"/>
  <c r="BV691" i="13"/>
  <c r="BX691" i="13" s="1"/>
  <c r="BU691" i="13"/>
  <c r="BV683" i="13"/>
  <c r="BX683" i="13" s="1"/>
  <c r="BU683" i="13"/>
  <c r="BV675" i="13"/>
  <c r="BX675" i="13" s="1"/>
  <c r="BU675" i="13"/>
  <c r="BV667" i="13"/>
  <c r="BX667" i="13" s="1"/>
  <c r="BU667" i="13"/>
  <c r="BV659" i="13"/>
  <c r="BX659" i="13" s="1"/>
  <c r="BU659" i="13"/>
  <c r="BV651" i="13"/>
  <c r="BX651" i="13" s="1"/>
  <c r="BU651" i="13"/>
  <c r="BV643" i="13"/>
  <c r="BX643" i="13" s="1"/>
  <c r="BU643" i="13"/>
  <c r="BV635" i="13"/>
  <c r="BX635" i="13" s="1"/>
  <c r="BU635" i="13"/>
  <c r="BV627" i="13"/>
  <c r="BX627" i="13" s="1"/>
  <c r="BU627" i="13"/>
  <c r="BV619" i="13"/>
  <c r="BX619" i="13" s="1"/>
  <c r="BU619" i="13"/>
  <c r="BV611" i="13"/>
  <c r="BX611" i="13" s="1"/>
  <c r="BU611" i="13"/>
  <c r="BV603" i="13"/>
  <c r="BX603" i="13" s="1"/>
  <c r="BU603" i="13"/>
  <c r="BV595" i="13"/>
  <c r="BX595" i="13" s="1"/>
  <c r="BU595" i="13"/>
  <c r="BV587" i="13"/>
  <c r="BX587" i="13" s="1"/>
  <c r="BU587" i="13"/>
  <c r="BV579" i="13"/>
  <c r="BX579" i="13" s="1"/>
  <c r="BU579" i="13"/>
  <c r="BV571" i="13"/>
  <c r="BX571" i="13" s="1"/>
  <c r="BU571" i="13"/>
  <c r="BV563" i="13"/>
  <c r="BX563" i="13" s="1"/>
  <c r="BU563" i="13"/>
  <c r="BV555" i="13"/>
  <c r="BX555" i="13" s="1"/>
  <c r="BU555" i="13"/>
  <c r="BV547" i="13"/>
  <c r="BX547" i="13" s="1"/>
  <c r="BU547" i="13"/>
  <c r="BV539" i="13"/>
  <c r="BX539" i="13" s="1"/>
  <c r="BU539" i="13"/>
  <c r="BV531" i="13"/>
  <c r="BX531" i="13" s="1"/>
  <c r="BU531" i="13"/>
  <c r="BV523" i="13"/>
  <c r="BX523" i="13" s="1"/>
  <c r="BU523" i="13"/>
  <c r="BV515" i="13"/>
  <c r="BX515" i="13" s="1"/>
  <c r="BU515" i="13"/>
  <c r="BV507" i="13"/>
  <c r="BX507" i="13" s="1"/>
  <c r="BU507" i="13"/>
  <c r="BV499" i="13"/>
  <c r="BX499" i="13" s="1"/>
  <c r="BU499" i="13"/>
  <c r="BV491" i="13"/>
  <c r="BX491" i="13" s="1"/>
  <c r="BU491" i="13"/>
  <c r="BV483" i="13"/>
  <c r="BX483" i="13" s="1"/>
  <c r="BU483" i="13"/>
  <c r="BV475" i="13"/>
  <c r="BX475" i="13" s="1"/>
  <c r="BU475" i="13"/>
  <c r="BV467" i="13"/>
  <c r="BX467" i="13" s="1"/>
  <c r="BU467" i="13"/>
  <c r="BV459" i="13"/>
  <c r="BX459" i="13" s="1"/>
  <c r="BU459" i="13"/>
  <c r="BV451" i="13"/>
  <c r="BX451" i="13" s="1"/>
  <c r="BU451" i="13"/>
  <c r="BV443" i="13"/>
  <c r="BX443" i="13" s="1"/>
  <c r="BU443" i="13"/>
  <c r="BV435" i="13"/>
  <c r="BX435" i="13" s="1"/>
  <c r="BU435" i="13"/>
  <c r="BV427" i="13"/>
  <c r="BX427" i="13" s="1"/>
  <c r="BU427" i="13"/>
  <c r="BV419" i="13"/>
  <c r="BX419" i="13" s="1"/>
  <c r="BU419" i="13"/>
  <c r="BV411" i="13"/>
  <c r="BX411" i="13" s="1"/>
  <c r="BU411" i="13"/>
  <c r="BV403" i="13"/>
  <c r="BX403" i="13" s="1"/>
  <c r="BU403" i="13"/>
  <c r="BV395" i="13"/>
  <c r="BX395" i="13" s="1"/>
  <c r="BU395" i="13"/>
  <c r="BV387" i="13"/>
  <c r="BX387" i="13" s="1"/>
  <c r="BU387" i="13"/>
  <c r="BV379" i="13"/>
  <c r="BX379" i="13" s="1"/>
  <c r="BU379" i="13"/>
  <c r="BV371" i="13"/>
  <c r="BX371" i="13" s="1"/>
  <c r="BU371" i="13"/>
  <c r="BV363" i="13"/>
  <c r="BX363" i="13" s="1"/>
  <c r="BU363" i="13"/>
  <c r="BV355" i="13"/>
  <c r="BX355" i="13" s="1"/>
  <c r="BU355" i="13"/>
  <c r="BV347" i="13"/>
  <c r="BX347" i="13" s="1"/>
  <c r="BU347" i="13"/>
  <c r="BV339" i="13"/>
  <c r="BX339" i="13" s="1"/>
  <c r="BU339" i="13"/>
  <c r="BV331" i="13"/>
  <c r="BX331" i="13" s="1"/>
  <c r="BU331" i="13"/>
  <c r="BV323" i="13"/>
  <c r="BX323" i="13" s="1"/>
  <c r="BU323" i="13"/>
  <c r="BV315" i="13"/>
  <c r="BX315" i="13" s="1"/>
  <c r="BU315" i="13"/>
  <c r="BV307" i="13"/>
  <c r="BX307" i="13" s="1"/>
  <c r="BU307" i="13"/>
  <c r="BV299" i="13"/>
  <c r="BX299" i="13" s="1"/>
  <c r="BU299" i="13"/>
  <c r="BV291" i="13"/>
  <c r="BX291" i="13" s="1"/>
  <c r="BU291" i="13"/>
  <c r="BV283" i="13"/>
  <c r="BX283" i="13" s="1"/>
  <c r="BU283" i="13"/>
  <c r="BV275" i="13"/>
  <c r="BX275" i="13" s="1"/>
  <c r="BU275" i="13"/>
  <c r="BV267" i="13"/>
  <c r="BX267" i="13" s="1"/>
  <c r="BU267" i="13"/>
  <c r="BV259" i="13"/>
  <c r="BX259" i="13" s="1"/>
  <c r="BU259" i="13"/>
  <c r="BV251" i="13"/>
  <c r="BX251" i="13" s="1"/>
  <c r="BU251" i="13"/>
  <c r="BV243" i="13"/>
  <c r="BX243" i="13" s="1"/>
  <c r="BU243" i="13"/>
  <c r="BV235" i="13"/>
  <c r="BX235" i="13" s="1"/>
  <c r="BU235" i="13"/>
  <c r="BV227" i="13"/>
  <c r="BX227" i="13" s="1"/>
  <c r="BU227" i="13"/>
  <c r="BV219" i="13"/>
  <c r="BX219" i="13" s="1"/>
  <c r="BU219" i="13"/>
  <c r="BV211" i="13"/>
  <c r="BX211" i="13" s="1"/>
  <c r="BU211" i="13"/>
  <c r="BV203" i="13"/>
  <c r="BX203" i="13" s="1"/>
  <c r="BU203" i="13"/>
  <c r="BV195" i="13"/>
  <c r="BX195" i="13" s="1"/>
  <c r="BU195" i="13"/>
  <c r="BV187" i="13"/>
  <c r="BX187" i="13" s="1"/>
  <c r="BU187" i="13"/>
  <c r="BV179" i="13"/>
  <c r="BX179" i="13" s="1"/>
  <c r="BU179" i="13"/>
  <c r="BV171" i="13"/>
  <c r="BX171" i="13" s="1"/>
  <c r="BU171" i="13"/>
  <c r="BV163" i="13"/>
  <c r="BX163" i="13" s="1"/>
  <c r="BU163" i="13"/>
  <c r="BV155" i="13"/>
  <c r="BX155" i="13" s="1"/>
  <c r="BU155" i="13"/>
  <c r="BV147" i="13"/>
  <c r="BX147" i="13" s="1"/>
  <c r="BU147" i="13"/>
  <c r="BV139" i="13"/>
  <c r="BX139" i="13" s="1"/>
  <c r="BU139" i="13"/>
  <c r="BV131" i="13"/>
  <c r="BX131" i="13" s="1"/>
  <c r="BU131" i="13"/>
  <c r="BV123" i="13"/>
  <c r="BX123" i="13" s="1"/>
  <c r="BU123" i="13"/>
  <c r="BV115" i="13"/>
  <c r="BX115" i="13" s="1"/>
  <c r="BU115" i="13"/>
  <c r="BV107" i="13"/>
  <c r="BX107" i="13" s="1"/>
  <c r="BU107" i="13"/>
  <c r="BV99" i="13"/>
  <c r="BX99" i="13" s="1"/>
  <c r="BU99" i="13"/>
  <c r="BV91" i="13"/>
  <c r="BX91" i="13" s="1"/>
  <c r="BU91" i="13"/>
  <c r="BV83" i="13"/>
  <c r="BX83" i="13" s="1"/>
  <c r="BU83" i="13"/>
  <c r="BV75" i="13"/>
  <c r="BX75" i="13" s="1"/>
  <c r="BU75" i="13"/>
  <c r="BV67" i="13"/>
  <c r="BX67" i="13" s="1"/>
  <c r="BU67" i="13"/>
  <c r="BV59" i="13"/>
  <c r="BX59" i="13" s="1"/>
  <c r="BU59" i="13"/>
  <c r="BV51" i="13"/>
  <c r="BX51" i="13" s="1"/>
  <c r="BU51" i="13"/>
  <c r="BV43" i="13"/>
  <c r="BX43" i="13" s="1"/>
  <c r="BU43" i="13"/>
  <c r="BV35" i="13"/>
  <c r="BX35" i="13" s="1"/>
  <c r="BU35" i="13"/>
  <c r="BV27" i="13"/>
  <c r="BX27" i="13" s="1"/>
  <c r="BU27" i="13"/>
  <c r="BV19" i="13"/>
  <c r="BX19" i="13" s="1"/>
  <c r="BU19" i="13"/>
  <c r="BV11" i="13"/>
  <c r="BX11" i="13" s="1"/>
  <c r="BU11" i="13"/>
  <c r="BU222" i="13"/>
  <c r="BU950" i="13"/>
  <c r="BV106" i="13"/>
  <c r="BX106" i="13" s="1"/>
  <c r="BU106" i="13"/>
  <c r="BV98" i="13"/>
  <c r="BX98" i="13" s="1"/>
  <c r="BU98" i="13"/>
  <c r="BV90" i="13"/>
  <c r="BX90" i="13" s="1"/>
  <c r="BU90" i="13"/>
  <c r="BV82" i="13"/>
  <c r="BX82" i="13" s="1"/>
  <c r="BU82" i="13"/>
  <c r="BV66" i="13"/>
  <c r="BX66" i="13" s="1"/>
  <c r="BU66" i="13"/>
  <c r="BV50" i="13"/>
  <c r="BX50" i="13" s="1"/>
  <c r="BU50" i="13"/>
  <c r="BV34" i="13"/>
  <c r="BX34" i="13" s="1"/>
  <c r="BU34" i="13"/>
  <c r="BV18" i="13"/>
  <c r="BX18" i="13" s="1"/>
  <c r="BU18" i="13"/>
  <c r="BV10" i="13"/>
  <c r="BX10" i="13" s="1"/>
  <c r="BU10" i="13"/>
  <c r="BV193" i="13"/>
  <c r="BX193" i="13" s="1"/>
  <c r="BU193" i="13"/>
  <c r="BV185" i="13"/>
  <c r="BX185" i="13" s="1"/>
  <c r="BU185" i="13"/>
  <c r="BV177" i="13"/>
  <c r="BX177" i="13" s="1"/>
  <c r="BU177" i="13"/>
  <c r="BV169" i="13"/>
  <c r="BX169" i="13" s="1"/>
  <c r="BU169" i="13"/>
  <c r="BV161" i="13"/>
  <c r="BX161" i="13" s="1"/>
  <c r="BU161" i="13"/>
  <c r="BV153" i="13"/>
  <c r="BX153" i="13" s="1"/>
  <c r="BU153" i="13"/>
  <c r="BV145" i="13"/>
  <c r="BX145" i="13" s="1"/>
  <c r="BU145" i="13"/>
  <c r="BV137" i="13"/>
  <c r="BX137" i="13" s="1"/>
  <c r="BV129" i="13"/>
  <c r="BX129" i="13" s="1"/>
  <c r="BU129" i="13"/>
  <c r="BV121" i="13"/>
  <c r="BX121" i="13" s="1"/>
  <c r="BU121" i="13"/>
  <c r="BV113" i="13"/>
  <c r="BX113" i="13" s="1"/>
  <c r="BV105" i="13"/>
  <c r="BX105" i="13" s="1"/>
  <c r="BU105" i="13"/>
  <c r="BV97" i="13"/>
  <c r="BX97" i="13" s="1"/>
  <c r="BU97" i="13"/>
  <c r="BV89" i="13"/>
  <c r="BX89" i="13" s="1"/>
  <c r="BV81" i="13"/>
  <c r="BX81" i="13" s="1"/>
  <c r="BU81" i="13"/>
  <c r="BV73" i="13"/>
  <c r="BX73" i="13" s="1"/>
  <c r="BU73" i="13"/>
  <c r="BV65" i="13"/>
  <c r="BX65" i="13" s="1"/>
  <c r="BU65" i="13"/>
  <c r="BV57" i="13"/>
  <c r="BX57" i="13" s="1"/>
  <c r="BU57" i="13"/>
  <c r="BV49" i="13"/>
  <c r="BX49" i="13" s="1"/>
  <c r="BU49" i="13"/>
  <c r="BV41" i="13"/>
  <c r="BX41" i="13" s="1"/>
  <c r="BU41" i="13"/>
  <c r="BV33" i="13"/>
  <c r="BX33" i="13" s="1"/>
  <c r="BU33" i="13"/>
  <c r="BV25" i="13"/>
  <c r="BX25" i="13" s="1"/>
  <c r="BU25" i="13"/>
  <c r="BV17" i="13"/>
  <c r="BX17" i="13" s="1"/>
  <c r="BU17" i="13"/>
  <c r="BV9" i="13"/>
  <c r="BX9" i="13" s="1"/>
  <c r="BU9" i="13"/>
  <c r="BU42" i="13"/>
  <c r="BV199" i="13"/>
  <c r="BX199" i="13" s="1"/>
  <c r="BU199" i="13"/>
  <c r="BV191" i="13"/>
  <c r="BX191" i="13" s="1"/>
  <c r="BU191" i="13"/>
  <c r="BV183" i="13"/>
  <c r="BX183" i="13" s="1"/>
  <c r="BU183" i="13"/>
  <c r="BV175" i="13"/>
  <c r="BX175" i="13" s="1"/>
  <c r="BU175" i="13"/>
  <c r="BV167" i="13"/>
  <c r="BX167" i="13" s="1"/>
  <c r="BU167" i="13"/>
  <c r="BV159" i="13"/>
  <c r="BX159" i="13" s="1"/>
  <c r="BU159" i="13"/>
  <c r="BV151" i="13"/>
  <c r="BX151" i="13" s="1"/>
  <c r="BU151" i="13"/>
  <c r="BV143" i="13"/>
  <c r="BX143" i="13" s="1"/>
  <c r="BU143" i="13"/>
  <c r="BV135" i="13"/>
  <c r="BX135" i="13" s="1"/>
  <c r="BU135" i="13"/>
  <c r="BV127" i="13"/>
  <c r="BX127" i="13" s="1"/>
  <c r="BV119" i="13"/>
  <c r="BX119" i="13" s="1"/>
  <c r="BU119" i="13"/>
  <c r="BV111" i="13"/>
  <c r="BX111" i="13" s="1"/>
  <c r="BU111" i="13"/>
  <c r="BV103" i="13"/>
  <c r="BX103" i="13" s="1"/>
  <c r="BV95" i="13"/>
  <c r="BX95" i="13" s="1"/>
  <c r="BU95" i="13"/>
  <c r="BV87" i="13"/>
  <c r="BX87" i="13" s="1"/>
  <c r="BU87" i="13"/>
  <c r="BV79" i="13"/>
  <c r="BX79" i="13" s="1"/>
  <c r="BU79" i="13"/>
  <c r="BV71" i="13"/>
  <c r="BX71" i="13" s="1"/>
  <c r="BU71" i="13"/>
  <c r="BV63" i="13"/>
  <c r="BX63" i="13" s="1"/>
  <c r="BU63" i="13"/>
  <c r="BV55" i="13"/>
  <c r="BX55" i="13" s="1"/>
  <c r="BU55" i="13"/>
  <c r="BV47" i="13"/>
  <c r="BX47" i="13" s="1"/>
  <c r="BU47" i="13"/>
  <c r="BV39" i="13"/>
  <c r="BX39" i="13" s="1"/>
  <c r="BU39" i="13"/>
  <c r="BV31" i="13"/>
  <c r="BX31" i="13" s="1"/>
  <c r="BU31" i="13"/>
  <c r="BV23" i="13"/>
  <c r="BX23" i="13" s="1"/>
  <c r="BV15" i="13"/>
  <c r="BX15" i="13" s="1"/>
  <c r="BU15" i="13"/>
  <c r="BV7" i="13"/>
  <c r="BX7" i="13" s="1"/>
  <c r="BU7" i="13"/>
  <c r="BU137" i="13"/>
  <c r="BU89" i="13"/>
  <c r="BU26" i="13"/>
  <c r="BV6" i="13"/>
  <c r="BX6" i="13" s="1"/>
  <c r="BU6" i="13"/>
  <c r="BU23" i="13"/>
  <c r="BU127" i="13"/>
  <c r="BU74" i="13"/>
  <c r="BV204" i="13"/>
  <c r="BX204" i="13" s="1"/>
  <c r="BU204" i="13"/>
  <c r="BV196" i="13"/>
  <c r="BX196" i="13" s="1"/>
  <c r="BU196" i="13"/>
  <c r="BV188" i="13"/>
  <c r="BX188" i="13" s="1"/>
  <c r="BU188" i="13"/>
  <c r="BV180" i="13"/>
  <c r="BX180" i="13" s="1"/>
  <c r="BU180" i="13"/>
  <c r="BV172" i="13"/>
  <c r="BX172" i="13" s="1"/>
  <c r="BU172" i="13"/>
  <c r="BV164" i="13"/>
  <c r="BX164" i="13" s="1"/>
  <c r="BU164" i="13"/>
  <c r="BV156" i="13"/>
  <c r="BX156" i="13" s="1"/>
  <c r="BU156" i="13"/>
  <c r="BV148" i="13"/>
  <c r="BX148" i="13" s="1"/>
  <c r="BU148" i="13"/>
  <c r="BV140" i="13"/>
  <c r="BX140" i="13" s="1"/>
  <c r="BU140" i="13"/>
  <c r="BV132" i="13"/>
  <c r="BX132" i="13" s="1"/>
  <c r="BU132" i="13"/>
  <c r="BV124" i="13"/>
  <c r="BX124" i="13" s="1"/>
  <c r="BU124" i="13"/>
  <c r="BV116" i="13"/>
  <c r="BX116" i="13" s="1"/>
  <c r="BU116" i="13"/>
  <c r="BV108" i="13"/>
  <c r="BX108" i="13" s="1"/>
  <c r="BU108" i="13"/>
  <c r="BV100" i="13"/>
  <c r="BX100" i="13" s="1"/>
  <c r="BU100" i="13"/>
  <c r="BV92" i="13"/>
  <c r="BX92" i="13" s="1"/>
  <c r="BU92" i="13"/>
  <c r="BV84" i="13"/>
  <c r="BX84" i="13" s="1"/>
  <c r="BU84" i="13"/>
  <c r="BV76" i="13"/>
  <c r="BX76" i="13" s="1"/>
  <c r="BU76" i="13"/>
  <c r="BV68" i="13"/>
  <c r="BX68" i="13" s="1"/>
  <c r="BU68" i="13"/>
  <c r="BV60" i="13"/>
  <c r="BX60" i="13" s="1"/>
  <c r="BU60" i="13"/>
  <c r="BV52" i="13"/>
  <c r="BX52" i="13" s="1"/>
  <c r="BU52" i="13"/>
  <c r="BV44" i="13"/>
  <c r="BX44" i="13" s="1"/>
  <c r="BU44" i="13"/>
  <c r="BV36" i="13"/>
  <c r="BX36" i="13" s="1"/>
  <c r="BU36" i="13"/>
  <c r="BV28" i="13"/>
  <c r="BX28" i="13" s="1"/>
  <c r="BU28" i="13"/>
  <c r="BV20" i="13"/>
  <c r="BX20" i="13" s="1"/>
  <c r="BU20" i="13"/>
  <c r="BV12" i="13"/>
  <c r="BX12" i="13" s="1"/>
  <c r="BU12" i="13"/>
  <c r="BV4" i="13"/>
  <c r="BX4" i="13" s="1"/>
  <c r="BU4" i="13"/>
  <c r="BV3" i="13"/>
  <c r="BX3" i="13" s="1"/>
  <c r="BX114" i="13"/>
  <c r="BX74" i="13"/>
  <c r="BX58" i="13"/>
  <c r="BX42" i="13"/>
  <c r="BX26" i="13"/>
  <c r="CM3" i="13" l="1"/>
  <c r="CL1" i="13"/>
  <c r="CK1" i="13"/>
  <c r="CJ1" i="13"/>
  <c r="CL1678" i="13" l="1"/>
  <c r="CL1679" i="13" s="1"/>
  <c r="CL1680" i="13" s="1"/>
  <c r="CL1681" i="13" s="1"/>
  <c r="CL1682" i="13" s="1"/>
  <c r="CL1683" i="13" s="1"/>
  <c r="CL1684" i="13" s="1"/>
  <c r="CL1685" i="13" s="1"/>
  <c r="CL1686" i="13" s="1"/>
  <c r="CL1687" i="13" s="1"/>
  <c r="CL1688" i="13" s="1"/>
  <c r="CL1689" i="13" s="1"/>
  <c r="CL1690" i="13" s="1"/>
  <c r="CL1691" i="13" s="1"/>
  <c r="CL1692" i="13" s="1"/>
  <c r="CL1693" i="13" s="1"/>
  <c r="CL1694" i="13" s="1"/>
  <c r="CL1695" i="13" s="1"/>
  <c r="CL1696" i="13" s="1"/>
  <c r="CL1697" i="13" s="1"/>
  <c r="CL1698" i="13" s="1"/>
  <c r="CL1699" i="13" s="1"/>
  <c r="CL1700" i="13" s="1"/>
  <c r="CL1531" i="13"/>
  <c r="CL1470" i="13"/>
  <c r="CL1596" i="13"/>
  <c r="CL1597" i="13" s="1"/>
  <c r="CL1598" i="13" s="1"/>
  <c r="CL1599" i="13" s="1"/>
  <c r="CL1600" i="13" s="1"/>
  <c r="CL1601" i="13" s="1"/>
  <c r="CL1602" i="13" s="1"/>
  <c r="CL1603" i="13" s="1"/>
  <c r="CL1604" i="13" s="1"/>
  <c r="CL1605" i="13" s="1"/>
  <c r="CL1606" i="13" s="1"/>
  <c r="CL1607" i="13" s="1"/>
  <c r="CL1608" i="13" s="1"/>
  <c r="CL1609" i="13" s="1"/>
  <c r="CL1385" i="13"/>
  <c r="CL1386" i="13" s="1"/>
  <c r="CL1387" i="13" s="1"/>
  <c r="CL1388" i="13" s="1"/>
  <c r="CL1389" i="13" s="1"/>
  <c r="CL1390" i="13" s="1"/>
  <c r="CL1391" i="13" s="1"/>
  <c r="CL1392" i="13" s="1"/>
  <c r="CL1393" i="13" s="1"/>
  <c r="CL1394" i="13" s="1"/>
  <c r="CL1395" i="13" s="1"/>
  <c r="CL1396" i="13" s="1"/>
  <c r="CL1397" i="13" s="1"/>
  <c r="CL1398" i="13" s="1"/>
  <c r="CL1399" i="13" s="1"/>
  <c r="CL1400" i="13" s="1"/>
  <c r="CL1401" i="13" s="1"/>
  <c r="CL1402" i="13" s="1"/>
  <c r="CJ1678" i="13"/>
  <c r="CJ1385" i="13"/>
  <c r="CJ1596" i="13"/>
  <c r="CJ1531" i="13"/>
  <c r="CM1531" i="13" s="1"/>
  <c r="CN1531" i="13" s="1"/>
  <c r="CO1531" i="13" s="1"/>
  <c r="CJ1470" i="13"/>
  <c r="CK1678" i="13"/>
  <c r="CK1679" i="13" s="1"/>
  <c r="CK1680" i="13" s="1"/>
  <c r="CK1681" i="13" s="1"/>
  <c r="CK1682" i="13" s="1"/>
  <c r="CK1683" i="13" s="1"/>
  <c r="CK1684" i="13" s="1"/>
  <c r="CK1685" i="13" s="1"/>
  <c r="CK1686" i="13" s="1"/>
  <c r="CK1687" i="13" s="1"/>
  <c r="CK1688" i="13" s="1"/>
  <c r="CK1689" i="13" s="1"/>
  <c r="CK1690" i="13" s="1"/>
  <c r="CK1691" i="13" s="1"/>
  <c r="CK1692" i="13" s="1"/>
  <c r="CK1693" i="13" s="1"/>
  <c r="CK1694" i="13" s="1"/>
  <c r="CK1695" i="13" s="1"/>
  <c r="CK1696" i="13" s="1"/>
  <c r="CK1697" i="13" s="1"/>
  <c r="CK1698" i="13" s="1"/>
  <c r="CK1699" i="13" s="1"/>
  <c r="CK1700" i="13" s="1"/>
  <c r="CK1596" i="13"/>
  <c r="CK1597" i="13" s="1"/>
  <c r="CK1598" i="13" s="1"/>
  <c r="CK1599" i="13" s="1"/>
  <c r="CK1600" i="13" s="1"/>
  <c r="CK1601" i="13" s="1"/>
  <c r="CK1602" i="13" s="1"/>
  <c r="CK1603" i="13" s="1"/>
  <c r="CK1604" i="13" s="1"/>
  <c r="CK1605" i="13" s="1"/>
  <c r="CK1606" i="13" s="1"/>
  <c r="CK1607" i="13" s="1"/>
  <c r="CK1608" i="13" s="1"/>
  <c r="CK1609" i="13" s="1"/>
  <c r="CK1470" i="13"/>
  <c r="CK1385" i="13"/>
  <c r="CK1386" i="13" s="1"/>
  <c r="CK1387" i="13" s="1"/>
  <c r="CK1388" i="13" s="1"/>
  <c r="CK1389" i="13" s="1"/>
  <c r="CK1390" i="13" s="1"/>
  <c r="CK1391" i="13" s="1"/>
  <c r="CK1392" i="13" s="1"/>
  <c r="CK1393" i="13" s="1"/>
  <c r="CK1394" i="13" s="1"/>
  <c r="CK1395" i="13" s="1"/>
  <c r="CK1396" i="13" s="1"/>
  <c r="CK1397" i="13" s="1"/>
  <c r="CK1398" i="13" s="1"/>
  <c r="CK1399" i="13" s="1"/>
  <c r="CK1400" i="13" s="1"/>
  <c r="CK1401" i="13" s="1"/>
  <c r="CK1402" i="13" s="1"/>
  <c r="CK1531" i="13"/>
  <c r="D87" i="8"/>
  <c r="D89" i="8" s="1"/>
  <c r="CJ1597" i="13" l="1"/>
  <c r="CM1596" i="13"/>
  <c r="CN1596" i="13" s="1"/>
  <c r="CJ1386" i="13"/>
  <c r="CM1385" i="13"/>
  <c r="CN1385" i="13" s="1"/>
  <c r="CM1470" i="13"/>
  <c r="CN1470" i="13" s="1"/>
  <c r="CO1470" i="13" s="1"/>
  <c r="CJ1679" i="13"/>
  <c r="CM1678" i="13"/>
  <c r="CN1678" i="13" s="1"/>
  <c r="A9" i="19"/>
  <c r="S9" i="19" s="1"/>
  <c r="A10" i="19"/>
  <c r="A11" i="19"/>
  <c r="S11" i="19" s="1"/>
  <c r="A12" i="19"/>
  <c r="O12" i="19" s="1"/>
  <c r="A13" i="19"/>
  <c r="O13" i="19" s="1"/>
  <c r="A14" i="19"/>
  <c r="S14" i="19" s="1"/>
  <c r="A15" i="19"/>
  <c r="S15" i="19" s="1"/>
  <c r="A16" i="19"/>
  <c r="O16" i="19" s="1"/>
  <c r="A17" i="19"/>
  <c r="O17" i="19" s="1"/>
  <c r="A18" i="19"/>
  <c r="O18" i="19" s="1"/>
  <c r="A19" i="19"/>
  <c r="S19" i="19" s="1"/>
  <c r="A20" i="19"/>
  <c r="S20" i="19" s="1"/>
  <c r="A21" i="19"/>
  <c r="S21" i="19" s="1"/>
  <c r="A22" i="19"/>
  <c r="S22" i="19" s="1"/>
  <c r="A23" i="19"/>
  <c r="S23" i="19" s="1"/>
  <c r="A24" i="19"/>
  <c r="O24" i="19" s="1"/>
  <c r="A25" i="19"/>
  <c r="O25" i="19" s="1"/>
  <c r="A8" i="19"/>
  <c r="L25" i="19" s="1"/>
  <c r="A9" i="18"/>
  <c r="S9" i="18" s="1"/>
  <c r="A10" i="18"/>
  <c r="O10" i="18" s="1"/>
  <c r="A11" i="18"/>
  <c r="S11" i="18" s="1"/>
  <c r="A12" i="18"/>
  <c r="O12" i="18" s="1"/>
  <c r="A13" i="18"/>
  <c r="S13" i="18" s="1"/>
  <c r="A14" i="18"/>
  <c r="S14" i="18" s="1"/>
  <c r="A15" i="18"/>
  <c r="O15" i="18" s="1"/>
  <c r="A16" i="18"/>
  <c r="S16" i="18" s="1"/>
  <c r="A17" i="18"/>
  <c r="O17" i="18" s="1"/>
  <c r="A18" i="18"/>
  <c r="O18" i="18" s="1"/>
  <c r="A19" i="18"/>
  <c r="S19" i="18" s="1"/>
  <c r="A20" i="18"/>
  <c r="S20" i="18" s="1"/>
  <c r="A21" i="18"/>
  <c r="O21" i="18" s="1"/>
  <c r="A22" i="18"/>
  <c r="S22" i="18" s="1"/>
  <c r="A23" i="18"/>
  <c r="O23" i="18" s="1"/>
  <c r="A24" i="18"/>
  <c r="O24" i="18" s="1"/>
  <c r="A25" i="18"/>
  <c r="S25" i="18" s="1"/>
  <c r="A8" i="18"/>
  <c r="L22" i="18" s="1"/>
  <c r="N24" i="19"/>
  <c r="N22" i="19"/>
  <c r="N20" i="19"/>
  <c r="N18" i="19"/>
  <c r="N16" i="19"/>
  <c r="N14" i="19"/>
  <c r="N12" i="19"/>
  <c r="N10" i="19"/>
  <c r="O10" i="19"/>
  <c r="N8" i="19"/>
  <c r="N24" i="18"/>
  <c r="N22" i="18"/>
  <c r="N20" i="18"/>
  <c r="N18" i="18"/>
  <c r="N16" i="18"/>
  <c r="N14" i="18"/>
  <c r="N12" i="18"/>
  <c r="N10" i="18"/>
  <c r="N8" i="18"/>
  <c r="D9" i="11"/>
  <c r="E9" i="11"/>
  <c r="F9" i="11"/>
  <c r="BI1098" i="13"/>
  <c r="BH1098" i="13"/>
  <c r="BJ1098" i="13"/>
  <c r="CM1386" i="13" l="1"/>
  <c r="CN1386" i="13" s="1"/>
  <c r="CJ1387" i="13"/>
  <c r="CJ1680" i="13"/>
  <c r="CM1679" i="13"/>
  <c r="CN1679" i="13" s="1"/>
  <c r="CJ1598" i="13"/>
  <c r="CM1597" i="13"/>
  <c r="CN1597" i="13" s="1"/>
  <c r="O23" i="19"/>
  <c r="BK1098" i="13"/>
  <c r="O9" i="18"/>
  <c r="S15" i="18"/>
  <c r="CF1098" i="13"/>
  <c r="CI1098" i="13" s="1"/>
  <c r="CE1098" i="13"/>
  <c r="CH1098" i="13" s="1"/>
  <c r="BY1098" i="13"/>
  <c r="CD1098" i="13"/>
  <c r="CG1098" i="13" s="1"/>
  <c r="O13" i="18"/>
  <c r="O11" i="18"/>
  <c r="O19" i="18"/>
  <c r="O8" i="18"/>
  <c r="O14" i="18"/>
  <c r="J11" i="18"/>
  <c r="S17" i="18"/>
  <c r="K10" i="18"/>
  <c r="S12" i="19"/>
  <c r="K8" i="18"/>
  <c r="K13" i="18"/>
  <c r="J8" i="18"/>
  <c r="L14" i="18"/>
  <c r="S8" i="18"/>
  <c r="S12" i="18"/>
  <c r="J9" i="18"/>
  <c r="L8" i="18"/>
  <c r="J10" i="18"/>
  <c r="K12" i="18"/>
  <c r="J13" i="18"/>
  <c r="L15" i="18"/>
  <c r="L25" i="18"/>
  <c r="L9" i="18"/>
  <c r="K11" i="18"/>
  <c r="S23" i="18"/>
  <c r="K19" i="18"/>
  <c r="L11" i="18"/>
  <c r="J24" i="18"/>
  <c r="S16" i="19"/>
  <c r="O20" i="19"/>
  <c r="O9" i="19"/>
  <c r="S17" i="19"/>
  <c r="O21" i="19"/>
  <c r="J16" i="18"/>
  <c r="L19" i="18"/>
  <c r="L10" i="18"/>
  <c r="J12" i="18"/>
  <c r="K14" i="18"/>
  <c r="K16" i="18"/>
  <c r="J8" i="19"/>
  <c r="K11" i="19"/>
  <c r="S13" i="19"/>
  <c r="K19" i="19"/>
  <c r="S25" i="19"/>
  <c r="O19" i="19"/>
  <c r="J16" i="19"/>
  <c r="O11" i="19"/>
  <c r="L14" i="19"/>
  <c r="O15" i="19"/>
  <c r="O20" i="18"/>
  <c r="S24" i="18"/>
  <c r="O16" i="18"/>
  <c r="L16" i="18"/>
  <c r="J24" i="19"/>
  <c r="K8" i="19"/>
  <c r="S8" i="19"/>
  <c r="L11" i="19"/>
  <c r="J13" i="19"/>
  <c r="L19" i="19"/>
  <c r="J21" i="19"/>
  <c r="K24" i="19"/>
  <c r="S24" i="19"/>
  <c r="K16" i="19"/>
  <c r="L8" i="19"/>
  <c r="J18" i="19"/>
  <c r="K21" i="19"/>
  <c r="L24" i="19"/>
  <c r="L22" i="19"/>
  <c r="J10" i="19"/>
  <c r="K13" i="19"/>
  <c r="L16" i="19"/>
  <c r="K10" i="19"/>
  <c r="S10" i="19"/>
  <c r="L13" i="19"/>
  <c r="O14" i="19"/>
  <c r="J15" i="19"/>
  <c r="K18" i="19"/>
  <c r="S18" i="19"/>
  <c r="L21" i="19"/>
  <c r="O22" i="19"/>
  <c r="J23" i="19"/>
  <c r="L10" i="19"/>
  <c r="J20" i="19"/>
  <c r="K23" i="19"/>
  <c r="J12" i="19"/>
  <c r="K15" i="19"/>
  <c r="L18" i="19"/>
  <c r="O8" i="19"/>
  <c r="J9" i="19"/>
  <c r="K12" i="19"/>
  <c r="L15" i="19"/>
  <c r="J17" i="19"/>
  <c r="K20" i="19"/>
  <c r="L23" i="19"/>
  <c r="J25" i="19"/>
  <c r="J14" i="19"/>
  <c r="K17" i="19"/>
  <c r="L20" i="19"/>
  <c r="K9" i="19"/>
  <c r="L12" i="19"/>
  <c r="J22" i="19"/>
  <c r="K25" i="19"/>
  <c r="L9" i="19"/>
  <c r="J11" i="19"/>
  <c r="K14" i="19"/>
  <c r="L17" i="19"/>
  <c r="J19" i="19"/>
  <c r="I19" i="19" s="1"/>
  <c r="K22" i="19"/>
  <c r="J21" i="18"/>
  <c r="K24" i="18"/>
  <c r="J18" i="18"/>
  <c r="K21" i="18"/>
  <c r="S21" i="18"/>
  <c r="L24" i="18"/>
  <c r="O25" i="18"/>
  <c r="S10" i="18"/>
  <c r="L13" i="18"/>
  <c r="J15" i="18"/>
  <c r="K18" i="18"/>
  <c r="S18" i="18"/>
  <c r="L21" i="18"/>
  <c r="O22" i="18"/>
  <c r="J23" i="18"/>
  <c r="K15" i="18"/>
  <c r="L18" i="18"/>
  <c r="J20" i="18"/>
  <c r="K23" i="18"/>
  <c r="J17" i="18"/>
  <c r="K20" i="18"/>
  <c r="L23" i="18"/>
  <c r="J25" i="18"/>
  <c r="K9" i="18"/>
  <c r="L12" i="18"/>
  <c r="J14" i="18"/>
  <c r="K17" i="18"/>
  <c r="L20" i="18"/>
  <c r="J22" i="18"/>
  <c r="K25" i="18"/>
  <c r="L17" i="18"/>
  <c r="J19" i="18"/>
  <c r="K22" i="18"/>
  <c r="CJ1681" i="13" l="1"/>
  <c r="CM1680" i="13"/>
  <c r="CN1680" i="13" s="1"/>
  <c r="CJ1388" i="13"/>
  <c r="CM1387" i="13"/>
  <c r="CN1387" i="13" s="1"/>
  <c r="CJ1599" i="13"/>
  <c r="CM1598" i="13"/>
  <c r="CN1598" i="13" s="1"/>
  <c r="I19" i="18"/>
  <c r="N19" i="18" s="1"/>
  <c r="I8" i="18"/>
  <c r="M8" i="18" s="1"/>
  <c r="P8" i="18" s="1"/>
  <c r="Q8" i="18" s="1"/>
  <c r="R8" i="18" s="1"/>
  <c r="T8" i="18" s="1"/>
  <c r="I13" i="18"/>
  <c r="M13" i="18" s="1"/>
  <c r="P13" i="18" s="1"/>
  <c r="Q13" i="18" s="1"/>
  <c r="R13" i="18" s="1"/>
  <c r="T13" i="18" s="1"/>
  <c r="I12" i="18"/>
  <c r="M12" i="18" s="1"/>
  <c r="P12" i="18" s="1"/>
  <c r="Q12" i="18" s="1"/>
  <c r="R12" i="18" s="1"/>
  <c r="T12" i="18" s="1"/>
  <c r="I16" i="18"/>
  <c r="M16" i="18" s="1"/>
  <c r="P16" i="18" s="1"/>
  <c r="Q16" i="18" s="1"/>
  <c r="R16" i="18" s="1"/>
  <c r="T16" i="18" s="1"/>
  <c r="I10" i="18"/>
  <c r="M10" i="18" s="1"/>
  <c r="P10" i="18" s="1"/>
  <c r="Q10" i="18" s="1"/>
  <c r="R10" i="18" s="1"/>
  <c r="T10" i="18" s="1"/>
  <c r="I11" i="18"/>
  <c r="M11" i="18" s="1"/>
  <c r="P11" i="18" s="1"/>
  <c r="Q11" i="18" s="1"/>
  <c r="R11" i="18" s="1"/>
  <c r="T11" i="18" s="1"/>
  <c r="I25" i="19"/>
  <c r="N25" i="19" s="1"/>
  <c r="I10" i="19"/>
  <c r="M10" i="19" s="1"/>
  <c r="P10" i="19" s="1"/>
  <c r="Q10" i="19" s="1"/>
  <c r="R10" i="19" s="1"/>
  <c r="T10" i="19" s="1"/>
  <c r="I8" i="19"/>
  <c r="M8" i="19" s="1"/>
  <c r="P8" i="19" s="1"/>
  <c r="Q8" i="19" s="1"/>
  <c r="R8" i="19" s="1"/>
  <c r="T8" i="19" s="1"/>
  <c r="I9" i="18"/>
  <c r="N9" i="18" s="1"/>
  <c r="I14" i="18"/>
  <c r="M14" i="18" s="1"/>
  <c r="P14" i="18" s="1"/>
  <c r="Q14" i="18" s="1"/>
  <c r="R14" i="18" s="1"/>
  <c r="T14" i="18" s="1"/>
  <c r="I20" i="18"/>
  <c r="M20" i="18" s="1"/>
  <c r="P20" i="18" s="1"/>
  <c r="Q20" i="18" s="1"/>
  <c r="R20" i="18" s="1"/>
  <c r="T20" i="18" s="1"/>
  <c r="I15" i="18"/>
  <c r="N15" i="18" s="1"/>
  <c r="I24" i="18"/>
  <c r="M24" i="18" s="1"/>
  <c r="P24" i="18" s="1"/>
  <c r="Q24" i="18" s="1"/>
  <c r="R24" i="18" s="1"/>
  <c r="T24" i="18" s="1"/>
  <c r="I11" i="19"/>
  <c r="N11" i="19" s="1"/>
  <c r="I17" i="19"/>
  <c r="N17" i="19" s="1"/>
  <c r="I15" i="19"/>
  <c r="M15" i="19" s="1"/>
  <c r="P15" i="19" s="1"/>
  <c r="Q15" i="19" s="1"/>
  <c r="R15" i="19" s="1"/>
  <c r="T15" i="19" s="1"/>
  <c r="I20" i="19"/>
  <c r="M20" i="19" s="1"/>
  <c r="P20" i="19" s="1"/>
  <c r="Q20" i="19" s="1"/>
  <c r="R20" i="19" s="1"/>
  <c r="T20" i="19" s="1"/>
  <c r="I16" i="19"/>
  <c r="M16" i="19" s="1"/>
  <c r="P16" i="19" s="1"/>
  <c r="Q16" i="19" s="1"/>
  <c r="R16" i="19" s="1"/>
  <c r="T16" i="19" s="1"/>
  <c r="I13" i="19"/>
  <c r="I9" i="19"/>
  <c r="I18" i="19"/>
  <c r="M18" i="19" s="1"/>
  <c r="P18" i="19" s="1"/>
  <c r="Q18" i="19" s="1"/>
  <c r="R18" i="19" s="1"/>
  <c r="T18" i="19" s="1"/>
  <c r="N19" i="19"/>
  <c r="M19" i="19"/>
  <c r="P19" i="19" s="1"/>
  <c r="Q19" i="19" s="1"/>
  <c r="R19" i="19" s="1"/>
  <c r="T19" i="19" s="1"/>
  <c r="I23" i="19"/>
  <c r="I14" i="19"/>
  <c r="M14" i="19" s="1"/>
  <c r="P14" i="19" s="1"/>
  <c r="Q14" i="19" s="1"/>
  <c r="R14" i="19" s="1"/>
  <c r="T14" i="19" s="1"/>
  <c r="I24" i="19"/>
  <c r="M24" i="19" s="1"/>
  <c r="P24" i="19" s="1"/>
  <c r="Q24" i="19" s="1"/>
  <c r="R24" i="19" s="1"/>
  <c r="T24" i="19" s="1"/>
  <c r="I22" i="19"/>
  <c r="M22" i="19" s="1"/>
  <c r="P22" i="19" s="1"/>
  <c r="Q22" i="19" s="1"/>
  <c r="R22" i="19" s="1"/>
  <c r="T22" i="19" s="1"/>
  <c r="I12" i="19"/>
  <c r="M12" i="19" s="1"/>
  <c r="P12" i="19" s="1"/>
  <c r="Q12" i="19" s="1"/>
  <c r="R12" i="19" s="1"/>
  <c r="T12" i="19" s="1"/>
  <c r="I21" i="19"/>
  <c r="I21" i="18"/>
  <c r="I25" i="18"/>
  <c r="I23" i="18"/>
  <c r="I22" i="18"/>
  <c r="M22" i="18" s="1"/>
  <c r="P22" i="18" s="1"/>
  <c r="Q22" i="18" s="1"/>
  <c r="R22" i="18" s="1"/>
  <c r="T22" i="18" s="1"/>
  <c r="I17" i="18"/>
  <c r="I18" i="18"/>
  <c r="M18" i="18" s="1"/>
  <c r="P18" i="18" s="1"/>
  <c r="Q18" i="18" s="1"/>
  <c r="R18" i="18" s="1"/>
  <c r="T18" i="18" s="1"/>
  <c r="CJ1600" i="13" l="1"/>
  <c r="CM1599" i="13"/>
  <c r="CN1599" i="13" s="1"/>
  <c r="CJ1682" i="13"/>
  <c r="CM1681" i="13"/>
  <c r="CN1681" i="13" s="1"/>
  <c r="CJ1389" i="13"/>
  <c r="CM1388" i="13"/>
  <c r="CN1388" i="13" s="1"/>
  <c r="M19" i="18"/>
  <c r="P19" i="18" s="1"/>
  <c r="Q19" i="18" s="1"/>
  <c r="R19" i="18" s="1"/>
  <c r="T19" i="18" s="1"/>
  <c r="N13" i="18"/>
  <c r="N11" i="18"/>
  <c r="M25" i="19"/>
  <c r="P25" i="19" s="1"/>
  <c r="Q25" i="19" s="1"/>
  <c r="R25" i="19" s="1"/>
  <c r="T25" i="19" s="1"/>
  <c r="M11" i="19"/>
  <c r="P11" i="19" s="1"/>
  <c r="Q11" i="19" s="1"/>
  <c r="R11" i="19" s="1"/>
  <c r="T11" i="19" s="1"/>
  <c r="M17" i="19"/>
  <c r="P17" i="19" s="1"/>
  <c r="Q17" i="19" s="1"/>
  <c r="R17" i="19" s="1"/>
  <c r="T17" i="19" s="1"/>
  <c r="M9" i="18"/>
  <c r="P9" i="18" s="1"/>
  <c r="Q9" i="18" s="1"/>
  <c r="R9" i="18" s="1"/>
  <c r="T9" i="18" s="1"/>
  <c r="M15" i="18"/>
  <c r="P15" i="18" s="1"/>
  <c r="Q15" i="18" s="1"/>
  <c r="R15" i="18" s="1"/>
  <c r="T15" i="18" s="1"/>
  <c r="N15" i="19"/>
  <c r="N23" i="19"/>
  <c r="M23" i="19"/>
  <c r="P23" i="19" s="1"/>
  <c r="Q23" i="19" s="1"/>
  <c r="R23" i="19" s="1"/>
  <c r="T23" i="19" s="1"/>
  <c r="N21" i="19"/>
  <c r="M21" i="19"/>
  <c r="P21" i="19" s="1"/>
  <c r="Q21" i="19" s="1"/>
  <c r="R21" i="19" s="1"/>
  <c r="T21" i="19" s="1"/>
  <c r="N9" i="19"/>
  <c r="M9" i="19"/>
  <c r="P9" i="19" s="1"/>
  <c r="Q9" i="19" s="1"/>
  <c r="R9" i="19" s="1"/>
  <c r="T9" i="19" s="1"/>
  <c r="N13" i="19"/>
  <c r="M13" i="19"/>
  <c r="P13" i="19" s="1"/>
  <c r="Q13" i="19" s="1"/>
  <c r="R13" i="19" s="1"/>
  <c r="T13" i="19" s="1"/>
  <c r="N21" i="18"/>
  <c r="M21" i="18"/>
  <c r="P21" i="18" s="1"/>
  <c r="Q21" i="18" s="1"/>
  <c r="R21" i="18" s="1"/>
  <c r="T21" i="18" s="1"/>
  <c r="N23" i="18"/>
  <c r="M23" i="18"/>
  <c r="P23" i="18" s="1"/>
  <c r="Q23" i="18" s="1"/>
  <c r="R23" i="18" s="1"/>
  <c r="T23" i="18" s="1"/>
  <c r="M25" i="18"/>
  <c r="P25" i="18" s="1"/>
  <c r="Q25" i="18" s="1"/>
  <c r="R25" i="18" s="1"/>
  <c r="T25" i="18" s="1"/>
  <c r="N25" i="18"/>
  <c r="M17" i="18"/>
  <c r="P17" i="18" s="1"/>
  <c r="Q17" i="18" s="1"/>
  <c r="R17" i="18" s="1"/>
  <c r="T17" i="18" s="1"/>
  <c r="E75" i="8" s="1"/>
  <c r="B97" i="8" s="1"/>
  <c r="F97" i="8" s="1"/>
  <c r="N17" i="18"/>
  <c r="CJ1390" i="13" l="1"/>
  <c r="CM1389" i="13"/>
  <c r="CN1389" i="13" s="1"/>
  <c r="CJ1601" i="13"/>
  <c r="CM1600" i="13"/>
  <c r="CN1600" i="13" s="1"/>
  <c r="CJ1683" i="13"/>
  <c r="CM1682" i="13"/>
  <c r="CN1682" i="13" s="1"/>
  <c r="E78" i="8"/>
  <c r="C97" i="8"/>
  <c r="E97" i="8" s="1"/>
  <c r="H10" i="16"/>
  <c r="G10" i="16"/>
  <c r="CJ1684" i="13" l="1"/>
  <c r="CM1683" i="13"/>
  <c r="CN1683" i="13" s="1"/>
  <c r="CJ1391" i="13"/>
  <c r="CM1390" i="13"/>
  <c r="CN1390" i="13" s="1"/>
  <c r="CJ1602" i="13"/>
  <c r="CM1601" i="13"/>
  <c r="CN1601" i="13" s="1"/>
  <c r="N10" i="14"/>
  <c r="N12" i="14"/>
  <c r="N14" i="14"/>
  <c r="N16" i="14"/>
  <c r="N18" i="14"/>
  <c r="N20" i="14"/>
  <c r="N22" i="14"/>
  <c r="N24" i="14"/>
  <c r="N8" i="14"/>
  <c r="A9" i="14"/>
  <c r="O9" i="14" s="1"/>
  <c r="A10" i="14"/>
  <c r="O10" i="14" s="1"/>
  <c r="A11" i="14"/>
  <c r="O11" i="14" s="1"/>
  <c r="A12" i="14"/>
  <c r="O12" i="14" s="1"/>
  <c r="A13" i="14"/>
  <c r="O13" i="14" s="1"/>
  <c r="A14" i="14"/>
  <c r="O14" i="14" s="1"/>
  <c r="A15" i="14"/>
  <c r="O15" i="14" s="1"/>
  <c r="A16" i="14"/>
  <c r="O16" i="14" s="1"/>
  <c r="A17" i="14"/>
  <c r="O17" i="14" s="1"/>
  <c r="A18" i="14"/>
  <c r="O18" i="14" s="1"/>
  <c r="A19" i="14"/>
  <c r="O19" i="14" s="1"/>
  <c r="A20" i="14"/>
  <c r="O20" i="14" s="1"/>
  <c r="A21" i="14"/>
  <c r="O21" i="14" s="1"/>
  <c r="A22" i="14"/>
  <c r="O22" i="14" s="1"/>
  <c r="A23" i="14"/>
  <c r="O23" i="14" s="1"/>
  <c r="A24" i="14"/>
  <c r="O24" i="14" s="1"/>
  <c r="A25" i="14"/>
  <c r="O25" i="14" s="1"/>
  <c r="A8" i="14"/>
  <c r="L16" i="14" s="1"/>
  <c r="G128" i="7"/>
  <c r="G126" i="7"/>
  <c r="G82" i="7"/>
  <c r="G124" i="7"/>
  <c r="G129" i="7"/>
  <c r="G127" i="7"/>
  <c r="G264" i="7"/>
  <c r="G265" i="7"/>
  <c r="G62" i="7"/>
  <c r="G131" i="7"/>
  <c r="G164" i="7"/>
  <c r="G162" i="7"/>
  <c r="G163" i="7"/>
  <c r="G63" i="7"/>
  <c r="G130" i="7"/>
  <c r="G125" i="7"/>
  <c r="G169" i="7"/>
  <c r="G250" i="7"/>
  <c r="G140" i="7"/>
  <c r="G245" i="7"/>
  <c r="G141" i="7"/>
  <c r="G142" i="7"/>
  <c r="G248" i="7"/>
  <c r="G244" i="7"/>
  <c r="G275" i="7"/>
  <c r="G276" i="7"/>
  <c r="G286" i="7"/>
  <c r="G285" i="7"/>
  <c r="G246" i="7"/>
  <c r="G243" i="7"/>
  <c r="G242" i="7"/>
  <c r="G249" i="7"/>
  <c r="G247" i="7"/>
  <c r="G64" i="7"/>
  <c r="G221" i="7"/>
  <c r="G207" i="7"/>
  <c r="G175" i="7"/>
  <c r="G99" i="7"/>
  <c r="G101" i="7"/>
  <c r="G98" i="7"/>
  <c r="G100" i="7"/>
  <c r="G177" i="7"/>
  <c r="G176" i="7"/>
  <c r="G84" i="7"/>
  <c r="G102" i="7"/>
  <c r="G215" i="7"/>
  <c r="G220" i="7"/>
  <c r="G217" i="7"/>
  <c r="G219" i="7"/>
  <c r="G205" i="7"/>
  <c r="G216" i="7"/>
  <c r="G222" i="7"/>
  <c r="G213" i="7"/>
  <c r="G214" i="7"/>
  <c r="G211" i="7"/>
  <c r="G208" i="7"/>
  <c r="G206" i="7"/>
  <c r="G210" i="7"/>
  <c r="G209" i="7"/>
  <c r="G85" i="7"/>
  <c r="G218" i="7"/>
  <c r="G212" i="7"/>
  <c r="G123" i="7"/>
  <c r="G148" i="7"/>
  <c r="G149" i="7"/>
  <c r="G144" i="7"/>
  <c r="G145" i="7"/>
  <c r="G143" i="7"/>
  <c r="G147" i="7"/>
  <c r="G161" i="7"/>
  <c r="G167" i="7"/>
  <c r="G146" i="7"/>
  <c r="G92" i="7"/>
  <c r="G192" i="7"/>
  <c r="G70" i="7"/>
  <c r="G287" i="7"/>
  <c r="G103" i="7"/>
  <c r="G104" i="7"/>
  <c r="G178" i="7"/>
  <c r="G106" i="7"/>
  <c r="G71" i="7"/>
  <c r="G67" i="7"/>
  <c r="G68" i="7"/>
  <c r="G69" i="7"/>
  <c r="G122" i="7"/>
  <c r="G231" i="7"/>
  <c r="G233" i="7"/>
  <c r="G239" i="7"/>
  <c r="G232" i="7"/>
  <c r="G235" i="7"/>
  <c r="G266" i="7"/>
  <c r="G268" i="7"/>
  <c r="G267" i="7"/>
  <c r="G227" i="7"/>
  <c r="G228" i="7"/>
  <c r="G229" i="7"/>
  <c r="G189" i="7"/>
  <c r="G190" i="7"/>
  <c r="G199" i="7"/>
  <c r="G89" i="7"/>
  <c r="G121" i="7"/>
  <c r="G193" i="7"/>
  <c r="G97" i="7"/>
  <c r="G173" i="7"/>
  <c r="G73" i="7"/>
  <c r="G153" i="7"/>
  <c r="G154" i="7"/>
  <c r="G170" i="7"/>
  <c r="G171" i="7"/>
  <c r="G191" i="7"/>
  <c r="G194" i="7"/>
  <c r="G65" i="7"/>
  <c r="G238" i="7"/>
  <c r="G236" i="7"/>
  <c r="G223" i="7"/>
  <c r="G105" i="7"/>
  <c r="G234" i="7"/>
  <c r="G237" i="7"/>
  <c r="G224" i="7"/>
  <c r="G185" i="7"/>
  <c r="G187" i="7"/>
  <c r="G186" i="7"/>
  <c r="G93" i="7"/>
  <c r="G160" i="7"/>
  <c r="G230" i="7"/>
  <c r="G165" i="7"/>
  <c r="G166" i="7"/>
  <c r="G107" i="7"/>
  <c r="G108" i="7"/>
  <c r="G168" i="7"/>
  <c r="G157" i="7"/>
  <c r="G156" i="7"/>
  <c r="G159" i="7"/>
  <c r="G158" i="7"/>
  <c r="G94" i="7"/>
  <c r="G188" i="7"/>
  <c r="G150" i="7"/>
  <c r="G195" i="7"/>
  <c r="G198" i="7"/>
  <c r="G196" i="7"/>
  <c r="G90" i="7"/>
  <c r="G271" i="7"/>
  <c r="G270" i="7"/>
  <c r="G135" i="7"/>
  <c r="G197" i="7"/>
  <c r="G241" i="7"/>
  <c r="G200" i="7"/>
  <c r="G284" i="7"/>
  <c r="G81" i="7"/>
  <c r="G72" i="7"/>
  <c r="G252" i="7"/>
  <c r="G251" i="7"/>
  <c r="G87" i="7"/>
  <c r="G88" i="7"/>
  <c r="G77" i="7"/>
  <c r="G78" i="7"/>
  <c r="G80" i="7"/>
  <c r="G277" i="7"/>
  <c r="G278" i="7"/>
  <c r="G281" i="7"/>
  <c r="G152" i="7"/>
  <c r="G253" i="7"/>
  <c r="G255" i="7"/>
  <c r="G257" i="7"/>
  <c r="G258" i="7"/>
  <c r="G254" i="7"/>
  <c r="G260" i="7"/>
  <c r="G261" i="7"/>
  <c r="G263" i="7"/>
  <c r="G256" i="7"/>
  <c r="G262" i="7"/>
  <c r="G83" i="7"/>
  <c r="G66" i="7"/>
  <c r="G95" i="7"/>
  <c r="G96" i="7"/>
  <c r="G155" i="7"/>
  <c r="G172" i="7"/>
  <c r="G174" i="7"/>
  <c r="G180" i="7"/>
  <c r="G226" i="7"/>
  <c r="G225" i="7"/>
  <c r="G280" i="7"/>
  <c r="G279" i="7"/>
  <c r="G283" i="7"/>
  <c r="G201" i="7"/>
  <c r="G203" i="7"/>
  <c r="G204" i="7"/>
  <c r="G133" i="7"/>
  <c r="G132" i="7"/>
  <c r="G74" i="7"/>
  <c r="G75" i="7"/>
  <c r="G76" i="7"/>
  <c r="G91" i="7"/>
  <c r="G269" i="7"/>
  <c r="G273" i="7"/>
  <c r="G272" i="7"/>
  <c r="G274" i="7"/>
  <c r="G288" i="7"/>
  <c r="G79" i="7"/>
  <c r="G86" i="7"/>
  <c r="G136" i="7"/>
  <c r="G151" i="7"/>
  <c r="G134" i="7"/>
  <c r="G202" i="7"/>
  <c r="G259" i="7"/>
  <c r="G282" i="7"/>
  <c r="G116" i="7"/>
  <c r="G119" i="7"/>
  <c r="G109" i="7"/>
  <c r="G138" i="7"/>
  <c r="G114" i="7"/>
  <c r="G117" i="7"/>
  <c r="G115" i="7"/>
  <c r="G118" i="7"/>
  <c r="G179" i="7"/>
  <c r="G110" i="7"/>
  <c r="G113" i="7"/>
  <c r="G120" i="7"/>
  <c r="G112" i="7"/>
  <c r="G111" i="7"/>
  <c r="G181" i="7"/>
  <c r="G182" i="7"/>
  <c r="G184" i="7"/>
  <c r="G139" i="7"/>
  <c r="G183" i="7"/>
  <c r="G240" i="7"/>
  <c r="G137" i="7"/>
  <c r="CJ1603" i="13" l="1"/>
  <c r="CM1602" i="13"/>
  <c r="CN1602" i="13" s="1"/>
  <c r="CJ1685" i="13"/>
  <c r="CM1684" i="13"/>
  <c r="CN1684" i="13" s="1"/>
  <c r="CJ1392" i="13"/>
  <c r="CM1391" i="13"/>
  <c r="CN1391" i="13" s="1"/>
  <c r="L15" i="14"/>
  <c r="L11" i="14"/>
  <c r="S16" i="14"/>
  <c r="J23" i="14"/>
  <c r="J18" i="14"/>
  <c r="S24" i="14"/>
  <c r="K21" i="14"/>
  <c r="K14" i="14"/>
  <c r="S14" i="14"/>
  <c r="J19" i="14"/>
  <c r="K18" i="14"/>
  <c r="L14" i="14"/>
  <c r="S23" i="14"/>
  <c r="S15" i="14"/>
  <c r="S22" i="14"/>
  <c r="J15" i="14"/>
  <c r="K13" i="14"/>
  <c r="S21" i="14"/>
  <c r="S13" i="14"/>
  <c r="J11" i="14"/>
  <c r="K10" i="14"/>
  <c r="S20" i="14"/>
  <c r="S12" i="14"/>
  <c r="J10" i="14"/>
  <c r="L23" i="14"/>
  <c r="S19" i="14"/>
  <c r="S11" i="14"/>
  <c r="L8" i="14"/>
  <c r="L22" i="14"/>
  <c r="S8" i="14"/>
  <c r="S18" i="14"/>
  <c r="S10" i="14"/>
  <c r="J8" i="14"/>
  <c r="K22" i="14"/>
  <c r="L19" i="14"/>
  <c r="S25" i="14"/>
  <c r="S17" i="14"/>
  <c r="S9" i="14"/>
  <c r="J25" i="14"/>
  <c r="J17" i="14"/>
  <c r="J9" i="14"/>
  <c r="K20" i="14"/>
  <c r="K12" i="14"/>
  <c r="L21" i="14"/>
  <c r="L13" i="14"/>
  <c r="J24" i="14"/>
  <c r="J16" i="14"/>
  <c r="K8" i="14"/>
  <c r="K19" i="14"/>
  <c r="K11" i="14"/>
  <c r="L20" i="14"/>
  <c r="L12" i="14"/>
  <c r="J22" i="14"/>
  <c r="J14" i="14"/>
  <c r="K25" i="14"/>
  <c r="K17" i="14"/>
  <c r="K9" i="14"/>
  <c r="L18" i="14"/>
  <c r="L10" i="14"/>
  <c r="J21" i="14"/>
  <c r="J13" i="14"/>
  <c r="K24" i="14"/>
  <c r="K16" i="14"/>
  <c r="L25" i="14"/>
  <c r="L17" i="14"/>
  <c r="L9" i="14"/>
  <c r="O8" i="14"/>
  <c r="J20" i="14"/>
  <c r="J12" i="14"/>
  <c r="K23" i="14"/>
  <c r="K15" i="14"/>
  <c r="L24" i="14"/>
  <c r="I8" i="14" l="1"/>
  <c r="M8" i="14" s="1"/>
  <c r="P8" i="14" s="1"/>
  <c r="Q8" i="14" s="1"/>
  <c r="R8" i="14" s="1"/>
  <c r="T8" i="14" s="1"/>
  <c r="CJ1393" i="13"/>
  <c r="CM1392" i="13"/>
  <c r="CN1392" i="13" s="1"/>
  <c r="CJ1604" i="13"/>
  <c r="CM1603" i="13"/>
  <c r="CN1603" i="13" s="1"/>
  <c r="CJ1686" i="13"/>
  <c r="CM1685" i="13"/>
  <c r="CN1685" i="13" s="1"/>
  <c r="I12" i="14"/>
  <c r="M12" i="14" s="1"/>
  <c r="P12" i="14" s="1"/>
  <c r="Q12" i="14" s="1"/>
  <c r="R12" i="14" s="1"/>
  <c r="T12" i="14" s="1"/>
  <c r="I21" i="14"/>
  <c r="N21" i="14" s="1"/>
  <c r="I18" i="14"/>
  <c r="M18" i="14" s="1"/>
  <c r="P18" i="14" s="1"/>
  <c r="Q18" i="14" s="1"/>
  <c r="R18" i="14" s="1"/>
  <c r="T18" i="14" s="1"/>
  <c r="I15" i="14"/>
  <c r="N15" i="14" s="1"/>
  <c r="I14" i="14"/>
  <c r="M14" i="14" s="1"/>
  <c r="P14" i="14" s="1"/>
  <c r="Q14" i="14" s="1"/>
  <c r="R14" i="14" s="1"/>
  <c r="T14" i="14" s="1"/>
  <c r="I11" i="14"/>
  <c r="N11" i="14" s="1"/>
  <c r="I10" i="14"/>
  <c r="M10" i="14" s="1"/>
  <c r="P10" i="14" s="1"/>
  <c r="Q10" i="14" s="1"/>
  <c r="R10" i="14" s="1"/>
  <c r="T10" i="14" s="1"/>
  <c r="I19" i="14"/>
  <c r="M19" i="14" s="1"/>
  <c r="P19" i="14" s="1"/>
  <c r="Q19" i="14" s="1"/>
  <c r="R19" i="14" s="1"/>
  <c r="T19" i="14" s="1"/>
  <c r="I25" i="14"/>
  <c r="N25" i="14" s="1"/>
  <c r="I20" i="14"/>
  <c r="M20" i="14" s="1"/>
  <c r="P20" i="14" s="1"/>
  <c r="Q20" i="14" s="1"/>
  <c r="R20" i="14" s="1"/>
  <c r="T20" i="14" s="1"/>
  <c r="I23" i="14"/>
  <c r="M23" i="14" s="1"/>
  <c r="P23" i="14" s="1"/>
  <c r="Q23" i="14" s="1"/>
  <c r="R23" i="14" s="1"/>
  <c r="T23" i="14" s="1"/>
  <c r="I13" i="14"/>
  <c r="N13" i="14" s="1"/>
  <c r="I22" i="14"/>
  <c r="M22" i="14" s="1"/>
  <c r="P22" i="14" s="1"/>
  <c r="Q22" i="14" s="1"/>
  <c r="R22" i="14" s="1"/>
  <c r="T22" i="14" s="1"/>
  <c r="I16" i="14"/>
  <c r="M16" i="14" s="1"/>
  <c r="P16" i="14" s="1"/>
  <c r="Q16" i="14" s="1"/>
  <c r="R16" i="14" s="1"/>
  <c r="T16" i="14" s="1"/>
  <c r="I24" i="14"/>
  <c r="M24" i="14" s="1"/>
  <c r="P24" i="14" s="1"/>
  <c r="Q24" i="14" s="1"/>
  <c r="R24" i="14" s="1"/>
  <c r="T24" i="14" s="1"/>
  <c r="I9" i="14"/>
  <c r="I17" i="14"/>
  <c r="CJ1687" i="13" l="1"/>
  <c r="CM1686" i="13"/>
  <c r="CN1686" i="13" s="1"/>
  <c r="CJ1394" i="13"/>
  <c r="CM1393" i="13"/>
  <c r="CN1393" i="13" s="1"/>
  <c r="CJ1605" i="13"/>
  <c r="CM1604" i="13"/>
  <c r="CN1604" i="13" s="1"/>
  <c r="M21" i="14"/>
  <c r="P21" i="14" s="1"/>
  <c r="Q21" i="14" s="1"/>
  <c r="R21" i="14" s="1"/>
  <c r="T21" i="14" s="1"/>
  <c r="M25" i="14"/>
  <c r="P25" i="14" s="1"/>
  <c r="Q25" i="14" s="1"/>
  <c r="R25" i="14" s="1"/>
  <c r="T25" i="14" s="1"/>
  <c r="M11" i="14"/>
  <c r="P11" i="14" s="1"/>
  <c r="Q11" i="14" s="1"/>
  <c r="R11" i="14" s="1"/>
  <c r="T11" i="14" s="1"/>
  <c r="M15" i="14"/>
  <c r="P15" i="14" s="1"/>
  <c r="Q15" i="14" s="1"/>
  <c r="R15" i="14" s="1"/>
  <c r="T15" i="14" s="1"/>
  <c r="N23" i="14"/>
  <c r="N19" i="14"/>
  <c r="M13" i="14"/>
  <c r="P13" i="14" s="1"/>
  <c r="Q13" i="14" s="1"/>
  <c r="R13" i="14" s="1"/>
  <c r="T13" i="14" s="1"/>
  <c r="N9" i="14"/>
  <c r="M9" i="14"/>
  <c r="P9" i="14" s="1"/>
  <c r="Q9" i="14" s="1"/>
  <c r="R9" i="14" s="1"/>
  <c r="T9" i="14" s="1"/>
  <c r="N17" i="14"/>
  <c r="M17" i="14"/>
  <c r="P17" i="14" s="1"/>
  <c r="Q17" i="14" s="1"/>
  <c r="R17" i="14" s="1"/>
  <c r="T17" i="14" s="1"/>
  <c r="E72" i="8" s="1"/>
  <c r="B96" i="8" s="1"/>
  <c r="F96" i="8" s="1"/>
  <c r="CJ1606" i="13" l="1"/>
  <c r="CM1605" i="13"/>
  <c r="CN1605" i="13" s="1"/>
  <c r="CJ1688" i="13"/>
  <c r="CM1687" i="13"/>
  <c r="CN1687" i="13" s="1"/>
  <c r="CM1394" i="13"/>
  <c r="CN1394" i="13" s="1"/>
  <c r="CJ1395" i="13"/>
  <c r="C96" i="8"/>
  <c r="E96" i="8" s="1"/>
  <c r="BJ1056" i="13"/>
  <c r="BJ1057" i="13"/>
  <c r="BJ1058" i="13"/>
  <c r="BJ1059" i="13"/>
  <c r="BJ1060" i="13"/>
  <c r="BJ1061" i="13"/>
  <c r="BJ1062" i="13"/>
  <c r="BJ1063" i="13"/>
  <c r="BJ1064" i="13"/>
  <c r="BJ1065" i="13"/>
  <c r="BJ1066" i="13"/>
  <c r="BJ1067" i="13"/>
  <c r="BJ1068" i="13"/>
  <c r="BJ1069" i="13"/>
  <c r="BJ1070" i="13"/>
  <c r="BJ1071" i="13"/>
  <c r="BJ1072" i="13"/>
  <c r="BJ1073" i="13"/>
  <c r="BJ1074" i="13"/>
  <c r="BJ1075" i="13"/>
  <c r="BJ1076" i="13"/>
  <c r="BJ1077" i="13"/>
  <c r="BJ1078" i="13"/>
  <c r="BJ1079" i="13"/>
  <c r="BJ1080" i="13"/>
  <c r="BJ1081" i="13"/>
  <c r="BJ1082" i="13"/>
  <c r="BJ1083" i="13"/>
  <c r="BJ1084" i="13"/>
  <c r="BJ1085" i="13"/>
  <c r="BJ1086" i="13"/>
  <c r="BJ1087" i="13"/>
  <c r="BJ1088" i="13"/>
  <c r="BJ1089" i="13"/>
  <c r="BJ1090" i="13"/>
  <c r="BJ1091" i="13"/>
  <c r="BJ1092" i="13"/>
  <c r="BJ1093" i="13"/>
  <c r="BJ1094" i="13"/>
  <c r="BJ1095" i="13"/>
  <c r="BJ1096" i="13"/>
  <c r="BJ1097" i="13"/>
  <c r="BJ1099" i="13"/>
  <c r="BJ1100" i="13"/>
  <c r="BJ1101" i="13"/>
  <c r="BJ1102" i="13"/>
  <c r="BJ1103" i="13"/>
  <c r="BJ1104" i="13"/>
  <c r="BJ1105" i="13"/>
  <c r="BJ1106" i="13"/>
  <c r="BJ1107" i="13"/>
  <c r="BJ1108" i="13"/>
  <c r="BJ1109" i="13"/>
  <c r="BJ1110" i="13"/>
  <c r="BJ1111" i="13"/>
  <c r="BJ1112" i="13"/>
  <c r="BJ1113" i="13"/>
  <c r="BJ1114" i="13"/>
  <c r="BJ1115" i="13"/>
  <c r="BJ1116" i="13"/>
  <c r="BJ1117" i="13"/>
  <c r="BJ1118" i="13"/>
  <c r="BJ1119" i="13"/>
  <c r="BJ1120" i="13"/>
  <c r="BJ1121" i="13"/>
  <c r="BJ1122" i="13"/>
  <c r="BJ1123" i="13"/>
  <c r="BJ1124" i="13"/>
  <c r="BJ1125" i="13"/>
  <c r="BJ1126" i="13"/>
  <c r="BJ1127" i="13"/>
  <c r="BJ1128" i="13"/>
  <c r="BJ1129" i="13"/>
  <c r="BJ1130" i="13"/>
  <c r="BJ1131" i="13"/>
  <c r="BJ1132" i="13"/>
  <c r="BJ1133" i="13"/>
  <c r="BJ1134" i="13"/>
  <c r="BJ1135" i="13"/>
  <c r="BJ1136" i="13"/>
  <c r="BJ1137" i="13"/>
  <c r="BJ1138" i="13"/>
  <c r="BJ1139" i="13"/>
  <c r="BJ1140" i="13"/>
  <c r="BJ1141" i="13"/>
  <c r="BJ1142" i="13"/>
  <c r="BJ1143" i="13"/>
  <c r="BJ1144" i="13"/>
  <c r="BJ1145" i="13"/>
  <c r="BJ1146" i="13"/>
  <c r="BJ1147" i="13"/>
  <c r="BJ1148" i="13"/>
  <c r="BJ1149" i="13"/>
  <c r="BJ1150" i="13"/>
  <c r="BJ1151" i="13"/>
  <c r="BJ1152" i="13"/>
  <c r="BJ1153" i="13"/>
  <c r="BJ1154" i="13"/>
  <c r="BJ1155" i="13"/>
  <c r="BJ1156" i="13"/>
  <c r="BJ1157" i="13"/>
  <c r="BJ1158" i="13"/>
  <c r="BJ1159" i="13"/>
  <c r="BJ1160" i="13"/>
  <c r="BJ1161" i="13"/>
  <c r="BJ1162" i="13"/>
  <c r="BJ1163" i="13"/>
  <c r="BJ1164" i="13"/>
  <c r="BJ1165" i="13"/>
  <c r="BJ1166" i="13"/>
  <c r="BJ1167" i="13"/>
  <c r="BJ1168" i="13"/>
  <c r="BJ1169" i="13"/>
  <c r="BJ1170" i="13"/>
  <c r="BJ1171" i="13"/>
  <c r="BJ1172" i="13"/>
  <c r="BJ1173" i="13"/>
  <c r="BJ1174" i="13"/>
  <c r="BJ1175" i="13"/>
  <c r="BJ1176" i="13"/>
  <c r="BJ1177" i="13"/>
  <c r="BJ1178" i="13"/>
  <c r="BJ1179" i="13"/>
  <c r="BJ1180" i="13"/>
  <c r="BJ1181" i="13"/>
  <c r="BJ1182" i="13"/>
  <c r="BJ1183" i="13"/>
  <c r="BJ1184" i="13"/>
  <c r="BJ1185" i="13"/>
  <c r="BJ1186" i="13"/>
  <c r="BJ1187" i="13"/>
  <c r="BJ1188" i="13"/>
  <c r="BJ1189" i="13"/>
  <c r="BJ1190" i="13"/>
  <c r="BJ1191" i="13"/>
  <c r="BJ1192" i="13"/>
  <c r="BJ1193" i="13"/>
  <c r="BJ1194" i="13"/>
  <c r="BJ1195" i="13"/>
  <c r="BJ1196" i="13"/>
  <c r="BJ1197" i="13"/>
  <c r="BJ1198" i="13"/>
  <c r="BJ1199" i="13"/>
  <c r="BJ1200" i="13"/>
  <c r="BJ1201" i="13"/>
  <c r="BJ1202" i="13"/>
  <c r="BJ1203" i="13"/>
  <c r="BJ1204" i="13"/>
  <c r="BJ1205" i="13"/>
  <c r="BJ1206" i="13"/>
  <c r="BJ1207" i="13"/>
  <c r="BJ1208" i="13"/>
  <c r="BJ1209" i="13"/>
  <c r="BJ1210" i="13"/>
  <c r="BJ1211" i="13"/>
  <c r="BJ1212" i="13"/>
  <c r="BJ1213" i="13"/>
  <c r="BJ1214" i="13"/>
  <c r="BJ1215" i="13"/>
  <c r="BJ1216" i="13"/>
  <c r="BJ1217" i="13"/>
  <c r="BJ1218" i="13"/>
  <c r="BJ1219" i="13"/>
  <c r="BJ1220" i="13"/>
  <c r="BJ1221" i="13"/>
  <c r="BJ1222" i="13"/>
  <c r="BJ1223" i="13"/>
  <c r="BJ1224" i="13"/>
  <c r="BJ1225" i="13"/>
  <c r="BJ1226" i="13"/>
  <c r="BJ1227" i="13"/>
  <c r="BJ1228" i="13"/>
  <c r="BJ1229" i="13"/>
  <c r="BJ1230" i="13"/>
  <c r="BJ1231" i="13"/>
  <c r="BJ1232" i="13"/>
  <c r="BJ1233" i="13"/>
  <c r="BJ1234" i="13"/>
  <c r="BJ1235" i="13"/>
  <c r="BJ1236" i="13"/>
  <c r="BJ1237" i="13"/>
  <c r="BJ1238" i="13"/>
  <c r="BJ1239" i="13"/>
  <c r="BJ1240" i="13"/>
  <c r="BJ1241" i="13"/>
  <c r="BJ1242" i="13"/>
  <c r="BJ1243" i="13"/>
  <c r="BJ1244" i="13"/>
  <c r="BJ1245" i="13"/>
  <c r="BJ1246" i="13"/>
  <c r="BJ1247" i="13"/>
  <c r="BJ1248" i="13"/>
  <c r="BJ1249" i="13"/>
  <c r="BJ1250" i="13"/>
  <c r="BJ1251" i="13"/>
  <c r="BJ1252" i="13"/>
  <c r="BJ1253" i="13"/>
  <c r="BJ1254" i="13"/>
  <c r="BJ1255" i="13"/>
  <c r="BJ1256" i="13"/>
  <c r="BJ1257" i="13"/>
  <c r="BJ1258" i="13"/>
  <c r="BJ1259" i="13"/>
  <c r="BJ1260" i="13"/>
  <c r="BJ1261" i="13"/>
  <c r="BJ1262" i="13"/>
  <c r="BJ1263" i="13"/>
  <c r="BJ1264" i="13"/>
  <c r="BJ1265" i="13"/>
  <c r="BJ1266" i="13"/>
  <c r="BJ1267" i="13"/>
  <c r="BJ1268" i="13"/>
  <c r="BJ1269" i="13"/>
  <c r="BJ1270" i="13"/>
  <c r="BJ1271" i="13"/>
  <c r="BJ1272" i="13"/>
  <c r="BJ1273" i="13"/>
  <c r="BJ1274" i="13"/>
  <c r="BJ1275" i="13"/>
  <c r="BJ1276" i="13"/>
  <c r="BJ1277" i="13"/>
  <c r="BJ1278" i="13"/>
  <c r="BJ1279" i="13"/>
  <c r="BJ1280" i="13"/>
  <c r="BJ1281" i="13"/>
  <c r="BJ1282" i="13"/>
  <c r="BJ1283" i="13"/>
  <c r="BJ1284" i="13"/>
  <c r="BJ1285" i="13"/>
  <c r="BJ1286" i="13"/>
  <c r="BJ1287" i="13"/>
  <c r="BJ1288" i="13"/>
  <c r="BJ1289" i="13"/>
  <c r="BJ1290" i="13"/>
  <c r="BJ1291" i="13"/>
  <c r="BJ1292" i="13"/>
  <c r="BJ1293" i="13"/>
  <c r="BJ1294" i="13"/>
  <c r="BJ1295" i="13"/>
  <c r="BJ1296" i="13"/>
  <c r="BJ1297" i="13"/>
  <c r="BJ1298" i="13"/>
  <c r="BJ1299" i="13"/>
  <c r="BJ1300" i="13"/>
  <c r="BJ1301" i="13"/>
  <c r="BJ1302" i="13"/>
  <c r="BJ1303" i="13"/>
  <c r="BJ1304" i="13"/>
  <c r="BJ1305" i="13"/>
  <c r="BI1056" i="13"/>
  <c r="BI1057" i="13"/>
  <c r="BI1058" i="13"/>
  <c r="BI1059" i="13"/>
  <c r="BI1060" i="13"/>
  <c r="BI1061" i="13"/>
  <c r="BI1062" i="13"/>
  <c r="BI1063" i="13"/>
  <c r="BI1064" i="13"/>
  <c r="BI1065" i="13"/>
  <c r="BI1066" i="13"/>
  <c r="BI1067" i="13"/>
  <c r="BI1068" i="13"/>
  <c r="BI1069" i="13"/>
  <c r="BI1070" i="13"/>
  <c r="BI1071" i="13"/>
  <c r="BI1072" i="13"/>
  <c r="BI1073" i="13"/>
  <c r="BI1074" i="13"/>
  <c r="BI1075" i="13"/>
  <c r="BI1076" i="13"/>
  <c r="BI1077" i="13"/>
  <c r="BI1078" i="13"/>
  <c r="BI1079" i="13"/>
  <c r="BI1080" i="13"/>
  <c r="BI1081" i="13"/>
  <c r="BI1082" i="13"/>
  <c r="BI1083" i="13"/>
  <c r="BI1084" i="13"/>
  <c r="BI1085" i="13"/>
  <c r="BI1086" i="13"/>
  <c r="BI1087" i="13"/>
  <c r="BI1088" i="13"/>
  <c r="BI1089" i="13"/>
  <c r="BI1090" i="13"/>
  <c r="BI1091" i="13"/>
  <c r="BI1092" i="13"/>
  <c r="BI1093" i="13"/>
  <c r="BI1094" i="13"/>
  <c r="BI1095" i="13"/>
  <c r="BI1096" i="13"/>
  <c r="BI1097" i="13"/>
  <c r="BI1099" i="13"/>
  <c r="BI1100" i="13"/>
  <c r="BI1101" i="13"/>
  <c r="BI1102" i="13"/>
  <c r="BI1103" i="13"/>
  <c r="BI1104" i="13"/>
  <c r="BI1105" i="13"/>
  <c r="BI1106" i="13"/>
  <c r="BI1107" i="13"/>
  <c r="BI1108" i="13"/>
  <c r="BI1109" i="13"/>
  <c r="BI1110" i="13"/>
  <c r="BI1111" i="13"/>
  <c r="BI1112" i="13"/>
  <c r="BI1113" i="13"/>
  <c r="BI1114" i="13"/>
  <c r="BI1115" i="13"/>
  <c r="BI1116" i="13"/>
  <c r="BI1117" i="13"/>
  <c r="BI1118" i="13"/>
  <c r="BI1119" i="13"/>
  <c r="BI1120" i="13"/>
  <c r="BI1121" i="13"/>
  <c r="BI1122" i="13"/>
  <c r="BI1123" i="13"/>
  <c r="BI1124" i="13"/>
  <c r="BI1125" i="13"/>
  <c r="BI1126" i="13"/>
  <c r="BI1127" i="13"/>
  <c r="BI1128" i="13"/>
  <c r="BI1129" i="13"/>
  <c r="BI1130" i="13"/>
  <c r="BI1131" i="13"/>
  <c r="BI1132" i="13"/>
  <c r="BI1133" i="13"/>
  <c r="BI1134" i="13"/>
  <c r="BI1135" i="13"/>
  <c r="BI1136" i="13"/>
  <c r="BI1137" i="13"/>
  <c r="BI1138" i="13"/>
  <c r="BI1139" i="13"/>
  <c r="BI1140" i="13"/>
  <c r="BI1141" i="13"/>
  <c r="BI1142" i="13"/>
  <c r="BI1143" i="13"/>
  <c r="BI1144" i="13"/>
  <c r="BI1145" i="13"/>
  <c r="BI1146" i="13"/>
  <c r="BI1147" i="13"/>
  <c r="BI1148" i="13"/>
  <c r="BI1149" i="13"/>
  <c r="BI1150" i="13"/>
  <c r="BI1151" i="13"/>
  <c r="BI1152" i="13"/>
  <c r="BI1153" i="13"/>
  <c r="BI1154" i="13"/>
  <c r="BI1155" i="13"/>
  <c r="BI1156" i="13"/>
  <c r="BI1157" i="13"/>
  <c r="BI1158" i="13"/>
  <c r="BI1159" i="13"/>
  <c r="BI1160" i="13"/>
  <c r="BI1161" i="13"/>
  <c r="BI1162" i="13"/>
  <c r="BI1163" i="13"/>
  <c r="BI1164" i="13"/>
  <c r="BI1165" i="13"/>
  <c r="BI1166" i="13"/>
  <c r="BI1167" i="13"/>
  <c r="BI1168" i="13"/>
  <c r="BI1169" i="13"/>
  <c r="BI1170" i="13"/>
  <c r="BI1171" i="13"/>
  <c r="BI1172" i="13"/>
  <c r="BI1173" i="13"/>
  <c r="BI1174" i="13"/>
  <c r="BI1175" i="13"/>
  <c r="BI1176" i="13"/>
  <c r="BI1177" i="13"/>
  <c r="BI1178" i="13"/>
  <c r="BI1179" i="13"/>
  <c r="BI1180" i="13"/>
  <c r="BI1181" i="13"/>
  <c r="BI1182" i="13"/>
  <c r="BI1183" i="13"/>
  <c r="BI1184" i="13"/>
  <c r="BI1185" i="13"/>
  <c r="BI1186" i="13"/>
  <c r="BI1187" i="13"/>
  <c r="BI1188" i="13"/>
  <c r="BI1189" i="13"/>
  <c r="BI1190" i="13"/>
  <c r="BI1191" i="13"/>
  <c r="BI1192" i="13"/>
  <c r="BI1193" i="13"/>
  <c r="BI1194" i="13"/>
  <c r="BI1195" i="13"/>
  <c r="BI1196" i="13"/>
  <c r="BI1197" i="13"/>
  <c r="BI1198" i="13"/>
  <c r="BI1199" i="13"/>
  <c r="BI1200" i="13"/>
  <c r="BI1201" i="13"/>
  <c r="BI1202" i="13"/>
  <c r="BI1203" i="13"/>
  <c r="BI1204" i="13"/>
  <c r="BI1205" i="13"/>
  <c r="BI1206" i="13"/>
  <c r="BI1207" i="13"/>
  <c r="BI1208" i="13"/>
  <c r="BI1209" i="13"/>
  <c r="BI1210" i="13"/>
  <c r="BI1211" i="13"/>
  <c r="BI1212" i="13"/>
  <c r="BI1213" i="13"/>
  <c r="BI1214" i="13"/>
  <c r="BI1215" i="13"/>
  <c r="BI1216" i="13"/>
  <c r="BI1217" i="13"/>
  <c r="BI1218" i="13"/>
  <c r="BI1219" i="13"/>
  <c r="BI1220" i="13"/>
  <c r="BI1221" i="13"/>
  <c r="BI1222" i="13"/>
  <c r="BI1223" i="13"/>
  <c r="BI1224" i="13"/>
  <c r="BI1225" i="13"/>
  <c r="BI1226" i="13"/>
  <c r="BI1227" i="13"/>
  <c r="BI1228" i="13"/>
  <c r="BI1229" i="13"/>
  <c r="BI1230" i="13"/>
  <c r="BI1231" i="13"/>
  <c r="BI1232" i="13"/>
  <c r="BI1233" i="13"/>
  <c r="BI1234" i="13"/>
  <c r="BI1235" i="13"/>
  <c r="BI1236" i="13"/>
  <c r="BI1237" i="13"/>
  <c r="BI1238" i="13"/>
  <c r="BI1239" i="13"/>
  <c r="BI1240" i="13"/>
  <c r="BI1241" i="13"/>
  <c r="BI1242" i="13"/>
  <c r="BI1243" i="13"/>
  <c r="BI1244" i="13"/>
  <c r="BI1245" i="13"/>
  <c r="BI1246" i="13"/>
  <c r="BI1247" i="13"/>
  <c r="BI1248" i="13"/>
  <c r="BI1249" i="13"/>
  <c r="BI1250" i="13"/>
  <c r="BI1251" i="13"/>
  <c r="BI1252" i="13"/>
  <c r="BI1253" i="13"/>
  <c r="BI1254" i="13"/>
  <c r="BI1255" i="13"/>
  <c r="BI1256" i="13"/>
  <c r="BI1257" i="13"/>
  <c r="BI1258" i="13"/>
  <c r="BI1259" i="13"/>
  <c r="BI1260" i="13"/>
  <c r="BI1261" i="13"/>
  <c r="BI1262" i="13"/>
  <c r="BI1263" i="13"/>
  <c r="BI1264" i="13"/>
  <c r="BI1265" i="13"/>
  <c r="BI1266" i="13"/>
  <c r="BI1267" i="13"/>
  <c r="BI1268" i="13"/>
  <c r="BI1269" i="13"/>
  <c r="BI1270" i="13"/>
  <c r="BI1271" i="13"/>
  <c r="BI1272" i="13"/>
  <c r="BI1273" i="13"/>
  <c r="BI1274" i="13"/>
  <c r="BI1275" i="13"/>
  <c r="BI1276" i="13"/>
  <c r="BI1277" i="13"/>
  <c r="BI1278" i="13"/>
  <c r="BI1279" i="13"/>
  <c r="BI1280" i="13"/>
  <c r="BI1281" i="13"/>
  <c r="BI1282" i="13"/>
  <c r="BI1283" i="13"/>
  <c r="BI1284" i="13"/>
  <c r="BI1285" i="13"/>
  <c r="BI1286" i="13"/>
  <c r="BI1287" i="13"/>
  <c r="BI1288" i="13"/>
  <c r="BI1289" i="13"/>
  <c r="BI1290" i="13"/>
  <c r="BI1291" i="13"/>
  <c r="BI1292" i="13"/>
  <c r="BI1293" i="13"/>
  <c r="BI1294" i="13"/>
  <c r="BI1295" i="13"/>
  <c r="BI1296" i="13"/>
  <c r="BI1297" i="13"/>
  <c r="BI1298" i="13"/>
  <c r="BI1299" i="13"/>
  <c r="BI1300" i="13"/>
  <c r="BI1301" i="13"/>
  <c r="BI1302" i="13"/>
  <c r="BI1303" i="13"/>
  <c r="BI1304" i="13"/>
  <c r="BI1305" i="13"/>
  <c r="BH1056" i="13"/>
  <c r="BH1057" i="13"/>
  <c r="BH1058" i="13"/>
  <c r="BH1059" i="13"/>
  <c r="BH1060" i="13"/>
  <c r="BH1061" i="13"/>
  <c r="BH1062" i="13"/>
  <c r="BH1063" i="13"/>
  <c r="BH1064" i="13"/>
  <c r="BH1065" i="13"/>
  <c r="BH1066" i="13"/>
  <c r="BH1067" i="13"/>
  <c r="BH1068" i="13"/>
  <c r="BH1069" i="13"/>
  <c r="BH1070" i="13"/>
  <c r="BH1071" i="13"/>
  <c r="BH1072" i="13"/>
  <c r="BH1073" i="13"/>
  <c r="BH1074" i="13"/>
  <c r="BH1075" i="13"/>
  <c r="BH1076" i="13"/>
  <c r="BH1077" i="13"/>
  <c r="BH1078" i="13"/>
  <c r="BH1079" i="13"/>
  <c r="BH1080" i="13"/>
  <c r="BH1081" i="13"/>
  <c r="BH1082" i="13"/>
  <c r="BH1083" i="13"/>
  <c r="BH1084" i="13"/>
  <c r="BH1085" i="13"/>
  <c r="BH1086" i="13"/>
  <c r="BH1087" i="13"/>
  <c r="BH1088" i="13"/>
  <c r="BH1089" i="13"/>
  <c r="BH1090" i="13"/>
  <c r="BH1091" i="13"/>
  <c r="BH1092" i="13"/>
  <c r="BH1093" i="13"/>
  <c r="BH1094" i="13"/>
  <c r="BH1095" i="13"/>
  <c r="BH1096" i="13"/>
  <c r="BH1097" i="13"/>
  <c r="BH1099" i="13"/>
  <c r="BH1100" i="13"/>
  <c r="BH1101" i="13"/>
  <c r="BH1102" i="13"/>
  <c r="BH1103" i="13"/>
  <c r="BH1104" i="13"/>
  <c r="BH1105" i="13"/>
  <c r="BH1106" i="13"/>
  <c r="BH1107" i="13"/>
  <c r="BH1108" i="13"/>
  <c r="BH1109" i="13"/>
  <c r="BH1110" i="13"/>
  <c r="BH1111" i="13"/>
  <c r="BH1112" i="13"/>
  <c r="BH1113" i="13"/>
  <c r="BH1114" i="13"/>
  <c r="BH1115" i="13"/>
  <c r="BH1116" i="13"/>
  <c r="BH1117" i="13"/>
  <c r="BH1118" i="13"/>
  <c r="BH1119" i="13"/>
  <c r="BH1120" i="13"/>
  <c r="BH1121" i="13"/>
  <c r="BH1122" i="13"/>
  <c r="BH1123" i="13"/>
  <c r="BH1124" i="13"/>
  <c r="BH1125" i="13"/>
  <c r="BH1126" i="13"/>
  <c r="BH1127" i="13"/>
  <c r="BH1128" i="13"/>
  <c r="BH1129" i="13"/>
  <c r="BH1130" i="13"/>
  <c r="BH1131" i="13"/>
  <c r="BH1132" i="13"/>
  <c r="BH1133" i="13"/>
  <c r="BH1134" i="13"/>
  <c r="BH1135" i="13"/>
  <c r="BH1136" i="13"/>
  <c r="BH1137" i="13"/>
  <c r="BH1138" i="13"/>
  <c r="BH1139" i="13"/>
  <c r="BH1140" i="13"/>
  <c r="BH1141" i="13"/>
  <c r="BH1142" i="13"/>
  <c r="BH1143" i="13"/>
  <c r="BH1144" i="13"/>
  <c r="BH1145" i="13"/>
  <c r="BH1146" i="13"/>
  <c r="BH1147" i="13"/>
  <c r="BH1148" i="13"/>
  <c r="BH1149" i="13"/>
  <c r="BH1150" i="13"/>
  <c r="BH1151" i="13"/>
  <c r="BH1152" i="13"/>
  <c r="BH1153" i="13"/>
  <c r="BH1154" i="13"/>
  <c r="BH1155" i="13"/>
  <c r="BH1156" i="13"/>
  <c r="BH1157" i="13"/>
  <c r="BH1158" i="13"/>
  <c r="BH1159" i="13"/>
  <c r="BH1160" i="13"/>
  <c r="BH1161" i="13"/>
  <c r="BH1162" i="13"/>
  <c r="BH1163" i="13"/>
  <c r="BH1164" i="13"/>
  <c r="BH1165" i="13"/>
  <c r="BH1166" i="13"/>
  <c r="BH1167" i="13"/>
  <c r="BH1168" i="13"/>
  <c r="BH1169" i="13"/>
  <c r="BH1170" i="13"/>
  <c r="BH1171" i="13"/>
  <c r="BH1172" i="13"/>
  <c r="BH1173" i="13"/>
  <c r="BH1174" i="13"/>
  <c r="BH1175" i="13"/>
  <c r="BH1176" i="13"/>
  <c r="BH1177" i="13"/>
  <c r="BH1178" i="13"/>
  <c r="BH1179" i="13"/>
  <c r="BH1180" i="13"/>
  <c r="BH1181" i="13"/>
  <c r="BH1182" i="13"/>
  <c r="BH1183" i="13"/>
  <c r="BH1184" i="13"/>
  <c r="BH1185" i="13"/>
  <c r="BH1186" i="13"/>
  <c r="BH1187" i="13"/>
  <c r="BH1188" i="13"/>
  <c r="BH1189" i="13"/>
  <c r="BH1190" i="13"/>
  <c r="BH1191" i="13"/>
  <c r="BH1192" i="13"/>
  <c r="BH1193" i="13"/>
  <c r="BH1194" i="13"/>
  <c r="BH1195" i="13"/>
  <c r="BH1196" i="13"/>
  <c r="BH1197" i="13"/>
  <c r="BH1198" i="13"/>
  <c r="BH1199" i="13"/>
  <c r="BH1200" i="13"/>
  <c r="BH1201" i="13"/>
  <c r="BH1202" i="13"/>
  <c r="BH1203" i="13"/>
  <c r="BH1204" i="13"/>
  <c r="BH1205" i="13"/>
  <c r="BH1206" i="13"/>
  <c r="BH1207" i="13"/>
  <c r="BH1208" i="13"/>
  <c r="BH1209" i="13"/>
  <c r="BH1210" i="13"/>
  <c r="BH1211" i="13"/>
  <c r="BH1212" i="13"/>
  <c r="BH1213" i="13"/>
  <c r="BH1214" i="13"/>
  <c r="BH1215" i="13"/>
  <c r="BH1216" i="13"/>
  <c r="BH1217" i="13"/>
  <c r="BH1218" i="13"/>
  <c r="BH1219" i="13"/>
  <c r="BH1220" i="13"/>
  <c r="BH1221" i="13"/>
  <c r="BH1222" i="13"/>
  <c r="BH1223" i="13"/>
  <c r="BH1224" i="13"/>
  <c r="BH1225" i="13"/>
  <c r="BH1226" i="13"/>
  <c r="BH1227" i="13"/>
  <c r="BH1228" i="13"/>
  <c r="BH1229" i="13"/>
  <c r="BH1230" i="13"/>
  <c r="BH1231" i="13"/>
  <c r="BH1232" i="13"/>
  <c r="BH1233" i="13"/>
  <c r="BH1234" i="13"/>
  <c r="BH1235" i="13"/>
  <c r="BH1236" i="13"/>
  <c r="BH1237" i="13"/>
  <c r="BH1238" i="13"/>
  <c r="BH1239" i="13"/>
  <c r="BH1240" i="13"/>
  <c r="BH1241" i="13"/>
  <c r="BH1242" i="13"/>
  <c r="BH1243" i="13"/>
  <c r="BH1244" i="13"/>
  <c r="BH1245" i="13"/>
  <c r="BH1246" i="13"/>
  <c r="BH1247" i="13"/>
  <c r="BH1248" i="13"/>
  <c r="BH1249" i="13"/>
  <c r="BH1250" i="13"/>
  <c r="BH1251" i="13"/>
  <c r="BH1252" i="13"/>
  <c r="BH1253" i="13"/>
  <c r="BH1254" i="13"/>
  <c r="BH1255" i="13"/>
  <c r="BH1256" i="13"/>
  <c r="BH1257" i="13"/>
  <c r="BH1258" i="13"/>
  <c r="BH1259" i="13"/>
  <c r="BH1260" i="13"/>
  <c r="BH1261" i="13"/>
  <c r="BH1262" i="13"/>
  <c r="BH1263" i="13"/>
  <c r="BH1264" i="13"/>
  <c r="BH1265" i="13"/>
  <c r="BH1266" i="13"/>
  <c r="BH1267" i="13"/>
  <c r="BH1268" i="13"/>
  <c r="BH1269" i="13"/>
  <c r="BH1270" i="13"/>
  <c r="BH1271" i="13"/>
  <c r="BH1272" i="13"/>
  <c r="BH1273" i="13"/>
  <c r="BH1274" i="13"/>
  <c r="BH1275" i="13"/>
  <c r="BH1276" i="13"/>
  <c r="BH1277" i="13"/>
  <c r="BH1278" i="13"/>
  <c r="BH1279" i="13"/>
  <c r="BH1280" i="13"/>
  <c r="BH1281" i="13"/>
  <c r="BH1282" i="13"/>
  <c r="BH1283" i="13"/>
  <c r="BH1284" i="13"/>
  <c r="BH1285" i="13"/>
  <c r="BH1286" i="13"/>
  <c r="BH1287" i="13"/>
  <c r="BH1288" i="13"/>
  <c r="BH1289" i="13"/>
  <c r="BH1290" i="13"/>
  <c r="BH1291" i="13"/>
  <c r="BH1292" i="13"/>
  <c r="BH1293" i="13"/>
  <c r="BH1294" i="13"/>
  <c r="BH1295" i="13"/>
  <c r="BH1296" i="13"/>
  <c r="BH1297" i="13"/>
  <c r="BH1298" i="13"/>
  <c r="BH1299" i="13"/>
  <c r="BH1300" i="13"/>
  <c r="BH1301" i="13"/>
  <c r="BH1302" i="13"/>
  <c r="BH1303" i="13"/>
  <c r="BH1304" i="13"/>
  <c r="BH1305" i="13"/>
  <c r="G55" i="7" a="1"/>
  <c r="G54" i="7" a="1"/>
  <c r="G14" i="7" a="1"/>
  <c r="CJ1607" i="13" l="1"/>
  <c r="CM1606" i="13"/>
  <c r="CN1606" i="13" s="1"/>
  <c r="CJ1396" i="13"/>
  <c r="CM1395" i="13"/>
  <c r="CN1395" i="13" s="1"/>
  <c r="CJ1689" i="13"/>
  <c r="CM1688" i="13"/>
  <c r="CN1688" i="13" s="1"/>
  <c r="BK1298" i="13"/>
  <c r="BK1290" i="13"/>
  <c r="BK1282" i="13"/>
  <c r="BK1274" i="13"/>
  <c r="BK1266" i="13"/>
  <c r="BK1258" i="13"/>
  <c r="BK1250" i="13"/>
  <c r="BK1242" i="13"/>
  <c r="BK1234" i="13"/>
  <c r="BK1226" i="13"/>
  <c r="BK1218" i="13"/>
  <c r="BK1210" i="13"/>
  <c r="BK1202" i="13"/>
  <c r="BK1194" i="13"/>
  <c r="BK1186" i="13"/>
  <c r="BK1178" i="13"/>
  <c r="BK1170" i="13"/>
  <c r="BK1162" i="13"/>
  <c r="BK1154" i="13"/>
  <c r="BK1146" i="13"/>
  <c r="BK1138" i="13"/>
  <c r="BK1130" i="13"/>
  <c r="BK1122" i="13"/>
  <c r="BK1114" i="13"/>
  <c r="BK1106" i="13"/>
  <c r="BK1097" i="13"/>
  <c r="BK1089" i="13"/>
  <c r="BK1081" i="13"/>
  <c r="BK1073" i="13"/>
  <c r="BK1065" i="13"/>
  <c r="BK1057" i="13"/>
  <c r="BK1302" i="13"/>
  <c r="BK1294" i="13"/>
  <c r="BK1286" i="13"/>
  <c r="BK1278" i="13"/>
  <c r="BK1270" i="13"/>
  <c r="BK1262" i="13"/>
  <c r="BK1254" i="13"/>
  <c r="BK1246" i="13"/>
  <c r="BK1238" i="13"/>
  <c r="BK1230" i="13"/>
  <c r="BK1222" i="13"/>
  <c r="BK1214" i="13"/>
  <c r="BK1206" i="13"/>
  <c r="BK1198" i="13"/>
  <c r="BK1190" i="13"/>
  <c r="BK1182" i="13"/>
  <c r="BK1174" i="13"/>
  <c r="BK1166" i="13"/>
  <c r="BK1158" i="13"/>
  <c r="BK1150" i="13"/>
  <c r="BK1142" i="13"/>
  <c r="BK1134" i="13"/>
  <c r="BK1126" i="13"/>
  <c r="BK1118" i="13"/>
  <c r="BK1110" i="13"/>
  <c r="BK1102" i="13"/>
  <c r="BK1093" i="13"/>
  <c r="BK1085" i="13"/>
  <c r="BK1077" i="13"/>
  <c r="BK1069" i="13"/>
  <c r="BK1061" i="13"/>
  <c r="BK1292" i="13"/>
  <c r="BK1284" i="13"/>
  <c r="BK1276" i="13"/>
  <c r="BK1268" i="13"/>
  <c r="BK1260" i="13"/>
  <c r="BK1252" i="13"/>
  <c r="BK1244" i="13"/>
  <c r="BK1236" i="13"/>
  <c r="BK1228" i="13"/>
  <c r="BK1220" i="13"/>
  <c r="BK1212" i="13"/>
  <c r="BK1204" i="13"/>
  <c r="BK1196" i="13"/>
  <c r="BK1188" i="13"/>
  <c r="BK1180" i="13"/>
  <c r="BK1172" i="13"/>
  <c r="BK1164" i="13"/>
  <c r="BK1156" i="13"/>
  <c r="BK1148" i="13"/>
  <c r="BK1140" i="13"/>
  <c r="BK1132" i="13"/>
  <c r="BK1124" i="13"/>
  <c r="BK1116" i="13"/>
  <c r="BK1108" i="13"/>
  <c r="BK1100" i="13"/>
  <c r="BK1091" i="13"/>
  <c r="BK1083" i="13"/>
  <c r="BK1075" i="13"/>
  <c r="BK1067" i="13"/>
  <c r="BK1059" i="13"/>
  <c r="BK1300" i="13"/>
  <c r="BK1299" i="13"/>
  <c r="BK1291" i="13"/>
  <c r="BK1283" i="13"/>
  <c r="BK1275" i="13"/>
  <c r="BK1267" i="13"/>
  <c r="BK1259" i="13"/>
  <c r="BK1251" i="13"/>
  <c r="BK1243" i="13"/>
  <c r="BK1235" i="13"/>
  <c r="BK1227" i="13"/>
  <c r="BK1219" i="13"/>
  <c r="BK1211" i="13"/>
  <c r="BK1203" i="13"/>
  <c r="BK1195" i="13"/>
  <c r="BK1187" i="13"/>
  <c r="BK1179" i="13"/>
  <c r="BK1171" i="13"/>
  <c r="BK1163" i="13"/>
  <c r="BK1155" i="13"/>
  <c r="BK1147" i="13"/>
  <c r="BK1139" i="13"/>
  <c r="BK1131" i="13"/>
  <c r="BK1123" i="13"/>
  <c r="BK1115" i="13"/>
  <c r="BK1107" i="13"/>
  <c r="BK1099" i="13"/>
  <c r="BK1090" i="13"/>
  <c r="BK1082" i="13"/>
  <c r="BK1074" i="13"/>
  <c r="BK1066" i="13"/>
  <c r="BK1058" i="13"/>
  <c r="BK1301" i="13"/>
  <c r="BK1293" i="13"/>
  <c r="BK1285" i="13"/>
  <c r="BK1277" i="13"/>
  <c r="BK1269" i="13"/>
  <c r="BK1261" i="13"/>
  <c r="BK1253" i="13"/>
  <c r="BK1245" i="13"/>
  <c r="BK1237" i="13"/>
  <c r="BK1229" i="13"/>
  <c r="BK1221" i="13"/>
  <c r="BK1213" i="13"/>
  <c r="BK1205" i="13"/>
  <c r="BK1197" i="13"/>
  <c r="BK1189" i="13"/>
  <c r="BK1181" i="13"/>
  <c r="BK1173" i="13"/>
  <c r="BK1165" i="13"/>
  <c r="BK1157" i="13"/>
  <c r="BK1149" i="13"/>
  <c r="BK1141" i="13"/>
  <c r="BK1133" i="13"/>
  <c r="BK1125" i="13"/>
  <c r="BK1117" i="13"/>
  <c r="BK1109" i="13"/>
  <c r="BK1101" i="13"/>
  <c r="BK1092" i="13"/>
  <c r="BK1084" i="13"/>
  <c r="BK1076" i="13"/>
  <c r="BK1068" i="13"/>
  <c r="BK1060" i="13"/>
  <c r="BK1304" i="13"/>
  <c r="BK1288" i="13"/>
  <c r="BK1272" i="13"/>
  <c r="BK1256" i="13"/>
  <c r="BK1240" i="13"/>
  <c r="BK1224" i="13"/>
  <c r="BK1208" i="13"/>
  <c r="BK1200" i="13"/>
  <c r="BK1192" i="13"/>
  <c r="BK1184" i="13"/>
  <c r="BK1176" i="13"/>
  <c r="BK1168" i="13"/>
  <c r="BK1160" i="13"/>
  <c r="BK1152" i="13"/>
  <c r="BK1144" i="13"/>
  <c r="BK1136" i="13"/>
  <c r="BK1128" i="13"/>
  <c r="BK1120" i="13"/>
  <c r="BK1112" i="13"/>
  <c r="BK1104" i="13"/>
  <c r="BK1095" i="13"/>
  <c r="BK1087" i="13"/>
  <c r="BK1079" i="13"/>
  <c r="BK1071" i="13"/>
  <c r="BK1063" i="13"/>
  <c r="BK1296" i="13"/>
  <c r="BK1280" i="13"/>
  <c r="BK1264" i="13"/>
  <c r="BK1248" i="13"/>
  <c r="BK1232" i="13"/>
  <c r="BK1216" i="13"/>
  <c r="BK1305" i="13"/>
  <c r="BK1297" i="13"/>
  <c r="BK1289" i="13"/>
  <c r="BK1281" i="13"/>
  <c r="BK1273" i="13"/>
  <c r="BK1265" i="13"/>
  <c r="BK1257" i="13"/>
  <c r="BK1249" i="13"/>
  <c r="BK1241" i="13"/>
  <c r="BK1233" i="13"/>
  <c r="BK1225" i="13"/>
  <c r="BK1217" i="13"/>
  <c r="BK1209" i="13"/>
  <c r="BK1201" i="13"/>
  <c r="BK1193" i="13"/>
  <c r="BK1185" i="13"/>
  <c r="BK1177" i="13"/>
  <c r="BK1169" i="13"/>
  <c r="BK1161" i="13"/>
  <c r="BK1153" i="13"/>
  <c r="BK1145" i="13"/>
  <c r="BK1137" i="13"/>
  <c r="BK1129" i="13"/>
  <c r="BK1121" i="13"/>
  <c r="BK1113" i="13"/>
  <c r="BK1105" i="13"/>
  <c r="BK1096" i="13"/>
  <c r="BK1088" i="13"/>
  <c r="BK1080" i="13"/>
  <c r="BK1072" i="13"/>
  <c r="BK1064" i="13"/>
  <c r="BK1056" i="13"/>
  <c r="BK1303" i="13"/>
  <c r="BK1295" i="13"/>
  <c r="BK1287" i="13"/>
  <c r="BK1279" i="13"/>
  <c r="BK1271" i="13"/>
  <c r="BK1263" i="13"/>
  <c r="BK1255" i="13"/>
  <c r="BK1247" i="13"/>
  <c r="BK1239" i="13"/>
  <c r="BK1231" i="13"/>
  <c r="BK1223" i="13"/>
  <c r="BK1215" i="13"/>
  <c r="BK1207" i="13"/>
  <c r="BK1199" i="13"/>
  <c r="BK1191" i="13"/>
  <c r="BK1183" i="13"/>
  <c r="BK1175" i="13"/>
  <c r="BK1167" i="13"/>
  <c r="BK1159" i="13"/>
  <c r="BK1151" i="13"/>
  <c r="BK1143" i="13"/>
  <c r="BK1135" i="13"/>
  <c r="BK1127" i="13"/>
  <c r="BK1119" i="13"/>
  <c r="BK1111" i="13"/>
  <c r="BK1103" i="13"/>
  <c r="BK1094" i="13"/>
  <c r="BK1086" i="13"/>
  <c r="BK1078" i="13"/>
  <c r="BK1070" i="13"/>
  <c r="BK1062" i="13"/>
  <c r="CF1304" i="13"/>
  <c r="CI1304" i="13" s="1"/>
  <c r="CE1304" i="13"/>
  <c r="CH1304" i="13" s="1"/>
  <c r="CD1304" i="13"/>
  <c r="CG1304" i="13" s="1"/>
  <c r="BY1304" i="13"/>
  <c r="CF1296" i="13"/>
  <c r="CI1296" i="13" s="1"/>
  <c r="CD1296" i="13"/>
  <c r="CG1296" i="13" s="1"/>
  <c r="BY1296" i="13"/>
  <c r="CE1296" i="13"/>
  <c r="CH1296" i="13" s="1"/>
  <c r="CF1288" i="13"/>
  <c r="CI1288" i="13" s="1"/>
  <c r="CE1288" i="13"/>
  <c r="CH1288" i="13" s="1"/>
  <c r="CD1288" i="13"/>
  <c r="CG1288" i="13" s="1"/>
  <c r="BY1288" i="13"/>
  <c r="CF1280" i="13"/>
  <c r="CI1280" i="13" s="1"/>
  <c r="CE1280" i="13"/>
  <c r="CH1280" i="13" s="1"/>
  <c r="CD1280" i="13"/>
  <c r="CG1280" i="13" s="1"/>
  <c r="BY1280" i="13"/>
  <c r="CF1272" i="13"/>
  <c r="CI1272" i="13" s="1"/>
  <c r="CE1272" i="13"/>
  <c r="CH1272" i="13" s="1"/>
  <c r="CD1272" i="13"/>
  <c r="CG1272" i="13" s="1"/>
  <c r="BY1272" i="13"/>
  <c r="CF1264" i="13"/>
  <c r="CI1264" i="13" s="1"/>
  <c r="CE1264" i="13"/>
  <c r="CH1264" i="13" s="1"/>
  <c r="CD1264" i="13"/>
  <c r="CG1264" i="13" s="1"/>
  <c r="BY1264" i="13"/>
  <c r="CF1256" i="13"/>
  <c r="CI1256" i="13" s="1"/>
  <c r="CE1256" i="13"/>
  <c r="CH1256" i="13" s="1"/>
  <c r="CD1256" i="13"/>
  <c r="CG1256" i="13" s="1"/>
  <c r="BY1256" i="13"/>
  <c r="CF1248" i="13"/>
  <c r="CI1248" i="13" s="1"/>
  <c r="CE1248" i="13"/>
  <c r="CH1248" i="13" s="1"/>
  <c r="CD1248" i="13"/>
  <c r="CG1248" i="13" s="1"/>
  <c r="BY1248" i="13"/>
  <c r="CF1240" i="13"/>
  <c r="CI1240" i="13" s="1"/>
  <c r="CE1240" i="13"/>
  <c r="CH1240" i="13" s="1"/>
  <c r="CD1240" i="13"/>
  <c r="CG1240" i="13" s="1"/>
  <c r="BY1240" i="13"/>
  <c r="CF1232" i="13"/>
  <c r="CI1232" i="13" s="1"/>
  <c r="CE1232" i="13"/>
  <c r="CH1232" i="13" s="1"/>
  <c r="CD1232" i="13"/>
  <c r="CG1232" i="13" s="1"/>
  <c r="BY1232" i="13"/>
  <c r="CF1224" i="13"/>
  <c r="CI1224" i="13" s="1"/>
  <c r="CE1224" i="13"/>
  <c r="CH1224" i="13" s="1"/>
  <c r="CD1224" i="13"/>
  <c r="CG1224" i="13" s="1"/>
  <c r="BY1224" i="13"/>
  <c r="CF1216" i="13"/>
  <c r="CI1216" i="13" s="1"/>
  <c r="CE1216" i="13"/>
  <c r="CH1216" i="13" s="1"/>
  <c r="CD1216" i="13"/>
  <c r="CG1216" i="13" s="1"/>
  <c r="BY1216" i="13"/>
  <c r="CF1208" i="13"/>
  <c r="CI1208" i="13" s="1"/>
  <c r="CE1208" i="13"/>
  <c r="CH1208" i="13" s="1"/>
  <c r="CD1208" i="13"/>
  <c r="CG1208" i="13" s="1"/>
  <c r="BY1208" i="13"/>
  <c r="CF1200" i="13"/>
  <c r="CI1200" i="13" s="1"/>
  <c r="CE1200" i="13"/>
  <c r="CH1200" i="13" s="1"/>
  <c r="BY1200" i="13"/>
  <c r="CD1200" i="13"/>
  <c r="CG1200" i="13" s="1"/>
  <c r="CF1192" i="13"/>
  <c r="CI1192" i="13" s="1"/>
  <c r="CD1192" i="13"/>
  <c r="CG1192" i="13" s="1"/>
  <c r="BY1192" i="13"/>
  <c r="CE1192" i="13"/>
  <c r="CH1192" i="13" s="1"/>
  <c r="CF1184" i="13"/>
  <c r="CI1184" i="13" s="1"/>
  <c r="CE1184" i="13"/>
  <c r="CH1184" i="13" s="1"/>
  <c r="CD1184" i="13"/>
  <c r="CG1184" i="13" s="1"/>
  <c r="BY1184" i="13"/>
  <c r="CF1176" i="13"/>
  <c r="CI1176" i="13" s="1"/>
  <c r="CE1176" i="13"/>
  <c r="CH1176" i="13" s="1"/>
  <c r="CD1176" i="13"/>
  <c r="CG1176" i="13" s="1"/>
  <c r="BY1176" i="13"/>
  <c r="CF1168" i="13"/>
  <c r="CI1168" i="13" s="1"/>
  <c r="CE1168" i="13"/>
  <c r="CH1168" i="13" s="1"/>
  <c r="CD1168" i="13"/>
  <c r="CG1168" i="13" s="1"/>
  <c r="BY1168" i="13"/>
  <c r="CF1160" i="13"/>
  <c r="CI1160" i="13" s="1"/>
  <c r="CE1160" i="13"/>
  <c r="CH1160" i="13" s="1"/>
  <c r="CD1160" i="13"/>
  <c r="CG1160" i="13" s="1"/>
  <c r="BY1160" i="13"/>
  <c r="CF1152" i="13"/>
  <c r="CI1152" i="13" s="1"/>
  <c r="CE1152" i="13"/>
  <c r="CH1152" i="13" s="1"/>
  <c r="CD1152" i="13"/>
  <c r="CG1152" i="13" s="1"/>
  <c r="BY1152" i="13"/>
  <c r="CF1144" i="13"/>
  <c r="CI1144" i="13" s="1"/>
  <c r="CE1144" i="13"/>
  <c r="CH1144" i="13" s="1"/>
  <c r="CD1144" i="13"/>
  <c r="CG1144" i="13" s="1"/>
  <c r="BY1144" i="13"/>
  <c r="CE1136" i="13"/>
  <c r="CH1136" i="13" s="1"/>
  <c r="CF1136" i="13"/>
  <c r="CI1136" i="13" s="1"/>
  <c r="CD1136" i="13"/>
  <c r="CG1136" i="13" s="1"/>
  <c r="BY1136" i="13"/>
  <c r="CF1128" i="13"/>
  <c r="CI1128" i="13" s="1"/>
  <c r="CE1128" i="13"/>
  <c r="CH1128" i="13" s="1"/>
  <c r="CD1128" i="13"/>
  <c r="CG1128" i="13" s="1"/>
  <c r="BY1128" i="13"/>
  <c r="CF1120" i="13"/>
  <c r="CI1120" i="13" s="1"/>
  <c r="CE1120" i="13"/>
  <c r="CH1120" i="13" s="1"/>
  <c r="CD1120" i="13"/>
  <c r="CG1120" i="13" s="1"/>
  <c r="BY1120" i="13"/>
  <c r="CF1112" i="13"/>
  <c r="CI1112" i="13" s="1"/>
  <c r="CE1112" i="13"/>
  <c r="CH1112" i="13" s="1"/>
  <c r="CD1112" i="13"/>
  <c r="CG1112" i="13" s="1"/>
  <c r="BY1112" i="13"/>
  <c r="CD1104" i="13"/>
  <c r="CG1104" i="13" s="1"/>
  <c r="CF1104" i="13"/>
  <c r="CI1104" i="13" s="1"/>
  <c r="CE1104" i="13"/>
  <c r="CH1104" i="13" s="1"/>
  <c r="BY1104" i="13"/>
  <c r="CF1095" i="13"/>
  <c r="CI1095" i="13" s="1"/>
  <c r="CE1095" i="13"/>
  <c r="CH1095" i="13" s="1"/>
  <c r="CD1095" i="13"/>
  <c r="CG1095" i="13" s="1"/>
  <c r="BY1095" i="13"/>
  <c r="CF1087" i="13"/>
  <c r="CI1087" i="13" s="1"/>
  <c r="CE1087" i="13"/>
  <c r="CH1087" i="13" s="1"/>
  <c r="CD1087" i="13"/>
  <c r="CG1087" i="13" s="1"/>
  <c r="BY1087" i="13"/>
  <c r="CF1079" i="13"/>
  <c r="CI1079" i="13" s="1"/>
  <c r="CE1079" i="13"/>
  <c r="CH1079" i="13" s="1"/>
  <c r="CD1079" i="13"/>
  <c r="CG1079" i="13" s="1"/>
  <c r="BY1079" i="13"/>
  <c r="CF1071" i="13"/>
  <c r="CI1071" i="13" s="1"/>
  <c r="CE1071" i="13"/>
  <c r="CH1071" i="13" s="1"/>
  <c r="CD1071" i="13"/>
  <c r="CG1071" i="13" s="1"/>
  <c r="BY1071" i="13"/>
  <c r="CF1063" i="13"/>
  <c r="CI1063" i="13" s="1"/>
  <c r="CE1063" i="13"/>
  <c r="CH1063" i="13" s="1"/>
  <c r="CD1063" i="13"/>
  <c r="CG1063" i="13" s="1"/>
  <c r="BY1063" i="13"/>
  <c r="CF1287" i="13"/>
  <c r="CI1287" i="13" s="1"/>
  <c r="CE1287" i="13"/>
  <c r="CH1287" i="13" s="1"/>
  <c r="CD1287" i="13"/>
  <c r="CG1287" i="13" s="1"/>
  <c r="BY1287" i="13"/>
  <c r="CF1231" i="13"/>
  <c r="CI1231" i="13" s="1"/>
  <c r="CE1231" i="13"/>
  <c r="CH1231" i="13" s="1"/>
  <c r="CD1231" i="13"/>
  <c r="CG1231" i="13" s="1"/>
  <c r="BY1231" i="13"/>
  <c r="CD1103" i="13"/>
  <c r="CG1103" i="13" s="1"/>
  <c r="CF1103" i="13"/>
  <c r="CI1103" i="13" s="1"/>
  <c r="CE1103" i="13"/>
  <c r="CH1103" i="13" s="1"/>
  <c r="BY1103" i="13"/>
  <c r="CF1302" i="13"/>
  <c r="CI1302" i="13" s="1"/>
  <c r="CE1302" i="13"/>
  <c r="CH1302" i="13" s="1"/>
  <c r="CD1302" i="13"/>
  <c r="CG1302" i="13" s="1"/>
  <c r="BY1302" i="13"/>
  <c r="CF1294" i="13"/>
  <c r="CI1294" i="13" s="1"/>
  <c r="CE1294" i="13"/>
  <c r="CH1294" i="13" s="1"/>
  <c r="BY1294" i="13"/>
  <c r="CD1294" i="13"/>
  <c r="CG1294" i="13" s="1"/>
  <c r="CF1286" i="13"/>
  <c r="CI1286" i="13" s="1"/>
  <c r="CE1286" i="13"/>
  <c r="CH1286" i="13" s="1"/>
  <c r="CD1286" i="13"/>
  <c r="CG1286" i="13" s="1"/>
  <c r="BY1286" i="13"/>
  <c r="CF1278" i="13"/>
  <c r="CI1278" i="13" s="1"/>
  <c r="BY1278" i="13"/>
  <c r="CD1278" i="13"/>
  <c r="CG1278" i="13" s="1"/>
  <c r="CE1278" i="13"/>
  <c r="CH1278" i="13" s="1"/>
  <c r="CF1270" i="13"/>
  <c r="CI1270" i="13" s="1"/>
  <c r="CE1270" i="13"/>
  <c r="CH1270" i="13" s="1"/>
  <c r="CD1270" i="13"/>
  <c r="CG1270" i="13" s="1"/>
  <c r="BY1270" i="13"/>
  <c r="CF1262" i="13"/>
  <c r="CI1262" i="13" s="1"/>
  <c r="CE1262" i="13"/>
  <c r="CH1262" i="13" s="1"/>
  <c r="BY1262" i="13"/>
  <c r="CD1262" i="13"/>
  <c r="CG1262" i="13" s="1"/>
  <c r="CF1254" i="13"/>
  <c r="CI1254" i="13" s="1"/>
  <c r="CE1254" i="13"/>
  <c r="CH1254" i="13" s="1"/>
  <c r="CD1254" i="13"/>
  <c r="CG1254" i="13" s="1"/>
  <c r="BY1254" i="13"/>
  <c r="CF1246" i="13"/>
  <c r="CI1246" i="13" s="1"/>
  <c r="CE1246" i="13"/>
  <c r="CH1246" i="13" s="1"/>
  <c r="CD1246" i="13"/>
  <c r="CG1246" i="13" s="1"/>
  <c r="BY1246" i="13"/>
  <c r="CF1238" i="13"/>
  <c r="CI1238" i="13" s="1"/>
  <c r="CE1238" i="13"/>
  <c r="CH1238" i="13" s="1"/>
  <c r="CD1238" i="13"/>
  <c r="CG1238" i="13" s="1"/>
  <c r="BY1238" i="13"/>
  <c r="CF1230" i="13"/>
  <c r="CI1230" i="13" s="1"/>
  <c r="CE1230" i="13"/>
  <c r="CH1230" i="13" s="1"/>
  <c r="CD1230" i="13"/>
  <c r="CG1230" i="13" s="1"/>
  <c r="BY1230" i="13"/>
  <c r="CF1222" i="13"/>
  <c r="CI1222" i="13" s="1"/>
  <c r="CE1222" i="13"/>
  <c r="CH1222" i="13" s="1"/>
  <c r="CD1222" i="13"/>
  <c r="CG1222" i="13" s="1"/>
  <c r="BY1222" i="13"/>
  <c r="CF1214" i="13"/>
  <c r="CI1214" i="13" s="1"/>
  <c r="CD1214" i="13"/>
  <c r="CG1214" i="13" s="1"/>
  <c r="BY1214" i="13"/>
  <c r="CE1214" i="13"/>
  <c r="CH1214" i="13" s="1"/>
  <c r="CF1206" i="13"/>
  <c r="CI1206" i="13" s="1"/>
  <c r="CE1206" i="13"/>
  <c r="CH1206" i="13" s="1"/>
  <c r="CD1206" i="13"/>
  <c r="CG1206" i="13" s="1"/>
  <c r="BY1206" i="13"/>
  <c r="CF1198" i="13"/>
  <c r="CI1198" i="13" s="1"/>
  <c r="CE1198" i="13"/>
  <c r="CH1198" i="13" s="1"/>
  <c r="CD1198" i="13"/>
  <c r="CG1198" i="13" s="1"/>
  <c r="BY1198" i="13"/>
  <c r="CF1190" i="13"/>
  <c r="CI1190" i="13" s="1"/>
  <c r="CE1190" i="13"/>
  <c r="CH1190" i="13" s="1"/>
  <c r="BY1190" i="13"/>
  <c r="CD1190" i="13"/>
  <c r="CG1190" i="13" s="1"/>
  <c r="CF1182" i="13"/>
  <c r="CI1182" i="13" s="1"/>
  <c r="CE1182" i="13"/>
  <c r="CH1182" i="13" s="1"/>
  <c r="CD1182" i="13"/>
  <c r="CG1182" i="13" s="1"/>
  <c r="BY1182" i="13"/>
  <c r="CF1174" i="13"/>
  <c r="CI1174" i="13" s="1"/>
  <c r="CE1174" i="13"/>
  <c r="CH1174" i="13" s="1"/>
  <c r="CD1174" i="13"/>
  <c r="CG1174" i="13" s="1"/>
  <c r="BY1174" i="13"/>
  <c r="CF1166" i="13"/>
  <c r="CI1166" i="13" s="1"/>
  <c r="CE1166" i="13"/>
  <c r="CH1166" i="13" s="1"/>
  <c r="CD1166" i="13"/>
  <c r="CG1166" i="13" s="1"/>
  <c r="BY1166" i="13"/>
  <c r="CF1158" i="13"/>
  <c r="CI1158" i="13" s="1"/>
  <c r="CE1158" i="13"/>
  <c r="CH1158" i="13" s="1"/>
  <c r="BY1158" i="13"/>
  <c r="CD1158" i="13"/>
  <c r="CG1158" i="13" s="1"/>
  <c r="CF1150" i="13"/>
  <c r="CI1150" i="13" s="1"/>
  <c r="CE1150" i="13"/>
  <c r="CH1150" i="13" s="1"/>
  <c r="CD1150" i="13"/>
  <c r="CG1150" i="13" s="1"/>
  <c r="BY1150" i="13"/>
  <c r="CF1142" i="13"/>
  <c r="CI1142" i="13" s="1"/>
  <c r="CE1142" i="13"/>
  <c r="CH1142" i="13" s="1"/>
  <c r="CD1142" i="13"/>
  <c r="CG1142" i="13" s="1"/>
  <c r="BY1142" i="13"/>
  <c r="CF1134" i="13"/>
  <c r="CI1134" i="13" s="1"/>
  <c r="CE1134" i="13"/>
  <c r="CH1134" i="13" s="1"/>
  <c r="CD1134" i="13"/>
  <c r="CG1134" i="13" s="1"/>
  <c r="BY1134" i="13"/>
  <c r="CF1126" i="13"/>
  <c r="CI1126" i="13" s="1"/>
  <c r="CE1126" i="13"/>
  <c r="CH1126" i="13" s="1"/>
  <c r="BY1126" i="13"/>
  <c r="CD1126" i="13"/>
  <c r="CG1126" i="13" s="1"/>
  <c r="CF1118" i="13"/>
  <c r="CI1118" i="13" s="1"/>
  <c r="CE1118" i="13"/>
  <c r="CH1118" i="13" s="1"/>
  <c r="CD1118" i="13"/>
  <c r="CG1118" i="13" s="1"/>
  <c r="BY1118" i="13"/>
  <c r="CF1110" i="13"/>
  <c r="CI1110" i="13" s="1"/>
  <c r="CE1110" i="13"/>
  <c r="CH1110" i="13" s="1"/>
  <c r="CD1110" i="13"/>
  <c r="CG1110" i="13" s="1"/>
  <c r="BY1110" i="13"/>
  <c r="CF1102" i="13"/>
  <c r="CI1102" i="13" s="1"/>
  <c r="CE1102" i="13"/>
  <c r="CH1102" i="13" s="1"/>
  <c r="CD1102" i="13"/>
  <c r="CG1102" i="13" s="1"/>
  <c r="BY1102" i="13"/>
  <c r="CE1093" i="13"/>
  <c r="CH1093" i="13" s="1"/>
  <c r="CF1093" i="13"/>
  <c r="CI1093" i="13" s="1"/>
  <c r="CD1093" i="13"/>
  <c r="CG1093" i="13" s="1"/>
  <c r="BY1093" i="13"/>
  <c r="CF1085" i="13"/>
  <c r="CI1085" i="13" s="1"/>
  <c r="CE1085" i="13"/>
  <c r="CH1085" i="13" s="1"/>
  <c r="BY1085" i="13"/>
  <c r="CD1085" i="13"/>
  <c r="CG1085" i="13" s="1"/>
  <c r="CF1077" i="13"/>
  <c r="CI1077" i="13" s="1"/>
  <c r="CE1077" i="13"/>
  <c r="CH1077" i="13" s="1"/>
  <c r="CD1077" i="13"/>
  <c r="CG1077" i="13" s="1"/>
  <c r="BY1077" i="13"/>
  <c r="CF1069" i="13"/>
  <c r="CI1069" i="13" s="1"/>
  <c r="CE1069" i="13"/>
  <c r="CH1069" i="13" s="1"/>
  <c r="CD1069" i="13"/>
  <c r="CG1069" i="13" s="1"/>
  <c r="BY1069" i="13"/>
  <c r="CF1061" i="13"/>
  <c r="CI1061" i="13" s="1"/>
  <c r="CE1061" i="13"/>
  <c r="CH1061" i="13" s="1"/>
  <c r="CD1061" i="13"/>
  <c r="CG1061" i="13" s="1"/>
  <c r="BY1061" i="13"/>
  <c r="CF1255" i="13"/>
  <c r="CI1255" i="13" s="1"/>
  <c r="CE1255" i="13"/>
  <c r="CH1255" i="13" s="1"/>
  <c r="CD1255" i="13"/>
  <c r="CG1255" i="13" s="1"/>
  <c r="BY1255" i="13"/>
  <c r="CF1207" i="13"/>
  <c r="CI1207" i="13" s="1"/>
  <c r="CE1207" i="13"/>
  <c r="CH1207" i="13" s="1"/>
  <c r="CD1207" i="13"/>
  <c r="CG1207" i="13" s="1"/>
  <c r="BY1207" i="13"/>
  <c r="CF1167" i="13"/>
  <c r="CI1167" i="13" s="1"/>
  <c r="CD1167" i="13"/>
  <c r="CG1167" i="13" s="1"/>
  <c r="CE1167" i="13"/>
  <c r="CH1167" i="13" s="1"/>
  <c r="BY1167" i="13"/>
  <c r="CF1135" i="13"/>
  <c r="CI1135" i="13" s="1"/>
  <c r="CE1135" i="13"/>
  <c r="CH1135" i="13" s="1"/>
  <c r="CD1135" i="13"/>
  <c r="CG1135" i="13" s="1"/>
  <c r="BY1135" i="13"/>
  <c r="CF1070" i="13"/>
  <c r="CI1070" i="13" s="1"/>
  <c r="CE1070" i="13"/>
  <c r="CH1070" i="13" s="1"/>
  <c r="CD1070" i="13"/>
  <c r="CG1070" i="13" s="1"/>
  <c r="BY1070" i="13"/>
  <c r="CE1301" i="13"/>
  <c r="CH1301" i="13" s="1"/>
  <c r="CF1301" i="13"/>
  <c r="CI1301" i="13" s="1"/>
  <c r="CD1301" i="13"/>
  <c r="CG1301" i="13" s="1"/>
  <c r="BY1301" i="13"/>
  <c r="CF1293" i="13"/>
  <c r="CI1293" i="13" s="1"/>
  <c r="CE1293" i="13"/>
  <c r="CH1293" i="13" s="1"/>
  <c r="CD1293" i="13"/>
  <c r="CG1293" i="13" s="1"/>
  <c r="BY1293" i="13"/>
  <c r="CF1285" i="13"/>
  <c r="CI1285" i="13" s="1"/>
  <c r="CE1285" i="13"/>
  <c r="CH1285" i="13" s="1"/>
  <c r="CD1285" i="13"/>
  <c r="CG1285" i="13" s="1"/>
  <c r="BY1285" i="13"/>
  <c r="CE1277" i="13"/>
  <c r="CH1277" i="13" s="1"/>
  <c r="CF1277" i="13"/>
  <c r="CI1277" i="13" s="1"/>
  <c r="CD1277" i="13"/>
  <c r="CG1277" i="13" s="1"/>
  <c r="BY1277" i="13"/>
  <c r="CE1269" i="13"/>
  <c r="CH1269" i="13" s="1"/>
  <c r="CF1269" i="13"/>
  <c r="CI1269" i="13" s="1"/>
  <c r="CD1269" i="13"/>
  <c r="CG1269" i="13" s="1"/>
  <c r="BY1269" i="13"/>
  <c r="CF1261" i="13"/>
  <c r="CI1261" i="13" s="1"/>
  <c r="CE1261" i="13"/>
  <c r="CH1261" i="13" s="1"/>
  <c r="CD1261" i="13"/>
  <c r="CG1261" i="13" s="1"/>
  <c r="BY1261" i="13"/>
  <c r="CF1253" i="13"/>
  <c r="CI1253" i="13" s="1"/>
  <c r="CE1253" i="13"/>
  <c r="CH1253" i="13" s="1"/>
  <c r="CD1253" i="13"/>
  <c r="CG1253" i="13" s="1"/>
  <c r="BY1253" i="13"/>
  <c r="CE1245" i="13"/>
  <c r="CH1245" i="13" s="1"/>
  <c r="CF1245" i="13"/>
  <c r="CI1245" i="13" s="1"/>
  <c r="CD1245" i="13"/>
  <c r="CG1245" i="13" s="1"/>
  <c r="BY1245" i="13"/>
  <c r="CE1237" i="13"/>
  <c r="CH1237" i="13" s="1"/>
  <c r="CD1237" i="13"/>
  <c r="CG1237" i="13" s="1"/>
  <c r="BY1237" i="13"/>
  <c r="CF1237" i="13"/>
  <c r="CI1237" i="13" s="1"/>
  <c r="CF1229" i="13"/>
  <c r="CI1229" i="13" s="1"/>
  <c r="CE1229" i="13"/>
  <c r="CH1229" i="13" s="1"/>
  <c r="CD1229" i="13"/>
  <c r="CG1229" i="13" s="1"/>
  <c r="BY1229" i="13"/>
  <c r="CF1221" i="13"/>
  <c r="CI1221" i="13" s="1"/>
  <c r="CE1221" i="13"/>
  <c r="CH1221" i="13" s="1"/>
  <c r="CD1221" i="13"/>
  <c r="CG1221" i="13" s="1"/>
  <c r="BY1221" i="13"/>
  <c r="CE1213" i="13"/>
  <c r="CH1213" i="13" s="1"/>
  <c r="CD1213" i="13"/>
  <c r="CG1213" i="13" s="1"/>
  <c r="CF1213" i="13"/>
  <c r="CI1213" i="13" s="1"/>
  <c r="BY1213" i="13"/>
  <c r="CE1205" i="13"/>
  <c r="CH1205" i="13" s="1"/>
  <c r="CF1205" i="13"/>
  <c r="CI1205" i="13" s="1"/>
  <c r="CD1205" i="13"/>
  <c r="CG1205" i="13" s="1"/>
  <c r="BY1205" i="13"/>
  <c r="CF1197" i="13"/>
  <c r="CI1197" i="13" s="1"/>
  <c r="CE1197" i="13"/>
  <c r="CH1197" i="13" s="1"/>
  <c r="CD1197" i="13"/>
  <c r="CG1197" i="13" s="1"/>
  <c r="BY1197" i="13"/>
  <c r="CF1189" i="13"/>
  <c r="CI1189" i="13" s="1"/>
  <c r="CE1189" i="13"/>
  <c r="CH1189" i="13" s="1"/>
  <c r="BY1189" i="13"/>
  <c r="CD1189" i="13"/>
  <c r="CG1189" i="13" s="1"/>
  <c r="CE1181" i="13"/>
  <c r="CH1181" i="13" s="1"/>
  <c r="CF1181" i="13"/>
  <c r="CI1181" i="13" s="1"/>
  <c r="BY1181" i="13"/>
  <c r="CD1181" i="13"/>
  <c r="CG1181" i="13" s="1"/>
  <c r="CE1173" i="13"/>
  <c r="CH1173" i="13" s="1"/>
  <c r="CF1173" i="13"/>
  <c r="CI1173" i="13" s="1"/>
  <c r="CD1173" i="13"/>
  <c r="CG1173" i="13" s="1"/>
  <c r="BY1173" i="13"/>
  <c r="CF1165" i="13"/>
  <c r="CI1165" i="13" s="1"/>
  <c r="CE1165" i="13"/>
  <c r="CH1165" i="13" s="1"/>
  <c r="CD1165" i="13"/>
  <c r="CG1165" i="13" s="1"/>
  <c r="BY1165" i="13"/>
  <c r="CF1157" i="13"/>
  <c r="CI1157" i="13" s="1"/>
  <c r="CE1157" i="13"/>
  <c r="CH1157" i="13" s="1"/>
  <c r="BY1157" i="13"/>
  <c r="CD1157" i="13"/>
  <c r="CG1157" i="13" s="1"/>
  <c r="CF1149" i="13"/>
  <c r="CI1149" i="13" s="1"/>
  <c r="CE1149" i="13"/>
  <c r="CH1149" i="13" s="1"/>
  <c r="BY1149" i="13"/>
  <c r="CD1149" i="13"/>
  <c r="CG1149" i="13" s="1"/>
  <c r="CF1141" i="13"/>
  <c r="CI1141" i="13" s="1"/>
  <c r="CE1141" i="13"/>
  <c r="CH1141" i="13" s="1"/>
  <c r="CD1141" i="13"/>
  <c r="CG1141" i="13" s="1"/>
  <c r="BY1141" i="13"/>
  <c r="CF1133" i="13"/>
  <c r="CI1133" i="13" s="1"/>
  <c r="CE1133" i="13"/>
  <c r="CH1133" i="13" s="1"/>
  <c r="CD1133" i="13"/>
  <c r="CG1133" i="13" s="1"/>
  <c r="BY1133" i="13"/>
  <c r="CF1125" i="13"/>
  <c r="CI1125" i="13" s="1"/>
  <c r="CE1125" i="13"/>
  <c r="CH1125" i="13" s="1"/>
  <c r="BY1125" i="13"/>
  <c r="CD1125" i="13"/>
  <c r="CG1125" i="13" s="1"/>
  <c r="CF1117" i="13"/>
  <c r="CI1117" i="13" s="1"/>
  <c r="CE1117" i="13"/>
  <c r="CH1117" i="13" s="1"/>
  <c r="CD1117" i="13"/>
  <c r="CG1117" i="13" s="1"/>
  <c r="BY1117" i="13"/>
  <c r="CF1109" i="13"/>
  <c r="CI1109" i="13" s="1"/>
  <c r="CE1109" i="13"/>
  <c r="CH1109" i="13" s="1"/>
  <c r="CD1109" i="13"/>
  <c r="CG1109" i="13" s="1"/>
  <c r="BY1109" i="13"/>
  <c r="CF1101" i="13"/>
  <c r="CI1101" i="13" s="1"/>
  <c r="CE1101" i="13"/>
  <c r="CH1101" i="13" s="1"/>
  <c r="CD1101" i="13"/>
  <c r="CG1101" i="13" s="1"/>
  <c r="BY1101" i="13"/>
  <c r="CE1092" i="13"/>
  <c r="CH1092" i="13" s="1"/>
  <c r="CF1092" i="13"/>
  <c r="CI1092" i="13" s="1"/>
  <c r="CD1092" i="13"/>
  <c r="CG1092" i="13" s="1"/>
  <c r="BY1092" i="13"/>
  <c r="CF1084" i="13"/>
  <c r="CI1084" i="13" s="1"/>
  <c r="CE1084" i="13"/>
  <c r="CH1084" i="13" s="1"/>
  <c r="CD1084" i="13"/>
  <c r="CG1084" i="13" s="1"/>
  <c r="BY1084" i="13"/>
  <c r="CF1076" i="13"/>
  <c r="CI1076" i="13" s="1"/>
  <c r="CE1076" i="13"/>
  <c r="CH1076" i="13" s="1"/>
  <c r="CD1076" i="13"/>
  <c r="CG1076" i="13" s="1"/>
  <c r="BY1076" i="13"/>
  <c r="CE1068" i="13"/>
  <c r="CH1068" i="13" s="1"/>
  <c r="CF1068" i="13"/>
  <c r="CI1068" i="13" s="1"/>
  <c r="CD1068" i="13"/>
  <c r="CG1068" i="13" s="1"/>
  <c r="BY1068" i="13"/>
  <c r="CF1060" i="13"/>
  <c r="CI1060" i="13" s="1"/>
  <c r="CE1060" i="13"/>
  <c r="CH1060" i="13" s="1"/>
  <c r="CD1060" i="13"/>
  <c r="CG1060" i="13" s="1"/>
  <c r="BY1060" i="13"/>
  <c r="CF1247" i="13"/>
  <c r="CI1247" i="13" s="1"/>
  <c r="CE1247" i="13"/>
  <c r="CH1247" i="13" s="1"/>
  <c r="CD1247" i="13"/>
  <c r="CG1247" i="13" s="1"/>
  <c r="BY1247" i="13"/>
  <c r="CF1086" i="13"/>
  <c r="CI1086" i="13" s="1"/>
  <c r="CD1086" i="13"/>
  <c r="CG1086" i="13" s="1"/>
  <c r="CE1086" i="13"/>
  <c r="CH1086" i="13" s="1"/>
  <c r="BY1086" i="13"/>
  <c r="CE1300" i="13"/>
  <c r="CH1300" i="13" s="1"/>
  <c r="CF1300" i="13"/>
  <c r="CI1300" i="13" s="1"/>
  <c r="CD1300" i="13"/>
  <c r="CG1300" i="13" s="1"/>
  <c r="BY1300" i="13"/>
  <c r="CE1292" i="13"/>
  <c r="CH1292" i="13" s="1"/>
  <c r="CF1292" i="13"/>
  <c r="CI1292" i="13" s="1"/>
  <c r="CD1292" i="13"/>
  <c r="CG1292" i="13" s="1"/>
  <c r="BY1292" i="13"/>
  <c r="CE1284" i="13"/>
  <c r="CH1284" i="13" s="1"/>
  <c r="CF1284" i="13"/>
  <c r="CI1284" i="13" s="1"/>
  <c r="CD1284" i="13"/>
  <c r="CG1284" i="13" s="1"/>
  <c r="BY1284" i="13"/>
  <c r="CE1276" i="13"/>
  <c r="CH1276" i="13" s="1"/>
  <c r="CF1276" i="13"/>
  <c r="CI1276" i="13" s="1"/>
  <c r="CD1276" i="13"/>
  <c r="CG1276" i="13" s="1"/>
  <c r="BY1276" i="13"/>
  <c r="CE1268" i="13"/>
  <c r="CH1268" i="13" s="1"/>
  <c r="CF1268" i="13"/>
  <c r="CI1268" i="13" s="1"/>
  <c r="CD1268" i="13"/>
  <c r="CG1268" i="13" s="1"/>
  <c r="BY1268" i="13"/>
  <c r="CE1260" i="13"/>
  <c r="CH1260" i="13" s="1"/>
  <c r="CF1260" i="13"/>
  <c r="CI1260" i="13" s="1"/>
  <c r="CD1260" i="13"/>
  <c r="CG1260" i="13" s="1"/>
  <c r="BY1260" i="13"/>
  <c r="CE1252" i="13"/>
  <c r="CH1252" i="13" s="1"/>
  <c r="CF1252" i="13"/>
  <c r="CI1252" i="13" s="1"/>
  <c r="CD1252" i="13"/>
  <c r="CG1252" i="13" s="1"/>
  <c r="BY1252" i="13"/>
  <c r="CE1244" i="13"/>
  <c r="CH1244" i="13" s="1"/>
  <c r="CF1244" i="13"/>
  <c r="CI1244" i="13" s="1"/>
  <c r="CD1244" i="13"/>
  <c r="CG1244" i="13" s="1"/>
  <c r="BY1244" i="13"/>
  <c r="CE1236" i="13"/>
  <c r="CH1236" i="13" s="1"/>
  <c r="CF1236" i="13"/>
  <c r="CI1236" i="13" s="1"/>
  <c r="CD1236" i="13"/>
  <c r="CG1236" i="13" s="1"/>
  <c r="BY1236" i="13"/>
  <c r="CE1228" i="13"/>
  <c r="CH1228" i="13" s="1"/>
  <c r="CF1228" i="13"/>
  <c r="CI1228" i="13" s="1"/>
  <c r="CD1228" i="13"/>
  <c r="CG1228" i="13" s="1"/>
  <c r="BY1228" i="13"/>
  <c r="CE1220" i="13"/>
  <c r="CH1220" i="13" s="1"/>
  <c r="CF1220" i="13"/>
  <c r="CI1220" i="13" s="1"/>
  <c r="CD1220" i="13"/>
  <c r="CG1220" i="13" s="1"/>
  <c r="BY1220" i="13"/>
  <c r="CE1212" i="13"/>
  <c r="CH1212" i="13" s="1"/>
  <c r="CF1212" i="13"/>
  <c r="CI1212" i="13" s="1"/>
  <c r="CD1212" i="13"/>
  <c r="CG1212" i="13" s="1"/>
  <c r="BY1212" i="13"/>
  <c r="CE1204" i="13"/>
  <c r="CH1204" i="13" s="1"/>
  <c r="CF1204" i="13"/>
  <c r="CI1204" i="13" s="1"/>
  <c r="CD1204" i="13"/>
  <c r="CG1204" i="13" s="1"/>
  <c r="BY1204" i="13"/>
  <c r="CE1196" i="13"/>
  <c r="CH1196" i="13" s="1"/>
  <c r="CF1196" i="13"/>
  <c r="CI1196" i="13" s="1"/>
  <c r="CD1196" i="13"/>
  <c r="CG1196" i="13" s="1"/>
  <c r="BY1196" i="13"/>
  <c r="CE1188" i="13"/>
  <c r="CH1188" i="13" s="1"/>
  <c r="CF1188" i="13"/>
  <c r="CI1188" i="13" s="1"/>
  <c r="CD1188" i="13"/>
  <c r="CG1188" i="13" s="1"/>
  <c r="BY1188" i="13"/>
  <c r="CE1180" i="13"/>
  <c r="CH1180" i="13" s="1"/>
  <c r="CD1180" i="13"/>
  <c r="CG1180" i="13" s="1"/>
  <c r="CF1180" i="13"/>
  <c r="CI1180" i="13" s="1"/>
  <c r="BY1180" i="13"/>
  <c r="CE1172" i="13"/>
  <c r="CH1172" i="13" s="1"/>
  <c r="CF1172" i="13"/>
  <c r="CI1172" i="13" s="1"/>
  <c r="CD1172" i="13"/>
  <c r="CG1172" i="13" s="1"/>
  <c r="BY1172" i="13"/>
  <c r="CE1164" i="13"/>
  <c r="CH1164" i="13" s="1"/>
  <c r="CF1164" i="13"/>
  <c r="CI1164" i="13" s="1"/>
  <c r="CD1164" i="13"/>
  <c r="CG1164" i="13" s="1"/>
  <c r="BY1164" i="13"/>
  <c r="CE1156" i="13"/>
  <c r="CH1156" i="13" s="1"/>
  <c r="CF1156" i="13"/>
  <c r="CI1156" i="13" s="1"/>
  <c r="CD1156" i="13"/>
  <c r="CG1156" i="13" s="1"/>
  <c r="BY1156" i="13"/>
  <c r="CF1148" i="13"/>
  <c r="CI1148" i="13" s="1"/>
  <c r="CE1148" i="13"/>
  <c r="CH1148" i="13" s="1"/>
  <c r="CD1148" i="13"/>
  <c r="CG1148" i="13" s="1"/>
  <c r="BY1148" i="13"/>
  <c r="CF1140" i="13"/>
  <c r="CI1140" i="13" s="1"/>
  <c r="CE1140" i="13"/>
  <c r="CH1140" i="13" s="1"/>
  <c r="CD1140" i="13"/>
  <c r="CG1140" i="13" s="1"/>
  <c r="BY1140" i="13"/>
  <c r="CF1132" i="13"/>
  <c r="CI1132" i="13" s="1"/>
  <c r="CE1132" i="13"/>
  <c r="CH1132" i="13" s="1"/>
  <c r="CD1132" i="13"/>
  <c r="CG1132" i="13" s="1"/>
  <c r="BY1132" i="13"/>
  <c r="CE1124" i="13"/>
  <c r="CH1124" i="13" s="1"/>
  <c r="CF1124" i="13"/>
  <c r="CI1124" i="13" s="1"/>
  <c r="CD1124" i="13"/>
  <c r="CG1124" i="13" s="1"/>
  <c r="BY1124" i="13"/>
  <c r="CF1116" i="13"/>
  <c r="CI1116" i="13" s="1"/>
  <c r="CE1116" i="13"/>
  <c r="CH1116" i="13" s="1"/>
  <c r="CD1116" i="13"/>
  <c r="CG1116" i="13" s="1"/>
  <c r="BY1116" i="13"/>
  <c r="CF1108" i="13"/>
  <c r="CI1108" i="13" s="1"/>
  <c r="CE1108" i="13"/>
  <c r="CH1108" i="13" s="1"/>
  <c r="CD1108" i="13"/>
  <c r="CG1108" i="13" s="1"/>
  <c r="BY1108" i="13"/>
  <c r="CF1100" i="13"/>
  <c r="CI1100" i="13" s="1"/>
  <c r="CE1100" i="13"/>
  <c r="CH1100" i="13" s="1"/>
  <c r="CD1100" i="13"/>
  <c r="CG1100" i="13" s="1"/>
  <c r="BY1100" i="13"/>
  <c r="CF1091" i="13"/>
  <c r="CI1091" i="13" s="1"/>
  <c r="CE1091" i="13"/>
  <c r="CH1091" i="13" s="1"/>
  <c r="BY1091" i="13"/>
  <c r="CD1091" i="13"/>
  <c r="CG1091" i="13" s="1"/>
  <c r="CF1083" i="13"/>
  <c r="CI1083" i="13" s="1"/>
  <c r="CE1083" i="13"/>
  <c r="CH1083" i="13" s="1"/>
  <c r="CD1083" i="13"/>
  <c r="CG1083" i="13" s="1"/>
  <c r="BY1083" i="13"/>
  <c r="CF1075" i="13"/>
  <c r="CI1075" i="13" s="1"/>
  <c r="CE1075" i="13"/>
  <c r="CH1075" i="13" s="1"/>
  <c r="CD1075" i="13"/>
  <c r="CG1075" i="13" s="1"/>
  <c r="BY1075" i="13"/>
  <c r="CF1067" i="13"/>
  <c r="CI1067" i="13" s="1"/>
  <c r="CE1067" i="13"/>
  <c r="CH1067" i="13" s="1"/>
  <c r="CD1067" i="13"/>
  <c r="CG1067" i="13" s="1"/>
  <c r="BY1067" i="13"/>
  <c r="CF1059" i="13"/>
  <c r="CI1059" i="13" s="1"/>
  <c r="CE1059" i="13"/>
  <c r="CH1059" i="13" s="1"/>
  <c r="BY1059" i="13"/>
  <c r="CD1059" i="13"/>
  <c r="CG1059" i="13" s="1"/>
  <c r="CF1295" i="13"/>
  <c r="CI1295" i="13" s="1"/>
  <c r="CE1295" i="13"/>
  <c r="CH1295" i="13" s="1"/>
  <c r="CD1295" i="13"/>
  <c r="CG1295" i="13" s="1"/>
  <c r="BY1295" i="13"/>
  <c r="CF1271" i="13"/>
  <c r="CI1271" i="13" s="1"/>
  <c r="CE1271" i="13"/>
  <c r="CH1271" i="13" s="1"/>
  <c r="CD1271" i="13"/>
  <c r="CG1271" i="13" s="1"/>
  <c r="BY1271" i="13"/>
  <c r="CF1223" i="13"/>
  <c r="CI1223" i="13" s="1"/>
  <c r="CE1223" i="13"/>
  <c r="CH1223" i="13" s="1"/>
  <c r="CD1223" i="13"/>
  <c r="CG1223" i="13" s="1"/>
  <c r="BY1223" i="13"/>
  <c r="CF1191" i="13"/>
  <c r="CI1191" i="13" s="1"/>
  <c r="CE1191" i="13"/>
  <c r="CH1191" i="13" s="1"/>
  <c r="CD1191" i="13"/>
  <c r="CG1191" i="13" s="1"/>
  <c r="BY1191" i="13"/>
  <c r="CF1175" i="13"/>
  <c r="CI1175" i="13" s="1"/>
  <c r="CE1175" i="13"/>
  <c r="CH1175" i="13" s="1"/>
  <c r="CD1175" i="13"/>
  <c r="CG1175" i="13" s="1"/>
  <c r="BY1175" i="13"/>
  <c r="CF1151" i="13"/>
  <c r="CI1151" i="13" s="1"/>
  <c r="CE1151" i="13"/>
  <c r="CH1151" i="13" s="1"/>
  <c r="CD1151" i="13"/>
  <c r="CG1151" i="13" s="1"/>
  <c r="BY1151" i="13"/>
  <c r="CF1143" i="13"/>
  <c r="CI1143" i="13" s="1"/>
  <c r="CE1143" i="13"/>
  <c r="CH1143" i="13" s="1"/>
  <c r="CD1143" i="13"/>
  <c r="CG1143" i="13" s="1"/>
  <c r="BY1143" i="13"/>
  <c r="CF1119" i="13"/>
  <c r="CI1119" i="13" s="1"/>
  <c r="CE1119" i="13"/>
  <c r="CH1119" i="13" s="1"/>
  <c r="CD1119" i="13"/>
  <c r="CG1119" i="13" s="1"/>
  <c r="BY1119" i="13"/>
  <c r="CF1062" i="13"/>
  <c r="CI1062" i="13" s="1"/>
  <c r="CD1062" i="13"/>
  <c r="CG1062" i="13" s="1"/>
  <c r="CE1062" i="13"/>
  <c r="CH1062" i="13" s="1"/>
  <c r="BY1062" i="13"/>
  <c r="CF1299" i="13"/>
  <c r="CI1299" i="13" s="1"/>
  <c r="CE1299" i="13"/>
  <c r="CH1299" i="13" s="1"/>
  <c r="CD1299" i="13"/>
  <c r="CG1299" i="13" s="1"/>
  <c r="BY1299" i="13"/>
  <c r="CF1291" i="13"/>
  <c r="CI1291" i="13" s="1"/>
  <c r="CE1291" i="13"/>
  <c r="CH1291" i="13" s="1"/>
  <c r="CD1291" i="13"/>
  <c r="CG1291" i="13" s="1"/>
  <c r="BY1291" i="13"/>
  <c r="CF1283" i="13"/>
  <c r="CI1283" i="13" s="1"/>
  <c r="CE1283" i="13"/>
  <c r="CH1283" i="13" s="1"/>
  <c r="CD1283" i="13"/>
  <c r="CG1283" i="13" s="1"/>
  <c r="BY1283" i="13"/>
  <c r="CF1275" i="13"/>
  <c r="CI1275" i="13" s="1"/>
  <c r="CD1275" i="13"/>
  <c r="CG1275" i="13" s="1"/>
  <c r="CE1275" i="13"/>
  <c r="CH1275" i="13" s="1"/>
  <c r="BY1275" i="13"/>
  <c r="CF1267" i="13"/>
  <c r="CI1267" i="13" s="1"/>
  <c r="CE1267" i="13"/>
  <c r="CH1267" i="13" s="1"/>
  <c r="CD1267" i="13"/>
  <c r="CG1267" i="13" s="1"/>
  <c r="BY1267" i="13"/>
  <c r="CF1259" i="13"/>
  <c r="CI1259" i="13" s="1"/>
  <c r="CE1259" i="13"/>
  <c r="CH1259" i="13" s="1"/>
  <c r="CD1259" i="13"/>
  <c r="CG1259" i="13" s="1"/>
  <c r="BY1259" i="13"/>
  <c r="CF1251" i="13"/>
  <c r="CI1251" i="13" s="1"/>
  <c r="CE1251" i="13"/>
  <c r="CH1251" i="13" s="1"/>
  <c r="CD1251" i="13"/>
  <c r="CG1251" i="13" s="1"/>
  <c r="BY1251" i="13"/>
  <c r="CF1243" i="13"/>
  <c r="CI1243" i="13" s="1"/>
  <c r="CE1243" i="13"/>
  <c r="CH1243" i="13" s="1"/>
  <c r="CD1243" i="13"/>
  <c r="CG1243" i="13" s="1"/>
  <c r="BY1243" i="13"/>
  <c r="CF1235" i="13"/>
  <c r="CI1235" i="13" s="1"/>
  <c r="CE1235" i="13"/>
  <c r="CH1235" i="13" s="1"/>
  <c r="CD1235" i="13"/>
  <c r="CG1235" i="13" s="1"/>
  <c r="BY1235" i="13"/>
  <c r="CF1227" i="13"/>
  <c r="CI1227" i="13" s="1"/>
  <c r="CE1227" i="13"/>
  <c r="CH1227" i="13" s="1"/>
  <c r="CD1227" i="13"/>
  <c r="CG1227" i="13" s="1"/>
  <c r="BY1227" i="13"/>
  <c r="CF1219" i="13"/>
  <c r="CI1219" i="13" s="1"/>
  <c r="CE1219" i="13"/>
  <c r="CH1219" i="13" s="1"/>
  <c r="BY1219" i="13"/>
  <c r="CD1219" i="13"/>
  <c r="CG1219" i="13" s="1"/>
  <c r="CF1211" i="13"/>
  <c r="CI1211" i="13" s="1"/>
  <c r="BY1211" i="13"/>
  <c r="CD1211" i="13"/>
  <c r="CG1211" i="13" s="1"/>
  <c r="CE1211" i="13"/>
  <c r="CH1211" i="13" s="1"/>
  <c r="CF1203" i="13"/>
  <c r="CI1203" i="13" s="1"/>
  <c r="CE1203" i="13"/>
  <c r="CH1203" i="13" s="1"/>
  <c r="CD1203" i="13"/>
  <c r="CG1203" i="13" s="1"/>
  <c r="BY1203" i="13"/>
  <c r="CF1195" i="13"/>
  <c r="CI1195" i="13" s="1"/>
  <c r="CE1195" i="13"/>
  <c r="CH1195" i="13" s="1"/>
  <c r="BY1195" i="13"/>
  <c r="CD1195" i="13"/>
  <c r="CG1195" i="13" s="1"/>
  <c r="CF1187" i="13"/>
  <c r="CI1187" i="13" s="1"/>
  <c r="CE1187" i="13"/>
  <c r="CH1187" i="13" s="1"/>
  <c r="BY1187" i="13"/>
  <c r="CD1187" i="13"/>
  <c r="CG1187" i="13" s="1"/>
  <c r="CF1179" i="13"/>
  <c r="CI1179" i="13" s="1"/>
  <c r="CE1179" i="13"/>
  <c r="CH1179" i="13" s="1"/>
  <c r="BY1179" i="13"/>
  <c r="CD1179" i="13"/>
  <c r="CG1179" i="13" s="1"/>
  <c r="CF1171" i="13"/>
  <c r="CI1171" i="13" s="1"/>
  <c r="CD1171" i="13"/>
  <c r="CG1171" i="13" s="1"/>
  <c r="BY1171" i="13"/>
  <c r="CE1171" i="13"/>
  <c r="CH1171" i="13" s="1"/>
  <c r="CF1163" i="13"/>
  <c r="CI1163" i="13" s="1"/>
  <c r="CE1163" i="13"/>
  <c r="CH1163" i="13" s="1"/>
  <c r="CD1163" i="13"/>
  <c r="CG1163" i="13" s="1"/>
  <c r="BY1163" i="13"/>
  <c r="CF1155" i="13"/>
  <c r="CI1155" i="13" s="1"/>
  <c r="CE1155" i="13"/>
  <c r="CH1155" i="13" s="1"/>
  <c r="BY1155" i="13"/>
  <c r="CD1155" i="13"/>
  <c r="CG1155" i="13" s="1"/>
  <c r="CF1147" i="13"/>
  <c r="CI1147" i="13" s="1"/>
  <c r="BY1147" i="13"/>
  <c r="CE1147" i="13"/>
  <c r="CH1147" i="13" s="1"/>
  <c r="CD1147" i="13"/>
  <c r="CG1147" i="13" s="1"/>
  <c r="CF1139" i="13"/>
  <c r="CI1139" i="13" s="1"/>
  <c r="CE1139" i="13"/>
  <c r="CH1139" i="13" s="1"/>
  <c r="CD1139" i="13"/>
  <c r="CG1139" i="13" s="1"/>
  <c r="BY1139" i="13"/>
  <c r="CF1131" i="13"/>
  <c r="CI1131" i="13" s="1"/>
  <c r="CE1131" i="13"/>
  <c r="CH1131" i="13" s="1"/>
  <c r="CD1131" i="13"/>
  <c r="CG1131" i="13" s="1"/>
  <c r="BY1131" i="13"/>
  <c r="CF1123" i="13"/>
  <c r="CI1123" i="13" s="1"/>
  <c r="CE1123" i="13"/>
  <c r="CH1123" i="13" s="1"/>
  <c r="BY1123" i="13"/>
  <c r="CD1123" i="13"/>
  <c r="CG1123" i="13" s="1"/>
  <c r="CF1115" i="13"/>
  <c r="CI1115" i="13" s="1"/>
  <c r="CE1115" i="13"/>
  <c r="CH1115" i="13" s="1"/>
  <c r="BY1115" i="13"/>
  <c r="CD1115" i="13"/>
  <c r="CG1115" i="13" s="1"/>
  <c r="CF1107" i="13"/>
  <c r="CI1107" i="13" s="1"/>
  <c r="CD1107" i="13"/>
  <c r="CG1107" i="13" s="1"/>
  <c r="BY1107" i="13"/>
  <c r="CE1107" i="13"/>
  <c r="CH1107" i="13" s="1"/>
  <c r="CF1099" i="13"/>
  <c r="CI1099" i="13" s="1"/>
  <c r="CE1099" i="13"/>
  <c r="CH1099" i="13" s="1"/>
  <c r="BY1099" i="13"/>
  <c r="CD1099" i="13"/>
  <c r="CG1099" i="13" s="1"/>
  <c r="CF1090" i="13"/>
  <c r="CI1090" i="13" s="1"/>
  <c r="CE1090" i="13"/>
  <c r="CH1090" i="13" s="1"/>
  <c r="BY1090" i="13"/>
  <c r="CD1090" i="13"/>
  <c r="CG1090" i="13" s="1"/>
  <c r="CF1082" i="13"/>
  <c r="CI1082" i="13" s="1"/>
  <c r="CE1082" i="13"/>
  <c r="CH1082" i="13" s="1"/>
  <c r="CD1082" i="13"/>
  <c r="CG1082" i="13" s="1"/>
  <c r="BY1082" i="13"/>
  <c r="CF1074" i="13"/>
  <c r="CI1074" i="13" s="1"/>
  <c r="CE1074" i="13"/>
  <c r="CH1074" i="13" s="1"/>
  <c r="BY1074" i="13"/>
  <c r="CD1074" i="13"/>
  <c r="CG1074" i="13" s="1"/>
  <c r="CF1066" i="13"/>
  <c r="CI1066" i="13" s="1"/>
  <c r="CE1066" i="13"/>
  <c r="CH1066" i="13" s="1"/>
  <c r="CD1066" i="13"/>
  <c r="CG1066" i="13" s="1"/>
  <c r="BY1066" i="13"/>
  <c r="CF1058" i="13"/>
  <c r="CI1058" i="13" s="1"/>
  <c r="CE1058" i="13"/>
  <c r="CH1058" i="13" s="1"/>
  <c r="BY1058" i="13"/>
  <c r="CD1058" i="13"/>
  <c r="CG1058" i="13" s="1"/>
  <c r="CF1303" i="13"/>
  <c r="CI1303" i="13" s="1"/>
  <c r="CE1303" i="13"/>
  <c r="CH1303" i="13" s="1"/>
  <c r="CD1303" i="13"/>
  <c r="CG1303" i="13" s="1"/>
  <c r="BY1303" i="13"/>
  <c r="CF1263" i="13"/>
  <c r="CI1263" i="13" s="1"/>
  <c r="CE1263" i="13"/>
  <c r="CH1263" i="13" s="1"/>
  <c r="CD1263" i="13"/>
  <c r="CG1263" i="13" s="1"/>
  <c r="BY1263" i="13"/>
  <c r="CF1199" i="13"/>
  <c r="CI1199" i="13" s="1"/>
  <c r="CE1199" i="13"/>
  <c r="CH1199" i="13" s="1"/>
  <c r="CD1199" i="13"/>
  <c r="CG1199" i="13" s="1"/>
  <c r="BY1199" i="13"/>
  <c r="CF1094" i="13"/>
  <c r="CI1094" i="13" s="1"/>
  <c r="CE1094" i="13"/>
  <c r="CH1094" i="13" s="1"/>
  <c r="CD1094" i="13"/>
  <c r="CG1094" i="13" s="1"/>
  <c r="BY1094" i="13"/>
  <c r="CF1298" i="13"/>
  <c r="CI1298" i="13" s="1"/>
  <c r="CE1298" i="13"/>
  <c r="CH1298" i="13" s="1"/>
  <c r="BY1298" i="13"/>
  <c r="CD1298" i="13"/>
  <c r="CG1298" i="13" s="1"/>
  <c r="CF1290" i="13"/>
  <c r="CI1290" i="13" s="1"/>
  <c r="CE1290" i="13"/>
  <c r="CH1290" i="13" s="1"/>
  <c r="BY1290" i="13"/>
  <c r="CD1290" i="13"/>
  <c r="CG1290" i="13" s="1"/>
  <c r="CF1282" i="13"/>
  <c r="CI1282" i="13" s="1"/>
  <c r="CE1282" i="13"/>
  <c r="CH1282" i="13" s="1"/>
  <c r="CD1282" i="13"/>
  <c r="CG1282" i="13" s="1"/>
  <c r="BY1282" i="13"/>
  <c r="CF1274" i="13"/>
  <c r="CI1274" i="13" s="1"/>
  <c r="CE1274" i="13"/>
  <c r="CH1274" i="13" s="1"/>
  <c r="CD1274" i="13"/>
  <c r="CG1274" i="13" s="1"/>
  <c r="BY1274" i="13"/>
  <c r="CF1266" i="13"/>
  <c r="CI1266" i="13" s="1"/>
  <c r="CE1266" i="13"/>
  <c r="CH1266" i="13" s="1"/>
  <c r="BY1266" i="13"/>
  <c r="CD1266" i="13"/>
  <c r="CG1266" i="13" s="1"/>
  <c r="CF1258" i="13"/>
  <c r="CI1258" i="13" s="1"/>
  <c r="CE1258" i="13"/>
  <c r="CH1258" i="13" s="1"/>
  <c r="CD1258" i="13"/>
  <c r="CG1258" i="13" s="1"/>
  <c r="BY1258" i="13"/>
  <c r="CF1250" i="13"/>
  <c r="CI1250" i="13" s="1"/>
  <c r="CE1250" i="13"/>
  <c r="CH1250" i="13" s="1"/>
  <c r="CD1250" i="13"/>
  <c r="CG1250" i="13" s="1"/>
  <c r="BY1250" i="13"/>
  <c r="CF1242" i="13"/>
  <c r="CI1242" i="13" s="1"/>
  <c r="CE1242" i="13"/>
  <c r="CH1242" i="13" s="1"/>
  <c r="CD1242" i="13"/>
  <c r="CG1242" i="13" s="1"/>
  <c r="BY1242" i="13"/>
  <c r="CF1234" i="13"/>
  <c r="CI1234" i="13" s="1"/>
  <c r="CE1234" i="13"/>
  <c r="CH1234" i="13" s="1"/>
  <c r="CD1234" i="13"/>
  <c r="CG1234" i="13" s="1"/>
  <c r="BY1234" i="13"/>
  <c r="CF1226" i="13"/>
  <c r="CI1226" i="13" s="1"/>
  <c r="CE1226" i="13"/>
  <c r="CH1226" i="13" s="1"/>
  <c r="CD1226" i="13"/>
  <c r="CG1226" i="13" s="1"/>
  <c r="BY1226" i="13"/>
  <c r="CF1218" i="13"/>
  <c r="CI1218" i="13" s="1"/>
  <c r="CE1218" i="13"/>
  <c r="CH1218" i="13" s="1"/>
  <c r="CD1218" i="13"/>
  <c r="CG1218" i="13" s="1"/>
  <c r="BY1218" i="13"/>
  <c r="CF1210" i="13"/>
  <c r="CI1210" i="13" s="1"/>
  <c r="CE1210" i="13"/>
  <c r="CH1210" i="13" s="1"/>
  <c r="CD1210" i="13"/>
  <c r="CG1210" i="13" s="1"/>
  <c r="BY1210" i="13"/>
  <c r="CF1202" i="13"/>
  <c r="CI1202" i="13" s="1"/>
  <c r="CE1202" i="13"/>
  <c r="CH1202" i="13" s="1"/>
  <c r="CD1202" i="13"/>
  <c r="CG1202" i="13" s="1"/>
  <c r="BY1202" i="13"/>
  <c r="CF1194" i="13"/>
  <c r="CI1194" i="13" s="1"/>
  <c r="CE1194" i="13"/>
  <c r="CH1194" i="13" s="1"/>
  <c r="CD1194" i="13"/>
  <c r="CG1194" i="13" s="1"/>
  <c r="BY1194" i="13"/>
  <c r="CF1186" i="13"/>
  <c r="CI1186" i="13" s="1"/>
  <c r="CE1186" i="13"/>
  <c r="CH1186" i="13" s="1"/>
  <c r="CD1186" i="13"/>
  <c r="CG1186" i="13" s="1"/>
  <c r="BY1186" i="13"/>
  <c r="CF1178" i="13"/>
  <c r="CI1178" i="13" s="1"/>
  <c r="CE1178" i="13"/>
  <c r="CH1178" i="13" s="1"/>
  <c r="CD1178" i="13"/>
  <c r="CG1178" i="13" s="1"/>
  <c r="BY1178" i="13"/>
  <c r="CF1170" i="13"/>
  <c r="CI1170" i="13" s="1"/>
  <c r="CE1170" i="13"/>
  <c r="CH1170" i="13" s="1"/>
  <c r="BY1170" i="13"/>
  <c r="CD1170" i="13"/>
  <c r="CG1170" i="13" s="1"/>
  <c r="CF1162" i="13"/>
  <c r="CI1162" i="13" s="1"/>
  <c r="CE1162" i="13"/>
  <c r="CH1162" i="13" s="1"/>
  <c r="CD1162" i="13"/>
  <c r="CG1162" i="13" s="1"/>
  <c r="BY1162" i="13"/>
  <c r="CF1154" i="13"/>
  <c r="CI1154" i="13" s="1"/>
  <c r="CE1154" i="13"/>
  <c r="CH1154" i="13" s="1"/>
  <c r="BY1154" i="13"/>
  <c r="CD1154" i="13"/>
  <c r="CG1154" i="13" s="1"/>
  <c r="CF1146" i="13"/>
  <c r="CI1146" i="13" s="1"/>
  <c r="CE1146" i="13"/>
  <c r="CH1146" i="13" s="1"/>
  <c r="BY1146" i="13"/>
  <c r="CD1146" i="13"/>
  <c r="CG1146" i="13" s="1"/>
  <c r="CF1138" i="13"/>
  <c r="CI1138" i="13" s="1"/>
  <c r="CE1138" i="13"/>
  <c r="CH1138" i="13" s="1"/>
  <c r="BY1138" i="13"/>
  <c r="CD1138" i="13"/>
  <c r="CG1138" i="13" s="1"/>
  <c r="CF1130" i="13"/>
  <c r="CI1130" i="13" s="1"/>
  <c r="CE1130" i="13"/>
  <c r="CH1130" i="13" s="1"/>
  <c r="CD1130" i="13"/>
  <c r="CG1130" i="13" s="1"/>
  <c r="BY1130" i="13"/>
  <c r="CF1122" i="13"/>
  <c r="CI1122" i="13" s="1"/>
  <c r="CE1122" i="13"/>
  <c r="CH1122" i="13" s="1"/>
  <c r="BY1122" i="13"/>
  <c r="CD1122" i="13"/>
  <c r="CG1122" i="13" s="1"/>
  <c r="CF1114" i="13"/>
  <c r="CI1114" i="13" s="1"/>
  <c r="CE1114" i="13"/>
  <c r="CH1114" i="13" s="1"/>
  <c r="BY1114" i="13"/>
  <c r="CD1114" i="13"/>
  <c r="CG1114" i="13" s="1"/>
  <c r="CF1106" i="13"/>
  <c r="CI1106" i="13" s="1"/>
  <c r="CE1106" i="13"/>
  <c r="CH1106" i="13" s="1"/>
  <c r="CD1106" i="13"/>
  <c r="CG1106" i="13" s="1"/>
  <c r="BY1106" i="13"/>
  <c r="CF1097" i="13"/>
  <c r="CI1097" i="13" s="1"/>
  <c r="CE1097" i="13"/>
  <c r="CH1097" i="13" s="1"/>
  <c r="BY1097" i="13"/>
  <c r="CD1097" i="13"/>
  <c r="CG1097" i="13" s="1"/>
  <c r="CE1089" i="13"/>
  <c r="CH1089" i="13" s="1"/>
  <c r="CF1089" i="13"/>
  <c r="CI1089" i="13" s="1"/>
  <c r="BY1089" i="13"/>
  <c r="CD1089" i="13"/>
  <c r="CG1089" i="13" s="1"/>
  <c r="CE1081" i="13"/>
  <c r="CH1081" i="13" s="1"/>
  <c r="CF1081" i="13"/>
  <c r="CI1081" i="13" s="1"/>
  <c r="CD1081" i="13"/>
  <c r="CG1081" i="13" s="1"/>
  <c r="BY1081" i="13"/>
  <c r="CF1073" i="13"/>
  <c r="CI1073" i="13" s="1"/>
  <c r="CE1073" i="13"/>
  <c r="CH1073" i="13" s="1"/>
  <c r="BY1073" i="13"/>
  <c r="CD1073" i="13"/>
  <c r="CG1073" i="13" s="1"/>
  <c r="CE1065" i="13"/>
  <c r="CH1065" i="13" s="1"/>
  <c r="CF1065" i="13"/>
  <c r="CI1065" i="13" s="1"/>
  <c r="CD1065" i="13"/>
  <c r="CG1065" i="13" s="1"/>
  <c r="BY1065" i="13"/>
  <c r="CF1057" i="13"/>
  <c r="CI1057" i="13" s="1"/>
  <c r="CE1057" i="13"/>
  <c r="CH1057" i="13" s="1"/>
  <c r="BY1057" i="13"/>
  <c r="CD1057" i="13"/>
  <c r="CG1057" i="13" s="1"/>
  <c r="CF1279" i="13"/>
  <c r="CI1279" i="13" s="1"/>
  <c r="CE1279" i="13"/>
  <c r="CH1279" i="13" s="1"/>
  <c r="CD1279" i="13"/>
  <c r="CG1279" i="13" s="1"/>
  <c r="BY1279" i="13"/>
  <c r="CF1239" i="13"/>
  <c r="CI1239" i="13" s="1"/>
  <c r="CE1239" i="13"/>
  <c r="CH1239" i="13" s="1"/>
  <c r="CD1239" i="13"/>
  <c r="CG1239" i="13" s="1"/>
  <c r="BY1239" i="13"/>
  <c r="CF1215" i="13"/>
  <c r="CI1215" i="13" s="1"/>
  <c r="CE1215" i="13"/>
  <c r="CH1215" i="13" s="1"/>
  <c r="CD1215" i="13"/>
  <c r="CG1215" i="13" s="1"/>
  <c r="BY1215" i="13"/>
  <c r="CF1183" i="13"/>
  <c r="CI1183" i="13" s="1"/>
  <c r="CE1183" i="13"/>
  <c r="CH1183" i="13" s="1"/>
  <c r="CD1183" i="13"/>
  <c r="CG1183" i="13" s="1"/>
  <c r="BY1183" i="13"/>
  <c r="CF1159" i="13"/>
  <c r="CI1159" i="13" s="1"/>
  <c r="CE1159" i="13"/>
  <c r="CH1159" i="13" s="1"/>
  <c r="CD1159" i="13"/>
  <c r="CG1159" i="13" s="1"/>
  <c r="BY1159" i="13"/>
  <c r="CF1127" i="13"/>
  <c r="CI1127" i="13" s="1"/>
  <c r="CE1127" i="13"/>
  <c r="CH1127" i="13" s="1"/>
  <c r="CD1127" i="13"/>
  <c r="CG1127" i="13" s="1"/>
  <c r="BY1127" i="13"/>
  <c r="CF1111" i="13"/>
  <c r="CI1111" i="13" s="1"/>
  <c r="CE1111" i="13"/>
  <c r="CH1111" i="13" s="1"/>
  <c r="CD1111" i="13"/>
  <c r="CG1111" i="13" s="1"/>
  <c r="BY1111" i="13"/>
  <c r="CF1078" i="13"/>
  <c r="CI1078" i="13" s="1"/>
  <c r="CE1078" i="13"/>
  <c r="CH1078" i="13" s="1"/>
  <c r="CD1078" i="13"/>
  <c r="CG1078" i="13" s="1"/>
  <c r="BY1078" i="13"/>
  <c r="CE1305" i="13"/>
  <c r="CH1305" i="13" s="1"/>
  <c r="CF1305" i="13"/>
  <c r="CI1305" i="13" s="1"/>
  <c r="CD1305" i="13"/>
  <c r="CG1305" i="13" s="1"/>
  <c r="BY1305" i="13"/>
  <c r="CE1297" i="13"/>
  <c r="CH1297" i="13" s="1"/>
  <c r="CF1297" i="13"/>
  <c r="CI1297" i="13" s="1"/>
  <c r="BY1297" i="13"/>
  <c r="CD1297" i="13"/>
  <c r="CG1297" i="13" s="1"/>
  <c r="CE1289" i="13"/>
  <c r="CH1289" i="13" s="1"/>
  <c r="CF1289" i="13"/>
  <c r="CI1289" i="13" s="1"/>
  <c r="BY1289" i="13"/>
  <c r="CD1289" i="13"/>
  <c r="CG1289" i="13" s="1"/>
  <c r="CE1281" i="13"/>
  <c r="CH1281" i="13" s="1"/>
  <c r="CF1281" i="13"/>
  <c r="CI1281" i="13" s="1"/>
  <c r="CD1281" i="13"/>
  <c r="CG1281" i="13" s="1"/>
  <c r="BY1281" i="13"/>
  <c r="CE1273" i="13"/>
  <c r="CH1273" i="13" s="1"/>
  <c r="CF1273" i="13"/>
  <c r="CI1273" i="13" s="1"/>
  <c r="BY1273" i="13"/>
  <c r="CD1273" i="13"/>
  <c r="CG1273" i="13" s="1"/>
  <c r="CE1265" i="13"/>
  <c r="CH1265" i="13" s="1"/>
  <c r="CF1265" i="13"/>
  <c r="CI1265" i="13" s="1"/>
  <c r="BY1265" i="13"/>
  <c r="CD1265" i="13"/>
  <c r="CG1265" i="13" s="1"/>
  <c r="CE1257" i="13"/>
  <c r="CH1257" i="13" s="1"/>
  <c r="CF1257" i="13"/>
  <c r="CI1257" i="13" s="1"/>
  <c r="CD1257" i="13"/>
  <c r="CG1257" i="13" s="1"/>
  <c r="BY1257" i="13"/>
  <c r="CE1249" i="13"/>
  <c r="CH1249" i="13" s="1"/>
  <c r="CF1249" i="13"/>
  <c r="CI1249" i="13" s="1"/>
  <c r="BY1249" i="13"/>
  <c r="CD1249" i="13"/>
  <c r="CG1249" i="13" s="1"/>
  <c r="CE1241" i="13"/>
  <c r="CH1241" i="13" s="1"/>
  <c r="CF1241" i="13"/>
  <c r="CI1241" i="13" s="1"/>
  <c r="BY1241" i="13"/>
  <c r="CD1241" i="13"/>
  <c r="CG1241" i="13" s="1"/>
  <c r="CE1233" i="13"/>
  <c r="CH1233" i="13" s="1"/>
  <c r="CF1233" i="13"/>
  <c r="CI1233" i="13" s="1"/>
  <c r="BY1233" i="13"/>
  <c r="CD1233" i="13"/>
  <c r="CG1233" i="13" s="1"/>
  <c r="CE1225" i="13"/>
  <c r="CH1225" i="13" s="1"/>
  <c r="CF1225" i="13"/>
  <c r="CI1225" i="13" s="1"/>
  <c r="BY1225" i="13"/>
  <c r="CD1225" i="13"/>
  <c r="CG1225" i="13" s="1"/>
  <c r="CE1217" i="13"/>
  <c r="CH1217" i="13" s="1"/>
  <c r="CF1217" i="13"/>
  <c r="CI1217" i="13" s="1"/>
  <c r="CD1217" i="13"/>
  <c r="CG1217" i="13" s="1"/>
  <c r="BY1217" i="13"/>
  <c r="CE1209" i="13"/>
  <c r="CH1209" i="13" s="1"/>
  <c r="CF1209" i="13"/>
  <c r="CI1209" i="13" s="1"/>
  <c r="CD1209" i="13"/>
  <c r="CG1209" i="13" s="1"/>
  <c r="BY1209" i="13"/>
  <c r="CE1201" i="13"/>
  <c r="CH1201" i="13" s="1"/>
  <c r="CF1201" i="13"/>
  <c r="CI1201" i="13" s="1"/>
  <c r="CD1201" i="13"/>
  <c r="CG1201" i="13" s="1"/>
  <c r="BY1201" i="13"/>
  <c r="CE1193" i="13"/>
  <c r="CH1193" i="13" s="1"/>
  <c r="CF1193" i="13"/>
  <c r="CI1193" i="13" s="1"/>
  <c r="CD1193" i="13"/>
  <c r="CG1193" i="13" s="1"/>
  <c r="BY1193" i="13"/>
  <c r="CE1185" i="13"/>
  <c r="CH1185" i="13" s="1"/>
  <c r="CF1185" i="13"/>
  <c r="CI1185" i="13" s="1"/>
  <c r="CD1185" i="13"/>
  <c r="CG1185" i="13" s="1"/>
  <c r="BY1185" i="13"/>
  <c r="CE1177" i="13"/>
  <c r="CH1177" i="13" s="1"/>
  <c r="CF1177" i="13"/>
  <c r="CI1177" i="13" s="1"/>
  <c r="CD1177" i="13"/>
  <c r="CG1177" i="13" s="1"/>
  <c r="BY1177" i="13"/>
  <c r="CE1169" i="13"/>
  <c r="CH1169" i="13" s="1"/>
  <c r="CF1169" i="13"/>
  <c r="CI1169" i="13" s="1"/>
  <c r="CD1169" i="13"/>
  <c r="CG1169" i="13" s="1"/>
  <c r="BY1169" i="13"/>
  <c r="CE1161" i="13"/>
  <c r="CH1161" i="13" s="1"/>
  <c r="CF1161" i="13"/>
  <c r="CI1161" i="13" s="1"/>
  <c r="CD1161" i="13"/>
  <c r="CG1161" i="13" s="1"/>
  <c r="BY1161" i="13"/>
  <c r="CE1153" i="13"/>
  <c r="CH1153" i="13" s="1"/>
  <c r="CF1153" i="13"/>
  <c r="CI1153" i="13" s="1"/>
  <c r="CD1153" i="13"/>
  <c r="CG1153" i="13" s="1"/>
  <c r="BY1153" i="13"/>
  <c r="CE1145" i="13"/>
  <c r="CH1145" i="13" s="1"/>
  <c r="CF1145" i="13"/>
  <c r="CI1145" i="13" s="1"/>
  <c r="CD1145" i="13"/>
  <c r="CG1145" i="13" s="1"/>
  <c r="BY1145" i="13"/>
  <c r="CF1137" i="13"/>
  <c r="CI1137" i="13" s="1"/>
  <c r="CE1137" i="13"/>
  <c r="CH1137" i="13" s="1"/>
  <c r="CD1137" i="13"/>
  <c r="CG1137" i="13" s="1"/>
  <c r="BY1137" i="13"/>
  <c r="CF1129" i="13"/>
  <c r="CI1129" i="13" s="1"/>
  <c r="CE1129" i="13"/>
  <c r="CH1129" i="13" s="1"/>
  <c r="CD1129" i="13"/>
  <c r="CG1129" i="13" s="1"/>
  <c r="BY1129" i="13"/>
  <c r="CE1121" i="13"/>
  <c r="CH1121" i="13" s="1"/>
  <c r="CF1121" i="13"/>
  <c r="CI1121" i="13" s="1"/>
  <c r="CD1121" i="13"/>
  <c r="CG1121" i="13" s="1"/>
  <c r="BY1121" i="13"/>
  <c r="CE1113" i="13"/>
  <c r="CH1113" i="13" s="1"/>
  <c r="CF1113" i="13"/>
  <c r="CI1113" i="13" s="1"/>
  <c r="BY1113" i="13"/>
  <c r="CD1113" i="13"/>
  <c r="CG1113" i="13" s="1"/>
  <c r="CF1105" i="13"/>
  <c r="CI1105" i="13" s="1"/>
  <c r="CE1105" i="13"/>
  <c r="CH1105" i="13" s="1"/>
  <c r="BY1105" i="13"/>
  <c r="CD1105" i="13"/>
  <c r="CG1105" i="13" s="1"/>
  <c r="CF1096" i="13"/>
  <c r="CI1096" i="13" s="1"/>
  <c r="CE1096" i="13"/>
  <c r="CH1096" i="13" s="1"/>
  <c r="CD1096" i="13"/>
  <c r="CG1096" i="13" s="1"/>
  <c r="BY1096" i="13"/>
  <c r="CF1088" i="13"/>
  <c r="CI1088" i="13" s="1"/>
  <c r="CE1088" i="13"/>
  <c r="CH1088" i="13" s="1"/>
  <c r="CD1088" i="13"/>
  <c r="CG1088" i="13" s="1"/>
  <c r="BY1088" i="13"/>
  <c r="CF1080" i="13"/>
  <c r="CI1080" i="13" s="1"/>
  <c r="CE1080" i="13"/>
  <c r="CH1080" i="13" s="1"/>
  <c r="CD1080" i="13"/>
  <c r="CG1080" i="13" s="1"/>
  <c r="BY1080" i="13"/>
  <c r="CF1072" i="13"/>
  <c r="CI1072" i="13" s="1"/>
  <c r="CE1072" i="13"/>
  <c r="CH1072" i="13" s="1"/>
  <c r="CD1072" i="13"/>
  <c r="CG1072" i="13" s="1"/>
  <c r="BY1072" i="13"/>
  <c r="CF1064" i="13"/>
  <c r="CI1064" i="13" s="1"/>
  <c r="CD1064" i="13"/>
  <c r="CG1064" i="13" s="1"/>
  <c r="CE1064" i="13"/>
  <c r="CH1064" i="13" s="1"/>
  <c r="BY1064" i="13"/>
  <c r="CF1056" i="13"/>
  <c r="CI1056" i="13" s="1"/>
  <c r="CE1056" i="13"/>
  <c r="CH1056" i="13" s="1"/>
  <c r="CD1056" i="13"/>
  <c r="CG1056" i="13" s="1"/>
  <c r="BY1056" i="13"/>
  <c r="CO1304" i="13"/>
  <c r="CO1296" i="13"/>
  <c r="CO1288" i="13"/>
  <c r="CO1280" i="13"/>
  <c r="CO1272" i="13"/>
  <c r="CO1264" i="13"/>
  <c r="CO1256" i="13"/>
  <c r="CO1248" i="13"/>
  <c r="CO1240" i="13"/>
  <c r="CO1232" i="13"/>
  <c r="CO1224" i="13"/>
  <c r="CO1216" i="13"/>
  <c r="CO1208" i="13"/>
  <c r="CO1200" i="13"/>
  <c r="CO1192" i="13"/>
  <c r="CO1184" i="13"/>
  <c r="CO1176" i="13"/>
  <c r="CO1168" i="13"/>
  <c r="CO1160" i="13"/>
  <c r="CO1152" i="13"/>
  <c r="CO1144" i="13"/>
  <c r="CO1136" i="13"/>
  <c r="CO1128" i="13"/>
  <c r="CO1112" i="13"/>
  <c r="CO1104" i="13"/>
  <c r="CO1095" i="13"/>
  <c r="CO1087" i="13"/>
  <c r="CO1079" i="13"/>
  <c r="CO1071" i="13"/>
  <c r="CO1063" i="13"/>
  <c r="CO1303" i="13"/>
  <c r="CO1295" i="13"/>
  <c r="CO1287" i="13"/>
  <c r="CO1279" i="13"/>
  <c r="CO1271" i="13"/>
  <c r="CO1263" i="13"/>
  <c r="CO1255" i="13"/>
  <c r="CO1247" i="13"/>
  <c r="CO1239" i="13"/>
  <c r="CO1231" i="13"/>
  <c r="CO1223" i="13"/>
  <c r="CO1215" i="13"/>
  <c r="CO1207" i="13"/>
  <c r="CO1199" i="13"/>
  <c r="CO1191" i="13"/>
  <c r="CO1183" i="13"/>
  <c r="CO1167" i="13"/>
  <c r="CO1159" i="13"/>
  <c r="CO1151" i="13"/>
  <c r="CO1143" i="13"/>
  <c r="CO1135" i="13"/>
  <c r="CO1127" i="13"/>
  <c r="CO1119" i="13"/>
  <c r="CO1111" i="13"/>
  <c r="CO1103" i="13"/>
  <c r="CO1086" i="13"/>
  <c r="CO1078" i="13"/>
  <c r="CO1070" i="13"/>
  <c r="CO1062" i="13"/>
  <c r="CO1302" i="13"/>
  <c r="CO1294" i="13"/>
  <c r="CO1286" i="13"/>
  <c r="CO1278" i="13"/>
  <c r="CO1270" i="13"/>
  <c r="CO1262" i="13"/>
  <c r="CO1254" i="13"/>
  <c r="CO1246" i="13"/>
  <c r="CO1238" i="13"/>
  <c r="CO1230" i="13"/>
  <c r="CO1214" i="13"/>
  <c r="CO1206" i="13"/>
  <c r="CO1198" i="13"/>
  <c r="CO1190" i="13"/>
  <c r="CO1182" i="13"/>
  <c r="CO1174" i="13"/>
  <c r="CO1166" i="13"/>
  <c r="CO1158" i="13"/>
  <c r="CO1150" i="13"/>
  <c r="CO1142" i="13"/>
  <c r="CO1134" i="13"/>
  <c r="CO1126" i="13"/>
  <c r="CO1118" i="13"/>
  <c r="CO1110" i="13"/>
  <c r="CO1102" i="13"/>
  <c r="CO1093" i="13"/>
  <c r="CO1085" i="13"/>
  <c r="CO1077" i="13"/>
  <c r="CO1069" i="13"/>
  <c r="CO1061" i="13"/>
  <c r="CO1301" i="13"/>
  <c r="CO1293" i="13"/>
  <c r="CO1285" i="13"/>
  <c r="CO1277" i="13"/>
  <c r="CO1269" i="13"/>
  <c r="CO1261" i="13"/>
  <c r="CO1253" i="13"/>
  <c r="CO1245" i="13"/>
  <c r="CO1237" i="13"/>
  <c r="CO1229" i="13"/>
  <c r="CO1213" i="13"/>
  <c r="CO1205" i="13"/>
  <c r="CO1197" i="13"/>
  <c r="CO1189" i="13"/>
  <c r="CO1181" i="13"/>
  <c r="CO1173" i="13"/>
  <c r="CO1165" i="13"/>
  <c r="CO1157" i="13"/>
  <c r="CO1149" i="13"/>
  <c r="CO1141" i="13"/>
  <c r="CO1133" i="13"/>
  <c r="CO1125" i="13"/>
  <c r="CO1117" i="13"/>
  <c r="CO1109" i="13"/>
  <c r="CO1101" i="13"/>
  <c r="CO1092" i="13"/>
  <c r="CO1084" i="13"/>
  <c r="CO1076" i="13"/>
  <c r="CO1068" i="13"/>
  <c r="CO1060" i="13"/>
  <c r="CO1300" i="13"/>
  <c r="CO1292" i="13"/>
  <c r="CO1284" i="13"/>
  <c r="CO1276" i="13"/>
  <c r="CO1268" i="13"/>
  <c r="CO1252" i="13"/>
  <c r="CO1244" i="13"/>
  <c r="CO1236" i="13"/>
  <c r="CO1228" i="13"/>
  <c r="CO1220" i="13"/>
  <c r="CO1212" i="13"/>
  <c r="CO1204" i="13"/>
  <c r="CO1196" i="13"/>
  <c r="CO1188" i="13"/>
  <c r="CO1180" i="13"/>
  <c r="CO1172" i="13"/>
  <c r="CO1164" i="13"/>
  <c r="CO1156" i="13"/>
  <c r="CO1148" i="13"/>
  <c r="CO1132" i="13"/>
  <c r="CO1124" i="13"/>
  <c r="CO1116" i="13"/>
  <c r="CO1108" i="13"/>
  <c r="CO1100" i="13"/>
  <c r="CO1091" i="13"/>
  <c r="CO1083" i="13"/>
  <c r="CO1075" i="13"/>
  <c r="CO1067" i="13"/>
  <c r="CO1059" i="13"/>
  <c r="CO1299" i="13"/>
  <c r="CO1291" i="13"/>
  <c r="CO1283" i="13"/>
  <c r="CO1275" i="13"/>
  <c r="CO1267" i="13"/>
  <c r="CO1259" i="13"/>
  <c r="CO1251" i="13"/>
  <c r="CO1243" i="13"/>
  <c r="CO1235" i="13"/>
  <c r="CO1227" i="13"/>
  <c r="CO1219" i="13"/>
  <c r="CO1211" i="13"/>
  <c r="CO1203" i="13"/>
  <c r="CO1195" i="13"/>
  <c r="CO1187" i="13"/>
  <c r="CO1179" i="13"/>
  <c r="CO1171" i="13"/>
  <c r="CO1163" i="13"/>
  <c r="CO1155" i="13"/>
  <c r="CO1147" i="13"/>
  <c r="CO1139" i="13"/>
  <c r="CO1131" i="13"/>
  <c r="CO1123" i="13"/>
  <c r="CO1115" i="13"/>
  <c r="CO1107" i="13"/>
  <c r="CO1099" i="13"/>
  <c r="CO1090" i="13"/>
  <c r="CO1082" i="13"/>
  <c r="CO1074" i="13"/>
  <c r="CO1066" i="13"/>
  <c r="CO1058" i="13"/>
  <c r="CO1298" i="13"/>
  <c r="CO1290" i="13"/>
  <c r="CO1282" i="13"/>
  <c r="CO1274" i="13"/>
  <c r="CO1266" i="13"/>
  <c r="CO1258" i="13"/>
  <c r="CO1250" i="13"/>
  <c r="CO1242" i="13"/>
  <c r="CO1234" i="13"/>
  <c r="CO1226" i="13"/>
  <c r="CO1218" i="13"/>
  <c r="CO1210" i="13"/>
  <c r="CO1202" i="13"/>
  <c r="CO1194" i="13"/>
  <c r="CO1186" i="13"/>
  <c r="CO1178" i="13"/>
  <c r="CO1170" i="13"/>
  <c r="CO1162" i="13"/>
  <c r="CO1154" i="13"/>
  <c r="CO1146" i="13"/>
  <c r="CO1138" i="13"/>
  <c r="CO1130" i="13"/>
  <c r="CO1122" i="13"/>
  <c r="CO1114" i="13"/>
  <c r="CO1106" i="13"/>
  <c r="CO1097" i="13"/>
  <c r="CO1089" i="13"/>
  <c r="CO1081" i="13"/>
  <c r="CO1073" i="13"/>
  <c r="CO1057" i="13"/>
  <c r="CO1305" i="13"/>
  <c r="CO1297" i="13"/>
  <c r="CO1289" i="13"/>
  <c r="CO1281" i="13"/>
  <c r="CO1273" i="13"/>
  <c r="CO1265" i="13"/>
  <c r="CO1257" i="13"/>
  <c r="CO1249" i="13"/>
  <c r="CO1241" i="13"/>
  <c r="CO1233" i="13"/>
  <c r="CO1225" i="13"/>
  <c r="CO1217" i="13"/>
  <c r="CO1209" i="13"/>
  <c r="CO1201" i="13"/>
  <c r="CO1193" i="13"/>
  <c r="CO1185" i="13"/>
  <c r="CO1177" i="13"/>
  <c r="CO1169" i="13"/>
  <c r="CO1161" i="13"/>
  <c r="CO1153" i="13"/>
  <c r="CO1145" i="13"/>
  <c r="CO1137" i="13"/>
  <c r="CO1129" i="13"/>
  <c r="CO1121" i="13"/>
  <c r="CO1113" i="13"/>
  <c r="CO1105" i="13"/>
  <c r="CO1096" i="13"/>
  <c r="CO1088" i="13"/>
  <c r="CO1080" i="13"/>
  <c r="CO1072" i="13"/>
  <c r="CO1064" i="13"/>
  <c r="G55" i="7"/>
  <c r="G54" i="7"/>
  <c r="G14" i="7"/>
  <c r="BJ1055" i="13"/>
  <c r="BJ1054" i="13"/>
  <c r="BJ1053" i="13"/>
  <c r="BJ1052" i="13"/>
  <c r="BJ1051" i="13"/>
  <c r="BJ1050" i="13"/>
  <c r="BJ1049" i="13"/>
  <c r="BJ1048" i="13"/>
  <c r="BJ1047" i="13"/>
  <c r="BJ1046" i="13"/>
  <c r="BJ1045" i="13"/>
  <c r="BJ1044" i="13"/>
  <c r="BJ1043" i="13"/>
  <c r="BJ1042" i="13"/>
  <c r="BJ1041" i="13"/>
  <c r="BJ1040" i="13"/>
  <c r="BJ1039" i="13"/>
  <c r="BJ1038" i="13"/>
  <c r="BJ1037" i="13"/>
  <c r="BJ1036" i="13"/>
  <c r="BJ1035" i="13"/>
  <c r="BJ1034" i="13"/>
  <c r="BJ1033" i="13"/>
  <c r="BJ1032" i="13"/>
  <c r="BJ1031" i="13"/>
  <c r="BJ1030" i="13"/>
  <c r="BJ1029" i="13"/>
  <c r="BJ1028" i="13"/>
  <c r="BJ1027" i="13"/>
  <c r="BJ1026" i="13"/>
  <c r="BJ1025" i="13"/>
  <c r="BJ1024" i="13"/>
  <c r="BJ1023" i="13"/>
  <c r="BJ1022" i="13"/>
  <c r="BJ1021" i="13"/>
  <c r="BJ1020" i="13"/>
  <c r="BJ1019" i="13"/>
  <c r="BJ1018" i="13"/>
  <c r="BJ1017" i="13"/>
  <c r="BJ1016" i="13"/>
  <c r="BJ1015" i="13"/>
  <c r="BJ1014" i="13"/>
  <c r="BJ1013" i="13"/>
  <c r="BJ1012" i="13"/>
  <c r="BJ1011" i="13"/>
  <c r="BJ1010" i="13"/>
  <c r="BJ1009" i="13"/>
  <c r="BJ1008" i="13"/>
  <c r="BJ1007" i="13"/>
  <c r="BJ1006" i="13"/>
  <c r="BJ1005" i="13"/>
  <c r="BJ1004" i="13"/>
  <c r="BJ1003" i="13"/>
  <c r="BJ1002" i="13"/>
  <c r="BJ1001" i="13"/>
  <c r="BJ1000" i="13"/>
  <c r="BJ999" i="13"/>
  <c r="BJ998" i="13"/>
  <c r="BJ997" i="13"/>
  <c r="BJ996" i="13"/>
  <c r="BJ995" i="13"/>
  <c r="BJ994" i="13"/>
  <c r="BJ993" i="13"/>
  <c r="BJ992" i="13"/>
  <c r="BJ991" i="13"/>
  <c r="BJ990" i="13"/>
  <c r="BJ989" i="13"/>
  <c r="BJ988" i="13"/>
  <c r="BJ987" i="13"/>
  <c r="BJ986" i="13"/>
  <c r="BJ985" i="13"/>
  <c r="BJ984" i="13"/>
  <c r="BJ983" i="13"/>
  <c r="BJ982" i="13"/>
  <c r="BJ981" i="13"/>
  <c r="BJ980" i="13"/>
  <c r="BJ979" i="13"/>
  <c r="BJ978" i="13"/>
  <c r="BJ977" i="13"/>
  <c r="BJ976" i="13"/>
  <c r="BJ975" i="13"/>
  <c r="BJ974" i="13"/>
  <c r="BJ973" i="13"/>
  <c r="BJ972" i="13"/>
  <c r="BJ971" i="13"/>
  <c r="BJ970" i="13"/>
  <c r="BJ969" i="13"/>
  <c r="BJ968" i="13"/>
  <c r="BJ967" i="13"/>
  <c r="BJ966" i="13"/>
  <c r="BJ965" i="13"/>
  <c r="BJ964" i="13"/>
  <c r="BJ963" i="13"/>
  <c r="BJ962" i="13"/>
  <c r="BJ961" i="13"/>
  <c r="BJ960" i="13"/>
  <c r="BJ959" i="13"/>
  <c r="BJ958" i="13"/>
  <c r="BJ957" i="13"/>
  <c r="BJ956" i="13"/>
  <c r="BJ955" i="13"/>
  <c r="BJ954" i="13"/>
  <c r="BJ953" i="13"/>
  <c r="BJ952" i="13"/>
  <c r="BJ951" i="13"/>
  <c r="BJ950" i="13"/>
  <c r="BJ949" i="13"/>
  <c r="BJ948" i="13"/>
  <c r="BJ947" i="13"/>
  <c r="BJ946" i="13"/>
  <c r="BJ945" i="13"/>
  <c r="BJ944" i="13"/>
  <c r="BJ943" i="13"/>
  <c r="BJ942" i="13"/>
  <c r="BJ941" i="13"/>
  <c r="BJ940" i="13"/>
  <c r="BJ939" i="13"/>
  <c r="BJ938" i="13"/>
  <c r="BJ937" i="13"/>
  <c r="BJ936" i="13"/>
  <c r="BJ935" i="13"/>
  <c r="BJ934" i="13"/>
  <c r="BJ933" i="13"/>
  <c r="BJ932" i="13"/>
  <c r="BJ931" i="13"/>
  <c r="BJ930" i="13"/>
  <c r="BJ929" i="13"/>
  <c r="BJ928" i="13"/>
  <c r="BJ927" i="13"/>
  <c r="BJ926" i="13"/>
  <c r="BJ925" i="13"/>
  <c r="BJ924" i="13"/>
  <c r="BJ923" i="13"/>
  <c r="BJ922" i="13"/>
  <c r="BJ921" i="13"/>
  <c r="BJ920" i="13"/>
  <c r="BJ919" i="13"/>
  <c r="BJ918" i="13"/>
  <c r="BJ917" i="13"/>
  <c r="BJ916" i="13"/>
  <c r="BJ915" i="13"/>
  <c r="BJ914" i="13"/>
  <c r="BJ913" i="13"/>
  <c r="BJ912" i="13"/>
  <c r="BJ911" i="13"/>
  <c r="BJ910" i="13"/>
  <c r="BJ909" i="13"/>
  <c r="BJ908" i="13"/>
  <c r="BJ907" i="13"/>
  <c r="BJ906" i="13"/>
  <c r="BJ905" i="13"/>
  <c r="BJ904" i="13"/>
  <c r="BJ903" i="13"/>
  <c r="BJ902" i="13"/>
  <c r="BJ901" i="13"/>
  <c r="BJ900" i="13"/>
  <c r="BJ899" i="13"/>
  <c r="BJ898" i="13"/>
  <c r="BJ897" i="13"/>
  <c r="BJ896" i="13"/>
  <c r="BJ895" i="13"/>
  <c r="BJ894" i="13"/>
  <c r="BJ893" i="13"/>
  <c r="BJ892" i="13"/>
  <c r="BJ891" i="13"/>
  <c r="BJ890" i="13"/>
  <c r="BJ889" i="13"/>
  <c r="BJ888" i="13"/>
  <c r="BJ887" i="13"/>
  <c r="BJ886" i="13"/>
  <c r="BJ885" i="13"/>
  <c r="BJ884" i="13"/>
  <c r="BJ883" i="13"/>
  <c r="BJ882" i="13"/>
  <c r="BJ881" i="13"/>
  <c r="BJ880" i="13"/>
  <c r="BJ879" i="13"/>
  <c r="BJ878" i="13"/>
  <c r="BJ877" i="13"/>
  <c r="BJ876" i="13"/>
  <c r="BJ875" i="13"/>
  <c r="BJ874" i="13"/>
  <c r="BJ873" i="13"/>
  <c r="BJ872" i="13"/>
  <c r="BJ871" i="13"/>
  <c r="BJ870" i="13"/>
  <c r="BJ869" i="13"/>
  <c r="BJ868" i="13"/>
  <c r="BJ867" i="13"/>
  <c r="BJ866" i="13"/>
  <c r="BJ865" i="13"/>
  <c r="BJ864" i="13"/>
  <c r="BJ863" i="13"/>
  <c r="BJ862" i="13"/>
  <c r="BJ861" i="13"/>
  <c r="BJ860" i="13"/>
  <c r="BJ859" i="13"/>
  <c r="BJ858" i="13"/>
  <c r="BJ857" i="13"/>
  <c r="BJ856" i="13"/>
  <c r="BJ855" i="13"/>
  <c r="BJ854" i="13"/>
  <c r="BJ853" i="13"/>
  <c r="BJ852" i="13"/>
  <c r="BJ851" i="13"/>
  <c r="BJ850" i="13"/>
  <c r="BJ849" i="13"/>
  <c r="BJ848" i="13"/>
  <c r="BJ847" i="13"/>
  <c r="BJ846" i="13"/>
  <c r="BJ845" i="13"/>
  <c r="BJ844" i="13"/>
  <c r="BJ843" i="13"/>
  <c r="BJ842" i="13"/>
  <c r="BJ841" i="13"/>
  <c r="BJ840" i="13"/>
  <c r="BJ839" i="13"/>
  <c r="BJ838" i="13"/>
  <c r="BJ837" i="13"/>
  <c r="BJ836" i="13"/>
  <c r="BJ835" i="13"/>
  <c r="BJ834" i="13"/>
  <c r="BJ833" i="13"/>
  <c r="BJ832" i="13"/>
  <c r="BJ831" i="13"/>
  <c r="BJ830" i="13"/>
  <c r="BJ829" i="13"/>
  <c r="BJ828" i="13"/>
  <c r="BJ827" i="13"/>
  <c r="BJ826" i="13"/>
  <c r="BJ825" i="13"/>
  <c r="BJ824" i="13"/>
  <c r="BJ823" i="13"/>
  <c r="BJ822" i="13"/>
  <c r="BJ821" i="13"/>
  <c r="BJ820" i="13"/>
  <c r="BJ819" i="13"/>
  <c r="BJ818" i="13"/>
  <c r="BJ817" i="13"/>
  <c r="BJ816" i="13"/>
  <c r="BJ815" i="13"/>
  <c r="BJ814" i="13"/>
  <c r="BJ813" i="13"/>
  <c r="BJ812" i="13"/>
  <c r="BJ811" i="13"/>
  <c r="BJ810" i="13"/>
  <c r="BJ809" i="13"/>
  <c r="BJ808" i="13"/>
  <c r="BJ807" i="13"/>
  <c r="BJ806" i="13"/>
  <c r="BJ805" i="13"/>
  <c r="BJ804" i="13"/>
  <c r="BJ803" i="13"/>
  <c r="BJ802" i="13"/>
  <c r="BJ801" i="13"/>
  <c r="BJ800" i="13"/>
  <c r="BJ799" i="13"/>
  <c r="BJ798" i="13"/>
  <c r="BJ797" i="13"/>
  <c r="BJ796" i="13"/>
  <c r="BJ795" i="13"/>
  <c r="BJ794" i="13"/>
  <c r="BJ793" i="13"/>
  <c r="BJ792" i="13"/>
  <c r="BJ791" i="13"/>
  <c r="BJ790" i="13"/>
  <c r="BJ789" i="13"/>
  <c r="BJ788" i="13"/>
  <c r="BJ787" i="13"/>
  <c r="BJ786" i="13"/>
  <c r="BJ785" i="13"/>
  <c r="BJ784" i="13"/>
  <c r="BJ783" i="13"/>
  <c r="BJ782" i="13"/>
  <c r="BJ781" i="13"/>
  <c r="BJ780" i="13"/>
  <c r="BJ779" i="13"/>
  <c r="BJ778" i="13"/>
  <c r="BJ777" i="13"/>
  <c r="BJ776" i="13"/>
  <c r="BJ775" i="13"/>
  <c r="BJ774" i="13"/>
  <c r="BJ773" i="13"/>
  <c r="BJ772" i="13"/>
  <c r="BJ771" i="13"/>
  <c r="BJ770" i="13"/>
  <c r="BJ769" i="13"/>
  <c r="BJ768" i="13"/>
  <c r="BJ767" i="13"/>
  <c r="BJ766" i="13"/>
  <c r="BJ765" i="13"/>
  <c r="BJ764" i="13"/>
  <c r="BJ763" i="13"/>
  <c r="BJ762" i="13"/>
  <c r="BJ761" i="13"/>
  <c r="BJ760" i="13"/>
  <c r="BJ759" i="13"/>
  <c r="BJ758" i="13"/>
  <c r="BJ757" i="13"/>
  <c r="BJ756" i="13"/>
  <c r="BJ755" i="13"/>
  <c r="BJ754" i="13"/>
  <c r="BJ753" i="13"/>
  <c r="BJ752" i="13"/>
  <c r="BJ751" i="13"/>
  <c r="BJ750" i="13"/>
  <c r="BJ749" i="13"/>
  <c r="BJ748" i="13"/>
  <c r="BJ747" i="13"/>
  <c r="BJ746" i="13"/>
  <c r="BJ745" i="13"/>
  <c r="BJ744" i="13"/>
  <c r="BJ743" i="13"/>
  <c r="BJ742" i="13"/>
  <c r="BJ741" i="13"/>
  <c r="BJ740" i="13"/>
  <c r="BJ739" i="13"/>
  <c r="BJ738" i="13"/>
  <c r="BJ737" i="13"/>
  <c r="BJ736" i="13"/>
  <c r="BJ735" i="13"/>
  <c r="BJ734" i="13"/>
  <c r="BJ733" i="13"/>
  <c r="BJ732" i="13"/>
  <c r="BJ731" i="13"/>
  <c r="BJ730" i="13"/>
  <c r="BJ729" i="13"/>
  <c r="BJ728" i="13"/>
  <c r="BJ727" i="13"/>
  <c r="BJ726" i="13"/>
  <c r="BJ725" i="13"/>
  <c r="BJ724" i="13"/>
  <c r="BJ723" i="13"/>
  <c r="BJ722" i="13"/>
  <c r="BJ721" i="13"/>
  <c r="BJ720" i="13"/>
  <c r="BJ719" i="13"/>
  <c r="BJ718" i="13"/>
  <c r="BJ717" i="13"/>
  <c r="BJ716" i="13"/>
  <c r="BJ715" i="13"/>
  <c r="BJ714" i="13"/>
  <c r="BJ713" i="13"/>
  <c r="BJ712" i="13"/>
  <c r="BJ711" i="13"/>
  <c r="BJ710" i="13"/>
  <c r="BJ709" i="13"/>
  <c r="BJ708" i="13"/>
  <c r="BJ707" i="13"/>
  <c r="BJ706" i="13"/>
  <c r="BJ705" i="13"/>
  <c r="BJ704" i="13"/>
  <c r="BJ703" i="13"/>
  <c r="BJ702" i="13"/>
  <c r="BJ701" i="13"/>
  <c r="BJ700" i="13"/>
  <c r="BJ699" i="13"/>
  <c r="BJ698" i="13"/>
  <c r="BJ697" i="13"/>
  <c r="BJ696" i="13"/>
  <c r="BJ695" i="13"/>
  <c r="BJ694" i="13"/>
  <c r="BJ693" i="13"/>
  <c r="BJ692" i="13"/>
  <c r="BJ691" i="13"/>
  <c r="BJ690" i="13"/>
  <c r="BJ689" i="13"/>
  <c r="BJ688" i="13"/>
  <c r="BJ687" i="13"/>
  <c r="BJ686" i="13"/>
  <c r="BJ685" i="13"/>
  <c r="BJ684" i="13"/>
  <c r="BJ683" i="13"/>
  <c r="BJ682" i="13"/>
  <c r="BJ681" i="13"/>
  <c r="BJ680" i="13"/>
  <c r="BJ679" i="13"/>
  <c r="BJ678" i="13"/>
  <c r="BJ677" i="13"/>
  <c r="BJ676" i="13"/>
  <c r="BJ675" i="13"/>
  <c r="BJ674" i="13"/>
  <c r="BJ673" i="13"/>
  <c r="BJ672" i="13"/>
  <c r="BJ671" i="13"/>
  <c r="BJ670" i="13"/>
  <c r="BJ669" i="13"/>
  <c r="BJ668" i="13"/>
  <c r="BJ667" i="13"/>
  <c r="BJ666" i="13"/>
  <c r="BJ665" i="13"/>
  <c r="BJ664" i="13"/>
  <c r="BJ663" i="13"/>
  <c r="BJ662" i="13"/>
  <c r="BJ661" i="13"/>
  <c r="BJ660" i="13"/>
  <c r="BJ659" i="13"/>
  <c r="BJ658" i="13"/>
  <c r="BJ657" i="13"/>
  <c r="BJ656" i="13"/>
  <c r="BJ655" i="13"/>
  <c r="BJ654" i="13"/>
  <c r="BJ653" i="13"/>
  <c r="BJ652" i="13"/>
  <c r="BJ651" i="13"/>
  <c r="BJ650" i="13"/>
  <c r="BJ649" i="13"/>
  <c r="BJ648" i="13"/>
  <c r="BJ647" i="13"/>
  <c r="BJ646" i="13"/>
  <c r="BJ645" i="13"/>
  <c r="BJ644" i="13"/>
  <c r="BJ643" i="13"/>
  <c r="BJ642" i="13"/>
  <c r="BJ641" i="13"/>
  <c r="BJ640" i="13"/>
  <c r="BJ639" i="13"/>
  <c r="BJ638" i="13"/>
  <c r="BJ637" i="13"/>
  <c r="BJ636" i="13"/>
  <c r="BJ635" i="13"/>
  <c r="BJ634" i="13"/>
  <c r="BJ633" i="13"/>
  <c r="BJ632" i="13"/>
  <c r="BJ631" i="13"/>
  <c r="BJ630" i="13"/>
  <c r="BJ629" i="13"/>
  <c r="BJ628" i="13"/>
  <c r="BJ627" i="13"/>
  <c r="BJ626" i="13"/>
  <c r="BJ625" i="13"/>
  <c r="BJ624" i="13"/>
  <c r="BJ623" i="13"/>
  <c r="BJ622" i="13"/>
  <c r="BJ621" i="13"/>
  <c r="BJ620" i="13"/>
  <c r="BJ619" i="13"/>
  <c r="BJ618" i="13"/>
  <c r="BJ617" i="13"/>
  <c r="BJ616" i="13"/>
  <c r="BJ615" i="13"/>
  <c r="BJ614" i="13"/>
  <c r="BJ613" i="13"/>
  <c r="BJ612" i="13"/>
  <c r="BJ611" i="13"/>
  <c r="BJ610" i="13"/>
  <c r="BJ609" i="13"/>
  <c r="BJ608" i="13"/>
  <c r="BJ607" i="13"/>
  <c r="BJ606" i="13"/>
  <c r="BJ605" i="13"/>
  <c r="BJ604" i="13"/>
  <c r="BJ603" i="13"/>
  <c r="BJ602" i="13"/>
  <c r="BJ601" i="13"/>
  <c r="BJ600" i="13"/>
  <c r="BJ599" i="13"/>
  <c r="BJ598" i="13"/>
  <c r="BJ597" i="13"/>
  <c r="BJ596" i="13"/>
  <c r="BJ595" i="13"/>
  <c r="BJ594" i="13"/>
  <c r="BJ593" i="13"/>
  <c r="BJ592" i="13"/>
  <c r="BJ591" i="13"/>
  <c r="BJ590" i="13"/>
  <c r="BJ589" i="13"/>
  <c r="BJ588" i="13"/>
  <c r="BJ587" i="13"/>
  <c r="BJ586" i="13"/>
  <c r="BJ585" i="13"/>
  <c r="BJ584" i="13"/>
  <c r="BJ583" i="13"/>
  <c r="BJ582" i="13"/>
  <c r="BJ581" i="13"/>
  <c r="BJ580" i="13"/>
  <c r="BJ579" i="13"/>
  <c r="BJ578" i="13"/>
  <c r="BJ577" i="13"/>
  <c r="BJ576" i="13"/>
  <c r="BJ575" i="13"/>
  <c r="BJ574" i="13"/>
  <c r="BJ573" i="13"/>
  <c r="BJ572" i="13"/>
  <c r="BJ571" i="13"/>
  <c r="BJ570" i="13"/>
  <c r="BJ569" i="13"/>
  <c r="BJ568" i="13"/>
  <c r="BJ567" i="13"/>
  <c r="BJ566" i="13"/>
  <c r="BJ565" i="13"/>
  <c r="BJ564" i="13"/>
  <c r="BJ563" i="13"/>
  <c r="BJ562" i="13"/>
  <c r="BJ561" i="13"/>
  <c r="BJ560" i="13"/>
  <c r="BJ559" i="13"/>
  <c r="BJ558" i="13"/>
  <c r="BJ557" i="13"/>
  <c r="BJ556" i="13"/>
  <c r="BJ555" i="13"/>
  <c r="BJ554" i="13"/>
  <c r="BJ553" i="13"/>
  <c r="BJ552" i="13"/>
  <c r="BJ551" i="13"/>
  <c r="BJ550" i="13"/>
  <c r="BJ549" i="13"/>
  <c r="BJ548" i="13"/>
  <c r="BJ547" i="13"/>
  <c r="BJ546" i="13"/>
  <c r="BJ545" i="13"/>
  <c r="BJ544" i="13"/>
  <c r="BJ543" i="13"/>
  <c r="BJ542" i="13"/>
  <c r="BJ541" i="13"/>
  <c r="BJ540" i="13"/>
  <c r="BJ539" i="13"/>
  <c r="BJ538" i="13"/>
  <c r="BJ537" i="13"/>
  <c r="BJ536" i="13"/>
  <c r="BJ535" i="13"/>
  <c r="BJ534" i="13"/>
  <c r="BJ533" i="13"/>
  <c r="BJ532" i="13"/>
  <c r="BJ531" i="13"/>
  <c r="BJ530" i="13"/>
  <c r="BJ529" i="13"/>
  <c r="BJ528" i="13"/>
  <c r="BJ527" i="13"/>
  <c r="BJ526" i="13"/>
  <c r="BJ525" i="13"/>
  <c r="BJ524" i="13"/>
  <c r="BJ523" i="13"/>
  <c r="BJ522" i="13"/>
  <c r="BJ521" i="13"/>
  <c r="BJ520" i="13"/>
  <c r="BJ519" i="13"/>
  <c r="BJ518" i="13"/>
  <c r="BJ517" i="13"/>
  <c r="BJ516" i="13"/>
  <c r="BJ515" i="13"/>
  <c r="BJ514" i="13"/>
  <c r="BJ513" i="13"/>
  <c r="BJ512" i="13"/>
  <c r="BJ511" i="13"/>
  <c r="BJ510" i="13"/>
  <c r="BJ509" i="13"/>
  <c r="BJ508" i="13"/>
  <c r="BJ507" i="13"/>
  <c r="BJ506" i="13"/>
  <c r="BJ505" i="13"/>
  <c r="BJ504" i="13"/>
  <c r="BJ503" i="13"/>
  <c r="BJ502" i="13"/>
  <c r="BJ501" i="13"/>
  <c r="BJ500" i="13"/>
  <c r="BJ499" i="13"/>
  <c r="BJ498" i="13"/>
  <c r="BJ497" i="13"/>
  <c r="BJ496" i="13"/>
  <c r="BJ495" i="13"/>
  <c r="BJ494" i="13"/>
  <c r="BJ493" i="13"/>
  <c r="BJ492" i="13"/>
  <c r="BJ491" i="13"/>
  <c r="BJ490" i="13"/>
  <c r="BJ489" i="13"/>
  <c r="BJ488" i="13"/>
  <c r="BJ487" i="13"/>
  <c r="BJ486" i="13"/>
  <c r="BJ485" i="13"/>
  <c r="BJ484" i="13"/>
  <c r="BJ483" i="13"/>
  <c r="BJ482" i="13"/>
  <c r="BJ481" i="13"/>
  <c r="BJ480" i="13"/>
  <c r="BJ479" i="13"/>
  <c r="BJ478" i="13"/>
  <c r="BJ477" i="13"/>
  <c r="BJ476" i="13"/>
  <c r="BJ475" i="13"/>
  <c r="BJ474" i="13"/>
  <c r="BJ473" i="13"/>
  <c r="BY473" i="13" s="1"/>
  <c r="BJ472" i="13"/>
  <c r="BY472" i="13" s="1"/>
  <c r="BJ471" i="13"/>
  <c r="BY471" i="13" s="1"/>
  <c r="BJ470" i="13"/>
  <c r="BY470" i="13" s="1"/>
  <c r="BJ469" i="13"/>
  <c r="BJ468" i="13"/>
  <c r="BJ467" i="13"/>
  <c r="BJ466" i="13"/>
  <c r="BJ465" i="13"/>
  <c r="BJ464" i="13"/>
  <c r="BJ463" i="13"/>
  <c r="BJ462" i="13"/>
  <c r="BJ461" i="13"/>
  <c r="BJ460" i="13"/>
  <c r="BJ459" i="13"/>
  <c r="BJ458" i="13"/>
  <c r="BJ457" i="13"/>
  <c r="BJ456" i="13"/>
  <c r="BJ455" i="13"/>
  <c r="BY455" i="13" s="1"/>
  <c r="BJ454" i="13"/>
  <c r="BY454" i="13" s="1"/>
  <c r="BJ453" i="13"/>
  <c r="BJ452" i="13"/>
  <c r="BY452" i="13" s="1"/>
  <c r="BJ451" i="13"/>
  <c r="BJ450" i="13"/>
  <c r="BJ449" i="13"/>
  <c r="BJ448" i="13"/>
  <c r="BJ447" i="13"/>
  <c r="BJ446" i="13"/>
  <c r="BJ445" i="13"/>
  <c r="BJ444" i="13"/>
  <c r="BJ443" i="13"/>
  <c r="BJ442" i="13"/>
  <c r="BJ441" i="13"/>
  <c r="BJ440" i="13"/>
  <c r="BJ439" i="13"/>
  <c r="BJ438" i="13"/>
  <c r="BJ437" i="13"/>
  <c r="BJ436" i="13"/>
  <c r="BJ435" i="13"/>
  <c r="BJ434" i="13"/>
  <c r="BJ433" i="13"/>
  <c r="BJ432" i="13"/>
  <c r="BJ431" i="13"/>
  <c r="BJ430" i="13"/>
  <c r="BJ429" i="13"/>
  <c r="BJ428" i="13"/>
  <c r="BJ427" i="13"/>
  <c r="BJ426" i="13"/>
  <c r="BJ425" i="13"/>
  <c r="BJ424" i="13"/>
  <c r="BJ423" i="13"/>
  <c r="BJ422" i="13"/>
  <c r="BJ421" i="13"/>
  <c r="BJ420" i="13"/>
  <c r="BJ419" i="13"/>
  <c r="BJ418" i="13"/>
  <c r="BJ417" i="13"/>
  <c r="BJ416" i="13"/>
  <c r="BJ415" i="13"/>
  <c r="BJ414" i="13"/>
  <c r="BJ413" i="13"/>
  <c r="BJ412" i="13"/>
  <c r="BJ411" i="13"/>
  <c r="BJ410" i="13"/>
  <c r="BJ409" i="13"/>
  <c r="BJ408" i="13"/>
  <c r="BJ407" i="13"/>
  <c r="BJ406" i="13"/>
  <c r="BJ405" i="13"/>
  <c r="BJ404" i="13"/>
  <c r="BJ403" i="13"/>
  <c r="BJ402" i="13"/>
  <c r="BJ401" i="13"/>
  <c r="BJ400" i="13"/>
  <c r="BJ399" i="13"/>
  <c r="BJ398" i="13"/>
  <c r="BJ397" i="13"/>
  <c r="BJ396" i="13"/>
  <c r="BJ395" i="13"/>
  <c r="BJ394" i="13"/>
  <c r="BJ393" i="13"/>
  <c r="BJ392" i="13"/>
  <c r="BJ391" i="13"/>
  <c r="BJ390" i="13"/>
  <c r="BJ389" i="13"/>
  <c r="BJ388" i="13"/>
  <c r="BJ387" i="13"/>
  <c r="BJ386" i="13"/>
  <c r="BJ385" i="13"/>
  <c r="BJ384" i="13"/>
  <c r="BJ383" i="13"/>
  <c r="BJ382" i="13"/>
  <c r="BJ381" i="13"/>
  <c r="BJ380" i="13"/>
  <c r="BJ379" i="13"/>
  <c r="BJ378" i="13"/>
  <c r="BJ377" i="13"/>
  <c r="BJ376" i="13"/>
  <c r="BJ375" i="13"/>
  <c r="BJ374" i="13"/>
  <c r="BJ373" i="13"/>
  <c r="BJ372" i="13"/>
  <c r="BJ371" i="13"/>
  <c r="BJ370" i="13"/>
  <c r="BJ369" i="13"/>
  <c r="BJ368" i="13"/>
  <c r="BJ367" i="13"/>
  <c r="BJ366" i="13"/>
  <c r="BJ365" i="13"/>
  <c r="BJ364" i="13"/>
  <c r="BJ363" i="13"/>
  <c r="BJ362" i="13"/>
  <c r="BJ361" i="13"/>
  <c r="BJ360" i="13"/>
  <c r="BJ359" i="13"/>
  <c r="BJ358" i="13"/>
  <c r="BJ357" i="13"/>
  <c r="BJ356" i="13"/>
  <c r="BJ355" i="13"/>
  <c r="BJ354" i="13"/>
  <c r="BJ353" i="13"/>
  <c r="BJ352" i="13"/>
  <c r="BJ351" i="13"/>
  <c r="BJ350" i="13"/>
  <c r="BJ349" i="13"/>
  <c r="BJ348" i="13"/>
  <c r="BJ347" i="13"/>
  <c r="BJ346" i="13"/>
  <c r="BJ345" i="13"/>
  <c r="BJ344" i="13"/>
  <c r="BJ343" i="13"/>
  <c r="BJ342" i="13"/>
  <c r="BJ341" i="13"/>
  <c r="BJ340" i="13"/>
  <c r="BJ339" i="13"/>
  <c r="BJ338" i="13"/>
  <c r="BJ337" i="13"/>
  <c r="BJ336" i="13"/>
  <c r="BJ335" i="13"/>
  <c r="BJ334" i="13"/>
  <c r="BJ333" i="13"/>
  <c r="BJ332" i="13"/>
  <c r="BJ331" i="13"/>
  <c r="BJ330" i="13"/>
  <c r="BJ329" i="13"/>
  <c r="BJ328" i="13"/>
  <c r="BJ327" i="13"/>
  <c r="BJ326" i="13"/>
  <c r="BJ325" i="13"/>
  <c r="BJ324" i="13"/>
  <c r="BJ323" i="13"/>
  <c r="BJ322" i="13"/>
  <c r="BJ321" i="13"/>
  <c r="BJ320" i="13"/>
  <c r="BJ319" i="13"/>
  <c r="BJ318" i="13"/>
  <c r="BJ317" i="13"/>
  <c r="BJ316" i="13"/>
  <c r="BJ315" i="13"/>
  <c r="BJ314" i="13"/>
  <c r="BJ313" i="13"/>
  <c r="BJ312" i="13"/>
  <c r="BJ311" i="13"/>
  <c r="BJ310" i="13"/>
  <c r="BJ309" i="13"/>
  <c r="BJ308" i="13"/>
  <c r="BJ307" i="13"/>
  <c r="BJ306" i="13"/>
  <c r="BJ305" i="13"/>
  <c r="BJ304" i="13"/>
  <c r="BJ303" i="13"/>
  <c r="BJ302" i="13"/>
  <c r="BJ301" i="13"/>
  <c r="BJ300" i="13"/>
  <c r="BJ299" i="13"/>
  <c r="BJ298" i="13"/>
  <c r="BJ297" i="13"/>
  <c r="BJ296" i="13"/>
  <c r="BJ295" i="13"/>
  <c r="BJ294" i="13"/>
  <c r="BJ293" i="13"/>
  <c r="BJ292" i="13"/>
  <c r="BJ291" i="13"/>
  <c r="BJ290" i="13"/>
  <c r="BJ289" i="13"/>
  <c r="BJ288" i="13"/>
  <c r="BJ287" i="13"/>
  <c r="BJ286" i="13"/>
  <c r="BJ285" i="13"/>
  <c r="BJ284" i="13"/>
  <c r="BJ283" i="13"/>
  <c r="BJ282" i="13"/>
  <c r="BJ281" i="13"/>
  <c r="BJ280" i="13"/>
  <c r="BJ279" i="13"/>
  <c r="BJ278" i="13"/>
  <c r="BJ277" i="13"/>
  <c r="BJ276" i="13"/>
  <c r="BJ275" i="13"/>
  <c r="BJ274" i="13"/>
  <c r="BJ273" i="13"/>
  <c r="BJ272" i="13"/>
  <c r="BJ271" i="13"/>
  <c r="BJ270" i="13"/>
  <c r="BJ269" i="13"/>
  <c r="BJ268" i="13"/>
  <c r="BJ267" i="13"/>
  <c r="BJ266" i="13"/>
  <c r="BJ265" i="13"/>
  <c r="BJ264" i="13"/>
  <c r="BJ263" i="13"/>
  <c r="BJ262" i="13"/>
  <c r="BJ261" i="13"/>
  <c r="BJ260" i="13"/>
  <c r="BJ259" i="13"/>
  <c r="BJ258" i="13"/>
  <c r="BJ257" i="13"/>
  <c r="BJ256" i="13"/>
  <c r="BJ255" i="13"/>
  <c r="BJ254" i="13"/>
  <c r="BJ253" i="13"/>
  <c r="BJ252" i="13"/>
  <c r="BJ251" i="13"/>
  <c r="BJ250" i="13"/>
  <c r="BJ249" i="13"/>
  <c r="BJ248" i="13"/>
  <c r="BJ247" i="13"/>
  <c r="BJ246" i="13"/>
  <c r="BJ245" i="13"/>
  <c r="BJ244" i="13"/>
  <c r="BJ243" i="13"/>
  <c r="BJ242" i="13"/>
  <c r="BJ241" i="13"/>
  <c r="BJ240" i="13"/>
  <c r="BJ239" i="13"/>
  <c r="BJ238" i="13"/>
  <c r="BJ237" i="13"/>
  <c r="BJ236" i="13"/>
  <c r="BJ235" i="13"/>
  <c r="BJ234" i="13"/>
  <c r="BJ233" i="13"/>
  <c r="BJ232" i="13"/>
  <c r="BJ231" i="13"/>
  <c r="BJ230" i="13"/>
  <c r="BJ229" i="13"/>
  <c r="BJ228" i="13"/>
  <c r="BJ227" i="13"/>
  <c r="BJ226" i="13"/>
  <c r="BJ225" i="13"/>
  <c r="BJ224" i="13"/>
  <c r="BJ223" i="13"/>
  <c r="BJ222" i="13"/>
  <c r="BJ221" i="13"/>
  <c r="BJ220" i="13"/>
  <c r="BJ219" i="13"/>
  <c r="BJ218" i="13"/>
  <c r="BJ217" i="13"/>
  <c r="BJ216" i="13"/>
  <c r="BJ215" i="13"/>
  <c r="BJ214" i="13"/>
  <c r="BJ213" i="13"/>
  <c r="BJ212" i="13"/>
  <c r="BJ211" i="13"/>
  <c r="BJ210" i="13"/>
  <c r="BJ209" i="13"/>
  <c r="BJ208" i="13"/>
  <c r="BJ207" i="13"/>
  <c r="BJ206" i="13"/>
  <c r="BJ205" i="13"/>
  <c r="BJ204" i="13"/>
  <c r="BJ203" i="13"/>
  <c r="BJ202" i="13"/>
  <c r="BJ201" i="13"/>
  <c r="BJ200" i="13"/>
  <c r="BJ199" i="13"/>
  <c r="BJ198" i="13"/>
  <c r="BJ197" i="13"/>
  <c r="BJ196" i="13"/>
  <c r="BJ195" i="13"/>
  <c r="BJ194" i="13"/>
  <c r="BJ193" i="13"/>
  <c r="BJ192" i="13"/>
  <c r="BJ191" i="13"/>
  <c r="BJ190" i="13"/>
  <c r="BJ189" i="13"/>
  <c r="BJ188" i="13"/>
  <c r="BJ187" i="13"/>
  <c r="BJ186" i="13"/>
  <c r="BJ185" i="13"/>
  <c r="BJ184" i="13"/>
  <c r="BJ183" i="13"/>
  <c r="BJ182" i="13"/>
  <c r="BJ181" i="13"/>
  <c r="BJ180" i="13"/>
  <c r="BJ179" i="13"/>
  <c r="BJ178" i="13"/>
  <c r="BJ177" i="13"/>
  <c r="BJ176" i="13"/>
  <c r="BJ175" i="13"/>
  <c r="BJ174" i="13"/>
  <c r="BJ173" i="13"/>
  <c r="BJ172" i="13"/>
  <c r="BJ171" i="13"/>
  <c r="BJ170" i="13"/>
  <c r="BJ169" i="13"/>
  <c r="BJ168" i="13"/>
  <c r="BJ167" i="13"/>
  <c r="BJ166" i="13"/>
  <c r="BJ165" i="13"/>
  <c r="BJ164" i="13"/>
  <c r="BJ163" i="13"/>
  <c r="BJ162" i="13"/>
  <c r="BJ161" i="13"/>
  <c r="BJ160" i="13"/>
  <c r="BJ159" i="13"/>
  <c r="BJ158" i="13"/>
  <c r="BJ157" i="13"/>
  <c r="BJ156" i="13"/>
  <c r="BJ155" i="13"/>
  <c r="BJ154" i="13"/>
  <c r="BJ153" i="13"/>
  <c r="BJ152" i="13"/>
  <c r="BJ151" i="13"/>
  <c r="BJ150" i="13"/>
  <c r="BJ149" i="13"/>
  <c r="BJ148" i="13"/>
  <c r="BJ147" i="13"/>
  <c r="BJ146" i="13"/>
  <c r="BJ145" i="13"/>
  <c r="BJ144" i="13"/>
  <c r="BJ143" i="13"/>
  <c r="BJ142" i="13"/>
  <c r="BJ141" i="13"/>
  <c r="BJ140" i="13"/>
  <c r="BJ139" i="13"/>
  <c r="BJ138" i="13"/>
  <c r="BJ137" i="13"/>
  <c r="BJ136" i="13"/>
  <c r="BJ135" i="13"/>
  <c r="BJ134" i="13"/>
  <c r="BJ133" i="13"/>
  <c r="BJ132" i="13"/>
  <c r="BJ131" i="13"/>
  <c r="BJ130" i="13"/>
  <c r="BJ129" i="13"/>
  <c r="BJ128" i="13"/>
  <c r="BJ127" i="13"/>
  <c r="BJ126" i="13"/>
  <c r="BJ125" i="13"/>
  <c r="BJ124" i="13"/>
  <c r="BJ123" i="13"/>
  <c r="BJ122" i="13"/>
  <c r="BJ121" i="13"/>
  <c r="BJ120" i="13"/>
  <c r="BJ119" i="13"/>
  <c r="BJ118" i="13"/>
  <c r="BJ117" i="13"/>
  <c r="BJ116" i="13"/>
  <c r="BJ115" i="13"/>
  <c r="BJ114" i="13"/>
  <c r="BJ113" i="13"/>
  <c r="BJ112" i="13"/>
  <c r="BJ111" i="13"/>
  <c r="BJ110" i="13"/>
  <c r="BJ109" i="13"/>
  <c r="BJ108" i="13"/>
  <c r="BJ107" i="13"/>
  <c r="BJ106" i="13"/>
  <c r="BJ105" i="13"/>
  <c r="BJ104" i="13"/>
  <c r="BJ103" i="13"/>
  <c r="BJ102" i="13"/>
  <c r="BJ101" i="13"/>
  <c r="BJ100" i="13"/>
  <c r="BJ99" i="13"/>
  <c r="BJ98" i="13"/>
  <c r="BJ97" i="13"/>
  <c r="BJ96" i="13"/>
  <c r="BJ95" i="13"/>
  <c r="BJ94" i="13"/>
  <c r="BJ93" i="13"/>
  <c r="BJ92" i="13"/>
  <c r="BJ91" i="13"/>
  <c r="BJ90" i="13"/>
  <c r="BJ89" i="13"/>
  <c r="BJ88" i="13"/>
  <c r="BJ87" i="13"/>
  <c r="BJ86" i="13"/>
  <c r="BJ85" i="13"/>
  <c r="BJ84" i="13"/>
  <c r="BJ83" i="13"/>
  <c r="BJ82" i="13"/>
  <c r="BJ81" i="13"/>
  <c r="BJ80" i="13"/>
  <c r="BJ79" i="13"/>
  <c r="BJ78" i="13"/>
  <c r="BJ77" i="13"/>
  <c r="BJ76" i="13"/>
  <c r="BJ75" i="13"/>
  <c r="BJ74" i="13"/>
  <c r="BJ73" i="13"/>
  <c r="BJ72" i="13"/>
  <c r="BJ71" i="13"/>
  <c r="BJ70" i="13"/>
  <c r="BJ69" i="13"/>
  <c r="BJ68" i="13"/>
  <c r="BJ67" i="13"/>
  <c r="BJ66" i="13"/>
  <c r="BJ65" i="13"/>
  <c r="BJ64" i="13"/>
  <c r="BJ63" i="13"/>
  <c r="BJ62" i="13"/>
  <c r="BJ61" i="13"/>
  <c r="BJ60" i="13"/>
  <c r="BJ59" i="13"/>
  <c r="BJ58" i="13"/>
  <c r="BJ57" i="13"/>
  <c r="BJ56" i="13"/>
  <c r="BJ55" i="13"/>
  <c r="BJ54" i="13"/>
  <c r="BJ53" i="13"/>
  <c r="BJ52" i="13"/>
  <c r="BJ51" i="13"/>
  <c r="BJ50" i="13"/>
  <c r="BJ49" i="13"/>
  <c r="BJ48" i="13"/>
  <c r="BJ47" i="13"/>
  <c r="BJ46" i="13"/>
  <c r="BJ45" i="13"/>
  <c r="BJ44" i="13"/>
  <c r="BJ43" i="13"/>
  <c r="BJ42" i="13"/>
  <c r="BJ41" i="13"/>
  <c r="BJ40" i="13"/>
  <c r="BJ39" i="13"/>
  <c r="BJ38" i="13"/>
  <c r="BJ37" i="13"/>
  <c r="BJ36" i="13"/>
  <c r="BJ35" i="13"/>
  <c r="BJ34" i="13"/>
  <c r="BJ33" i="13"/>
  <c r="BJ32" i="13"/>
  <c r="BJ31" i="13"/>
  <c r="BJ30" i="13"/>
  <c r="BJ29" i="13"/>
  <c r="BJ28" i="13"/>
  <c r="BJ27" i="13"/>
  <c r="BJ26" i="13"/>
  <c r="BJ25" i="13"/>
  <c r="BJ24" i="13"/>
  <c r="BJ23" i="13"/>
  <c r="BJ22" i="13"/>
  <c r="BJ21" i="13"/>
  <c r="BJ20" i="13"/>
  <c r="BJ19" i="13"/>
  <c r="BJ18" i="13"/>
  <c r="BJ17" i="13"/>
  <c r="BJ16" i="13"/>
  <c r="BJ15" i="13"/>
  <c r="BJ14" i="13"/>
  <c r="BJ13" i="13"/>
  <c r="BJ12" i="13"/>
  <c r="BJ11" i="13"/>
  <c r="BJ10" i="13"/>
  <c r="BJ9" i="13"/>
  <c r="BJ8" i="13"/>
  <c r="BJ7" i="13"/>
  <c r="BJ6" i="13"/>
  <c r="BJ5" i="13"/>
  <c r="BJ4" i="13"/>
  <c r="BJ3" i="13"/>
  <c r="BI4" i="13"/>
  <c r="BI5" i="13"/>
  <c r="BI6" i="13"/>
  <c r="BI7" i="13"/>
  <c r="BI8" i="13"/>
  <c r="BI9" i="13"/>
  <c r="BI10" i="13"/>
  <c r="BI11" i="13"/>
  <c r="BI12" i="13"/>
  <c r="BI13" i="13"/>
  <c r="BI14" i="13"/>
  <c r="BI15" i="13"/>
  <c r="BI16" i="13"/>
  <c r="BI17" i="13"/>
  <c r="BI18" i="13"/>
  <c r="BI19" i="13"/>
  <c r="BI20" i="13"/>
  <c r="BI21" i="13"/>
  <c r="BI22" i="13"/>
  <c r="BI23" i="13"/>
  <c r="BI24" i="13"/>
  <c r="BI25" i="13"/>
  <c r="BI26" i="13"/>
  <c r="BI27" i="13"/>
  <c r="BI28" i="13"/>
  <c r="BI29" i="13"/>
  <c r="BI30" i="13"/>
  <c r="BI31" i="13"/>
  <c r="BI32" i="13"/>
  <c r="BI33" i="13"/>
  <c r="BI34" i="13"/>
  <c r="BI35" i="13"/>
  <c r="BI36" i="13"/>
  <c r="BI37" i="13"/>
  <c r="BI38" i="13"/>
  <c r="BI39" i="13"/>
  <c r="BI40" i="13"/>
  <c r="BI41" i="13"/>
  <c r="BI42" i="13"/>
  <c r="BI43" i="13"/>
  <c r="BI44" i="13"/>
  <c r="BI45" i="13"/>
  <c r="BI46" i="13"/>
  <c r="BI47" i="13"/>
  <c r="BI48" i="13"/>
  <c r="BI49" i="13"/>
  <c r="BI50" i="13"/>
  <c r="BI51" i="13"/>
  <c r="BI52" i="13"/>
  <c r="BI53" i="13"/>
  <c r="BI54" i="13"/>
  <c r="BI55" i="13"/>
  <c r="BI56" i="13"/>
  <c r="BI57" i="13"/>
  <c r="BI58" i="13"/>
  <c r="BI59" i="13"/>
  <c r="BI60" i="13"/>
  <c r="BI61" i="13"/>
  <c r="BI62" i="13"/>
  <c r="BI63" i="13"/>
  <c r="BI64" i="13"/>
  <c r="BI65" i="13"/>
  <c r="BI66" i="13"/>
  <c r="BI67" i="13"/>
  <c r="BI68" i="13"/>
  <c r="BI69" i="13"/>
  <c r="BI70" i="13"/>
  <c r="BI71" i="13"/>
  <c r="BI72" i="13"/>
  <c r="BI73" i="13"/>
  <c r="BI74" i="13"/>
  <c r="BI75" i="13"/>
  <c r="BI76" i="13"/>
  <c r="BI77" i="13"/>
  <c r="BI78" i="13"/>
  <c r="BI79" i="13"/>
  <c r="BI80" i="13"/>
  <c r="BI81" i="13"/>
  <c r="BI82" i="13"/>
  <c r="BI83" i="13"/>
  <c r="BI84" i="13"/>
  <c r="BI85" i="13"/>
  <c r="BI86" i="13"/>
  <c r="BI87" i="13"/>
  <c r="BI88" i="13"/>
  <c r="BI89" i="13"/>
  <c r="BI90" i="13"/>
  <c r="BI91" i="13"/>
  <c r="BI92" i="13"/>
  <c r="BI93" i="13"/>
  <c r="BI94" i="13"/>
  <c r="BI95" i="13"/>
  <c r="BI96" i="13"/>
  <c r="BI97" i="13"/>
  <c r="BI98" i="13"/>
  <c r="BI99" i="13"/>
  <c r="BI100" i="13"/>
  <c r="BI101" i="13"/>
  <c r="BI102" i="13"/>
  <c r="BI103" i="13"/>
  <c r="BI104" i="13"/>
  <c r="BI105" i="13"/>
  <c r="BI106" i="13"/>
  <c r="BI107" i="13"/>
  <c r="BI108" i="13"/>
  <c r="BI109" i="13"/>
  <c r="BI110" i="13"/>
  <c r="BI111" i="13"/>
  <c r="BI112" i="13"/>
  <c r="BI113" i="13"/>
  <c r="BI114" i="13"/>
  <c r="BI115" i="13"/>
  <c r="BI116" i="13"/>
  <c r="BI117" i="13"/>
  <c r="BI118" i="13"/>
  <c r="BI119" i="13"/>
  <c r="BI120" i="13"/>
  <c r="BI121" i="13"/>
  <c r="BI122" i="13"/>
  <c r="BI123" i="13"/>
  <c r="BI124" i="13"/>
  <c r="BI125" i="13"/>
  <c r="BI126" i="13"/>
  <c r="BI127" i="13"/>
  <c r="BI128" i="13"/>
  <c r="BI129" i="13"/>
  <c r="BI130" i="13"/>
  <c r="BI131" i="13"/>
  <c r="BI132" i="13"/>
  <c r="BI133" i="13"/>
  <c r="BI134" i="13"/>
  <c r="BI135" i="13"/>
  <c r="BI136" i="13"/>
  <c r="BI137" i="13"/>
  <c r="BI138" i="13"/>
  <c r="BI139" i="13"/>
  <c r="BI140" i="13"/>
  <c r="BI141" i="13"/>
  <c r="BI142" i="13"/>
  <c r="BI143" i="13"/>
  <c r="BI144" i="13"/>
  <c r="BI145" i="13"/>
  <c r="BI146" i="13"/>
  <c r="BI147" i="13"/>
  <c r="BI148" i="13"/>
  <c r="BI149" i="13"/>
  <c r="BI150" i="13"/>
  <c r="BI151" i="13"/>
  <c r="BI152" i="13"/>
  <c r="BI153" i="13"/>
  <c r="BI154" i="13"/>
  <c r="BI155" i="13"/>
  <c r="BI156" i="13"/>
  <c r="BI157" i="13"/>
  <c r="BI158" i="13"/>
  <c r="BI159" i="13"/>
  <c r="BI160" i="13"/>
  <c r="BI161" i="13"/>
  <c r="BI162" i="13"/>
  <c r="BI163" i="13"/>
  <c r="BI164" i="13"/>
  <c r="BI165" i="13"/>
  <c r="BI166" i="13"/>
  <c r="BI167" i="13"/>
  <c r="BI168" i="13"/>
  <c r="BI169" i="13"/>
  <c r="BI170" i="13"/>
  <c r="BI171" i="13"/>
  <c r="BI172" i="13"/>
  <c r="BI173" i="13"/>
  <c r="BI174" i="13"/>
  <c r="BI175" i="13"/>
  <c r="BI176" i="13"/>
  <c r="BI177" i="13"/>
  <c r="BI178" i="13"/>
  <c r="BI179" i="13"/>
  <c r="BI180" i="13"/>
  <c r="BI181" i="13"/>
  <c r="BI182" i="13"/>
  <c r="BI183" i="13"/>
  <c r="BI184" i="13"/>
  <c r="BI185" i="13"/>
  <c r="BI186" i="13"/>
  <c r="BI187" i="13"/>
  <c r="BI188" i="13"/>
  <c r="BI189" i="13"/>
  <c r="BI190" i="13"/>
  <c r="BI191" i="13"/>
  <c r="BI192" i="13"/>
  <c r="BI193" i="13"/>
  <c r="BI194" i="13"/>
  <c r="BI195" i="13"/>
  <c r="BI196" i="13"/>
  <c r="BI197" i="13"/>
  <c r="BI198" i="13"/>
  <c r="BI199" i="13"/>
  <c r="BI200" i="13"/>
  <c r="BI201" i="13"/>
  <c r="BI202" i="13"/>
  <c r="BI203" i="13"/>
  <c r="BI204" i="13"/>
  <c r="BI205" i="13"/>
  <c r="BI206" i="13"/>
  <c r="BI207" i="13"/>
  <c r="BI208" i="13"/>
  <c r="BI209" i="13"/>
  <c r="BI210" i="13"/>
  <c r="BI211" i="13"/>
  <c r="BI212" i="13"/>
  <c r="BI213" i="13"/>
  <c r="BI214" i="13"/>
  <c r="BI215" i="13"/>
  <c r="BI216" i="13"/>
  <c r="BI217" i="13"/>
  <c r="BI218" i="13"/>
  <c r="BI219" i="13"/>
  <c r="BI220" i="13"/>
  <c r="BI221" i="13"/>
  <c r="BI222" i="13"/>
  <c r="BI223" i="13"/>
  <c r="BI224" i="13"/>
  <c r="BI225" i="13"/>
  <c r="BI226" i="13"/>
  <c r="BI227" i="13"/>
  <c r="BI228" i="13"/>
  <c r="BI229" i="13"/>
  <c r="BI230" i="13"/>
  <c r="BI231" i="13"/>
  <c r="BI232" i="13"/>
  <c r="BI233" i="13"/>
  <c r="BI234" i="13"/>
  <c r="BI235" i="13"/>
  <c r="BI236" i="13"/>
  <c r="BI237" i="13"/>
  <c r="BI238" i="13"/>
  <c r="BI239" i="13"/>
  <c r="BI240" i="13"/>
  <c r="BI241" i="13"/>
  <c r="BI242" i="13"/>
  <c r="BI243" i="13"/>
  <c r="BI244" i="13"/>
  <c r="BI245" i="13"/>
  <c r="BI246" i="13"/>
  <c r="BI247" i="13"/>
  <c r="BI248" i="13"/>
  <c r="BI249" i="13"/>
  <c r="BI250" i="13"/>
  <c r="BI251" i="13"/>
  <c r="BI252" i="13"/>
  <c r="BI253" i="13"/>
  <c r="BI254" i="13"/>
  <c r="BI255" i="13"/>
  <c r="BI256" i="13"/>
  <c r="BI257" i="13"/>
  <c r="BI258" i="13"/>
  <c r="BI259" i="13"/>
  <c r="BI260" i="13"/>
  <c r="BI261" i="13"/>
  <c r="BI262" i="13"/>
  <c r="BI263" i="13"/>
  <c r="BI264" i="13"/>
  <c r="BI265" i="13"/>
  <c r="BI266" i="13"/>
  <c r="BI267" i="13"/>
  <c r="BI268" i="13"/>
  <c r="BI269" i="13"/>
  <c r="BI270" i="13"/>
  <c r="BI271" i="13"/>
  <c r="BI272" i="13"/>
  <c r="BI273" i="13"/>
  <c r="BI274" i="13"/>
  <c r="BI275" i="13"/>
  <c r="BI276" i="13"/>
  <c r="BI277" i="13"/>
  <c r="BI278" i="13"/>
  <c r="BI279" i="13"/>
  <c r="BI280" i="13"/>
  <c r="BI281" i="13"/>
  <c r="BI282" i="13"/>
  <c r="BI283" i="13"/>
  <c r="BI284" i="13"/>
  <c r="BI285" i="13"/>
  <c r="BI286" i="13"/>
  <c r="BI287" i="13"/>
  <c r="BI288" i="13"/>
  <c r="BI289" i="13"/>
  <c r="BI290" i="13"/>
  <c r="BI291" i="13"/>
  <c r="BI292" i="13"/>
  <c r="BI293" i="13"/>
  <c r="BI294" i="13"/>
  <c r="BI295" i="13"/>
  <c r="BI296" i="13"/>
  <c r="BI297" i="13"/>
  <c r="BI298" i="13"/>
  <c r="BI299" i="13"/>
  <c r="BI300" i="13"/>
  <c r="BI301" i="13"/>
  <c r="BI302" i="13"/>
  <c r="BI303" i="13"/>
  <c r="BI304" i="13"/>
  <c r="BI305" i="13"/>
  <c r="BI306" i="13"/>
  <c r="BI307" i="13"/>
  <c r="BI308" i="13"/>
  <c r="BI309" i="13"/>
  <c r="BI310" i="13"/>
  <c r="BI311" i="13"/>
  <c r="BI312" i="13"/>
  <c r="BI313" i="13"/>
  <c r="BI314" i="13"/>
  <c r="BI315" i="13"/>
  <c r="BI316" i="13"/>
  <c r="BI317" i="13"/>
  <c r="BI318" i="13"/>
  <c r="BI319" i="13"/>
  <c r="BI320" i="13"/>
  <c r="BI321" i="13"/>
  <c r="BI322" i="13"/>
  <c r="BI323" i="13"/>
  <c r="BI324" i="13"/>
  <c r="BI325" i="13"/>
  <c r="BI326" i="13"/>
  <c r="BI327" i="13"/>
  <c r="BI328" i="13"/>
  <c r="BI329" i="13"/>
  <c r="BI330" i="13"/>
  <c r="BI331" i="13"/>
  <c r="BI332" i="13"/>
  <c r="BI333" i="13"/>
  <c r="BI334" i="13"/>
  <c r="BI335" i="13"/>
  <c r="BI336" i="13"/>
  <c r="BI337" i="13"/>
  <c r="BI338" i="13"/>
  <c r="BI339" i="13"/>
  <c r="BI340" i="13"/>
  <c r="BI341" i="13"/>
  <c r="BI342" i="13"/>
  <c r="BI343" i="13"/>
  <c r="BI344" i="13"/>
  <c r="BI345" i="13"/>
  <c r="BI346" i="13"/>
  <c r="BI347" i="13"/>
  <c r="BI348" i="13"/>
  <c r="BI349" i="13"/>
  <c r="BI350" i="13"/>
  <c r="BI351" i="13"/>
  <c r="BI352" i="13"/>
  <c r="BI353" i="13"/>
  <c r="BI354" i="13"/>
  <c r="BI355" i="13"/>
  <c r="BI356" i="13"/>
  <c r="BI357" i="13"/>
  <c r="BI358" i="13"/>
  <c r="BI359" i="13"/>
  <c r="BI360" i="13"/>
  <c r="BI361" i="13"/>
  <c r="BI362" i="13"/>
  <c r="BI363" i="13"/>
  <c r="BI364" i="13"/>
  <c r="BI365" i="13"/>
  <c r="BI366" i="13"/>
  <c r="BI367" i="13"/>
  <c r="BI368" i="13"/>
  <c r="BI369" i="13"/>
  <c r="BI370" i="13"/>
  <c r="BI371" i="13"/>
  <c r="BI372" i="13"/>
  <c r="BI373" i="13"/>
  <c r="BI374" i="13"/>
  <c r="BI375" i="13"/>
  <c r="BI376" i="13"/>
  <c r="BI377" i="13"/>
  <c r="BI378" i="13"/>
  <c r="BI379" i="13"/>
  <c r="BI380" i="13"/>
  <c r="BI381" i="13"/>
  <c r="BI382" i="13"/>
  <c r="BI383" i="13"/>
  <c r="BI384" i="13"/>
  <c r="BI385" i="13"/>
  <c r="BI386" i="13"/>
  <c r="BI387" i="13"/>
  <c r="BI388" i="13"/>
  <c r="BI389" i="13"/>
  <c r="BI390" i="13"/>
  <c r="BI391" i="13"/>
  <c r="BI392" i="13"/>
  <c r="BI393" i="13"/>
  <c r="BI394" i="13"/>
  <c r="BI395" i="13"/>
  <c r="BI396" i="13"/>
  <c r="BI397" i="13"/>
  <c r="BI398" i="13"/>
  <c r="BI399" i="13"/>
  <c r="BI400" i="13"/>
  <c r="BI401" i="13"/>
  <c r="BI402" i="13"/>
  <c r="BI403" i="13"/>
  <c r="BI404" i="13"/>
  <c r="BI405" i="13"/>
  <c r="BI406" i="13"/>
  <c r="BI407" i="13"/>
  <c r="BI408" i="13"/>
  <c r="BI409" i="13"/>
  <c r="BI410" i="13"/>
  <c r="BI411" i="13"/>
  <c r="BI412" i="13"/>
  <c r="BI413" i="13"/>
  <c r="BI414" i="13"/>
  <c r="BI415" i="13"/>
  <c r="BI416" i="13"/>
  <c r="BI417" i="13"/>
  <c r="BI418" i="13"/>
  <c r="BI419" i="13"/>
  <c r="BI420" i="13"/>
  <c r="BI421" i="13"/>
  <c r="BI422" i="13"/>
  <c r="BI423" i="13"/>
  <c r="BI424" i="13"/>
  <c r="BI425" i="13"/>
  <c r="BI426" i="13"/>
  <c r="BI427" i="13"/>
  <c r="BI428" i="13"/>
  <c r="BI429" i="13"/>
  <c r="BI430" i="13"/>
  <c r="BI431" i="13"/>
  <c r="BI432" i="13"/>
  <c r="BI433" i="13"/>
  <c r="BI434" i="13"/>
  <c r="BI435" i="13"/>
  <c r="BI436" i="13"/>
  <c r="BI437" i="13"/>
  <c r="BI438" i="13"/>
  <c r="BI439" i="13"/>
  <c r="BI440" i="13"/>
  <c r="BI441" i="13"/>
  <c r="BI442" i="13"/>
  <c r="BI443" i="13"/>
  <c r="BI444" i="13"/>
  <c r="BI445" i="13"/>
  <c r="BI446" i="13"/>
  <c r="BI447" i="13"/>
  <c r="BI448" i="13"/>
  <c r="BI449" i="13"/>
  <c r="BI450" i="13"/>
  <c r="BI451" i="13"/>
  <c r="BI452" i="13"/>
  <c r="BI453" i="13"/>
  <c r="BI454" i="13"/>
  <c r="BI455" i="13"/>
  <c r="BI456" i="13"/>
  <c r="BI457" i="13"/>
  <c r="BI458" i="13"/>
  <c r="BI459" i="13"/>
  <c r="BI460" i="13"/>
  <c r="BI461" i="13"/>
  <c r="BI462" i="13"/>
  <c r="BI463" i="13"/>
  <c r="BI464" i="13"/>
  <c r="BI465" i="13"/>
  <c r="BI466" i="13"/>
  <c r="BI467" i="13"/>
  <c r="BI468" i="13"/>
  <c r="BI469" i="13"/>
  <c r="BI470" i="13"/>
  <c r="BI471" i="13"/>
  <c r="BI472" i="13"/>
  <c r="BI473" i="13"/>
  <c r="BI474" i="13"/>
  <c r="BI475" i="13"/>
  <c r="BI476" i="13"/>
  <c r="BI477" i="13"/>
  <c r="BI478" i="13"/>
  <c r="BI479" i="13"/>
  <c r="BI480" i="13"/>
  <c r="BI481" i="13"/>
  <c r="BI482" i="13"/>
  <c r="BI483" i="13"/>
  <c r="BI484" i="13"/>
  <c r="BI485" i="13"/>
  <c r="BI486" i="13"/>
  <c r="BI487" i="13"/>
  <c r="BI488" i="13"/>
  <c r="BI489" i="13"/>
  <c r="BI490" i="13"/>
  <c r="BI491" i="13"/>
  <c r="BI492" i="13"/>
  <c r="BI493" i="13"/>
  <c r="BI494" i="13"/>
  <c r="BI495" i="13"/>
  <c r="BI496" i="13"/>
  <c r="BI497" i="13"/>
  <c r="BI498" i="13"/>
  <c r="BI499" i="13"/>
  <c r="BI500" i="13"/>
  <c r="BI501" i="13"/>
  <c r="BI502" i="13"/>
  <c r="BI503" i="13"/>
  <c r="BI504" i="13"/>
  <c r="BI505" i="13"/>
  <c r="BI506" i="13"/>
  <c r="BI507" i="13"/>
  <c r="BI508" i="13"/>
  <c r="BI509" i="13"/>
  <c r="BI510" i="13"/>
  <c r="BI511" i="13"/>
  <c r="BI512" i="13"/>
  <c r="BI513" i="13"/>
  <c r="BI514" i="13"/>
  <c r="BI515" i="13"/>
  <c r="BI516" i="13"/>
  <c r="BI517" i="13"/>
  <c r="BI518" i="13"/>
  <c r="BI519" i="13"/>
  <c r="BI520" i="13"/>
  <c r="BI521" i="13"/>
  <c r="BI522" i="13"/>
  <c r="BI523" i="13"/>
  <c r="BI524" i="13"/>
  <c r="BI525" i="13"/>
  <c r="BI526" i="13"/>
  <c r="BI527" i="13"/>
  <c r="BI528" i="13"/>
  <c r="BI529" i="13"/>
  <c r="BI530" i="13"/>
  <c r="BI531" i="13"/>
  <c r="BI532" i="13"/>
  <c r="BI533" i="13"/>
  <c r="BI534" i="13"/>
  <c r="BI535" i="13"/>
  <c r="BI536" i="13"/>
  <c r="BI537" i="13"/>
  <c r="BI538" i="13"/>
  <c r="BI539" i="13"/>
  <c r="BI540" i="13"/>
  <c r="BI541" i="13"/>
  <c r="BI542" i="13"/>
  <c r="BI543" i="13"/>
  <c r="BI544" i="13"/>
  <c r="BI545" i="13"/>
  <c r="BI546" i="13"/>
  <c r="BI547" i="13"/>
  <c r="BI548" i="13"/>
  <c r="BI549" i="13"/>
  <c r="BI550" i="13"/>
  <c r="BI551" i="13"/>
  <c r="BI552" i="13"/>
  <c r="BI553" i="13"/>
  <c r="BI554" i="13"/>
  <c r="BI555" i="13"/>
  <c r="BI556" i="13"/>
  <c r="BI557" i="13"/>
  <c r="BI558" i="13"/>
  <c r="BI559" i="13"/>
  <c r="BI560" i="13"/>
  <c r="BI561" i="13"/>
  <c r="BI562" i="13"/>
  <c r="BI563" i="13"/>
  <c r="BI564" i="13"/>
  <c r="BI565" i="13"/>
  <c r="BI566" i="13"/>
  <c r="BI567" i="13"/>
  <c r="BI568" i="13"/>
  <c r="BI569" i="13"/>
  <c r="BI570" i="13"/>
  <c r="BI571" i="13"/>
  <c r="BI572" i="13"/>
  <c r="BI573" i="13"/>
  <c r="BI574" i="13"/>
  <c r="BI575" i="13"/>
  <c r="BI576" i="13"/>
  <c r="BI577" i="13"/>
  <c r="BI578" i="13"/>
  <c r="BI579" i="13"/>
  <c r="BI580" i="13"/>
  <c r="BI581" i="13"/>
  <c r="BI582" i="13"/>
  <c r="BI583" i="13"/>
  <c r="BI584" i="13"/>
  <c r="BI585" i="13"/>
  <c r="BI586" i="13"/>
  <c r="BI587" i="13"/>
  <c r="BI588" i="13"/>
  <c r="BI589" i="13"/>
  <c r="BI590" i="13"/>
  <c r="BI591" i="13"/>
  <c r="BI592" i="13"/>
  <c r="BI593" i="13"/>
  <c r="BI594" i="13"/>
  <c r="BI595" i="13"/>
  <c r="BI596" i="13"/>
  <c r="BI597" i="13"/>
  <c r="BI598" i="13"/>
  <c r="BI599" i="13"/>
  <c r="BI600" i="13"/>
  <c r="BI601" i="13"/>
  <c r="BI602" i="13"/>
  <c r="BI603" i="13"/>
  <c r="BI604" i="13"/>
  <c r="BI605" i="13"/>
  <c r="BI606" i="13"/>
  <c r="BI607" i="13"/>
  <c r="BI608" i="13"/>
  <c r="BI609" i="13"/>
  <c r="BI610" i="13"/>
  <c r="BI611" i="13"/>
  <c r="BI612" i="13"/>
  <c r="BI613" i="13"/>
  <c r="BI614" i="13"/>
  <c r="BI615" i="13"/>
  <c r="BI616" i="13"/>
  <c r="BI617" i="13"/>
  <c r="BI618" i="13"/>
  <c r="BI619" i="13"/>
  <c r="BI620" i="13"/>
  <c r="BI621" i="13"/>
  <c r="BI622" i="13"/>
  <c r="BI623" i="13"/>
  <c r="BI624" i="13"/>
  <c r="BI625" i="13"/>
  <c r="BI626" i="13"/>
  <c r="BI627" i="13"/>
  <c r="BI628" i="13"/>
  <c r="BI629" i="13"/>
  <c r="BI630" i="13"/>
  <c r="BI631" i="13"/>
  <c r="BI632" i="13"/>
  <c r="BI633" i="13"/>
  <c r="BI634" i="13"/>
  <c r="BI635" i="13"/>
  <c r="BI636" i="13"/>
  <c r="BI637" i="13"/>
  <c r="BI638" i="13"/>
  <c r="BI639" i="13"/>
  <c r="BI640" i="13"/>
  <c r="BI641" i="13"/>
  <c r="BI642" i="13"/>
  <c r="BI643" i="13"/>
  <c r="BI644" i="13"/>
  <c r="BI645" i="13"/>
  <c r="BI646" i="13"/>
  <c r="BI647" i="13"/>
  <c r="BI648" i="13"/>
  <c r="BI649" i="13"/>
  <c r="BI650" i="13"/>
  <c r="BI651" i="13"/>
  <c r="BI652" i="13"/>
  <c r="BI653" i="13"/>
  <c r="BI654" i="13"/>
  <c r="BI655" i="13"/>
  <c r="BI656" i="13"/>
  <c r="BI657" i="13"/>
  <c r="BI658" i="13"/>
  <c r="BI659" i="13"/>
  <c r="BI660" i="13"/>
  <c r="BI661" i="13"/>
  <c r="BI662" i="13"/>
  <c r="BI663" i="13"/>
  <c r="BI664" i="13"/>
  <c r="BI665" i="13"/>
  <c r="BI666" i="13"/>
  <c r="BI667" i="13"/>
  <c r="BI668" i="13"/>
  <c r="BI669" i="13"/>
  <c r="BI670" i="13"/>
  <c r="BI671" i="13"/>
  <c r="BI672" i="13"/>
  <c r="BI673" i="13"/>
  <c r="BI674" i="13"/>
  <c r="BI675" i="13"/>
  <c r="BI676" i="13"/>
  <c r="BI677" i="13"/>
  <c r="BI678" i="13"/>
  <c r="BI679" i="13"/>
  <c r="BI680" i="13"/>
  <c r="BI681" i="13"/>
  <c r="BI682" i="13"/>
  <c r="BI683" i="13"/>
  <c r="BI684" i="13"/>
  <c r="BI685" i="13"/>
  <c r="BI686" i="13"/>
  <c r="BI687" i="13"/>
  <c r="BI688" i="13"/>
  <c r="BI689" i="13"/>
  <c r="BI690" i="13"/>
  <c r="BI691" i="13"/>
  <c r="BI692" i="13"/>
  <c r="BI693" i="13"/>
  <c r="BI694" i="13"/>
  <c r="BI695" i="13"/>
  <c r="BI696" i="13"/>
  <c r="BI697" i="13"/>
  <c r="BI698" i="13"/>
  <c r="BI699" i="13"/>
  <c r="BI700" i="13"/>
  <c r="BI701" i="13"/>
  <c r="BI702" i="13"/>
  <c r="BI703" i="13"/>
  <c r="BI704" i="13"/>
  <c r="BI705" i="13"/>
  <c r="BI706" i="13"/>
  <c r="BI707" i="13"/>
  <c r="BI708" i="13"/>
  <c r="BI709" i="13"/>
  <c r="BI710" i="13"/>
  <c r="BI711" i="13"/>
  <c r="BI712" i="13"/>
  <c r="BI713" i="13"/>
  <c r="BI714" i="13"/>
  <c r="BI715" i="13"/>
  <c r="BI716" i="13"/>
  <c r="BI717" i="13"/>
  <c r="BI718" i="13"/>
  <c r="BI719" i="13"/>
  <c r="BI720" i="13"/>
  <c r="BI721" i="13"/>
  <c r="BI722" i="13"/>
  <c r="BI723" i="13"/>
  <c r="BI724" i="13"/>
  <c r="BI725" i="13"/>
  <c r="BI726" i="13"/>
  <c r="BI727" i="13"/>
  <c r="BI728" i="13"/>
  <c r="BI729" i="13"/>
  <c r="BI730" i="13"/>
  <c r="BI731" i="13"/>
  <c r="BI732" i="13"/>
  <c r="BI733" i="13"/>
  <c r="BI734" i="13"/>
  <c r="BI735" i="13"/>
  <c r="BI736" i="13"/>
  <c r="BI737" i="13"/>
  <c r="BI738" i="13"/>
  <c r="BI739" i="13"/>
  <c r="BI740" i="13"/>
  <c r="BI741" i="13"/>
  <c r="BI742" i="13"/>
  <c r="BI743" i="13"/>
  <c r="BI744" i="13"/>
  <c r="BI745" i="13"/>
  <c r="BI746" i="13"/>
  <c r="BI747" i="13"/>
  <c r="BI748" i="13"/>
  <c r="BI749" i="13"/>
  <c r="BI750" i="13"/>
  <c r="BI751" i="13"/>
  <c r="BI752" i="13"/>
  <c r="BI753" i="13"/>
  <c r="BI754" i="13"/>
  <c r="BI755" i="13"/>
  <c r="BI756" i="13"/>
  <c r="BI757" i="13"/>
  <c r="BI758" i="13"/>
  <c r="BI759" i="13"/>
  <c r="BI760" i="13"/>
  <c r="BI761" i="13"/>
  <c r="BI762" i="13"/>
  <c r="BI763" i="13"/>
  <c r="BI764" i="13"/>
  <c r="BI765" i="13"/>
  <c r="BI766" i="13"/>
  <c r="BI767" i="13"/>
  <c r="BI768" i="13"/>
  <c r="BI769" i="13"/>
  <c r="BI770" i="13"/>
  <c r="BI771" i="13"/>
  <c r="BI772" i="13"/>
  <c r="BI773" i="13"/>
  <c r="BI774" i="13"/>
  <c r="BI775" i="13"/>
  <c r="BI776" i="13"/>
  <c r="BI777" i="13"/>
  <c r="BI778" i="13"/>
  <c r="BI779" i="13"/>
  <c r="BI780" i="13"/>
  <c r="BI781" i="13"/>
  <c r="BI782" i="13"/>
  <c r="BI783" i="13"/>
  <c r="BI784" i="13"/>
  <c r="BI785" i="13"/>
  <c r="BI786" i="13"/>
  <c r="BI787" i="13"/>
  <c r="BI788" i="13"/>
  <c r="BI789" i="13"/>
  <c r="BI790" i="13"/>
  <c r="BI791" i="13"/>
  <c r="BI792" i="13"/>
  <c r="BI793" i="13"/>
  <c r="BI794" i="13"/>
  <c r="BI795" i="13"/>
  <c r="BI796" i="13"/>
  <c r="BI797" i="13"/>
  <c r="BI798" i="13"/>
  <c r="BI799" i="13"/>
  <c r="BI800" i="13"/>
  <c r="BI801" i="13"/>
  <c r="BI802" i="13"/>
  <c r="BI803" i="13"/>
  <c r="BI804" i="13"/>
  <c r="BI805" i="13"/>
  <c r="BI806" i="13"/>
  <c r="BI807" i="13"/>
  <c r="BI808" i="13"/>
  <c r="BI809" i="13"/>
  <c r="BI810" i="13"/>
  <c r="BI811" i="13"/>
  <c r="BI812" i="13"/>
  <c r="BI813" i="13"/>
  <c r="BI814" i="13"/>
  <c r="BI815" i="13"/>
  <c r="BI816" i="13"/>
  <c r="BI817" i="13"/>
  <c r="BI818" i="13"/>
  <c r="BI819" i="13"/>
  <c r="BI820" i="13"/>
  <c r="BI821" i="13"/>
  <c r="BI822" i="13"/>
  <c r="BI823" i="13"/>
  <c r="BI824" i="13"/>
  <c r="BI825" i="13"/>
  <c r="BI826" i="13"/>
  <c r="BI827" i="13"/>
  <c r="BI828" i="13"/>
  <c r="BI829" i="13"/>
  <c r="BI830" i="13"/>
  <c r="BI831" i="13"/>
  <c r="BI832" i="13"/>
  <c r="BI833" i="13"/>
  <c r="BI834" i="13"/>
  <c r="BI835" i="13"/>
  <c r="BI836" i="13"/>
  <c r="BI837" i="13"/>
  <c r="BI838" i="13"/>
  <c r="BI839" i="13"/>
  <c r="BI840" i="13"/>
  <c r="BI841" i="13"/>
  <c r="BI842" i="13"/>
  <c r="BI843" i="13"/>
  <c r="BI844" i="13"/>
  <c r="BI845" i="13"/>
  <c r="BI846" i="13"/>
  <c r="BI847" i="13"/>
  <c r="BI848" i="13"/>
  <c r="BI849" i="13"/>
  <c r="BI850" i="13"/>
  <c r="BI851" i="13"/>
  <c r="BI852" i="13"/>
  <c r="BI853" i="13"/>
  <c r="BI854" i="13"/>
  <c r="BI855" i="13"/>
  <c r="BI856" i="13"/>
  <c r="BI857" i="13"/>
  <c r="BI858" i="13"/>
  <c r="BI859" i="13"/>
  <c r="BI860" i="13"/>
  <c r="BI861" i="13"/>
  <c r="BI862" i="13"/>
  <c r="BI863" i="13"/>
  <c r="BI864" i="13"/>
  <c r="BI865" i="13"/>
  <c r="BI866" i="13"/>
  <c r="BI867" i="13"/>
  <c r="BI868" i="13"/>
  <c r="BI869" i="13"/>
  <c r="BI870" i="13"/>
  <c r="BI871" i="13"/>
  <c r="BI872" i="13"/>
  <c r="BI873" i="13"/>
  <c r="BI874" i="13"/>
  <c r="BI875" i="13"/>
  <c r="BI876" i="13"/>
  <c r="BI877" i="13"/>
  <c r="BI878" i="13"/>
  <c r="BI879" i="13"/>
  <c r="BI880" i="13"/>
  <c r="BI881" i="13"/>
  <c r="BI882" i="13"/>
  <c r="BI883" i="13"/>
  <c r="BI884" i="13"/>
  <c r="BI885" i="13"/>
  <c r="BI886" i="13"/>
  <c r="BI887" i="13"/>
  <c r="BI888" i="13"/>
  <c r="BI889" i="13"/>
  <c r="BI890" i="13"/>
  <c r="BI891" i="13"/>
  <c r="BI892" i="13"/>
  <c r="BI893" i="13"/>
  <c r="BI894" i="13"/>
  <c r="BI895" i="13"/>
  <c r="BI896" i="13"/>
  <c r="BI897" i="13"/>
  <c r="BI898" i="13"/>
  <c r="BI899" i="13"/>
  <c r="BI900" i="13"/>
  <c r="BI901" i="13"/>
  <c r="BI902" i="13"/>
  <c r="BI903" i="13"/>
  <c r="BI904" i="13"/>
  <c r="BI905" i="13"/>
  <c r="BI906" i="13"/>
  <c r="BI907" i="13"/>
  <c r="BI908" i="13"/>
  <c r="BI909" i="13"/>
  <c r="BI910" i="13"/>
  <c r="BI911" i="13"/>
  <c r="BI912" i="13"/>
  <c r="BI913" i="13"/>
  <c r="BI914" i="13"/>
  <c r="BI915" i="13"/>
  <c r="BI916" i="13"/>
  <c r="BI917" i="13"/>
  <c r="BI918" i="13"/>
  <c r="BI919" i="13"/>
  <c r="BI920" i="13"/>
  <c r="BI921" i="13"/>
  <c r="BI922" i="13"/>
  <c r="BI923" i="13"/>
  <c r="BI924" i="13"/>
  <c r="BI925" i="13"/>
  <c r="BI926" i="13"/>
  <c r="BI927" i="13"/>
  <c r="BI928" i="13"/>
  <c r="BI929" i="13"/>
  <c r="BI930" i="13"/>
  <c r="BI931" i="13"/>
  <c r="BI932" i="13"/>
  <c r="BI933" i="13"/>
  <c r="BI934" i="13"/>
  <c r="BI935" i="13"/>
  <c r="BI936" i="13"/>
  <c r="BI937" i="13"/>
  <c r="BI938" i="13"/>
  <c r="BI939" i="13"/>
  <c r="BI940" i="13"/>
  <c r="BI941" i="13"/>
  <c r="BI942" i="13"/>
  <c r="BI943" i="13"/>
  <c r="BI944" i="13"/>
  <c r="BI945" i="13"/>
  <c r="BI946" i="13"/>
  <c r="BI947" i="13"/>
  <c r="BI948" i="13"/>
  <c r="BI949" i="13"/>
  <c r="BI950" i="13"/>
  <c r="BI951" i="13"/>
  <c r="BI952" i="13"/>
  <c r="BI953" i="13"/>
  <c r="BI954" i="13"/>
  <c r="BI955" i="13"/>
  <c r="BI956" i="13"/>
  <c r="BI957" i="13"/>
  <c r="BI958" i="13"/>
  <c r="BI959" i="13"/>
  <c r="BI960" i="13"/>
  <c r="BI961" i="13"/>
  <c r="BI962" i="13"/>
  <c r="BI963" i="13"/>
  <c r="BI964" i="13"/>
  <c r="BI965" i="13"/>
  <c r="BI966" i="13"/>
  <c r="BI967" i="13"/>
  <c r="BI968" i="13"/>
  <c r="BI969" i="13"/>
  <c r="BI970" i="13"/>
  <c r="BI971" i="13"/>
  <c r="BI972" i="13"/>
  <c r="BI973" i="13"/>
  <c r="BI974" i="13"/>
  <c r="BI975" i="13"/>
  <c r="BI976" i="13"/>
  <c r="BI977" i="13"/>
  <c r="BI978" i="13"/>
  <c r="BI979" i="13"/>
  <c r="BI980" i="13"/>
  <c r="BI981" i="13"/>
  <c r="BI982" i="13"/>
  <c r="BI983" i="13"/>
  <c r="BI984" i="13"/>
  <c r="BI985" i="13"/>
  <c r="BI986" i="13"/>
  <c r="BI987" i="13"/>
  <c r="BI988" i="13"/>
  <c r="BI989" i="13"/>
  <c r="BI990" i="13"/>
  <c r="BI991" i="13"/>
  <c r="BI992" i="13"/>
  <c r="BI993" i="13"/>
  <c r="BI994" i="13"/>
  <c r="BI995" i="13"/>
  <c r="BI996" i="13"/>
  <c r="BI997" i="13"/>
  <c r="BI998" i="13"/>
  <c r="BI999" i="13"/>
  <c r="BI1000" i="13"/>
  <c r="BI1001" i="13"/>
  <c r="BI1002" i="13"/>
  <c r="BI1003" i="13"/>
  <c r="BI1004" i="13"/>
  <c r="BI1005" i="13"/>
  <c r="BI1006" i="13"/>
  <c r="BI1007" i="13"/>
  <c r="BI1008" i="13"/>
  <c r="BI1009" i="13"/>
  <c r="BI1010" i="13"/>
  <c r="BI1011" i="13"/>
  <c r="BI1012" i="13"/>
  <c r="BI1013" i="13"/>
  <c r="BI1014" i="13"/>
  <c r="BI1015" i="13"/>
  <c r="BI1016" i="13"/>
  <c r="BI1017" i="13"/>
  <c r="BI1018" i="13"/>
  <c r="BI1019" i="13"/>
  <c r="BI1020" i="13"/>
  <c r="BI1021" i="13"/>
  <c r="BI1022" i="13"/>
  <c r="BI1023" i="13"/>
  <c r="BI1024" i="13"/>
  <c r="BI1025" i="13"/>
  <c r="BI1026" i="13"/>
  <c r="BI1027" i="13"/>
  <c r="BI1028" i="13"/>
  <c r="BI1029" i="13"/>
  <c r="BI1030" i="13"/>
  <c r="BI1031" i="13"/>
  <c r="BI1032" i="13"/>
  <c r="BI1033" i="13"/>
  <c r="BI1034" i="13"/>
  <c r="BI1035" i="13"/>
  <c r="BI1036" i="13"/>
  <c r="BI1037" i="13"/>
  <c r="BI1038" i="13"/>
  <c r="BI1039" i="13"/>
  <c r="BI1040" i="13"/>
  <c r="BI1041" i="13"/>
  <c r="BI1042" i="13"/>
  <c r="BI1043" i="13"/>
  <c r="BI1044" i="13"/>
  <c r="BI1045" i="13"/>
  <c r="BI1046" i="13"/>
  <c r="BI1047" i="13"/>
  <c r="BI1048" i="13"/>
  <c r="BI1049" i="13"/>
  <c r="BI1050" i="13"/>
  <c r="BI1051" i="13"/>
  <c r="BI1052" i="13"/>
  <c r="BI1053" i="13"/>
  <c r="BI1054" i="13"/>
  <c r="BI1055" i="13"/>
  <c r="BI3" i="13"/>
  <c r="BH4" i="13"/>
  <c r="BH5" i="13"/>
  <c r="BH6" i="13"/>
  <c r="BH7" i="13"/>
  <c r="BH8" i="13"/>
  <c r="BH9" i="13"/>
  <c r="BH10" i="13"/>
  <c r="BH11" i="13"/>
  <c r="BH12" i="13"/>
  <c r="BH13" i="13"/>
  <c r="BH14" i="13"/>
  <c r="BH15" i="13"/>
  <c r="BH16" i="13"/>
  <c r="BH17" i="13"/>
  <c r="BH18" i="13"/>
  <c r="BH19" i="13"/>
  <c r="BH20" i="13"/>
  <c r="BH21" i="13"/>
  <c r="BH22" i="13"/>
  <c r="BH23" i="13"/>
  <c r="BH24" i="13"/>
  <c r="BH25" i="13"/>
  <c r="BH26" i="13"/>
  <c r="BH27" i="13"/>
  <c r="BH28" i="13"/>
  <c r="BH29" i="13"/>
  <c r="BH30" i="13"/>
  <c r="BH31" i="13"/>
  <c r="BH32" i="13"/>
  <c r="BH33" i="13"/>
  <c r="BH34" i="13"/>
  <c r="BH35" i="13"/>
  <c r="BH36" i="13"/>
  <c r="BH37" i="13"/>
  <c r="BH38" i="13"/>
  <c r="BH39" i="13"/>
  <c r="BH40" i="13"/>
  <c r="BH41" i="13"/>
  <c r="BH42" i="13"/>
  <c r="BH43" i="13"/>
  <c r="BH44" i="13"/>
  <c r="BH45" i="13"/>
  <c r="BH46" i="13"/>
  <c r="BH47" i="13"/>
  <c r="BH48" i="13"/>
  <c r="BH49" i="13"/>
  <c r="BH50" i="13"/>
  <c r="BH51" i="13"/>
  <c r="BH52" i="13"/>
  <c r="BH53" i="13"/>
  <c r="BH54" i="13"/>
  <c r="BH55" i="13"/>
  <c r="BH56" i="13"/>
  <c r="BH57" i="13"/>
  <c r="BH58" i="13"/>
  <c r="BH59" i="13"/>
  <c r="BH60" i="13"/>
  <c r="BH61" i="13"/>
  <c r="BH62" i="13"/>
  <c r="BH63" i="13"/>
  <c r="BH64" i="13"/>
  <c r="BH65" i="13"/>
  <c r="BH66" i="13"/>
  <c r="BH67" i="13"/>
  <c r="BH68" i="13"/>
  <c r="BH69" i="13"/>
  <c r="BH70" i="13"/>
  <c r="BH71" i="13"/>
  <c r="BH72" i="13"/>
  <c r="BH73" i="13"/>
  <c r="BH74" i="13"/>
  <c r="BH75" i="13"/>
  <c r="BH76" i="13"/>
  <c r="BH77" i="13"/>
  <c r="BH78" i="13"/>
  <c r="BH79" i="13"/>
  <c r="BH80" i="13"/>
  <c r="BH81" i="13"/>
  <c r="BH82" i="13"/>
  <c r="BH83" i="13"/>
  <c r="BH84" i="13"/>
  <c r="BH85" i="13"/>
  <c r="BH86" i="13"/>
  <c r="BH87" i="13"/>
  <c r="BH88" i="13"/>
  <c r="BH89" i="13"/>
  <c r="BH90" i="13"/>
  <c r="BH91" i="13"/>
  <c r="BH92" i="13"/>
  <c r="BH93" i="13"/>
  <c r="BH94" i="13"/>
  <c r="BH95" i="13"/>
  <c r="BH96" i="13"/>
  <c r="BH97" i="13"/>
  <c r="BH98" i="13"/>
  <c r="BH99" i="13"/>
  <c r="BH100" i="13"/>
  <c r="BH101" i="13"/>
  <c r="BH102" i="13"/>
  <c r="BH103" i="13"/>
  <c r="BH104" i="13"/>
  <c r="BH105" i="13"/>
  <c r="BH106" i="13"/>
  <c r="BH107" i="13"/>
  <c r="BH108" i="13"/>
  <c r="BH109" i="13"/>
  <c r="BH110" i="13"/>
  <c r="BH111" i="13"/>
  <c r="BH112" i="13"/>
  <c r="BH113" i="13"/>
  <c r="BH114" i="13"/>
  <c r="BH115" i="13"/>
  <c r="BH116" i="13"/>
  <c r="BH117" i="13"/>
  <c r="BH118" i="13"/>
  <c r="BH119" i="13"/>
  <c r="BH120" i="13"/>
  <c r="BH121" i="13"/>
  <c r="BH122" i="13"/>
  <c r="BH123" i="13"/>
  <c r="BH124" i="13"/>
  <c r="BH125" i="13"/>
  <c r="BH126" i="13"/>
  <c r="BH127" i="13"/>
  <c r="BH128" i="13"/>
  <c r="BH129" i="13"/>
  <c r="BH130" i="13"/>
  <c r="BH131" i="13"/>
  <c r="BH132" i="13"/>
  <c r="BH133" i="13"/>
  <c r="BH134" i="13"/>
  <c r="BH135" i="13"/>
  <c r="BH136" i="13"/>
  <c r="BH137" i="13"/>
  <c r="BH138" i="13"/>
  <c r="BH139" i="13"/>
  <c r="BH140" i="13"/>
  <c r="BH141" i="13"/>
  <c r="BH142" i="13"/>
  <c r="BH143" i="13"/>
  <c r="BH144" i="13"/>
  <c r="BH145" i="13"/>
  <c r="BH146" i="13"/>
  <c r="BH147" i="13"/>
  <c r="BH148" i="13"/>
  <c r="BH149" i="13"/>
  <c r="BH150" i="13"/>
  <c r="BH151" i="13"/>
  <c r="BH152" i="13"/>
  <c r="BH153" i="13"/>
  <c r="BH154" i="13"/>
  <c r="BH155" i="13"/>
  <c r="BH156" i="13"/>
  <c r="BH157" i="13"/>
  <c r="BH158" i="13"/>
  <c r="BH159" i="13"/>
  <c r="BH160" i="13"/>
  <c r="BH161" i="13"/>
  <c r="BH162" i="13"/>
  <c r="BH163" i="13"/>
  <c r="BH164" i="13"/>
  <c r="BH165" i="13"/>
  <c r="BH166" i="13"/>
  <c r="BH167" i="13"/>
  <c r="BH168" i="13"/>
  <c r="BH169" i="13"/>
  <c r="BH170" i="13"/>
  <c r="BH171" i="13"/>
  <c r="BH172" i="13"/>
  <c r="BH173" i="13"/>
  <c r="BH174" i="13"/>
  <c r="BH175" i="13"/>
  <c r="BH176" i="13"/>
  <c r="BH177" i="13"/>
  <c r="BH178" i="13"/>
  <c r="BH179" i="13"/>
  <c r="BH180" i="13"/>
  <c r="BH181" i="13"/>
  <c r="BH182" i="13"/>
  <c r="BH183" i="13"/>
  <c r="BH184" i="13"/>
  <c r="BH185" i="13"/>
  <c r="BH186" i="13"/>
  <c r="BH187" i="13"/>
  <c r="BH188" i="13"/>
  <c r="BH189" i="13"/>
  <c r="BH190" i="13"/>
  <c r="BH191" i="13"/>
  <c r="BH192" i="13"/>
  <c r="BH193" i="13"/>
  <c r="BH194" i="13"/>
  <c r="BH195" i="13"/>
  <c r="BH196" i="13"/>
  <c r="BH197" i="13"/>
  <c r="BH198" i="13"/>
  <c r="BH199" i="13"/>
  <c r="BH200" i="13"/>
  <c r="BH201" i="13"/>
  <c r="BH202" i="13"/>
  <c r="BH203" i="13"/>
  <c r="BH204" i="13"/>
  <c r="BH205" i="13"/>
  <c r="BH206" i="13"/>
  <c r="BH207" i="13"/>
  <c r="BH208" i="13"/>
  <c r="BH209" i="13"/>
  <c r="BH210" i="13"/>
  <c r="BH211" i="13"/>
  <c r="BH212" i="13"/>
  <c r="BH213" i="13"/>
  <c r="BH214" i="13"/>
  <c r="BH215" i="13"/>
  <c r="BH216" i="13"/>
  <c r="BH217" i="13"/>
  <c r="BH218" i="13"/>
  <c r="BH219" i="13"/>
  <c r="BH220" i="13"/>
  <c r="BH221" i="13"/>
  <c r="BH222" i="13"/>
  <c r="BH223" i="13"/>
  <c r="BH224" i="13"/>
  <c r="BH225" i="13"/>
  <c r="BH226" i="13"/>
  <c r="BH227" i="13"/>
  <c r="BH228" i="13"/>
  <c r="BH229" i="13"/>
  <c r="BH230" i="13"/>
  <c r="BH231" i="13"/>
  <c r="BH232" i="13"/>
  <c r="BH233" i="13"/>
  <c r="BH234" i="13"/>
  <c r="BH235" i="13"/>
  <c r="BH236" i="13"/>
  <c r="BH237" i="13"/>
  <c r="BH238" i="13"/>
  <c r="BH239" i="13"/>
  <c r="BH240" i="13"/>
  <c r="BH241" i="13"/>
  <c r="BH242" i="13"/>
  <c r="BH243" i="13"/>
  <c r="BH244" i="13"/>
  <c r="BH245" i="13"/>
  <c r="BH246" i="13"/>
  <c r="BH247" i="13"/>
  <c r="BH248" i="13"/>
  <c r="BH249" i="13"/>
  <c r="BH250" i="13"/>
  <c r="BH251" i="13"/>
  <c r="BH252" i="13"/>
  <c r="BH253" i="13"/>
  <c r="BH254" i="13"/>
  <c r="BH255" i="13"/>
  <c r="BH256" i="13"/>
  <c r="BH257" i="13"/>
  <c r="BH258" i="13"/>
  <c r="BH259" i="13"/>
  <c r="BH260" i="13"/>
  <c r="BH261" i="13"/>
  <c r="BH262" i="13"/>
  <c r="BH263" i="13"/>
  <c r="BH264" i="13"/>
  <c r="BH265" i="13"/>
  <c r="BH266" i="13"/>
  <c r="BH267" i="13"/>
  <c r="BH268" i="13"/>
  <c r="BH269" i="13"/>
  <c r="BH270" i="13"/>
  <c r="BH271" i="13"/>
  <c r="BH272" i="13"/>
  <c r="BH273" i="13"/>
  <c r="BH274" i="13"/>
  <c r="BH275" i="13"/>
  <c r="BH276" i="13"/>
  <c r="BH277" i="13"/>
  <c r="BH278" i="13"/>
  <c r="BH279" i="13"/>
  <c r="BH280" i="13"/>
  <c r="BH281" i="13"/>
  <c r="BH282" i="13"/>
  <c r="BH283" i="13"/>
  <c r="BH284" i="13"/>
  <c r="BH285" i="13"/>
  <c r="BH286" i="13"/>
  <c r="BH287" i="13"/>
  <c r="BH288" i="13"/>
  <c r="BH289" i="13"/>
  <c r="BH290" i="13"/>
  <c r="BH291" i="13"/>
  <c r="BH292" i="13"/>
  <c r="BH293" i="13"/>
  <c r="BH294" i="13"/>
  <c r="BH295" i="13"/>
  <c r="BH296" i="13"/>
  <c r="BH297" i="13"/>
  <c r="BH298" i="13"/>
  <c r="BH299" i="13"/>
  <c r="BH300" i="13"/>
  <c r="BH301" i="13"/>
  <c r="BH302" i="13"/>
  <c r="BH303" i="13"/>
  <c r="BH304" i="13"/>
  <c r="BH305" i="13"/>
  <c r="BH306" i="13"/>
  <c r="BH307" i="13"/>
  <c r="BH308" i="13"/>
  <c r="BH309" i="13"/>
  <c r="BH310" i="13"/>
  <c r="BH311" i="13"/>
  <c r="BH312" i="13"/>
  <c r="BH313" i="13"/>
  <c r="BH314" i="13"/>
  <c r="BH315" i="13"/>
  <c r="BH316" i="13"/>
  <c r="BH317" i="13"/>
  <c r="BH318" i="13"/>
  <c r="BH319" i="13"/>
  <c r="BH320" i="13"/>
  <c r="BH321" i="13"/>
  <c r="BH322" i="13"/>
  <c r="BH323" i="13"/>
  <c r="BH324" i="13"/>
  <c r="BH325" i="13"/>
  <c r="BH326" i="13"/>
  <c r="BH327" i="13"/>
  <c r="BH328" i="13"/>
  <c r="BH329" i="13"/>
  <c r="BH330" i="13"/>
  <c r="BH331" i="13"/>
  <c r="BH332" i="13"/>
  <c r="BH333" i="13"/>
  <c r="BH334" i="13"/>
  <c r="BH335" i="13"/>
  <c r="BH336" i="13"/>
  <c r="BH337" i="13"/>
  <c r="BH338" i="13"/>
  <c r="BH339" i="13"/>
  <c r="BH340" i="13"/>
  <c r="BH341" i="13"/>
  <c r="BH342" i="13"/>
  <c r="BH343" i="13"/>
  <c r="BH344" i="13"/>
  <c r="BH345" i="13"/>
  <c r="BH346" i="13"/>
  <c r="BH347" i="13"/>
  <c r="BH348" i="13"/>
  <c r="BH349" i="13"/>
  <c r="BH350" i="13"/>
  <c r="BH351" i="13"/>
  <c r="BH352" i="13"/>
  <c r="BH353" i="13"/>
  <c r="BK353" i="13" s="1"/>
  <c r="BH354" i="13"/>
  <c r="BH355" i="13"/>
  <c r="BH356" i="13"/>
  <c r="BH357" i="13"/>
  <c r="BH358" i="13"/>
  <c r="BH359" i="13"/>
  <c r="BH360" i="13"/>
  <c r="BH361" i="13"/>
  <c r="BK361" i="13" s="1"/>
  <c r="BH362" i="13"/>
  <c r="BH363" i="13"/>
  <c r="BH364" i="13"/>
  <c r="BH365" i="13"/>
  <c r="BH366" i="13"/>
  <c r="BH367" i="13"/>
  <c r="BH368" i="13"/>
  <c r="BH369" i="13"/>
  <c r="BK369" i="13" s="1"/>
  <c r="BH370" i="13"/>
  <c r="BH371" i="13"/>
  <c r="BH372" i="13"/>
  <c r="BH373" i="13"/>
  <c r="BH374" i="13"/>
  <c r="BH375" i="13"/>
  <c r="BH376" i="13"/>
  <c r="BH377" i="13"/>
  <c r="BK377" i="13" s="1"/>
  <c r="BH378" i="13"/>
  <c r="BH379" i="13"/>
  <c r="BH380" i="13"/>
  <c r="BH381" i="13"/>
  <c r="BH382" i="13"/>
  <c r="BH383" i="13"/>
  <c r="BH384" i="13"/>
  <c r="BH385" i="13"/>
  <c r="BK385" i="13" s="1"/>
  <c r="BH386" i="13"/>
  <c r="BH387" i="13"/>
  <c r="BH388" i="13"/>
  <c r="BH389" i="13"/>
  <c r="BH390" i="13"/>
  <c r="BH391" i="13"/>
  <c r="BH392" i="13"/>
  <c r="BH393" i="13"/>
  <c r="BK393" i="13" s="1"/>
  <c r="BH394" i="13"/>
  <c r="BH395" i="13"/>
  <c r="BH396" i="13"/>
  <c r="BH397" i="13"/>
  <c r="BH398" i="13"/>
  <c r="BH399" i="13"/>
  <c r="BH400" i="13"/>
  <c r="BH401" i="13"/>
  <c r="BK401" i="13" s="1"/>
  <c r="BH402" i="13"/>
  <c r="BH403" i="13"/>
  <c r="BH404" i="13"/>
  <c r="BH405" i="13"/>
  <c r="BH406" i="13"/>
  <c r="BH407" i="13"/>
  <c r="BH408" i="13"/>
  <c r="BH409" i="13"/>
  <c r="BK409" i="13" s="1"/>
  <c r="BH410" i="13"/>
  <c r="BH411" i="13"/>
  <c r="BH412" i="13"/>
  <c r="BH413" i="13"/>
  <c r="BH414" i="13"/>
  <c r="BH415" i="13"/>
  <c r="BH416" i="13"/>
  <c r="BH417" i="13"/>
  <c r="BK417" i="13" s="1"/>
  <c r="BH418" i="13"/>
  <c r="BH419" i="13"/>
  <c r="BH420" i="13"/>
  <c r="BH421" i="13"/>
  <c r="BH422" i="13"/>
  <c r="BH423" i="13"/>
  <c r="BH424" i="13"/>
  <c r="BH425" i="13"/>
  <c r="BK425" i="13" s="1"/>
  <c r="BH426" i="13"/>
  <c r="BH427" i="13"/>
  <c r="BH428" i="13"/>
  <c r="BH429" i="13"/>
  <c r="BH430" i="13"/>
  <c r="BH431" i="13"/>
  <c r="BH432" i="13"/>
  <c r="BH433" i="13"/>
  <c r="BK433" i="13" s="1"/>
  <c r="BH434" i="13"/>
  <c r="BH435" i="13"/>
  <c r="BH436" i="13"/>
  <c r="BH437" i="13"/>
  <c r="BH438" i="13"/>
  <c r="BH439" i="13"/>
  <c r="BH440" i="13"/>
  <c r="BH441" i="13"/>
  <c r="BK441" i="13" s="1"/>
  <c r="BH442" i="13"/>
  <c r="BH443" i="13"/>
  <c r="BH444" i="13"/>
  <c r="BH445" i="13"/>
  <c r="BH446" i="13"/>
  <c r="BH447" i="13"/>
  <c r="BH448" i="13"/>
  <c r="BH449" i="13"/>
  <c r="BK449" i="13" s="1"/>
  <c r="BH450" i="13"/>
  <c r="BH451" i="13"/>
  <c r="BH452" i="13"/>
  <c r="BH453" i="13"/>
  <c r="BH454" i="13"/>
  <c r="BH455" i="13"/>
  <c r="BH456" i="13"/>
  <c r="BH457" i="13"/>
  <c r="BK457" i="13" s="1"/>
  <c r="BH458" i="13"/>
  <c r="BH459" i="13"/>
  <c r="BH460" i="13"/>
  <c r="BH461" i="13"/>
  <c r="BH462" i="13"/>
  <c r="BH463" i="13"/>
  <c r="BH464" i="13"/>
  <c r="BH465" i="13"/>
  <c r="BK465" i="13" s="1"/>
  <c r="BH466" i="13"/>
  <c r="BH467" i="13"/>
  <c r="BH468" i="13"/>
  <c r="BH469" i="13"/>
  <c r="BH470" i="13"/>
  <c r="BH471" i="13"/>
  <c r="BH472" i="13"/>
  <c r="BH473" i="13"/>
  <c r="BK473" i="13" s="1"/>
  <c r="BH474" i="13"/>
  <c r="BH475" i="13"/>
  <c r="BH476" i="13"/>
  <c r="BH477" i="13"/>
  <c r="BH478" i="13"/>
  <c r="BH479" i="13"/>
  <c r="BH480" i="13"/>
  <c r="BH481" i="13"/>
  <c r="BK481" i="13" s="1"/>
  <c r="BH482" i="13"/>
  <c r="BH483" i="13"/>
  <c r="BH484" i="13"/>
  <c r="BH485" i="13"/>
  <c r="BH486" i="13"/>
  <c r="BH487" i="13"/>
  <c r="BH488" i="13"/>
  <c r="BH489" i="13"/>
  <c r="BK489" i="13" s="1"/>
  <c r="BH490" i="13"/>
  <c r="BH491" i="13"/>
  <c r="BH492" i="13"/>
  <c r="BH493" i="13"/>
  <c r="BH494" i="13"/>
  <c r="BH495" i="13"/>
  <c r="BH496" i="13"/>
  <c r="BH497" i="13"/>
  <c r="BK497" i="13" s="1"/>
  <c r="BH498" i="13"/>
  <c r="BH499" i="13"/>
  <c r="BH500" i="13"/>
  <c r="BH501" i="13"/>
  <c r="BH502" i="13"/>
  <c r="BH503" i="13"/>
  <c r="BH504" i="13"/>
  <c r="BH505" i="13"/>
  <c r="BK505" i="13" s="1"/>
  <c r="BH506" i="13"/>
  <c r="BH507" i="13"/>
  <c r="BH508" i="13"/>
  <c r="BH509" i="13"/>
  <c r="BH510" i="13"/>
  <c r="BH511" i="13"/>
  <c r="BH512" i="13"/>
  <c r="BH513" i="13"/>
  <c r="BK513" i="13" s="1"/>
  <c r="BH514" i="13"/>
  <c r="BH515" i="13"/>
  <c r="BH516" i="13"/>
  <c r="BH517" i="13"/>
  <c r="BH518" i="13"/>
  <c r="BH519" i="13"/>
  <c r="BH520" i="13"/>
  <c r="BH521" i="13"/>
  <c r="BK521" i="13" s="1"/>
  <c r="BH522" i="13"/>
  <c r="BH523" i="13"/>
  <c r="BH524" i="13"/>
  <c r="BH525" i="13"/>
  <c r="BH526" i="13"/>
  <c r="BH527" i="13"/>
  <c r="BH528" i="13"/>
  <c r="BH529" i="13"/>
  <c r="BK529" i="13" s="1"/>
  <c r="BH530" i="13"/>
  <c r="BH531" i="13"/>
  <c r="BH532" i="13"/>
  <c r="BH533" i="13"/>
  <c r="BH534" i="13"/>
  <c r="BH535" i="13"/>
  <c r="BH536" i="13"/>
  <c r="BH537" i="13"/>
  <c r="BK537" i="13" s="1"/>
  <c r="BH538" i="13"/>
  <c r="BH539" i="13"/>
  <c r="BH540" i="13"/>
  <c r="BH541" i="13"/>
  <c r="BH542" i="13"/>
  <c r="BH543" i="13"/>
  <c r="BH544" i="13"/>
  <c r="BH545" i="13"/>
  <c r="BK545" i="13" s="1"/>
  <c r="BH546" i="13"/>
  <c r="BH547" i="13"/>
  <c r="BH548" i="13"/>
  <c r="BH549" i="13"/>
  <c r="BH550" i="13"/>
  <c r="BH551" i="13"/>
  <c r="BH552" i="13"/>
  <c r="BH553" i="13"/>
  <c r="BK553" i="13" s="1"/>
  <c r="BH554" i="13"/>
  <c r="BH555" i="13"/>
  <c r="BH556" i="13"/>
  <c r="BH557" i="13"/>
  <c r="BH558" i="13"/>
  <c r="BH559" i="13"/>
  <c r="BH560" i="13"/>
  <c r="BH561" i="13"/>
  <c r="BK561" i="13" s="1"/>
  <c r="BH562" i="13"/>
  <c r="BH563" i="13"/>
  <c r="BH564" i="13"/>
  <c r="BH565" i="13"/>
  <c r="BH566" i="13"/>
  <c r="BH567" i="13"/>
  <c r="BH568" i="13"/>
  <c r="BH569" i="13"/>
  <c r="BK569" i="13" s="1"/>
  <c r="BH570" i="13"/>
  <c r="BH571" i="13"/>
  <c r="BH572" i="13"/>
  <c r="BH573" i="13"/>
  <c r="BH574" i="13"/>
  <c r="BH575" i="13"/>
  <c r="BH576" i="13"/>
  <c r="BH577" i="13"/>
  <c r="BK577" i="13" s="1"/>
  <c r="BH578" i="13"/>
  <c r="BH579" i="13"/>
  <c r="BH580" i="13"/>
  <c r="BH581" i="13"/>
  <c r="BH582" i="13"/>
  <c r="BH583" i="13"/>
  <c r="BH584" i="13"/>
  <c r="BH585" i="13"/>
  <c r="BK585" i="13" s="1"/>
  <c r="BH586" i="13"/>
  <c r="BH587" i="13"/>
  <c r="BH588" i="13"/>
  <c r="BH589" i="13"/>
  <c r="BH590" i="13"/>
  <c r="BH591" i="13"/>
  <c r="BH592" i="13"/>
  <c r="BH593" i="13"/>
  <c r="BK593" i="13" s="1"/>
  <c r="BH594" i="13"/>
  <c r="BH595" i="13"/>
  <c r="BH596" i="13"/>
  <c r="BH597" i="13"/>
  <c r="BH598" i="13"/>
  <c r="BH599" i="13"/>
  <c r="BH600" i="13"/>
  <c r="BH601" i="13"/>
  <c r="BK601" i="13" s="1"/>
  <c r="BH602" i="13"/>
  <c r="BH603" i="13"/>
  <c r="BH604" i="13"/>
  <c r="BH605" i="13"/>
  <c r="BH606" i="13"/>
  <c r="BH607" i="13"/>
  <c r="BH608" i="13"/>
  <c r="BH609" i="13"/>
  <c r="BK609" i="13" s="1"/>
  <c r="BH610" i="13"/>
  <c r="BH611" i="13"/>
  <c r="BH612" i="13"/>
  <c r="BH613" i="13"/>
  <c r="BH614" i="13"/>
  <c r="BH615" i="13"/>
  <c r="BH616" i="13"/>
  <c r="BH617" i="13"/>
  <c r="BK617" i="13" s="1"/>
  <c r="BH618" i="13"/>
  <c r="BH619" i="13"/>
  <c r="BH620" i="13"/>
  <c r="BH621" i="13"/>
  <c r="BH622" i="13"/>
  <c r="BH623" i="13"/>
  <c r="BH624" i="13"/>
  <c r="BH625" i="13"/>
  <c r="BK625" i="13" s="1"/>
  <c r="BH626" i="13"/>
  <c r="BH627" i="13"/>
  <c r="BH628" i="13"/>
  <c r="BH629" i="13"/>
  <c r="BH630" i="13"/>
  <c r="BH631" i="13"/>
  <c r="BH632" i="13"/>
  <c r="BH633" i="13"/>
  <c r="BK633" i="13" s="1"/>
  <c r="BH634" i="13"/>
  <c r="BH635" i="13"/>
  <c r="BH636" i="13"/>
  <c r="BH637" i="13"/>
  <c r="BH638" i="13"/>
  <c r="BH639" i="13"/>
  <c r="BH640" i="13"/>
  <c r="BH641" i="13"/>
  <c r="BK641" i="13" s="1"/>
  <c r="BH642" i="13"/>
  <c r="BH643" i="13"/>
  <c r="BH644" i="13"/>
  <c r="BH645" i="13"/>
  <c r="BH646" i="13"/>
  <c r="BH647" i="13"/>
  <c r="BH648" i="13"/>
  <c r="BH649" i="13"/>
  <c r="BK649" i="13" s="1"/>
  <c r="BH650" i="13"/>
  <c r="BH651" i="13"/>
  <c r="BH652" i="13"/>
  <c r="BH653" i="13"/>
  <c r="BH654" i="13"/>
  <c r="BH655" i="13"/>
  <c r="BH656" i="13"/>
  <c r="BH657" i="13"/>
  <c r="BK657" i="13" s="1"/>
  <c r="BH658" i="13"/>
  <c r="BH659" i="13"/>
  <c r="BH660" i="13"/>
  <c r="BH661" i="13"/>
  <c r="BH662" i="13"/>
  <c r="BH663" i="13"/>
  <c r="BH664" i="13"/>
  <c r="BH665" i="13"/>
  <c r="BK665" i="13" s="1"/>
  <c r="BH666" i="13"/>
  <c r="BH667" i="13"/>
  <c r="BH668" i="13"/>
  <c r="BH669" i="13"/>
  <c r="BH670" i="13"/>
  <c r="BH671" i="13"/>
  <c r="BH672" i="13"/>
  <c r="BH673" i="13"/>
  <c r="BK673" i="13" s="1"/>
  <c r="BH674" i="13"/>
  <c r="BH675" i="13"/>
  <c r="BH676" i="13"/>
  <c r="BH677" i="13"/>
  <c r="BH678" i="13"/>
  <c r="BH679" i="13"/>
  <c r="BH680" i="13"/>
  <c r="BH681" i="13"/>
  <c r="BK681" i="13" s="1"/>
  <c r="BH682" i="13"/>
  <c r="BH683" i="13"/>
  <c r="BH684" i="13"/>
  <c r="BH685" i="13"/>
  <c r="BH686" i="13"/>
  <c r="BH687" i="13"/>
  <c r="BH688" i="13"/>
  <c r="BH689" i="13"/>
  <c r="BK689" i="13" s="1"/>
  <c r="BH690" i="13"/>
  <c r="BH691" i="13"/>
  <c r="BH692" i="13"/>
  <c r="BH693" i="13"/>
  <c r="BH694" i="13"/>
  <c r="BH695" i="13"/>
  <c r="BH696" i="13"/>
  <c r="BH697" i="13"/>
  <c r="BK697" i="13" s="1"/>
  <c r="BH698" i="13"/>
  <c r="BH699" i="13"/>
  <c r="BH700" i="13"/>
  <c r="BH701" i="13"/>
  <c r="BH702" i="13"/>
  <c r="BH703" i="13"/>
  <c r="BH704" i="13"/>
  <c r="BH705" i="13"/>
  <c r="BK705" i="13" s="1"/>
  <c r="BH706" i="13"/>
  <c r="BH707" i="13"/>
  <c r="BH708" i="13"/>
  <c r="BH709" i="13"/>
  <c r="BH710" i="13"/>
  <c r="BH711" i="13"/>
  <c r="BH712" i="13"/>
  <c r="BH713" i="13"/>
  <c r="BK713" i="13" s="1"/>
  <c r="BH714" i="13"/>
  <c r="BH715" i="13"/>
  <c r="BH716" i="13"/>
  <c r="BH717" i="13"/>
  <c r="BH718" i="13"/>
  <c r="BH719" i="13"/>
  <c r="BH720" i="13"/>
  <c r="BH721" i="13"/>
  <c r="BK721" i="13" s="1"/>
  <c r="BH722" i="13"/>
  <c r="BH723" i="13"/>
  <c r="BH724" i="13"/>
  <c r="BH725" i="13"/>
  <c r="BH726" i="13"/>
  <c r="BH727" i="13"/>
  <c r="BH728" i="13"/>
  <c r="BH729" i="13"/>
  <c r="BK729" i="13" s="1"/>
  <c r="BH730" i="13"/>
  <c r="BH731" i="13"/>
  <c r="BH732" i="13"/>
  <c r="BH733" i="13"/>
  <c r="BH734" i="13"/>
  <c r="BH735" i="13"/>
  <c r="BH736" i="13"/>
  <c r="BH737" i="13"/>
  <c r="BK737" i="13" s="1"/>
  <c r="BH738" i="13"/>
  <c r="BH739" i="13"/>
  <c r="BH740" i="13"/>
  <c r="BH741" i="13"/>
  <c r="BH742" i="13"/>
  <c r="BH743" i="13"/>
  <c r="BH744" i="13"/>
  <c r="BH745" i="13"/>
  <c r="BK745" i="13" s="1"/>
  <c r="BH746" i="13"/>
  <c r="BH747" i="13"/>
  <c r="BH748" i="13"/>
  <c r="BH749" i="13"/>
  <c r="BH750" i="13"/>
  <c r="BH751" i="13"/>
  <c r="BH752" i="13"/>
  <c r="BH753" i="13"/>
  <c r="BK753" i="13" s="1"/>
  <c r="BH754" i="13"/>
  <c r="BH755" i="13"/>
  <c r="BH756" i="13"/>
  <c r="BH757" i="13"/>
  <c r="BH758" i="13"/>
  <c r="BH759" i="13"/>
  <c r="BH760" i="13"/>
  <c r="BH761" i="13"/>
  <c r="BK761" i="13" s="1"/>
  <c r="BH762" i="13"/>
  <c r="BH763" i="13"/>
  <c r="BH764" i="13"/>
  <c r="BH765" i="13"/>
  <c r="BH766" i="13"/>
  <c r="BH767" i="13"/>
  <c r="BH768" i="13"/>
  <c r="BH769" i="13"/>
  <c r="BK769" i="13" s="1"/>
  <c r="BH770" i="13"/>
  <c r="BH771" i="13"/>
  <c r="BH772" i="13"/>
  <c r="BH773" i="13"/>
  <c r="BH774" i="13"/>
  <c r="BH775" i="13"/>
  <c r="BH776" i="13"/>
  <c r="BH777" i="13"/>
  <c r="BK777" i="13" s="1"/>
  <c r="BH778" i="13"/>
  <c r="BH779" i="13"/>
  <c r="BH780" i="13"/>
  <c r="BH781" i="13"/>
  <c r="BH782" i="13"/>
  <c r="BH783" i="13"/>
  <c r="BH784" i="13"/>
  <c r="BH785" i="13"/>
  <c r="BK785" i="13" s="1"/>
  <c r="BH786" i="13"/>
  <c r="BH787" i="13"/>
  <c r="BH788" i="13"/>
  <c r="BH789" i="13"/>
  <c r="BH790" i="13"/>
  <c r="BH791" i="13"/>
  <c r="BH792" i="13"/>
  <c r="BH793" i="13"/>
  <c r="BK793" i="13" s="1"/>
  <c r="BH794" i="13"/>
  <c r="BH795" i="13"/>
  <c r="BH796" i="13"/>
  <c r="BH797" i="13"/>
  <c r="BH798" i="13"/>
  <c r="BH799" i="13"/>
  <c r="BH800" i="13"/>
  <c r="BH801" i="13"/>
  <c r="BK801" i="13" s="1"/>
  <c r="BH802" i="13"/>
  <c r="BH803" i="13"/>
  <c r="BH804" i="13"/>
  <c r="BH805" i="13"/>
  <c r="BH806" i="13"/>
  <c r="BH807" i="13"/>
  <c r="BH808" i="13"/>
  <c r="BH809" i="13"/>
  <c r="BK809" i="13" s="1"/>
  <c r="BH810" i="13"/>
  <c r="BH811" i="13"/>
  <c r="BH812" i="13"/>
  <c r="BH813" i="13"/>
  <c r="BH814" i="13"/>
  <c r="BH815" i="13"/>
  <c r="BH816" i="13"/>
  <c r="BH817" i="13"/>
  <c r="BK817" i="13" s="1"/>
  <c r="BH818" i="13"/>
  <c r="BH819" i="13"/>
  <c r="BH820" i="13"/>
  <c r="BH821" i="13"/>
  <c r="BH822" i="13"/>
  <c r="BH823" i="13"/>
  <c r="BH824" i="13"/>
  <c r="BH825" i="13"/>
  <c r="BK825" i="13" s="1"/>
  <c r="BH826" i="13"/>
  <c r="BH827" i="13"/>
  <c r="BH828" i="13"/>
  <c r="BH829" i="13"/>
  <c r="BH830" i="13"/>
  <c r="BH831" i="13"/>
  <c r="BH832" i="13"/>
  <c r="BH833" i="13"/>
  <c r="BK833" i="13" s="1"/>
  <c r="BH834" i="13"/>
  <c r="BH835" i="13"/>
  <c r="BH836" i="13"/>
  <c r="BH837" i="13"/>
  <c r="BH838" i="13"/>
  <c r="BH839" i="13"/>
  <c r="BH840" i="13"/>
  <c r="BH841" i="13"/>
  <c r="BK841" i="13" s="1"/>
  <c r="BH842" i="13"/>
  <c r="BH843" i="13"/>
  <c r="BH844" i="13"/>
  <c r="BH845" i="13"/>
  <c r="BH846" i="13"/>
  <c r="BH847" i="13"/>
  <c r="BH848" i="13"/>
  <c r="BH849" i="13"/>
  <c r="BK849" i="13" s="1"/>
  <c r="BH850" i="13"/>
  <c r="BH851" i="13"/>
  <c r="BH852" i="13"/>
  <c r="BH853" i="13"/>
  <c r="BH854" i="13"/>
  <c r="BH855" i="13"/>
  <c r="BH856" i="13"/>
  <c r="BH857" i="13"/>
  <c r="BK857" i="13" s="1"/>
  <c r="BH858" i="13"/>
  <c r="BH859" i="13"/>
  <c r="BH860" i="13"/>
  <c r="BH861" i="13"/>
  <c r="BH862" i="13"/>
  <c r="BH863" i="13"/>
  <c r="BH864" i="13"/>
  <c r="BH865" i="13"/>
  <c r="BK865" i="13" s="1"/>
  <c r="BH866" i="13"/>
  <c r="BH867" i="13"/>
  <c r="BH868" i="13"/>
  <c r="BH869" i="13"/>
  <c r="BH870" i="13"/>
  <c r="BH871" i="13"/>
  <c r="BH872" i="13"/>
  <c r="BH873" i="13"/>
  <c r="BK873" i="13" s="1"/>
  <c r="BH874" i="13"/>
  <c r="BH875" i="13"/>
  <c r="BH876" i="13"/>
  <c r="BH877" i="13"/>
  <c r="BH878" i="13"/>
  <c r="BH879" i="13"/>
  <c r="BH880" i="13"/>
  <c r="BH881" i="13"/>
  <c r="BK881" i="13" s="1"/>
  <c r="BH882" i="13"/>
  <c r="BH883" i="13"/>
  <c r="BH884" i="13"/>
  <c r="BH885" i="13"/>
  <c r="BH886" i="13"/>
  <c r="BH887" i="13"/>
  <c r="BH888" i="13"/>
  <c r="BH889" i="13"/>
  <c r="BK889" i="13" s="1"/>
  <c r="BH890" i="13"/>
  <c r="BH891" i="13"/>
  <c r="BH892" i="13"/>
  <c r="BH893" i="13"/>
  <c r="BH894" i="13"/>
  <c r="BH895" i="13"/>
  <c r="BH896" i="13"/>
  <c r="BH897" i="13"/>
  <c r="BK897" i="13" s="1"/>
  <c r="BH898" i="13"/>
  <c r="BH899" i="13"/>
  <c r="BH900" i="13"/>
  <c r="BH901" i="13"/>
  <c r="BH902" i="13"/>
  <c r="BH903" i="13"/>
  <c r="BH904" i="13"/>
  <c r="BH905" i="13"/>
  <c r="BK905" i="13" s="1"/>
  <c r="BH906" i="13"/>
  <c r="BH907" i="13"/>
  <c r="BH908" i="13"/>
  <c r="BH909" i="13"/>
  <c r="BH910" i="13"/>
  <c r="BH911" i="13"/>
  <c r="BH912" i="13"/>
  <c r="BH913" i="13"/>
  <c r="BK913" i="13" s="1"/>
  <c r="BH914" i="13"/>
  <c r="BH915" i="13"/>
  <c r="BH916" i="13"/>
  <c r="BH917" i="13"/>
  <c r="BH918" i="13"/>
  <c r="BH919" i="13"/>
  <c r="BH920" i="13"/>
  <c r="BH921" i="13"/>
  <c r="BK921" i="13" s="1"/>
  <c r="BH922" i="13"/>
  <c r="BH923" i="13"/>
  <c r="BH924" i="13"/>
  <c r="BH925" i="13"/>
  <c r="BH926" i="13"/>
  <c r="BH927" i="13"/>
  <c r="BH928" i="13"/>
  <c r="BH929" i="13"/>
  <c r="BK929" i="13" s="1"/>
  <c r="BH930" i="13"/>
  <c r="BH931" i="13"/>
  <c r="BH932" i="13"/>
  <c r="BH933" i="13"/>
  <c r="BH934" i="13"/>
  <c r="BH935" i="13"/>
  <c r="BH936" i="13"/>
  <c r="BH937" i="13"/>
  <c r="BK937" i="13" s="1"/>
  <c r="BH938" i="13"/>
  <c r="BH939" i="13"/>
  <c r="BH940" i="13"/>
  <c r="BH941" i="13"/>
  <c r="BH942" i="13"/>
  <c r="BH943" i="13"/>
  <c r="BH944" i="13"/>
  <c r="BH945" i="13"/>
  <c r="BK945" i="13" s="1"/>
  <c r="BH946" i="13"/>
  <c r="BH947" i="13"/>
  <c r="BH948" i="13"/>
  <c r="BH949" i="13"/>
  <c r="BH950" i="13"/>
  <c r="BH951" i="13"/>
  <c r="BH952" i="13"/>
  <c r="BH953" i="13"/>
  <c r="BK953" i="13" s="1"/>
  <c r="BH954" i="13"/>
  <c r="BH955" i="13"/>
  <c r="BH956" i="13"/>
  <c r="BH957" i="13"/>
  <c r="BH958" i="13"/>
  <c r="BH959" i="13"/>
  <c r="BH960" i="13"/>
  <c r="BH961" i="13"/>
  <c r="BK961" i="13" s="1"/>
  <c r="BH962" i="13"/>
  <c r="BH963" i="13"/>
  <c r="BH964" i="13"/>
  <c r="BH965" i="13"/>
  <c r="BH966" i="13"/>
  <c r="BH967" i="13"/>
  <c r="BH968" i="13"/>
  <c r="BH969" i="13"/>
  <c r="BK969" i="13" s="1"/>
  <c r="BH970" i="13"/>
  <c r="BH971" i="13"/>
  <c r="BH972" i="13"/>
  <c r="BH973" i="13"/>
  <c r="BH974" i="13"/>
  <c r="BH975" i="13"/>
  <c r="BH976" i="13"/>
  <c r="BH977" i="13"/>
  <c r="BK977" i="13" s="1"/>
  <c r="BH978" i="13"/>
  <c r="BH979" i="13"/>
  <c r="BH980" i="13"/>
  <c r="BH981" i="13"/>
  <c r="BH982" i="13"/>
  <c r="BH983" i="13"/>
  <c r="BH984" i="13"/>
  <c r="BH985" i="13"/>
  <c r="BK985" i="13" s="1"/>
  <c r="BH986" i="13"/>
  <c r="BH987" i="13"/>
  <c r="BH988" i="13"/>
  <c r="BH989" i="13"/>
  <c r="BH990" i="13"/>
  <c r="BH991" i="13"/>
  <c r="BH992" i="13"/>
  <c r="BH993" i="13"/>
  <c r="BK993" i="13" s="1"/>
  <c r="BH994" i="13"/>
  <c r="BH995" i="13"/>
  <c r="BH996" i="13"/>
  <c r="BH997" i="13"/>
  <c r="BH998" i="13"/>
  <c r="BH999" i="13"/>
  <c r="BH1000" i="13"/>
  <c r="BH1001" i="13"/>
  <c r="BK1001" i="13" s="1"/>
  <c r="BH1002" i="13"/>
  <c r="BH1003" i="13"/>
  <c r="BH1004" i="13"/>
  <c r="BH1005" i="13"/>
  <c r="BH1006" i="13"/>
  <c r="BH1007" i="13"/>
  <c r="BH1008" i="13"/>
  <c r="BH1009" i="13"/>
  <c r="BK1009" i="13" s="1"/>
  <c r="BH1010" i="13"/>
  <c r="BH1011" i="13"/>
  <c r="BH1012" i="13"/>
  <c r="BH1013" i="13"/>
  <c r="BH1014" i="13"/>
  <c r="BH1015" i="13"/>
  <c r="BH1016" i="13"/>
  <c r="BH1017" i="13"/>
  <c r="BK1017" i="13" s="1"/>
  <c r="BH1018" i="13"/>
  <c r="BH1019" i="13"/>
  <c r="BH1020" i="13"/>
  <c r="BH1021" i="13"/>
  <c r="BH1022" i="13"/>
  <c r="BH1023" i="13"/>
  <c r="BH1024" i="13"/>
  <c r="BH1025" i="13"/>
  <c r="BK1025" i="13" s="1"/>
  <c r="BH1026" i="13"/>
  <c r="BH1027" i="13"/>
  <c r="BH1028" i="13"/>
  <c r="BH1029" i="13"/>
  <c r="BH1030" i="13"/>
  <c r="BH1031" i="13"/>
  <c r="BH1032" i="13"/>
  <c r="BH1033" i="13"/>
  <c r="BK1033" i="13" s="1"/>
  <c r="BH1034" i="13"/>
  <c r="BH1035" i="13"/>
  <c r="BH1036" i="13"/>
  <c r="BH1037" i="13"/>
  <c r="BH1038" i="13"/>
  <c r="BH1039" i="13"/>
  <c r="BH1040" i="13"/>
  <c r="BH1041" i="13"/>
  <c r="BK1041" i="13" s="1"/>
  <c r="BH1042" i="13"/>
  <c r="BH1043" i="13"/>
  <c r="BH1044" i="13"/>
  <c r="BH1045" i="13"/>
  <c r="BH1046" i="13"/>
  <c r="BH1047" i="13"/>
  <c r="BH1048" i="13"/>
  <c r="BH1049" i="13"/>
  <c r="BK1049" i="13" s="1"/>
  <c r="BH1050" i="13"/>
  <c r="BH1051" i="13"/>
  <c r="BH1052" i="13"/>
  <c r="BH1053" i="13"/>
  <c r="BH1054" i="13"/>
  <c r="BH1055" i="13"/>
  <c r="BH3" i="13"/>
  <c r="CJ1690" i="13" l="1"/>
  <c r="CM1689" i="13"/>
  <c r="CN1689" i="13" s="1"/>
  <c r="CJ1608" i="13"/>
  <c r="CM1607" i="13"/>
  <c r="CN1607" i="13" s="1"/>
  <c r="CJ1397" i="13"/>
  <c r="CM1396" i="13"/>
  <c r="CN1396" i="13" s="1"/>
  <c r="BK918" i="13"/>
  <c r="BK1038" i="13"/>
  <c r="BK1014" i="13"/>
  <c r="BK990" i="13"/>
  <c r="BK974" i="13"/>
  <c r="BK966" i="13"/>
  <c r="BK958" i="13"/>
  <c r="BK942" i="13"/>
  <c r="BK934" i="13"/>
  <c r="BK1054" i="13"/>
  <c r="BK1030" i="13"/>
  <c r="BK1006" i="13"/>
  <c r="BK982" i="13"/>
  <c r="BK926" i="13"/>
  <c r="BK1046" i="13"/>
  <c r="BK1022" i="13"/>
  <c r="BK998" i="13"/>
  <c r="BK950" i="13"/>
  <c r="BK894" i="13"/>
  <c r="BK1051" i="13"/>
  <c r="BK1019" i="13"/>
  <c r="BK1003" i="13"/>
  <c r="BK1043" i="13"/>
  <c r="BK1027" i="13"/>
  <c r="BK987" i="13"/>
  <c r="BK1035" i="13"/>
  <c r="BK1011" i="13"/>
  <c r="BK1052" i="13"/>
  <c r="BK1044" i="13"/>
  <c r="BK1036" i="13"/>
  <c r="BK1028" i="13"/>
  <c r="BK1020" i="13"/>
  <c r="BK1012" i="13"/>
  <c r="BK1004" i="13"/>
  <c r="BK996" i="13"/>
  <c r="BK988" i="13"/>
  <c r="BK980" i="13"/>
  <c r="BK972" i="13"/>
  <c r="BK964" i="13"/>
  <c r="BK956" i="13"/>
  <c r="BK948" i="13"/>
  <c r="BK940" i="13"/>
  <c r="BK932" i="13"/>
  <c r="BK924" i="13"/>
  <c r="BK916" i="13"/>
  <c r="BK908" i="13"/>
  <c r="BK900" i="13"/>
  <c r="BK892" i="13"/>
  <c r="BK884" i="13"/>
  <c r="BK876" i="13"/>
  <c r="BK868" i="13"/>
  <c r="BK860" i="13"/>
  <c r="BK852" i="13"/>
  <c r="BK844" i="13"/>
  <c r="BK836" i="13"/>
  <c r="BK828" i="13"/>
  <c r="BK820" i="13"/>
  <c r="BK812" i="13"/>
  <c r="BK804" i="13"/>
  <c r="BK796" i="13"/>
  <c r="BK788" i="13"/>
  <c r="BK780" i="13"/>
  <c r="BK772" i="13"/>
  <c r="BK764" i="13"/>
  <c r="BK756" i="13"/>
  <c r="BK748" i="13"/>
  <c r="BK740" i="13"/>
  <c r="BK732" i="13"/>
  <c r="BK724" i="13"/>
  <c r="BK716" i="13"/>
  <c r="BK708" i="13"/>
  <c r="BK700" i="13"/>
  <c r="BK692" i="13"/>
  <c r="BK684" i="13"/>
  <c r="BK979" i="13"/>
  <c r="BK955" i="13"/>
  <c r="BK931" i="13"/>
  <c r="BK907" i="13"/>
  <c r="BK883" i="13"/>
  <c r="BK859" i="13"/>
  <c r="BK835" i="13"/>
  <c r="BK803" i="13"/>
  <c r="BK779" i="13"/>
  <c r="BK755" i="13"/>
  <c r="BK731" i="13"/>
  <c r="BK707" i="13"/>
  <c r="BK683" i="13"/>
  <c r="BK659" i="13"/>
  <c r="BK635" i="13"/>
  <c r="BK611" i="13"/>
  <c r="BK595" i="13"/>
  <c r="BK571" i="13"/>
  <c r="BK547" i="13"/>
  <c r="BK507" i="13"/>
  <c r="BK491" i="13"/>
  <c r="BK467" i="13"/>
  <c r="BK443" i="13"/>
  <c r="BK411" i="13"/>
  <c r="BK387" i="13"/>
  <c r="BK363" i="13"/>
  <c r="BK339" i="13"/>
  <c r="BK315" i="13"/>
  <c r="BK291" i="13"/>
  <c r="BK267" i="13"/>
  <c r="BK243" i="13"/>
  <c r="BK219" i="13"/>
  <c r="BK195" i="13"/>
  <c r="BK171" i="13"/>
  <c r="BK139" i="13"/>
  <c r="BK115" i="13"/>
  <c r="BK91" i="13"/>
  <c r="BK67" i="13"/>
  <c r="BK43" i="13"/>
  <c r="BK19" i="13"/>
  <c r="BK1042" i="13"/>
  <c r="BK1026" i="13"/>
  <c r="BK1010" i="13"/>
  <c r="BK994" i="13"/>
  <c r="BK978" i="13"/>
  <c r="BK962" i="13"/>
  <c r="BK946" i="13"/>
  <c r="BK922" i="13"/>
  <c r="BK914" i="13"/>
  <c r="BK898" i="13"/>
  <c r="BK890" i="13"/>
  <c r="BK882" i="13"/>
  <c r="BK874" i="13"/>
  <c r="BK866" i="13"/>
  <c r="BK858" i="13"/>
  <c r="BK850" i="13"/>
  <c r="BK842" i="13"/>
  <c r="BK834" i="13"/>
  <c r="BK826" i="13"/>
  <c r="BK818" i="13"/>
  <c r="BK810" i="13"/>
  <c r="BK802" i="13"/>
  <c r="BK794" i="13"/>
  <c r="BK786" i="13"/>
  <c r="BK778" i="13"/>
  <c r="BK770" i="13"/>
  <c r="BK762" i="13"/>
  <c r="BK754" i="13"/>
  <c r="BK746" i="13"/>
  <c r="BK738" i="13"/>
  <c r="BK730" i="13"/>
  <c r="BK722" i="13"/>
  <c r="BK714" i="13"/>
  <c r="BK706" i="13"/>
  <c r="BK698" i="13"/>
  <c r="BK690" i="13"/>
  <c r="BK682" i="13"/>
  <c r="BK674" i="13"/>
  <c r="BK666" i="13"/>
  <c r="BK658" i="13"/>
  <c r="BK650" i="13"/>
  <c r="BK642" i="13"/>
  <c r="BK634" i="13"/>
  <c r="BK626" i="13"/>
  <c r="BK618" i="13"/>
  <c r="BK963" i="13"/>
  <c r="BK939" i="13"/>
  <c r="BK915" i="13"/>
  <c r="BK891" i="13"/>
  <c r="BK867" i="13"/>
  <c r="BK843" i="13"/>
  <c r="BK819" i="13"/>
  <c r="BK795" i="13"/>
  <c r="BK763" i="13"/>
  <c r="BK739" i="13"/>
  <c r="BK715" i="13"/>
  <c r="BK691" i="13"/>
  <c r="BK667" i="13"/>
  <c r="BK643" i="13"/>
  <c r="BK619" i="13"/>
  <c r="BK587" i="13"/>
  <c r="BK563" i="13"/>
  <c r="BK539" i="13"/>
  <c r="BK515" i="13"/>
  <c r="BK499" i="13"/>
  <c r="BK475" i="13"/>
  <c r="BK451" i="13"/>
  <c r="BK427" i="13"/>
  <c r="BK403" i="13"/>
  <c r="BK379" i="13"/>
  <c r="BK355" i="13"/>
  <c r="BK331" i="13"/>
  <c r="BK307" i="13"/>
  <c r="BK283" i="13"/>
  <c r="BK259" i="13"/>
  <c r="BK235" i="13"/>
  <c r="BK203" i="13"/>
  <c r="BK179" i="13"/>
  <c r="BK155" i="13"/>
  <c r="BK131" i="13"/>
  <c r="BK107" i="13"/>
  <c r="BK75" i="13"/>
  <c r="BK51" i="13"/>
  <c r="BK27" i="13"/>
  <c r="BK995" i="13"/>
  <c r="BK971" i="13"/>
  <c r="BK947" i="13"/>
  <c r="BK923" i="13"/>
  <c r="BK899" i="13"/>
  <c r="BK875" i="13"/>
  <c r="BK851" i="13"/>
  <c r="BK827" i="13"/>
  <c r="BK811" i="13"/>
  <c r="BK787" i="13"/>
  <c r="BK771" i="13"/>
  <c r="BK747" i="13"/>
  <c r="BK723" i="13"/>
  <c r="BK699" i="13"/>
  <c r="BK675" i="13"/>
  <c r="BK651" i="13"/>
  <c r="BK627" i="13"/>
  <c r="BK603" i="13"/>
  <c r="BK579" i="13"/>
  <c r="BK555" i="13"/>
  <c r="BK531" i="13"/>
  <c r="BK523" i="13"/>
  <c r="BK483" i="13"/>
  <c r="BK459" i="13"/>
  <c r="BK435" i="13"/>
  <c r="BK419" i="13"/>
  <c r="BK395" i="13"/>
  <c r="BK371" i="13"/>
  <c r="BK347" i="13"/>
  <c r="BK323" i="13"/>
  <c r="BK299" i="13"/>
  <c r="BK275" i="13"/>
  <c r="BK251" i="13"/>
  <c r="BK227" i="13"/>
  <c r="BK211" i="13"/>
  <c r="BK187" i="13"/>
  <c r="BK163" i="13"/>
  <c r="BK147" i="13"/>
  <c r="BK123" i="13"/>
  <c r="BK99" i="13"/>
  <c r="BK83" i="13"/>
  <c r="BK59" i="13"/>
  <c r="BK35" i="13"/>
  <c r="BK11" i="13"/>
  <c r="BK1050" i="13"/>
  <c r="BK1034" i="13"/>
  <c r="BK1018" i="13"/>
  <c r="BK1002" i="13"/>
  <c r="BK986" i="13"/>
  <c r="BK970" i="13"/>
  <c r="BK954" i="13"/>
  <c r="BK938" i="13"/>
  <c r="BK930" i="13"/>
  <c r="BK906" i="13"/>
  <c r="BK676" i="13"/>
  <c r="BK668" i="13"/>
  <c r="BK660" i="13"/>
  <c r="BK652" i="13"/>
  <c r="BK644" i="13"/>
  <c r="BK636" i="13"/>
  <c r="BK628" i="13"/>
  <c r="BK620" i="13"/>
  <c r="BK612" i="13"/>
  <c r="BK604" i="13"/>
  <c r="BK596" i="13"/>
  <c r="BK588" i="13"/>
  <c r="BK580" i="13"/>
  <c r="BK572" i="13"/>
  <c r="BK564" i="13"/>
  <c r="BK556" i="13"/>
  <c r="BK548" i="13"/>
  <c r="BK540" i="13"/>
  <c r="BK532" i="13"/>
  <c r="BK524" i="13"/>
  <c r="BK516" i="13"/>
  <c r="BK508" i="13"/>
  <c r="BK500" i="13"/>
  <c r="BK492" i="13"/>
  <c r="BK484" i="13"/>
  <c r="BK476" i="13"/>
  <c r="BK468" i="13"/>
  <c r="BK460" i="13"/>
  <c r="BK452" i="13"/>
  <c r="BK444" i="13"/>
  <c r="BK436" i="13"/>
  <c r="BK428" i="13"/>
  <c r="BK420" i="13"/>
  <c r="BK412" i="13"/>
  <c r="BK404" i="13"/>
  <c r="BK396" i="13"/>
  <c r="BK388" i="13"/>
  <c r="BK380" i="13"/>
  <c r="BK372" i="13"/>
  <c r="BK364" i="13"/>
  <c r="BK356" i="13"/>
  <c r="BK348" i="13"/>
  <c r="BK340" i="13"/>
  <c r="BK332" i="13"/>
  <c r="BK324" i="13"/>
  <c r="BK316" i="13"/>
  <c r="BK308" i="13"/>
  <c r="BK300" i="13"/>
  <c r="BK292" i="13"/>
  <c r="BK284" i="13"/>
  <c r="BK276" i="13"/>
  <c r="BK268" i="13"/>
  <c r="BK260" i="13"/>
  <c r="BK252" i="13"/>
  <c r="BK244" i="13"/>
  <c r="BK236" i="13"/>
  <c r="BK228" i="13"/>
  <c r="BK220" i="13"/>
  <c r="BK212" i="13"/>
  <c r="BK204" i="13"/>
  <c r="BK196" i="13"/>
  <c r="BK188" i="13"/>
  <c r="BK180" i="13"/>
  <c r="BK172" i="13"/>
  <c r="BK164" i="13"/>
  <c r="BK156" i="13"/>
  <c r="BK148" i="13"/>
  <c r="BK140" i="13"/>
  <c r="BK132" i="13"/>
  <c r="BK124" i="13"/>
  <c r="BK116" i="13"/>
  <c r="BK108" i="13"/>
  <c r="BK100" i="13"/>
  <c r="BK92" i="13"/>
  <c r="BK84" i="13"/>
  <c r="BK76" i="13"/>
  <c r="BK68" i="13"/>
  <c r="BK60" i="13"/>
  <c r="BK52" i="13"/>
  <c r="BK44" i="13"/>
  <c r="BK36" i="13"/>
  <c r="BK28" i="13"/>
  <c r="BK20" i="13"/>
  <c r="BK12" i="13"/>
  <c r="BK4" i="13"/>
  <c r="BK610" i="13"/>
  <c r="BK602" i="13"/>
  <c r="BK594" i="13"/>
  <c r="BK586" i="13"/>
  <c r="BK578" i="13"/>
  <c r="BK570" i="13"/>
  <c r="BK562" i="13"/>
  <c r="BK554" i="13"/>
  <c r="BK546" i="13"/>
  <c r="BK538" i="13"/>
  <c r="BK530" i="13"/>
  <c r="BK522" i="13"/>
  <c r="BK514" i="13"/>
  <c r="BK506" i="13"/>
  <c r="BK498" i="13"/>
  <c r="BK490" i="13"/>
  <c r="BK482" i="13"/>
  <c r="BK474" i="13"/>
  <c r="BK466" i="13"/>
  <c r="BK458" i="13"/>
  <c r="BK450" i="13"/>
  <c r="BK442" i="13"/>
  <c r="BK434" i="13"/>
  <c r="BK426" i="13"/>
  <c r="BK418" i="13"/>
  <c r="BK410" i="13"/>
  <c r="BK402" i="13"/>
  <c r="BK394" i="13"/>
  <c r="BK386" i="13"/>
  <c r="BK378" i="13"/>
  <c r="BK370" i="13"/>
  <c r="BK362" i="13"/>
  <c r="BK354" i="13"/>
  <c r="BK346" i="13"/>
  <c r="BK338" i="13"/>
  <c r="BK330" i="13"/>
  <c r="BK322" i="13"/>
  <c r="BK314" i="13"/>
  <c r="BK306" i="13"/>
  <c r="BK298" i="13"/>
  <c r="BK290" i="13"/>
  <c r="BK282" i="13"/>
  <c r="BK274" i="13"/>
  <c r="BK266" i="13"/>
  <c r="BK258" i="13"/>
  <c r="BK250" i="13"/>
  <c r="BK242" i="13"/>
  <c r="BK234" i="13"/>
  <c r="BK226" i="13"/>
  <c r="BK218" i="13"/>
  <c r="BK210" i="13"/>
  <c r="BK202" i="13"/>
  <c r="BK194" i="13"/>
  <c r="BK186" i="13"/>
  <c r="BK178" i="13"/>
  <c r="BK170" i="13"/>
  <c r="BK162" i="13"/>
  <c r="BK154" i="13"/>
  <c r="BK146" i="13"/>
  <c r="BK138" i="13"/>
  <c r="BK130" i="13"/>
  <c r="BK122" i="13"/>
  <c r="BK114" i="13"/>
  <c r="BK106" i="13"/>
  <c r="BK98" i="13"/>
  <c r="BK90" i="13"/>
  <c r="BK82" i="13"/>
  <c r="BK74" i="13"/>
  <c r="BK66" i="13"/>
  <c r="BK58" i="13"/>
  <c r="BK50" i="13"/>
  <c r="BK42" i="13"/>
  <c r="BK34" i="13"/>
  <c r="BK26" i="13"/>
  <c r="BK18" i="13"/>
  <c r="BK10" i="13"/>
  <c r="BK910" i="13"/>
  <c r="BK902" i="13"/>
  <c r="BK615" i="13"/>
  <c r="BK607" i="13"/>
  <c r="BK599" i="13"/>
  <c r="BK591" i="13"/>
  <c r="BK583" i="13"/>
  <c r="BK575" i="13"/>
  <c r="BK567" i="13"/>
  <c r="BK559" i="13"/>
  <c r="BK551" i="13"/>
  <c r="BK543" i="13"/>
  <c r="BK535" i="13"/>
  <c r="BK527" i="13"/>
  <c r="BK519" i="13"/>
  <c r="BK511" i="13"/>
  <c r="BK503" i="13"/>
  <c r="BK495" i="13"/>
  <c r="BK487" i="13"/>
  <c r="BK479" i="13"/>
  <c r="BK471" i="13"/>
  <c r="BK463" i="13"/>
  <c r="BK455" i="13"/>
  <c r="BK447" i="13"/>
  <c r="BK439" i="13"/>
  <c r="BK431" i="13"/>
  <c r="BK423" i="13"/>
  <c r="BK415" i="13"/>
  <c r="BK407" i="13"/>
  <c r="BK399" i="13"/>
  <c r="BK391" i="13"/>
  <c r="BK383" i="13"/>
  <c r="BK375" i="13"/>
  <c r="BK367" i="13"/>
  <c r="BK359" i="13"/>
  <c r="BK351" i="13"/>
  <c r="BK343" i="13"/>
  <c r="BK335" i="13"/>
  <c r="BK327" i="13"/>
  <c r="BK319" i="13"/>
  <c r="BK311" i="13"/>
  <c r="BK303" i="13"/>
  <c r="BK295" i="13"/>
  <c r="BK287" i="13"/>
  <c r="BK279" i="13"/>
  <c r="BK271" i="13"/>
  <c r="BK263" i="13"/>
  <c r="BK255" i="13"/>
  <c r="BK247" i="13"/>
  <c r="BK239" i="13"/>
  <c r="BK231" i="13"/>
  <c r="BK223" i="13"/>
  <c r="BK215" i="13"/>
  <c r="BK207" i="13"/>
  <c r="BK199" i="13"/>
  <c r="BK191" i="13"/>
  <c r="BK183" i="13"/>
  <c r="BK175" i="13"/>
  <c r="BK167" i="13"/>
  <c r="BK159" i="13"/>
  <c r="BK151" i="13"/>
  <c r="BK143" i="13"/>
  <c r="BK135" i="13"/>
  <c r="BK127" i="13"/>
  <c r="BK119" i="13"/>
  <c r="BK111" i="13"/>
  <c r="BK103" i="13"/>
  <c r="BK95" i="13"/>
  <c r="BK87" i="13"/>
  <c r="BK79" i="13"/>
  <c r="BK71" i="13"/>
  <c r="BK63" i="13"/>
  <c r="BK55" i="13"/>
  <c r="BK47" i="13"/>
  <c r="BK39" i="13"/>
  <c r="BK31" i="13"/>
  <c r="BK23" i="13"/>
  <c r="BK15" i="13"/>
  <c r="BK7" i="13"/>
  <c r="BK886" i="13"/>
  <c r="BK870" i="13"/>
  <c r="BK854" i="13"/>
  <c r="BK838" i="13"/>
  <c r="BK822" i="13"/>
  <c r="BK806" i="13"/>
  <c r="BK790" i="13"/>
  <c r="BK774" i="13"/>
  <c r="BK766" i="13"/>
  <c r="BK758" i="13"/>
  <c r="BK750" i="13"/>
  <c r="BK742" i="13"/>
  <c r="BK726" i="13"/>
  <c r="BK710" i="13"/>
  <c r="BK694" i="13"/>
  <c r="BK678" i="13"/>
  <c r="BK662" i="13"/>
  <c r="BK646" i="13"/>
  <c r="BK630" i="13"/>
  <c r="BK614" i="13"/>
  <c r="BK598" i="13"/>
  <c r="BK582" i="13"/>
  <c r="BK566" i="13"/>
  <c r="BK550" i="13"/>
  <c r="BK534" i="13"/>
  <c r="BK526" i="13"/>
  <c r="BK510" i="13"/>
  <c r="BK494" i="13"/>
  <c r="BK478" i="13"/>
  <c r="BK462" i="13"/>
  <c r="BK446" i="13"/>
  <c r="BK438" i="13"/>
  <c r="BK430" i="13"/>
  <c r="BK422" i="13"/>
  <c r="BK406" i="13"/>
  <c r="BK398" i="13"/>
  <c r="BK390" i="13"/>
  <c r="BK382" i="13"/>
  <c r="BK374" i="13"/>
  <c r="BK366" i="13"/>
  <c r="BK358" i="13"/>
  <c r="BK350" i="13"/>
  <c r="BK342" i="13"/>
  <c r="BK334" i="13"/>
  <c r="BK326" i="13"/>
  <c r="BK318" i="13"/>
  <c r="BK310" i="13"/>
  <c r="BK302" i="13"/>
  <c r="BK294" i="13"/>
  <c r="BK286" i="13"/>
  <c r="BK278" i="13"/>
  <c r="BK270" i="13"/>
  <c r="BK262" i="13"/>
  <c r="BK254" i="13"/>
  <c r="BK246" i="13"/>
  <c r="BK238" i="13"/>
  <c r="BK230" i="13"/>
  <c r="BK222" i="13"/>
  <c r="BK214" i="13"/>
  <c r="BK206" i="13"/>
  <c r="BK198" i="13"/>
  <c r="BK190" i="13"/>
  <c r="BK182" i="13"/>
  <c r="BK174" i="13"/>
  <c r="BK166" i="13"/>
  <c r="BK158" i="13"/>
  <c r="BK150" i="13"/>
  <c r="BK142" i="13"/>
  <c r="BK134" i="13"/>
  <c r="BK126" i="13"/>
  <c r="BK118" i="13"/>
  <c r="BK110" i="13"/>
  <c r="BK102" i="13"/>
  <c r="BK94" i="13"/>
  <c r="BK86" i="13"/>
  <c r="BK78" i="13"/>
  <c r="BK70" i="13"/>
  <c r="BK62" i="13"/>
  <c r="BK54" i="13"/>
  <c r="BK46" i="13"/>
  <c r="BK38" i="13"/>
  <c r="BK30" i="13"/>
  <c r="BK22" i="13"/>
  <c r="BK14" i="13"/>
  <c r="BK6" i="13"/>
  <c r="BK878" i="13"/>
  <c r="BK862" i="13"/>
  <c r="BK846" i="13"/>
  <c r="BK830" i="13"/>
  <c r="BK814" i="13"/>
  <c r="BK798" i="13"/>
  <c r="BK782" i="13"/>
  <c r="BK734" i="13"/>
  <c r="BK718" i="13"/>
  <c r="BK702" i="13"/>
  <c r="BK686" i="13"/>
  <c r="BK670" i="13"/>
  <c r="BK654" i="13"/>
  <c r="BK638" i="13"/>
  <c r="BK622" i="13"/>
  <c r="BK606" i="13"/>
  <c r="BK590" i="13"/>
  <c r="BK574" i="13"/>
  <c r="BK558" i="13"/>
  <c r="BK542" i="13"/>
  <c r="BK518" i="13"/>
  <c r="BK502" i="13"/>
  <c r="BK486" i="13"/>
  <c r="BK470" i="13"/>
  <c r="BK454" i="13"/>
  <c r="BK414" i="13"/>
  <c r="BZ461" i="13"/>
  <c r="BY461" i="13"/>
  <c r="BZ469" i="13"/>
  <c r="BZ470" i="13" s="1"/>
  <c r="BZ471" i="13" s="1"/>
  <c r="BZ472" i="13" s="1"/>
  <c r="BZ473" i="13" s="1"/>
  <c r="BY469" i="13"/>
  <c r="BY477" i="13"/>
  <c r="BZ477" i="13"/>
  <c r="BZ462" i="13"/>
  <c r="BY462" i="13"/>
  <c r="BY478" i="13"/>
  <c r="BZ478" i="13"/>
  <c r="BY463" i="13"/>
  <c r="BZ463" i="13"/>
  <c r="BY479" i="13"/>
  <c r="BZ479" i="13"/>
  <c r="BK345" i="13"/>
  <c r="BK337" i="13"/>
  <c r="BK329" i="13"/>
  <c r="BK321" i="13"/>
  <c r="BK313" i="13"/>
  <c r="BK305" i="13"/>
  <c r="BK297" i="13"/>
  <c r="BK289" i="13"/>
  <c r="BK281" i="13"/>
  <c r="BK273" i="13"/>
  <c r="BK265" i="13"/>
  <c r="BY456" i="13"/>
  <c r="BZ456" i="13"/>
  <c r="BY464" i="13"/>
  <c r="BZ464" i="13"/>
  <c r="BY480" i="13"/>
  <c r="BZ480" i="13"/>
  <c r="BY457" i="13"/>
  <c r="BZ457" i="13"/>
  <c r="BY465" i="13"/>
  <c r="BZ465" i="13"/>
  <c r="BZ481" i="13"/>
  <c r="BY481" i="13"/>
  <c r="BK1039" i="13"/>
  <c r="BK1015" i="13"/>
  <c r="BK991" i="13"/>
  <c r="BK967" i="13"/>
  <c r="BK943" i="13"/>
  <c r="BK935" i="13"/>
  <c r="BK927" i="13"/>
  <c r="BK919" i="13"/>
  <c r="BK911" i="13"/>
  <c r="BK903" i="13"/>
  <c r="BK895" i="13"/>
  <c r="BK887" i="13"/>
  <c r="BK879" i="13"/>
  <c r="BK871" i="13"/>
  <c r="BK863" i="13"/>
  <c r="BK855" i="13"/>
  <c r="BK847" i="13"/>
  <c r="BK839" i="13"/>
  <c r="BK831" i="13"/>
  <c r="BK823" i="13"/>
  <c r="BK815" i="13"/>
  <c r="BK807" i="13"/>
  <c r="BK799" i="13"/>
  <c r="BK791" i="13"/>
  <c r="BK783" i="13"/>
  <c r="BK775" i="13"/>
  <c r="BK767" i="13"/>
  <c r="BK759" i="13"/>
  <c r="BK751" i="13"/>
  <c r="BK743" i="13"/>
  <c r="BK735" i="13"/>
  <c r="BK727" i="13"/>
  <c r="BK719" i="13"/>
  <c r="BK711" i="13"/>
  <c r="BK703" i="13"/>
  <c r="BK695" i="13"/>
  <c r="BK687" i="13"/>
  <c r="BK679" i="13"/>
  <c r="BK671" i="13"/>
  <c r="BK663" i="13"/>
  <c r="BK655" i="13"/>
  <c r="BK647" i="13"/>
  <c r="BK639" i="13"/>
  <c r="BK631" i="13"/>
  <c r="BK623" i="13"/>
  <c r="BY458" i="13"/>
  <c r="BZ458" i="13"/>
  <c r="BY466" i="13"/>
  <c r="BZ466" i="13"/>
  <c r="BZ474" i="13"/>
  <c r="BY474" i="13"/>
  <c r="BK1055" i="13"/>
  <c r="BK1031" i="13"/>
  <c r="BK1007" i="13"/>
  <c r="BK983" i="13"/>
  <c r="BK959" i="13"/>
  <c r="BY459" i="13"/>
  <c r="BZ459" i="13"/>
  <c r="BY467" i="13"/>
  <c r="BZ467" i="13"/>
  <c r="BY475" i="13"/>
  <c r="BZ475" i="13"/>
  <c r="BK1047" i="13"/>
  <c r="BK1023" i="13"/>
  <c r="BK999" i="13"/>
  <c r="BK975" i="13"/>
  <c r="BK951" i="13"/>
  <c r="BY460" i="13"/>
  <c r="BZ460" i="13"/>
  <c r="BY468" i="13"/>
  <c r="BZ468" i="13"/>
  <c r="BY476" i="13"/>
  <c r="BZ476" i="13"/>
  <c r="BK257" i="13"/>
  <c r="BK249" i="13"/>
  <c r="BK241" i="13"/>
  <c r="BK233" i="13"/>
  <c r="BK225" i="13"/>
  <c r="BK217" i="13"/>
  <c r="BK209" i="13"/>
  <c r="BK201" i="13"/>
  <c r="BK193" i="13"/>
  <c r="BK185" i="13"/>
  <c r="BK177" i="13"/>
  <c r="BK169" i="13"/>
  <c r="BK161" i="13"/>
  <c r="BK153" i="13"/>
  <c r="BK145" i="13"/>
  <c r="BK137" i="13"/>
  <c r="BK129" i="13"/>
  <c r="BK121" i="13"/>
  <c r="BK113" i="13"/>
  <c r="BK105" i="13"/>
  <c r="BK97" i="13"/>
  <c r="BK89" i="13"/>
  <c r="BK81" i="13"/>
  <c r="BK73" i="13"/>
  <c r="BK65" i="13"/>
  <c r="BK57" i="13"/>
  <c r="BK49" i="13"/>
  <c r="BK41" i="13"/>
  <c r="BK33" i="13"/>
  <c r="BK25" i="13"/>
  <c r="BK17" i="13"/>
  <c r="BK9" i="13"/>
  <c r="BK1053" i="13"/>
  <c r="BK1045" i="13"/>
  <c r="BK1037" i="13"/>
  <c r="BK1029" i="13"/>
  <c r="BK1021" i="13"/>
  <c r="BK1013" i="13"/>
  <c r="BK1005" i="13"/>
  <c r="BK997" i="13"/>
  <c r="BK989" i="13"/>
  <c r="BK981" i="13"/>
  <c r="BK973" i="13"/>
  <c r="BK965" i="13"/>
  <c r="BK957" i="13"/>
  <c r="BK949" i="13"/>
  <c r="BK941" i="13"/>
  <c r="BK933" i="13"/>
  <c r="BK925" i="13"/>
  <c r="BK917" i="13"/>
  <c r="BK909" i="13"/>
  <c r="BK901" i="13"/>
  <c r="BK893" i="13"/>
  <c r="BK885" i="13"/>
  <c r="BK877" i="13"/>
  <c r="BK869" i="13"/>
  <c r="BK861" i="13"/>
  <c r="BK853" i="13"/>
  <c r="BK845" i="13"/>
  <c r="BK837" i="13"/>
  <c r="BK829" i="13"/>
  <c r="BK821" i="13"/>
  <c r="BK813" i="13"/>
  <c r="BK805" i="13"/>
  <c r="BK797" i="13"/>
  <c r="BK789" i="13"/>
  <c r="BK781" i="13"/>
  <c r="BK773" i="13"/>
  <c r="BK765" i="13"/>
  <c r="BK757" i="13"/>
  <c r="BK749" i="13"/>
  <c r="BK741" i="13"/>
  <c r="BK733" i="13"/>
  <c r="BK725" i="13"/>
  <c r="BK717" i="13"/>
  <c r="BK709" i="13"/>
  <c r="BK701" i="13"/>
  <c r="BK693" i="13"/>
  <c r="BK685" i="13"/>
  <c r="BK677" i="13"/>
  <c r="BK669" i="13"/>
  <c r="BK661" i="13"/>
  <c r="BK653" i="13"/>
  <c r="BK645" i="13"/>
  <c r="BK637" i="13"/>
  <c r="BK629" i="13"/>
  <c r="BK621" i="13"/>
  <c r="BK613" i="13"/>
  <c r="BK605" i="13"/>
  <c r="BK597" i="13"/>
  <c r="BK589" i="13"/>
  <c r="BK581" i="13"/>
  <c r="BK573" i="13"/>
  <c r="BK565" i="13"/>
  <c r="BK557" i="13"/>
  <c r="BK549" i="13"/>
  <c r="BK541" i="13"/>
  <c r="BK533" i="13"/>
  <c r="BK525" i="13"/>
  <c r="BK517" i="13"/>
  <c r="BK509" i="13"/>
  <c r="BK501" i="13"/>
  <c r="BK493" i="13"/>
  <c r="BK485" i="13"/>
  <c r="BK477" i="13"/>
  <c r="BK469" i="13"/>
  <c r="BK461" i="13"/>
  <c r="BK453" i="13"/>
  <c r="BK445" i="13"/>
  <c r="BK437" i="13"/>
  <c r="BK429" i="13"/>
  <c r="BK421" i="13"/>
  <c r="BK413" i="13"/>
  <c r="BK405" i="13"/>
  <c r="BK397" i="13"/>
  <c r="BK389" i="13"/>
  <c r="BK381" i="13"/>
  <c r="BK373" i="13"/>
  <c r="BK365" i="13"/>
  <c r="BK357" i="13"/>
  <c r="BK349" i="13"/>
  <c r="BK341" i="13"/>
  <c r="BK333" i="13"/>
  <c r="BK325" i="13"/>
  <c r="BK317" i="13"/>
  <c r="BK309" i="13"/>
  <c r="BK301" i="13"/>
  <c r="BK293" i="13"/>
  <c r="BK285" i="13"/>
  <c r="BK277" i="13"/>
  <c r="BK269" i="13"/>
  <c r="BK261" i="13"/>
  <c r="BK253" i="13"/>
  <c r="BK245" i="13"/>
  <c r="BK237" i="13"/>
  <c r="BK229" i="13"/>
  <c r="BK221" i="13"/>
  <c r="BK213" i="13"/>
  <c r="BK205" i="13"/>
  <c r="BK197" i="13"/>
  <c r="BK189" i="13"/>
  <c r="BK181" i="13"/>
  <c r="BK173" i="13"/>
  <c r="BK165" i="13"/>
  <c r="BK157" i="13"/>
  <c r="BK149" i="13"/>
  <c r="BK141" i="13"/>
  <c r="BK133" i="13"/>
  <c r="BK125" i="13"/>
  <c r="BK117" i="13"/>
  <c r="BK109" i="13"/>
  <c r="BK101" i="13"/>
  <c r="BK93" i="13"/>
  <c r="BK85" i="13"/>
  <c r="BK77" i="13"/>
  <c r="BK69" i="13"/>
  <c r="BK61" i="13"/>
  <c r="BK53" i="13"/>
  <c r="BK45" i="13"/>
  <c r="BK37" i="13"/>
  <c r="BK29" i="13"/>
  <c r="BK21" i="13"/>
  <c r="BK13" i="13"/>
  <c r="BK5" i="13"/>
  <c r="BK3" i="13"/>
  <c r="BK1048" i="13"/>
  <c r="BK1040" i="13"/>
  <c r="BK1032" i="13"/>
  <c r="BK1024" i="13"/>
  <c r="BK1016" i="13"/>
  <c r="BK1008" i="13"/>
  <c r="BK1000" i="13"/>
  <c r="BK992" i="13"/>
  <c r="BK984" i="13"/>
  <c r="BK976" i="13"/>
  <c r="BK968" i="13"/>
  <c r="BK960" i="13"/>
  <c r="BK952" i="13"/>
  <c r="BK944" i="13"/>
  <c r="BK936" i="13"/>
  <c r="BK928" i="13"/>
  <c r="BK920" i="13"/>
  <c r="BK912" i="13"/>
  <c r="BK904" i="13"/>
  <c r="BK896" i="13"/>
  <c r="BK888" i="13"/>
  <c r="BK880" i="13"/>
  <c r="BK872" i="13"/>
  <c r="BK864" i="13"/>
  <c r="BK856" i="13"/>
  <c r="BK848" i="13"/>
  <c r="BK840" i="13"/>
  <c r="BK832" i="13"/>
  <c r="BK824" i="13"/>
  <c r="BK816" i="13"/>
  <c r="BK808" i="13"/>
  <c r="BK800" i="13"/>
  <c r="BK792" i="13"/>
  <c r="BK784" i="13"/>
  <c r="BK776" i="13"/>
  <c r="BK768" i="13"/>
  <c r="BK760" i="13"/>
  <c r="BK752" i="13"/>
  <c r="BK744" i="13"/>
  <c r="BK736" i="13"/>
  <c r="BK728" i="13"/>
  <c r="BK720" i="13"/>
  <c r="BK712" i="13"/>
  <c r="BK704" i="13"/>
  <c r="BK696" i="13"/>
  <c r="BK688" i="13"/>
  <c r="BK680" i="13"/>
  <c r="BK672" i="13"/>
  <c r="BK664" i="13"/>
  <c r="BK656" i="13"/>
  <c r="BK648" i="13"/>
  <c r="BK640" i="13"/>
  <c r="BK632" i="13"/>
  <c r="BK624" i="13"/>
  <c r="BK616" i="13"/>
  <c r="BK608" i="13"/>
  <c r="BK600" i="13"/>
  <c r="BK592" i="13"/>
  <c r="BK584" i="13"/>
  <c r="BK576" i="13"/>
  <c r="BK568" i="13"/>
  <c r="BK560" i="13"/>
  <c r="BK552" i="13"/>
  <c r="BK544" i="13"/>
  <c r="BK536" i="13"/>
  <c r="BK528" i="13"/>
  <c r="BK520" i="13"/>
  <c r="BK512" i="13"/>
  <c r="BK504" i="13"/>
  <c r="BK496" i="13"/>
  <c r="BK488" i="13"/>
  <c r="BK480" i="13"/>
  <c r="BK472" i="13"/>
  <c r="BK464" i="13"/>
  <c r="BK456" i="13"/>
  <c r="BK448" i="13"/>
  <c r="BK440" i="13"/>
  <c r="BK432" i="13"/>
  <c r="BK424" i="13"/>
  <c r="BK416" i="13"/>
  <c r="BK408" i="13"/>
  <c r="BK400" i="13"/>
  <c r="BK392" i="13"/>
  <c r="BK384" i="13"/>
  <c r="BK376" i="13"/>
  <c r="BK368" i="13"/>
  <c r="BK360" i="13"/>
  <c r="BK352" i="13"/>
  <c r="BK344" i="13"/>
  <c r="BK336" i="13"/>
  <c r="BK328" i="13"/>
  <c r="BK320" i="13"/>
  <c r="BK312" i="13"/>
  <c r="BK304" i="13"/>
  <c r="BK296" i="13"/>
  <c r="BK288" i="13"/>
  <c r="BK280" i="13"/>
  <c r="BK272" i="13"/>
  <c r="BK264" i="13"/>
  <c r="BK256" i="13"/>
  <c r="BK248" i="13"/>
  <c r="BK240" i="13"/>
  <c r="BK232" i="13"/>
  <c r="BK224" i="13"/>
  <c r="BK216" i="13"/>
  <c r="BK208" i="13"/>
  <c r="BK200" i="13"/>
  <c r="BK192" i="13"/>
  <c r="BK184" i="13"/>
  <c r="BK176" i="13"/>
  <c r="BK168" i="13"/>
  <c r="BK160" i="13"/>
  <c r="BK152" i="13"/>
  <c r="BK144" i="13"/>
  <c r="BK136" i="13"/>
  <c r="BK128" i="13"/>
  <c r="BK120" i="13"/>
  <c r="BK112" i="13"/>
  <c r="BK104" i="13"/>
  <c r="BK96" i="13"/>
  <c r="BK88" i="13"/>
  <c r="BK80" i="13"/>
  <c r="BK72" i="13"/>
  <c r="BK64" i="13"/>
  <c r="BK56" i="13"/>
  <c r="BK48" i="13"/>
  <c r="BK40" i="13"/>
  <c r="BK32" i="13"/>
  <c r="BK24" i="13"/>
  <c r="BK16" i="13"/>
  <c r="BK8" i="13"/>
  <c r="CF10" i="13"/>
  <c r="CI10" i="13" s="1"/>
  <c r="CD10" i="13"/>
  <c r="CG10" i="13" s="1"/>
  <c r="CE10" i="13"/>
  <c r="CH10" i="13" s="1"/>
  <c r="BY10" i="13"/>
  <c r="CF18" i="13"/>
  <c r="CI18" i="13" s="1"/>
  <c r="CD18" i="13"/>
  <c r="CG18" i="13" s="1"/>
  <c r="CE18" i="13"/>
  <c r="CH18" i="13" s="1"/>
  <c r="BY18" i="13"/>
  <c r="CF26" i="13"/>
  <c r="CI26" i="13" s="1"/>
  <c r="CD26" i="13"/>
  <c r="CG26" i="13" s="1"/>
  <c r="CE26" i="13"/>
  <c r="CH26" i="13" s="1"/>
  <c r="BY26" i="13"/>
  <c r="CF34" i="13"/>
  <c r="CI34" i="13" s="1"/>
  <c r="CD34" i="13"/>
  <c r="CG34" i="13" s="1"/>
  <c r="CE34" i="13"/>
  <c r="CH34" i="13" s="1"/>
  <c r="BY34" i="13"/>
  <c r="CF42" i="13"/>
  <c r="CI42" i="13" s="1"/>
  <c r="CD42" i="13"/>
  <c r="CG42" i="13" s="1"/>
  <c r="CE42" i="13"/>
  <c r="CH42" i="13" s="1"/>
  <c r="BY42" i="13"/>
  <c r="CF50" i="13"/>
  <c r="CI50" i="13" s="1"/>
  <c r="CD50" i="13"/>
  <c r="CG50" i="13" s="1"/>
  <c r="CE50" i="13"/>
  <c r="CH50" i="13" s="1"/>
  <c r="BY50" i="13"/>
  <c r="CF58" i="13"/>
  <c r="CI58" i="13" s="1"/>
  <c r="CD58" i="13"/>
  <c r="CG58" i="13" s="1"/>
  <c r="CE58" i="13"/>
  <c r="CH58" i="13" s="1"/>
  <c r="BY58" i="13"/>
  <c r="CF66" i="13"/>
  <c r="CI66" i="13" s="1"/>
  <c r="CD66" i="13"/>
  <c r="CG66" i="13" s="1"/>
  <c r="CE66" i="13"/>
  <c r="CH66" i="13" s="1"/>
  <c r="BY66" i="13"/>
  <c r="CF74" i="13"/>
  <c r="CI74" i="13" s="1"/>
  <c r="CD74" i="13"/>
  <c r="CG74" i="13" s="1"/>
  <c r="CE74" i="13"/>
  <c r="CH74" i="13" s="1"/>
  <c r="BY74" i="13"/>
  <c r="CF82" i="13"/>
  <c r="CI82" i="13" s="1"/>
  <c r="CD82" i="13"/>
  <c r="CG82" i="13" s="1"/>
  <c r="CE82" i="13"/>
  <c r="CH82" i="13" s="1"/>
  <c r="BY82" i="13"/>
  <c r="CF90" i="13"/>
  <c r="CI90" i="13" s="1"/>
  <c r="CD90" i="13"/>
  <c r="CG90" i="13" s="1"/>
  <c r="CE90" i="13"/>
  <c r="CH90" i="13" s="1"/>
  <c r="BY90" i="13"/>
  <c r="CF98" i="13"/>
  <c r="CI98" i="13" s="1"/>
  <c r="CD98" i="13"/>
  <c r="CG98" i="13" s="1"/>
  <c r="CE98" i="13"/>
  <c r="CH98" i="13" s="1"/>
  <c r="BY98" i="13"/>
  <c r="CF106" i="13"/>
  <c r="CI106" i="13" s="1"/>
  <c r="CD106" i="13"/>
  <c r="CG106" i="13" s="1"/>
  <c r="CE106" i="13"/>
  <c r="CH106" i="13" s="1"/>
  <c r="BY106" i="13"/>
  <c r="CF114" i="13"/>
  <c r="CI114" i="13" s="1"/>
  <c r="CD114" i="13"/>
  <c r="CG114" i="13" s="1"/>
  <c r="CE114" i="13"/>
  <c r="CH114" i="13" s="1"/>
  <c r="BY114" i="13"/>
  <c r="CF122" i="13"/>
  <c r="CI122" i="13" s="1"/>
  <c r="CD122" i="13"/>
  <c r="CG122" i="13" s="1"/>
  <c r="CE122" i="13"/>
  <c r="CH122" i="13" s="1"/>
  <c r="BY122" i="13"/>
  <c r="CD130" i="13"/>
  <c r="CG130" i="13" s="1"/>
  <c r="CE130" i="13"/>
  <c r="CH130" i="13" s="1"/>
  <c r="CF130" i="13"/>
  <c r="CI130" i="13" s="1"/>
  <c r="BY130" i="13"/>
  <c r="CF138" i="13"/>
  <c r="CI138" i="13" s="1"/>
  <c r="CD138" i="13"/>
  <c r="CG138" i="13" s="1"/>
  <c r="CE138" i="13"/>
  <c r="CH138" i="13" s="1"/>
  <c r="BY138" i="13"/>
  <c r="CF146" i="13"/>
  <c r="CI146" i="13" s="1"/>
  <c r="CD146" i="13"/>
  <c r="CG146" i="13" s="1"/>
  <c r="CE146" i="13"/>
  <c r="CH146" i="13" s="1"/>
  <c r="BY146" i="13"/>
  <c r="CD154" i="13"/>
  <c r="CG154" i="13" s="1"/>
  <c r="CE154" i="13"/>
  <c r="CH154" i="13" s="1"/>
  <c r="CF154" i="13"/>
  <c r="CI154" i="13" s="1"/>
  <c r="BY154" i="13"/>
  <c r="CF162" i="13"/>
  <c r="CI162" i="13" s="1"/>
  <c r="CD162" i="13"/>
  <c r="CG162" i="13" s="1"/>
  <c r="CE162" i="13"/>
  <c r="CH162" i="13" s="1"/>
  <c r="BY162" i="13"/>
  <c r="CF170" i="13"/>
  <c r="CI170" i="13" s="1"/>
  <c r="CD170" i="13"/>
  <c r="CG170" i="13" s="1"/>
  <c r="CE170" i="13"/>
  <c r="CH170" i="13" s="1"/>
  <c r="BY170" i="13"/>
  <c r="CF178" i="13"/>
  <c r="CI178" i="13" s="1"/>
  <c r="CD178" i="13"/>
  <c r="CG178" i="13" s="1"/>
  <c r="CE178" i="13"/>
  <c r="CH178" i="13" s="1"/>
  <c r="BY178" i="13"/>
  <c r="CF186" i="13"/>
  <c r="CI186" i="13" s="1"/>
  <c r="CD186" i="13"/>
  <c r="CG186" i="13" s="1"/>
  <c r="CE186" i="13"/>
  <c r="CH186" i="13" s="1"/>
  <c r="BY186" i="13"/>
  <c r="CF194" i="13"/>
  <c r="CI194" i="13" s="1"/>
  <c r="CD194" i="13"/>
  <c r="CG194" i="13" s="1"/>
  <c r="CE194" i="13"/>
  <c r="CH194" i="13" s="1"/>
  <c r="BY194" i="13"/>
  <c r="CD202" i="13"/>
  <c r="CG202" i="13" s="1"/>
  <c r="CE202" i="13"/>
  <c r="CH202" i="13" s="1"/>
  <c r="CF202" i="13"/>
  <c r="CI202" i="13" s="1"/>
  <c r="BY202" i="13"/>
  <c r="CF210" i="13"/>
  <c r="CI210" i="13" s="1"/>
  <c r="CD210" i="13"/>
  <c r="CG210" i="13" s="1"/>
  <c r="CE210" i="13"/>
  <c r="CH210" i="13" s="1"/>
  <c r="BY210" i="13"/>
  <c r="CF218" i="13"/>
  <c r="CI218" i="13" s="1"/>
  <c r="CD218" i="13"/>
  <c r="CG218" i="13" s="1"/>
  <c r="CE218" i="13"/>
  <c r="CH218" i="13" s="1"/>
  <c r="BY218" i="13"/>
  <c r="CF226" i="13"/>
  <c r="CI226" i="13" s="1"/>
  <c r="CD226" i="13"/>
  <c r="CG226" i="13" s="1"/>
  <c r="CE226" i="13"/>
  <c r="CH226" i="13" s="1"/>
  <c r="BY226" i="13"/>
  <c r="CD234" i="13"/>
  <c r="CG234" i="13" s="1"/>
  <c r="CE234" i="13"/>
  <c r="CH234" i="13" s="1"/>
  <c r="CF234" i="13"/>
  <c r="CI234" i="13" s="1"/>
  <c r="BY234" i="13"/>
  <c r="CF242" i="13"/>
  <c r="CI242" i="13" s="1"/>
  <c r="CD242" i="13"/>
  <c r="CG242" i="13" s="1"/>
  <c r="CE242" i="13"/>
  <c r="CH242" i="13" s="1"/>
  <c r="BY242" i="13"/>
  <c r="CF250" i="13"/>
  <c r="CI250" i="13" s="1"/>
  <c r="CD250" i="13"/>
  <c r="CG250" i="13" s="1"/>
  <c r="CE250" i="13"/>
  <c r="CH250" i="13" s="1"/>
  <c r="BY250" i="13"/>
  <c r="CF258" i="13"/>
  <c r="CI258" i="13" s="1"/>
  <c r="CD258" i="13"/>
  <c r="CG258" i="13" s="1"/>
  <c r="CE258" i="13"/>
  <c r="CH258" i="13" s="1"/>
  <c r="BY258" i="13"/>
  <c r="CD266" i="13"/>
  <c r="CG266" i="13" s="1"/>
  <c r="CF266" i="13"/>
  <c r="CI266" i="13" s="1"/>
  <c r="CE266" i="13"/>
  <c r="CH266" i="13" s="1"/>
  <c r="BY266" i="13"/>
  <c r="CF274" i="13"/>
  <c r="CI274" i="13" s="1"/>
  <c r="CD274" i="13"/>
  <c r="CG274" i="13" s="1"/>
  <c r="CE274" i="13"/>
  <c r="CH274" i="13" s="1"/>
  <c r="BY274" i="13"/>
  <c r="CF282" i="13"/>
  <c r="CI282" i="13" s="1"/>
  <c r="CD282" i="13"/>
  <c r="CG282" i="13" s="1"/>
  <c r="CE282" i="13"/>
  <c r="CH282" i="13" s="1"/>
  <c r="BY282" i="13"/>
  <c r="CF290" i="13"/>
  <c r="CI290" i="13" s="1"/>
  <c r="CD290" i="13"/>
  <c r="CG290" i="13" s="1"/>
  <c r="CE290" i="13"/>
  <c r="CH290" i="13" s="1"/>
  <c r="BY290" i="13"/>
  <c r="CF298" i="13"/>
  <c r="CI298" i="13" s="1"/>
  <c r="CD298" i="13"/>
  <c r="CG298" i="13" s="1"/>
  <c r="CE298" i="13"/>
  <c r="CH298" i="13" s="1"/>
  <c r="BY298" i="13"/>
  <c r="CF306" i="13"/>
  <c r="CI306" i="13" s="1"/>
  <c r="CE306" i="13"/>
  <c r="CH306" i="13" s="1"/>
  <c r="CD306" i="13"/>
  <c r="CG306" i="13" s="1"/>
  <c r="BY306" i="13"/>
  <c r="CF314" i="13"/>
  <c r="CI314" i="13" s="1"/>
  <c r="CE314" i="13"/>
  <c r="CH314" i="13" s="1"/>
  <c r="CD314" i="13"/>
  <c r="CG314" i="13" s="1"/>
  <c r="BY314" i="13"/>
  <c r="CF322" i="13"/>
  <c r="CI322" i="13" s="1"/>
  <c r="CE322" i="13"/>
  <c r="CH322" i="13" s="1"/>
  <c r="CD322" i="13"/>
  <c r="CG322" i="13" s="1"/>
  <c r="BY322" i="13"/>
  <c r="CF330" i="13"/>
  <c r="CI330" i="13" s="1"/>
  <c r="CE330" i="13"/>
  <c r="CH330" i="13" s="1"/>
  <c r="BY330" i="13"/>
  <c r="CD330" i="13"/>
  <c r="CG330" i="13" s="1"/>
  <c r="CF338" i="13"/>
  <c r="CI338" i="13" s="1"/>
  <c r="CE338" i="13"/>
  <c r="CH338" i="13" s="1"/>
  <c r="CD338" i="13"/>
  <c r="CG338" i="13" s="1"/>
  <c r="BY338" i="13"/>
  <c r="CF346" i="13"/>
  <c r="CI346" i="13" s="1"/>
  <c r="CE346" i="13"/>
  <c r="CH346" i="13" s="1"/>
  <c r="CD346" i="13"/>
  <c r="CG346" i="13" s="1"/>
  <c r="BY346" i="13"/>
  <c r="CF354" i="13"/>
  <c r="CI354" i="13" s="1"/>
  <c r="CE354" i="13"/>
  <c r="CH354" i="13" s="1"/>
  <c r="CD354" i="13"/>
  <c r="CG354" i="13" s="1"/>
  <c r="BY354" i="13"/>
  <c r="CF362" i="13"/>
  <c r="CI362" i="13" s="1"/>
  <c r="CE362" i="13"/>
  <c r="CH362" i="13" s="1"/>
  <c r="CD362" i="13"/>
  <c r="CG362" i="13" s="1"/>
  <c r="BY362" i="13"/>
  <c r="CF370" i="13"/>
  <c r="CI370" i="13" s="1"/>
  <c r="CE370" i="13"/>
  <c r="CH370" i="13" s="1"/>
  <c r="CD370" i="13"/>
  <c r="CG370" i="13" s="1"/>
  <c r="BY370" i="13"/>
  <c r="CF378" i="13"/>
  <c r="CI378" i="13" s="1"/>
  <c r="CE378" i="13"/>
  <c r="CH378" i="13" s="1"/>
  <c r="CD378" i="13"/>
  <c r="CG378" i="13" s="1"/>
  <c r="BY378" i="13"/>
  <c r="CF386" i="13"/>
  <c r="CI386" i="13" s="1"/>
  <c r="CE386" i="13"/>
  <c r="CH386" i="13" s="1"/>
  <c r="CD386" i="13"/>
  <c r="CG386" i="13" s="1"/>
  <c r="BY386" i="13"/>
  <c r="CF394" i="13"/>
  <c r="CI394" i="13" s="1"/>
  <c r="CE394" i="13"/>
  <c r="CH394" i="13" s="1"/>
  <c r="CD394" i="13"/>
  <c r="CG394" i="13" s="1"/>
  <c r="BY394" i="13"/>
  <c r="CF402" i="13"/>
  <c r="CI402" i="13" s="1"/>
  <c r="CE402" i="13"/>
  <c r="CH402" i="13" s="1"/>
  <c r="CD402" i="13"/>
  <c r="CG402" i="13" s="1"/>
  <c r="BY402" i="13"/>
  <c r="CF410" i="13"/>
  <c r="CI410" i="13" s="1"/>
  <c r="CE410" i="13"/>
  <c r="CH410" i="13" s="1"/>
  <c r="CD410" i="13"/>
  <c r="CG410" i="13" s="1"/>
  <c r="BY410" i="13"/>
  <c r="CF418" i="13"/>
  <c r="CI418" i="13" s="1"/>
  <c r="CE418" i="13"/>
  <c r="CH418" i="13" s="1"/>
  <c r="CD418" i="13"/>
  <c r="CG418" i="13" s="1"/>
  <c r="BY418" i="13"/>
  <c r="CF426" i="13"/>
  <c r="CI426" i="13" s="1"/>
  <c r="CE426" i="13"/>
  <c r="CH426" i="13" s="1"/>
  <c r="CD426" i="13"/>
  <c r="CG426" i="13" s="1"/>
  <c r="BY426" i="13"/>
  <c r="CF434" i="13"/>
  <c r="CI434" i="13" s="1"/>
  <c r="CE434" i="13"/>
  <c r="CH434" i="13" s="1"/>
  <c r="CD434" i="13"/>
  <c r="CG434" i="13" s="1"/>
  <c r="BY434" i="13"/>
  <c r="CF442" i="13"/>
  <c r="CI442" i="13" s="1"/>
  <c r="CE442" i="13"/>
  <c r="CH442" i="13" s="1"/>
  <c r="CD442" i="13"/>
  <c r="CG442" i="13" s="1"/>
  <c r="BY442" i="13"/>
  <c r="CF450" i="13"/>
  <c r="CI450" i="13" s="1"/>
  <c r="CE450" i="13"/>
  <c r="CH450" i="13" s="1"/>
  <c r="BY450" i="13"/>
  <c r="CD450" i="13"/>
  <c r="CG450" i="13" s="1"/>
  <c r="CF458" i="13"/>
  <c r="CI458" i="13" s="1"/>
  <c r="CD458" i="13"/>
  <c r="CG458" i="13" s="1"/>
  <c r="CE458" i="13"/>
  <c r="CH458" i="13" s="1"/>
  <c r="CF466" i="13"/>
  <c r="CI466" i="13" s="1"/>
  <c r="CE466" i="13"/>
  <c r="CH466" i="13" s="1"/>
  <c r="CD466" i="13"/>
  <c r="CG466" i="13" s="1"/>
  <c r="CF474" i="13"/>
  <c r="CI474" i="13" s="1"/>
  <c r="CE474" i="13"/>
  <c r="CH474" i="13" s="1"/>
  <c r="CD474" i="13"/>
  <c r="CG474" i="13" s="1"/>
  <c r="CF482" i="13"/>
  <c r="CI482" i="13" s="1"/>
  <c r="CE482" i="13"/>
  <c r="CH482" i="13" s="1"/>
  <c r="CD482" i="13"/>
  <c r="CG482" i="13" s="1"/>
  <c r="BY482" i="13"/>
  <c r="CF490" i="13"/>
  <c r="CI490" i="13" s="1"/>
  <c r="CE490" i="13"/>
  <c r="CH490" i="13" s="1"/>
  <c r="CD490" i="13"/>
  <c r="CG490" i="13" s="1"/>
  <c r="BY490" i="13"/>
  <c r="CF498" i="13"/>
  <c r="CI498" i="13" s="1"/>
  <c r="CE498" i="13"/>
  <c r="CH498" i="13" s="1"/>
  <c r="CD498" i="13"/>
  <c r="CG498" i="13" s="1"/>
  <c r="BY498" i="13"/>
  <c r="CF506" i="13"/>
  <c r="CI506" i="13" s="1"/>
  <c r="CE506" i="13"/>
  <c r="CH506" i="13" s="1"/>
  <c r="CD506" i="13"/>
  <c r="CG506" i="13" s="1"/>
  <c r="BY506" i="13"/>
  <c r="CF514" i="13"/>
  <c r="CI514" i="13" s="1"/>
  <c r="CE514" i="13"/>
  <c r="CH514" i="13" s="1"/>
  <c r="CD514" i="13"/>
  <c r="CG514" i="13" s="1"/>
  <c r="BY514" i="13"/>
  <c r="CF522" i="13"/>
  <c r="CI522" i="13" s="1"/>
  <c r="CE522" i="13"/>
  <c r="CH522" i="13" s="1"/>
  <c r="CD522" i="13"/>
  <c r="CG522" i="13" s="1"/>
  <c r="BY522" i="13"/>
  <c r="CF530" i="13"/>
  <c r="CI530" i="13" s="1"/>
  <c r="CE530" i="13"/>
  <c r="CH530" i="13" s="1"/>
  <c r="CD530" i="13"/>
  <c r="CG530" i="13" s="1"/>
  <c r="BY530" i="13"/>
  <c r="CF538" i="13"/>
  <c r="CI538" i="13" s="1"/>
  <c r="CD538" i="13"/>
  <c r="CG538" i="13" s="1"/>
  <c r="CE538" i="13"/>
  <c r="CH538" i="13" s="1"/>
  <c r="BY538" i="13"/>
  <c r="CF546" i="13"/>
  <c r="CI546" i="13" s="1"/>
  <c r="CE546" i="13"/>
  <c r="CH546" i="13" s="1"/>
  <c r="CD546" i="13"/>
  <c r="CG546" i="13" s="1"/>
  <c r="BY546" i="13"/>
  <c r="CF554" i="13"/>
  <c r="CI554" i="13" s="1"/>
  <c r="CD554" i="13"/>
  <c r="CG554" i="13" s="1"/>
  <c r="BY554" i="13"/>
  <c r="CE554" i="13"/>
  <c r="CH554" i="13" s="1"/>
  <c r="CF562" i="13"/>
  <c r="CI562" i="13" s="1"/>
  <c r="CE562" i="13"/>
  <c r="CH562" i="13" s="1"/>
  <c r="CD562" i="13"/>
  <c r="CG562" i="13" s="1"/>
  <c r="BY562" i="13"/>
  <c r="CF570" i="13"/>
  <c r="CI570" i="13" s="1"/>
  <c r="CE570" i="13"/>
  <c r="CH570" i="13" s="1"/>
  <c r="BY570" i="13"/>
  <c r="CD570" i="13"/>
  <c r="CG570" i="13" s="1"/>
  <c r="CF578" i="13"/>
  <c r="CI578" i="13" s="1"/>
  <c r="CE578" i="13"/>
  <c r="CH578" i="13" s="1"/>
  <c r="CD578" i="13"/>
  <c r="CG578" i="13" s="1"/>
  <c r="BY578" i="13"/>
  <c r="CF586" i="13"/>
  <c r="CI586" i="13" s="1"/>
  <c r="CE586" i="13"/>
  <c r="CH586" i="13" s="1"/>
  <c r="CD586" i="13"/>
  <c r="CG586" i="13" s="1"/>
  <c r="BY586" i="13"/>
  <c r="CF594" i="13"/>
  <c r="CI594" i="13" s="1"/>
  <c r="CE594" i="13"/>
  <c r="CH594" i="13" s="1"/>
  <c r="CD594" i="13"/>
  <c r="CG594" i="13" s="1"/>
  <c r="BY594" i="13"/>
  <c r="CF602" i="13"/>
  <c r="CI602" i="13" s="1"/>
  <c r="CE602" i="13"/>
  <c r="CH602" i="13" s="1"/>
  <c r="CD602" i="13"/>
  <c r="CG602" i="13" s="1"/>
  <c r="BY602" i="13"/>
  <c r="CF610" i="13"/>
  <c r="CI610" i="13" s="1"/>
  <c r="CE610" i="13"/>
  <c r="CH610" i="13" s="1"/>
  <c r="CD610" i="13"/>
  <c r="CG610" i="13" s="1"/>
  <c r="BY610" i="13"/>
  <c r="CF618" i="13"/>
  <c r="CI618" i="13" s="1"/>
  <c r="CE618" i="13"/>
  <c r="CH618" i="13" s="1"/>
  <c r="CD618" i="13"/>
  <c r="CG618" i="13" s="1"/>
  <c r="BY618" i="13"/>
  <c r="CF626" i="13"/>
  <c r="CI626" i="13" s="1"/>
  <c r="CE626" i="13"/>
  <c r="CH626" i="13" s="1"/>
  <c r="CD626" i="13"/>
  <c r="CG626" i="13" s="1"/>
  <c r="BY626" i="13"/>
  <c r="CF634" i="13"/>
  <c r="CI634" i="13" s="1"/>
  <c r="CE634" i="13"/>
  <c r="CH634" i="13" s="1"/>
  <c r="CD634" i="13"/>
  <c r="CG634" i="13" s="1"/>
  <c r="BY634" i="13"/>
  <c r="CF642" i="13"/>
  <c r="CI642" i="13" s="1"/>
  <c r="CE642" i="13"/>
  <c r="CH642" i="13" s="1"/>
  <c r="CD642" i="13"/>
  <c r="CG642" i="13" s="1"/>
  <c r="BY642" i="13"/>
  <c r="CF650" i="13"/>
  <c r="CI650" i="13" s="1"/>
  <c r="CE650" i="13"/>
  <c r="CH650" i="13" s="1"/>
  <c r="CD650" i="13"/>
  <c r="CG650" i="13" s="1"/>
  <c r="BY650" i="13"/>
  <c r="CF658" i="13"/>
  <c r="CI658" i="13" s="1"/>
  <c r="CE658" i="13"/>
  <c r="CH658" i="13" s="1"/>
  <c r="CD658" i="13"/>
  <c r="CG658" i="13" s="1"/>
  <c r="BY658" i="13"/>
  <c r="CF666" i="13"/>
  <c r="CI666" i="13" s="1"/>
  <c r="CE666" i="13"/>
  <c r="CH666" i="13" s="1"/>
  <c r="CD666" i="13"/>
  <c r="CG666" i="13" s="1"/>
  <c r="BY666" i="13"/>
  <c r="CF674" i="13"/>
  <c r="CI674" i="13" s="1"/>
  <c r="CE674" i="13"/>
  <c r="CH674" i="13" s="1"/>
  <c r="CD674" i="13"/>
  <c r="CG674" i="13" s="1"/>
  <c r="BY674" i="13"/>
  <c r="CF682" i="13"/>
  <c r="CI682" i="13" s="1"/>
  <c r="CE682" i="13"/>
  <c r="CH682" i="13" s="1"/>
  <c r="CD682" i="13"/>
  <c r="CG682" i="13" s="1"/>
  <c r="BY682" i="13"/>
  <c r="CF690" i="13"/>
  <c r="CI690" i="13" s="1"/>
  <c r="CE690" i="13"/>
  <c r="CH690" i="13" s="1"/>
  <c r="BY690" i="13"/>
  <c r="CD690" i="13"/>
  <c r="CG690" i="13" s="1"/>
  <c r="CF698" i="13"/>
  <c r="CI698" i="13" s="1"/>
  <c r="CE698" i="13"/>
  <c r="CH698" i="13" s="1"/>
  <c r="BY698" i="13"/>
  <c r="CD698" i="13"/>
  <c r="CG698" i="13" s="1"/>
  <c r="CF706" i="13"/>
  <c r="CI706" i="13" s="1"/>
  <c r="CE706" i="13"/>
  <c r="CH706" i="13" s="1"/>
  <c r="BY706" i="13"/>
  <c r="CD706" i="13"/>
  <c r="CG706" i="13" s="1"/>
  <c r="CF714" i="13"/>
  <c r="CI714" i="13" s="1"/>
  <c r="CE714" i="13"/>
  <c r="CH714" i="13" s="1"/>
  <c r="CD714" i="13"/>
  <c r="CG714" i="13" s="1"/>
  <c r="BY714" i="13"/>
  <c r="CF722" i="13"/>
  <c r="CI722" i="13" s="1"/>
  <c r="CE722" i="13"/>
  <c r="CH722" i="13" s="1"/>
  <c r="BY722" i="13"/>
  <c r="CD722" i="13"/>
  <c r="CG722" i="13" s="1"/>
  <c r="CF730" i="13"/>
  <c r="CI730" i="13" s="1"/>
  <c r="CE730" i="13"/>
  <c r="CH730" i="13" s="1"/>
  <c r="CD730" i="13"/>
  <c r="CG730" i="13" s="1"/>
  <c r="BY730" i="13"/>
  <c r="CF738" i="13"/>
  <c r="CI738" i="13" s="1"/>
  <c r="CE738" i="13"/>
  <c r="CH738" i="13" s="1"/>
  <c r="CD738" i="13"/>
  <c r="CG738" i="13" s="1"/>
  <c r="BY738" i="13"/>
  <c r="CF746" i="13"/>
  <c r="CI746" i="13" s="1"/>
  <c r="CE746" i="13"/>
  <c r="CH746" i="13" s="1"/>
  <c r="CD746" i="13"/>
  <c r="CG746" i="13" s="1"/>
  <c r="BY746" i="13"/>
  <c r="CF754" i="13"/>
  <c r="CI754" i="13" s="1"/>
  <c r="CE754" i="13"/>
  <c r="CH754" i="13" s="1"/>
  <c r="CD754" i="13"/>
  <c r="CG754" i="13" s="1"/>
  <c r="BY754" i="13"/>
  <c r="CF762" i="13"/>
  <c r="CI762" i="13" s="1"/>
  <c r="CE762" i="13"/>
  <c r="CH762" i="13" s="1"/>
  <c r="CD762" i="13"/>
  <c r="CG762" i="13" s="1"/>
  <c r="BY762" i="13"/>
  <c r="CF770" i="13"/>
  <c r="CI770" i="13" s="1"/>
  <c r="CE770" i="13"/>
  <c r="CH770" i="13" s="1"/>
  <c r="CD770" i="13"/>
  <c r="CG770" i="13" s="1"/>
  <c r="BY770" i="13"/>
  <c r="CF778" i="13"/>
  <c r="CI778" i="13" s="1"/>
  <c r="CE778" i="13"/>
  <c r="CH778" i="13" s="1"/>
  <c r="CD778" i="13"/>
  <c r="CG778" i="13" s="1"/>
  <c r="BY778" i="13"/>
  <c r="CF786" i="13"/>
  <c r="CI786" i="13" s="1"/>
  <c r="CE786" i="13"/>
  <c r="CH786" i="13" s="1"/>
  <c r="CD786" i="13"/>
  <c r="CG786" i="13" s="1"/>
  <c r="BY786" i="13"/>
  <c r="CF794" i="13"/>
  <c r="CI794" i="13" s="1"/>
  <c r="CE794" i="13"/>
  <c r="CH794" i="13" s="1"/>
  <c r="CD794" i="13"/>
  <c r="CG794" i="13" s="1"/>
  <c r="BY794" i="13"/>
  <c r="CF802" i="13"/>
  <c r="CI802" i="13" s="1"/>
  <c r="CE802" i="13"/>
  <c r="CH802" i="13" s="1"/>
  <c r="CD802" i="13"/>
  <c r="CG802" i="13" s="1"/>
  <c r="BY802" i="13"/>
  <c r="CF810" i="13"/>
  <c r="CI810" i="13" s="1"/>
  <c r="CE810" i="13"/>
  <c r="CH810" i="13" s="1"/>
  <c r="CD810" i="13"/>
  <c r="CG810" i="13" s="1"/>
  <c r="BY810" i="13"/>
  <c r="CF818" i="13"/>
  <c r="CI818" i="13" s="1"/>
  <c r="CE818" i="13"/>
  <c r="CH818" i="13" s="1"/>
  <c r="CD818" i="13"/>
  <c r="CG818" i="13" s="1"/>
  <c r="BY818" i="13"/>
  <c r="CF826" i="13"/>
  <c r="CI826" i="13" s="1"/>
  <c r="CE826" i="13"/>
  <c r="CH826" i="13" s="1"/>
  <c r="BY826" i="13"/>
  <c r="CD826" i="13"/>
  <c r="CG826" i="13" s="1"/>
  <c r="CF834" i="13"/>
  <c r="CI834" i="13" s="1"/>
  <c r="CE834" i="13"/>
  <c r="CH834" i="13" s="1"/>
  <c r="BY834" i="13"/>
  <c r="CD834" i="13"/>
  <c r="CG834" i="13" s="1"/>
  <c r="CF842" i="13"/>
  <c r="CI842" i="13" s="1"/>
  <c r="CE842" i="13"/>
  <c r="CH842" i="13" s="1"/>
  <c r="CD842" i="13"/>
  <c r="CG842" i="13" s="1"/>
  <c r="BY842" i="13"/>
  <c r="CF850" i="13"/>
  <c r="CI850" i="13" s="1"/>
  <c r="CE850" i="13"/>
  <c r="CH850" i="13" s="1"/>
  <c r="CD850" i="13"/>
  <c r="CG850" i="13" s="1"/>
  <c r="BY850" i="13"/>
  <c r="CF858" i="13"/>
  <c r="CI858" i="13" s="1"/>
  <c r="CE858" i="13"/>
  <c r="CH858" i="13" s="1"/>
  <c r="BY858" i="13"/>
  <c r="CD858" i="13"/>
  <c r="CG858" i="13" s="1"/>
  <c r="CF866" i="13"/>
  <c r="CI866" i="13" s="1"/>
  <c r="CE866" i="13"/>
  <c r="CH866" i="13" s="1"/>
  <c r="BY866" i="13"/>
  <c r="CD866" i="13"/>
  <c r="CG866" i="13" s="1"/>
  <c r="CF874" i="13"/>
  <c r="CI874" i="13" s="1"/>
  <c r="CE874" i="13"/>
  <c r="CH874" i="13" s="1"/>
  <c r="CD874" i="13"/>
  <c r="CG874" i="13" s="1"/>
  <c r="BY874" i="13"/>
  <c r="CF882" i="13"/>
  <c r="CI882" i="13" s="1"/>
  <c r="CE882" i="13"/>
  <c r="CH882" i="13" s="1"/>
  <c r="CD882" i="13"/>
  <c r="CG882" i="13" s="1"/>
  <c r="BY882" i="13"/>
  <c r="CF890" i="13"/>
  <c r="CI890" i="13" s="1"/>
  <c r="CE890" i="13"/>
  <c r="CH890" i="13" s="1"/>
  <c r="BY890" i="13"/>
  <c r="CD890" i="13"/>
  <c r="CG890" i="13" s="1"/>
  <c r="CF898" i="13"/>
  <c r="CI898" i="13" s="1"/>
  <c r="CE898" i="13"/>
  <c r="CH898" i="13" s="1"/>
  <c r="BY898" i="13"/>
  <c r="CD898" i="13"/>
  <c r="CG898" i="13" s="1"/>
  <c r="CF906" i="13"/>
  <c r="CI906" i="13" s="1"/>
  <c r="CE906" i="13"/>
  <c r="CH906" i="13" s="1"/>
  <c r="CD906" i="13"/>
  <c r="CG906" i="13" s="1"/>
  <c r="BY906" i="13"/>
  <c r="CF914" i="13"/>
  <c r="CI914" i="13" s="1"/>
  <c r="CE914" i="13"/>
  <c r="CH914" i="13" s="1"/>
  <c r="BY914" i="13"/>
  <c r="CD914" i="13"/>
  <c r="CG914" i="13" s="1"/>
  <c r="CF922" i="13"/>
  <c r="CI922" i="13" s="1"/>
  <c r="CE922" i="13"/>
  <c r="CH922" i="13" s="1"/>
  <c r="CD922" i="13"/>
  <c r="CG922" i="13" s="1"/>
  <c r="BY922" i="13"/>
  <c r="CF930" i="13"/>
  <c r="CI930" i="13" s="1"/>
  <c r="CE930" i="13"/>
  <c r="CH930" i="13" s="1"/>
  <c r="CD930" i="13"/>
  <c r="CG930" i="13" s="1"/>
  <c r="BY930" i="13"/>
  <c r="CF938" i="13"/>
  <c r="CI938" i="13" s="1"/>
  <c r="CE938" i="13"/>
  <c r="CH938" i="13" s="1"/>
  <c r="BY938" i="13"/>
  <c r="CD938" i="13"/>
  <c r="CG938" i="13" s="1"/>
  <c r="CF946" i="13"/>
  <c r="CI946" i="13" s="1"/>
  <c r="CE946" i="13"/>
  <c r="CH946" i="13" s="1"/>
  <c r="CD946" i="13"/>
  <c r="CG946" i="13" s="1"/>
  <c r="BY946" i="13"/>
  <c r="CF954" i="13"/>
  <c r="CI954" i="13" s="1"/>
  <c r="CE954" i="13"/>
  <c r="CH954" i="13" s="1"/>
  <c r="BY954" i="13"/>
  <c r="CD954" i="13"/>
  <c r="CG954" i="13" s="1"/>
  <c r="CF962" i="13"/>
  <c r="CI962" i="13" s="1"/>
  <c r="CE962" i="13"/>
  <c r="CH962" i="13" s="1"/>
  <c r="BY962" i="13"/>
  <c r="CD962" i="13"/>
  <c r="CG962" i="13" s="1"/>
  <c r="CF970" i="13"/>
  <c r="CI970" i="13" s="1"/>
  <c r="CE970" i="13"/>
  <c r="CH970" i="13" s="1"/>
  <c r="CD970" i="13"/>
  <c r="CG970" i="13" s="1"/>
  <c r="BY970" i="13"/>
  <c r="CF978" i="13"/>
  <c r="CI978" i="13" s="1"/>
  <c r="CE978" i="13"/>
  <c r="CH978" i="13" s="1"/>
  <c r="BY978" i="13"/>
  <c r="CD978" i="13"/>
  <c r="CG978" i="13" s="1"/>
  <c r="CF986" i="13"/>
  <c r="CI986" i="13" s="1"/>
  <c r="CE986" i="13"/>
  <c r="CH986" i="13" s="1"/>
  <c r="CD986" i="13"/>
  <c r="CG986" i="13" s="1"/>
  <c r="BY986" i="13"/>
  <c r="CF994" i="13"/>
  <c r="CI994" i="13" s="1"/>
  <c r="CE994" i="13"/>
  <c r="CH994" i="13" s="1"/>
  <c r="BY994" i="13"/>
  <c r="CD994" i="13"/>
  <c r="CG994" i="13" s="1"/>
  <c r="CF1002" i="13"/>
  <c r="CI1002" i="13" s="1"/>
  <c r="CE1002" i="13"/>
  <c r="CH1002" i="13" s="1"/>
  <c r="CD1002" i="13"/>
  <c r="CG1002" i="13" s="1"/>
  <c r="BY1002" i="13"/>
  <c r="CF1010" i="13"/>
  <c r="CI1010" i="13" s="1"/>
  <c r="CE1010" i="13"/>
  <c r="CH1010" i="13" s="1"/>
  <c r="CD1010" i="13"/>
  <c r="CG1010" i="13" s="1"/>
  <c r="BY1010" i="13"/>
  <c r="CF1018" i="13"/>
  <c r="CI1018" i="13" s="1"/>
  <c r="CE1018" i="13"/>
  <c r="CH1018" i="13" s="1"/>
  <c r="CD1018" i="13"/>
  <c r="CG1018" i="13" s="1"/>
  <c r="BY1018" i="13"/>
  <c r="CF1026" i="13"/>
  <c r="CI1026" i="13" s="1"/>
  <c r="CE1026" i="13"/>
  <c r="CH1026" i="13" s="1"/>
  <c r="CD1026" i="13"/>
  <c r="CG1026" i="13" s="1"/>
  <c r="BY1026" i="13"/>
  <c r="CF1034" i="13"/>
  <c r="CI1034" i="13" s="1"/>
  <c r="CE1034" i="13"/>
  <c r="CH1034" i="13" s="1"/>
  <c r="CD1034" i="13"/>
  <c r="CG1034" i="13" s="1"/>
  <c r="BY1034" i="13"/>
  <c r="CF1042" i="13"/>
  <c r="CI1042" i="13" s="1"/>
  <c r="CE1042" i="13"/>
  <c r="CH1042" i="13" s="1"/>
  <c r="BY1042" i="13"/>
  <c r="CD1042" i="13"/>
  <c r="CG1042" i="13" s="1"/>
  <c r="CF1050" i="13"/>
  <c r="CI1050" i="13" s="1"/>
  <c r="CE1050" i="13"/>
  <c r="CH1050" i="13" s="1"/>
  <c r="CD1050" i="13"/>
  <c r="CG1050" i="13" s="1"/>
  <c r="BY1050" i="13"/>
  <c r="CF3" i="13"/>
  <c r="CI3" i="13" s="1"/>
  <c r="CL4" i="13" s="1"/>
  <c r="CE3" i="13"/>
  <c r="CH3" i="13" s="1"/>
  <c r="CD3" i="13"/>
  <c r="CG3" i="13" s="1"/>
  <c r="BY3" i="13"/>
  <c r="CF11" i="13"/>
  <c r="CI11" i="13" s="1"/>
  <c r="CE11" i="13"/>
  <c r="CH11" i="13" s="1"/>
  <c r="CD11" i="13"/>
  <c r="CG11" i="13" s="1"/>
  <c r="BY11" i="13"/>
  <c r="CF19" i="13"/>
  <c r="CI19" i="13" s="1"/>
  <c r="CE19" i="13"/>
  <c r="CH19" i="13" s="1"/>
  <c r="CD19" i="13"/>
  <c r="CG19" i="13" s="1"/>
  <c r="BY19" i="13"/>
  <c r="CF27" i="13"/>
  <c r="CI27" i="13" s="1"/>
  <c r="CE27" i="13"/>
  <c r="CH27" i="13" s="1"/>
  <c r="CD27" i="13"/>
  <c r="CG27" i="13" s="1"/>
  <c r="BY27" i="13"/>
  <c r="CF35" i="13"/>
  <c r="CI35" i="13" s="1"/>
  <c r="CE35" i="13"/>
  <c r="CH35" i="13" s="1"/>
  <c r="CD35" i="13"/>
  <c r="CG35" i="13" s="1"/>
  <c r="BY35" i="13"/>
  <c r="CF43" i="13"/>
  <c r="CI43" i="13" s="1"/>
  <c r="CE43" i="13"/>
  <c r="CH43" i="13" s="1"/>
  <c r="CD43" i="13"/>
  <c r="CG43" i="13" s="1"/>
  <c r="BY43" i="13"/>
  <c r="CF51" i="13"/>
  <c r="CI51" i="13" s="1"/>
  <c r="CE51" i="13"/>
  <c r="CH51" i="13" s="1"/>
  <c r="CD51" i="13"/>
  <c r="CG51" i="13" s="1"/>
  <c r="BY51" i="13"/>
  <c r="CF59" i="13"/>
  <c r="CI59" i="13" s="1"/>
  <c r="CE59" i="13"/>
  <c r="CH59" i="13" s="1"/>
  <c r="CD59" i="13"/>
  <c r="CG59" i="13" s="1"/>
  <c r="BY59" i="13"/>
  <c r="CF67" i="13"/>
  <c r="CI67" i="13" s="1"/>
  <c r="CE67" i="13"/>
  <c r="CH67" i="13" s="1"/>
  <c r="CD67" i="13"/>
  <c r="CG67" i="13" s="1"/>
  <c r="BY67" i="13"/>
  <c r="CF75" i="13"/>
  <c r="CI75" i="13" s="1"/>
  <c r="CE75" i="13"/>
  <c r="CH75" i="13" s="1"/>
  <c r="CD75" i="13"/>
  <c r="CG75" i="13" s="1"/>
  <c r="BY75" i="13"/>
  <c r="CF83" i="13"/>
  <c r="CI83" i="13" s="1"/>
  <c r="CE83" i="13"/>
  <c r="CH83" i="13" s="1"/>
  <c r="CD83" i="13"/>
  <c r="CG83" i="13" s="1"/>
  <c r="BY83" i="13"/>
  <c r="CF91" i="13"/>
  <c r="CI91" i="13" s="1"/>
  <c r="CE91" i="13"/>
  <c r="CH91" i="13" s="1"/>
  <c r="CD91" i="13"/>
  <c r="CG91" i="13" s="1"/>
  <c r="BY91" i="13"/>
  <c r="CF99" i="13"/>
  <c r="CI99" i="13" s="1"/>
  <c r="CE99" i="13"/>
  <c r="CH99" i="13" s="1"/>
  <c r="CD99" i="13"/>
  <c r="CG99" i="13" s="1"/>
  <c r="BY99" i="13"/>
  <c r="CF107" i="13"/>
  <c r="CI107" i="13" s="1"/>
  <c r="CE107" i="13"/>
  <c r="CH107" i="13" s="1"/>
  <c r="CD107" i="13"/>
  <c r="CG107" i="13" s="1"/>
  <c r="BY107" i="13"/>
  <c r="CF115" i="13"/>
  <c r="CI115" i="13" s="1"/>
  <c r="CE115" i="13"/>
  <c r="CH115" i="13" s="1"/>
  <c r="CD115" i="13"/>
  <c r="CG115" i="13" s="1"/>
  <c r="BY115" i="13"/>
  <c r="CF123" i="13"/>
  <c r="CI123" i="13" s="1"/>
  <c r="CE123" i="13"/>
  <c r="CH123" i="13" s="1"/>
  <c r="CD123" i="13"/>
  <c r="CG123" i="13" s="1"/>
  <c r="BY123" i="13"/>
  <c r="CF131" i="13"/>
  <c r="CI131" i="13" s="1"/>
  <c r="CE131" i="13"/>
  <c r="CH131" i="13" s="1"/>
  <c r="CD131" i="13"/>
  <c r="CG131" i="13" s="1"/>
  <c r="BY131" i="13"/>
  <c r="CF139" i="13"/>
  <c r="CI139" i="13" s="1"/>
  <c r="CE139" i="13"/>
  <c r="CH139" i="13" s="1"/>
  <c r="CD139" i="13"/>
  <c r="CG139" i="13" s="1"/>
  <c r="BY139" i="13"/>
  <c r="CF147" i="13"/>
  <c r="CI147" i="13" s="1"/>
  <c r="CE147" i="13"/>
  <c r="CH147" i="13" s="1"/>
  <c r="BY147" i="13"/>
  <c r="CD147" i="13"/>
  <c r="CG147" i="13" s="1"/>
  <c r="CF155" i="13"/>
  <c r="CI155" i="13" s="1"/>
  <c r="CE155" i="13"/>
  <c r="CH155" i="13" s="1"/>
  <c r="CD155" i="13"/>
  <c r="CG155" i="13" s="1"/>
  <c r="BY155" i="13"/>
  <c r="CF163" i="13"/>
  <c r="CI163" i="13" s="1"/>
  <c r="CE163" i="13"/>
  <c r="CH163" i="13" s="1"/>
  <c r="CD163" i="13"/>
  <c r="CG163" i="13" s="1"/>
  <c r="BY163" i="13"/>
  <c r="CF171" i="13"/>
  <c r="CI171" i="13" s="1"/>
  <c r="CE171" i="13"/>
  <c r="CH171" i="13" s="1"/>
  <c r="CD171" i="13"/>
  <c r="CG171" i="13" s="1"/>
  <c r="BY171" i="13"/>
  <c r="CF179" i="13"/>
  <c r="CI179" i="13" s="1"/>
  <c r="CE179" i="13"/>
  <c r="CH179" i="13" s="1"/>
  <c r="CD179" i="13"/>
  <c r="CG179" i="13" s="1"/>
  <c r="BY179" i="13"/>
  <c r="CF187" i="13"/>
  <c r="CI187" i="13" s="1"/>
  <c r="CE187" i="13"/>
  <c r="CH187" i="13" s="1"/>
  <c r="CD187" i="13"/>
  <c r="CG187" i="13" s="1"/>
  <c r="BY187" i="13"/>
  <c r="CF195" i="13"/>
  <c r="CI195" i="13" s="1"/>
  <c r="CE195" i="13"/>
  <c r="CH195" i="13" s="1"/>
  <c r="CD195" i="13"/>
  <c r="CG195" i="13" s="1"/>
  <c r="BY195" i="13"/>
  <c r="CF203" i="13"/>
  <c r="CI203" i="13" s="1"/>
  <c r="CE203" i="13"/>
  <c r="CH203" i="13" s="1"/>
  <c r="BY203" i="13"/>
  <c r="CD203" i="13"/>
  <c r="CG203" i="13" s="1"/>
  <c r="CF211" i="13"/>
  <c r="CI211" i="13" s="1"/>
  <c r="CE211" i="13"/>
  <c r="CH211" i="13" s="1"/>
  <c r="CD211" i="13"/>
  <c r="CG211" i="13" s="1"/>
  <c r="BY211" i="13"/>
  <c r="CF219" i="13"/>
  <c r="CI219" i="13" s="1"/>
  <c r="CE219" i="13"/>
  <c r="CH219" i="13" s="1"/>
  <c r="BY219" i="13"/>
  <c r="CD219" i="13"/>
  <c r="CG219" i="13" s="1"/>
  <c r="CF227" i="13"/>
  <c r="CI227" i="13" s="1"/>
  <c r="CE227" i="13"/>
  <c r="CH227" i="13" s="1"/>
  <c r="CD227" i="13"/>
  <c r="CG227" i="13" s="1"/>
  <c r="BY227" i="13"/>
  <c r="CF235" i="13"/>
  <c r="CI235" i="13" s="1"/>
  <c r="CE235" i="13"/>
  <c r="CH235" i="13" s="1"/>
  <c r="CD235" i="13"/>
  <c r="CG235" i="13" s="1"/>
  <c r="BY235" i="13"/>
  <c r="CF243" i="13"/>
  <c r="CI243" i="13" s="1"/>
  <c r="CE243" i="13"/>
  <c r="CH243" i="13" s="1"/>
  <c r="CD243" i="13"/>
  <c r="CG243" i="13" s="1"/>
  <c r="BY243" i="13"/>
  <c r="CF251" i="13"/>
  <c r="CI251" i="13" s="1"/>
  <c r="CE251" i="13"/>
  <c r="CH251" i="13" s="1"/>
  <c r="CD251" i="13"/>
  <c r="CG251" i="13" s="1"/>
  <c r="BY251" i="13"/>
  <c r="CF259" i="13"/>
  <c r="CI259" i="13" s="1"/>
  <c r="CE259" i="13"/>
  <c r="CH259" i="13" s="1"/>
  <c r="CD259" i="13"/>
  <c r="CG259" i="13" s="1"/>
  <c r="BY259" i="13"/>
  <c r="CF267" i="13"/>
  <c r="CI267" i="13" s="1"/>
  <c r="CE267" i="13"/>
  <c r="CH267" i="13" s="1"/>
  <c r="CD267" i="13"/>
  <c r="CG267" i="13" s="1"/>
  <c r="BY267" i="13"/>
  <c r="CF275" i="13"/>
  <c r="CI275" i="13" s="1"/>
  <c r="CE275" i="13"/>
  <c r="CH275" i="13" s="1"/>
  <c r="CD275" i="13"/>
  <c r="CG275" i="13" s="1"/>
  <c r="BY275" i="13"/>
  <c r="CF283" i="13"/>
  <c r="CI283" i="13" s="1"/>
  <c r="CE283" i="13"/>
  <c r="CH283" i="13" s="1"/>
  <c r="CD283" i="13"/>
  <c r="CG283" i="13" s="1"/>
  <c r="BY283" i="13"/>
  <c r="CF291" i="13"/>
  <c r="CI291" i="13" s="1"/>
  <c r="CE291" i="13"/>
  <c r="CH291" i="13" s="1"/>
  <c r="CD291" i="13"/>
  <c r="CG291" i="13" s="1"/>
  <c r="BY291" i="13"/>
  <c r="CF299" i="13"/>
  <c r="CI299" i="13" s="1"/>
  <c r="CE299" i="13"/>
  <c r="CH299" i="13" s="1"/>
  <c r="CD299" i="13"/>
  <c r="CG299" i="13" s="1"/>
  <c r="BY299" i="13"/>
  <c r="CF307" i="13"/>
  <c r="CI307" i="13" s="1"/>
  <c r="CE307" i="13"/>
  <c r="CH307" i="13" s="1"/>
  <c r="CD307" i="13"/>
  <c r="CG307" i="13" s="1"/>
  <c r="BY307" i="13"/>
  <c r="CF315" i="13"/>
  <c r="CI315" i="13" s="1"/>
  <c r="CE315" i="13"/>
  <c r="CH315" i="13" s="1"/>
  <c r="CD315" i="13"/>
  <c r="CG315" i="13" s="1"/>
  <c r="BY315" i="13"/>
  <c r="CF323" i="13"/>
  <c r="CI323" i="13" s="1"/>
  <c r="CE323" i="13"/>
  <c r="CH323" i="13" s="1"/>
  <c r="CD323" i="13"/>
  <c r="CG323" i="13" s="1"/>
  <c r="BY323" i="13"/>
  <c r="CF331" i="13"/>
  <c r="CI331" i="13" s="1"/>
  <c r="CE331" i="13"/>
  <c r="CH331" i="13" s="1"/>
  <c r="CD331" i="13"/>
  <c r="CG331" i="13" s="1"/>
  <c r="BY331" i="13"/>
  <c r="CF339" i="13"/>
  <c r="CI339" i="13" s="1"/>
  <c r="CE339" i="13"/>
  <c r="CH339" i="13" s="1"/>
  <c r="CD339" i="13"/>
  <c r="CG339" i="13" s="1"/>
  <c r="BY339" i="13"/>
  <c r="CF347" i="13"/>
  <c r="CI347" i="13" s="1"/>
  <c r="CE347" i="13"/>
  <c r="CH347" i="13" s="1"/>
  <c r="CD347" i="13"/>
  <c r="CG347" i="13" s="1"/>
  <c r="BY347" i="13"/>
  <c r="CF355" i="13"/>
  <c r="CI355" i="13" s="1"/>
  <c r="CE355" i="13"/>
  <c r="CH355" i="13" s="1"/>
  <c r="CD355" i="13"/>
  <c r="CG355" i="13" s="1"/>
  <c r="BY355" i="13"/>
  <c r="CF363" i="13"/>
  <c r="CI363" i="13" s="1"/>
  <c r="CE363" i="13"/>
  <c r="CH363" i="13" s="1"/>
  <c r="CD363" i="13"/>
  <c r="CG363" i="13" s="1"/>
  <c r="BY363" i="13"/>
  <c r="CF371" i="13"/>
  <c r="CI371" i="13" s="1"/>
  <c r="CE371" i="13"/>
  <c r="CH371" i="13" s="1"/>
  <c r="CD371" i="13"/>
  <c r="CG371" i="13" s="1"/>
  <c r="BY371" i="13"/>
  <c r="CF379" i="13"/>
  <c r="CI379" i="13" s="1"/>
  <c r="CE379" i="13"/>
  <c r="CH379" i="13" s="1"/>
  <c r="CD379" i="13"/>
  <c r="CG379" i="13" s="1"/>
  <c r="BY379" i="13"/>
  <c r="CF387" i="13"/>
  <c r="CI387" i="13" s="1"/>
  <c r="CE387" i="13"/>
  <c r="CH387" i="13" s="1"/>
  <c r="CD387" i="13"/>
  <c r="CG387" i="13" s="1"/>
  <c r="BY387" i="13"/>
  <c r="CF395" i="13"/>
  <c r="CI395" i="13" s="1"/>
  <c r="CE395" i="13"/>
  <c r="CH395" i="13" s="1"/>
  <c r="CD395" i="13"/>
  <c r="CG395" i="13" s="1"/>
  <c r="BY395" i="13"/>
  <c r="CF403" i="13"/>
  <c r="CI403" i="13" s="1"/>
  <c r="CE403" i="13"/>
  <c r="CH403" i="13" s="1"/>
  <c r="CD403" i="13"/>
  <c r="CG403" i="13" s="1"/>
  <c r="BY403" i="13"/>
  <c r="CF411" i="13"/>
  <c r="CI411" i="13" s="1"/>
  <c r="CE411" i="13"/>
  <c r="CH411" i="13" s="1"/>
  <c r="CD411" i="13"/>
  <c r="CG411" i="13" s="1"/>
  <c r="BY411" i="13"/>
  <c r="CF419" i="13"/>
  <c r="CI419" i="13" s="1"/>
  <c r="CE419" i="13"/>
  <c r="CH419" i="13" s="1"/>
  <c r="CD419" i="13"/>
  <c r="CG419" i="13" s="1"/>
  <c r="BY419" i="13"/>
  <c r="CF427" i="13"/>
  <c r="CI427" i="13" s="1"/>
  <c r="CE427" i="13"/>
  <c r="CH427" i="13" s="1"/>
  <c r="CD427" i="13"/>
  <c r="CG427" i="13" s="1"/>
  <c r="BY427" i="13"/>
  <c r="CF435" i="13"/>
  <c r="CI435" i="13" s="1"/>
  <c r="CE435" i="13"/>
  <c r="CH435" i="13" s="1"/>
  <c r="CD435" i="13"/>
  <c r="CG435" i="13" s="1"/>
  <c r="BY435" i="13"/>
  <c r="CF443" i="13"/>
  <c r="CI443" i="13" s="1"/>
  <c r="CE443" i="13"/>
  <c r="CH443" i="13" s="1"/>
  <c r="CD443" i="13"/>
  <c r="CG443" i="13" s="1"/>
  <c r="BY443" i="13"/>
  <c r="CF451" i="13"/>
  <c r="CI451" i="13" s="1"/>
  <c r="CE451" i="13"/>
  <c r="CH451" i="13" s="1"/>
  <c r="CD451" i="13"/>
  <c r="CG451" i="13" s="1"/>
  <c r="BY451" i="13"/>
  <c r="CF459" i="13"/>
  <c r="CI459" i="13" s="1"/>
  <c r="CE459" i="13"/>
  <c r="CH459" i="13" s="1"/>
  <c r="CD459" i="13"/>
  <c r="CG459" i="13" s="1"/>
  <c r="CF467" i="13"/>
  <c r="CI467" i="13" s="1"/>
  <c r="CE467" i="13"/>
  <c r="CH467" i="13" s="1"/>
  <c r="CD467" i="13"/>
  <c r="CG467" i="13" s="1"/>
  <c r="CF475" i="13"/>
  <c r="CI475" i="13" s="1"/>
  <c r="CE475" i="13"/>
  <c r="CH475" i="13" s="1"/>
  <c r="CD475" i="13"/>
  <c r="CG475" i="13" s="1"/>
  <c r="CF483" i="13"/>
  <c r="CI483" i="13" s="1"/>
  <c r="CE483" i="13"/>
  <c r="CH483" i="13" s="1"/>
  <c r="CD483" i="13"/>
  <c r="CG483" i="13" s="1"/>
  <c r="BY483" i="13"/>
  <c r="CF491" i="13"/>
  <c r="CI491" i="13" s="1"/>
  <c r="CE491" i="13"/>
  <c r="CH491" i="13" s="1"/>
  <c r="CD491" i="13"/>
  <c r="CG491" i="13" s="1"/>
  <c r="BY491" i="13"/>
  <c r="CF499" i="13"/>
  <c r="CI499" i="13" s="1"/>
  <c r="CE499" i="13"/>
  <c r="CH499" i="13" s="1"/>
  <c r="CD499" i="13"/>
  <c r="CG499" i="13" s="1"/>
  <c r="BY499" i="13"/>
  <c r="CF507" i="13"/>
  <c r="CI507" i="13" s="1"/>
  <c r="CE507" i="13"/>
  <c r="CH507" i="13" s="1"/>
  <c r="CD507" i="13"/>
  <c r="CG507" i="13" s="1"/>
  <c r="BY507" i="13"/>
  <c r="CF515" i="13"/>
  <c r="CI515" i="13" s="1"/>
  <c r="CE515" i="13"/>
  <c r="CH515" i="13" s="1"/>
  <c r="CD515" i="13"/>
  <c r="CG515" i="13" s="1"/>
  <c r="BY515" i="13"/>
  <c r="CF523" i="13"/>
  <c r="CI523" i="13" s="1"/>
  <c r="CE523" i="13"/>
  <c r="CH523" i="13" s="1"/>
  <c r="BY523" i="13"/>
  <c r="CD523" i="13"/>
  <c r="CG523" i="13" s="1"/>
  <c r="CF531" i="13"/>
  <c r="CI531" i="13" s="1"/>
  <c r="CE531" i="13"/>
  <c r="CH531" i="13" s="1"/>
  <c r="CD531" i="13"/>
  <c r="CG531" i="13" s="1"/>
  <c r="BY531" i="13"/>
  <c r="CF539" i="13"/>
  <c r="CI539" i="13" s="1"/>
  <c r="CE539" i="13"/>
  <c r="CH539" i="13" s="1"/>
  <c r="CD539" i="13"/>
  <c r="CG539" i="13" s="1"/>
  <c r="BY539" i="13"/>
  <c r="CF547" i="13"/>
  <c r="CI547" i="13" s="1"/>
  <c r="CE547" i="13"/>
  <c r="CH547" i="13" s="1"/>
  <c r="CD547" i="13"/>
  <c r="CG547" i="13" s="1"/>
  <c r="BY547" i="13"/>
  <c r="CF555" i="13"/>
  <c r="CI555" i="13" s="1"/>
  <c r="CE555" i="13"/>
  <c r="CH555" i="13" s="1"/>
  <c r="CD555" i="13"/>
  <c r="CG555" i="13" s="1"/>
  <c r="BY555" i="13"/>
  <c r="CF563" i="13"/>
  <c r="CI563" i="13" s="1"/>
  <c r="CD563" i="13"/>
  <c r="CG563" i="13" s="1"/>
  <c r="BY563" i="13"/>
  <c r="CE563" i="13"/>
  <c r="CH563" i="13" s="1"/>
  <c r="CF571" i="13"/>
  <c r="CI571" i="13" s="1"/>
  <c r="CE571" i="13"/>
  <c r="CH571" i="13" s="1"/>
  <c r="BY571" i="13"/>
  <c r="CD571" i="13"/>
  <c r="CG571" i="13" s="1"/>
  <c r="CF579" i="13"/>
  <c r="CI579" i="13" s="1"/>
  <c r="CE579" i="13"/>
  <c r="CH579" i="13" s="1"/>
  <c r="CD579" i="13"/>
  <c r="CG579" i="13" s="1"/>
  <c r="BY579" i="13"/>
  <c r="CF587" i="13"/>
  <c r="CI587" i="13" s="1"/>
  <c r="CE587" i="13"/>
  <c r="CH587" i="13" s="1"/>
  <c r="CD587" i="13"/>
  <c r="CG587" i="13" s="1"/>
  <c r="BY587" i="13"/>
  <c r="CF595" i="13"/>
  <c r="CI595" i="13" s="1"/>
  <c r="CE595" i="13"/>
  <c r="CH595" i="13" s="1"/>
  <c r="CD595" i="13"/>
  <c r="CG595" i="13" s="1"/>
  <c r="BY595" i="13"/>
  <c r="CF603" i="13"/>
  <c r="CI603" i="13" s="1"/>
  <c r="CE603" i="13"/>
  <c r="CH603" i="13" s="1"/>
  <c r="BY603" i="13"/>
  <c r="CD603" i="13"/>
  <c r="CG603" i="13" s="1"/>
  <c r="CF611" i="13"/>
  <c r="CI611" i="13" s="1"/>
  <c r="CE611" i="13"/>
  <c r="CH611" i="13" s="1"/>
  <c r="CD611" i="13"/>
  <c r="CG611" i="13" s="1"/>
  <c r="BY611" i="13"/>
  <c r="CF619" i="13"/>
  <c r="CI619" i="13" s="1"/>
  <c r="CE619" i="13"/>
  <c r="CH619" i="13" s="1"/>
  <c r="BY619" i="13"/>
  <c r="CD619" i="13"/>
  <c r="CG619" i="13" s="1"/>
  <c r="CF627" i="13"/>
  <c r="CI627" i="13" s="1"/>
  <c r="CE627" i="13"/>
  <c r="CH627" i="13" s="1"/>
  <c r="BY627" i="13"/>
  <c r="CD627" i="13"/>
  <c r="CG627" i="13" s="1"/>
  <c r="CF635" i="13"/>
  <c r="CI635" i="13" s="1"/>
  <c r="CE635" i="13"/>
  <c r="CH635" i="13" s="1"/>
  <c r="BY635" i="13"/>
  <c r="CD635" i="13"/>
  <c r="CG635" i="13" s="1"/>
  <c r="CF643" i="13"/>
  <c r="CI643" i="13" s="1"/>
  <c r="CE643" i="13"/>
  <c r="CH643" i="13" s="1"/>
  <c r="CD643" i="13"/>
  <c r="CG643" i="13" s="1"/>
  <c r="BY643" i="13"/>
  <c r="CF651" i="13"/>
  <c r="CI651" i="13" s="1"/>
  <c r="CE651" i="13"/>
  <c r="CH651" i="13" s="1"/>
  <c r="CD651" i="13"/>
  <c r="CG651" i="13" s="1"/>
  <c r="BY651" i="13"/>
  <c r="CF659" i="13"/>
  <c r="CI659" i="13" s="1"/>
  <c r="CE659" i="13"/>
  <c r="CH659" i="13" s="1"/>
  <c r="CD659" i="13"/>
  <c r="CG659" i="13" s="1"/>
  <c r="BY659" i="13"/>
  <c r="CF667" i="13"/>
  <c r="CI667" i="13" s="1"/>
  <c r="CE667" i="13"/>
  <c r="CH667" i="13" s="1"/>
  <c r="CD667" i="13"/>
  <c r="CG667" i="13" s="1"/>
  <c r="BY667" i="13"/>
  <c r="CF675" i="13"/>
  <c r="CI675" i="13" s="1"/>
  <c r="CE675" i="13"/>
  <c r="CH675" i="13" s="1"/>
  <c r="CD675" i="13"/>
  <c r="CG675" i="13" s="1"/>
  <c r="BY675" i="13"/>
  <c r="CF683" i="13"/>
  <c r="CI683" i="13" s="1"/>
  <c r="CE683" i="13"/>
  <c r="CH683" i="13" s="1"/>
  <c r="CD683" i="13"/>
  <c r="CG683" i="13" s="1"/>
  <c r="BY683" i="13"/>
  <c r="CF691" i="13"/>
  <c r="CI691" i="13" s="1"/>
  <c r="CE691" i="13"/>
  <c r="CH691" i="13" s="1"/>
  <c r="CD691" i="13"/>
  <c r="CG691" i="13" s="1"/>
  <c r="BY691" i="13"/>
  <c r="CF699" i="13"/>
  <c r="CI699" i="13" s="1"/>
  <c r="CE699" i="13"/>
  <c r="CH699" i="13" s="1"/>
  <c r="CD699" i="13"/>
  <c r="CG699" i="13" s="1"/>
  <c r="BY699" i="13"/>
  <c r="CF707" i="13"/>
  <c r="CI707" i="13" s="1"/>
  <c r="CE707" i="13"/>
  <c r="CH707" i="13" s="1"/>
  <c r="CD707" i="13"/>
  <c r="CG707" i="13" s="1"/>
  <c r="BY707" i="13"/>
  <c r="CF715" i="13"/>
  <c r="CI715" i="13" s="1"/>
  <c r="CE715" i="13"/>
  <c r="CH715" i="13" s="1"/>
  <c r="CD715" i="13"/>
  <c r="CG715" i="13" s="1"/>
  <c r="BY715" i="13"/>
  <c r="CF723" i="13"/>
  <c r="CI723" i="13" s="1"/>
  <c r="CE723" i="13"/>
  <c r="CH723" i="13" s="1"/>
  <c r="CD723" i="13"/>
  <c r="CG723" i="13" s="1"/>
  <c r="BY723" i="13"/>
  <c r="CF731" i="13"/>
  <c r="CI731" i="13" s="1"/>
  <c r="CE731" i="13"/>
  <c r="CH731" i="13" s="1"/>
  <c r="BY731" i="13"/>
  <c r="CD731" i="13"/>
  <c r="CG731" i="13" s="1"/>
  <c r="CF739" i="13"/>
  <c r="CI739" i="13" s="1"/>
  <c r="CE739" i="13"/>
  <c r="CH739" i="13" s="1"/>
  <c r="CD739" i="13"/>
  <c r="CG739" i="13" s="1"/>
  <c r="BY739" i="13"/>
  <c r="CF747" i="13"/>
  <c r="CI747" i="13" s="1"/>
  <c r="CE747" i="13"/>
  <c r="CH747" i="13" s="1"/>
  <c r="CD747" i="13"/>
  <c r="CG747" i="13" s="1"/>
  <c r="BY747" i="13"/>
  <c r="CF755" i="13"/>
  <c r="CI755" i="13" s="1"/>
  <c r="CE755" i="13"/>
  <c r="CH755" i="13" s="1"/>
  <c r="CD755" i="13"/>
  <c r="CG755" i="13" s="1"/>
  <c r="BY755" i="13"/>
  <c r="CF763" i="13"/>
  <c r="CI763" i="13" s="1"/>
  <c r="BY763" i="13"/>
  <c r="CE763" i="13"/>
  <c r="CH763" i="13" s="1"/>
  <c r="CD763" i="13"/>
  <c r="CG763" i="13" s="1"/>
  <c r="CF771" i="13"/>
  <c r="CI771" i="13" s="1"/>
  <c r="CE771" i="13"/>
  <c r="CH771" i="13" s="1"/>
  <c r="CD771" i="13"/>
  <c r="CG771" i="13" s="1"/>
  <c r="BY771" i="13"/>
  <c r="CF779" i="13"/>
  <c r="CI779" i="13" s="1"/>
  <c r="CE779" i="13"/>
  <c r="CH779" i="13" s="1"/>
  <c r="CD779" i="13"/>
  <c r="CG779" i="13" s="1"/>
  <c r="BY779" i="13"/>
  <c r="CF787" i="13"/>
  <c r="CI787" i="13" s="1"/>
  <c r="CD787" i="13"/>
  <c r="CG787" i="13" s="1"/>
  <c r="BY787" i="13"/>
  <c r="CE787" i="13"/>
  <c r="CH787" i="13" s="1"/>
  <c r="CF795" i="13"/>
  <c r="CI795" i="13" s="1"/>
  <c r="CE795" i="13"/>
  <c r="CH795" i="13" s="1"/>
  <c r="BY795" i="13"/>
  <c r="CD795" i="13"/>
  <c r="CG795" i="13" s="1"/>
  <c r="CF803" i="13"/>
  <c r="CI803" i="13" s="1"/>
  <c r="CE803" i="13"/>
  <c r="CH803" i="13" s="1"/>
  <c r="CD803" i="13"/>
  <c r="CG803" i="13" s="1"/>
  <c r="BY803" i="13"/>
  <c r="CF811" i="13"/>
  <c r="CI811" i="13" s="1"/>
  <c r="CE811" i="13"/>
  <c r="CH811" i="13" s="1"/>
  <c r="CD811" i="13"/>
  <c r="CG811" i="13" s="1"/>
  <c r="BY811" i="13"/>
  <c r="CF819" i="13"/>
  <c r="CI819" i="13" s="1"/>
  <c r="CE819" i="13"/>
  <c r="CH819" i="13" s="1"/>
  <c r="CD819" i="13"/>
  <c r="CG819" i="13" s="1"/>
  <c r="BY819" i="13"/>
  <c r="CF827" i="13"/>
  <c r="CI827" i="13" s="1"/>
  <c r="CE827" i="13"/>
  <c r="CH827" i="13" s="1"/>
  <c r="BY827" i="13"/>
  <c r="CD827" i="13"/>
  <c r="CG827" i="13" s="1"/>
  <c r="CF835" i="13"/>
  <c r="CI835" i="13" s="1"/>
  <c r="CE835" i="13"/>
  <c r="CH835" i="13" s="1"/>
  <c r="CD835" i="13"/>
  <c r="CG835" i="13" s="1"/>
  <c r="BY835" i="13"/>
  <c r="CF843" i="13"/>
  <c r="CI843" i="13" s="1"/>
  <c r="CE843" i="13"/>
  <c r="CH843" i="13" s="1"/>
  <c r="CD843" i="13"/>
  <c r="CG843" i="13" s="1"/>
  <c r="BY843" i="13"/>
  <c r="CF851" i="13"/>
  <c r="CI851" i="13" s="1"/>
  <c r="CE851" i="13"/>
  <c r="CH851" i="13" s="1"/>
  <c r="CD851" i="13"/>
  <c r="CG851" i="13" s="1"/>
  <c r="BY851" i="13"/>
  <c r="CF859" i="13"/>
  <c r="CI859" i="13" s="1"/>
  <c r="CE859" i="13"/>
  <c r="CH859" i="13" s="1"/>
  <c r="BY859" i="13"/>
  <c r="CD859" i="13"/>
  <c r="CG859" i="13" s="1"/>
  <c r="CF867" i="13"/>
  <c r="CI867" i="13" s="1"/>
  <c r="CE867" i="13"/>
  <c r="CH867" i="13" s="1"/>
  <c r="CD867" i="13"/>
  <c r="CG867" i="13" s="1"/>
  <c r="BY867" i="13"/>
  <c r="CF875" i="13"/>
  <c r="CI875" i="13" s="1"/>
  <c r="CE875" i="13"/>
  <c r="CH875" i="13" s="1"/>
  <c r="CD875" i="13"/>
  <c r="CG875" i="13" s="1"/>
  <c r="BY875" i="13"/>
  <c r="CF883" i="13"/>
  <c r="CI883" i="13" s="1"/>
  <c r="CE883" i="13"/>
  <c r="CH883" i="13" s="1"/>
  <c r="CD883" i="13"/>
  <c r="CG883" i="13" s="1"/>
  <c r="BY883" i="13"/>
  <c r="CF891" i="13"/>
  <c r="CI891" i="13" s="1"/>
  <c r="CE891" i="13"/>
  <c r="CH891" i="13" s="1"/>
  <c r="BY891" i="13"/>
  <c r="CD891" i="13"/>
  <c r="CG891" i="13" s="1"/>
  <c r="CF899" i="13"/>
  <c r="CI899" i="13" s="1"/>
  <c r="CE899" i="13"/>
  <c r="CH899" i="13" s="1"/>
  <c r="CD899" i="13"/>
  <c r="CG899" i="13" s="1"/>
  <c r="BY899" i="13"/>
  <c r="CF907" i="13"/>
  <c r="CI907" i="13" s="1"/>
  <c r="CE907" i="13"/>
  <c r="CH907" i="13" s="1"/>
  <c r="CD907" i="13"/>
  <c r="CG907" i="13" s="1"/>
  <c r="BY907" i="13"/>
  <c r="CF915" i="13"/>
  <c r="CI915" i="13" s="1"/>
  <c r="CE915" i="13"/>
  <c r="CH915" i="13" s="1"/>
  <c r="BY915" i="13"/>
  <c r="CD915" i="13"/>
  <c r="CG915" i="13" s="1"/>
  <c r="CF923" i="13"/>
  <c r="CI923" i="13" s="1"/>
  <c r="CE923" i="13"/>
  <c r="CH923" i="13" s="1"/>
  <c r="CD923" i="13"/>
  <c r="CG923" i="13" s="1"/>
  <c r="BY923" i="13"/>
  <c r="CF931" i="13"/>
  <c r="CI931" i="13" s="1"/>
  <c r="CE931" i="13"/>
  <c r="CH931" i="13" s="1"/>
  <c r="CD931" i="13"/>
  <c r="CG931" i="13" s="1"/>
  <c r="BY931" i="13"/>
  <c r="CF939" i="13"/>
  <c r="CI939" i="13" s="1"/>
  <c r="CE939" i="13"/>
  <c r="CH939" i="13" s="1"/>
  <c r="CD939" i="13"/>
  <c r="CG939" i="13" s="1"/>
  <c r="BY939" i="13"/>
  <c r="CF947" i="13"/>
  <c r="CI947" i="13" s="1"/>
  <c r="CE947" i="13"/>
  <c r="CH947" i="13" s="1"/>
  <c r="CD947" i="13"/>
  <c r="CG947" i="13" s="1"/>
  <c r="BY947" i="13"/>
  <c r="CF955" i="13"/>
  <c r="CI955" i="13" s="1"/>
  <c r="BY955" i="13"/>
  <c r="CE955" i="13"/>
  <c r="CH955" i="13" s="1"/>
  <c r="CD955" i="13"/>
  <c r="CG955" i="13" s="1"/>
  <c r="CF963" i="13"/>
  <c r="CI963" i="13" s="1"/>
  <c r="CE963" i="13"/>
  <c r="CH963" i="13" s="1"/>
  <c r="CD963" i="13"/>
  <c r="CG963" i="13" s="1"/>
  <c r="BY963" i="13"/>
  <c r="CF971" i="13"/>
  <c r="CI971" i="13" s="1"/>
  <c r="CE971" i="13"/>
  <c r="CH971" i="13" s="1"/>
  <c r="CD971" i="13"/>
  <c r="CG971" i="13" s="1"/>
  <c r="BY971" i="13"/>
  <c r="CF979" i="13"/>
  <c r="CI979" i="13" s="1"/>
  <c r="CE979" i="13"/>
  <c r="CH979" i="13" s="1"/>
  <c r="BY979" i="13"/>
  <c r="CD979" i="13"/>
  <c r="CG979" i="13" s="1"/>
  <c r="CF987" i="13"/>
  <c r="CI987" i="13" s="1"/>
  <c r="CE987" i="13"/>
  <c r="CH987" i="13" s="1"/>
  <c r="CD987" i="13"/>
  <c r="CG987" i="13" s="1"/>
  <c r="BY987" i="13"/>
  <c r="CF995" i="13"/>
  <c r="CI995" i="13" s="1"/>
  <c r="CE995" i="13"/>
  <c r="CH995" i="13" s="1"/>
  <c r="BY995" i="13"/>
  <c r="CD995" i="13"/>
  <c r="CG995" i="13" s="1"/>
  <c r="CF1003" i="13"/>
  <c r="CI1003" i="13" s="1"/>
  <c r="CE1003" i="13"/>
  <c r="CH1003" i="13" s="1"/>
  <c r="CD1003" i="13"/>
  <c r="CG1003" i="13" s="1"/>
  <c r="BY1003" i="13"/>
  <c r="CF1011" i="13"/>
  <c r="CI1011" i="13" s="1"/>
  <c r="CE1011" i="13"/>
  <c r="CH1011" i="13" s="1"/>
  <c r="CD1011" i="13"/>
  <c r="CG1011" i="13" s="1"/>
  <c r="BY1011" i="13"/>
  <c r="CF1019" i="13"/>
  <c r="CI1019" i="13" s="1"/>
  <c r="CE1019" i="13"/>
  <c r="CH1019" i="13" s="1"/>
  <c r="CD1019" i="13"/>
  <c r="CG1019" i="13" s="1"/>
  <c r="BY1019" i="13"/>
  <c r="CF1027" i="13"/>
  <c r="CI1027" i="13" s="1"/>
  <c r="CE1027" i="13"/>
  <c r="CH1027" i="13" s="1"/>
  <c r="CD1027" i="13"/>
  <c r="CG1027" i="13" s="1"/>
  <c r="BY1027" i="13"/>
  <c r="CF1035" i="13"/>
  <c r="CI1035" i="13" s="1"/>
  <c r="CE1035" i="13"/>
  <c r="CH1035" i="13" s="1"/>
  <c r="BY1035" i="13"/>
  <c r="CD1035" i="13"/>
  <c r="CG1035" i="13" s="1"/>
  <c r="CF1043" i="13"/>
  <c r="CI1043" i="13" s="1"/>
  <c r="CE1043" i="13"/>
  <c r="CH1043" i="13" s="1"/>
  <c r="CD1043" i="13"/>
  <c r="CG1043" i="13" s="1"/>
  <c r="BY1043" i="13"/>
  <c r="CF1051" i="13"/>
  <c r="CI1051" i="13" s="1"/>
  <c r="CE1051" i="13"/>
  <c r="CH1051" i="13" s="1"/>
  <c r="CD1051" i="13"/>
  <c r="CG1051" i="13" s="1"/>
  <c r="BY1051" i="13"/>
  <c r="CF4" i="13"/>
  <c r="CI4" i="13" s="1"/>
  <c r="CE4" i="13"/>
  <c r="CH4" i="13" s="1"/>
  <c r="CD4" i="13"/>
  <c r="CG4" i="13" s="1"/>
  <c r="BY4" i="13"/>
  <c r="BZ4" i="13" s="1"/>
  <c r="CF12" i="13"/>
  <c r="CI12" i="13" s="1"/>
  <c r="CE12" i="13"/>
  <c r="CH12" i="13" s="1"/>
  <c r="CD12" i="13"/>
  <c r="CG12" i="13" s="1"/>
  <c r="BY12" i="13"/>
  <c r="CF20" i="13"/>
  <c r="CI20" i="13" s="1"/>
  <c r="CE20" i="13"/>
  <c r="CH20" i="13" s="1"/>
  <c r="CD20" i="13"/>
  <c r="CG20" i="13" s="1"/>
  <c r="BY20" i="13"/>
  <c r="CF28" i="13"/>
  <c r="CI28" i="13" s="1"/>
  <c r="CE28" i="13"/>
  <c r="CH28" i="13" s="1"/>
  <c r="CD28" i="13"/>
  <c r="CG28" i="13" s="1"/>
  <c r="BY28" i="13"/>
  <c r="CF36" i="13"/>
  <c r="CI36" i="13" s="1"/>
  <c r="CE36" i="13"/>
  <c r="CH36" i="13" s="1"/>
  <c r="CD36" i="13"/>
  <c r="CG36" i="13" s="1"/>
  <c r="BY36" i="13"/>
  <c r="CF44" i="13"/>
  <c r="CI44" i="13" s="1"/>
  <c r="CE44" i="13"/>
  <c r="CH44" i="13" s="1"/>
  <c r="CD44" i="13"/>
  <c r="CG44" i="13" s="1"/>
  <c r="BY44" i="13"/>
  <c r="CF52" i="13"/>
  <c r="CI52" i="13" s="1"/>
  <c r="CE52" i="13"/>
  <c r="CH52" i="13" s="1"/>
  <c r="CD52" i="13"/>
  <c r="CG52" i="13" s="1"/>
  <c r="BY52" i="13"/>
  <c r="CF60" i="13"/>
  <c r="CI60" i="13" s="1"/>
  <c r="CE60" i="13"/>
  <c r="CH60" i="13" s="1"/>
  <c r="BY60" i="13"/>
  <c r="CD60" i="13"/>
  <c r="CG60" i="13" s="1"/>
  <c r="CF68" i="13"/>
  <c r="CI68" i="13" s="1"/>
  <c r="CE68" i="13"/>
  <c r="CH68" i="13" s="1"/>
  <c r="CD68" i="13"/>
  <c r="CG68" i="13" s="1"/>
  <c r="BY68" i="13"/>
  <c r="CF76" i="13"/>
  <c r="CI76" i="13" s="1"/>
  <c r="CE76" i="13"/>
  <c r="CH76" i="13" s="1"/>
  <c r="CD76" i="13"/>
  <c r="CG76" i="13" s="1"/>
  <c r="BY76" i="13"/>
  <c r="CF84" i="13"/>
  <c r="CI84" i="13" s="1"/>
  <c r="CE84" i="13"/>
  <c r="CH84" i="13" s="1"/>
  <c r="CD84" i="13"/>
  <c r="CG84" i="13" s="1"/>
  <c r="BY84" i="13"/>
  <c r="CF92" i="13"/>
  <c r="CI92" i="13" s="1"/>
  <c r="CE92" i="13"/>
  <c r="CH92" i="13" s="1"/>
  <c r="CD92" i="13"/>
  <c r="CG92" i="13" s="1"/>
  <c r="BY92" i="13"/>
  <c r="CF100" i="13"/>
  <c r="CI100" i="13" s="1"/>
  <c r="CE100" i="13"/>
  <c r="CH100" i="13" s="1"/>
  <c r="CD100" i="13"/>
  <c r="CG100" i="13" s="1"/>
  <c r="BY100" i="13"/>
  <c r="CF108" i="13"/>
  <c r="CI108" i="13" s="1"/>
  <c r="CE108" i="13"/>
  <c r="CH108" i="13" s="1"/>
  <c r="CD108" i="13"/>
  <c r="CG108" i="13" s="1"/>
  <c r="BY108" i="13"/>
  <c r="CF116" i="13"/>
  <c r="CI116" i="13" s="1"/>
  <c r="CE116" i="13"/>
  <c r="CH116" i="13" s="1"/>
  <c r="CD116" i="13"/>
  <c r="CG116" i="13" s="1"/>
  <c r="BY116" i="13"/>
  <c r="CF124" i="13"/>
  <c r="CI124" i="13" s="1"/>
  <c r="CE124" i="13"/>
  <c r="CH124" i="13" s="1"/>
  <c r="CD124" i="13"/>
  <c r="CG124" i="13" s="1"/>
  <c r="BY124" i="13"/>
  <c r="CF132" i="13"/>
  <c r="CI132" i="13" s="1"/>
  <c r="CE132" i="13"/>
  <c r="CH132" i="13" s="1"/>
  <c r="CD132" i="13"/>
  <c r="CG132" i="13" s="1"/>
  <c r="BY132" i="13"/>
  <c r="CF140" i="13"/>
  <c r="CI140" i="13" s="1"/>
  <c r="CE140" i="13"/>
  <c r="CH140" i="13" s="1"/>
  <c r="CD140" i="13"/>
  <c r="CG140" i="13" s="1"/>
  <c r="BY140" i="13"/>
  <c r="CF148" i="13"/>
  <c r="CI148" i="13" s="1"/>
  <c r="CE148" i="13"/>
  <c r="CH148" i="13" s="1"/>
  <c r="CD148" i="13"/>
  <c r="CG148" i="13" s="1"/>
  <c r="BY148" i="13"/>
  <c r="CF156" i="13"/>
  <c r="CI156" i="13" s="1"/>
  <c r="CE156" i="13"/>
  <c r="CH156" i="13" s="1"/>
  <c r="CD156" i="13"/>
  <c r="CG156" i="13" s="1"/>
  <c r="BY156" i="13"/>
  <c r="CF164" i="13"/>
  <c r="CI164" i="13" s="1"/>
  <c r="CE164" i="13"/>
  <c r="CH164" i="13" s="1"/>
  <c r="CD164" i="13"/>
  <c r="CG164" i="13" s="1"/>
  <c r="BY164" i="13"/>
  <c r="CF172" i="13"/>
  <c r="CI172" i="13" s="1"/>
  <c r="CE172" i="13"/>
  <c r="CH172" i="13" s="1"/>
  <c r="CD172" i="13"/>
  <c r="CG172" i="13" s="1"/>
  <c r="BY172" i="13"/>
  <c r="CF180" i="13"/>
  <c r="CI180" i="13" s="1"/>
  <c r="CE180" i="13"/>
  <c r="CH180" i="13" s="1"/>
  <c r="CD180" i="13"/>
  <c r="CG180" i="13" s="1"/>
  <c r="BY180" i="13"/>
  <c r="CF188" i="13"/>
  <c r="CI188" i="13" s="1"/>
  <c r="CE188" i="13"/>
  <c r="CH188" i="13" s="1"/>
  <c r="BY188" i="13"/>
  <c r="CD188" i="13"/>
  <c r="CG188" i="13" s="1"/>
  <c r="CF196" i="13"/>
  <c r="CI196" i="13" s="1"/>
  <c r="CE196" i="13"/>
  <c r="CH196" i="13" s="1"/>
  <c r="CD196" i="13"/>
  <c r="CG196" i="13" s="1"/>
  <c r="BY196" i="13"/>
  <c r="CF204" i="13"/>
  <c r="CI204" i="13" s="1"/>
  <c r="CE204" i="13"/>
  <c r="CH204" i="13" s="1"/>
  <c r="BY204" i="13"/>
  <c r="CD204" i="13"/>
  <c r="CG204" i="13" s="1"/>
  <c r="CF212" i="13"/>
  <c r="CI212" i="13" s="1"/>
  <c r="CE212" i="13"/>
  <c r="CH212" i="13" s="1"/>
  <c r="CD212" i="13"/>
  <c r="CG212" i="13" s="1"/>
  <c r="BY212" i="13"/>
  <c r="CF220" i="13"/>
  <c r="CI220" i="13" s="1"/>
  <c r="CE220" i="13"/>
  <c r="CH220" i="13" s="1"/>
  <c r="CD220" i="13"/>
  <c r="CG220" i="13" s="1"/>
  <c r="BY220" i="13"/>
  <c r="CF228" i="13"/>
  <c r="CI228" i="13" s="1"/>
  <c r="CE228" i="13"/>
  <c r="CH228" i="13" s="1"/>
  <c r="CD228" i="13"/>
  <c r="CG228" i="13" s="1"/>
  <c r="BY228" i="13"/>
  <c r="CE236" i="13"/>
  <c r="CH236" i="13" s="1"/>
  <c r="CF236" i="13"/>
  <c r="CI236" i="13" s="1"/>
  <c r="CD236" i="13"/>
  <c r="CG236" i="13" s="1"/>
  <c r="BY236" i="13"/>
  <c r="CF244" i="13"/>
  <c r="CI244" i="13" s="1"/>
  <c r="CE244" i="13"/>
  <c r="CH244" i="13" s="1"/>
  <c r="CD244" i="13"/>
  <c r="CG244" i="13" s="1"/>
  <c r="BY244" i="13"/>
  <c r="CF252" i="13"/>
  <c r="CI252" i="13" s="1"/>
  <c r="CE252" i="13"/>
  <c r="CH252" i="13" s="1"/>
  <c r="CD252" i="13"/>
  <c r="CG252" i="13" s="1"/>
  <c r="BY252" i="13"/>
  <c r="CF260" i="13"/>
  <c r="CI260" i="13" s="1"/>
  <c r="CE260" i="13"/>
  <c r="CH260" i="13" s="1"/>
  <c r="CD260" i="13"/>
  <c r="CG260" i="13" s="1"/>
  <c r="BY260" i="13"/>
  <c r="CF268" i="13"/>
  <c r="CI268" i="13" s="1"/>
  <c r="CE268" i="13"/>
  <c r="CH268" i="13" s="1"/>
  <c r="CD268" i="13"/>
  <c r="CG268" i="13" s="1"/>
  <c r="BY268" i="13"/>
  <c r="CF276" i="13"/>
  <c r="CI276" i="13" s="1"/>
  <c r="CE276" i="13"/>
  <c r="CH276" i="13" s="1"/>
  <c r="BY276" i="13"/>
  <c r="CD276" i="13"/>
  <c r="CG276" i="13" s="1"/>
  <c r="CE284" i="13"/>
  <c r="CH284" i="13" s="1"/>
  <c r="CD284" i="13"/>
  <c r="CG284" i="13" s="1"/>
  <c r="CF284" i="13"/>
  <c r="CI284" i="13" s="1"/>
  <c r="BY284" i="13"/>
  <c r="CF292" i="13"/>
  <c r="CI292" i="13" s="1"/>
  <c r="CE292" i="13"/>
  <c r="CH292" i="13" s="1"/>
  <c r="CD292" i="13"/>
  <c r="CG292" i="13" s="1"/>
  <c r="BY292" i="13"/>
  <c r="CF300" i="13"/>
  <c r="CI300" i="13" s="1"/>
  <c r="CE300" i="13"/>
  <c r="CH300" i="13" s="1"/>
  <c r="CD300" i="13"/>
  <c r="CG300" i="13" s="1"/>
  <c r="BY300" i="13"/>
  <c r="CF308" i="13"/>
  <c r="CI308" i="13" s="1"/>
  <c r="CE308" i="13"/>
  <c r="CH308" i="13" s="1"/>
  <c r="CD308" i="13"/>
  <c r="CG308" i="13" s="1"/>
  <c r="BY308" i="13"/>
  <c r="CE316" i="13"/>
  <c r="CH316" i="13" s="1"/>
  <c r="CD316" i="13"/>
  <c r="CG316" i="13" s="1"/>
  <c r="CF316" i="13"/>
  <c r="CI316" i="13" s="1"/>
  <c r="BY316" i="13"/>
  <c r="CF324" i="13"/>
  <c r="CI324" i="13" s="1"/>
  <c r="CE324" i="13"/>
  <c r="CH324" i="13" s="1"/>
  <c r="CD324" i="13"/>
  <c r="CG324" i="13" s="1"/>
  <c r="BY324" i="13"/>
  <c r="CF332" i="13"/>
  <c r="CI332" i="13" s="1"/>
  <c r="CE332" i="13"/>
  <c r="CH332" i="13" s="1"/>
  <c r="CD332" i="13"/>
  <c r="CG332" i="13" s="1"/>
  <c r="BY332" i="13"/>
  <c r="CF340" i="13"/>
  <c r="CI340" i="13" s="1"/>
  <c r="CE340" i="13"/>
  <c r="CH340" i="13" s="1"/>
  <c r="CD340" i="13"/>
  <c r="CG340" i="13" s="1"/>
  <c r="BY340" i="13"/>
  <c r="CE348" i="13"/>
  <c r="CH348" i="13" s="1"/>
  <c r="CF348" i="13"/>
  <c r="CI348" i="13" s="1"/>
  <c r="CD348" i="13"/>
  <c r="CG348" i="13" s="1"/>
  <c r="BY348" i="13"/>
  <c r="CF356" i="13"/>
  <c r="CI356" i="13" s="1"/>
  <c r="CE356" i="13"/>
  <c r="CH356" i="13" s="1"/>
  <c r="CD356" i="13"/>
  <c r="CG356" i="13" s="1"/>
  <c r="BY356" i="13"/>
  <c r="CF364" i="13"/>
  <c r="CI364" i="13" s="1"/>
  <c r="CE364" i="13"/>
  <c r="CH364" i="13" s="1"/>
  <c r="CD364" i="13"/>
  <c r="CG364" i="13" s="1"/>
  <c r="BY364" i="13"/>
  <c r="CF372" i="13"/>
  <c r="CI372" i="13" s="1"/>
  <c r="CE372" i="13"/>
  <c r="CH372" i="13" s="1"/>
  <c r="CD372" i="13"/>
  <c r="CG372" i="13" s="1"/>
  <c r="BY372" i="13"/>
  <c r="CE380" i="13"/>
  <c r="CH380" i="13" s="1"/>
  <c r="CF380" i="13"/>
  <c r="CI380" i="13" s="1"/>
  <c r="CD380" i="13"/>
  <c r="CG380" i="13" s="1"/>
  <c r="BY380" i="13"/>
  <c r="CF388" i="13"/>
  <c r="CI388" i="13" s="1"/>
  <c r="CE388" i="13"/>
  <c r="CH388" i="13" s="1"/>
  <c r="CD388" i="13"/>
  <c r="CG388" i="13" s="1"/>
  <c r="BY388" i="13"/>
  <c r="CF396" i="13"/>
  <c r="CI396" i="13" s="1"/>
  <c r="CE396" i="13"/>
  <c r="CH396" i="13" s="1"/>
  <c r="CD396" i="13"/>
  <c r="CG396" i="13" s="1"/>
  <c r="BY396" i="13"/>
  <c r="CF404" i="13"/>
  <c r="CI404" i="13" s="1"/>
  <c r="CE404" i="13"/>
  <c r="CH404" i="13" s="1"/>
  <c r="CD404" i="13"/>
  <c r="CG404" i="13" s="1"/>
  <c r="BY404" i="13"/>
  <c r="CE412" i="13"/>
  <c r="CH412" i="13" s="1"/>
  <c r="CD412" i="13"/>
  <c r="CG412" i="13" s="1"/>
  <c r="CF412" i="13"/>
  <c r="CI412" i="13" s="1"/>
  <c r="BY412" i="13"/>
  <c r="CF420" i="13"/>
  <c r="CI420" i="13" s="1"/>
  <c r="CE420" i="13"/>
  <c r="CH420" i="13" s="1"/>
  <c r="CD420" i="13"/>
  <c r="CG420" i="13" s="1"/>
  <c r="BY420" i="13"/>
  <c r="CF428" i="13"/>
  <c r="CI428" i="13" s="1"/>
  <c r="CE428" i="13"/>
  <c r="CH428" i="13" s="1"/>
  <c r="CD428" i="13"/>
  <c r="CG428" i="13" s="1"/>
  <c r="BY428" i="13"/>
  <c r="CF436" i="13"/>
  <c r="CI436" i="13" s="1"/>
  <c r="CE436" i="13"/>
  <c r="CH436" i="13" s="1"/>
  <c r="CD436" i="13"/>
  <c r="CG436" i="13" s="1"/>
  <c r="BY436" i="13"/>
  <c r="CE444" i="13"/>
  <c r="CH444" i="13" s="1"/>
  <c r="CD444" i="13"/>
  <c r="CG444" i="13" s="1"/>
  <c r="CF444" i="13"/>
  <c r="CI444" i="13" s="1"/>
  <c r="BY444" i="13"/>
  <c r="CF452" i="13"/>
  <c r="CI452" i="13" s="1"/>
  <c r="CE452" i="13"/>
  <c r="CH452" i="13" s="1"/>
  <c r="CD452" i="13"/>
  <c r="CG452" i="13" s="1"/>
  <c r="CF460" i="13"/>
  <c r="CI460" i="13" s="1"/>
  <c r="CE460" i="13"/>
  <c r="CH460" i="13" s="1"/>
  <c r="CD460" i="13"/>
  <c r="CG460" i="13" s="1"/>
  <c r="CF468" i="13"/>
  <c r="CI468" i="13" s="1"/>
  <c r="CE468" i="13"/>
  <c r="CH468" i="13" s="1"/>
  <c r="CD468" i="13"/>
  <c r="CG468" i="13" s="1"/>
  <c r="CE476" i="13"/>
  <c r="CH476" i="13" s="1"/>
  <c r="CF476" i="13"/>
  <c r="CI476" i="13" s="1"/>
  <c r="CD476" i="13"/>
  <c r="CG476" i="13" s="1"/>
  <c r="CF484" i="13"/>
  <c r="CI484" i="13" s="1"/>
  <c r="CE484" i="13"/>
  <c r="CH484" i="13" s="1"/>
  <c r="CD484" i="13"/>
  <c r="CG484" i="13" s="1"/>
  <c r="BY484" i="13"/>
  <c r="CF492" i="13"/>
  <c r="CI492" i="13" s="1"/>
  <c r="CE492" i="13"/>
  <c r="CH492" i="13" s="1"/>
  <c r="CD492" i="13"/>
  <c r="CG492" i="13" s="1"/>
  <c r="BY492" i="13"/>
  <c r="CF500" i="13"/>
  <c r="CI500" i="13" s="1"/>
  <c r="CE500" i="13"/>
  <c r="CH500" i="13" s="1"/>
  <c r="CD500" i="13"/>
  <c r="CG500" i="13" s="1"/>
  <c r="BY500" i="13"/>
  <c r="CE508" i="13"/>
  <c r="CH508" i="13" s="1"/>
  <c r="CF508" i="13"/>
  <c r="CI508" i="13" s="1"/>
  <c r="CD508" i="13"/>
  <c r="CG508" i="13" s="1"/>
  <c r="BY508" i="13"/>
  <c r="CF516" i="13"/>
  <c r="CI516" i="13" s="1"/>
  <c r="CE516" i="13"/>
  <c r="CH516" i="13" s="1"/>
  <c r="CD516" i="13"/>
  <c r="CG516" i="13" s="1"/>
  <c r="BY516" i="13"/>
  <c r="CF524" i="13"/>
  <c r="CI524" i="13" s="1"/>
  <c r="CE524" i="13"/>
  <c r="CH524" i="13" s="1"/>
  <c r="CD524" i="13"/>
  <c r="CG524" i="13" s="1"/>
  <c r="BY524" i="13"/>
  <c r="CF532" i="13"/>
  <c r="CI532" i="13" s="1"/>
  <c r="CE532" i="13"/>
  <c r="CH532" i="13" s="1"/>
  <c r="CD532" i="13"/>
  <c r="CG532" i="13" s="1"/>
  <c r="BY532" i="13"/>
  <c r="CE540" i="13"/>
  <c r="CH540" i="13" s="1"/>
  <c r="CD540" i="13"/>
  <c r="CG540" i="13" s="1"/>
  <c r="CF540" i="13"/>
  <c r="CI540" i="13" s="1"/>
  <c r="BY540" i="13"/>
  <c r="CF548" i="13"/>
  <c r="CI548" i="13" s="1"/>
  <c r="CE548" i="13"/>
  <c r="CH548" i="13" s="1"/>
  <c r="CD548" i="13"/>
  <c r="CG548" i="13" s="1"/>
  <c r="BY548" i="13"/>
  <c r="CF556" i="13"/>
  <c r="CI556" i="13" s="1"/>
  <c r="CE556" i="13"/>
  <c r="CH556" i="13" s="1"/>
  <c r="CD556" i="13"/>
  <c r="CG556" i="13" s="1"/>
  <c r="BY556" i="13"/>
  <c r="CF564" i="13"/>
  <c r="CI564" i="13" s="1"/>
  <c r="CE564" i="13"/>
  <c r="CH564" i="13" s="1"/>
  <c r="CD564" i="13"/>
  <c r="CG564" i="13" s="1"/>
  <c r="BY564" i="13"/>
  <c r="CE572" i="13"/>
  <c r="CH572" i="13" s="1"/>
  <c r="CD572" i="13"/>
  <c r="CG572" i="13" s="1"/>
  <c r="CF572" i="13"/>
  <c r="CI572" i="13" s="1"/>
  <c r="BY572" i="13"/>
  <c r="CF580" i="13"/>
  <c r="CI580" i="13" s="1"/>
  <c r="CE580" i="13"/>
  <c r="CH580" i="13" s="1"/>
  <c r="CD580" i="13"/>
  <c r="CG580" i="13" s="1"/>
  <c r="BY580" i="13"/>
  <c r="CF588" i="13"/>
  <c r="CI588" i="13" s="1"/>
  <c r="CE588" i="13"/>
  <c r="CH588" i="13" s="1"/>
  <c r="CD588" i="13"/>
  <c r="CG588" i="13" s="1"/>
  <c r="BY588" i="13"/>
  <c r="CF596" i="13"/>
  <c r="CI596" i="13" s="1"/>
  <c r="CE596" i="13"/>
  <c r="CH596" i="13" s="1"/>
  <c r="CD596" i="13"/>
  <c r="CG596" i="13" s="1"/>
  <c r="BY596" i="13"/>
  <c r="CE604" i="13"/>
  <c r="CH604" i="13" s="1"/>
  <c r="CF604" i="13"/>
  <c r="CI604" i="13" s="1"/>
  <c r="CD604" i="13"/>
  <c r="CG604" i="13" s="1"/>
  <c r="BY604" i="13"/>
  <c r="CF612" i="13"/>
  <c r="CI612" i="13" s="1"/>
  <c r="CE612" i="13"/>
  <c r="CH612" i="13" s="1"/>
  <c r="CD612" i="13"/>
  <c r="CG612" i="13" s="1"/>
  <c r="BY612" i="13"/>
  <c r="CF620" i="13"/>
  <c r="CI620" i="13" s="1"/>
  <c r="CE620" i="13"/>
  <c r="CH620" i="13" s="1"/>
  <c r="CD620" i="13"/>
  <c r="CG620" i="13" s="1"/>
  <c r="BY620" i="13"/>
  <c r="CF628" i="13"/>
  <c r="CI628" i="13" s="1"/>
  <c r="CE628" i="13"/>
  <c r="CH628" i="13" s="1"/>
  <c r="CD628" i="13"/>
  <c r="CG628" i="13" s="1"/>
  <c r="BY628" i="13"/>
  <c r="CE636" i="13"/>
  <c r="CH636" i="13" s="1"/>
  <c r="CF636" i="13"/>
  <c r="CI636" i="13" s="1"/>
  <c r="CD636" i="13"/>
  <c r="CG636" i="13" s="1"/>
  <c r="BY636" i="13"/>
  <c r="CF644" i="13"/>
  <c r="CI644" i="13" s="1"/>
  <c r="CE644" i="13"/>
  <c r="CH644" i="13" s="1"/>
  <c r="CD644" i="13"/>
  <c r="CG644" i="13" s="1"/>
  <c r="BY644" i="13"/>
  <c r="CE652" i="13"/>
  <c r="CH652" i="13" s="1"/>
  <c r="CF652" i="13"/>
  <c r="CI652" i="13" s="1"/>
  <c r="CD652" i="13"/>
  <c r="CG652" i="13" s="1"/>
  <c r="BY652" i="13"/>
  <c r="CF660" i="13"/>
  <c r="CI660" i="13" s="1"/>
  <c r="CE660" i="13"/>
  <c r="CH660" i="13" s="1"/>
  <c r="CD660" i="13"/>
  <c r="CG660" i="13" s="1"/>
  <c r="BY660" i="13"/>
  <c r="CE668" i="13"/>
  <c r="CH668" i="13" s="1"/>
  <c r="CD668" i="13"/>
  <c r="CG668" i="13" s="1"/>
  <c r="BY668" i="13"/>
  <c r="CF668" i="13"/>
  <c r="CI668" i="13" s="1"/>
  <c r="CF676" i="13"/>
  <c r="CI676" i="13" s="1"/>
  <c r="CE676" i="13"/>
  <c r="CH676" i="13" s="1"/>
  <c r="CD676" i="13"/>
  <c r="CG676" i="13" s="1"/>
  <c r="BY676" i="13"/>
  <c r="CE684" i="13"/>
  <c r="CH684" i="13" s="1"/>
  <c r="CF684" i="13"/>
  <c r="CI684" i="13" s="1"/>
  <c r="CD684" i="13"/>
  <c r="CG684" i="13" s="1"/>
  <c r="BY684" i="13"/>
  <c r="CF692" i="13"/>
  <c r="CI692" i="13" s="1"/>
  <c r="CE692" i="13"/>
  <c r="CH692" i="13" s="1"/>
  <c r="CD692" i="13"/>
  <c r="CG692" i="13" s="1"/>
  <c r="BY692" i="13"/>
  <c r="CE700" i="13"/>
  <c r="CH700" i="13" s="1"/>
  <c r="CF700" i="13"/>
  <c r="CI700" i="13" s="1"/>
  <c r="CD700" i="13"/>
  <c r="CG700" i="13" s="1"/>
  <c r="BY700" i="13"/>
  <c r="CF708" i="13"/>
  <c r="CI708" i="13" s="1"/>
  <c r="CE708" i="13"/>
  <c r="CH708" i="13" s="1"/>
  <c r="CD708" i="13"/>
  <c r="CG708" i="13" s="1"/>
  <c r="BY708" i="13"/>
  <c r="CE716" i="13"/>
  <c r="CH716" i="13" s="1"/>
  <c r="CF716" i="13"/>
  <c r="CI716" i="13" s="1"/>
  <c r="CD716" i="13"/>
  <c r="CG716" i="13" s="1"/>
  <c r="BY716" i="13"/>
  <c r="CF724" i="13"/>
  <c r="CI724" i="13" s="1"/>
  <c r="CE724" i="13"/>
  <c r="CH724" i="13" s="1"/>
  <c r="CD724" i="13"/>
  <c r="CG724" i="13" s="1"/>
  <c r="BY724" i="13"/>
  <c r="CE732" i="13"/>
  <c r="CH732" i="13" s="1"/>
  <c r="CD732" i="13"/>
  <c r="CG732" i="13" s="1"/>
  <c r="CF732" i="13"/>
  <c r="CI732" i="13" s="1"/>
  <c r="BY732" i="13"/>
  <c r="CF740" i="13"/>
  <c r="CI740" i="13" s="1"/>
  <c r="CE740" i="13"/>
  <c r="CH740" i="13" s="1"/>
  <c r="CD740" i="13"/>
  <c r="CG740" i="13" s="1"/>
  <c r="BY740" i="13"/>
  <c r="CE748" i="13"/>
  <c r="CH748" i="13" s="1"/>
  <c r="CF748" i="13"/>
  <c r="CI748" i="13" s="1"/>
  <c r="CD748" i="13"/>
  <c r="CG748" i="13" s="1"/>
  <c r="BY748" i="13"/>
  <c r="CF756" i="13"/>
  <c r="CI756" i="13" s="1"/>
  <c r="CE756" i="13"/>
  <c r="CH756" i="13" s="1"/>
  <c r="CD756" i="13"/>
  <c r="CG756" i="13" s="1"/>
  <c r="BY756" i="13"/>
  <c r="CE764" i="13"/>
  <c r="CH764" i="13" s="1"/>
  <c r="CF764" i="13"/>
  <c r="CI764" i="13" s="1"/>
  <c r="CD764" i="13"/>
  <c r="CG764" i="13" s="1"/>
  <c r="BY764" i="13"/>
  <c r="CF772" i="13"/>
  <c r="CI772" i="13" s="1"/>
  <c r="CE772" i="13"/>
  <c r="CH772" i="13" s="1"/>
  <c r="CD772" i="13"/>
  <c r="CG772" i="13" s="1"/>
  <c r="BY772" i="13"/>
  <c r="CE780" i="13"/>
  <c r="CH780" i="13" s="1"/>
  <c r="CF780" i="13"/>
  <c r="CI780" i="13" s="1"/>
  <c r="CD780" i="13"/>
  <c r="CG780" i="13" s="1"/>
  <c r="BY780" i="13"/>
  <c r="CF788" i="13"/>
  <c r="CI788" i="13" s="1"/>
  <c r="CE788" i="13"/>
  <c r="CH788" i="13" s="1"/>
  <c r="CD788" i="13"/>
  <c r="CG788" i="13" s="1"/>
  <c r="BY788" i="13"/>
  <c r="CE796" i="13"/>
  <c r="CH796" i="13" s="1"/>
  <c r="CD796" i="13"/>
  <c r="CG796" i="13" s="1"/>
  <c r="CF796" i="13"/>
  <c r="CI796" i="13" s="1"/>
  <c r="BY796" i="13"/>
  <c r="CF804" i="13"/>
  <c r="CI804" i="13" s="1"/>
  <c r="CE804" i="13"/>
  <c r="CH804" i="13" s="1"/>
  <c r="CD804" i="13"/>
  <c r="CG804" i="13" s="1"/>
  <c r="BY804" i="13"/>
  <c r="CE812" i="13"/>
  <c r="CH812" i="13" s="1"/>
  <c r="CF812" i="13"/>
  <c r="CI812" i="13" s="1"/>
  <c r="CD812" i="13"/>
  <c r="CG812" i="13" s="1"/>
  <c r="BY812" i="13"/>
  <c r="CF820" i="13"/>
  <c r="CI820" i="13" s="1"/>
  <c r="CE820" i="13"/>
  <c r="CH820" i="13" s="1"/>
  <c r="CD820" i="13"/>
  <c r="CG820" i="13" s="1"/>
  <c r="BY820" i="13"/>
  <c r="CE828" i="13"/>
  <c r="CH828" i="13" s="1"/>
  <c r="CF828" i="13"/>
  <c r="CI828" i="13" s="1"/>
  <c r="CD828" i="13"/>
  <c r="CG828" i="13" s="1"/>
  <c r="BY828" i="13"/>
  <c r="CF836" i="13"/>
  <c r="CI836" i="13" s="1"/>
  <c r="CE836" i="13"/>
  <c r="CH836" i="13" s="1"/>
  <c r="CD836" i="13"/>
  <c r="CG836" i="13" s="1"/>
  <c r="BY836" i="13"/>
  <c r="CE844" i="13"/>
  <c r="CH844" i="13" s="1"/>
  <c r="CF844" i="13"/>
  <c r="CI844" i="13" s="1"/>
  <c r="CD844" i="13"/>
  <c r="CG844" i="13" s="1"/>
  <c r="BY844" i="13"/>
  <c r="CF852" i="13"/>
  <c r="CI852" i="13" s="1"/>
  <c r="CE852" i="13"/>
  <c r="CH852" i="13" s="1"/>
  <c r="CD852" i="13"/>
  <c r="CG852" i="13" s="1"/>
  <c r="BY852" i="13"/>
  <c r="CE860" i="13"/>
  <c r="CH860" i="13" s="1"/>
  <c r="CF860" i="13"/>
  <c r="CI860" i="13" s="1"/>
  <c r="CD860" i="13"/>
  <c r="CG860" i="13" s="1"/>
  <c r="BY860" i="13"/>
  <c r="CF868" i="13"/>
  <c r="CI868" i="13" s="1"/>
  <c r="CE868" i="13"/>
  <c r="CH868" i="13" s="1"/>
  <c r="CD868" i="13"/>
  <c r="CG868" i="13" s="1"/>
  <c r="BY868" i="13"/>
  <c r="CE876" i="13"/>
  <c r="CH876" i="13" s="1"/>
  <c r="CF876" i="13"/>
  <c r="CI876" i="13" s="1"/>
  <c r="CD876" i="13"/>
  <c r="CG876" i="13" s="1"/>
  <c r="BY876" i="13"/>
  <c r="CF884" i="13"/>
  <c r="CI884" i="13" s="1"/>
  <c r="CE884" i="13"/>
  <c r="CH884" i="13" s="1"/>
  <c r="CD884" i="13"/>
  <c r="CG884" i="13" s="1"/>
  <c r="BY884" i="13"/>
  <c r="CE892" i="13"/>
  <c r="CH892" i="13" s="1"/>
  <c r="CF892" i="13"/>
  <c r="CI892" i="13" s="1"/>
  <c r="CD892" i="13"/>
  <c r="CG892" i="13" s="1"/>
  <c r="BY892" i="13"/>
  <c r="CF900" i="13"/>
  <c r="CI900" i="13" s="1"/>
  <c r="CE900" i="13"/>
  <c r="CH900" i="13" s="1"/>
  <c r="CD900" i="13"/>
  <c r="CG900" i="13" s="1"/>
  <c r="BY900" i="13"/>
  <c r="CE908" i="13"/>
  <c r="CH908" i="13" s="1"/>
  <c r="CF908" i="13"/>
  <c r="CI908" i="13" s="1"/>
  <c r="CD908" i="13"/>
  <c r="CG908" i="13" s="1"/>
  <c r="BY908" i="13"/>
  <c r="CF916" i="13"/>
  <c r="CI916" i="13" s="1"/>
  <c r="CE916" i="13"/>
  <c r="CH916" i="13" s="1"/>
  <c r="CD916" i="13"/>
  <c r="CG916" i="13" s="1"/>
  <c r="BY916" i="13"/>
  <c r="CE924" i="13"/>
  <c r="CH924" i="13" s="1"/>
  <c r="CD924" i="13"/>
  <c r="CG924" i="13" s="1"/>
  <c r="CF924" i="13"/>
  <c r="CI924" i="13" s="1"/>
  <c r="BY924" i="13"/>
  <c r="CF932" i="13"/>
  <c r="CI932" i="13" s="1"/>
  <c r="CE932" i="13"/>
  <c r="CH932" i="13" s="1"/>
  <c r="CD932" i="13"/>
  <c r="CG932" i="13" s="1"/>
  <c r="BY932" i="13"/>
  <c r="CE940" i="13"/>
  <c r="CH940" i="13" s="1"/>
  <c r="CF940" i="13"/>
  <c r="CI940" i="13" s="1"/>
  <c r="CD940" i="13"/>
  <c r="CG940" i="13" s="1"/>
  <c r="BY940" i="13"/>
  <c r="CF948" i="13"/>
  <c r="CI948" i="13" s="1"/>
  <c r="CE948" i="13"/>
  <c r="CH948" i="13" s="1"/>
  <c r="CD948" i="13"/>
  <c r="CG948" i="13" s="1"/>
  <c r="BY948" i="13"/>
  <c r="CE956" i="13"/>
  <c r="CH956" i="13" s="1"/>
  <c r="CF956" i="13"/>
  <c r="CI956" i="13" s="1"/>
  <c r="CD956" i="13"/>
  <c r="CG956" i="13" s="1"/>
  <c r="BY956" i="13"/>
  <c r="CF964" i="13"/>
  <c r="CI964" i="13" s="1"/>
  <c r="CE964" i="13"/>
  <c r="CH964" i="13" s="1"/>
  <c r="CD964" i="13"/>
  <c r="CG964" i="13" s="1"/>
  <c r="BY964" i="13"/>
  <c r="CE972" i="13"/>
  <c r="CH972" i="13" s="1"/>
  <c r="CF972" i="13"/>
  <c r="CI972" i="13" s="1"/>
  <c r="CD972" i="13"/>
  <c r="CG972" i="13" s="1"/>
  <c r="BY972" i="13"/>
  <c r="CF980" i="13"/>
  <c r="CI980" i="13" s="1"/>
  <c r="CE980" i="13"/>
  <c r="CH980" i="13" s="1"/>
  <c r="CD980" i="13"/>
  <c r="CG980" i="13" s="1"/>
  <c r="BY980" i="13"/>
  <c r="CE988" i="13"/>
  <c r="CH988" i="13" s="1"/>
  <c r="CD988" i="13"/>
  <c r="CG988" i="13" s="1"/>
  <c r="BY988" i="13"/>
  <c r="CF988" i="13"/>
  <c r="CI988" i="13" s="1"/>
  <c r="CF996" i="13"/>
  <c r="CI996" i="13" s="1"/>
  <c r="CE996" i="13"/>
  <c r="CH996" i="13" s="1"/>
  <c r="CD996" i="13"/>
  <c r="CG996" i="13" s="1"/>
  <c r="BY996" i="13"/>
  <c r="CE1004" i="13"/>
  <c r="CH1004" i="13" s="1"/>
  <c r="CF1004" i="13"/>
  <c r="CI1004" i="13" s="1"/>
  <c r="CD1004" i="13"/>
  <c r="CG1004" i="13" s="1"/>
  <c r="BY1004" i="13"/>
  <c r="CF1012" i="13"/>
  <c r="CI1012" i="13" s="1"/>
  <c r="CE1012" i="13"/>
  <c r="CH1012" i="13" s="1"/>
  <c r="CD1012" i="13"/>
  <c r="CG1012" i="13" s="1"/>
  <c r="BY1012" i="13"/>
  <c r="CE1020" i="13"/>
  <c r="CH1020" i="13" s="1"/>
  <c r="CF1020" i="13"/>
  <c r="CI1020" i="13" s="1"/>
  <c r="CD1020" i="13"/>
  <c r="CG1020" i="13" s="1"/>
  <c r="BY1020" i="13"/>
  <c r="CF1028" i="13"/>
  <c r="CI1028" i="13" s="1"/>
  <c r="CE1028" i="13"/>
  <c r="CH1028" i="13" s="1"/>
  <c r="CD1028" i="13"/>
  <c r="CG1028" i="13" s="1"/>
  <c r="BY1028" i="13"/>
  <c r="CE1036" i="13"/>
  <c r="CH1036" i="13" s="1"/>
  <c r="CF1036" i="13"/>
  <c r="CI1036" i="13" s="1"/>
  <c r="CD1036" i="13"/>
  <c r="CG1036" i="13" s="1"/>
  <c r="BY1036" i="13"/>
  <c r="CF1044" i="13"/>
  <c r="CI1044" i="13" s="1"/>
  <c r="CE1044" i="13"/>
  <c r="CH1044" i="13" s="1"/>
  <c r="CD1044" i="13"/>
  <c r="CG1044" i="13" s="1"/>
  <c r="BY1044" i="13"/>
  <c r="CE1052" i="13"/>
  <c r="CH1052" i="13" s="1"/>
  <c r="CD1052" i="13"/>
  <c r="CG1052" i="13" s="1"/>
  <c r="CF1052" i="13"/>
  <c r="CI1052" i="13" s="1"/>
  <c r="BY1052" i="13"/>
  <c r="CF5" i="13"/>
  <c r="CI5" i="13" s="1"/>
  <c r="CD5" i="13"/>
  <c r="CG5" i="13" s="1"/>
  <c r="CE5" i="13"/>
  <c r="CH5" i="13" s="1"/>
  <c r="BY5" i="13"/>
  <c r="CF13" i="13"/>
  <c r="CI13" i="13" s="1"/>
  <c r="CD13" i="13"/>
  <c r="CG13" i="13" s="1"/>
  <c r="CE13" i="13"/>
  <c r="CH13" i="13" s="1"/>
  <c r="BY13" i="13"/>
  <c r="CF21" i="13"/>
  <c r="CI21" i="13" s="1"/>
  <c r="CD21" i="13"/>
  <c r="CG21" i="13" s="1"/>
  <c r="CE21" i="13"/>
  <c r="CH21" i="13" s="1"/>
  <c r="BY21" i="13"/>
  <c r="CF29" i="13"/>
  <c r="CI29" i="13" s="1"/>
  <c r="CD29" i="13"/>
  <c r="CG29" i="13" s="1"/>
  <c r="CE29" i="13"/>
  <c r="CH29" i="13" s="1"/>
  <c r="BY29" i="13"/>
  <c r="CF37" i="13"/>
  <c r="CI37" i="13" s="1"/>
  <c r="CD37" i="13"/>
  <c r="CG37" i="13" s="1"/>
  <c r="CE37" i="13"/>
  <c r="CH37" i="13" s="1"/>
  <c r="BY37" i="13"/>
  <c r="CF45" i="13"/>
  <c r="CI45" i="13" s="1"/>
  <c r="CD45" i="13"/>
  <c r="CG45" i="13" s="1"/>
  <c r="CE45" i="13"/>
  <c r="CH45" i="13" s="1"/>
  <c r="BY45" i="13"/>
  <c r="CF53" i="13"/>
  <c r="CI53" i="13" s="1"/>
  <c r="CD53" i="13"/>
  <c r="CG53" i="13" s="1"/>
  <c r="CE53" i="13"/>
  <c r="CH53" i="13" s="1"/>
  <c r="BY53" i="13"/>
  <c r="CF61" i="13"/>
  <c r="CI61" i="13" s="1"/>
  <c r="CD61" i="13"/>
  <c r="CG61" i="13" s="1"/>
  <c r="CE61" i="13"/>
  <c r="CH61" i="13" s="1"/>
  <c r="BY61" i="13"/>
  <c r="CF69" i="13"/>
  <c r="CI69" i="13" s="1"/>
  <c r="CD69" i="13"/>
  <c r="CG69" i="13" s="1"/>
  <c r="CE69" i="13"/>
  <c r="CH69" i="13" s="1"/>
  <c r="BY69" i="13"/>
  <c r="CF77" i="13"/>
  <c r="CI77" i="13" s="1"/>
  <c r="CD77" i="13"/>
  <c r="CG77" i="13" s="1"/>
  <c r="CE77" i="13"/>
  <c r="CH77" i="13" s="1"/>
  <c r="BY77" i="13"/>
  <c r="CF85" i="13"/>
  <c r="CI85" i="13" s="1"/>
  <c r="CD85" i="13"/>
  <c r="CG85" i="13" s="1"/>
  <c r="CE85" i="13"/>
  <c r="CH85" i="13" s="1"/>
  <c r="BY85" i="13"/>
  <c r="CF93" i="13"/>
  <c r="CI93" i="13" s="1"/>
  <c r="CD93" i="13"/>
  <c r="CG93" i="13" s="1"/>
  <c r="CE93" i="13"/>
  <c r="CH93" i="13" s="1"/>
  <c r="BY93" i="13"/>
  <c r="CF101" i="13"/>
  <c r="CI101" i="13" s="1"/>
  <c r="CD101" i="13"/>
  <c r="CG101" i="13" s="1"/>
  <c r="CE101" i="13"/>
  <c r="CH101" i="13" s="1"/>
  <c r="BY101" i="13"/>
  <c r="CF109" i="13"/>
  <c r="CI109" i="13" s="1"/>
  <c r="CD109" i="13"/>
  <c r="CG109" i="13" s="1"/>
  <c r="CE109" i="13"/>
  <c r="CH109" i="13" s="1"/>
  <c r="BY109" i="13"/>
  <c r="CF117" i="13"/>
  <c r="CI117" i="13" s="1"/>
  <c r="CD117" i="13"/>
  <c r="CG117" i="13" s="1"/>
  <c r="CE117" i="13"/>
  <c r="CH117" i="13" s="1"/>
  <c r="BY117" i="13"/>
  <c r="CF125" i="13"/>
  <c r="CI125" i="13" s="1"/>
  <c r="CD125" i="13"/>
  <c r="CG125" i="13" s="1"/>
  <c r="CE125" i="13"/>
  <c r="CH125" i="13" s="1"/>
  <c r="BY125" i="13"/>
  <c r="CF133" i="13"/>
  <c r="CI133" i="13" s="1"/>
  <c r="CD133" i="13"/>
  <c r="CG133" i="13" s="1"/>
  <c r="CE133" i="13"/>
  <c r="CH133" i="13" s="1"/>
  <c r="BY133" i="13"/>
  <c r="CF141" i="13"/>
  <c r="CI141" i="13" s="1"/>
  <c r="CE141" i="13"/>
  <c r="CH141" i="13" s="1"/>
  <c r="CD141" i="13"/>
  <c r="CG141" i="13" s="1"/>
  <c r="BY141" i="13"/>
  <c r="CF149" i="13"/>
  <c r="CI149" i="13" s="1"/>
  <c r="CE149" i="13"/>
  <c r="CH149" i="13" s="1"/>
  <c r="CD149" i="13"/>
  <c r="CG149" i="13" s="1"/>
  <c r="BY149" i="13"/>
  <c r="CF157" i="13"/>
  <c r="CI157" i="13" s="1"/>
  <c r="CE157" i="13"/>
  <c r="CH157" i="13" s="1"/>
  <c r="CD157" i="13"/>
  <c r="CG157" i="13" s="1"/>
  <c r="BY157" i="13"/>
  <c r="CF165" i="13"/>
  <c r="CI165" i="13" s="1"/>
  <c r="CD165" i="13"/>
  <c r="CG165" i="13" s="1"/>
  <c r="CE165" i="13"/>
  <c r="CH165" i="13" s="1"/>
  <c r="BY165" i="13"/>
  <c r="CF173" i="13"/>
  <c r="CI173" i="13" s="1"/>
  <c r="CE173" i="13"/>
  <c r="CH173" i="13" s="1"/>
  <c r="CD173" i="13"/>
  <c r="CG173" i="13" s="1"/>
  <c r="BY173" i="13"/>
  <c r="CF181" i="13"/>
  <c r="CI181" i="13" s="1"/>
  <c r="CE181" i="13"/>
  <c r="CH181" i="13" s="1"/>
  <c r="CD181" i="13"/>
  <c r="CG181" i="13" s="1"/>
  <c r="BY181" i="13"/>
  <c r="CF189" i="13"/>
  <c r="CI189" i="13" s="1"/>
  <c r="CD189" i="13"/>
  <c r="CG189" i="13" s="1"/>
  <c r="CE189" i="13"/>
  <c r="CH189" i="13" s="1"/>
  <c r="BY189" i="13"/>
  <c r="CF197" i="13"/>
  <c r="CI197" i="13" s="1"/>
  <c r="CE197" i="13"/>
  <c r="CH197" i="13" s="1"/>
  <c r="CD197" i="13"/>
  <c r="CG197" i="13" s="1"/>
  <c r="BY197" i="13"/>
  <c r="CF205" i="13"/>
  <c r="CI205" i="13" s="1"/>
  <c r="CE205" i="13"/>
  <c r="CH205" i="13" s="1"/>
  <c r="CD205" i="13"/>
  <c r="CG205" i="13" s="1"/>
  <c r="BY205" i="13"/>
  <c r="CF213" i="13"/>
  <c r="CI213" i="13" s="1"/>
  <c r="CE213" i="13"/>
  <c r="CH213" i="13" s="1"/>
  <c r="CD213" i="13"/>
  <c r="CG213" i="13" s="1"/>
  <c r="BY213" i="13"/>
  <c r="CF221" i="13"/>
  <c r="CI221" i="13" s="1"/>
  <c r="CE221" i="13"/>
  <c r="CH221" i="13" s="1"/>
  <c r="CD221" i="13"/>
  <c r="CG221" i="13" s="1"/>
  <c r="BY221" i="13"/>
  <c r="CF229" i="13"/>
  <c r="CI229" i="13" s="1"/>
  <c r="CE229" i="13"/>
  <c r="CH229" i="13" s="1"/>
  <c r="CD229" i="13"/>
  <c r="CG229" i="13" s="1"/>
  <c r="BY229" i="13"/>
  <c r="CF237" i="13"/>
  <c r="CI237" i="13" s="1"/>
  <c r="CE237" i="13"/>
  <c r="CH237" i="13" s="1"/>
  <c r="CD237" i="13"/>
  <c r="CG237" i="13" s="1"/>
  <c r="BY237" i="13"/>
  <c r="CE245" i="13"/>
  <c r="CH245" i="13" s="1"/>
  <c r="CF245" i="13"/>
  <c r="CI245" i="13" s="1"/>
  <c r="CD245" i="13"/>
  <c r="CG245" i="13" s="1"/>
  <c r="BY245" i="13"/>
  <c r="CF253" i="13"/>
  <c r="CI253" i="13" s="1"/>
  <c r="CD253" i="13"/>
  <c r="CG253" i="13" s="1"/>
  <c r="CE253" i="13"/>
  <c r="CH253" i="13" s="1"/>
  <c r="BY253" i="13"/>
  <c r="CF261" i="13"/>
  <c r="CI261" i="13" s="1"/>
  <c r="CE261" i="13"/>
  <c r="CH261" i="13" s="1"/>
  <c r="BY261" i="13"/>
  <c r="CD261" i="13"/>
  <c r="CG261" i="13" s="1"/>
  <c r="CF269" i="13"/>
  <c r="CI269" i="13" s="1"/>
  <c r="CE269" i="13"/>
  <c r="CH269" i="13" s="1"/>
  <c r="CD269" i="13"/>
  <c r="CG269" i="13" s="1"/>
  <c r="BY269" i="13"/>
  <c r="CE277" i="13"/>
  <c r="CH277" i="13" s="1"/>
  <c r="CF277" i="13"/>
  <c r="CI277" i="13" s="1"/>
  <c r="CD277" i="13"/>
  <c r="CG277" i="13" s="1"/>
  <c r="BY277" i="13"/>
  <c r="CF285" i="13"/>
  <c r="CI285" i="13" s="1"/>
  <c r="CE285" i="13"/>
  <c r="CH285" i="13" s="1"/>
  <c r="CD285" i="13"/>
  <c r="CG285" i="13" s="1"/>
  <c r="BY285" i="13"/>
  <c r="CF293" i="13"/>
  <c r="CI293" i="13" s="1"/>
  <c r="CE293" i="13"/>
  <c r="CH293" i="13" s="1"/>
  <c r="CD293" i="13"/>
  <c r="CG293" i="13" s="1"/>
  <c r="BY293" i="13"/>
  <c r="CF301" i="13"/>
  <c r="CI301" i="13" s="1"/>
  <c r="CE301" i="13"/>
  <c r="CH301" i="13" s="1"/>
  <c r="CD301" i="13"/>
  <c r="CG301" i="13" s="1"/>
  <c r="BY301" i="13"/>
  <c r="CE309" i="13"/>
  <c r="CH309" i="13" s="1"/>
  <c r="CD309" i="13"/>
  <c r="CG309" i="13" s="1"/>
  <c r="CF309" i="13"/>
  <c r="CI309" i="13" s="1"/>
  <c r="BY309" i="13"/>
  <c r="CF317" i="13"/>
  <c r="CI317" i="13" s="1"/>
  <c r="CE317" i="13"/>
  <c r="CH317" i="13" s="1"/>
  <c r="CD317" i="13"/>
  <c r="CG317" i="13" s="1"/>
  <c r="BY317" i="13"/>
  <c r="CF325" i="13"/>
  <c r="CI325" i="13" s="1"/>
  <c r="CD325" i="13"/>
  <c r="CG325" i="13" s="1"/>
  <c r="CE325" i="13"/>
  <c r="CH325" i="13" s="1"/>
  <c r="BY325" i="13"/>
  <c r="CF333" i="13"/>
  <c r="CI333" i="13" s="1"/>
  <c r="CE333" i="13"/>
  <c r="CH333" i="13" s="1"/>
  <c r="CD333" i="13"/>
  <c r="CG333" i="13" s="1"/>
  <c r="BY333" i="13"/>
  <c r="CF341" i="13"/>
  <c r="CI341" i="13" s="1"/>
  <c r="CE341" i="13"/>
  <c r="CH341" i="13" s="1"/>
  <c r="CD341" i="13"/>
  <c r="CG341" i="13" s="1"/>
  <c r="BY341" i="13"/>
  <c r="CF349" i="13"/>
  <c r="CI349" i="13" s="1"/>
  <c r="CD349" i="13"/>
  <c r="CG349" i="13" s="1"/>
  <c r="CE349" i="13"/>
  <c r="CH349" i="13" s="1"/>
  <c r="BY349" i="13"/>
  <c r="CF357" i="13"/>
  <c r="CI357" i="13" s="1"/>
  <c r="CE357" i="13"/>
  <c r="CH357" i="13" s="1"/>
  <c r="CD357" i="13"/>
  <c r="CG357" i="13" s="1"/>
  <c r="BY357" i="13"/>
  <c r="CF365" i="13"/>
  <c r="CI365" i="13" s="1"/>
  <c r="CE365" i="13"/>
  <c r="CH365" i="13" s="1"/>
  <c r="CD365" i="13"/>
  <c r="CG365" i="13" s="1"/>
  <c r="BY365" i="13"/>
  <c r="CF373" i="13"/>
  <c r="CI373" i="13" s="1"/>
  <c r="CE373" i="13"/>
  <c r="CH373" i="13" s="1"/>
  <c r="CD373" i="13"/>
  <c r="CG373" i="13" s="1"/>
  <c r="BY373" i="13"/>
  <c r="CF381" i="13"/>
  <c r="CI381" i="13" s="1"/>
  <c r="CE381" i="13"/>
  <c r="CH381" i="13" s="1"/>
  <c r="CD381" i="13"/>
  <c r="CG381" i="13" s="1"/>
  <c r="BY381" i="13"/>
  <c r="CF389" i="13"/>
  <c r="CI389" i="13" s="1"/>
  <c r="CE389" i="13"/>
  <c r="CH389" i="13" s="1"/>
  <c r="CD389" i="13"/>
  <c r="CG389" i="13" s="1"/>
  <c r="BY389" i="13"/>
  <c r="CF397" i="13"/>
  <c r="CI397" i="13" s="1"/>
  <c r="CD397" i="13"/>
  <c r="CG397" i="13" s="1"/>
  <c r="BY397" i="13"/>
  <c r="CE397" i="13"/>
  <c r="CH397" i="13" s="1"/>
  <c r="CE405" i="13"/>
  <c r="CH405" i="13" s="1"/>
  <c r="CF405" i="13"/>
  <c r="CI405" i="13" s="1"/>
  <c r="CD405" i="13"/>
  <c r="CG405" i="13" s="1"/>
  <c r="BY405" i="13"/>
  <c r="CF413" i="13"/>
  <c r="CI413" i="13" s="1"/>
  <c r="CD413" i="13"/>
  <c r="CG413" i="13" s="1"/>
  <c r="CE413" i="13"/>
  <c r="CH413" i="13" s="1"/>
  <c r="BY413" i="13"/>
  <c r="CF421" i="13"/>
  <c r="CI421" i="13" s="1"/>
  <c r="CE421" i="13"/>
  <c r="CH421" i="13" s="1"/>
  <c r="CD421" i="13"/>
  <c r="CG421" i="13" s="1"/>
  <c r="BY421" i="13"/>
  <c r="CF429" i="13"/>
  <c r="CI429" i="13" s="1"/>
  <c r="CE429" i="13"/>
  <c r="CH429" i="13" s="1"/>
  <c r="CD429" i="13"/>
  <c r="CG429" i="13" s="1"/>
  <c r="BY429" i="13"/>
  <c r="CF437" i="13"/>
  <c r="CI437" i="13" s="1"/>
  <c r="CE437" i="13"/>
  <c r="CH437" i="13" s="1"/>
  <c r="CD437" i="13"/>
  <c r="CG437" i="13" s="1"/>
  <c r="BY437" i="13"/>
  <c r="CF445" i="13"/>
  <c r="CI445" i="13" s="1"/>
  <c r="CE445" i="13"/>
  <c r="CH445" i="13" s="1"/>
  <c r="CD445" i="13"/>
  <c r="CG445" i="13" s="1"/>
  <c r="BY445" i="13"/>
  <c r="CF453" i="13"/>
  <c r="CI453" i="13" s="1"/>
  <c r="CE453" i="13"/>
  <c r="CH453" i="13" s="1"/>
  <c r="CD453" i="13"/>
  <c r="CG453" i="13" s="1"/>
  <c r="BY453" i="13"/>
  <c r="CF461" i="13"/>
  <c r="CI461" i="13" s="1"/>
  <c r="CD461" i="13"/>
  <c r="CG461" i="13" s="1"/>
  <c r="CE461" i="13"/>
  <c r="CH461" i="13" s="1"/>
  <c r="CF469" i="13"/>
  <c r="CI469" i="13" s="1"/>
  <c r="CE469" i="13"/>
  <c r="CH469" i="13" s="1"/>
  <c r="CD469" i="13"/>
  <c r="CG469" i="13" s="1"/>
  <c r="CF477" i="13"/>
  <c r="CI477" i="13" s="1"/>
  <c r="CE477" i="13"/>
  <c r="CH477" i="13" s="1"/>
  <c r="CD477" i="13"/>
  <c r="CG477" i="13" s="1"/>
  <c r="CF485" i="13"/>
  <c r="CI485" i="13" s="1"/>
  <c r="CE485" i="13"/>
  <c r="CH485" i="13" s="1"/>
  <c r="CD485" i="13"/>
  <c r="CG485" i="13" s="1"/>
  <c r="BY485" i="13"/>
  <c r="CF493" i="13"/>
  <c r="CI493" i="13" s="1"/>
  <c r="CE493" i="13"/>
  <c r="CH493" i="13" s="1"/>
  <c r="CD493" i="13"/>
  <c r="CG493" i="13" s="1"/>
  <c r="BY493" i="13"/>
  <c r="CF501" i="13"/>
  <c r="CI501" i="13" s="1"/>
  <c r="CE501" i="13"/>
  <c r="CH501" i="13" s="1"/>
  <c r="CD501" i="13"/>
  <c r="CG501" i="13" s="1"/>
  <c r="BY501" i="13"/>
  <c r="CF509" i="13"/>
  <c r="CI509" i="13" s="1"/>
  <c r="CE509" i="13"/>
  <c r="CH509" i="13" s="1"/>
  <c r="CD509" i="13"/>
  <c r="CG509" i="13" s="1"/>
  <c r="BY509" i="13"/>
  <c r="CF517" i="13"/>
  <c r="CI517" i="13" s="1"/>
  <c r="CD517" i="13"/>
  <c r="CG517" i="13" s="1"/>
  <c r="CE517" i="13"/>
  <c r="CH517" i="13" s="1"/>
  <c r="BY517" i="13"/>
  <c r="CF525" i="13"/>
  <c r="CI525" i="13" s="1"/>
  <c r="CE525" i="13"/>
  <c r="CH525" i="13" s="1"/>
  <c r="BY525" i="13"/>
  <c r="CD525" i="13"/>
  <c r="CG525" i="13" s="1"/>
  <c r="CF533" i="13"/>
  <c r="CI533" i="13" s="1"/>
  <c r="CE533" i="13"/>
  <c r="CH533" i="13" s="1"/>
  <c r="CD533" i="13"/>
  <c r="CG533" i="13" s="1"/>
  <c r="BY533" i="13"/>
  <c r="CF541" i="13"/>
  <c r="CI541" i="13" s="1"/>
  <c r="CE541" i="13"/>
  <c r="CH541" i="13" s="1"/>
  <c r="CD541" i="13"/>
  <c r="CG541" i="13" s="1"/>
  <c r="BY541" i="13"/>
  <c r="CF549" i="13"/>
  <c r="CI549" i="13" s="1"/>
  <c r="CD549" i="13"/>
  <c r="CG549" i="13" s="1"/>
  <c r="CE549" i="13"/>
  <c r="CH549" i="13" s="1"/>
  <c r="BY549" i="13"/>
  <c r="CF557" i="13"/>
  <c r="CI557" i="13" s="1"/>
  <c r="CE557" i="13"/>
  <c r="CH557" i="13" s="1"/>
  <c r="CD557" i="13"/>
  <c r="CG557" i="13" s="1"/>
  <c r="BY557" i="13"/>
  <c r="CE565" i="13"/>
  <c r="CH565" i="13" s="1"/>
  <c r="CD565" i="13"/>
  <c r="CG565" i="13" s="1"/>
  <c r="CF565" i="13"/>
  <c r="CI565" i="13" s="1"/>
  <c r="BY565" i="13"/>
  <c r="CF573" i="13"/>
  <c r="CI573" i="13" s="1"/>
  <c r="CE573" i="13"/>
  <c r="CH573" i="13" s="1"/>
  <c r="CD573" i="13"/>
  <c r="CG573" i="13" s="1"/>
  <c r="BY573" i="13"/>
  <c r="CF581" i="13"/>
  <c r="CI581" i="13" s="1"/>
  <c r="CE581" i="13"/>
  <c r="CH581" i="13" s="1"/>
  <c r="CD581" i="13"/>
  <c r="CG581" i="13" s="1"/>
  <c r="BY581" i="13"/>
  <c r="CF589" i="13"/>
  <c r="CI589" i="13" s="1"/>
  <c r="CD589" i="13"/>
  <c r="CG589" i="13" s="1"/>
  <c r="CE589" i="13"/>
  <c r="CH589" i="13" s="1"/>
  <c r="BY589" i="13"/>
  <c r="CF597" i="13"/>
  <c r="CI597" i="13" s="1"/>
  <c r="CE597" i="13"/>
  <c r="CH597" i="13" s="1"/>
  <c r="CD597" i="13"/>
  <c r="CG597" i="13" s="1"/>
  <c r="BY597" i="13"/>
  <c r="CF605" i="13"/>
  <c r="CI605" i="13" s="1"/>
  <c r="CD605" i="13"/>
  <c r="CG605" i="13" s="1"/>
  <c r="CE605" i="13"/>
  <c r="CH605" i="13" s="1"/>
  <c r="BY605" i="13"/>
  <c r="CF613" i="13"/>
  <c r="CI613" i="13" s="1"/>
  <c r="CE613" i="13"/>
  <c r="CH613" i="13" s="1"/>
  <c r="CD613" i="13"/>
  <c r="CG613" i="13" s="1"/>
  <c r="BY613" i="13"/>
  <c r="CF621" i="13"/>
  <c r="CI621" i="13" s="1"/>
  <c r="CE621" i="13"/>
  <c r="CH621" i="13" s="1"/>
  <c r="CD621" i="13"/>
  <c r="CG621" i="13" s="1"/>
  <c r="BY621" i="13"/>
  <c r="CF629" i="13"/>
  <c r="CI629" i="13" s="1"/>
  <c r="CD629" i="13"/>
  <c r="CG629" i="13" s="1"/>
  <c r="CE629" i="13"/>
  <c r="CH629" i="13" s="1"/>
  <c r="BY629" i="13"/>
  <c r="CF637" i="13"/>
  <c r="CI637" i="13" s="1"/>
  <c r="CE637" i="13"/>
  <c r="CH637" i="13" s="1"/>
  <c r="CD637" i="13"/>
  <c r="CG637" i="13" s="1"/>
  <c r="BY637" i="13"/>
  <c r="CF645" i="13"/>
  <c r="CI645" i="13" s="1"/>
  <c r="CE645" i="13"/>
  <c r="CH645" i="13" s="1"/>
  <c r="CD645" i="13"/>
  <c r="CG645" i="13" s="1"/>
  <c r="BY645" i="13"/>
  <c r="CD653" i="13"/>
  <c r="CG653" i="13" s="1"/>
  <c r="CE653" i="13"/>
  <c r="CH653" i="13" s="1"/>
  <c r="BY653" i="13"/>
  <c r="CF653" i="13"/>
  <c r="CI653" i="13" s="1"/>
  <c r="CF661" i="13"/>
  <c r="CI661" i="13" s="1"/>
  <c r="CE661" i="13"/>
  <c r="CH661" i="13" s="1"/>
  <c r="CD661" i="13"/>
  <c r="CG661" i="13" s="1"/>
  <c r="BY661" i="13"/>
  <c r="CF669" i="13"/>
  <c r="CI669" i="13" s="1"/>
  <c r="CE669" i="13"/>
  <c r="CH669" i="13" s="1"/>
  <c r="CD669" i="13"/>
  <c r="CG669" i="13" s="1"/>
  <c r="BY669" i="13"/>
  <c r="CF677" i="13"/>
  <c r="CI677" i="13" s="1"/>
  <c r="CE677" i="13"/>
  <c r="CH677" i="13" s="1"/>
  <c r="CD677" i="13"/>
  <c r="CG677" i="13" s="1"/>
  <c r="BY677" i="13"/>
  <c r="CF685" i="13"/>
  <c r="CI685" i="13" s="1"/>
  <c r="CE685" i="13"/>
  <c r="CH685" i="13" s="1"/>
  <c r="CD685" i="13"/>
  <c r="CG685" i="13" s="1"/>
  <c r="BY685" i="13"/>
  <c r="CF693" i="13"/>
  <c r="CI693" i="13" s="1"/>
  <c r="CD693" i="13"/>
  <c r="CG693" i="13" s="1"/>
  <c r="BY693" i="13"/>
  <c r="CE693" i="13"/>
  <c r="CH693" i="13" s="1"/>
  <c r="CF701" i="13"/>
  <c r="CI701" i="13" s="1"/>
  <c r="CE701" i="13"/>
  <c r="CH701" i="13" s="1"/>
  <c r="CD701" i="13"/>
  <c r="CG701" i="13" s="1"/>
  <c r="BY701" i="13"/>
  <c r="CF709" i="13"/>
  <c r="CI709" i="13" s="1"/>
  <c r="CE709" i="13"/>
  <c r="CH709" i="13" s="1"/>
  <c r="CD709" i="13"/>
  <c r="CG709" i="13" s="1"/>
  <c r="BY709" i="13"/>
  <c r="CF717" i="13"/>
  <c r="CI717" i="13" s="1"/>
  <c r="CD717" i="13"/>
  <c r="CG717" i="13" s="1"/>
  <c r="CE717" i="13"/>
  <c r="CH717" i="13" s="1"/>
  <c r="BY717" i="13"/>
  <c r="CF725" i="13"/>
  <c r="CI725" i="13" s="1"/>
  <c r="CE725" i="13"/>
  <c r="CH725" i="13" s="1"/>
  <c r="CD725" i="13"/>
  <c r="CG725" i="13" s="1"/>
  <c r="BY725" i="13"/>
  <c r="CE733" i="13"/>
  <c r="CH733" i="13" s="1"/>
  <c r="CD733" i="13"/>
  <c r="CG733" i="13" s="1"/>
  <c r="CF733" i="13"/>
  <c r="CI733" i="13" s="1"/>
  <c r="BY733" i="13"/>
  <c r="CF741" i="13"/>
  <c r="CI741" i="13" s="1"/>
  <c r="CD741" i="13"/>
  <c r="CG741" i="13" s="1"/>
  <c r="CE741" i="13"/>
  <c r="CH741" i="13" s="1"/>
  <c r="BY741" i="13"/>
  <c r="CF749" i="13"/>
  <c r="CI749" i="13" s="1"/>
  <c r="CE749" i="13"/>
  <c r="CH749" i="13" s="1"/>
  <c r="CD749" i="13"/>
  <c r="CG749" i="13" s="1"/>
  <c r="BY749" i="13"/>
  <c r="CF757" i="13"/>
  <c r="CI757" i="13" s="1"/>
  <c r="CE757" i="13"/>
  <c r="CH757" i="13" s="1"/>
  <c r="CD757" i="13"/>
  <c r="CG757" i="13" s="1"/>
  <c r="BY757" i="13"/>
  <c r="CE765" i="13"/>
  <c r="CH765" i="13" s="1"/>
  <c r="CF765" i="13"/>
  <c r="CI765" i="13" s="1"/>
  <c r="CD765" i="13"/>
  <c r="CG765" i="13" s="1"/>
  <c r="BY765" i="13"/>
  <c r="CF773" i="13"/>
  <c r="CI773" i="13" s="1"/>
  <c r="CE773" i="13"/>
  <c r="CH773" i="13" s="1"/>
  <c r="CD773" i="13"/>
  <c r="CG773" i="13" s="1"/>
  <c r="BY773" i="13"/>
  <c r="CE781" i="13"/>
  <c r="CH781" i="13" s="1"/>
  <c r="CD781" i="13"/>
  <c r="CG781" i="13" s="1"/>
  <c r="CF781" i="13"/>
  <c r="CI781" i="13" s="1"/>
  <c r="BY781" i="13"/>
  <c r="CF789" i="13"/>
  <c r="CI789" i="13" s="1"/>
  <c r="CE789" i="13"/>
  <c r="CH789" i="13" s="1"/>
  <c r="CD789" i="13"/>
  <c r="CG789" i="13" s="1"/>
  <c r="BY789" i="13"/>
  <c r="CE797" i="13"/>
  <c r="CH797" i="13" s="1"/>
  <c r="CD797" i="13"/>
  <c r="CG797" i="13" s="1"/>
  <c r="CF797" i="13"/>
  <c r="CI797" i="13" s="1"/>
  <c r="BY797" i="13"/>
  <c r="CF805" i="13"/>
  <c r="CI805" i="13" s="1"/>
  <c r="CD805" i="13"/>
  <c r="CG805" i="13" s="1"/>
  <c r="CE805" i="13"/>
  <c r="CH805" i="13" s="1"/>
  <c r="BY805" i="13"/>
  <c r="CF813" i="13"/>
  <c r="CI813" i="13" s="1"/>
  <c r="CE813" i="13"/>
  <c r="CH813" i="13" s="1"/>
  <c r="CD813" i="13"/>
  <c r="CG813" i="13" s="1"/>
  <c r="BY813" i="13"/>
  <c r="CF821" i="13"/>
  <c r="CI821" i="13" s="1"/>
  <c r="CE821" i="13"/>
  <c r="CH821" i="13" s="1"/>
  <c r="CD821" i="13"/>
  <c r="CG821" i="13" s="1"/>
  <c r="BY821" i="13"/>
  <c r="CE829" i="13"/>
  <c r="CH829" i="13" s="1"/>
  <c r="CF829" i="13"/>
  <c r="CI829" i="13" s="1"/>
  <c r="CD829" i="13"/>
  <c r="CG829" i="13" s="1"/>
  <c r="BY829" i="13"/>
  <c r="CF837" i="13"/>
  <c r="CI837" i="13" s="1"/>
  <c r="CE837" i="13"/>
  <c r="CH837" i="13" s="1"/>
  <c r="CD837" i="13"/>
  <c r="CG837" i="13" s="1"/>
  <c r="BY837" i="13"/>
  <c r="CE845" i="13"/>
  <c r="CH845" i="13" s="1"/>
  <c r="CD845" i="13"/>
  <c r="CG845" i="13" s="1"/>
  <c r="CF845" i="13"/>
  <c r="CI845" i="13" s="1"/>
  <c r="BY845" i="13"/>
  <c r="CF853" i="13"/>
  <c r="CI853" i="13" s="1"/>
  <c r="CE853" i="13"/>
  <c r="CH853" i="13" s="1"/>
  <c r="CD853" i="13"/>
  <c r="CG853" i="13" s="1"/>
  <c r="BY853" i="13"/>
  <c r="CE861" i="13"/>
  <c r="CH861" i="13" s="1"/>
  <c r="CF861" i="13"/>
  <c r="CI861" i="13" s="1"/>
  <c r="CD861" i="13"/>
  <c r="CG861" i="13" s="1"/>
  <c r="BY861" i="13"/>
  <c r="CF869" i="13"/>
  <c r="CI869" i="13" s="1"/>
  <c r="CD869" i="13"/>
  <c r="CG869" i="13" s="1"/>
  <c r="CE869" i="13"/>
  <c r="CH869" i="13" s="1"/>
  <c r="BY869" i="13"/>
  <c r="CF877" i="13"/>
  <c r="CI877" i="13" s="1"/>
  <c r="CE877" i="13"/>
  <c r="CH877" i="13" s="1"/>
  <c r="CD877" i="13"/>
  <c r="CG877" i="13" s="1"/>
  <c r="BY877" i="13"/>
  <c r="CF885" i="13"/>
  <c r="CI885" i="13" s="1"/>
  <c r="CE885" i="13"/>
  <c r="CH885" i="13" s="1"/>
  <c r="CD885" i="13"/>
  <c r="CG885" i="13" s="1"/>
  <c r="BY885" i="13"/>
  <c r="CE893" i="13"/>
  <c r="CH893" i="13" s="1"/>
  <c r="CF893" i="13"/>
  <c r="CI893" i="13" s="1"/>
  <c r="CD893" i="13"/>
  <c r="CG893" i="13" s="1"/>
  <c r="BY893" i="13"/>
  <c r="CF901" i="13"/>
  <c r="CI901" i="13" s="1"/>
  <c r="CE901" i="13"/>
  <c r="CH901" i="13" s="1"/>
  <c r="CD901" i="13"/>
  <c r="CG901" i="13" s="1"/>
  <c r="BY901" i="13"/>
  <c r="CE909" i="13"/>
  <c r="CH909" i="13" s="1"/>
  <c r="CD909" i="13"/>
  <c r="CG909" i="13" s="1"/>
  <c r="CF909" i="13"/>
  <c r="CI909" i="13" s="1"/>
  <c r="BY909" i="13"/>
  <c r="CF917" i="13"/>
  <c r="CI917" i="13" s="1"/>
  <c r="CE917" i="13"/>
  <c r="CH917" i="13" s="1"/>
  <c r="CD917" i="13"/>
  <c r="CG917" i="13" s="1"/>
  <c r="BY917" i="13"/>
  <c r="CE925" i="13"/>
  <c r="CH925" i="13" s="1"/>
  <c r="CD925" i="13"/>
  <c r="CG925" i="13" s="1"/>
  <c r="CF925" i="13"/>
  <c r="CI925" i="13" s="1"/>
  <c r="BY925" i="13"/>
  <c r="CF933" i="13"/>
  <c r="CI933" i="13" s="1"/>
  <c r="CD933" i="13"/>
  <c r="CG933" i="13" s="1"/>
  <c r="CE933" i="13"/>
  <c r="CH933" i="13" s="1"/>
  <c r="BY933" i="13"/>
  <c r="CF941" i="13"/>
  <c r="CI941" i="13" s="1"/>
  <c r="CE941" i="13"/>
  <c r="CH941" i="13" s="1"/>
  <c r="CD941" i="13"/>
  <c r="CG941" i="13" s="1"/>
  <c r="BY941" i="13"/>
  <c r="CF949" i="13"/>
  <c r="CI949" i="13" s="1"/>
  <c r="CE949" i="13"/>
  <c r="CH949" i="13" s="1"/>
  <c r="CD949" i="13"/>
  <c r="CG949" i="13" s="1"/>
  <c r="BY949" i="13"/>
  <c r="CE957" i="13"/>
  <c r="CH957" i="13" s="1"/>
  <c r="CF957" i="13"/>
  <c r="CI957" i="13" s="1"/>
  <c r="CD957" i="13"/>
  <c r="CG957" i="13" s="1"/>
  <c r="BY957" i="13"/>
  <c r="CF965" i="13"/>
  <c r="CI965" i="13" s="1"/>
  <c r="CE965" i="13"/>
  <c r="CH965" i="13" s="1"/>
  <c r="CD965" i="13"/>
  <c r="CG965" i="13" s="1"/>
  <c r="BY965" i="13"/>
  <c r="CE973" i="13"/>
  <c r="CH973" i="13" s="1"/>
  <c r="CD973" i="13"/>
  <c r="CG973" i="13" s="1"/>
  <c r="CF973" i="13"/>
  <c r="CI973" i="13" s="1"/>
  <c r="BY973" i="13"/>
  <c r="CF981" i="13"/>
  <c r="CI981" i="13" s="1"/>
  <c r="CE981" i="13"/>
  <c r="CH981" i="13" s="1"/>
  <c r="CD981" i="13"/>
  <c r="CG981" i="13" s="1"/>
  <c r="BY981" i="13"/>
  <c r="CE989" i="13"/>
  <c r="CH989" i="13" s="1"/>
  <c r="CD989" i="13"/>
  <c r="CG989" i="13" s="1"/>
  <c r="CF989" i="13"/>
  <c r="CI989" i="13" s="1"/>
  <c r="BY989" i="13"/>
  <c r="CF997" i="13"/>
  <c r="CI997" i="13" s="1"/>
  <c r="CD997" i="13"/>
  <c r="CG997" i="13" s="1"/>
  <c r="CE997" i="13"/>
  <c r="CH997" i="13" s="1"/>
  <c r="BY997" i="13"/>
  <c r="CF1005" i="13"/>
  <c r="CI1005" i="13" s="1"/>
  <c r="CE1005" i="13"/>
  <c r="CH1005" i="13" s="1"/>
  <c r="CD1005" i="13"/>
  <c r="CG1005" i="13" s="1"/>
  <c r="BY1005" i="13"/>
  <c r="CF1013" i="13"/>
  <c r="CI1013" i="13" s="1"/>
  <c r="CE1013" i="13"/>
  <c r="CH1013" i="13" s="1"/>
  <c r="CD1013" i="13"/>
  <c r="CG1013" i="13" s="1"/>
  <c r="BY1013" i="13"/>
  <c r="CE1021" i="13"/>
  <c r="CH1021" i="13" s="1"/>
  <c r="CF1021" i="13"/>
  <c r="CI1021" i="13" s="1"/>
  <c r="CD1021" i="13"/>
  <c r="CG1021" i="13" s="1"/>
  <c r="BY1021" i="13"/>
  <c r="CF1029" i="13"/>
  <c r="CI1029" i="13" s="1"/>
  <c r="CE1029" i="13"/>
  <c r="CH1029" i="13" s="1"/>
  <c r="CD1029" i="13"/>
  <c r="CG1029" i="13" s="1"/>
  <c r="BY1029" i="13"/>
  <c r="CE1037" i="13"/>
  <c r="CH1037" i="13" s="1"/>
  <c r="CF1037" i="13"/>
  <c r="CI1037" i="13" s="1"/>
  <c r="CD1037" i="13"/>
  <c r="CG1037" i="13" s="1"/>
  <c r="BY1037" i="13"/>
  <c r="CF1045" i="13"/>
  <c r="CI1045" i="13" s="1"/>
  <c r="CE1045" i="13"/>
  <c r="CH1045" i="13" s="1"/>
  <c r="CD1045" i="13"/>
  <c r="CG1045" i="13" s="1"/>
  <c r="BY1045" i="13"/>
  <c r="CE1053" i="13"/>
  <c r="CH1053" i="13" s="1"/>
  <c r="CF1053" i="13"/>
  <c r="CI1053" i="13" s="1"/>
  <c r="CD1053" i="13"/>
  <c r="CG1053" i="13" s="1"/>
  <c r="BY1053" i="13"/>
  <c r="CF6" i="13"/>
  <c r="CI6" i="13" s="1"/>
  <c r="CD6" i="13"/>
  <c r="CG6" i="13" s="1"/>
  <c r="CE6" i="13"/>
  <c r="CH6" i="13" s="1"/>
  <c r="BY6" i="13"/>
  <c r="CF14" i="13"/>
  <c r="CI14" i="13" s="1"/>
  <c r="CE14" i="13"/>
  <c r="CH14" i="13" s="1"/>
  <c r="CD14" i="13"/>
  <c r="CG14" i="13" s="1"/>
  <c r="BY14" i="13"/>
  <c r="CF22" i="13"/>
  <c r="CI22" i="13" s="1"/>
  <c r="CE22" i="13"/>
  <c r="CH22" i="13" s="1"/>
  <c r="CD22" i="13"/>
  <c r="CG22" i="13" s="1"/>
  <c r="BY22" i="13"/>
  <c r="CF30" i="13"/>
  <c r="CI30" i="13" s="1"/>
  <c r="CD30" i="13"/>
  <c r="CG30" i="13" s="1"/>
  <c r="CE30" i="13"/>
  <c r="CH30" i="13" s="1"/>
  <c r="BY30" i="13"/>
  <c r="CF38" i="13"/>
  <c r="CI38" i="13" s="1"/>
  <c r="CD38" i="13"/>
  <c r="CG38" i="13" s="1"/>
  <c r="CE38" i="13"/>
  <c r="CH38" i="13" s="1"/>
  <c r="BY38" i="13"/>
  <c r="CF46" i="13"/>
  <c r="CI46" i="13" s="1"/>
  <c r="CE46" i="13"/>
  <c r="CH46" i="13" s="1"/>
  <c r="CD46" i="13"/>
  <c r="CG46" i="13" s="1"/>
  <c r="BY46" i="13"/>
  <c r="CF54" i="13"/>
  <c r="CI54" i="13" s="1"/>
  <c r="CE54" i="13"/>
  <c r="CH54" i="13" s="1"/>
  <c r="CD54" i="13"/>
  <c r="CG54" i="13" s="1"/>
  <c r="BY54" i="13"/>
  <c r="CF62" i="13"/>
  <c r="CI62" i="13" s="1"/>
  <c r="CD62" i="13"/>
  <c r="CG62" i="13" s="1"/>
  <c r="CE62" i="13"/>
  <c r="CH62" i="13" s="1"/>
  <c r="BY62" i="13"/>
  <c r="CF70" i="13"/>
  <c r="CI70" i="13" s="1"/>
  <c r="CD70" i="13"/>
  <c r="CG70" i="13" s="1"/>
  <c r="CE70" i="13"/>
  <c r="CH70" i="13" s="1"/>
  <c r="BY70" i="13"/>
  <c r="CF78" i="13"/>
  <c r="CI78" i="13" s="1"/>
  <c r="CE78" i="13"/>
  <c r="CH78" i="13" s="1"/>
  <c r="CD78" i="13"/>
  <c r="CG78" i="13" s="1"/>
  <c r="BY78" i="13"/>
  <c r="CF86" i="13"/>
  <c r="CI86" i="13" s="1"/>
  <c r="CE86" i="13"/>
  <c r="CH86" i="13" s="1"/>
  <c r="CD86" i="13"/>
  <c r="CG86" i="13" s="1"/>
  <c r="BY86" i="13"/>
  <c r="CF94" i="13"/>
  <c r="CI94" i="13" s="1"/>
  <c r="CD94" i="13"/>
  <c r="CG94" i="13" s="1"/>
  <c r="BY94" i="13"/>
  <c r="CE94" i="13"/>
  <c r="CH94" i="13" s="1"/>
  <c r="CF102" i="13"/>
  <c r="CI102" i="13" s="1"/>
  <c r="CD102" i="13"/>
  <c r="CG102" i="13" s="1"/>
  <c r="CE102" i="13"/>
  <c r="CH102" i="13" s="1"/>
  <c r="BY102" i="13"/>
  <c r="CF110" i="13"/>
  <c r="CI110" i="13" s="1"/>
  <c r="CE110" i="13"/>
  <c r="CH110" i="13" s="1"/>
  <c r="CD110" i="13"/>
  <c r="CG110" i="13" s="1"/>
  <c r="BY110" i="13"/>
  <c r="CF118" i="13"/>
  <c r="CI118" i="13" s="1"/>
  <c r="CE118" i="13"/>
  <c r="CH118" i="13" s="1"/>
  <c r="BY118" i="13"/>
  <c r="CD118" i="13"/>
  <c r="CG118" i="13" s="1"/>
  <c r="CF126" i="13"/>
  <c r="CI126" i="13" s="1"/>
  <c r="CD126" i="13"/>
  <c r="CG126" i="13" s="1"/>
  <c r="CE126" i="13"/>
  <c r="CH126" i="13" s="1"/>
  <c r="BY126" i="13"/>
  <c r="CF134" i="13"/>
  <c r="CI134" i="13" s="1"/>
  <c r="CD134" i="13"/>
  <c r="CG134" i="13" s="1"/>
  <c r="CE134" i="13"/>
  <c r="CH134" i="13" s="1"/>
  <c r="BY134" i="13"/>
  <c r="CF142" i="13"/>
  <c r="CI142" i="13" s="1"/>
  <c r="CE142" i="13"/>
  <c r="CH142" i="13" s="1"/>
  <c r="CD142" i="13"/>
  <c r="CG142" i="13" s="1"/>
  <c r="BY142" i="13"/>
  <c r="CF150" i="13"/>
  <c r="CI150" i="13" s="1"/>
  <c r="CD150" i="13"/>
  <c r="CG150" i="13" s="1"/>
  <c r="CE150" i="13"/>
  <c r="CH150" i="13" s="1"/>
  <c r="BY150" i="13"/>
  <c r="CF158" i="13"/>
  <c r="CI158" i="13" s="1"/>
  <c r="CE158" i="13"/>
  <c r="CH158" i="13" s="1"/>
  <c r="BY158" i="13"/>
  <c r="CD158" i="13"/>
  <c r="CG158" i="13" s="1"/>
  <c r="CF166" i="13"/>
  <c r="CI166" i="13" s="1"/>
  <c r="CD166" i="13"/>
  <c r="CG166" i="13" s="1"/>
  <c r="BY166" i="13"/>
  <c r="CE166" i="13"/>
  <c r="CH166" i="13" s="1"/>
  <c r="CF174" i="13"/>
  <c r="CI174" i="13" s="1"/>
  <c r="CE174" i="13"/>
  <c r="CH174" i="13" s="1"/>
  <c r="BY174" i="13"/>
  <c r="CD174" i="13"/>
  <c r="CG174" i="13" s="1"/>
  <c r="CF182" i="13"/>
  <c r="CI182" i="13" s="1"/>
  <c r="CE182" i="13"/>
  <c r="CH182" i="13" s="1"/>
  <c r="CD182" i="13"/>
  <c r="CG182" i="13" s="1"/>
  <c r="BY182" i="13"/>
  <c r="CF190" i="13"/>
  <c r="CI190" i="13" s="1"/>
  <c r="CD190" i="13"/>
  <c r="CG190" i="13" s="1"/>
  <c r="CE190" i="13"/>
  <c r="CH190" i="13" s="1"/>
  <c r="BY190" i="13"/>
  <c r="CF198" i="13"/>
  <c r="CI198" i="13" s="1"/>
  <c r="CD198" i="13"/>
  <c r="CG198" i="13" s="1"/>
  <c r="CE198" i="13"/>
  <c r="CH198" i="13" s="1"/>
  <c r="BY198" i="13"/>
  <c r="CF206" i="13"/>
  <c r="CI206" i="13" s="1"/>
  <c r="CE206" i="13"/>
  <c r="CH206" i="13" s="1"/>
  <c r="CD206" i="13"/>
  <c r="CG206" i="13" s="1"/>
  <c r="BY206" i="13"/>
  <c r="CF214" i="13"/>
  <c r="CI214" i="13" s="1"/>
  <c r="CD214" i="13"/>
  <c r="CG214" i="13" s="1"/>
  <c r="CE214" i="13"/>
  <c r="CH214" i="13" s="1"/>
  <c r="BY214" i="13"/>
  <c r="CF222" i="13"/>
  <c r="CI222" i="13" s="1"/>
  <c r="CD222" i="13"/>
  <c r="CG222" i="13" s="1"/>
  <c r="CE222" i="13"/>
  <c r="CH222" i="13" s="1"/>
  <c r="BY222" i="13"/>
  <c r="CF230" i="13"/>
  <c r="CI230" i="13" s="1"/>
  <c r="CE230" i="13"/>
  <c r="CH230" i="13" s="1"/>
  <c r="CD230" i="13"/>
  <c r="CG230" i="13" s="1"/>
  <c r="BY230" i="13"/>
  <c r="CF238" i="13"/>
  <c r="CI238" i="13" s="1"/>
  <c r="CE238" i="13"/>
  <c r="CH238" i="13" s="1"/>
  <c r="CD238" i="13"/>
  <c r="CG238" i="13" s="1"/>
  <c r="BY238" i="13"/>
  <c r="CF246" i="13"/>
  <c r="CI246" i="13" s="1"/>
  <c r="CE246" i="13"/>
  <c r="CH246" i="13" s="1"/>
  <c r="CD246" i="13"/>
  <c r="CG246" i="13" s="1"/>
  <c r="BY246" i="13"/>
  <c r="CF254" i="13"/>
  <c r="CI254" i="13" s="1"/>
  <c r="CD254" i="13"/>
  <c r="CG254" i="13" s="1"/>
  <c r="CE254" i="13"/>
  <c r="CH254" i="13" s="1"/>
  <c r="BY254" i="13"/>
  <c r="CF262" i="13"/>
  <c r="CI262" i="13" s="1"/>
  <c r="CD262" i="13"/>
  <c r="CG262" i="13" s="1"/>
  <c r="CE262" i="13"/>
  <c r="CH262" i="13" s="1"/>
  <c r="BY262" i="13"/>
  <c r="CF270" i="13"/>
  <c r="CI270" i="13" s="1"/>
  <c r="CE270" i="13"/>
  <c r="CH270" i="13" s="1"/>
  <c r="CD270" i="13"/>
  <c r="CG270" i="13" s="1"/>
  <c r="BY270" i="13"/>
  <c r="CF278" i="13"/>
  <c r="CI278" i="13" s="1"/>
  <c r="CD278" i="13"/>
  <c r="CG278" i="13" s="1"/>
  <c r="CE278" i="13"/>
  <c r="CH278" i="13" s="1"/>
  <c r="BY278" i="13"/>
  <c r="CF286" i="13"/>
  <c r="CI286" i="13" s="1"/>
  <c r="CE286" i="13"/>
  <c r="CH286" i="13" s="1"/>
  <c r="CD286" i="13"/>
  <c r="CG286" i="13" s="1"/>
  <c r="BY286" i="13"/>
  <c r="CF294" i="13"/>
  <c r="CI294" i="13" s="1"/>
  <c r="CD294" i="13"/>
  <c r="CG294" i="13" s="1"/>
  <c r="CE294" i="13"/>
  <c r="CH294" i="13" s="1"/>
  <c r="BY294" i="13"/>
  <c r="CF302" i="13"/>
  <c r="CI302" i="13" s="1"/>
  <c r="CE302" i="13"/>
  <c r="CH302" i="13" s="1"/>
  <c r="CD302" i="13"/>
  <c r="CG302" i="13" s="1"/>
  <c r="BY302" i="13"/>
  <c r="CF310" i="13"/>
  <c r="CI310" i="13" s="1"/>
  <c r="CE310" i="13"/>
  <c r="CH310" i="13" s="1"/>
  <c r="CD310" i="13"/>
  <c r="CG310" i="13" s="1"/>
  <c r="BY310" i="13"/>
  <c r="CF318" i="13"/>
  <c r="CI318" i="13" s="1"/>
  <c r="CE318" i="13"/>
  <c r="CH318" i="13" s="1"/>
  <c r="BY318" i="13"/>
  <c r="CD318" i="13"/>
  <c r="CG318" i="13" s="1"/>
  <c r="CF326" i="13"/>
  <c r="CI326" i="13" s="1"/>
  <c r="CD326" i="13"/>
  <c r="CG326" i="13" s="1"/>
  <c r="CE326" i="13"/>
  <c r="CH326" i="13" s="1"/>
  <c r="BY326" i="13"/>
  <c r="CF334" i="13"/>
  <c r="CI334" i="13" s="1"/>
  <c r="CE334" i="13"/>
  <c r="CH334" i="13" s="1"/>
  <c r="CD334" i="13"/>
  <c r="CG334" i="13" s="1"/>
  <c r="BY334" i="13"/>
  <c r="CF342" i="13"/>
  <c r="CI342" i="13" s="1"/>
  <c r="CE342" i="13"/>
  <c r="CH342" i="13" s="1"/>
  <c r="BY342" i="13"/>
  <c r="CD342" i="13"/>
  <c r="CG342" i="13" s="1"/>
  <c r="CF350" i="13"/>
  <c r="CI350" i="13" s="1"/>
  <c r="CD350" i="13"/>
  <c r="CG350" i="13" s="1"/>
  <c r="BY350" i="13"/>
  <c r="CE350" i="13"/>
  <c r="CH350" i="13" s="1"/>
  <c r="CF358" i="13"/>
  <c r="CI358" i="13" s="1"/>
  <c r="CE358" i="13"/>
  <c r="CH358" i="13" s="1"/>
  <c r="CD358" i="13"/>
  <c r="CG358" i="13" s="1"/>
  <c r="BY358" i="13"/>
  <c r="CF366" i="13"/>
  <c r="CI366" i="13" s="1"/>
  <c r="CE366" i="13"/>
  <c r="CH366" i="13" s="1"/>
  <c r="CD366" i="13"/>
  <c r="CG366" i="13" s="1"/>
  <c r="BY366" i="13"/>
  <c r="CF374" i="13"/>
  <c r="CI374" i="13" s="1"/>
  <c r="CE374" i="13"/>
  <c r="CH374" i="13" s="1"/>
  <c r="BY374" i="13"/>
  <c r="CD374" i="13"/>
  <c r="CG374" i="13" s="1"/>
  <c r="CF382" i="13"/>
  <c r="CI382" i="13" s="1"/>
  <c r="CE382" i="13"/>
  <c r="CH382" i="13" s="1"/>
  <c r="CD382" i="13"/>
  <c r="CG382" i="13" s="1"/>
  <c r="BY382" i="13"/>
  <c r="CF390" i="13"/>
  <c r="CI390" i="13" s="1"/>
  <c r="CD390" i="13"/>
  <c r="CG390" i="13" s="1"/>
  <c r="CE390" i="13"/>
  <c r="CH390" i="13" s="1"/>
  <c r="BY390" i="13"/>
  <c r="CF398" i="13"/>
  <c r="CI398" i="13" s="1"/>
  <c r="CE398" i="13"/>
  <c r="CH398" i="13" s="1"/>
  <c r="CD398" i="13"/>
  <c r="CG398" i="13" s="1"/>
  <c r="BY398" i="13"/>
  <c r="CF406" i="13"/>
  <c r="CI406" i="13" s="1"/>
  <c r="CE406" i="13"/>
  <c r="CH406" i="13" s="1"/>
  <c r="CD406" i="13"/>
  <c r="CG406" i="13" s="1"/>
  <c r="BY406" i="13"/>
  <c r="CF414" i="13"/>
  <c r="CI414" i="13" s="1"/>
  <c r="CE414" i="13"/>
  <c r="CH414" i="13" s="1"/>
  <c r="CD414" i="13"/>
  <c r="CG414" i="13" s="1"/>
  <c r="BY414" i="13"/>
  <c r="CF422" i="13"/>
  <c r="CI422" i="13" s="1"/>
  <c r="CE422" i="13"/>
  <c r="CH422" i="13" s="1"/>
  <c r="CD422" i="13"/>
  <c r="CG422" i="13" s="1"/>
  <c r="BY422" i="13"/>
  <c r="CF430" i="13"/>
  <c r="CI430" i="13" s="1"/>
  <c r="CE430" i="13"/>
  <c r="CH430" i="13" s="1"/>
  <c r="CD430" i="13"/>
  <c r="CG430" i="13" s="1"/>
  <c r="BY430" i="13"/>
  <c r="CF438" i="13"/>
  <c r="CI438" i="13" s="1"/>
  <c r="CE438" i="13"/>
  <c r="CH438" i="13" s="1"/>
  <c r="CD438" i="13"/>
  <c r="CG438" i="13" s="1"/>
  <c r="BY438" i="13"/>
  <c r="CF446" i="13"/>
  <c r="CI446" i="13" s="1"/>
  <c r="CE446" i="13"/>
  <c r="CH446" i="13" s="1"/>
  <c r="CD446" i="13"/>
  <c r="CG446" i="13" s="1"/>
  <c r="BY446" i="13"/>
  <c r="CF454" i="13"/>
  <c r="CI454" i="13" s="1"/>
  <c r="CD454" i="13"/>
  <c r="CG454" i="13" s="1"/>
  <c r="CE454" i="13"/>
  <c r="CH454" i="13" s="1"/>
  <c r="CF462" i="13"/>
  <c r="CI462" i="13" s="1"/>
  <c r="CE462" i="13"/>
  <c r="CH462" i="13" s="1"/>
  <c r="CD462" i="13"/>
  <c r="CG462" i="13" s="1"/>
  <c r="CF470" i="13"/>
  <c r="CI470" i="13" s="1"/>
  <c r="CE470" i="13"/>
  <c r="CH470" i="13" s="1"/>
  <c r="CD470" i="13"/>
  <c r="CG470" i="13" s="1"/>
  <c r="CF478" i="13"/>
  <c r="CI478" i="13" s="1"/>
  <c r="CE478" i="13"/>
  <c r="CH478" i="13" s="1"/>
  <c r="CD478" i="13"/>
  <c r="CG478" i="13" s="1"/>
  <c r="CF486" i="13"/>
  <c r="CI486" i="13" s="1"/>
  <c r="CE486" i="13"/>
  <c r="CH486" i="13" s="1"/>
  <c r="CD486" i="13"/>
  <c r="CG486" i="13" s="1"/>
  <c r="BY486" i="13"/>
  <c r="CF494" i="13"/>
  <c r="CI494" i="13" s="1"/>
  <c r="CE494" i="13"/>
  <c r="CH494" i="13" s="1"/>
  <c r="CD494" i="13"/>
  <c r="CG494" i="13" s="1"/>
  <c r="BY494" i="13"/>
  <c r="CF502" i="13"/>
  <c r="CI502" i="13" s="1"/>
  <c r="CE502" i="13"/>
  <c r="CH502" i="13" s="1"/>
  <c r="BY502" i="13"/>
  <c r="CD502" i="13"/>
  <c r="CG502" i="13" s="1"/>
  <c r="CF510" i="13"/>
  <c r="CI510" i="13" s="1"/>
  <c r="CE510" i="13"/>
  <c r="CH510" i="13" s="1"/>
  <c r="CD510" i="13"/>
  <c r="CG510" i="13" s="1"/>
  <c r="BY510" i="13"/>
  <c r="CF518" i="13"/>
  <c r="CI518" i="13" s="1"/>
  <c r="CD518" i="13"/>
  <c r="CG518" i="13" s="1"/>
  <c r="CE518" i="13"/>
  <c r="CH518" i="13" s="1"/>
  <c r="BY518" i="13"/>
  <c r="CF526" i="13"/>
  <c r="CI526" i="13" s="1"/>
  <c r="CE526" i="13"/>
  <c r="CH526" i="13" s="1"/>
  <c r="CD526" i="13"/>
  <c r="CG526" i="13" s="1"/>
  <c r="BY526" i="13"/>
  <c r="CF534" i="13"/>
  <c r="CI534" i="13" s="1"/>
  <c r="CE534" i="13"/>
  <c r="CH534" i="13" s="1"/>
  <c r="CD534" i="13"/>
  <c r="CG534" i="13" s="1"/>
  <c r="BY534" i="13"/>
  <c r="CF542" i="13"/>
  <c r="CI542" i="13" s="1"/>
  <c r="CE542" i="13"/>
  <c r="CH542" i="13" s="1"/>
  <c r="CD542" i="13"/>
  <c r="CG542" i="13" s="1"/>
  <c r="BY542" i="13"/>
  <c r="CF550" i="13"/>
  <c r="CI550" i="13" s="1"/>
  <c r="CD550" i="13"/>
  <c r="CG550" i="13" s="1"/>
  <c r="CE550" i="13"/>
  <c r="CH550" i="13" s="1"/>
  <c r="BY550" i="13"/>
  <c r="CF558" i="13"/>
  <c r="CI558" i="13" s="1"/>
  <c r="CE558" i="13"/>
  <c r="CH558" i="13" s="1"/>
  <c r="CD558" i="13"/>
  <c r="CG558" i="13" s="1"/>
  <c r="BY558" i="13"/>
  <c r="CF566" i="13"/>
  <c r="CI566" i="13" s="1"/>
  <c r="CE566" i="13"/>
  <c r="CH566" i="13" s="1"/>
  <c r="CD566" i="13"/>
  <c r="CG566" i="13" s="1"/>
  <c r="BY566" i="13"/>
  <c r="CF574" i="13"/>
  <c r="CI574" i="13" s="1"/>
  <c r="CE574" i="13"/>
  <c r="CH574" i="13" s="1"/>
  <c r="CD574" i="13"/>
  <c r="CG574" i="13" s="1"/>
  <c r="BY574" i="13"/>
  <c r="CF582" i="13"/>
  <c r="CI582" i="13" s="1"/>
  <c r="CE582" i="13"/>
  <c r="CH582" i="13" s="1"/>
  <c r="CD582" i="13"/>
  <c r="CG582" i="13" s="1"/>
  <c r="BY582" i="13"/>
  <c r="CF590" i="13"/>
  <c r="CI590" i="13" s="1"/>
  <c r="CD590" i="13"/>
  <c r="CG590" i="13" s="1"/>
  <c r="CE590" i="13"/>
  <c r="CH590" i="13" s="1"/>
  <c r="BY590" i="13"/>
  <c r="CF598" i="13"/>
  <c r="CI598" i="13" s="1"/>
  <c r="CE598" i="13"/>
  <c r="CH598" i="13" s="1"/>
  <c r="CD598" i="13"/>
  <c r="CG598" i="13" s="1"/>
  <c r="BY598" i="13"/>
  <c r="CF606" i="13"/>
  <c r="CI606" i="13" s="1"/>
  <c r="CE606" i="13"/>
  <c r="CH606" i="13" s="1"/>
  <c r="CD606" i="13"/>
  <c r="CG606" i="13" s="1"/>
  <c r="BY606" i="13"/>
  <c r="CF614" i="13"/>
  <c r="CI614" i="13" s="1"/>
  <c r="CD614" i="13"/>
  <c r="CG614" i="13" s="1"/>
  <c r="CE614" i="13"/>
  <c r="CH614" i="13" s="1"/>
  <c r="BY614" i="13"/>
  <c r="CF622" i="13"/>
  <c r="CI622" i="13" s="1"/>
  <c r="CE622" i="13"/>
  <c r="CH622" i="13" s="1"/>
  <c r="CD622" i="13"/>
  <c r="CG622" i="13" s="1"/>
  <c r="BY622" i="13"/>
  <c r="CF630" i="13"/>
  <c r="CI630" i="13" s="1"/>
  <c r="CE630" i="13"/>
  <c r="CH630" i="13" s="1"/>
  <c r="CD630" i="13"/>
  <c r="CG630" i="13" s="1"/>
  <c r="BY630" i="13"/>
  <c r="CF638" i="13"/>
  <c r="CI638" i="13" s="1"/>
  <c r="CE638" i="13"/>
  <c r="CH638" i="13" s="1"/>
  <c r="CD638" i="13"/>
  <c r="CG638" i="13" s="1"/>
  <c r="BY638" i="13"/>
  <c r="CF646" i="13"/>
  <c r="CI646" i="13" s="1"/>
  <c r="CE646" i="13"/>
  <c r="CH646" i="13" s="1"/>
  <c r="CD646" i="13"/>
  <c r="CG646" i="13" s="1"/>
  <c r="BY646" i="13"/>
  <c r="CF654" i="13"/>
  <c r="CI654" i="13" s="1"/>
  <c r="CD654" i="13"/>
  <c r="CG654" i="13" s="1"/>
  <c r="CE654" i="13"/>
  <c r="CH654" i="13" s="1"/>
  <c r="BY654" i="13"/>
  <c r="CF662" i="13"/>
  <c r="CI662" i="13" s="1"/>
  <c r="CE662" i="13"/>
  <c r="CH662" i="13" s="1"/>
  <c r="CD662" i="13"/>
  <c r="CG662" i="13" s="1"/>
  <c r="BY662" i="13"/>
  <c r="CF670" i="13"/>
  <c r="CI670" i="13" s="1"/>
  <c r="CE670" i="13"/>
  <c r="CH670" i="13" s="1"/>
  <c r="CD670" i="13"/>
  <c r="CG670" i="13" s="1"/>
  <c r="BY670" i="13"/>
  <c r="CF678" i="13"/>
  <c r="CI678" i="13" s="1"/>
  <c r="CE678" i="13"/>
  <c r="CH678" i="13" s="1"/>
  <c r="CD678" i="13"/>
  <c r="CG678" i="13" s="1"/>
  <c r="BY678" i="13"/>
  <c r="CF686" i="13"/>
  <c r="CI686" i="13" s="1"/>
  <c r="CE686" i="13"/>
  <c r="CH686" i="13" s="1"/>
  <c r="CD686" i="13"/>
  <c r="CG686" i="13" s="1"/>
  <c r="BY686" i="13"/>
  <c r="CF694" i="13"/>
  <c r="CI694" i="13" s="1"/>
  <c r="CD694" i="13"/>
  <c r="CG694" i="13" s="1"/>
  <c r="BY694" i="13"/>
  <c r="CE694" i="13"/>
  <c r="CH694" i="13" s="1"/>
  <c r="CF702" i="13"/>
  <c r="CI702" i="13" s="1"/>
  <c r="CE702" i="13"/>
  <c r="CH702" i="13" s="1"/>
  <c r="CD702" i="13"/>
  <c r="CG702" i="13" s="1"/>
  <c r="BY702" i="13"/>
  <c r="CF710" i="13"/>
  <c r="CI710" i="13" s="1"/>
  <c r="CD710" i="13"/>
  <c r="CG710" i="13" s="1"/>
  <c r="CE710" i="13"/>
  <c r="CH710" i="13" s="1"/>
  <c r="BY710" i="13"/>
  <c r="CF718" i="13"/>
  <c r="CI718" i="13" s="1"/>
  <c r="CD718" i="13"/>
  <c r="CG718" i="13" s="1"/>
  <c r="CE718" i="13"/>
  <c r="CH718" i="13" s="1"/>
  <c r="BY718" i="13"/>
  <c r="CF726" i="13"/>
  <c r="CI726" i="13" s="1"/>
  <c r="CE726" i="13"/>
  <c r="CH726" i="13" s="1"/>
  <c r="CD726" i="13"/>
  <c r="CG726" i="13" s="1"/>
  <c r="BY726" i="13"/>
  <c r="CF734" i="13"/>
  <c r="CI734" i="13" s="1"/>
  <c r="CD734" i="13"/>
  <c r="CG734" i="13" s="1"/>
  <c r="CE734" i="13"/>
  <c r="CH734" i="13" s="1"/>
  <c r="BY734" i="13"/>
  <c r="CF742" i="13"/>
  <c r="CI742" i="13" s="1"/>
  <c r="CD742" i="13"/>
  <c r="CG742" i="13" s="1"/>
  <c r="CE742" i="13"/>
  <c r="CH742" i="13" s="1"/>
  <c r="BY742" i="13"/>
  <c r="CF750" i="13"/>
  <c r="CI750" i="13" s="1"/>
  <c r="CE750" i="13"/>
  <c r="CH750" i="13" s="1"/>
  <c r="CD750" i="13"/>
  <c r="CG750" i="13" s="1"/>
  <c r="BY750" i="13"/>
  <c r="CF758" i="13"/>
  <c r="CI758" i="13" s="1"/>
  <c r="CE758" i="13"/>
  <c r="CH758" i="13" s="1"/>
  <c r="CD758" i="13"/>
  <c r="CG758" i="13" s="1"/>
  <c r="BY758" i="13"/>
  <c r="CF766" i="13"/>
  <c r="CI766" i="13" s="1"/>
  <c r="CD766" i="13"/>
  <c r="CG766" i="13" s="1"/>
  <c r="BY766" i="13"/>
  <c r="CE766" i="13"/>
  <c r="CH766" i="13" s="1"/>
  <c r="CF774" i="13"/>
  <c r="CI774" i="13" s="1"/>
  <c r="CE774" i="13"/>
  <c r="CH774" i="13" s="1"/>
  <c r="CD774" i="13"/>
  <c r="CG774" i="13" s="1"/>
  <c r="BY774" i="13"/>
  <c r="CF782" i="13"/>
  <c r="CI782" i="13" s="1"/>
  <c r="CD782" i="13"/>
  <c r="CG782" i="13" s="1"/>
  <c r="CE782" i="13"/>
  <c r="CH782" i="13" s="1"/>
  <c r="BY782" i="13"/>
  <c r="CF790" i="13"/>
  <c r="CI790" i="13" s="1"/>
  <c r="CE790" i="13"/>
  <c r="CH790" i="13" s="1"/>
  <c r="CD790" i="13"/>
  <c r="CG790" i="13" s="1"/>
  <c r="BY790" i="13"/>
  <c r="CF798" i="13"/>
  <c r="CI798" i="13" s="1"/>
  <c r="CD798" i="13"/>
  <c r="CG798" i="13" s="1"/>
  <c r="CE798" i="13"/>
  <c r="CH798" i="13" s="1"/>
  <c r="BY798" i="13"/>
  <c r="CF806" i="13"/>
  <c r="CI806" i="13" s="1"/>
  <c r="CD806" i="13"/>
  <c r="CG806" i="13" s="1"/>
  <c r="CE806" i="13"/>
  <c r="CH806" i="13" s="1"/>
  <c r="BY806" i="13"/>
  <c r="CF814" i="13"/>
  <c r="CI814" i="13" s="1"/>
  <c r="CE814" i="13"/>
  <c r="CH814" i="13" s="1"/>
  <c r="CD814" i="13"/>
  <c r="CG814" i="13" s="1"/>
  <c r="BY814" i="13"/>
  <c r="CF822" i="13"/>
  <c r="CI822" i="13" s="1"/>
  <c r="CE822" i="13"/>
  <c r="CH822" i="13" s="1"/>
  <c r="CD822" i="13"/>
  <c r="CG822" i="13" s="1"/>
  <c r="BY822" i="13"/>
  <c r="CF830" i="13"/>
  <c r="CI830" i="13" s="1"/>
  <c r="CD830" i="13"/>
  <c r="CG830" i="13" s="1"/>
  <c r="CE830" i="13"/>
  <c r="CH830" i="13" s="1"/>
  <c r="BY830" i="13"/>
  <c r="CF838" i="13"/>
  <c r="CI838" i="13" s="1"/>
  <c r="CE838" i="13"/>
  <c r="CH838" i="13" s="1"/>
  <c r="CD838" i="13"/>
  <c r="CG838" i="13" s="1"/>
  <c r="BY838" i="13"/>
  <c r="CF846" i="13"/>
  <c r="CI846" i="13" s="1"/>
  <c r="CD846" i="13"/>
  <c r="CG846" i="13" s="1"/>
  <c r="CE846" i="13"/>
  <c r="CH846" i="13" s="1"/>
  <c r="BY846" i="13"/>
  <c r="CF854" i="13"/>
  <c r="CI854" i="13" s="1"/>
  <c r="CE854" i="13"/>
  <c r="CH854" i="13" s="1"/>
  <c r="CD854" i="13"/>
  <c r="CG854" i="13" s="1"/>
  <c r="BY854" i="13"/>
  <c r="CF862" i="13"/>
  <c r="CI862" i="13" s="1"/>
  <c r="CD862" i="13"/>
  <c r="CG862" i="13" s="1"/>
  <c r="CE862" i="13"/>
  <c r="CH862" i="13" s="1"/>
  <c r="BY862" i="13"/>
  <c r="CF870" i="13"/>
  <c r="CI870" i="13" s="1"/>
  <c r="CD870" i="13"/>
  <c r="CG870" i="13" s="1"/>
  <c r="CE870" i="13"/>
  <c r="CH870" i="13" s="1"/>
  <c r="BY870" i="13"/>
  <c r="CF878" i="13"/>
  <c r="CI878" i="13" s="1"/>
  <c r="CE878" i="13"/>
  <c r="CH878" i="13" s="1"/>
  <c r="CD878" i="13"/>
  <c r="CG878" i="13" s="1"/>
  <c r="BY878" i="13"/>
  <c r="CF886" i="13"/>
  <c r="CI886" i="13" s="1"/>
  <c r="CE886" i="13"/>
  <c r="CH886" i="13" s="1"/>
  <c r="CD886" i="13"/>
  <c r="CG886" i="13" s="1"/>
  <c r="BY886" i="13"/>
  <c r="CF894" i="13"/>
  <c r="CI894" i="13" s="1"/>
  <c r="CD894" i="13"/>
  <c r="CG894" i="13" s="1"/>
  <c r="CE894" i="13"/>
  <c r="CH894" i="13" s="1"/>
  <c r="BY894" i="13"/>
  <c r="CF902" i="13"/>
  <c r="CI902" i="13" s="1"/>
  <c r="CE902" i="13"/>
  <c r="CH902" i="13" s="1"/>
  <c r="CD902" i="13"/>
  <c r="CG902" i="13" s="1"/>
  <c r="BY902" i="13"/>
  <c r="CF910" i="13"/>
  <c r="CI910" i="13" s="1"/>
  <c r="CD910" i="13"/>
  <c r="CG910" i="13" s="1"/>
  <c r="CE910" i="13"/>
  <c r="CH910" i="13" s="1"/>
  <c r="BY910" i="13"/>
  <c r="CF918" i="13"/>
  <c r="CI918" i="13" s="1"/>
  <c r="CE918" i="13"/>
  <c r="CH918" i="13" s="1"/>
  <c r="CD918" i="13"/>
  <c r="CG918" i="13" s="1"/>
  <c r="BY918" i="13"/>
  <c r="CF926" i="13"/>
  <c r="CI926" i="13" s="1"/>
  <c r="CD926" i="13"/>
  <c r="CG926" i="13" s="1"/>
  <c r="CE926" i="13"/>
  <c r="CH926" i="13" s="1"/>
  <c r="BY926" i="13"/>
  <c r="CF934" i="13"/>
  <c r="CI934" i="13" s="1"/>
  <c r="CD934" i="13"/>
  <c r="CG934" i="13" s="1"/>
  <c r="CE934" i="13"/>
  <c r="CH934" i="13" s="1"/>
  <c r="BY934" i="13"/>
  <c r="CF942" i="13"/>
  <c r="CI942" i="13" s="1"/>
  <c r="CE942" i="13"/>
  <c r="CH942" i="13" s="1"/>
  <c r="CD942" i="13"/>
  <c r="CG942" i="13" s="1"/>
  <c r="BY942" i="13"/>
  <c r="CF950" i="13"/>
  <c r="CI950" i="13" s="1"/>
  <c r="CE950" i="13"/>
  <c r="CH950" i="13" s="1"/>
  <c r="CD950" i="13"/>
  <c r="CG950" i="13" s="1"/>
  <c r="BY950" i="13"/>
  <c r="CF958" i="13"/>
  <c r="CI958" i="13" s="1"/>
  <c r="CD958" i="13"/>
  <c r="CG958" i="13" s="1"/>
  <c r="CE958" i="13"/>
  <c r="CH958" i="13" s="1"/>
  <c r="BY958" i="13"/>
  <c r="CF966" i="13"/>
  <c r="CI966" i="13" s="1"/>
  <c r="CE966" i="13"/>
  <c r="CH966" i="13" s="1"/>
  <c r="CD966" i="13"/>
  <c r="CG966" i="13" s="1"/>
  <c r="BY966" i="13"/>
  <c r="CF974" i="13"/>
  <c r="CI974" i="13" s="1"/>
  <c r="CD974" i="13"/>
  <c r="CG974" i="13" s="1"/>
  <c r="CE974" i="13"/>
  <c r="CH974" i="13" s="1"/>
  <c r="BY974" i="13"/>
  <c r="CF982" i="13"/>
  <c r="CI982" i="13" s="1"/>
  <c r="CE982" i="13"/>
  <c r="CH982" i="13" s="1"/>
  <c r="CD982" i="13"/>
  <c r="CG982" i="13" s="1"/>
  <c r="BY982" i="13"/>
  <c r="CF990" i="13"/>
  <c r="CI990" i="13" s="1"/>
  <c r="CD990" i="13"/>
  <c r="CG990" i="13" s="1"/>
  <c r="CE990" i="13"/>
  <c r="CH990" i="13" s="1"/>
  <c r="BY990" i="13"/>
  <c r="CF998" i="13"/>
  <c r="CI998" i="13" s="1"/>
  <c r="CD998" i="13"/>
  <c r="CG998" i="13" s="1"/>
  <c r="CE998" i="13"/>
  <c r="CH998" i="13" s="1"/>
  <c r="BY998" i="13"/>
  <c r="CF1006" i="13"/>
  <c r="CI1006" i="13" s="1"/>
  <c r="CE1006" i="13"/>
  <c r="CH1006" i="13" s="1"/>
  <c r="CD1006" i="13"/>
  <c r="CG1006" i="13" s="1"/>
  <c r="BY1006" i="13"/>
  <c r="CF1014" i="13"/>
  <c r="CI1014" i="13" s="1"/>
  <c r="CE1014" i="13"/>
  <c r="CH1014" i="13" s="1"/>
  <c r="CD1014" i="13"/>
  <c r="CG1014" i="13" s="1"/>
  <c r="BY1014" i="13"/>
  <c r="CF1022" i="13"/>
  <c r="CI1022" i="13" s="1"/>
  <c r="CD1022" i="13"/>
  <c r="CG1022" i="13" s="1"/>
  <c r="BY1022" i="13"/>
  <c r="CE1022" i="13"/>
  <c r="CH1022" i="13" s="1"/>
  <c r="CF1030" i="13"/>
  <c r="CI1030" i="13" s="1"/>
  <c r="CE1030" i="13"/>
  <c r="CH1030" i="13" s="1"/>
  <c r="CD1030" i="13"/>
  <c r="CG1030" i="13" s="1"/>
  <c r="BY1030" i="13"/>
  <c r="CF1038" i="13"/>
  <c r="CI1038" i="13" s="1"/>
  <c r="CD1038" i="13"/>
  <c r="CG1038" i="13" s="1"/>
  <c r="CE1038" i="13"/>
  <c r="CH1038" i="13" s="1"/>
  <c r="BY1038" i="13"/>
  <c r="CF1046" i="13"/>
  <c r="CI1046" i="13" s="1"/>
  <c r="CE1046" i="13"/>
  <c r="CH1046" i="13" s="1"/>
  <c r="CD1046" i="13"/>
  <c r="CG1046" i="13" s="1"/>
  <c r="BY1046" i="13"/>
  <c r="CF1054" i="13"/>
  <c r="CI1054" i="13" s="1"/>
  <c r="CD1054" i="13"/>
  <c r="CG1054" i="13" s="1"/>
  <c r="CE1054" i="13"/>
  <c r="CH1054" i="13" s="1"/>
  <c r="BY1054" i="13"/>
  <c r="CE7" i="13"/>
  <c r="CH7" i="13" s="1"/>
  <c r="CF7" i="13"/>
  <c r="CI7" i="13" s="1"/>
  <c r="CD7" i="13"/>
  <c r="CG7" i="13" s="1"/>
  <c r="BY7" i="13"/>
  <c r="CF15" i="13"/>
  <c r="CI15" i="13" s="1"/>
  <c r="CE15" i="13"/>
  <c r="CH15" i="13" s="1"/>
  <c r="CD15" i="13"/>
  <c r="CG15" i="13" s="1"/>
  <c r="BY15" i="13"/>
  <c r="CE23" i="13"/>
  <c r="CH23" i="13" s="1"/>
  <c r="CF23" i="13"/>
  <c r="CI23" i="13" s="1"/>
  <c r="CD23" i="13"/>
  <c r="CG23" i="13" s="1"/>
  <c r="BY23" i="13"/>
  <c r="CF31" i="13"/>
  <c r="CI31" i="13" s="1"/>
  <c r="CE31" i="13"/>
  <c r="CH31" i="13" s="1"/>
  <c r="CD31" i="13"/>
  <c r="CG31" i="13" s="1"/>
  <c r="BY31" i="13"/>
  <c r="CE39" i="13"/>
  <c r="CH39" i="13" s="1"/>
  <c r="CF39" i="13"/>
  <c r="CI39" i="13" s="1"/>
  <c r="CD39" i="13"/>
  <c r="CG39" i="13" s="1"/>
  <c r="BY39" i="13"/>
  <c r="CF47" i="13"/>
  <c r="CI47" i="13" s="1"/>
  <c r="CE47" i="13"/>
  <c r="CH47" i="13" s="1"/>
  <c r="CD47" i="13"/>
  <c r="CG47" i="13" s="1"/>
  <c r="BY47" i="13"/>
  <c r="CE55" i="13"/>
  <c r="CH55" i="13" s="1"/>
  <c r="CF55" i="13"/>
  <c r="CI55" i="13" s="1"/>
  <c r="CD55" i="13"/>
  <c r="CG55" i="13" s="1"/>
  <c r="BY55" i="13"/>
  <c r="CF63" i="13"/>
  <c r="CI63" i="13" s="1"/>
  <c r="CE63" i="13"/>
  <c r="CH63" i="13" s="1"/>
  <c r="CD63" i="13"/>
  <c r="CG63" i="13" s="1"/>
  <c r="BY63" i="13"/>
  <c r="CE71" i="13"/>
  <c r="CH71" i="13" s="1"/>
  <c r="CF71" i="13"/>
  <c r="CI71" i="13" s="1"/>
  <c r="CD71" i="13"/>
  <c r="CG71" i="13" s="1"/>
  <c r="BY71" i="13"/>
  <c r="CF79" i="13"/>
  <c r="CI79" i="13" s="1"/>
  <c r="CE79" i="13"/>
  <c r="CH79" i="13" s="1"/>
  <c r="BY79" i="13"/>
  <c r="CD79" i="13"/>
  <c r="CG79" i="13" s="1"/>
  <c r="CE87" i="13"/>
  <c r="CH87" i="13" s="1"/>
  <c r="CF87" i="13"/>
  <c r="CI87" i="13" s="1"/>
  <c r="CD87" i="13"/>
  <c r="CG87" i="13" s="1"/>
  <c r="BY87" i="13"/>
  <c r="CF95" i="13"/>
  <c r="CI95" i="13" s="1"/>
  <c r="CE95" i="13"/>
  <c r="CH95" i="13" s="1"/>
  <c r="CD95" i="13"/>
  <c r="CG95" i="13" s="1"/>
  <c r="BY95" i="13"/>
  <c r="CE103" i="13"/>
  <c r="CH103" i="13" s="1"/>
  <c r="CF103" i="13"/>
  <c r="CI103" i="13" s="1"/>
  <c r="CD103" i="13"/>
  <c r="CG103" i="13" s="1"/>
  <c r="BY103" i="13"/>
  <c r="CF111" i="13"/>
  <c r="CI111" i="13" s="1"/>
  <c r="CE111" i="13"/>
  <c r="CH111" i="13" s="1"/>
  <c r="CD111" i="13"/>
  <c r="CG111" i="13" s="1"/>
  <c r="BY111" i="13"/>
  <c r="CF119" i="13"/>
  <c r="CI119" i="13" s="1"/>
  <c r="CE119" i="13"/>
  <c r="CH119" i="13" s="1"/>
  <c r="CD119" i="13"/>
  <c r="CG119" i="13" s="1"/>
  <c r="BY119" i="13"/>
  <c r="CF127" i="13"/>
  <c r="CI127" i="13" s="1"/>
  <c r="CE127" i="13"/>
  <c r="CH127" i="13" s="1"/>
  <c r="CD127" i="13"/>
  <c r="CG127" i="13" s="1"/>
  <c r="BY127" i="13"/>
  <c r="CF135" i="13"/>
  <c r="CI135" i="13" s="1"/>
  <c r="CE135" i="13"/>
  <c r="CH135" i="13" s="1"/>
  <c r="CD135" i="13"/>
  <c r="CG135" i="13" s="1"/>
  <c r="BY135" i="13"/>
  <c r="CE143" i="13"/>
  <c r="CH143" i="13" s="1"/>
  <c r="CD143" i="13"/>
  <c r="CG143" i="13" s="1"/>
  <c r="CF143" i="13"/>
  <c r="CI143" i="13" s="1"/>
  <c r="BY143" i="13"/>
  <c r="CF151" i="13"/>
  <c r="CI151" i="13" s="1"/>
  <c r="CE151" i="13"/>
  <c r="CH151" i="13" s="1"/>
  <c r="CD151" i="13"/>
  <c r="CG151" i="13" s="1"/>
  <c r="BY151" i="13"/>
  <c r="CF159" i="13"/>
  <c r="CI159" i="13" s="1"/>
  <c r="CE159" i="13"/>
  <c r="CH159" i="13" s="1"/>
  <c r="CD159" i="13"/>
  <c r="CG159" i="13" s="1"/>
  <c r="BY159" i="13"/>
  <c r="CE167" i="13"/>
  <c r="CH167" i="13" s="1"/>
  <c r="CF167" i="13"/>
  <c r="CI167" i="13" s="1"/>
  <c r="CD167" i="13"/>
  <c r="CG167" i="13" s="1"/>
  <c r="BY167" i="13"/>
  <c r="CF175" i="13"/>
  <c r="CI175" i="13" s="1"/>
  <c r="CE175" i="13"/>
  <c r="CH175" i="13" s="1"/>
  <c r="BY175" i="13"/>
  <c r="CD175" i="13"/>
  <c r="CG175" i="13" s="1"/>
  <c r="CF183" i="13"/>
  <c r="CI183" i="13" s="1"/>
  <c r="CE183" i="13"/>
  <c r="CH183" i="13" s="1"/>
  <c r="CD183" i="13"/>
  <c r="CG183" i="13" s="1"/>
  <c r="BY183" i="13"/>
  <c r="CF191" i="13"/>
  <c r="CI191" i="13" s="1"/>
  <c r="CE191" i="13"/>
  <c r="CH191" i="13" s="1"/>
  <c r="CD191" i="13"/>
  <c r="CG191" i="13" s="1"/>
  <c r="BY191" i="13"/>
  <c r="CF199" i="13"/>
  <c r="CI199" i="13" s="1"/>
  <c r="CE199" i="13"/>
  <c r="CH199" i="13" s="1"/>
  <c r="CD199" i="13"/>
  <c r="CG199" i="13" s="1"/>
  <c r="BY199" i="13"/>
  <c r="CF207" i="13"/>
  <c r="CI207" i="13" s="1"/>
  <c r="CE207" i="13"/>
  <c r="CH207" i="13" s="1"/>
  <c r="CD207" i="13"/>
  <c r="CG207" i="13" s="1"/>
  <c r="BY207" i="13"/>
  <c r="CE215" i="13"/>
  <c r="CH215" i="13" s="1"/>
  <c r="CF215" i="13"/>
  <c r="CI215" i="13" s="1"/>
  <c r="CD215" i="13"/>
  <c r="CG215" i="13" s="1"/>
  <c r="BY215" i="13"/>
  <c r="CF223" i="13"/>
  <c r="CI223" i="13" s="1"/>
  <c r="CE223" i="13"/>
  <c r="CH223" i="13" s="1"/>
  <c r="CD223" i="13"/>
  <c r="CG223" i="13" s="1"/>
  <c r="BY223" i="13"/>
  <c r="CF231" i="13"/>
  <c r="CI231" i="13" s="1"/>
  <c r="CE231" i="13"/>
  <c r="CH231" i="13" s="1"/>
  <c r="CD231" i="13"/>
  <c r="CG231" i="13" s="1"/>
  <c r="BY231" i="13"/>
  <c r="CF239" i="13"/>
  <c r="CI239" i="13" s="1"/>
  <c r="CE239" i="13"/>
  <c r="CH239" i="13" s="1"/>
  <c r="CD239" i="13"/>
  <c r="CG239" i="13" s="1"/>
  <c r="BY239" i="13"/>
  <c r="CF247" i="13"/>
  <c r="CI247" i="13" s="1"/>
  <c r="CE247" i="13"/>
  <c r="CH247" i="13" s="1"/>
  <c r="CD247" i="13"/>
  <c r="CG247" i="13" s="1"/>
  <c r="BY247" i="13"/>
  <c r="CF255" i="13"/>
  <c r="CI255" i="13" s="1"/>
  <c r="CE255" i="13"/>
  <c r="CH255" i="13" s="1"/>
  <c r="CD255" i="13"/>
  <c r="CG255" i="13" s="1"/>
  <c r="BY255" i="13"/>
  <c r="CF263" i="13"/>
  <c r="CI263" i="13" s="1"/>
  <c r="CE263" i="13"/>
  <c r="CH263" i="13" s="1"/>
  <c r="CD263" i="13"/>
  <c r="CG263" i="13" s="1"/>
  <c r="BY263" i="13"/>
  <c r="CF271" i="13"/>
  <c r="CI271" i="13" s="1"/>
  <c r="CE271" i="13"/>
  <c r="CH271" i="13" s="1"/>
  <c r="CD271" i="13"/>
  <c r="CG271" i="13" s="1"/>
  <c r="BY271" i="13"/>
  <c r="CF279" i="13"/>
  <c r="CI279" i="13" s="1"/>
  <c r="CE279" i="13"/>
  <c r="CH279" i="13" s="1"/>
  <c r="CD279" i="13"/>
  <c r="CG279" i="13" s="1"/>
  <c r="BY279" i="13"/>
  <c r="CF287" i="13"/>
  <c r="CI287" i="13" s="1"/>
  <c r="CE287" i="13"/>
  <c r="CH287" i="13" s="1"/>
  <c r="CD287" i="13"/>
  <c r="CG287" i="13" s="1"/>
  <c r="BY287" i="13"/>
  <c r="CF295" i="13"/>
  <c r="CI295" i="13" s="1"/>
  <c r="CE295" i="13"/>
  <c r="CH295" i="13" s="1"/>
  <c r="CD295" i="13"/>
  <c r="CG295" i="13" s="1"/>
  <c r="BY295" i="13"/>
  <c r="CF303" i="13"/>
  <c r="CI303" i="13" s="1"/>
  <c r="CE303" i="13"/>
  <c r="CH303" i="13" s="1"/>
  <c r="CD303" i="13"/>
  <c r="CG303" i="13" s="1"/>
  <c r="BY303" i="13"/>
  <c r="CF311" i="13"/>
  <c r="CI311" i="13" s="1"/>
  <c r="CE311" i="13"/>
  <c r="CH311" i="13" s="1"/>
  <c r="CD311" i="13"/>
  <c r="CG311" i="13" s="1"/>
  <c r="BY311" i="13"/>
  <c r="CF319" i="13"/>
  <c r="CI319" i="13" s="1"/>
  <c r="CE319" i="13"/>
  <c r="CH319" i="13" s="1"/>
  <c r="BY319" i="13"/>
  <c r="CD319" i="13"/>
  <c r="CG319" i="13" s="1"/>
  <c r="CF327" i="13"/>
  <c r="CI327" i="13" s="1"/>
  <c r="CE327" i="13"/>
  <c r="CH327" i="13" s="1"/>
  <c r="CD327" i="13"/>
  <c r="CG327" i="13" s="1"/>
  <c r="BY327" i="13"/>
  <c r="CF335" i="13"/>
  <c r="CI335" i="13" s="1"/>
  <c r="CE335" i="13"/>
  <c r="CH335" i="13" s="1"/>
  <c r="CD335" i="13"/>
  <c r="CG335" i="13" s="1"/>
  <c r="BY335" i="13"/>
  <c r="CF343" i="13"/>
  <c r="CI343" i="13" s="1"/>
  <c r="CE343" i="13"/>
  <c r="CH343" i="13" s="1"/>
  <c r="BY343" i="13"/>
  <c r="CD343" i="13"/>
  <c r="CG343" i="13" s="1"/>
  <c r="CF351" i="13"/>
  <c r="CI351" i="13" s="1"/>
  <c r="CE351" i="13"/>
  <c r="CH351" i="13" s="1"/>
  <c r="CD351" i="13"/>
  <c r="CG351" i="13" s="1"/>
  <c r="BY351" i="13"/>
  <c r="CF359" i="13"/>
  <c r="CI359" i="13" s="1"/>
  <c r="CE359" i="13"/>
  <c r="CH359" i="13" s="1"/>
  <c r="CD359" i="13"/>
  <c r="CG359" i="13" s="1"/>
  <c r="BY359" i="13"/>
  <c r="CF367" i="13"/>
  <c r="CI367" i="13" s="1"/>
  <c r="CE367" i="13"/>
  <c r="CH367" i="13" s="1"/>
  <c r="CD367" i="13"/>
  <c r="CG367" i="13" s="1"/>
  <c r="BY367" i="13"/>
  <c r="CF375" i="13"/>
  <c r="CI375" i="13" s="1"/>
  <c r="CE375" i="13"/>
  <c r="CH375" i="13" s="1"/>
  <c r="CD375" i="13"/>
  <c r="CG375" i="13" s="1"/>
  <c r="BY375" i="13"/>
  <c r="CF383" i="13"/>
  <c r="CI383" i="13" s="1"/>
  <c r="CE383" i="13"/>
  <c r="CH383" i="13" s="1"/>
  <c r="CD383" i="13"/>
  <c r="CG383" i="13" s="1"/>
  <c r="BY383" i="13"/>
  <c r="CF391" i="13"/>
  <c r="CI391" i="13" s="1"/>
  <c r="CE391" i="13"/>
  <c r="CH391" i="13" s="1"/>
  <c r="CD391" i="13"/>
  <c r="CG391" i="13" s="1"/>
  <c r="BY391" i="13"/>
  <c r="CF399" i="13"/>
  <c r="CI399" i="13" s="1"/>
  <c r="CE399" i="13"/>
  <c r="CH399" i="13" s="1"/>
  <c r="CD399" i="13"/>
  <c r="CG399" i="13" s="1"/>
  <c r="BY399" i="13"/>
  <c r="CF407" i="13"/>
  <c r="CI407" i="13" s="1"/>
  <c r="CE407" i="13"/>
  <c r="CH407" i="13" s="1"/>
  <c r="CD407" i="13"/>
  <c r="CG407" i="13" s="1"/>
  <c r="BY407" i="13"/>
  <c r="CF415" i="13"/>
  <c r="CI415" i="13" s="1"/>
  <c r="CE415" i="13"/>
  <c r="CH415" i="13" s="1"/>
  <c r="CD415" i="13"/>
  <c r="CG415" i="13" s="1"/>
  <c r="BY415" i="13"/>
  <c r="CF423" i="13"/>
  <c r="CI423" i="13" s="1"/>
  <c r="CE423" i="13"/>
  <c r="CH423" i="13" s="1"/>
  <c r="CD423" i="13"/>
  <c r="CG423" i="13" s="1"/>
  <c r="BY423" i="13"/>
  <c r="CF431" i="13"/>
  <c r="CI431" i="13" s="1"/>
  <c r="CE431" i="13"/>
  <c r="CH431" i="13" s="1"/>
  <c r="CD431" i="13"/>
  <c r="CG431" i="13" s="1"/>
  <c r="BY431" i="13"/>
  <c r="CF439" i="13"/>
  <c r="CI439" i="13" s="1"/>
  <c r="CE439" i="13"/>
  <c r="CH439" i="13" s="1"/>
  <c r="CD439" i="13"/>
  <c r="CG439" i="13" s="1"/>
  <c r="BY439" i="13"/>
  <c r="CF447" i="13"/>
  <c r="CI447" i="13" s="1"/>
  <c r="CE447" i="13"/>
  <c r="CH447" i="13" s="1"/>
  <c r="CD447" i="13"/>
  <c r="CG447" i="13" s="1"/>
  <c r="BY447" i="13"/>
  <c r="CF455" i="13"/>
  <c r="CI455" i="13" s="1"/>
  <c r="CE455" i="13"/>
  <c r="CH455" i="13" s="1"/>
  <c r="CD455" i="13"/>
  <c r="CG455" i="13" s="1"/>
  <c r="CF463" i="13"/>
  <c r="CI463" i="13" s="1"/>
  <c r="CE463" i="13"/>
  <c r="CH463" i="13" s="1"/>
  <c r="CD463" i="13"/>
  <c r="CG463" i="13" s="1"/>
  <c r="CF471" i="13"/>
  <c r="CI471" i="13" s="1"/>
  <c r="CE471" i="13"/>
  <c r="CH471" i="13" s="1"/>
  <c r="CD471" i="13"/>
  <c r="CG471" i="13" s="1"/>
  <c r="CF479" i="13"/>
  <c r="CI479" i="13" s="1"/>
  <c r="CE479" i="13"/>
  <c r="CH479" i="13" s="1"/>
  <c r="CD479" i="13"/>
  <c r="CG479" i="13" s="1"/>
  <c r="CF487" i="13"/>
  <c r="CI487" i="13" s="1"/>
  <c r="CE487" i="13"/>
  <c r="CH487" i="13" s="1"/>
  <c r="CD487" i="13"/>
  <c r="CG487" i="13" s="1"/>
  <c r="BY487" i="13"/>
  <c r="CF495" i="13"/>
  <c r="CI495" i="13" s="1"/>
  <c r="CE495" i="13"/>
  <c r="CH495" i="13" s="1"/>
  <c r="CD495" i="13"/>
  <c r="CG495" i="13" s="1"/>
  <c r="BY495" i="13"/>
  <c r="CF503" i="13"/>
  <c r="CI503" i="13" s="1"/>
  <c r="CE503" i="13"/>
  <c r="CH503" i="13" s="1"/>
  <c r="CD503" i="13"/>
  <c r="CG503" i="13" s="1"/>
  <c r="BY503" i="13"/>
  <c r="CF511" i="13"/>
  <c r="CI511" i="13" s="1"/>
  <c r="CE511" i="13"/>
  <c r="CH511" i="13" s="1"/>
  <c r="CD511" i="13"/>
  <c r="CG511" i="13" s="1"/>
  <c r="BY511" i="13"/>
  <c r="CF519" i="13"/>
  <c r="CI519" i="13" s="1"/>
  <c r="CE519" i="13"/>
  <c r="CH519" i="13" s="1"/>
  <c r="CD519" i="13"/>
  <c r="CG519" i="13" s="1"/>
  <c r="BY519" i="13"/>
  <c r="CF527" i="13"/>
  <c r="CI527" i="13" s="1"/>
  <c r="CE527" i="13"/>
  <c r="CH527" i="13" s="1"/>
  <c r="CD527" i="13"/>
  <c r="CG527" i="13" s="1"/>
  <c r="BY527" i="13"/>
  <c r="CF535" i="13"/>
  <c r="CI535" i="13" s="1"/>
  <c r="CE535" i="13"/>
  <c r="CH535" i="13" s="1"/>
  <c r="CD535" i="13"/>
  <c r="CG535" i="13" s="1"/>
  <c r="BY535" i="13"/>
  <c r="CF543" i="13"/>
  <c r="CI543" i="13" s="1"/>
  <c r="CE543" i="13"/>
  <c r="CH543" i="13" s="1"/>
  <c r="CD543" i="13"/>
  <c r="CG543" i="13" s="1"/>
  <c r="BY543" i="13"/>
  <c r="CF551" i="13"/>
  <c r="CI551" i="13" s="1"/>
  <c r="CE551" i="13"/>
  <c r="CH551" i="13" s="1"/>
  <c r="CD551" i="13"/>
  <c r="CG551" i="13" s="1"/>
  <c r="BY551" i="13"/>
  <c r="CF559" i="13"/>
  <c r="CI559" i="13" s="1"/>
  <c r="CE559" i="13"/>
  <c r="CH559" i="13" s="1"/>
  <c r="CD559" i="13"/>
  <c r="CG559" i="13" s="1"/>
  <c r="BY559" i="13"/>
  <c r="CF567" i="13"/>
  <c r="CI567" i="13" s="1"/>
  <c r="CE567" i="13"/>
  <c r="CH567" i="13" s="1"/>
  <c r="CD567" i="13"/>
  <c r="CG567" i="13" s="1"/>
  <c r="BY567" i="13"/>
  <c r="CF575" i="13"/>
  <c r="CI575" i="13" s="1"/>
  <c r="CE575" i="13"/>
  <c r="CH575" i="13" s="1"/>
  <c r="CD575" i="13"/>
  <c r="CG575" i="13" s="1"/>
  <c r="BY575" i="13"/>
  <c r="CF583" i="13"/>
  <c r="CI583" i="13" s="1"/>
  <c r="CE583" i="13"/>
  <c r="CH583" i="13" s="1"/>
  <c r="CD583" i="13"/>
  <c r="CG583" i="13" s="1"/>
  <c r="BY583" i="13"/>
  <c r="CF591" i="13"/>
  <c r="CI591" i="13" s="1"/>
  <c r="CD591" i="13"/>
  <c r="CG591" i="13" s="1"/>
  <c r="CE591" i="13"/>
  <c r="CH591" i="13" s="1"/>
  <c r="BY591" i="13"/>
  <c r="CF599" i="13"/>
  <c r="CI599" i="13" s="1"/>
  <c r="CE599" i="13"/>
  <c r="CH599" i="13" s="1"/>
  <c r="CD599" i="13"/>
  <c r="CG599" i="13" s="1"/>
  <c r="BY599" i="13"/>
  <c r="CF607" i="13"/>
  <c r="CI607" i="13" s="1"/>
  <c r="CE607" i="13"/>
  <c r="CH607" i="13" s="1"/>
  <c r="CD607" i="13"/>
  <c r="CG607" i="13" s="1"/>
  <c r="BY607" i="13"/>
  <c r="CF615" i="13"/>
  <c r="CI615" i="13" s="1"/>
  <c r="CD615" i="13"/>
  <c r="CG615" i="13" s="1"/>
  <c r="CE615" i="13"/>
  <c r="CH615" i="13" s="1"/>
  <c r="BY615" i="13"/>
  <c r="CF623" i="13"/>
  <c r="CI623" i="13" s="1"/>
  <c r="CE623" i="13"/>
  <c r="CH623" i="13" s="1"/>
  <c r="CD623" i="13"/>
  <c r="CG623" i="13" s="1"/>
  <c r="BY623" i="13"/>
  <c r="CF631" i="13"/>
  <c r="CI631" i="13" s="1"/>
  <c r="CE631" i="13"/>
  <c r="CH631" i="13" s="1"/>
  <c r="CD631" i="13"/>
  <c r="CG631" i="13" s="1"/>
  <c r="BY631" i="13"/>
  <c r="CF639" i="13"/>
  <c r="CI639" i="13" s="1"/>
  <c r="CE639" i="13"/>
  <c r="CH639" i="13" s="1"/>
  <c r="CD639" i="13"/>
  <c r="CG639" i="13" s="1"/>
  <c r="BY639" i="13"/>
  <c r="CF647" i="13"/>
  <c r="CI647" i="13" s="1"/>
  <c r="CE647" i="13"/>
  <c r="CH647" i="13" s="1"/>
  <c r="CD647" i="13"/>
  <c r="CG647" i="13" s="1"/>
  <c r="BY647" i="13"/>
  <c r="CF655" i="13"/>
  <c r="CI655" i="13" s="1"/>
  <c r="CD655" i="13"/>
  <c r="CG655" i="13" s="1"/>
  <c r="CE655" i="13"/>
  <c r="CH655" i="13" s="1"/>
  <c r="BY655" i="13"/>
  <c r="CF663" i="13"/>
  <c r="CI663" i="13" s="1"/>
  <c r="CE663" i="13"/>
  <c r="CH663" i="13" s="1"/>
  <c r="CD663" i="13"/>
  <c r="CG663" i="13" s="1"/>
  <c r="BY663" i="13"/>
  <c r="CF671" i="13"/>
  <c r="CI671" i="13" s="1"/>
  <c r="CE671" i="13"/>
  <c r="CH671" i="13" s="1"/>
  <c r="CD671" i="13"/>
  <c r="CG671" i="13" s="1"/>
  <c r="BY671" i="13"/>
  <c r="CF679" i="13"/>
  <c r="CI679" i="13" s="1"/>
  <c r="CE679" i="13"/>
  <c r="CH679" i="13" s="1"/>
  <c r="CD679" i="13"/>
  <c r="CG679" i="13" s="1"/>
  <c r="BY679" i="13"/>
  <c r="CF687" i="13"/>
  <c r="CI687" i="13" s="1"/>
  <c r="CE687" i="13"/>
  <c r="CH687" i="13" s="1"/>
  <c r="CD687" i="13"/>
  <c r="CG687" i="13" s="1"/>
  <c r="BY687" i="13"/>
  <c r="CF695" i="13"/>
  <c r="CI695" i="13" s="1"/>
  <c r="CE695" i="13"/>
  <c r="CH695" i="13" s="1"/>
  <c r="CD695" i="13"/>
  <c r="CG695" i="13" s="1"/>
  <c r="BY695" i="13"/>
  <c r="CF703" i="13"/>
  <c r="CI703" i="13" s="1"/>
  <c r="CE703" i="13"/>
  <c r="CH703" i="13" s="1"/>
  <c r="CD703" i="13"/>
  <c r="CG703" i="13" s="1"/>
  <c r="BY703" i="13"/>
  <c r="CF711" i="13"/>
  <c r="CI711" i="13" s="1"/>
  <c r="CE711" i="13"/>
  <c r="CH711" i="13" s="1"/>
  <c r="CD711" i="13"/>
  <c r="CG711" i="13" s="1"/>
  <c r="BY711" i="13"/>
  <c r="CF719" i="13"/>
  <c r="CI719" i="13" s="1"/>
  <c r="CD719" i="13"/>
  <c r="CG719" i="13" s="1"/>
  <c r="CE719" i="13"/>
  <c r="CH719" i="13" s="1"/>
  <c r="BY719" i="13"/>
  <c r="CF727" i="13"/>
  <c r="CI727" i="13" s="1"/>
  <c r="CE727" i="13"/>
  <c r="CH727" i="13" s="1"/>
  <c r="CD727" i="13"/>
  <c r="CG727" i="13" s="1"/>
  <c r="BY727" i="13"/>
  <c r="CF735" i="13"/>
  <c r="CI735" i="13" s="1"/>
  <c r="CE735" i="13"/>
  <c r="CH735" i="13" s="1"/>
  <c r="CD735" i="13"/>
  <c r="CG735" i="13" s="1"/>
  <c r="BY735" i="13"/>
  <c r="CF743" i="13"/>
  <c r="CI743" i="13" s="1"/>
  <c r="CE743" i="13"/>
  <c r="CH743" i="13" s="1"/>
  <c r="CD743" i="13"/>
  <c r="CG743" i="13" s="1"/>
  <c r="BY743" i="13"/>
  <c r="CF751" i="13"/>
  <c r="CI751" i="13" s="1"/>
  <c r="CE751" i="13"/>
  <c r="CH751" i="13" s="1"/>
  <c r="CD751" i="13"/>
  <c r="CG751" i="13" s="1"/>
  <c r="BY751" i="13"/>
  <c r="CF759" i="13"/>
  <c r="CI759" i="13" s="1"/>
  <c r="CE759" i="13"/>
  <c r="CH759" i="13" s="1"/>
  <c r="CD759" i="13"/>
  <c r="CG759" i="13" s="1"/>
  <c r="BY759" i="13"/>
  <c r="CF767" i="13"/>
  <c r="CI767" i="13" s="1"/>
  <c r="CE767" i="13"/>
  <c r="CH767" i="13" s="1"/>
  <c r="CD767" i="13"/>
  <c r="CG767" i="13" s="1"/>
  <c r="BY767" i="13"/>
  <c r="CF775" i="13"/>
  <c r="CI775" i="13" s="1"/>
  <c r="CE775" i="13"/>
  <c r="CH775" i="13" s="1"/>
  <c r="CD775" i="13"/>
  <c r="CG775" i="13" s="1"/>
  <c r="BY775" i="13"/>
  <c r="CF783" i="13"/>
  <c r="CI783" i="13" s="1"/>
  <c r="CD783" i="13"/>
  <c r="CG783" i="13" s="1"/>
  <c r="CE783" i="13"/>
  <c r="CH783" i="13" s="1"/>
  <c r="BY783" i="13"/>
  <c r="CF791" i="13"/>
  <c r="CI791" i="13" s="1"/>
  <c r="CE791" i="13"/>
  <c r="CH791" i="13" s="1"/>
  <c r="CD791" i="13"/>
  <c r="CG791" i="13" s="1"/>
  <c r="BY791" i="13"/>
  <c r="CF799" i="13"/>
  <c r="CI799" i="13" s="1"/>
  <c r="CE799" i="13"/>
  <c r="CH799" i="13" s="1"/>
  <c r="CD799" i="13"/>
  <c r="CG799" i="13" s="1"/>
  <c r="BY799" i="13"/>
  <c r="CF807" i="13"/>
  <c r="CI807" i="13" s="1"/>
  <c r="CE807" i="13"/>
  <c r="CH807" i="13" s="1"/>
  <c r="CD807" i="13"/>
  <c r="CG807" i="13" s="1"/>
  <c r="BY807" i="13"/>
  <c r="CF815" i="13"/>
  <c r="CI815" i="13" s="1"/>
  <c r="CE815" i="13"/>
  <c r="CH815" i="13" s="1"/>
  <c r="CD815" i="13"/>
  <c r="CG815" i="13" s="1"/>
  <c r="BY815" i="13"/>
  <c r="CF823" i="13"/>
  <c r="CI823" i="13" s="1"/>
  <c r="CE823" i="13"/>
  <c r="CH823" i="13" s="1"/>
  <c r="CD823" i="13"/>
  <c r="CG823" i="13" s="1"/>
  <c r="BY823" i="13"/>
  <c r="CF831" i="13"/>
  <c r="CI831" i="13" s="1"/>
  <c r="CE831" i="13"/>
  <c r="CH831" i="13" s="1"/>
  <c r="CD831" i="13"/>
  <c r="CG831" i="13" s="1"/>
  <c r="BY831" i="13"/>
  <c r="CF839" i="13"/>
  <c r="CI839" i="13" s="1"/>
  <c r="CE839" i="13"/>
  <c r="CH839" i="13" s="1"/>
  <c r="CD839" i="13"/>
  <c r="CG839" i="13" s="1"/>
  <c r="BY839" i="13"/>
  <c r="CF847" i="13"/>
  <c r="CI847" i="13" s="1"/>
  <c r="CD847" i="13"/>
  <c r="CG847" i="13" s="1"/>
  <c r="CE847" i="13"/>
  <c r="CH847" i="13" s="1"/>
  <c r="BY847" i="13"/>
  <c r="CF855" i="13"/>
  <c r="CI855" i="13" s="1"/>
  <c r="CE855" i="13"/>
  <c r="CH855" i="13" s="1"/>
  <c r="CD855" i="13"/>
  <c r="CG855" i="13" s="1"/>
  <c r="BY855" i="13"/>
  <c r="CF863" i="13"/>
  <c r="CI863" i="13" s="1"/>
  <c r="CE863" i="13"/>
  <c r="CH863" i="13" s="1"/>
  <c r="CD863" i="13"/>
  <c r="CG863" i="13" s="1"/>
  <c r="BY863" i="13"/>
  <c r="CF871" i="13"/>
  <c r="CI871" i="13" s="1"/>
  <c r="CE871" i="13"/>
  <c r="CH871" i="13" s="1"/>
  <c r="CD871" i="13"/>
  <c r="CG871" i="13" s="1"/>
  <c r="BY871" i="13"/>
  <c r="CF879" i="13"/>
  <c r="CI879" i="13" s="1"/>
  <c r="CE879" i="13"/>
  <c r="CH879" i="13" s="1"/>
  <c r="CD879" i="13"/>
  <c r="CG879" i="13" s="1"/>
  <c r="BY879" i="13"/>
  <c r="CF887" i="13"/>
  <c r="CI887" i="13" s="1"/>
  <c r="CE887" i="13"/>
  <c r="CH887" i="13" s="1"/>
  <c r="CD887" i="13"/>
  <c r="CG887" i="13" s="1"/>
  <c r="BY887" i="13"/>
  <c r="CF895" i="13"/>
  <c r="CI895" i="13" s="1"/>
  <c r="CE895" i="13"/>
  <c r="CH895" i="13" s="1"/>
  <c r="CD895" i="13"/>
  <c r="CG895" i="13" s="1"/>
  <c r="BY895" i="13"/>
  <c r="CF903" i="13"/>
  <c r="CI903" i="13" s="1"/>
  <c r="CE903" i="13"/>
  <c r="CH903" i="13" s="1"/>
  <c r="CD903" i="13"/>
  <c r="CG903" i="13" s="1"/>
  <c r="BY903" i="13"/>
  <c r="CF911" i="13"/>
  <c r="CI911" i="13" s="1"/>
  <c r="CD911" i="13"/>
  <c r="CG911" i="13" s="1"/>
  <c r="CE911" i="13"/>
  <c r="CH911" i="13" s="1"/>
  <c r="BY911" i="13"/>
  <c r="CF919" i="13"/>
  <c r="CI919" i="13" s="1"/>
  <c r="CE919" i="13"/>
  <c r="CH919" i="13" s="1"/>
  <c r="CD919" i="13"/>
  <c r="CG919" i="13" s="1"/>
  <c r="BY919" i="13"/>
  <c r="CF927" i="13"/>
  <c r="CI927" i="13" s="1"/>
  <c r="CE927" i="13"/>
  <c r="CH927" i="13" s="1"/>
  <c r="CD927" i="13"/>
  <c r="CG927" i="13" s="1"/>
  <c r="BY927" i="13"/>
  <c r="CF935" i="13"/>
  <c r="CI935" i="13" s="1"/>
  <c r="CE935" i="13"/>
  <c r="CH935" i="13" s="1"/>
  <c r="CD935" i="13"/>
  <c r="CG935" i="13" s="1"/>
  <c r="BY935" i="13"/>
  <c r="CF943" i="13"/>
  <c r="CI943" i="13" s="1"/>
  <c r="CE943" i="13"/>
  <c r="CH943" i="13" s="1"/>
  <c r="CD943" i="13"/>
  <c r="CG943" i="13" s="1"/>
  <c r="BY943" i="13"/>
  <c r="CF951" i="13"/>
  <c r="CI951" i="13" s="1"/>
  <c r="CE951" i="13"/>
  <c r="CH951" i="13" s="1"/>
  <c r="CD951" i="13"/>
  <c r="CG951" i="13" s="1"/>
  <c r="BY951" i="13"/>
  <c r="CF959" i="13"/>
  <c r="CI959" i="13" s="1"/>
  <c r="CE959" i="13"/>
  <c r="CH959" i="13" s="1"/>
  <c r="CD959" i="13"/>
  <c r="CG959" i="13" s="1"/>
  <c r="BY959" i="13"/>
  <c r="CF967" i="13"/>
  <c r="CI967" i="13" s="1"/>
  <c r="CE967" i="13"/>
  <c r="CH967" i="13" s="1"/>
  <c r="CD967" i="13"/>
  <c r="CG967" i="13" s="1"/>
  <c r="BY967" i="13"/>
  <c r="CF975" i="13"/>
  <c r="CI975" i="13" s="1"/>
  <c r="CD975" i="13"/>
  <c r="CG975" i="13" s="1"/>
  <c r="CE975" i="13"/>
  <c r="CH975" i="13" s="1"/>
  <c r="BY975" i="13"/>
  <c r="CF983" i="13"/>
  <c r="CI983" i="13" s="1"/>
  <c r="CE983" i="13"/>
  <c r="CH983" i="13" s="1"/>
  <c r="CD983" i="13"/>
  <c r="CG983" i="13" s="1"/>
  <c r="BY983" i="13"/>
  <c r="CF991" i="13"/>
  <c r="CI991" i="13" s="1"/>
  <c r="CE991" i="13"/>
  <c r="CH991" i="13" s="1"/>
  <c r="CD991" i="13"/>
  <c r="CG991" i="13" s="1"/>
  <c r="BY991" i="13"/>
  <c r="CF999" i="13"/>
  <c r="CI999" i="13" s="1"/>
  <c r="CE999" i="13"/>
  <c r="CH999" i="13" s="1"/>
  <c r="CD999" i="13"/>
  <c r="CG999" i="13" s="1"/>
  <c r="BY999" i="13"/>
  <c r="CF1007" i="13"/>
  <c r="CI1007" i="13" s="1"/>
  <c r="CE1007" i="13"/>
  <c r="CH1007" i="13" s="1"/>
  <c r="CD1007" i="13"/>
  <c r="CG1007" i="13" s="1"/>
  <c r="BY1007" i="13"/>
  <c r="CF1015" i="13"/>
  <c r="CI1015" i="13" s="1"/>
  <c r="CE1015" i="13"/>
  <c r="CH1015" i="13" s="1"/>
  <c r="CD1015" i="13"/>
  <c r="CG1015" i="13" s="1"/>
  <c r="BY1015" i="13"/>
  <c r="CF1023" i="13"/>
  <c r="CI1023" i="13" s="1"/>
  <c r="CE1023" i="13"/>
  <c r="CH1023" i="13" s="1"/>
  <c r="CD1023" i="13"/>
  <c r="CG1023" i="13" s="1"/>
  <c r="BY1023" i="13"/>
  <c r="CF1031" i="13"/>
  <c r="CI1031" i="13" s="1"/>
  <c r="CE1031" i="13"/>
  <c r="CH1031" i="13" s="1"/>
  <c r="CD1031" i="13"/>
  <c r="CG1031" i="13" s="1"/>
  <c r="BY1031" i="13"/>
  <c r="CF1039" i="13"/>
  <c r="CI1039" i="13" s="1"/>
  <c r="CD1039" i="13"/>
  <c r="CG1039" i="13" s="1"/>
  <c r="CE1039" i="13"/>
  <c r="CH1039" i="13" s="1"/>
  <c r="BY1039" i="13"/>
  <c r="CF1047" i="13"/>
  <c r="CI1047" i="13" s="1"/>
  <c r="CE1047" i="13"/>
  <c r="CH1047" i="13" s="1"/>
  <c r="CD1047" i="13"/>
  <c r="CG1047" i="13" s="1"/>
  <c r="BY1047" i="13"/>
  <c r="CF1055" i="13"/>
  <c r="CI1055" i="13" s="1"/>
  <c r="CE1055" i="13"/>
  <c r="CH1055" i="13" s="1"/>
  <c r="CD1055" i="13"/>
  <c r="CG1055" i="13" s="1"/>
  <c r="BY1055" i="13"/>
  <c r="CE8" i="13"/>
  <c r="CH8" i="13" s="1"/>
  <c r="CF8" i="13"/>
  <c r="CI8" i="13" s="1"/>
  <c r="CD8" i="13"/>
  <c r="CG8" i="13" s="1"/>
  <c r="BY8" i="13"/>
  <c r="CF16" i="13"/>
  <c r="CI16" i="13" s="1"/>
  <c r="CE16" i="13"/>
  <c r="CH16" i="13" s="1"/>
  <c r="CD16" i="13"/>
  <c r="CG16" i="13" s="1"/>
  <c r="BY16" i="13"/>
  <c r="CE24" i="13"/>
  <c r="CH24" i="13" s="1"/>
  <c r="CF24" i="13"/>
  <c r="CI24" i="13" s="1"/>
  <c r="CD24" i="13"/>
  <c r="CG24" i="13" s="1"/>
  <c r="BY24" i="13"/>
  <c r="CF32" i="13"/>
  <c r="CI32" i="13" s="1"/>
  <c r="CE32" i="13"/>
  <c r="CH32" i="13" s="1"/>
  <c r="CD32" i="13"/>
  <c r="CG32" i="13" s="1"/>
  <c r="BY32" i="13"/>
  <c r="CF40" i="13"/>
  <c r="CI40" i="13" s="1"/>
  <c r="CE40" i="13"/>
  <c r="CH40" i="13" s="1"/>
  <c r="CD40" i="13"/>
  <c r="CG40" i="13" s="1"/>
  <c r="BY40" i="13"/>
  <c r="CF48" i="13"/>
  <c r="CI48" i="13" s="1"/>
  <c r="CE48" i="13"/>
  <c r="CH48" i="13" s="1"/>
  <c r="CD48" i="13"/>
  <c r="CG48" i="13" s="1"/>
  <c r="BY48" i="13"/>
  <c r="CE56" i="13"/>
  <c r="CH56" i="13" s="1"/>
  <c r="CF56" i="13"/>
  <c r="CI56" i="13" s="1"/>
  <c r="CD56" i="13"/>
  <c r="CG56" i="13" s="1"/>
  <c r="BY56" i="13"/>
  <c r="CF64" i="13"/>
  <c r="CI64" i="13" s="1"/>
  <c r="CE64" i="13"/>
  <c r="CH64" i="13" s="1"/>
  <c r="CD64" i="13"/>
  <c r="CG64" i="13" s="1"/>
  <c r="BY64" i="13"/>
  <c r="CE72" i="13"/>
  <c r="CH72" i="13" s="1"/>
  <c r="CF72" i="13"/>
  <c r="CI72" i="13" s="1"/>
  <c r="CD72" i="13"/>
  <c r="CG72" i="13" s="1"/>
  <c r="BY72" i="13"/>
  <c r="CF80" i="13"/>
  <c r="CI80" i="13" s="1"/>
  <c r="CE80" i="13"/>
  <c r="CH80" i="13" s="1"/>
  <c r="CD80" i="13"/>
  <c r="CG80" i="13" s="1"/>
  <c r="BY80" i="13"/>
  <c r="CE88" i="13"/>
  <c r="CH88" i="13" s="1"/>
  <c r="CF88" i="13"/>
  <c r="CI88" i="13" s="1"/>
  <c r="CD88" i="13"/>
  <c r="CG88" i="13" s="1"/>
  <c r="BY88" i="13"/>
  <c r="CF96" i="13"/>
  <c r="CI96" i="13" s="1"/>
  <c r="CE96" i="13"/>
  <c r="CH96" i="13" s="1"/>
  <c r="CD96" i="13"/>
  <c r="CG96" i="13" s="1"/>
  <c r="BY96" i="13"/>
  <c r="CF104" i="13"/>
  <c r="CI104" i="13" s="1"/>
  <c r="CE104" i="13"/>
  <c r="CH104" i="13" s="1"/>
  <c r="CD104" i="13"/>
  <c r="CG104" i="13" s="1"/>
  <c r="BY104" i="13"/>
  <c r="CF112" i="13"/>
  <c r="CI112" i="13" s="1"/>
  <c r="CE112" i="13"/>
  <c r="CH112" i="13" s="1"/>
  <c r="CD112" i="13"/>
  <c r="CG112" i="13" s="1"/>
  <c r="BY112" i="13"/>
  <c r="CF120" i="13"/>
  <c r="CI120" i="13" s="1"/>
  <c r="CE120" i="13"/>
  <c r="CH120" i="13" s="1"/>
  <c r="CD120" i="13"/>
  <c r="CG120" i="13" s="1"/>
  <c r="BY120" i="13"/>
  <c r="CE128" i="13"/>
  <c r="CH128" i="13" s="1"/>
  <c r="CF128" i="13"/>
  <c r="CI128" i="13" s="1"/>
  <c r="CD128" i="13"/>
  <c r="CG128" i="13" s="1"/>
  <c r="BY128" i="13"/>
  <c r="CF136" i="13"/>
  <c r="CI136" i="13" s="1"/>
  <c r="CE136" i="13"/>
  <c r="CH136" i="13" s="1"/>
  <c r="CD136" i="13"/>
  <c r="CG136" i="13" s="1"/>
  <c r="BY136" i="13"/>
  <c r="CF144" i="13"/>
  <c r="CI144" i="13" s="1"/>
  <c r="CE144" i="13"/>
  <c r="CH144" i="13" s="1"/>
  <c r="CD144" i="13"/>
  <c r="CG144" i="13" s="1"/>
  <c r="BY144" i="13"/>
  <c r="CF152" i="13"/>
  <c r="CI152" i="13" s="1"/>
  <c r="CE152" i="13"/>
  <c r="CH152" i="13" s="1"/>
  <c r="CD152" i="13"/>
  <c r="CG152" i="13" s="1"/>
  <c r="BY152" i="13"/>
  <c r="CF160" i="13"/>
  <c r="CI160" i="13" s="1"/>
  <c r="CE160" i="13"/>
  <c r="CH160" i="13" s="1"/>
  <c r="CD160" i="13"/>
  <c r="CG160" i="13" s="1"/>
  <c r="BY160" i="13"/>
  <c r="CE168" i="13"/>
  <c r="CH168" i="13" s="1"/>
  <c r="CF168" i="13"/>
  <c r="CI168" i="13" s="1"/>
  <c r="CD168" i="13"/>
  <c r="CG168" i="13" s="1"/>
  <c r="BY168" i="13"/>
  <c r="CF176" i="13"/>
  <c r="CI176" i="13" s="1"/>
  <c r="CE176" i="13"/>
  <c r="CH176" i="13" s="1"/>
  <c r="CD176" i="13"/>
  <c r="CG176" i="13" s="1"/>
  <c r="BY176" i="13"/>
  <c r="CF184" i="13"/>
  <c r="CI184" i="13" s="1"/>
  <c r="CE184" i="13"/>
  <c r="CH184" i="13" s="1"/>
  <c r="CD184" i="13"/>
  <c r="CG184" i="13" s="1"/>
  <c r="BY184" i="13"/>
  <c r="CE192" i="13"/>
  <c r="CH192" i="13" s="1"/>
  <c r="CF192" i="13"/>
  <c r="CI192" i="13" s="1"/>
  <c r="CD192" i="13"/>
  <c r="CG192" i="13" s="1"/>
  <c r="BY192" i="13"/>
  <c r="CF200" i="13"/>
  <c r="CI200" i="13" s="1"/>
  <c r="CE200" i="13"/>
  <c r="CH200" i="13" s="1"/>
  <c r="CD200" i="13"/>
  <c r="CG200" i="13" s="1"/>
  <c r="BY200" i="13"/>
  <c r="CF208" i="13"/>
  <c r="CI208" i="13" s="1"/>
  <c r="CE208" i="13"/>
  <c r="CH208" i="13" s="1"/>
  <c r="CD208" i="13"/>
  <c r="CG208" i="13" s="1"/>
  <c r="BY208" i="13"/>
  <c r="CF216" i="13"/>
  <c r="CI216" i="13" s="1"/>
  <c r="CE216" i="13"/>
  <c r="CH216" i="13" s="1"/>
  <c r="CD216" i="13"/>
  <c r="CG216" i="13" s="1"/>
  <c r="BY216" i="13"/>
  <c r="CE224" i="13"/>
  <c r="CH224" i="13" s="1"/>
  <c r="CF224" i="13"/>
  <c r="CI224" i="13" s="1"/>
  <c r="CD224" i="13"/>
  <c r="CG224" i="13" s="1"/>
  <c r="BY224" i="13"/>
  <c r="CF232" i="13"/>
  <c r="CI232" i="13" s="1"/>
  <c r="CE232" i="13"/>
  <c r="CH232" i="13" s="1"/>
  <c r="CD232" i="13"/>
  <c r="CG232" i="13" s="1"/>
  <c r="BY232" i="13"/>
  <c r="CF240" i="13"/>
  <c r="CI240" i="13" s="1"/>
  <c r="CE240" i="13"/>
  <c r="CH240" i="13" s="1"/>
  <c r="CD240" i="13"/>
  <c r="CG240" i="13" s="1"/>
  <c r="BY240" i="13"/>
  <c r="CF248" i="13"/>
  <c r="CI248" i="13" s="1"/>
  <c r="CE248" i="13"/>
  <c r="CH248" i="13" s="1"/>
  <c r="CD248" i="13"/>
  <c r="CG248" i="13" s="1"/>
  <c r="BY248" i="13"/>
  <c r="CF256" i="13"/>
  <c r="CI256" i="13" s="1"/>
  <c r="CE256" i="13"/>
  <c r="CH256" i="13" s="1"/>
  <c r="CD256" i="13"/>
  <c r="CG256" i="13" s="1"/>
  <c r="BY256" i="13"/>
  <c r="CF264" i="13"/>
  <c r="CI264" i="13" s="1"/>
  <c r="CE264" i="13"/>
  <c r="CH264" i="13" s="1"/>
  <c r="CD264" i="13"/>
  <c r="CG264" i="13" s="1"/>
  <c r="BY264" i="13"/>
  <c r="CF272" i="13"/>
  <c r="CI272" i="13" s="1"/>
  <c r="CE272" i="13"/>
  <c r="CH272" i="13" s="1"/>
  <c r="CD272" i="13"/>
  <c r="CG272" i="13" s="1"/>
  <c r="BY272" i="13"/>
  <c r="CF280" i="13"/>
  <c r="CI280" i="13" s="1"/>
  <c r="CE280" i="13"/>
  <c r="CH280" i="13" s="1"/>
  <c r="CD280" i="13"/>
  <c r="CG280" i="13" s="1"/>
  <c r="BY280" i="13"/>
  <c r="CF288" i="13"/>
  <c r="CI288" i="13" s="1"/>
  <c r="CE288" i="13"/>
  <c r="CH288" i="13" s="1"/>
  <c r="CD288" i="13"/>
  <c r="CG288" i="13" s="1"/>
  <c r="BY288" i="13"/>
  <c r="CF296" i="13"/>
  <c r="CI296" i="13" s="1"/>
  <c r="CE296" i="13"/>
  <c r="CH296" i="13" s="1"/>
  <c r="CD296" i="13"/>
  <c r="CG296" i="13" s="1"/>
  <c r="BY296" i="13"/>
  <c r="CF304" i="13"/>
  <c r="CI304" i="13" s="1"/>
  <c r="CE304" i="13"/>
  <c r="CH304" i="13" s="1"/>
  <c r="BY304" i="13"/>
  <c r="CD304" i="13"/>
  <c r="CG304" i="13" s="1"/>
  <c r="CF312" i="13"/>
  <c r="CI312" i="13" s="1"/>
  <c r="CE312" i="13"/>
  <c r="CH312" i="13" s="1"/>
  <c r="CD312" i="13"/>
  <c r="CG312" i="13" s="1"/>
  <c r="BY312" i="13"/>
  <c r="CF320" i="13"/>
  <c r="CI320" i="13" s="1"/>
  <c r="CE320" i="13"/>
  <c r="CH320" i="13" s="1"/>
  <c r="CD320" i="13"/>
  <c r="CG320" i="13" s="1"/>
  <c r="BY320" i="13"/>
  <c r="CF328" i="13"/>
  <c r="CI328" i="13" s="1"/>
  <c r="CE328" i="13"/>
  <c r="CH328" i="13" s="1"/>
  <c r="CD328" i="13"/>
  <c r="CG328" i="13" s="1"/>
  <c r="BY328" i="13"/>
  <c r="CF336" i="13"/>
  <c r="CI336" i="13" s="1"/>
  <c r="CE336" i="13"/>
  <c r="CH336" i="13" s="1"/>
  <c r="CD336" i="13"/>
  <c r="CG336" i="13" s="1"/>
  <c r="BY336" i="13"/>
  <c r="CF344" i="13"/>
  <c r="CI344" i="13" s="1"/>
  <c r="CE344" i="13"/>
  <c r="CH344" i="13" s="1"/>
  <c r="CD344" i="13"/>
  <c r="CG344" i="13" s="1"/>
  <c r="BY344" i="13"/>
  <c r="CF352" i="13"/>
  <c r="CI352" i="13" s="1"/>
  <c r="CE352" i="13"/>
  <c r="CH352" i="13" s="1"/>
  <c r="BY352" i="13"/>
  <c r="CD352" i="13"/>
  <c r="CG352" i="13" s="1"/>
  <c r="CF360" i="13"/>
  <c r="CI360" i="13" s="1"/>
  <c r="CE360" i="13"/>
  <c r="CH360" i="13" s="1"/>
  <c r="CD360" i="13"/>
  <c r="CG360" i="13" s="1"/>
  <c r="BY360" i="13"/>
  <c r="CF368" i="13"/>
  <c r="CI368" i="13" s="1"/>
  <c r="CE368" i="13"/>
  <c r="CH368" i="13" s="1"/>
  <c r="CD368" i="13"/>
  <c r="CG368" i="13" s="1"/>
  <c r="BY368" i="13"/>
  <c r="CF376" i="13"/>
  <c r="CI376" i="13" s="1"/>
  <c r="CE376" i="13"/>
  <c r="CH376" i="13" s="1"/>
  <c r="CD376" i="13"/>
  <c r="CG376" i="13" s="1"/>
  <c r="BY376" i="13"/>
  <c r="CF384" i="13"/>
  <c r="CI384" i="13" s="1"/>
  <c r="CE384" i="13"/>
  <c r="CH384" i="13" s="1"/>
  <c r="CD384" i="13"/>
  <c r="CG384" i="13" s="1"/>
  <c r="BY384" i="13"/>
  <c r="CF392" i="13"/>
  <c r="CI392" i="13" s="1"/>
  <c r="CE392" i="13"/>
  <c r="CH392" i="13" s="1"/>
  <c r="CD392" i="13"/>
  <c r="CG392" i="13" s="1"/>
  <c r="BY392" i="13"/>
  <c r="CF400" i="13"/>
  <c r="CI400" i="13" s="1"/>
  <c r="CE400" i="13"/>
  <c r="CH400" i="13" s="1"/>
  <c r="CD400" i="13"/>
  <c r="CG400" i="13" s="1"/>
  <c r="BY400" i="13"/>
  <c r="CF408" i="13"/>
  <c r="CI408" i="13" s="1"/>
  <c r="CE408" i="13"/>
  <c r="CH408" i="13" s="1"/>
  <c r="CD408" i="13"/>
  <c r="CG408" i="13" s="1"/>
  <c r="BY408" i="13"/>
  <c r="CF416" i="13"/>
  <c r="CI416" i="13" s="1"/>
  <c r="CE416" i="13"/>
  <c r="CH416" i="13" s="1"/>
  <c r="CD416" i="13"/>
  <c r="CG416" i="13" s="1"/>
  <c r="BY416" i="13"/>
  <c r="CF424" i="13"/>
  <c r="CI424" i="13" s="1"/>
  <c r="CE424" i="13"/>
  <c r="CH424" i="13" s="1"/>
  <c r="CD424" i="13"/>
  <c r="CG424" i="13" s="1"/>
  <c r="BY424" i="13"/>
  <c r="CF432" i="13"/>
  <c r="CI432" i="13" s="1"/>
  <c r="CE432" i="13"/>
  <c r="CH432" i="13" s="1"/>
  <c r="CD432" i="13"/>
  <c r="CG432" i="13" s="1"/>
  <c r="BY432" i="13"/>
  <c r="CF440" i="13"/>
  <c r="CI440" i="13" s="1"/>
  <c r="CE440" i="13"/>
  <c r="CH440" i="13" s="1"/>
  <c r="CD440" i="13"/>
  <c r="CG440" i="13" s="1"/>
  <c r="BY440" i="13"/>
  <c r="CF448" i="13"/>
  <c r="CI448" i="13" s="1"/>
  <c r="CE448" i="13"/>
  <c r="CH448" i="13" s="1"/>
  <c r="CD448" i="13"/>
  <c r="CG448" i="13" s="1"/>
  <c r="BY448" i="13"/>
  <c r="CF456" i="13"/>
  <c r="CI456" i="13" s="1"/>
  <c r="CE456" i="13"/>
  <c r="CH456" i="13" s="1"/>
  <c r="CD456" i="13"/>
  <c r="CG456" i="13" s="1"/>
  <c r="CF464" i="13"/>
  <c r="CI464" i="13" s="1"/>
  <c r="CE464" i="13"/>
  <c r="CH464" i="13" s="1"/>
  <c r="CD464" i="13"/>
  <c r="CG464" i="13" s="1"/>
  <c r="CF472" i="13"/>
  <c r="CI472" i="13" s="1"/>
  <c r="CE472" i="13"/>
  <c r="CH472" i="13" s="1"/>
  <c r="CD472" i="13"/>
  <c r="CG472" i="13" s="1"/>
  <c r="CF480" i="13"/>
  <c r="CI480" i="13" s="1"/>
  <c r="CE480" i="13"/>
  <c r="CH480" i="13" s="1"/>
  <c r="CD480" i="13"/>
  <c r="CG480" i="13" s="1"/>
  <c r="CF488" i="13"/>
  <c r="CI488" i="13" s="1"/>
  <c r="CE488" i="13"/>
  <c r="CH488" i="13" s="1"/>
  <c r="CD488" i="13"/>
  <c r="CG488" i="13" s="1"/>
  <c r="BY488" i="13"/>
  <c r="CF496" i="13"/>
  <c r="CI496" i="13" s="1"/>
  <c r="CE496" i="13"/>
  <c r="CH496" i="13" s="1"/>
  <c r="CD496" i="13"/>
  <c r="CG496" i="13" s="1"/>
  <c r="BY496" i="13"/>
  <c r="CF504" i="13"/>
  <c r="CI504" i="13" s="1"/>
  <c r="CE504" i="13"/>
  <c r="CH504" i="13" s="1"/>
  <c r="CD504" i="13"/>
  <c r="CG504" i="13" s="1"/>
  <c r="BY504" i="13"/>
  <c r="CF512" i="13"/>
  <c r="CI512" i="13" s="1"/>
  <c r="CE512" i="13"/>
  <c r="CH512" i="13" s="1"/>
  <c r="CD512" i="13"/>
  <c r="CG512" i="13" s="1"/>
  <c r="BY512" i="13"/>
  <c r="CF520" i="13"/>
  <c r="CI520" i="13" s="1"/>
  <c r="CE520" i="13"/>
  <c r="CH520" i="13" s="1"/>
  <c r="CD520" i="13"/>
  <c r="CG520" i="13" s="1"/>
  <c r="BY520" i="13"/>
  <c r="CF528" i="13"/>
  <c r="CI528" i="13" s="1"/>
  <c r="CE528" i="13"/>
  <c r="CH528" i="13" s="1"/>
  <c r="CD528" i="13"/>
  <c r="CG528" i="13" s="1"/>
  <c r="BY528" i="13"/>
  <c r="CF536" i="13"/>
  <c r="CI536" i="13" s="1"/>
  <c r="CE536" i="13"/>
  <c r="CH536" i="13" s="1"/>
  <c r="CD536" i="13"/>
  <c r="CG536" i="13" s="1"/>
  <c r="BY536" i="13"/>
  <c r="CF544" i="13"/>
  <c r="CI544" i="13" s="1"/>
  <c r="CE544" i="13"/>
  <c r="CH544" i="13" s="1"/>
  <c r="CD544" i="13"/>
  <c r="CG544" i="13" s="1"/>
  <c r="BY544" i="13"/>
  <c r="CF552" i="13"/>
  <c r="CI552" i="13" s="1"/>
  <c r="CE552" i="13"/>
  <c r="CH552" i="13" s="1"/>
  <c r="CD552" i="13"/>
  <c r="CG552" i="13" s="1"/>
  <c r="BY552" i="13"/>
  <c r="CF560" i="13"/>
  <c r="CI560" i="13" s="1"/>
  <c r="CE560" i="13"/>
  <c r="CH560" i="13" s="1"/>
  <c r="CD560" i="13"/>
  <c r="CG560" i="13" s="1"/>
  <c r="BY560" i="13"/>
  <c r="CF568" i="13"/>
  <c r="CI568" i="13" s="1"/>
  <c r="CE568" i="13"/>
  <c r="CH568" i="13" s="1"/>
  <c r="CD568" i="13"/>
  <c r="CG568" i="13" s="1"/>
  <c r="BY568" i="13"/>
  <c r="CF576" i="13"/>
  <c r="CI576" i="13" s="1"/>
  <c r="CE576" i="13"/>
  <c r="CH576" i="13" s="1"/>
  <c r="CD576" i="13"/>
  <c r="CG576" i="13" s="1"/>
  <c r="BY576" i="13"/>
  <c r="CF584" i="13"/>
  <c r="CI584" i="13" s="1"/>
  <c r="CE584" i="13"/>
  <c r="CH584" i="13" s="1"/>
  <c r="CD584" i="13"/>
  <c r="CG584" i="13" s="1"/>
  <c r="BY584" i="13"/>
  <c r="CF592" i="13"/>
  <c r="CI592" i="13" s="1"/>
  <c r="CE592" i="13"/>
  <c r="CH592" i="13" s="1"/>
  <c r="CD592" i="13"/>
  <c r="CG592" i="13" s="1"/>
  <c r="BY592" i="13"/>
  <c r="CF600" i="13"/>
  <c r="CI600" i="13" s="1"/>
  <c r="CE600" i="13"/>
  <c r="CH600" i="13" s="1"/>
  <c r="CD600" i="13"/>
  <c r="CG600" i="13" s="1"/>
  <c r="BY600" i="13"/>
  <c r="CF608" i="13"/>
  <c r="CI608" i="13" s="1"/>
  <c r="CE608" i="13"/>
  <c r="CH608" i="13" s="1"/>
  <c r="CD608" i="13"/>
  <c r="CG608" i="13" s="1"/>
  <c r="BY608" i="13"/>
  <c r="CF616" i="13"/>
  <c r="CI616" i="13" s="1"/>
  <c r="CE616" i="13"/>
  <c r="CH616" i="13" s="1"/>
  <c r="CD616" i="13"/>
  <c r="CG616" i="13" s="1"/>
  <c r="BY616" i="13"/>
  <c r="CF624" i="13"/>
  <c r="CI624" i="13" s="1"/>
  <c r="CE624" i="13"/>
  <c r="CH624" i="13" s="1"/>
  <c r="CD624" i="13"/>
  <c r="CG624" i="13" s="1"/>
  <c r="BY624" i="13"/>
  <c r="CF632" i="13"/>
  <c r="CI632" i="13" s="1"/>
  <c r="CE632" i="13"/>
  <c r="CH632" i="13" s="1"/>
  <c r="CD632" i="13"/>
  <c r="CG632" i="13" s="1"/>
  <c r="BY632" i="13"/>
  <c r="CF640" i="13"/>
  <c r="CI640" i="13" s="1"/>
  <c r="CE640" i="13"/>
  <c r="CH640" i="13" s="1"/>
  <c r="CD640" i="13"/>
  <c r="CG640" i="13" s="1"/>
  <c r="BY640" i="13"/>
  <c r="CF648" i="13"/>
  <c r="CI648" i="13" s="1"/>
  <c r="CE648" i="13"/>
  <c r="CH648" i="13" s="1"/>
  <c r="CD648" i="13"/>
  <c r="CG648" i="13" s="1"/>
  <c r="BY648" i="13"/>
  <c r="CF656" i="13"/>
  <c r="CI656" i="13" s="1"/>
  <c r="CE656" i="13"/>
  <c r="CH656" i="13" s="1"/>
  <c r="CD656" i="13"/>
  <c r="CG656" i="13" s="1"/>
  <c r="BY656" i="13"/>
  <c r="CF664" i="13"/>
  <c r="CI664" i="13" s="1"/>
  <c r="CE664" i="13"/>
  <c r="CH664" i="13" s="1"/>
  <c r="CD664" i="13"/>
  <c r="CG664" i="13" s="1"/>
  <c r="BY664" i="13"/>
  <c r="CF672" i="13"/>
  <c r="CI672" i="13" s="1"/>
  <c r="CE672" i="13"/>
  <c r="CH672" i="13" s="1"/>
  <c r="CD672" i="13"/>
  <c r="CG672" i="13" s="1"/>
  <c r="BY672" i="13"/>
  <c r="CF680" i="13"/>
  <c r="CI680" i="13" s="1"/>
  <c r="CE680" i="13"/>
  <c r="CH680" i="13" s="1"/>
  <c r="CD680" i="13"/>
  <c r="CG680" i="13" s="1"/>
  <c r="BY680" i="13"/>
  <c r="CF688" i="13"/>
  <c r="CI688" i="13" s="1"/>
  <c r="CE688" i="13"/>
  <c r="CH688" i="13" s="1"/>
  <c r="CD688" i="13"/>
  <c r="CG688" i="13" s="1"/>
  <c r="BY688" i="13"/>
  <c r="CF696" i="13"/>
  <c r="CI696" i="13" s="1"/>
  <c r="CE696" i="13"/>
  <c r="CH696" i="13" s="1"/>
  <c r="CD696" i="13"/>
  <c r="CG696" i="13" s="1"/>
  <c r="BY696" i="13"/>
  <c r="CF704" i="13"/>
  <c r="CI704" i="13" s="1"/>
  <c r="CE704" i="13"/>
  <c r="CH704" i="13" s="1"/>
  <c r="CD704" i="13"/>
  <c r="CG704" i="13" s="1"/>
  <c r="BY704" i="13"/>
  <c r="CF712" i="13"/>
  <c r="CI712" i="13" s="1"/>
  <c r="CE712" i="13"/>
  <c r="CH712" i="13" s="1"/>
  <c r="CD712" i="13"/>
  <c r="CG712" i="13" s="1"/>
  <c r="BY712" i="13"/>
  <c r="CF720" i="13"/>
  <c r="CI720" i="13" s="1"/>
  <c r="CE720" i="13"/>
  <c r="CH720" i="13" s="1"/>
  <c r="CD720" i="13"/>
  <c r="CG720" i="13" s="1"/>
  <c r="BY720" i="13"/>
  <c r="CF728" i="13"/>
  <c r="CI728" i="13" s="1"/>
  <c r="CE728" i="13"/>
  <c r="CH728" i="13" s="1"/>
  <c r="CD728" i="13"/>
  <c r="CG728" i="13" s="1"/>
  <c r="BY728" i="13"/>
  <c r="CF736" i="13"/>
  <c r="CI736" i="13" s="1"/>
  <c r="CE736" i="13"/>
  <c r="CH736" i="13" s="1"/>
  <c r="CD736" i="13"/>
  <c r="CG736" i="13" s="1"/>
  <c r="BY736" i="13"/>
  <c r="CF744" i="13"/>
  <c r="CI744" i="13" s="1"/>
  <c r="CD744" i="13"/>
  <c r="CG744" i="13" s="1"/>
  <c r="CE744" i="13"/>
  <c r="CH744" i="13" s="1"/>
  <c r="BY744" i="13"/>
  <c r="CF752" i="13"/>
  <c r="CI752" i="13" s="1"/>
  <c r="CE752" i="13"/>
  <c r="CH752" i="13" s="1"/>
  <c r="CD752" i="13"/>
  <c r="CG752" i="13" s="1"/>
  <c r="BY752" i="13"/>
  <c r="CF760" i="13"/>
  <c r="CI760" i="13" s="1"/>
  <c r="CE760" i="13"/>
  <c r="CH760" i="13" s="1"/>
  <c r="CD760" i="13"/>
  <c r="CG760" i="13" s="1"/>
  <c r="BY760" i="13"/>
  <c r="CF768" i="13"/>
  <c r="CI768" i="13" s="1"/>
  <c r="CE768" i="13"/>
  <c r="CH768" i="13" s="1"/>
  <c r="CD768" i="13"/>
  <c r="CG768" i="13" s="1"/>
  <c r="BY768" i="13"/>
  <c r="CF776" i="13"/>
  <c r="CI776" i="13" s="1"/>
  <c r="CE776" i="13"/>
  <c r="CH776" i="13" s="1"/>
  <c r="CD776" i="13"/>
  <c r="CG776" i="13" s="1"/>
  <c r="BY776" i="13"/>
  <c r="CF784" i="13"/>
  <c r="CI784" i="13" s="1"/>
  <c r="CD784" i="13"/>
  <c r="CG784" i="13" s="1"/>
  <c r="BY784" i="13"/>
  <c r="CE784" i="13"/>
  <c r="CH784" i="13" s="1"/>
  <c r="CF792" i="13"/>
  <c r="CI792" i="13" s="1"/>
  <c r="CE792" i="13"/>
  <c r="CH792" i="13" s="1"/>
  <c r="CD792" i="13"/>
  <c r="CG792" i="13" s="1"/>
  <c r="BY792" i="13"/>
  <c r="CF800" i="13"/>
  <c r="CI800" i="13" s="1"/>
  <c r="CE800" i="13"/>
  <c r="CH800" i="13" s="1"/>
  <c r="CD800" i="13"/>
  <c r="CG800" i="13" s="1"/>
  <c r="BY800" i="13"/>
  <c r="CF808" i="13"/>
  <c r="CI808" i="13" s="1"/>
  <c r="CD808" i="13"/>
  <c r="CG808" i="13" s="1"/>
  <c r="CE808" i="13"/>
  <c r="CH808" i="13" s="1"/>
  <c r="BY808" i="13"/>
  <c r="CF816" i="13"/>
  <c r="CI816" i="13" s="1"/>
  <c r="CE816" i="13"/>
  <c r="CH816" i="13" s="1"/>
  <c r="CD816" i="13"/>
  <c r="CG816" i="13" s="1"/>
  <c r="BY816" i="13"/>
  <c r="CF824" i="13"/>
  <c r="CI824" i="13" s="1"/>
  <c r="CE824" i="13"/>
  <c r="CH824" i="13" s="1"/>
  <c r="CD824" i="13"/>
  <c r="CG824" i="13" s="1"/>
  <c r="BY824" i="13"/>
  <c r="CF832" i="13"/>
  <c r="CI832" i="13" s="1"/>
  <c r="CE832" i="13"/>
  <c r="CH832" i="13" s="1"/>
  <c r="CD832" i="13"/>
  <c r="CG832" i="13" s="1"/>
  <c r="BY832" i="13"/>
  <c r="CF840" i="13"/>
  <c r="CI840" i="13" s="1"/>
  <c r="CE840" i="13"/>
  <c r="CH840" i="13" s="1"/>
  <c r="CD840" i="13"/>
  <c r="CG840" i="13" s="1"/>
  <c r="BY840" i="13"/>
  <c r="CF848" i="13"/>
  <c r="CI848" i="13" s="1"/>
  <c r="CD848" i="13"/>
  <c r="CG848" i="13" s="1"/>
  <c r="BY848" i="13"/>
  <c r="CE848" i="13"/>
  <c r="CH848" i="13" s="1"/>
  <c r="CF856" i="13"/>
  <c r="CI856" i="13" s="1"/>
  <c r="CE856" i="13"/>
  <c r="CH856" i="13" s="1"/>
  <c r="CD856" i="13"/>
  <c r="CG856" i="13" s="1"/>
  <c r="BY856" i="13"/>
  <c r="CF864" i="13"/>
  <c r="CI864" i="13" s="1"/>
  <c r="CE864" i="13"/>
  <c r="CH864" i="13" s="1"/>
  <c r="CD864" i="13"/>
  <c r="CG864" i="13" s="1"/>
  <c r="BY864" i="13"/>
  <c r="CF872" i="13"/>
  <c r="CI872" i="13" s="1"/>
  <c r="CD872" i="13"/>
  <c r="CG872" i="13" s="1"/>
  <c r="BY872" i="13"/>
  <c r="CE872" i="13"/>
  <c r="CH872" i="13" s="1"/>
  <c r="CF880" i="13"/>
  <c r="CI880" i="13" s="1"/>
  <c r="CE880" i="13"/>
  <c r="CH880" i="13" s="1"/>
  <c r="CD880" i="13"/>
  <c r="CG880" i="13" s="1"/>
  <c r="BY880" i="13"/>
  <c r="CF888" i="13"/>
  <c r="CI888" i="13" s="1"/>
  <c r="CE888" i="13"/>
  <c r="CH888" i="13" s="1"/>
  <c r="CD888" i="13"/>
  <c r="CG888" i="13" s="1"/>
  <c r="BY888" i="13"/>
  <c r="CF896" i="13"/>
  <c r="CI896" i="13" s="1"/>
  <c r="CE896" i="13"/>
  <c r="CH896" i="13" s="1"/>
  <c r="CD896" i="13"/>
  <c r="CG896" i="13" s="1"/>
  <c r="BY896" i="13"/>
  <c r="CF904" i="13"/>
  <c r="CI904" i="13" s="1"/>
  <c r="CE904" i="13"/>
  <c r="CH904" i="13" s="1"/>
  <c r="CD904" i="13"/>
  <c r="CG904" i="13" s="1"/>
  <c r="BY904" i="13"/>
  <c r="CF912" i="13"/>
  <c r="CI912" i="13" s="1"/>
  <c r="CD912" i="13"/>
  <c r="CG912" i="13" s="1"/>
  <c r="CE912" i="13"/>
  <c r="CH912" i="13" s="1"/>
  <c r="BY912" i="13"/>
  <c r="CF920" i="13"/>
  <c r="CI920" i="13" s="1"/>
  <c r="CE920" i="13"/>
  <c r="CH920" i="13" s="1"/>
  <c r="CD920" i="13"/>
  <c r="CG920" i="13" s="1"/>
  <c r="BY920" i="13"/>
  <c r="CF928" i="13"/>
  <c r="CI928" i="13" s="1"/>
  <c r="CE928" i="13"/>
  <c r="CH928" i="13" s="1"/>
  <c r="CD928" i="13"/>
  <c r="CG928" i="13" s="1"/>
  <c r="BY928" i="13"/>
  <c r="CF936" i="13"/>
  <c r="CI936" i="13" s="1"/>
  <c r="CD936" i="13"/>
  <c r="CG936" i="13" s="1"/>
  <c r="BY936" i="13"/>
  <c r="CE936" i="13"/>
  <c r="CH936" i="13" s="1"/>
  <c r="CF944" i="13"/>
  <c r="CI944" i="13" s="1"/>
  <c r="CE944" i="13"/>
  <c r="CH944" i="13" s="1"/>
  <c r="CD944" i="13"/>
  <c r="CG944" i="13" s="1"/>
  <c r="BY944" i="13"/>
  <c r="CF952" i="13"/>
  <c r="CI952" i="13" s="1"/>
  <c r="CE952" i="13"/>
  <c r="CH952" i="13" s="1"/>
  <c r="CD952" i="13"/>
  <c r="CG952" i="13" s="1"/>
  <c r="BY952" i="13"/>
  <c r="CF960" i="13"/>
  <c r="CI960" i="13" s="1"/>
  <c r="CE960" i="13"/>
  <c r="CH960" i="13" s="1"/>
  <c r="CD960" i="13"/>
  <c r="CG960" i="13" s="1"/>
  <c r="BY960" i="13"/>
  <c r="CF968" i="13"/>
  <c r="CI968" i="13" s="1"/>
  <c r="CE968" i="13"/>
  <c r="CH968" i="13" s="1"/>
  <c r="CD968" i="13"/>
  <c r="CG968" i="13" s="1"/>
  <c r="BY968" i="13"/>
  <c r="CF976" i="13"/>
  <c r="CI976" i="13" s="1"/>
  <c r="CD976" i="13"/>
  <c r="CG976" i="13" s="1"/>
  <c r="CE976" i="13"/>
  <c r="CH976" i="13" s="1"/>
  <c r="BY976" i="13"/>
  <c r="CF984" i="13"/>
  <c r="CI984" i="13" s="1"/>
  <c r="CE984" i="13"/>
  <c r="CH984" i="13" s="1"/>
  <c r="CD984" i="13"/>
  <c r="CG984" i="13" s="1"/>
  <c r="BY984" i="13"/>
  <c r="CF992" i="13"/>
  <c r="CI992" i="13" s="1"/>
  <c r="CE992" i="13"/>
  <c r="CH992" i="13" s="1"/>
  <c r="CD992" i="13"/>
  <c r="CG992" i="13" s="1"/>
  <c r="BY992" i="13"/>
  <c r="CF1000" i="13"/>
  <c r="CI1000" i="13" s="1"/>
  <c r="CD1000" i="13"/>
  <c r="CG1000" i="13" s="1"/>
  <c r="CE1000" i="13"/>
  <c r="CH1000" i="13" s="1"/>
  <c r="BY1000" i="13"/>
  <c r="CF1008" i="13"/>
  <c r="CI1008" i="13" s="1"/>
  <c r="CE1008" i="13"/>
  <c r="CH1008" i="13" s="1"/>
  <c r="CD1008" i="13"/>
  <c r="CG1008" i="13" s="1"/>
  <c r="BY1008" i="13"/>
  <c r="CF1016" i="13"/>
  <c r="CI1016" i="13" s="1"/>
  <c r="CE1016" i="13"/>
  <c r="CH1016" i="13" s="1"/>
  <c r="CD1016" i="13"/>
  <c r="CG1016" i="13" s="1"/>
  <c r="BY1016" i="13"/>
  <c r="CF1024" i="13"/>
  <c r="CI1024" i="13" s="1"/>
  <c r="CE1024" i="13"/>
  <c r="CH1024" i="13" s="1"/>
  <c r="CD1024" i="13"/>
  <c r="CG1024" i="13" s="1"/>
  <c r="BY1024" i="13"/>
  <c r="CF1032" i="13"/>
  <c r="CI1032" i="13" s="1"/>
  <c r="CE1032" i="13"/>
  <c r="CH1032" i="13" s="1"/>
  <c r="CD1032" i="13"/>
  <c r="CG1032" i="13" s="1"/>
  <c r="BY1032" i="13"/>
  <c r="CF1040" i="13"/>
  <c r="CI1040" i="13" s="1"/>
  <c r="CD1040" i="13"/>
  <c r="CG1040" i="13" s="1"/>
  <c r="BY1040" i="13"/>
  <c r="CE1040" i="13"/>
  <c r="CH1040" i="13" s="1"/>
  <c r="CF1048" i="13"/>
  <c r="CI1048" i="13" s="1"/>
  <c r="CE1048" i="13"/>
  <c r="CH1048" i="13" s="1"/>
  <c r="CD1048" i="13"/>
  <c r="CG1048" i="13" s="1"/>
  <c r="BY1048" i="13"/>
  <c r="CF9" i="13"/>
  <c r="CI9" i="13" s="1"/>
  <c r="CE9" i="13"/>
  <c r="CH9" i="13" s="1"/>
  <c r="CD9" i="13"/>
  <c r="CG9" i="13" s="1"/>
  <c r="BY9" i="13"/>
  <c r="CF17" i="13"/>
  <c r="CI17" i="13" s="1"/>
  <c r="CE17" i="13"/>
  <c r="CH17" i="13" s="1"/>
  <c r="CD17" i="13"/>
  <c r="CG17" i="13" s="1"/>
  <c r="BY17" i="13"/>
  <c r="CF25" i="13"/>
  <c r="CI25" i="13" s="1"/>
  <c r="CE25" i="13"/>
  <c r="CH25" i="13" s="1"/>
  <c r="CD25" i="13"/>
  <c r="CG25" i="13" s="1"/>
  <c r="BY25" i="13"/>
  <c r="CF33" i="13"/>
  <c r="CI33" i="13" s="1"/>
  <c r="CE33" i="13"/>
  <c r="CH33" i="13" s="1"/>
  <c r="CD33" i="13"/>
  <c r="CG33" i="13" s="1"/>
  <c r="BY33" i="13"/>
  <c r="CF41" i="13"/>
  <c r="CI41" i="13" s="1"/>
  <c r="CE41" i="13"/>
  <c r="CH41" i="13" s="1"/>
  <c r="CD41" i="13"/>
  <c r="CG41" i="13" s="1"/>
  <c r="BY41" i="13"/>
  <c r="CF49" i="13"/>
  <c r="CI49" i="13" s="1"/>
  <c r="CE49" i="13"/>
  <c r="CH49" i="13" s="1"/>
  <c r="CD49" i="13"/>
  <c r="CG49" i="13" s="1"/>
  <c r="BY49" i="13"/>
  <c r="CF57" i="13"/>
  <c r="CI57" i="13" s="1"/>
  <c r="CE57" i="13"/>
  <c r="CH57" i="13" s="1"/>
  <c r="CD57" i="13"/>
  <c r="CG57" i="13" s="1"/>
  <c r="BY57" i="13"/>
  <c r="CF65" i="13"/>
  <c r="CI65" i="13" s="1"/>
  <c r="CE65" i="13"/>
  <c r="CH65" i="13" s="1"/>
  <c r="CD65" i="13"/>
  <c r="CG65" i="13" s="1"/>
  <c r="BY65" i="13"/>
  <c r="CF73" i="13"/>
  <c r="CI73" i="13" s="1"/>
  <c r="CE73" i="13"/>
  <c r="CH73" i="13" s="1"/>
  <c r="CD73" i="13"/>
  <c r="CG73" i="13" s="1"/>
  <c r="BY73" i="13"/>
  <c r="CF81" i="13"/>
  <c r="CI81" i="13" s="1"/>
  <c r="CE81" i="13"/>
  <c r="CH81" i="13" s="1"/>
  <c r="BY81" i="13"/>
  <c r="CD81" i="13"/>
  <c r="CG81" i="13" s="1"/>
  <c r="CF89" i="13"/>
  <c r="CI89" i="13" s="1"/>
  <c r="CE89" i="13"/>
  <c r="CH89" i="13" s="1"/>
  <c r="CD89" i="13"/>
  <c r="CG89" i="13" s="1"/>
  <c r="BY89" i="13"/>
  <c r="CF97" i="13"/>
  <c r="CI97" i="13" s="1"/>
  <c r="CE97" i="13"/>
  <c r="CH97" i="13" s="1"/>
  <c r="BY97" i="13"/>
  <c r="CD97" i="13"/>
  <c r="CG97" i="13" s="1"/>
  <c r="CF105" i="13"/>
  <c r="CI105" i="13" s="1"/>
  <c r="CE105" i="13"/>
  <c r="CH105" i="13" s="1"/>
  <c r="CD105" i="13"/>
  <c r="CG105" i="13" s="1"/>
  <c r="BY105" i="13"/>
  <c r="CF113" i="13"/>
  <c r="CI113" i="13" s="1"/>
  <c r="CE113" i="13"/>
  <c r="CH113" i="13" s="1"/>
  <c r="CD113" i="13"/>
  <c r="CG113" i="13" s="1"/>
  <c r="BY113" i="13"/>
  <c r="CF121" i="13"/>
  <c r="CI121" i="13" s="1"/>
  <c r="CE121" i="13"/>
  <c r="CH121" i="13" s="1"/>
  <c r="CD121" i="13"/>
  <c r="CG121" i="13" s="1"/>
  <c r="BY121" i="13"/>
  <c r="CF129" i="13"/>
  <c r="CI129" i="13" s="1"/>
  <c r="CE129" i="13"/>
  <c r="CH129" i="13" s="1"/>
  <c r="CD129" i="13"/>
  <c r="CG129" i="13" s="1"/>
  <c r="BY129" i="13"/>
  <c r="CF137" i="13"/>
  <c r="CI137" i="13" s="1"/>
  <c r="CE137" i="13"/>
  <c r="CH137" i="13" s="1"/>
  <c r="CD137" i="13"/>
  <c r="CG137" i="13" s="1"/>
  <c r="BY137" i="13"/>
  <c r="CF145" i="13"/>
  <c r="CI145" i="13" s="1"/>
  <c r="CE145" i="13"/>
  <c r="CH145" i="13" s="1"/>
  <c r="CD145" i="13"/>
  <c r="CG145" i="13" s="1"/>
  <c r="BY145" i="13"/>
  <c r="CF153" i="13"/>
  <c r="CI153" i="13" s="1"/>
  <c r="CE153" i="13"/>
  <c r="CH153" i="13" s="1"/>
  <c r="CD153" i="13"/>
  <c r="CG153" i="13" s="1"/>
  <c r="BY153" i="13"/>
  <c r="CF161" i="13"/>
  <c r="CI161" i="13" s="1"/>
  <c r="CE161" i="13"/>
  <c r="CH161" i="13" s="1"/>
  <c r="CD161" i="13"/>
  <c r="CG161" i="13" s="1"/>
  <c r="BY161" i="13"/>
  <c r="CF169" i="13"/>
  <c r="CI169" i="13" s="1"/>
  <c r="CE169" i="13"/>
  <c r="CH169" i="13" s="1"/>
  <c r="CD169" i="13"/>
  <c r="CG169" i="13" s="1"/>
  <c r="BY169" i="13"/>
  <c r="CF177" i="13"/>
  <c r="CI177" i="13" s="1"/>
  <c r="CE177" i="13"/>
  <c r="CH177" i="13" s="1"/>
  <c r="CD177" i="13"/>
  <c r="CG177" i="13" s="1"/>
  <c r="BY177" i="13"/>
  <c r="CF185" i="13"/>
  <c r="CI185" i="13" s="1"/>
  <c r="CE185" i="13"/>
  <c r="CH185" i="13" s="1"/>
  <c r="CD185" i="13"/>
  <c r="CG185" i="13" s="1"/>
  <c r="BY185" i="13"/>
  <c r="CE193" i="13"/>
  <c r="CH193" i="13" s="1"/>
  <c r="CF193" i="13"/>
  <c r="CI193" i="13" s="1"/>
  <c r="CD193" i="13"/>
  <c r="CG193" i="13" s="1"/>
  <c r="BY193" i="13"/>
  <c r="CF201" i="13"/>
  <c r="CI201" i="13" s="1"/>
  <c r="CE201" i="13"/>
  <c r="CH201" i="13" s="1"/>
  <c r="CD201" i="13"/>
  <c r="CG201" i="13" s="1"/>
  <c r="BY201" i="13"/>
  <c r="CF209" i="13"/>
  <c r="CI209" i="13" s="1"/>
  <c r="CE209" i="13"/>
  <c r="CH209" i="13" s="1"/>
  <c r="CD209" i="13"/>
  <c r="CG209" i="13" s="1"/>
  <c r="BY209" i="13"/>
  <c r="CF217" i="13"/>
  <c r="CI217" i="13" s="1"/>
  <c r="CE217" i="13"/>
  <c r="CH217" i="13" s="1"/>
  <c r="CD217" i="13"/>
  <c r="CG217" i="13" s="1"/>
  <c r="BY217" i="13"/>
  <c r="CE225" i="13"/>
  <c r="CH225" i="13" s="1"/>
  <c r="CF225" i="13"/>
  <c r="CI225" i="13" s="1"/>
  <c r="CD225" i="13"/>
  <c r="CG225" i="13" s="1"/>
  <c r="BY225" i="13"/>
  <c r="CF233" i="13"/>
  <c r="CI233" i="13" s="1"/>
  <c r="CE233" i="13"/>
  <c r="CH233" i="13" s="1"/>
  <c r="CD233" i="13"/>
  <c r="CG233" i="13" s="1"/>
  <c r="BY233" i="13"/>
  <c r="CF241" i="13"/>
  <c r="CI241" i="13" s="1"/>
  <c r="CE241" i="13"/>
  <c r="CH241" i="13" s="1"/>
  <c r="CD241" i="13"/>
  <c r="CG241" i="13" s="1"/>
  <c r="BY241" i="13"/>
  <c r="CF249" i="13"/>
  <c r="CI249" i="13" s="1"/>
  <c r="CE249" i="13"/>
  <c r="CH249" i="13" s="1"/>
  <c r="CD249" i="13"/>
  <c r="CG249" i="13" s="1"/>
  <c r="BY249" i="13"/>
  <c r="CF257" i="13"/>
  <c r="CI257" i="13" s="1"/>
  <c r="CE257" i="13"/>
  <c r="CH257" i="13" s="1"/>
  <c r="CD257" i="13"/>
  <c r="CG257" i="13" s="1"/>
  <c r="BY257" i="13"/>
  <c r="CF265" i="13"/>
  <c r="CI265" i="13" s="1"/>
  <c r="CE265" i="13"/>
  <c r="CH265" i="13" s="1"/>
  <c r="CD265" i="13"/>
  <c r="CG265" i="13" s="1"/>
  <c r="BY265" i="13"/>
  <c r="CF273" i="13"/>
  <c r="CI273" i="13" s="1"/>
  <c r="CE273" i="13"/>
  <c r="CH273" i="13" s="1"/>
  <c r="CD273" i="13"/>
  <c r="CG273" i="13" s="1"/>
  <c r="BY273" i="13"/>
  <c r="CF281" i="13"/>
  <c r="CI281" i="13" s="1"/>
  <c r="CE281" i="13"/>
  <c r="CH281" i="13" s="1"/>
  <c r="CD281" i="13"/>
  <c r="CG281" i="13" s="1"/>
  <c r="BY281" i="13"/>
  <c r="CF289" i="13"/>
  <c r="CI289" i="13" s="1"/>
  <c r="CE289" i="13"/>
  <c r="CH289" i="13" s="1"/>
  <c r="CD289" i="13"/>
  <c r="CG289" i="13" s="1"/>
  <c r="BY289" i="13"/>
  <c r="CF297" i="13"/>
  <c r="CI297" i="13" s="1"/>
  <c r="CE297" i="13"/>
  <c r="CH297" i="13" s="1"/>
  <c r="CD297" i="13"/>
  <c r="CG297" i="13" s="1"/>
  <c r="BY297" i="13"/>
  <c r="CF305" i="13"/>
  <c r="CI305" i="13" s="1"/>
  <c r="CE305" i="13"/>
  <c r="CH305" i="13" s="1"/>
  <c r="CD305" i="13"/>
  <c r="CG305" i="13" s="1"/>
  <c r="BY305" i="13"/>
  <c r="CF313" i="13"/>
  <c r="CI313" i="13" s="1"/>
  <c r="CE313" i="13"/>
  <c r="CH313" i="13" s="1"/>
  <c r="CD313" i="13"/>
  <c r="CG313" i="13" s="1"/>
  <c r="BY313" i="13"/>
  <c r="CF321" i="13"/>
  <c r="CI321" i="13" s="1"/>
  <c r="CE321" i="13"/>
  <c r="CH321" i="13" s="1"/>
  <c r="CD321" i="13"/>
  <c r="CG321" i="13" s="1"/>
  <c r="BY321" i="13"/>
  <c r="CF329" i="13"/>
  <c r="CI329" i="13" s="1"/>
  <c r="CE329" i="13"/>
  <c r="CH329" i="13" s="1"/>
  <c r="CD329" i="13"/>
  <c r="CG329" i="13" s="1"/>
  <c r="BY329" i="13"/>
  <c r="CF337" i="13"/>
  <c r="CI337" i="13" s="1"/>
  <c r="CE337" i="13"/>
  <c r="CH337" i="13" s="1"/>
  <c r="CD337" i="13"/>
  <c r="CG337" i="13" s="1"/>
  <c r="BY337" i="13"/>
  <c r="CF345" i="13"/>
  <c r="CI345" i="13" s="1"/>
  <c r="CE345" i="13"/>
  <c r="CH345" i="13" s="1"/>
  <c r="CD345" i="13"/>
  <c r="CG345" i="13" s="1"/>
  <c r="BY345" i="13"/>
  <c r="CF353" i="13"/>
  <c r="CI353" i="13" s="1"/>
  <c r="CE353" i="13"/>
  <c r="CH353" i="13" s="1"/>
  <c r="CD353" i="13"/>
  <c r="CG353" i="13" s="1"/>
  <c r="BY353" i="13"/>
  <c r="CF361" i="13"/>
  <c r="CI361" i="13" s="1"/>
  <c r="CE361" i="13"/>
  <c r="CH361" i="13" s="1"/>
  <c r="CD361" i="13"/>
  <c r="CG361" i="13" s="1"/>
  <c r="BY361" i="13"/>
  <c r="CF369" i="13"/>
  <c r="CI369" i="13" s="1"/>
  <c r="CE369" i="13"/>
  <c r="CH369" i="13" s="1"/>
  <c r="CD369" i="13"/>
  <c r="CG369" i="13" s="1"/>
  <c r="BY369" i="13"/>
  <c r="CF377" i="13"/>
  <c r="CI377" i="13" s="1"/>
  <c r="CE377" i="13"/>
  <c r="CH377" i="13" s="1"/>
  <c r="CD377" i="13"/>
  <c r="CG377" i="13" s="1"/>
  <c r="BY377" i="13"/>
  <c r="CF385" i="13"/>
  <c r="CI385" i="13" s="1"/>
  <c r="CE385" i="13"/>
  <c r="CH385" i="13" s="1"/>
  <c r="CD385" i="13"/>
  <c r="CG385" i="13" s="1"/>
  <c r="BY385" i="13"/>
  <c r="CF393" i="13"/>
  <c r="CI393" i="13" s="1"/>
  <c r="CE393" i="13"/>
  <c r="CH393" i="13" s="1"/>
  <c r="CD393" i="13"/>
  <c r="CG393" i="13" s="1"/>
  <c r="BY393" i="13"/>
  <c r="CF401" i="13"/>
  <c r="CI401" i="13" s="1"/>
  <c r="CE401" i="13"/>
  <c r="CH401" i="13" s="1"/>
  <c r="CD401" i="13"/>
  <c r="CG401" i="13" s="1"/>
  <c r="BY401" i="13"/>
  <c r="CF409" i="13"/>
  <c r="CI409" i="13" s="1"/>
  <c r="CE409" i="13"/>
  <c r="CH409" i="13" s="1"/>
  <c r="CD409" i="13"/>
  <c r="CG409" i="13" s="1"/>
  <c r="BY409" i="13"/>
  <c r="CF417" i="13"/>
  <c r="CI417" i="13" s="1"/>
  <c r="CE417" i="13"/>
  <c r="CH417" i="13" s="1"/>
  <c r="CD417" i="13"/>
  <c r="CG417" i="13" s="1"/>
  <c r="BY417" i="13"/>
  <c r="CF425" i="13"/>
  <c r="CI425" i="13" s="1"/>
  <c r="CE425" i="13"/>
  <c r="CH425" i="13" s="1"/>
  <c r="CD425" i="13"/>
  <c r="CG425" i="13" s="1"/>
  <c r="BY425" i="13"/>
  <c r="CF433" i="13"/>
  <c r="CI433" i="13" s="1"/>
  <c r="CE433" i="13"/>
  <c r="CH433" i="13" s="1"/>
  <c r="CD433" i="13"/>
  <c r="CG433" i="13" s="1"/>
  <c r="BY433" i="13"/>
  <c r="CF441" i="13"/>
  <c r="CI441" i="13" s="1"/>
  <c r="CE441" i="13"/>
  <c r="CH441" i="13" s="1"/>
  <c r="CD441" i="13"/>
  <c r="CG441" i="13" s="1"/>
  <c r="BY441" i="13"/>
  <c r="CF449" i="13"/>
  <c r="CI449" i="13" s="1"/>
  <c r="CE449" i="13"/>
  <c r="CH449" i="13" s="1"/>
  <c r="CD449" i="13"/>
  <c r="CG449" i="13" s="1"/>
  <c r="BY449" i="13"/>
  <c r="CF457" i="13"/>
  <c r="CI457" i="13" s="1"/>
  <c r="CE457" i="13"/>
  <c r="CH457" i="13" s="1"/>
  <c r="CD457" i="13"/>
  <c r="CG457" i="13" s="1"/>
  <c r="CF465" i="13"/>
  <c r="CI465" i="13" s="1"/>
  <c r="CE465" i="13"/>
  <c r="CH465" i="13" s="1"/>
  <c r="CD465" i="13"/>
  <c r="CG465" i="13" s="1"/>
  <c r="CF473" i="13"/>
  <c r="CI473" i="13" s="1"/>
  <c r="CE473" i="13"/>
  <c r="CH473" i="13" s="1"/>
  <c r="CD473" i="13"/>
  <c r="CG473" i="13" s="1"/>
  <c r="CF481" i="13"/>
  <c r="CI481" i="13" s="1"/>
  <c r="CE481" i="13"/>
  <c r="CH481" i="13" s="1"/>
  <c r="CD481" i="13"/>
  <c r="CG481" i="13" s="1"/>
  <c r="CF489" i="13"/>
  <c r="CI489" i="13" s="1"/>
  <c r="CE489" i="13"/>
  <c r="CH489" i="13" s="1"/>
  <c r="CD489" i="13"/>
  <c r="CG489" i="13" s="1"/>
  <c r="BY489" i="13"/>
  <c r="CF497" i="13"/>
  <c r="CI497" i="13" s="1"/>
  <c r="CE497" i="13"/>
  <c r="CH497" i="13" s="1"/>
  <c r="CD497" i="13"/>
  <c r="CG497" i="13" s="1"/>
  <c r="BY497" i="13"/>
  <c r="CF505" i="13"/>
  <c r="CI505" i="13" s="1"/>
  <c r="CE505" i="13"/>
  <c r="CH505" i="13" s="1"/>
  <c r="CD505" i="13"/>
  <c r="CG505" i="13" s="1"/>
  <c r="BY505" i="13"/>
  <c r="CF513" i="13"/>
  <c r="CI513" i="13" s="1"/>
  <c r="CE513" i="13"/>
  <c r="CH513" i="13" s="1"/>
  <c r="CD513" i="13"/>
  <c r="CG513" i="13" s="1"/>
  <c r="BY513" i="13"/>
  <c r="CF521" i="13"/>
  <c r="CI521" i="13" s="1"/>
  <c r="CE521" i="13"/>
  <c r="CH521" i="13" s="1"/>
  <c r="CD521" i="13"/>
  <c r="CG521" i="13" s="1"/>
  <c r="BY521" i="13"/>
  <c r="CF529" i="13"/>
  <c r="CI529" i="13" s="1"/>
  <c r="CE529" i="13"/>
  <c r="CH529" i="13" s="1"/>
  <c r="CD529" i="13"/>
  <c r="CG529" i="13" s="1"/>
  <c r="BY529" i="13"/>
  <c r="CF537" i="13"/>
  <c r="CI537" i="13" s="1"/>
  <c r="CE537" i="13"/>
  <c r="CH537" i="13" s="1"/>
  <c r="CD537" i="13"/>
  <c r="CG537" i="13" s="1"/>
  <c r="BY537" i="13"/>
  <c r="CF545" i="13"/>
  <c r="CI545" i="13" s="1"/>
  <c r="CE545" i="13"/>
  <c r="CH545" i="13" s="1"/>
  <c r="CD545" i="13"/>
  <c r="CG545" i="13" s="1"/>
  <c r="BY545" i="13"/>
  <c r="CF553" i="13"/>
  <c r="CI553" i="13" s="1"/>
  <c r="CE553" i="13"/>
  <c r="CH553" i="13" s="1"/>
  <c r="CD553" i="13"/>
  <c r="CG553" i="13" s="1"/>
  <c r="BY553" i="13"/>
  <c r="CF561" i="13"/>
  <c r="CI561" i="13" s="1"/>
  <c r="CE561" i="13"/>
  <c r="CH561" i="13" s="1"/>
  <c r="CD561" i="13"/>
  <c r="CG561" i="13" s="1"/>
  <c r="BY561" i="13"/>
  <c r="CF569" i="13"/>
  <c r="CI569" i="13" s="1"/>
  <c r="CE569" i="13"/>
  <c r="CH569" i="13" s="1"/>
  <c r="CD569" i="13"/>
  <c r="CG569" i="13" s="1"/>
  <c r="BY569" i="13"/>
  <c r="CF577" i="13"/>
  <c r="CI577" i="13" s="1"/>
  <c r="CE577" i="13"/>
  <c r="CH577" i="13" s="1"/>
  <c r="CD577" i="13"/>
  <c r="CG577" i="13" s="1"/>
  <c r="BY577" i="13"/>
  <c r="CF585" i="13"/>
  <c r="CI585" i="13" s="1"/>
  <c r="CE585" i="13"/>
  <c r="CH585" i="13" s="1"/>
  <c r="CD585" i="13"/>
  <c r="CG585" i="13" s="1"/>
  <c r="BY585" i="13"/>
  <c r="CF593" i="13"/>
  <c r="CI593" i="13" s="1"/>
  <c r="CE593" i="13"/>
  <c r="CH593" i="13" s="1"/>
  <c r="CD593" i="13"/>
  <c r="CG593" i="13" s="1"/>
  <c r="BY593" i="13"/>
  <c r="CF601" i="13"/>
  <c r="CI601" i="13" s="1"/>
  <c r="CE601" i="13"/>
  <c r="CH601" i="13" s="1"/>
  <c r="CD601" i="13"/>
  <c r="CG601" i="13" s="1"/>
  <c r="BY601" i="13"/>
  <c r="CF609" i="13"/>
  <c r="CI609" i="13" s="1"/>
  <c r="CE609" i="13"/>
  <c r="CH609" i="13" s="1"/>
  <c r="CD609" i="13"/>
  <c r="CG609" i="13" s="1"/>
  <c r="BY609" i="13"/>
  <c r="CF617" i="13"/>
  <c r="CI617" i="13" s="1"/>
  <c r="CE617" i="13"/>
  <c r="CH617" i="13" s="1"/>
  <c r="CD617" i="13"/>
  <c r="CG617" i="13" s="1"/>
  <c r="BY617" i="13"/>
  <c r="CF625" i="13"/>
  <c r="CI625" i="13" s="1"/>
  <c r="CE625" i="13"/>
  <c r="CH625" i="13" s="1"/>
  <c r="CD625" i="13"/>
  <c r="CG625" i="13" s="1"/>
  <c r="BY625" i="13"/>
  <c r="CF633" i="13"/>
  <c r="CI633" i="13" s="1"/>
  <c r="CE633" i="13"/>
  <c r="CH633" i="13" s="1"/>
  <c r="CD633" i="13"/>
  <c r="CG633" i="13" s="1"/>
  <c r="BY633" i="13"/>
  <c r="CF641" i="13"/>
  <c r="CI641" i="13" s="1"/>
  <c r="CE641" i="13"/>
  <c r="CH641" i="13" s="1"/>
  <c r="CD641" i="13"/>
  <c r="CG641" i="13" s="1"/>
  <c r="BY641" i="13"/>
  <c r="CE649" i="13"/>
  <c r="CH649" i="13" s="1"/>
  <c r="CF649" i="13"/>
  <c r="CI649" i="13" s="1"/>
  <c r="CD649" i="13"/>
  <c r="CG649" i="13" s="1"/>
  <c r="BY649" i="13"/>
  <c r="CF657" i="13"/>
  <c r="CI657" i="13" s="1"/>
  <c r="CE657" i="13"/>
  <c r="CH657" i="13" s="1"/>
  <c r="CD657" i="13"/>
  <c r="CG657" i="13" s="1"/>
  <c r="BY657" i="13"/>
  <c r="CE665" i="13"/>
  <c r="CH665" i="13" s="1"/>
  <c r="CF665" i="13"/>
  <c r="CI665" i="13" s="1"/>
  <c r="CD665" i="13"/>
  <c r="CG665" i="13" s="1"/>
  <c r="BY665" i="13"/>
  <c r="CF673" i="13"/>
  <c r="CI673" i="13" s="1"/>
  <c r="CE673" i="13"/>
  <c r="CH673" i="13" s="1"/>
  <c r="CD673" i="13"/>
  <c r="CG673" i="13" s="1"/>
  <c r="BY673" i="13"/>
  <c r="CE681" i="13"/>
  <c r="CH681" i="13" s="1"/>
  <c r="CF681" i="13"/>
  <c r="CI681" i="13" s="1"/>
  <c r="CD681" i="13"/>
  <c r="CG681" i="13" s="1"/>
  <c r="BY681" i="13"/>
  <c r="CF689" i="13"/>
  <c r="CI689" i="13" s="1"/>
  <c r="CE689" i="13"/>
  <c r="CH689" i="13" s="1"/>
  <c r="CD689" i="13"/>
  <c r="CG689" i="13" s="1"/>
  <c r="BY689" i="13"/>
  <c r="CE697" i="13"/>
  <c r="CH697" i="13" s="1"/>
  <c r="CF697" i="13"/>
  <c r="CI697" i="13" s="1"/>
  <c r="CD697" i="13"/>
  <c r="CG697" i="13" s="1"/>
  <c r="BY697" i="13"/>
  <c r="CF705" i="13"/>
  <c r="CI705" i="13" s="1"/>
  <c r="CE705" i="13"/>
  <c r="CH705" i="13" s="1"/>
  <c r="CD705" i="13"/>
  <c r="CG705" i="13" s="1"/>
  <c r="BY705" i="13"/>
  <c r="CE713" i="13"/>
  <c r="CH713" i="13" s="1"/>
  <c r="CF713" i="13"/>
  <c r="CI713" i="13" s="1"/>
  <c r="CD713" i="13"/>
  <c r="CG713" i="13" s="1"/>
  <c r="BY713" i="13"/>
  <c r="CF721" i="13"/>
  <c r="CI721" i="13" s="1"/>
  <c r="CE721" i="13"/>
  <c r="CH721" i="13" s="1"/>
  <c r="CD721" i="13"/>
  <c r="CG721" i="13" s="1"/>
  <c r="BY721" i="13"/>
  <c r="CE729" i="13"/>
  <c r="CH729" i="13" s="1"/>
  <c r="CF729" i="13"/>
  <c r="CI729" i="13" s="1"/>
  <c r="CD729" i="13"/>
  <c r="CG729" i="13" s="1"/>
  <c r="BY729" i="13"/>
  <c r="CF737" i="13"/>
  <c r="CI737" i="13" s="1"/>
  <c r="CE737" i="13"/>
  <c r="CH737" i="13" s="1"/>
  <c r="CD737" i="13"/>
  <c r="CG737" i="13" s="1"/>
  <c r="BY737" i="13"/>
  <c r="CE745" i="13"/>
  <c r="CH745" i="13" s="1"/>
  <c r="CF745" i="13"/>
  <c r="CI745" i="13" s="1"/>
  <c r="CD745" i="13"/>
  <c r="CG745" i="13" s="1"/>
  <c r="BY745" i="13"/>
  <c r="CF753" i="13"/>
  <c r="CI753" i="13" s="1"/>
  <c r="CE753" i="13"/>
  <c r="CH753" i="13" s="1"/>
  <c r="CD753" i="13"/>
  <c r="CG753" i="13" s="1"/>
  <c r="BY753" i="13"/>
  <c r="CE761" i="13"/>
  <c r="CH761" i="13" s="1"/>
  <c r="CF761" i="13"/>
  <c r="CI761" i="13" s="1"/>
  <c r="CD761" i="13"/>
  <c r="CG761" i="13" s="1"/>
  <c r="BY761" i="13"/>
  <c r="CF769" i="13"/>
  <c r="CI769" i="13" s="1"/>
  <c r="CE769" i="13"/>
  <c r="CH769" i="13" s="1"/>
  <c r="CD769" i="13"/>
  <c r="CG769" i="13" s="1"/>
  <c r="BY769" i="13"/>
  <c r="CE777" i="13"/>
  <c r="CH777" i="13" s="1"/>
  <c r="CF777" i="13"/>
  <c r="CI777" i="13" s="1"/>
  <c r="CD777" i="13"/>
  <c r="CG777" i="13" s="1"/>
  <c r="BY777" i="13"/>
  <c r="CF785" i="13"/>
  <c r="CI785" i="13" s="1"/>
  <c r="CE785" i="13"/>
  <c r="CH785" i="13" s="1"/>
  <c r="CD785" i="13"/>
  <c r="CG785" i="13" s="1"/>
  <c r="BY785" i="13"/>
  <c r="CE793" i="13"/>
  <c r="CH793" i="13" s="1"/>
  <c r="CF793" i="13"/>
  <c r="CI793" i="13" s="1"/>
  <c r="CD793" i="13"/>
  <c r="CG793" i="13" s="1"/>
  <c r="BY793" i="13"/>
  <c r="CF801" i="13"/>
  <c r="CI801" i="13" s="1"/>
  <c r="CE801" i="13"/>
  <c r="CH801" i="13" s="1"/>
  <c r="CD801" i="13"/>
  <c r="CG801" i="13" s="1"/>
  <c r="BY801" i="13"/>
  <c r="CE809" i="13"/>
  <c r="CH809" i="13" s="1"/>
  <c r="CF809" i="13"/>
  <c r="CI809" i="13" s="1"/>
  <c r="CD809" i="13"/>
  <c r="CG809" i="13" s="1"/>
  <c r="BY809" i="13"/>
  <c r="CF817" i="13"/>
  <c r="CI817" i="13" s="1"/>
  <c r="CE817" i="13"/>
  <c r="CH817" i="13" s="1"/>
  <c r="CD817" i="13"/>
  <c r="CG817" i="13" s="1"/>
  <c r="BY817" i="13"/>
  <c r="CE825" i="13"/>
  <c r="CH825" i="13" s="1"/>
  <c r="CF825" i="13"/>
  <c r="CI825" i="13" s="1"/>
  <c r="CD825" i="13"/>
  <c r="CG825" i="13" s="1"/>
  <c r="BY825" i="13"/>
  <c r="CF833" i="13"/>
  <c r="CI833" i="13" s="1"/>
  <c r="CE833" i="13"/>
  <c r="CH833" i="13" s="1"/>
  <c r="CD833" i="13"/>
  <c r="CG833" i="13" s="1"/>
  <c r="BY833" i="13"/>
  <c r="CE841" i="13"/>
  <c r="CH841" i="13" s="1"/>
  <c r="CF841" i="13"/>
  <c r="CI841" i="13" s="1"/>
  <c r="CD841" i="13"/>
  <c r="CG841" i="13" s="1"/>
  <c r="BY841" i="13"/>
  <c r="CF849" i="13"/>
  <c r="CI849" i="13" s="1"/>
  <c r="CE849" i="13"/>
  <c r="CH849" i="13" s="1"/>
  <c r="CD849" i="13"/>
  <c r="CG849" i="13" s="1"/>
  <c r="BY849" i="13"/>
  <c r="CE857" i="13"/>
  <c r="CH857" i="13" s="1"/>
  <c r="CF857" i="13"/>
  <c r="CI857" i="13" s="1"/>
  <c r="CD857" i="13"/>
  <c r="CG857" i="13" s="1"/>
  <c r="BY857" i="13"/>
  <c r="CF865" i="13"/>
  <c r="CI865" i="13" s="1"/>
  <c r="CE865" i="13"/>
  <c r="CH865" i="13" s="1"/>
  <c r="CD865" i="13"/>
  <c r="CG865" i="13" s="1"/>
  <c r="BY865" i="13"/>
  <c r="CE873" i="13"/>
  <c r="CH873" i="13" s="1"/>
  <c r="CF873" i="13"/>
  <c r="CI873" i="13" s="1"/>
  <c r="CD873" i="13"/>
  <c r="CG873" i="13" s="1"/>
  <c r="BY873" i="13"/>
  <c r="CF881" i="13"/>
  <c r="CI881" i="13" s="1"/>
  <c r="CE881" i="13"/>
  <c r="CH881" i="13" s="1"/>
  <c r="CD881" i="13"/>
  <c r="CG881" i="13" s="1"/>
  <c r="BY881" i="13"/>
  <c r="CE889" i="13"/>
  <c r="CH889" i="13" s="1"/>
  <c r="CF889" i="13"/>
  <c r="CI889" i="13" s="1"/>
  <c r="CD889" i="13"/>
  <c r="CG889" i="13" s="1"/>
  <c r="BY889" i="13"/>
  <c r="CF897" i="13"/>
  <c r="CI897" i="13" s="1"/>
  <c r="CE897" i="13"/>
  <c r="CH897" i="13" s="1"/>
  <c r="CD897" i="13"/>
  <c r="CG897" i="13" s="1"/>
  <c r="BY897" i="13"/>
  <c r="CE905" i="13"/>
  <c r="CH905" i="13" s="1"/>
  <c r="CF905" i="13"/>
  <c r="CI905" i="13" s="1"/>
  <c r="CD905" i="13"/>
  <c r="CG905" i="13" s="1"/>
  <c r="BY905" i="13"/>
  <c r="CF913" i="13"/>
  <c r="CI913" i="13" s="1"/>
  <c r="CE913" i="13"/>
  <c r="CH913" i="13" s="1"/>
  <c r="BY913" i="13"/>
  <c r="CD913" i="13"/>
  <c r="CG913" i="13" s="1"/>
  <c r="CE921" i="13"/>
  <c r="CH921" i="13" s="1"/>
  <c r="CF921" i="13"/>
  <c r="CI921" i="13" s="1"/>
  <c r="BY921" i="13"/>
  <c r="CD921" i="13"/>
  <c r="CG921" i="13" s="1"/>
  <c r="CF929" i="13"/>
  <c r="CI929" i="13" s="1"/>
  <c r="CE929" i="13"/>
  <c r="CH929" i="13" s="1"/>
  <c r="CD929" i="13"/>
  <c r="CG929" i="13" s="1"/>
  <c r="BY929" i="13"/>
  <c r="CE937" i="13"/>
  <c r="CH937" i="13" s="1"/>
  <c r="CF937" i="13"/>
  <c r="CI937" i="13" s="1"/>
  <c r="BY937" i="13"/>
  <c r="CD937" i="13"/>
  <c r="CG937" i="13" s="1"/>
  <c r="CF945" i="13"/>
  <c r="CI945" i="13" s="1"/>
  <c r="CE945" i="13"/>
  <c r="CH945" i="13" s="1"/>
  <c r="CD945" i="13"/>
  <c r="CG945" i="13" s="1"/>
  <c r="BY945" i="13"/>
  <c r="CE953" i="13"/>
  <c r="CH953" i="13" s="1"/>
  <c r="CF953" i="13"/>
  <c r="CI953" i="13" s="1"/>
  <c r="BY953" i="13"/>
  <c r="CD953" i="13"/>
  <c r="CG953" i="13" s="1"/>
  <c r="CF961" i="13"/>
  <c r="CI961" i="13" s="1"/>
  <c r="CE961" i="13"/>
  <c r="CH961" i="13" s="1"/>
  <c r="BY961" i="13"/>
  <c r="CD961" i="13"/>
  <c r="CG961" i="13" s="1"/>
  <c r="CE969" i="13"/>
  <c r="CH969" i="13" s="1"/>
  <c r="CF969" i="13"/>
  <c r="CI969" i="13" s="1"/>
  <c r="CD969" i="13"/>
  <c r="CG969" i="13" s="1"/>
  <c r="BY969" i="13"/>
  <c r="CF977" i="13"/>
  <c r="CI977" i="13" s="1"/>
  <c r="CE977" i="13"/>
  <c r="CH977" i="13" s="1"/>
  <c r="CD977" i="13"/>
  <c r="CG977" i="13" s="1"/>
  <c r="BY977" i="13"/>
  <c r="CE985" i="13"/>
  <c r="CH985" i="13" s="1"/>
  <c r="CF985" i="13"/>
  <c r="CI985" i="13" s="1"/>
  <c r="CD985" i="13"/>
  <c r="CG985" i="13" s="1"/>
  <c r="BY985" i="13"/>
  <c r="CF993" i="13"/>
  <c r="CI993" i="13" s="1"/>
  <c r="CE993" i="13"/>
  <c r="CH993" i="13" s="1"/>
  <c r="CD993" i="13"/>
  <c r="CG993" i="13" s="1"/>
  <c r="BY993" i="13"/>
  <c r="CE1001" i="13"/>
  <c r="CH1001" i="13" s="1"/>
  <c r="CF1001" i="13"/>
  <c r="CI1001" i="13" s="1"/>
  <c r="CD1001" i="13"/>
  <c r="CG1001" i="13" s="1"/>
  <c r="BY1001" i="13"/>
  <c r="CF1009" i="13"/>
  <c r="CI1009" i="13" s="1"/>
  <c r="CE1009" i="13"/>
  <c r="CH1009" i="13" s="1"/>
  <c r="CD1009" i="13"/>
  <c r="CG1009" i="13" s="1"/>
  <c r="BY1009" i="13"/>
  <c r="CE1017" i="13"/>
  <c r="CH1017" i="13" s="1"/>
  <c r="CF1017" i="13"/>
  <c r="CI1017" i="13" s="1"/>
  <c r="CD1017" i="13"/>
  <c r="CG1017" i="13" s="1"/>
  <c r="BY1017" i="13"/>
  <c r="CF1025" i="13"/>
  <c r="CI1025" i="13" s="1"/>
  <c r="CE1025" i="13"/>
  <c r="CH1025" i="13" s="1"/>
  <c r="BY1025" i="13"/>
  <c r="CD1025" i="13"/>
  <c r="CG1025" i="13" s="1"/>
  <c r="CE1033" i="13"/>
  <c r="CH1033" i="13" s="1"/>
  <c r="CF1033" i="13"/>
  <c r="CI1033" i="13" s="1"/>
  <c r="CD1033" i="13"/>
  <c r="CG1033" i="13" s="1"/>
  <c r="BY1033" i="13"/>
  <c r="CF1041" i="13"/>
  <c r="CI1041" i="13" s="1"/>
  <c r="CE1041" i="13"/>
  <c r="CH1041" i="13" s="1"/>
  <c r="BY1041" i="13"/>
  <c r="CD1041" i="13"/>
  <c r="CG1041" i="13" s="1"/>
  <c r="CE1049" i="13"/>
  <c r="CH1049" i="13" s="1"/>
  <c r="CF1049" i="13"/>
  <c r="CI1049" i="13" s="1"/>
  <c r="CD1049" i="13"/>
  <c r="CG1049" i="13" s="1"/>
  <c r="BY1049" i="13"/>
  <c r="CO6" i="13"/>
  <c r="CO14" i="13"/>
  <c r="CO22" i="13"/>
  <c r="CO30" i="13"/>
  <c r="CO38" i="13"/>
  <c r="CO46" i="13"/>
  <c r="CO54" i="13"/>
  <c r="CO62" i="13"/>
  <c r="CO70" i="13"/>
  <c r="CO78" i="13"/>
  <c r="CO86" i="13"/>
  <c r="CO94" i="13"/>
  <c r="CO102" i="13"/>
  <c r="CO110" i="13"/>
  <c r="CO118" i="13"/>
  <c r="CO126" i="13"/>
  <c r="CO134" i="13"/>
  <c r="CO142" i="13"/>
  <c r="CO150" i="13"/>
  <c r="CO158" i="13"/>
  <c r="CO166" i="13"/>
  <c r="CO174" i="13"/>
  <c r="CO182" i="13"/>
  <c r="CO190" i="13"/>
  <c r="CO198" i="13"/>
  <c r="CO206" i="13"/>
  <c r="CO214" i="13"/>
  <c r="CO222" i="13"/>
  <c r="CO230" i="13"/>
  <c r="CO238" i="13"/>
  <c r="CO246" i="13"/>
  <c r="CO254" i="13"/>
  <c r="CO262" i="13"/>
  <c r="CO270" i="13"/>
  <c r="CO278" i="13"/>
  <c r="CO286" i="13"/>
  <c r="CO302" i="13"/>
  <c r="CO310" i="13"/>
  <c r="CO318" i="13"/>
  <c r="CO326" i="13"/>
  <c r="CO334" i="13"/>
  <c r="CO342" i="13"/>
  <c r="CO350" i="13"/>
  <c r="CO358" i="13"/>
  <c r="CO374" i="13"/>
  <c r="CO382" i="13"/>
  <c r="CO390" i="13"/>
  <c r="CO398" i="13"/>
  <c r="CO406" i="13"/>
  <c r="CO414" i="13"/>
  <c r="CO422" i="13"/>
  <c r="CO430" i="13"/>
  <c r="CO438" i="13"/>
  <c r="CO446" i="13"/>
  <c r="CO462" i="13"/>
  <c r="CO470" i="13"/>
  <c r="CO478" i="13"/>
  <c r="CO486" i="13"/>
  <c r="CO494" i="13"/>
  <c r="CO502" i="13"/>
  <c r="CO510" i="13"/>
  <c r="CO518" i="13"/>
  <c r="CO526" i="13"/>
  <c r="CO534" i="13"/>
  <c r="CO542" i="13"/>
  <c r="CO550" i="13"/>
  <c r="CO558" i="13"/>
  <c r="CO566" i="13"/>
  <c r="CO574" i="13"/>
  <c r="CO582" i="13"/>
  <c r="CO590" i="13"/>
  <c r="CO606" i="13"/>
  <c r="CO614" i="13"/>
  <c r="CO622" i="13"/>
  <c r="CO630" i="13"/>
  <c r="CO638" i="13"/>
  <c r="CO646" i="13"/>
  <c r="CO654" i="13"/>
  <c r="CO662" i="13"/>
  <c r="CO670" i="13"/>
  <c r="CO678" i="13"/>
  <c r="CO686" i="13"/>
  <c r="CO694" i="13"/>
  <c r="CO702" i="13"/>
  <c r="CO710" i="13"/>
  <c r="CO718" i="13"/>
  <c r="CO726" i="13"/>
  <c r="CO734" i="13"/>
  <c r="CO742" i="13"/>
  <c r="CO750" i="13"/>
  <c r="CO766" i="13"/>
  <c r="CO774" i="13"/>
  <c r="CO782" i="13"/>
  <c r="CO790" i="13"/>
  <c r="CO798" i="13"/>
  <c r="CO814" i="13"/>
  <c r="CO822" i="13"/>
  <c r="CO830" i="13"/>
  <c r="CO838" i="13"/>
  <c r="CO846" i="13"/>
  <c r="CO854" i="13"/>
  <c r="CO862" i="13"/>
  <c r="CO870" i="13"/>
  <c r="CO878" i="13"/>
  <c r="CO886" i="13"/>
  <c r="CO894" i="13"/>
  <c r="CO910" i="13"/>
  <c r="CO918" i="13"/>
  <c r="CO926" i="13"/>
  <c r="CO934" i="13"/>
  <c r="CO942" i="13"/>
  <c r="CO950" i="13"/>
  <c r="CO958" i="13"/>
  <c r="CO966" i="13"/>
  <c r="CO982" i="13"/>
  <c r="CO990" i="13"/>
  <c r="CO998" i="13"/>
  <c r="CO1006" i="13"/>
  <c r="CO1014" i="13"/>
  <c r="CO1022" i="13"/>
  <c r="CO1030" i="13"/>
  <c r="CO1038" i="13"/>
  <c r="CO1046" i="13"/>
  <c r="CO1054" i="13"/>
  <c r="CO7" i="13"/>
  <c r="CO15" i="13"/>
  <c r="CO23" i="13"/>
  <c r="CO31" i="13"/>
  <c r="CO39" i="13"/>
  <c r="CO47" i="13"/>
  <c r="CO63" i="13"/>
  <c r="CO71" i="13"/>
  <c r="CO79" i="13"/>
  <c r="CO87" i="13"/>
  <c r="CO95" i="13"/>
  <c r="CO103" i="13"/>
  <c r="CO111" i="13"/>
  <c r="CO119" i="13"/>
  <c r="CO127" i="13"/>
  <c r="CO135" i="13"/>
  <c r="CO143" i="13"/>
  <c r="CO151" i="13"/>
  <c r="CO159" i="13"/>
  <c r="CO167" i="13"/>
  <c r="CO175" i="13"/>
  <c r="CO183" i="13"/>
  <c r="CO191" i="13"/>
  <c r="CO199" i="13"/>
  <c r="CO207" i="13"/>
  <c r="CO215" i="13"/>
  <c r="CO223" i="13"/>
  <c r="CO231" i="13"/>
  <c r="CO239" i="13"/>
  <c r="CO247" i="13"/>
  <c r="CO255" i="13"/>
  <c r="CO263" i="13"/>
  <c r="CO271" i="13"/>
  <c r="CO279" i="13"/>
  <c r="CO287" i="13"/>
  <c r="CO303" i="13"/>
  <c r="CO311" i="13"/>
  <c r="CO319" i="13"/>
  <c r="CO327" i="13"/>
  <c r="CO335" i="13"/>
  <c r="CO343" i="13"/>
  <c r="CO351" i="13"/>
  <c r="CO359" i="13"/>
  <c r="CO367" i="13"/>
  <c r="CO375" i="13"/>
  <c r="CO383" i="13"/>
  <c r="CO391" i="13"/>
  <c r="CO399" i="13"/>
  <c r="CO407" i="13"/>
  <c r="CO415" i="13"/>
  <c r="CO423" i="13"/>
  <c r="CO431" i="13"/>
  <c r="CO439" i="13"/>
  <c r="CO447" i="13"/>
  <c r="CO463" i="13"/>
  <c r="CO471" i="13"/>
  <c r="CO479" i="13"/>
  <c r="CO487" i="13"/>
  <c r="CO495" i="13"/>
  <c r="CO503" i="13"/>
  <c r="CO511" i="13"/>
  <c r="CO519" i="13"/>
  <c r="CO527" i="13"/>
  <c r="CO535" i="13"/>
  <c r="CO543" i="13"/>
  <c r="CO551" i="13"/>
  <c r="CO559" i="13"/>
  <c r="CO567" i="13"/>
  <c r="CO575" i="13"/>
  <c r="CO583" i="13"/>
  <c r="CO591" i="13"/>
  <c r="CO607" i="13"/>
  <c r="CO615" i="13"/>
  <c r="CO623" i="13"/>
  <c r="CO631" i="13"/>
  <c r="CO639" i="13"/>
  <c r="CO647" i="13"/>
  <c r="CO655" i="13"/>
  <c r="CO663" i="13"/>
  <c r="CO671" i="13"/>
  <c r="CO679" i="13"/>
  <c r="CO687" i="13"/>
  <c r="CO695" i="13"/>
  <c r="CO703" i="13"/>
  <c r="CO711" i="13"/>
  <c r="CO719" i="13"/>
  <c r="CO727" i="13"/>
  <c r="CO735" i="13"/>
  <c r="CO743" i="13"/>
  <c r="CO751" i="13"/>
  <c r="CO759" i="13"/>
  <c r="CO767" i="13"/>
  <c r="CO783" i="13"/>
  <c r="CO791" i="13"/>
  <c r="CO799" i="13"/>
  <c r="CO807" i="13"/>
  <c r="CO815" i="13"/>
  <c r="CO823" i="13"/>
  <c r="CO831" i="13"/>
  <c r="CO839" i="13"/>
  <c r="CO847" i="13"/>
  <c r="CO863" i="13"/>
  <c r="CO871" i="13"/>
  <c r="CO879" i="13"/>
  <c r="CO887" i="13"/>
  <c r="CO895" i="13"/>
  <c r="CO903" i="13"/>
  <c r="CO911" i="13"/>
  <c r="CO919" i="13"/>
  <c r="CO927" i="13"/>
  <c r="CO935" i="13"/>
  <c r="CO943" i="13"/>
  <c r="CO951" i="13"/>
  <c r="CO959" i="13"/>
  <c r="CO967" i="13"/>
  <c r="CO975" i="13"/>
  <c r="CO983" i="13"/>
  <c r="CO991" i="13"/>
  <c r="CO999" i="13"/>
  <c r="CO1007" i="13"/>
  <c r="CO1015" i="13"/>
  <c r="CO1023" i="13"/>
  <c r="CO1031" i="13"/>
  <c r="CO1039" i="13"/>
  <c r="CO1047" i="13"/>
  <c r="CO1055" i="13"/>
  <c r="CO8" i="13"/>
  <c r="CO16" i="13"/>
  <c r="CO24" i="13"/>
  <c r="CO32" i="13"/>
  <c r="CO40" i="13"/>
  <c r="CO48" i="13"/>
  <c r="CO64" i="13"/>
  <c r="CO72" i="13"/>
  <c r="CO80" i="13"/>
  <c r="CO88" i="13"/>
  <c r="CO96" i="13"/>
  <c r="CO104" i="13"/>
  <c r="CO112" i="13"/>
  <c r="CO120" i="13"/>
  <c r="CO128" i="13"/>
  <c r="CO136" i="13"/>
  <c r="CO144" i="13"/>
  <c r="CO152" i="13"/>
  <c r="CO168" i="13"/>
  <c r="CO176" i="13"/>
  <c r="CO184" i="13"/>
  <c r="CO192" i="13"/>
  <c r="CO200" i="13"/>
  <c r="CO208" i="13"/>
  <c r="CO216" i="13"/>
  <c r="CO224" i="13"/>
  <c r="CO232" i="13"/>
  <c r="CO240" i="13"/>
  <c r="CO248" i="13"/>
  <c r="CO256" i="13"/>
  <c r="CO264" i="13"/>
  <c r="CO272" i="13"/>
  <c r="CO288" i="13"/>
  <c r="CO296" i="13"/>
  <c r="CO304" i="13"/>
  <c r="CO312" i="13"/>
  <c r="CO320" i="13"/>
  <c r="CO328" i="13"/>
  <c r="CO336" i="13"/>
  <c r="CO344" i="13"/>
  <c r="CO352" i="13"/>
  <c r="CO360" i="13"/>
  <c r="CO368" i="13"/>
  <c r="CO376" i="13"/>
  <c r="CO384" i="13"/>
  <c r="CO392" i="13"/>
  <c r="CO400" i="13"/>
  <c r="CO408" i="13"/>
  <c r="CO416" i="13"/>
  <c r="CO424" i="13"/>
  <c r="CO432" i="13"/>
  <c r="CO440" i="13"/>
  <c r="CO448" i="13"/>
  <c r="CO456" i="13"/>
  <c r="CO464" i="13"/>
  <c r="CO480" i="13"/>
  <c r="CO488" i="13"/>
  <c r="CO496" i="13"/>
  <c r="CO504" i="13"/>
  <c r="CO512" i="13"/>
  <c r="CO520" i="13"/>
  <c r="CO528" i="13"/>
  <c r="CO536" i="13"/>
  <c r="CO544" i="13"/>
  <c r="CO560" i="13"/>
  <c r="CO568" i="13"/>
  <c r="CO576" i="13"/>
  <c r="CO584" i="13"/>
  <c r="CO600" i="13"/>
  <c r="CO608" i="13"/>
  <c r="CO616" i="13"/>
  <c r="CO624" i="13"/>
  <c r="CO632" i="13"/>
  <c r="CO648" i="13"/>
  <c r="CO656" i="13"/>
  <c r="CO664" i="13"/>
  <c r="CO672" i="13"/>
  <c r="CO680" i="13"/>
  <c r="CO688" i="13"/>
  <c r="CO696" i="13"/>
  <c r="CO704" i="13"/>
  <c r="CO712" i="13"/>
  <c r="CO720" i="13"/>
  <c r="CO728" i="13"/>
  <c r="CO736" i="13"/>
  <c r="CO744" i="13"/>
  <c r="CO752" i="13"/>
  <c r="CO760" i="13"/>
  <c r="CO768" i="13"/>
  <c r="CO784" i="13"/>
  <c r="CO792" i="13"/>
  <c r="CO800" i="13"/>
  <c r="CO808" i="13"/>
  <c r="CO816" i="13"/>
  <c r="CO824" i="13"/>
  <c r="CO832" i="13"/>
  <c r="CO840" i="13"/>
  <c r="CO848" i="13"/>
  <c r="CO864" i="13"/>
  <c r="CO872" i="13"/>
  <c r="CO880" i="13"/>
  <c r="CO888" i="13"/>
  <c r="CO896" i="13"/>
  <c r="CO904" i="13"/>
  <c r="CO912" i="13"/>
  <c r="CO920" i="13"/>
  <c r="CO928" i="13"/>
  <c r="CO936" i="13"/>
  <c r="CO944" i="13"/>
  <c r="CO952" i="13"/>
  <c r="CO960" i="13"/>
  <c r="CO968" i="13"/>
  <c r="CO976" i="13"/>
  <c r="CO984" i="13"/>
  <c r="CO992" i="13"/>
  <c r="CO1000" i="13"/>
  <c r="CO1008" i="13"/>
  <c r="CO1016" i="13"/>
  <c r="CO1024" i="13"/>
  <c r="CO1032" i="13"/>
  <c r="CO1040" i="13"/>
  <c r="CO1048" i="13"/>
  <c r="CO9" i="13"/>
  <c r="CO17" i="13"/>
  <c r="CO25" i="13"/>
  <c r="CO33" i="13"/>
  <c r="CO41" i="13"/>
  <c r="CO49" i="13"/>
  <c r="CO57" i="13"/>
  <c r="CO65" i="13"/>
  <c r="CO73" i="13"/>
  <c r="CO81" i="13"/>
  <c r="CO89" i="13"/>
  <c r="CO97" i="13"/>
  <c r="CO105" i="13"/>
  <c r="CO113" i="13"/>
  <c r="CO121" i="13"/>
  <c r="CO129" i="13"/>
  <c r="CO137" i="13"/>
  <c r="CO145" i="13"/>
  <c r="CO153" i="13"/>
  <c r="CO161" i="13"/>
  <c r="CO169" i="13"/>
  <c r="CO177" i="13"/>
  <c r="CO185" i="13"/>
  <c r="CO193" i="13"/>
  <c r="CO201" i="13"/>
  <c r="CO209" i="13"/>
  <c r="CO217" i="13"/>
  <c r="CO225" i="13"/>
  <c r="CO233" i="13"/>
  <c r="CO241" i="13"/>
  <c r="CO249" i="13"/>
  <c r="CO257" i="13"/>
  <c r="CO265" i="13"/>
  <c r="CO273" i="13"/>
  <c r="CO281" i="13"/>
  <c r="CO297" i="13"/>
  <c r="CO305" i="13"/>
  <c r="CO313" i="13"/>
  <c r="CO321" i="13"/>
  <c r="CO329" i="13"/>
  <c r="CO337" i="13"/>
  <c r="CO345" i="13"/>
  <c r="CO353" i="13"/>
  <c r="CO361" i="13"/>
  <c r="CO369" i="13"/>
  <c r="CO377" i="13"/>
  <c r="CO385" i="13"/>
  <c r="CO393" i="13"/>
  <c r="CO401" i="13"/>
  <c r="CO409" i="13"/>
  <c r="CO417" i="13"/>
  <c r="CO425" i="13"/>
  <c r="CO433" i="13"/>
  <c r="CO441" i="13"/>
  <c r="CO449" i="13"/>
  <c r="CO457" i="13"/>
  <c r="CO465" i="13"/>
  <c r="CO481" i="13"/>
  <c r="CO489" i="13"/>
  <c r="CO497" i="13"/>
  <c r="CO505" i="13"/>
  <c r="CO513" i="13"/>
  <c r="CO521" i="13"/>
  <c r="CO529" i="13"/>
  <c r="CO537" i="13"/>
  <c r="CO545" i="13"/>
  <c r="CO561" i="13"/>
  <c r="CO569" i="13"/>
  <c r="CO577" i="13"/>
  <c r="CO585" i="13"/>
  <c r="CO593" i="13"/>
  <c r="CO601" i="13"/>
  <c r="CO609" i="13"/>
  <c r="CO617" i="13"/>
  <c r="CO625" i="13"/>
  <c r="CO633" i="13"/>
  <c r="CO641" i="13"/>
  <c r="CO649" i="13"/>
  <c r="CO657" i="13"/>
  <c r="CO665" i="13"/>
  <c r="CO673" i="13"/>
  <c r="CO681" i="13"/>
  <c r="CO689" i="13"/>
  <c r="CO697" i="13"/>
  <c r="CO705" i="13"/>
  <c r="CO713" i="13"/>
  <c r="CO721" i="13"/>
  <c r="CO729" i="13"/>
  <c r="CO737" i="13"/>
  <c r="CO745" i="13"/>
  <c r="CO753" i="13"/>
  <c r="CO761" i="13"/>
  <c r="CO769" i="13"/>
  <c r="CO777" i="13"/>
  <c r="CO785" i="13"/>
  <c r="CO793" i="13"/>
  <c r="CO809" i="13"/>
  <c r="CO817" i="13"/>
  <c r="CO825" i="13"/>
  <c r="CO833" i="13"/>
  <c r="CO841" i="13"/>
  <c r="CO849" i="13"/>
  <c r="CO857" i="13"/>
  <c r="CO865" i="13"/>
  <c r="CO873" i="13"/>
  <c r="CO881" i="13"/>
  <c r="CO889" i="13"/>
  <c r="CO897" i="13"/>
  <c r="CO905" i="13"/>
  <c r="CO913" i="13"/>
  <c r="CO921" i="13"/>
  <c r="CO929" i="13"/>
  <c r="CO937" i="13"/>
  <c r="CO945" i="13"/>
  <c r="CO953" i="13"/>
  <c r="CO961" i="13"/>
  <c r="CO969" i="13"/>
  <c r="CO977" i="13"/>
  <c r="CO985" i="13"/>
  <c r="CO993" i="13"/>
  <c r="CO1001" i="13"/>
  <c r="CO1009" i="13"/>
  <c r="CO1017" i="13"/>
  <c r="CO1025" i="13"/>
  <c r="CO1033" i="13"/>
  <c r="CO1041" i="13"/>
  <c r="CO1049" i="13"/>
  <c r="CO10" i="13"/>
  <c r="CO26" i="13"/>
  <c r="CO34" i="13"/>
  <c r="CO42" i="13"/>
  <c r="CO50" i="13"/>
  <c r="CO58" i="13"/>
  <c r="CO66" i="13"/>
  <c r="CO74" i="13"/>
  <c r="CO82" i="13"/>
  <c r="CO90" i="13"/>
  <c r="CO98" i="13"/>
  <c r="CO106" i="13"/>
  <c r="CO114" i="13"/>
  <c r="CO122" i="13"/>
  <c r="CO130" i="13"/>
  <c r="CO138" i="13"/>
  <c r="CO154" i="13"/>
  <c r="CO162" i="13"/>
  <c r="CO170" i="13"/>
  <c r="CO178" i="13"/>
  <c r="CO186" i="13"/>
  <c r="CO194" i="13"/>
  <c r="CO202" i="13"/>
  <c r="CO218" i="13"/>
  <c r="CO226" i="13"/>
  <c r="CO234" i="13"/>
  <c r="CO242" i="13"/>
  <c r="CO250" i="13"/>
  <c r="CO258" i="13"/>
  <c r="CO266" i="13"/>
  <c r="CO274" i="13"/>
  <c r="CO282" i="13"/>
  <c r="CO290" i="13"/>
  <c r="CO298" i="13"/>
  <c r="CO306" i="13"/>
  <c r="CO314" i="13"/>
  <c r="CO322" i="13"/>
  <c r="CO330" i="13"/>
  <c r="CO338" i="13"/>
  <c r="CO346" i="13"/>
  <c r="CO354" i="13"/>
  <c r="CO362" i="13"/>
  <c r="CO370" i="13"/>
  <c r="CO378" i="13"/>
  <c r="CO386" i="13"/>
  <c r="CO394" i="13"/>
  <c r="CO402" i="13"/>
  <c r="CO410" i="13"/>
  <c r="CO418" i="13"/>
  <c r="CO426" i="13"/>
  <c r="CO434" i="13"/>
  <c r="CO442" i="13"/>
  <c r="CO450" i="13"/>
  <c r="CO458" i="13"/>
  <c r="CO466" i="13"/>
  <c r="CO474" i="13"/>
  <c r="CO482" i="13"/>
  <c r="CO490" i="13"/>
  <c r="CO506" i="13"/>
  <c r="CO514" i="13"/>
  <c r="CO522" i="13"/>
  <c r="CO530" i="13"/>
  <c r="CO538" i="13"/>
  <c r="CO546" i="13"/>
  <c r="CO554" i="13"/>
  <c r="CO562" i="13"/>
  <c r="CO570" i="13"/>
  <c r="CO578" i="13"/>
  <c r="CO586" i="13"/>
  <c r="CO594" i="13"/>
  <c r="CO602" i="13"/>
  <c r="CO610" i="13"/>
  <c r="CO618" i="13"/>
  <c r="CO626" i="13"/>
  <c r="CO634" i="13"/>
  <c r="CO642" i="13"/>
  <c r="CO650" i="13"/>
  <c r="CO658" i="13"/>
  <c r="CO666" i="13"/>
  <c r="CO674" i="13"/>
  <c r="CO690" i="13"/>
  <c r="CO698" i="13"/>
  <c r="CO706" i="13"/>
  <c r="CO714" i="13"/>
  <c r="CO722" i="13"/>
  <c r="CO730" i="13"/>
  <c r="CO738" i="13"/>
  <c r="CO746" i="13"/>
  <c r="CO754" i="13"/>
  <c r="CO762" i="13"/>
  <c r="CO770" i="13"/>
  <c r="CO778" i="13"/>
  <c r="CO786" i="13"/>
  <c r="CO794" i="13"/>
  <c r="CO802" i="13"/>
  <c r="CO810" i="13"/>
  <c r="CO818" i="13"/>
  <c r="CO826" i="13"/>
  <c r="CO834" i="13"/>
  <c r="CO842" i="13"/>
  <c r="CO850" i="13"/>
  <c r="CO858" i="13"/>
  <c r="CO866" i="13"/>
  <c r="CO874" i="13"/>
  <c r="CO882" i="13"/>
  <c r="CO890" i="13"/>
  <c r="CO898" i="13"/>
  <c r="CO906" i="13"/>
  <c r="CO914" i="13"/>
  <c r="CO922" i="13"/>
  <c r="CO930" i="13"/>
  <c r="CO938" i="13"/>
  <c r="CO954" i="13"/>
  <c r="CO962" i="13"/>
  <c r="CO970" i="13"/>
  <c r="CO978" i="13"/>
  <c r="CO986" i="13"/>
  <c r="CO994" i="13"/>
  <c r="CO1002" i="13"/>
  <c r="CO1010" i="13"/>
  <c r="CO1018" i="13"/>
  <c r="CO1026" i="13"/>
  <c r="CO1034" i="13"/>
  <c r="CO1042" i="13"/>
  <c r="CO1050" i="13"/>
  <c r="CO11" i="13"/>
  <c r="CO27" i="13"/>
  <c r="CO35" i="13"/>
  <c r="CO43" i="13"/>
  <c r="CO51" i="13"/>
  <c r="CO59" i="13"/>
  <c r="CO67" i="13"/>
  <c r="CO75" i="13"/>
  <c r="CO83" i="13"/>
  <c r="CO91" i="13"/>
  <c r="CO99" i="13"/>
  <c r="CO107" i="13"/>
  <c r="CO115" i="13"/>
  <c r="CO123" i="13"/>
  <c r="CO131" i="13"/>
  <c r="CO139" i="13"/>
  <c r="CO147" i="13"/>
  <c r="CO155" i="13"/>
  <c r="CO163" i="13"/>
  <c r="CO171" i="13"/>
  <c r="CO179" i="13"/>
  <c r="CO187" i="13"/>
  <c r="CO195" i="13"/>
  <c r="CO203" i="13"/>
  <c r="CO211" i="13"/>
  <c r="CO219" i="13"/>
  <c r="CO227" i="13"/>
  <c r="CO235" i="13"/>
  <c r="CO243" i="13"/>
  <c r="CO251" i="13"/>
  <c r="CO259" i="13"/>
  <c r="CO267" i="13"/>
  <c r="CO275" i="13"/>
  <c r="CO283" i="13"/>
  <c r="CO291" i="13"/>
  <c r="CO299" i="13"/>
  <c r="CO307" i="13"/>
  <c r="CO315" i="13"/>
  <c r="CO323" i="13"/>
  <c r="CO331" i="13"/>
  <c r="CO339" i="13"/>
  <c r="CO347" i="13"/>
  <c r="CO355" i="13"/>
  <c r="CO363" i="13"/>
  <c r="CO371" i="13"/>
  <c r="CO379" i="13"/>
  <c r="CO387" i="13"/>
  <c r="CO395" i="13"/>
  <c r="CO403" i="13"/>
  <c r="CO411" i="13"/>
  <c r="CO419" i="13"/>
  <c r="CO427" i="13"/>
  <c r="CO435" i="13"/>
  <c r="CO443" i="13"/>
  <c r="CO451" i="13"/>
  <c r="CO459" i="13"/>
  <c r="CO467" i="13"/>
  <c r="CO475" i="13"/>
  <c r="CO483" i="13"/>
  <c r="CO491" i="13"/>
  <c r="CO499" i="13"/>
  <c r="CO507" i="13"/>
  <c r="CO515" i="13"/>
  <c r="CO523" i="13"/>
  <c r="CO531" i="13"/>
  <c r="CO539" i="13"/>
  <c r="CO547" i="13"/>
  <c r="CO555" i="13"/>
  <c r="CO563" i="13"/>
  <c r="CO571" i="13"/>
  <c r="CO579" i="13"/>
  <c r="CO587" i="13"/>
  <c r="CO595" i="13"/>
  <c r="CO603" i="13"/>
  <c r="CO611" i="13"/>
  <c r="CO619" i="13"/>
  <c r="CO627" i="13"/>
  <c r="CO635" i="13"/>
  <c r="CO643" i="13"/>
  <c r="CO651" i="13"/>
  <c r="CO659" i="13"/>
  <c r="CO667" i="13"/>
  <c r="CO675" i="13"/>
  <c r="CO683" i="13"/>
  <c r="CO691" i="13"/>
  <c r="CO707" i="13"/>
  <c r="CO715" i="13"/>
  <c r="CO723" i="13"/>
  <c r="CO731" i="13"/>
  <c r="CO739" i="13"/>
  <c r="CO747" i="13"/>
  <c r="CO755" i="13"/>
  <c r="CO763" i="13"/>
  <c r="CO771" i="13"/>
  <c r="CO779" i="13"/>
  <c r="CO787" i="13"/>
  <c r="CO795" i="13"/>
  <c r="CO803" i="13"/>
  <c r="CO811" i="13"/>
  <c r="CO819" i="13"/>
  <c r="CO827" i="13"/>
  <c r="CO835" i="13"/>
  <c r="CO843" i="13"/>
  <c r="CO851" i="13"/>
  <c r="CO859" i="13"/>
  <c r="CO867" i="13"/>
  <c r="CO875" i="13"/>
  <c r="CO883" i="13"/>
  <c r="CO891" i="13"/>
  <c r="CO899" i="13"/>
  <c r="CO907" i="13"/>
  <c r="CO915" i="13"/>
  <c r="CO923" i="13"/>
  <c r="CO931" i="13"/>
  <c r="CO939" i="13"/>
  <c r="CO955" i="13"/>
  <c r="CO963" i="13"/>
  <c r="CO971" i="13"/>
  <c r="CO979" i="13"/>
  <c r="CO987" i="13"/>
  <c r="CO995" i="13"/>
  <c r="CO1003" i="13"/>
  <c r="CO1011" i="13"/>
  <c r="CO1019" i="13"/>
  <c r="CO1027" i="13"/>
  <c r="CO1035" i="13"/>
  <c r="CO1051" i="13"/>
  <c r="CO12" i="13"/>
  <c r="CO20" i="13"/>
  <c r="CO28" i="13"/>
  <c r="CO36" i="13"/>
  <c r="CO44" i="13"/>
  <c r="CO52" i="13"/>
  <c r="CO60" i="13"/>
  <c r="CO68" i="13"/>
  <c r="CO76" i="13"/>
  <c r="CO84" i="13"/>
  <c r="CO92" i="13"/>
  <c r="CO100" i="13"/>
  <c r="CO108" i="13"/>
  <c r="CO116" i="13"/>
  <c r="CO124" i="13"/>
  <c r="CO132" i="13"/>
  <c r="CO140" i="13"/>
  <c r="CO148" i="13"/>
  <c r="CO156" i="13"/>
  <c r="CO164" i="13"/>
  <c r="CO172" i="13"/>
  <c r="CO180" i="13"/>
  <c r="CO188" i="13"/>
  <c r="CO196" i="13"/>
  <c r="CO204" i="13"/>
  <c r="CO212" i="13"/>
  <c r="CO220" i="13"/>
  <c r="CO228" i="13"/>
  <c r="CO236" i="13"/>
  <c r="CO244" i="13"/>
  <c r="CO252" i="13"/>
  <c r="CO260" i="13"/>
  <c r="CO268" i="13"/>
  <c r="CO276" i="13"/>
  <c r="CO284" i="13"/>
  <c r="CO292" i="13"/>
  <c r="CO300" i="13"/>
  <c r="CO308" i="13"/>
  <c r="CO316" i="13"/>
  <c r="CO324" i="13"/>
  <c r="CO332" i="13"/>
  <c r="CO340" i="13"/>
  <c r="CO356" i="13"/>
  <c r="CO364" i="13"/>
  <c r="CO372" i="13"/>
  <c r="CO380" i="13"/>
  <c r="CO388" i="13"/>
  <c r="CO404" i="13"/>
  <c r="CO412" i="13"/>
  <c r="CO428" i="13"/>
  <c r="CO436" i="13"/>
  <c r="CO444" i="13"/>
  <c r="CO452" i="13"/>
  <c r="CO460" i="13"/>
  <c r="CO468" i="13"/>
  <c r="CO476" i="13"/>
  <c r="CO492" i="13"/>
  <c r="CO500" i="13"/>
  <c r="CO508" i="13"/>
  <c r="CO516" i="13"/>
  <c r="CO524" i="13"/>
  <c r="CO532" i="13"/>
  <c r="CO540" i="13"/>
  <c r="CO548" i="13"/>
  <c r="CO556" i="13"/>
  <c r="CO564" i="13"/>
  <c r="CO572" i="13"/>
  <c r="CO580" i="13"/>
  <c r="CO588" i="13"/>
  <c r="CO596" i="13"/>
  <c r="CO604" i="13"/>
  <c r="CO612" i="13"/>
  <c r="CO620" i="13"/>
  <c r="CO628" i="13"/>
  <c r="CO636" i="13"/>
  <c r="CO644" i="13"/>
  <c r="CO652" i="13"/>
  <c r="CO660" i="13"/>
  <c r="CO668" i="13"/>
  <c r="CO676" i="13"/>
  <c r="CO684" i="13"/>
  <c r="CO692" i="13"/>
  <c r="CO700" i="13"/>
  <c r="CO708" i="13"/>
  <c r="CO716" i="13"/>
  <c r="CO732" i="13"/>
  <c r="CO740" i="13"/>
  <c r="CO748" i="13"/>
  <c r="CO756" i="13"/>
  <c r="CO764" i="13"/>
  <c r="CO772" i="13"/>
  <c r="CO780" i="13"/>
  <c r="CO788" i="13"/>
  <c r="CO796" i="13"/>
  <c r="CO804" i="13"/>
  <c r="CO812" i="13"/>
  <c r="CO820" i="13"/>
  <c r="CO828" i="13"/>
  <c r="CO836" i="13"/>
  <c r="CO844" i="13"/>
  <c r="CO852" i="13"/>
  <c r="CO860" i="13"/>
  <c r="CO868" i="13"/>
  <c r="CO876" i="13"/>
  <c r="CO884" i="13"/>
  <c r="CO892" i="13"/>
  <c r="CO900" i="13"/>
  <c r="CO908" i="13"/>
  <c r="CO916" i="13"/>
  <c r="CO924" i="13"/>
  <c r="CO932" i="13"/>
  <c r="CO940" i="13"/>
  <c r="CO948" i="13"/>
  <c r="CO956" i="13"/>
  <c r="CO964" i="13"/>
  <c r="CO972" i="13"/>
  <c r="CO980" i="13"/>
  <c r="CO988" i="13"/>
  <c r="CO996" i="13"/>
  <c r="CO1004" i="13"/>
  <c r="CO1012" i="13"/>
  <c r="CO1020" i="13"/>
  <c r="CO1028" i="13"/>
  <c r="CO1036" i="13"/>
  <c r="CO1044" i="13"/>
  <c r="CO1052" i="13"/>
  <c r="CO5" i="13"/>
  <c r="CO13" i="13"/>
  <c r="CO21" i="13"/>
  <c r="CO29" i="13"/>
  <c r="CO37" i="13"/>
  <c r="CO45" i="13"/>
  <c r="CO53" i="13"/>
  <c r="CO61" i="13"/>
  <c r="CO69" i="13"/>
  <c r="CO77" i="13"/>
  <c r="CO85" i="13"/>
  <c r="CO93" i="13"/>
  <c r="CO101" i="13"/>
  <c r="CO109" i="13"/>
  <c r="CO117" i="13"/>
  <c r="CO125" i="13"/>
  <c r="CO133" i="13"/>
  <c r="CO149" i="13"/>
  <c r="CO157" i="13"/>
  <c r="CO165" i="13"/>
  <c r="CO173" i="13"/>
  <c r="CO189" i="13"/>
  <c r="CO197" i="13"/>
  <c r="CO205" i="13"/>
  <c r="CO213" i="13"/>
  <c r="CO221" i="13"/>
  <c r="CO229" i="13"/>
  <c r="CO237" i="13"/>
  <c r="CO245" i="13"/>
  <c r="CO253" i="13"/>
  <c r="CO261" i="13"/>
  <c r="CO269" i="13"/>
  <c r="CO277" i="13"/>
  <c r="CO285" i="13"/>
  <c r="CO293" i="13"/>
  <c r="CO301" i="13"/>
  <c r="CO309" i="13"/>
  <c r="CO317" i="13"/>
  <c r="CO325" i="13"/>
  <c r="CO333" i="13"/>
  <c r="CO341" i="13"/>
  <c r="CO349" i="13"/>
  <c r="CO357" i="13"/>
  <c r="CO365" i="13"/>
  <c r="CO373" i="13"/>
  <c r="CO381" i="13"/>
  <c r="CO389" i="13"/>
  <c r="CO397" i="13"/>
  <c r="CO405" i="13"/>
  <c r="CO413" i="13"/>
  <c r="CO421" i="13"/>
  <c r="CO429" i="13"/>
  <c r="CO437" i="13"/>
  <c r="CO445" i="13"/>
  <c r="CO453" i="13"/>
  <c r="CO461" i="13"/>
  <c r="CO469" i="13"/>
  <c r="CO477" i="13"/>
  <c r="CO485" i="13"/>
  <c r="CO493" i="13"/>
  <c r="CO501" i="13"/>
  <c r="CO509" i="13"/>
  <c r="CO517" i="13"/>
  <c r="CO525" i="13"/>
  <c r="CO533" i="13"/>
  <c r="CO541" i="13"/>
  <c r="CO549" i="13"/>
  <c r="CO557" i="13"/>
  <c r="CO565" i="13"/>
  <c r="CO573" i="13"/>
  <c r="CO581" i="13"/>
  <c r="CO589" i="13"/>
  <c r="CO597" i="13"/>
  <c r="CO605" i="13"/>
  <c r="CO613" i="13"/>
  <c r="CO621" i="13"/>
  <c r="CO629" i="13"/>
  <c r="CO637" i="13"/>
  <c r="CO645" i="13"/>
  <c r="CO653" i="13"/>
  <c r="CO661" i="13"/>
  <c r="CO669" i="13"/>
  <c r="CO677" i="13"/>
  <c r="CO685" i="13"/>
  <c r="CO693" i="13"/>
  <c r="CO701" i="13"/>
  <c r="CO709" i="13"/>
  <c r="CO717" i="13"/>
  <c r="CO725" i="13"/>
  <c r="CO733" i="13"/>
  <c r="CO741" i="13"/>
  <c r="CO749" i="13"/>
  <c r="CO765" i="13"/>
  <c r="CO773" i="13"/>
  <c r="CO781" i="13"/>
  <c r="CO789" i="13"/>
  <c r="CO797" i="13"/>
  <c r="CO805" i="13"/>
  <c r="CO813" i="13"/>
  <c r="CO821" i="13"/>
  <c r="CO829" i="13"/>
  <c r="CO837" i="13"/>
  <c r="CO845" i="13"/>
  <c r="CO853" i="13"/>
  <c r="CO861" i="13"/>
  <c r="CO869" i="13"/>
  <c r="CO877" i="13"/>
  <c r="CO885" i="13"/>
  <c r="CO893" i="13"/>
  <c r="CO917" i="13"/>
  <c r="CO925" i="13"/>
  <c r="CO933" i="13"/>
  <c r="CO941" i="13"/>
  <c r="CO949" i="13"/>
  <c r="CO957" i="13"/>
  <c r="CO965" i="13"/>
  <c r="CO973" i="13"/>
  <c r="CO981" i="13"/>
  <c r="CO1005" i="13"/>
  <c r="CO1013" i="13"/>
  <c r="CO1029" i="13"/>
  <c r="CO1037" i="13"/>
  <c r="CO1045" i="13"/>
  <c r="CO1053" i="13"/>
  <c r="CO3" i="13"/>
  <c r="CJ4" i="13"/>
  <c r="CO4" i="13"/>
  <c r="CK4" i="13"/>
  <c r="J265" i="9"/>
  <c r="J245" i="9"/>
  <c r="J100" i="9"/>
  <c r="J43" i="9"/>
  <c r="J23" i="9"/>
  <c r="CJ5" i="13" l="1"/>
  <c r="CJ1398" i="13"/>
  <c r="CM1397" i="13"/>
  <c r="CN1397" i="13" s="1"/>
  <c r="CJ1691" i="13"/>
  <c r="CM1690" i="13"/>
  <c r="CN1690" i="13" s="1"/>
  <c r="F16" i="8"/>
  <c r="C16" i="8"/>
  <c r="CJ1609" i="13"/>
  <c r="CM1609" i="13" s="1"/>
  <c r="CM1608" i="13"/>
  <c r="CN1608" i="13" s="1"/>
  <c r="C53" i="8"/>
  <c r="E53" i="8" s="1"/>
  <c r="G53" i="8"/>
  <c r="C54" i="8"/>
  <c r="E54" i="8" s="1"/>
  <c r="C35" i="8"/>
  <c r="E35" i="8" s="1"/>
  <c r="C36" i="8"/>
  <c r="E36" i="8" s="1"/>
  <c r="C17" i="8"/>
  <c r="CL5" i="13"/>
  <c r="CL6" i="13" s="1"/>
  <c r="CL7" i="13" s="1"/>
  <c r="CL8" i="13" s="1"/>
  <c r="CL9" i="13" s="1"/>
  <c r="CL10" i="13" s="1"/>
  <c r="CL11" i="13" s="1"/>
  <c r="CL12" i="13" s="1"/>
  <c r="CL13" i="13" s="1"/>
  <c r="CL14" i="13" s="1"/>
  <c r="CL15" i="13" s="1"/>
  <c r="CL16" i="13" s="1"/>
  <c r="CL17" i="13" s="1"/>
  <c r="CL18" i="13" s="1"/>
  <c r="CL19" i="13" s="1"/>
  <c r="CL20" i="13" s="1"/>
  <c r="CL21" i="13" s="1"/>
  <c r="CL22" i="13" s="1"/>
  <c r="CL23" i="13" s="1"/>
  <c r="CL24" i="13" s="1"/>
  <c r="CL25" i="13" s="1"/>
  <c r="CL26" i="13" s="1"/>
  <c r="CL27" i="13" s="1"/>
  <c r="CL28" i="13" s="1"/>
  <c r="CL29" i="13" s="1"/>
  <c r="CL30" i="13" s="1"/>
  <c r="CL31" i="13" s="1"/>
  <c r="CL32" i="13" s="1"/>
  <c r="CL33" i="13" s="1"/>
  <c r="CL34" i="13" s="1"/>
  <c r="CL35" i="13" s="1"/>
  <c r="CL36" i="13" s="1"/>
  <c r="CL37" i="13" s="1"/>
  <c r="CL38" i="13" s="1"/>
  <c r="CL39" i="13" s="1"/>
  <c r="CL40" i="13" s="1"/>
  <c r="CL41" i="13" s="1"/>
  <c r="CL42" i="13" s="1"/>
  <c r="CL43" i="13" s="1"/>
  <c r="CL44" i="13" s="1"/>
  <c r="CL45" i="13" s="1"/>
  <c r="CL46" i="13" s="1"/>
  <c r="CL47" i="13" s="1"/>
  <c r="CL48" i="13" s="1"/>
  <c r="CL49" i="13" s="1"/>
  <c r="CL50" i="13" s="1"/>
  <c r="CL51" i="13" s="1"/>
  <c r="CL52" i="13" s="1"/>
  <c r="CL53" i="13" s="1"/>
  <c r="CL54" i="13" s="1"/>
  <c r="CL55" i="13" s="1"/>
  <c r="CL56" i="13" s="1"/>
  <c r="CL57" i="13" s="1"/>
  <c r="CL58" i="13" s="1"/>
  <c r="CL59" i="13" s="1"/>
  <c r="CL60" i="13" s="1"/>
  <c r="CL61" i="13" s="1"/>
  <c r="CL62" i="13" s="1"/>
  <c r="CL63" i="13" s="1"/>
  <c r="CL64" i="13" s="1"/>
  <c r="CL65" i="13" s="1"/>
  <c r="CL66" i="13" s="1"/>
  <c r="CL67" i="13" s="1"/>
  <c r="CL68" i="13" s="1"/>
  <c r="CL69" i="13" s="1"/>
  <c r="CL70" i="13" s="1"/>
  <c r="CL71" i="13" s="1"/>
  <c r="CL72" i="13" s="1"/>
  <c r="CL73" i="13" s="1"/>
  <c r="CL74" i="13" s="1"/>
  <c r="CL75" i="13" s="1"/>
  <c r="CL76" i="13" s="1"/>
  <c r="CL77" i="13" s="1"/>
  <c r="CL78" i="13" s="1"/>
  <c r="CL79" i="13" s="1"/>
  <c r="CL80" i="13" s="1"/>
  <c r="CL81" i="13" s="1"/>
  <c r="CL82" i="13" s="1"/>
  <c r="CL83" i="13" s="1"/>
  <c r="CL84" i="13" s="1"/>
  <c r="CL85" i="13" s="1"/>
  <c r="CL86" i="13" s="1"/>
  <c r="CL87" i="13" s="1"/>
  <c r="CL88" i="13" s="1"/>
  <c r="CL89" i="13" s="1"/>
  <c r="CL90" i="13" s="1"/>
  <c r="CL91" i="13" s="1"/>
  <c r="CL92" i="13" s="1"/>
  <c r="CL93" i="13" s="1"/>
  <c r="CL94" i="13" s="1"/>
  <c r="CL95" i="13" s="1"/>
  <c r="CL96" i="13" s="1"/>
  <c r="CL97" i="13" s="1"/>
  <c r="CL98" i="13" s="1"/>
  <c r="CL99" i="13" s="1"/>
  <c r="CL100" i="13" s="1"/>
  <c r="CL101" i="13" s="1"/>
  <c r="CL102" i="13" s="1"/>
  <c r="CL103" i="13" s="1"/>
  <c r="CL104" i="13" s="1"/>
  <c r="CL105" i="13" s="1"/>
  <c r="CL106" i="13" s="1"/>
  <c r="CL107" i="13" s="1"/>
  <c r="CL108" i="13" s="1"/>
  <c r="CL109" i="13" s="1"/>
  <c r="CL110" i="13" s="1"/>
  <c r="CL111" i="13" s="1"/>
  <c r="CL112" i="13" s="1"/>
  <c r="CL113" i="13" s="1"/>
  <c r="CL114" i="13" s="1"/>
  <c r="CL115" i="13" s="1"/>
  <c r="CL116" i="13" s="1"/>
  <c r="CL117" i="13" s="1"/>
  <c r="CL118" i="13" s="1"/>
  <c r="CL119" i="13" s="1"/>
  <c r="CL120" i="13" s="1"/>
  <c r="CL121" i="13" s="1"/>
  <c r="CL122" i="13" s="1"/>
  <c r="CL123" i="13" s="1"/>
  <c r="CL124" i="13" s="1"/>
  <c r="CL125" i="13" s="1"/>
  <c r="CL126" i="13" s="1"/>
  <c r="CL127" i="13" s="1"/>
  <c r="CL128" i="13" s="1"/>
  <c r="CL129" i="13" s="1"/>
  <c r="CL130" i="13" s="1"/>
  <c r="CL131" i="13" s="1"/>
  <c r="CL132" i="13" s="1"/>
  <c r="CL133" i="13" s="1"/>
  <c r="CL134" i="13" s="1"/>
  <c r="CL135" i="13" s="1"/>
  <c r="CL136" i="13" s="1"/>
  <c r="CL137" i="13" s="1"/>
  <c r="CL138" i="13" s="1"/>
  <c r="CL139" i="13" s="1"/>
  <c r="CL140" i="13" s="1"/>
  <c r="CL141" i="13" s="1"/>
  <c r="CL142" i="13" s="1"/>
  <c r="CL143" i="13" s="1"/>
  <c r="CL144" i="13" s="1"/>
  <c r="CL145" i="13" s="1"/>
  <c r="CL146" i="13" s="1"/>
  <c r="CL147" i="13" s="1"/>
  <c r="CL148" i="13" s="1"/>
  <c r="CL149" i="13" s="1"/>
  <c r="CL150" i="13" s="1"/>
  <c r="CL151" i="13" s="1"/>
  <c r="CL152" i="13" s="1"/>
  <c r="CL153" i="13" s="1"/>
  <c r="CL154" i="13" s="1"/>
  <c r="CL155" i="13" s="1"/>
  <c r="CL156" i="13" s="1"/>
  <c r="CL157" i="13" s="1"/>
  <c r="CL158" i="13" s="1"/>
  <c r="CL159" i="13" s="1"/>
  <c r="CL160" i="13" s="1"/>
  <c r="CL161" i="13" s="1"/>
  <c r="CL162" i="13" s="1"/>
  <c r="CL163" i="13" s="1"/>
  <c r="CL164" i="13" s="1"/>
  <c r="CL165" i="13" s="1"/>
  <c r="CL166" i="13" s="1"/>
  <c r="CL167" i="13" s="1"/>
  <c r="CL168" i="13" s="1"/>
  <c r="CL169" i="13" s="1"/>
  <c r="CL170" i="13" s="1"/>
  <c r="CL171" i="13" s="1"/>
  <c r="CL172" i="13" s="1"/>
  <c r="CL173" i="13" s="1"/>
  <c r="CL174" i="13" s="1"/>
  <c r="CL175" i="13" s="1"/>
  <c r="CL176" i="13" s="1"/>
  <c r="CL177" i="13" s="1"/>
  <c r="CL178" i="13" s="1"/>
  <c r="CL179" i="13" s="1"/>
  <c r="CL180" i="13" s="1"/>
  <c r="CL181" i="13" s="1"/>
  <c r="CL182" i="13" s="1"/>
  <c r="CL183" i="13" s="1"/>
  <c r="CL184" i="13" s="1"/>
  <c r="CL185" i="13" s="1"/>
  <c r="CL186" i="13" s="1"/>
  <c r="CL187" i="13" s="1"/>
  <c r="CL188" i="13" s="1"/>
  <c r="CL189" i="13" s="1"/>
  <c r="CL190" i="13" s="1"/>
  <c r="CL191" i="13" s="1"/>
  <c r="CL192" i="13" s="1"/>
  <c r="CL193" i="13" s="1"/>
  <c r="CL194" i="13" s="1"/>
  <c r="CL195" i="13" s="1"/>
  <c r="CL196" i="13" s="1"/>
  <c r="CL197" i="13" s="1"/>
  <c r="CL198" i="13" s="1"/>
  <c r="CL199" i="13" s="1"/>
  <c r="CL200" i="13" s="1"/>
  <c r="CL201" i="13" s="1"/>
  <c r="CL202" i="13" s="1"/>
  <c r="CL203" i="13" s="1"/>
  <c r="CL204" i="13" s="1"/>
  <c r="CL205" i="13" s="1"/>
  <c r="CL206" i="13" s="1"/>
  <c r="CL207" i="13" s="1"/>
  <c r="CL208" i="13" s="1"/>
  <c r="CL209" i="13" s="1"/>
  <c r="CL210" i="13" s="1"/>
  <c r="CJ6" i="13"/>
  <c r="CM4" i="13"/>
  <c r="CN4" i="13" s="1"/>
  <c r="CK5" i="13"/>
  <c r="CK6" i="13" s="1"/>
  <c r="CK7" i="13" s="1"/>
  <c r="CK8" i="13" s="1"/>
  <c r="CK9" i="13" s="1"/>
  <c r="CK10" i="13" s="1"/>
  <c r="CK11" i="13" s="1"/>
  <c r="CK12" i="13" s="1"/>
  <c r="CK13" i="13" s="1"/>
  <c r="CK14" i="13" s="1"/>
  <c r="CK15" i="13" s="1"/>
  <c r="CK16" i="13" s="1"/>
  <c r="CK17" i="13" s="1"/>
  <c r="CK18" i="13" s="1"/>
  <c r="CK19" i="13" s="1"/>
  <c r="CK20" i="13" s="1"/>
  <c r="CK21" i="13" s="1"/>
  <c r="CK22" i="13" s="1"/>
  <c r="CK23" i="13" s="1"/>
  <c r="CK24" i="13" s="1"/>
  <c r="CK25" i="13" s="1"/>
  <c r="CK26" i="13" s="1"/>
  <c r="CK27" i="13" s="1"/>
  <c r="CK28" i="13" s="1"/>
  <c r="CK29" i="13" s="1"/>
  <c r="CK30" i="13" s="1"/>
  <c r="CK31" i="13" s="1"/>
  <c r="CK32" i="13" s="1"/>
  <c r="CK33" i="13" s="1"/>
  <c r="CK34" i="13" s="1"/>
  <c r="CK35" i="13" s="1"/>
  <c r="CK36" i="13" s="1"/>
  <c r="CK37" i="13" s="1"/>
  <c r="CK38" i="13" s="1"/>
  <c r="CK39" i="13" s="1"/>
  <c r="CK40" i="13" s="1"/>
  <c r="CK41" i="13" s="1"/>
  <c r="CK42" i="13" s="1"/>
  <c r="CK43" i="13" s="1"/>
  <c r="CK44" i="13" s="1"/>
  <c r="CK45" i="13" s="1"/>
  <c r="CK46" i="13" s="1"/>
  <c r="CK47" i="13" s="1"/>
  <c r="CK48" i="13" s="1"/>
  <c r="CK49" i="13" s="1"/>
  <c r="CK50" i="13" s="1"/>
  <c r="CK51" i="13" s="1"/>
  <c r="CK52" i="13" s="1"/>
  <c r="CK53" i="13" s="1"/>
  <c r="CK54" i="13" s="1"/>
  <c r="CK55" i="13" s="1"/>
  <c r="CK56" i="13" s="1"/>
  <c r="CK57" i="13" s="1"/>
  <c r="CK58" i="13" s="1"/>
  <c r="CK59" i="13" s="1"/>
  <c r="CK60" i="13" s="1"/>
  <c r="CK61" i="13" s="1"/>
  <c r="CK62" i="13" s="1"/>
  <c r="CK63" i="13" s="1"/>
  <c r="CK64" i="13" s="1"/>
  <c r="CK65" i="13" s="1"/>
  <c r="CK66" i="13" s="1"/>
  <c r="CK67" i="13" s="1"/>
  <c r="CK68" i="13" s="1"/>
  <c r="CK69" i="13" s="1"/>
  <c r="CK70" i="13" s="1"/>
  <c r="CK71" i="13" s="1"/>
  <c r="CK72" i="13" s="1"/>
  <c r="CK73" i="13" s="1"/>
  <c r="CK74" i="13" s="1"/>
  <c r="CK75" i="13" s="1"/>
  <c r="CK76" i="13" s="1"/>
  <c r="CK77" i="13" s="1"/>
  <c r="CK78" i="13" s="1"/>
  <c r="CK79" i="13" s="1"/>
  <c r="CK80" i="13" s="1"/>
  <c r="CK81" i="13" s="1"/>
  <c r="CK82" i="13" s="1"/>
  <c r="CK83" i="13" s="1"/>
  <c r="CK84" i="13" s="1"/>
  <c r="CK85" i="13" s="1"/>
  <c r="CK86" i="13" s="1"/>
  <c r="CK87" i="13" s="1"/>
  <c r="CK88" i="13" s="1"/>
  <c r="CK89" i="13" s="1"/>
  <c r="CK90" i="13" s="1"/>
  <c r="CK91" i="13" s="1"/>
  <c r="CK92" i="13" s="1"/>
  <c r="CK93" i="13" s="1"/>
  <c r="CK94" i="13" s="1"/>
  <c r="CK95" i="13" s="1"/>
  <c r="CK96" i="13" s="1"/>
  <c r="CK97" i="13" s="1"/>
  <c r="CK98" i="13" s="1"/>
  <c r="CK99" i="13" s="1"/>
  <c r="CK100" i="13" s="1"/>
  <c r="CK101" i="13" s="1"/>
  <c r="CK102" i="13" s="1"/>
  <c r="CK103" i="13" s="1"/>
  <c r="CK104" i="13" s="1"/>
  <c r="CK105" i="13" s="1"/>
  <c r="CK106" i="13" s="1"/>
  <c r="CK107" i="13" s="1"/>
  <c r="CK108" i="13" s="1"/>
  <c r="CK109" i="13" s="1"/>
  <c r="CK110" i="13" s="1"/>
  <c r="CK111" i="13" s="1"/>
  <c r="CK112" i="13" s="1"/>
  <c r="CK113" i="13" s="1"/>
  <c r="CK114" i="13" s="1"/>
  <c r="CK115" i="13" s="1"/>
  <c r="CK116" i="13" s="1"/>
  <c r="CK117" i="13" s="1"/>
  <c r="CK118" i="13" s="1"/>
  <c r="CK119" i="13" s="1"/>
  <c r="CK120" i="13" s="1"/>
  <c r="CK121" i="13" s="1"/>
  <c r="CK122" i="13" s="1"/>
  <c r="CK123" i="13" s="1"/>
  <c r="CK124" i="13" s="1"/>
  <c r="CK125" i="13" s="1"/>
  <c r="CK126" i="13" s="1"/>
  <c r="CK127" i="13" s="1"/>
  <c r="CK128" i="13" s="1"/>
  <c r="CK129" i="13" s="1"/>
  <c r="CK130" i="13" s="1"/>
  <c r="CK131" i="13" s="1"/>
  <c r="CK132" i="13" s="1"/>
  <c r="CK133" i="13" s="1"/>
  <c r="CK134" i="13" s="1"/>
  <c r="CK135" i="13" s="1"/>
  <c r="CK136" i="13" s="1"/>
  <c r="CK137" i="13" s="1"/>
  <c r="CK138" i="13" s="1"/>
  <c r="CK139" i="13" s="1"/>
  <c r="CK140" i="13" s="1"/>
  <c r="CK141" i="13" s="1"/>
  <c r="CK142" i="13" s="1"/>
  <c r="CK143" i="13" s="1"/>
  <c r="CK144" i="13" s="1"/>
  <c r="CK145" i="13" s="1"/>
  <c r="CK146" i="13" s="1"/>
  <c r="CK147" i="13" s="1"/>
  <c r="CK148" i="13" s="1"/>
  <c r="CK149" i="13" s="1"/>
  <c r="CK150" i="13" s="1"/>
  <c r="CK151" i="13" s="1"/>
  <c r="CK152" i="13" s="1"/>
  <c r="CK153" i="13" s="1"/>
  <c r="CK154" i="13" s="1"/>
  <c r="CK155" i="13" s="1"/>
  <c r="CK156" i="13" s="1"/>
  <c r="CK157" i="13" s="1"/>
  <c r="CK158" i="13" s="1"/>
  <c r="CK159" i="13" s="1"/>
  <c r="CK160" i="13" s="1"/>
  <c r="CK161" i="13" s="1"/>
  <c r="CK162" i="13" s="1"/>
  <c r="CK163" i="13" s="1"/>
  <c r="CK164" i="13" s="1"/>
  <c r="CK165" i="13" s="1"/>
  <c r="CK166" i="13" s="1"/>
  <c r="CK167" i="13" s="1"/>
  <c r="CK168" i="13" s="1"/>
  <c r="CK169" i="13" s="1"/>
  <c r="CK170" i="13" s="1"/>
  <c r="CK171" i="13" s="1"/>
  <c r="CK172" i="13" s="1"/>
  <c r="CK173" i="13" s="1"/>
  <c r="CK174" i="13" s="1"/>
  <c r="CK175" i="13" s="1"/>
  <c r="CK176" i="13" s="1"/>
  <c r="CK177" i="13" s="1"/>
  <c r="CK178" i="13" s="1"/>
  <c r="CK179" i="13" s="1"/>
  <c r="CK180" i="13" s="1"/>
  <c r="CK181" i="13" s="1"/>
  <c r="CK182" i="13" s="1"/>
  <c r="CK183" i="13" s="1"/>
  <c r="CK184" i="13" s="1"/>
  <c r="CK185" i="13" s="1"/>
  <c r="CK186" i="13" s="1"/>
  <c r="CK187" i="13" s="1"/>
  <c r="CK188" i="13" s="1"/>
  <c r="CK189" i="13" s="1"/>
  <c r="CK190" i="13" s="1"/>
  <c r="CK191" i="13" s="1"/>
  <c r="CK192" i="13" s="1"/>
  <c r="CK193" i="13" s="1"/>
  <c r="CK194" i="13" s="1"/>
  <c r="CK195" i="13" s="1"/>
  <c r="CK196" i="13" s="1"/>
  <c r="CK197" i="13" s="1"/>
  <c r="CK198" i="13" s="1"/>
  <c r="CK199" i="13" s="1"/>
  <c r="CK200" i="13" s="1"/>
  <c r="CK201" i="13" s="1"/>
  <c r="CK202" i="13" s="1"/>
  <c r="CK203" i="13" s="1"/>
  <c r="CK204" i="13" s="1"/>
  <c r="CK205" i="13" s="1"/>
  <c r="CK206" i="13" s="1"/>
  <c r="CK207" i="13" s="1"/>
  <c r="CK208" i="13" s="1"/>
  <c r="CK209" i="13" s="1"/>
  <c r="CK210" i="13" s="1"/>
  <c r="CK211" i="13" s="1"/>
  <c r="CK212" i="13" s="1"/>
  <c r="CK213" i="13" s="1"/>
  <c r="CK214" i="13" s="1"/>
  <c r="CK215" i="13" s="1"/>
  <c r="CK216" i="13" s="1"/>
  <c r="CK217" i="13" s="1"/>
  <c r="CK218" i="13" s="1"/>
  <c r="CK219" i="13" s="1"/>
  <c r="CK220" i="13" s="1"/>
  <c r="CK221" i="13" s="1"/>
  <c r="CK222" i="13" s="1"/>
  <c r="CK223" i="13" s="1"/>
  <c r="CK224" i="13" s="1"/>
  <c r="CK225" i="13" s="1"/>
  <c r="CK226" i="13" s="1"/>
  <c r="CK227" i="13" s="1"/>
  <c r="CK228" i="13" s="1"/>
  <c r="CK229" i="13" s="1"/>
  <c r="CK230" i="13" s="1"/>
  <c r="CK231" i="13" s="1"/>
  <c r="CK232" i="13" s="1"/>
  <c r="CK233" i="13" s="1"/>
  <c r="CK234" i="13" s="1"/>
  <c r="CK235" i="13" s="1"/>
  <c r="CK236" i="13" s="1"/>
  <c r="CK237" i="13" s="1"/>
  <c r="CK238" i="13" s="1"/>
  <c r="CK239" i="13" s="1"/>
  <c r="CK240" i="13" s="1"/>
  <c r="CK241" i="13" s="1"/>
  <c r="CK242" i="13" s="1"/>
  <c r="CK243" i="13" s="1"/>
  <c r="CK244" i="13" s="1"/>
  <c r="CK245" i="13" s="1"/>
  <c r="CK246" i="13" s="1"/>
  <c r="CK247" i="13" s="1"/>
  <c r="CK248" i="13" s="1"/>
  <c r="CK249" i="13" s="1"/>
  <c r="CK250" i="13" s="1"/>
  <c r="CK251" i="13" s="1"/>
  <c r="CK252" i="13" s="1"/>
  <c r="CK253" i="13" s="1"/>
  <c r="CK254" i="13" s="1"/>
  <c r="CK255" i="13" s="1"/>
  <c r="CK256" i="13" s="1"/>
  <c r="CK257" i="13" s="1"/>
  <c r="CK258" i="13" s="1"/>
  <c r="CK259" i="13" s="1"/>
  <c r="CK260" i="13" s="1"/>
  <c r="CK261" i="13" s="1"/>
  <c r="CK262" i="13" s="1"/>
  <c r="CK263" i="13" s="1"/>
  <c r="CK264" i="13" s="1"/>
  <c r="CK265" i="13" s="1"/>
  <c r="CK266" i="13" s="1"/>
  <c r="CK267" i="13" s="1"/>
  <c r="CK268" i="13" s="1"/>
  <c r="CK269" i="13" s="1"/>
  <c r="CK270" i="13" s="1"/>
  <c r="CK271" i="13" s="1"/>
  <c r="CK272" i="13" s="1"/>
  <c r="CK273" i="13" s="1"/>
  <c r="CK274" i="13" s="1"/>
  <c r="CK275" i="13" s="1"/>
  <c r="CK276" i="13" s="1"/>
  <c r="BZ5" i="13"/>
  <c r="BZ6" i="13" s="1"/>
  <c r="BZ7" i="13" s="1"/>
  <c r="BZ8" i="13" s="1"/>
  <c r="BZ9" i="13" s="1"/>
  <c r="BZ10" i="13" s="1"/>
  <c r="BZ11" i="13" s="1"/>
  <c r="BZ12" i="13" s="1"/>
  <c r="BZ13" i="13" s="1"/>
  <c r="BZ14" i="13" s="1"/>
  <c r="BZ15" i="13" s="1"/>
  <c r="BZ16" i="13" s="1"/>
  <c r="BZ17" i="13" s="1"/>
  <c r="BZ18" i="13" s="1"/>
  <c r="BZ19" i="13" s="1"/>
  <c r="BZ20" i="13" s="1"/>
  <c r="BZ21" i="13" s="1"/>
  <c r="BZ22" i="13" s="1"/>
  <c r="BZ23" i="13" s="1"/>
  <c r="BZ24" i="13" s="1"/>
  <c r="BZ25" i="13" s="1"/>
  <c r="BZ26" i="13" s="1"/>
  <c r="BZ27" i="13" s="1"/>
  <c r="BZ28" i="13" s="1"/>
  <c r="BZ29" i="13" s="1"/>
  <c r="BZ30" i="13" s="1"/>
  <c r="BZ31" i="13" s="1"/>
  <c r="BZ32" i="13" s="1"/>
  <c r="BZ33" i="13" s="1"/>
  <c r="BZ34" i="13" s="1"/>
  <c r="BZ35" i="13" s="1"/>
  <c r="BZ36" i="13" s="1"/>
  <c r="BZ37" i="13" s="1"/>
  <c r="BZ38" i="13" s="1"/>
  <c r="BZ39" i="13" s="1"/>
  <c r="BZ40" i="13" s="1"/>
  <c r="BZ41" i="13" s="1"/>
  <c r="BZ42" i="13" s="1"/>
  <c r="BZ43" i="13" s="1"/>
  <c r="BZ44" i="13" s="1"/>
  <c r="BZ45" i="13" s="1"/>
  <c r="BZ46" i="13" s="1"/>
  <c r="BZ47" i="13" s="1"/>
  <c r="BZ48" i="13" s="1"/>
  <c r="BZ49" i="13" s="1"/>
  <c r="BZ50" i="13" s="1"/>
  <c r="BZ51" i="13" s="1"/>
  <c r="BZ52" i="13" s="1"/>
  <c r="BZ53" i="13" s="1"/>
  <c r="BZ54" i="13" s="1"/>
  <c r="BZ55" i="13" s="1"/>
  <c r="BZ56" i="13" s="1"/>
  <c r="BZ57" i="13" s="1"/>
  <c r="BZ58" i="13" s="1"/>
  <c r="BZ59" i="13" s="1"/>
  <c r="BZ60" i="13" s="1"/>
  <c r="BZ61" i="13" s="1"/>
  <c r="BZ62" i="13" s="1"/>
  <c r="BZ63" i="13" s="1"/>
  <c r="BZ64" i="13" s="1"/>
  <c r="BZ65" i="13" s="1"/>
  <c r="BZ66" i="13" s="1"/>
  <c r="BZ67" i="13" s="1"/>
  <c r="BZ68" i="13" s="1"/>
  <c r="BZ69" i="13" s="1"/>
  <c r="BZ70" i="13" s="1"/>
  <c r="BZ71" i="13" s="1"/>
  <c r="BZ72" i="13" s="1"/>
  <c r="BZ73" i="13" s="1"/>
  <c r="BZ74" i="13" s="1"/>
  <c r="BZ75" i="13" s="1"/>
  <c r="BZ76" i="13" s="1"/>
  <c r="BZ77" i="13" s="1"/>
  <c r="BZ78" i="13" s="1"/>
  <c r="BZ79" i="13" s="1"/>
  <c r="BZ80" i="13" s="1"/>
  <c r="BZ81" i="13" s="1"/>
  <c r="BZ82" i="13" s="1"/>
  <c r="BZ83" i="13" s="1"/>
  <c r="BZ84" i="13" s="1"/>
  <c r="BZ85" i="13" s="1"/>
  <c r="BZ86" i="13" s="1"/>
  <c r="BZ87" i="13" s="1"/>
  <c r="BZ88" i="13" s="1"/>
  <c r="BZ89" i="13" s="1"/>
  <c r="BZ90" i="13" s="1"/>
  <c r="BZ91" i="13" s="1"/>
  <c r="BZ92" i="13" s="1"/>
  <c r="BZ93" i="13" s="1"/>
  <c r="BZ94" i="13" s="1"/>
  <c r="BZ95" i="13" s="1"/>
  <c r="BZ96" i="13" s="1"/>
  <c r="BZ97" i="13" s="1"/>
  <c r="BZ98" i="13" s="1"/>
  <c r="BZ99" i="13" s="1"/>
  <c r="BZ100" i="13" s="1"/>
  <c r="BZ101" i="13" s="1"/>
  <c r="BZ102" i="13" s="1"/>
  <c r="BZ103" i="13" s="1"/>
  <c r="BZ104" i="13" s="1"/>
  <c r="BZ105" i="13" s="1"/>
  <c r="BZ106" i="13" s="1"/>
  <c r="BZ107" i="13" s="1"/>
  <c r="BZ108" i="13" s="1"/>
  <c r="BZ109" i="13" s="1"/>
  <c r="BZ110" i="13" s="1"/>
  <c r="BZ111" i="13" s="1"/>
  <c r="BZ112" i="13" s="1"/>
  <c r="BZ113" i="13" s="1"/>
  <c r="BZ114" i="13" s="1"/>
  <c r="BZ115" i="13" s="1"/>
  <c r="BZ116" i="13" s="1"/>
  <c r="BZ117" i="13" s="1"/>
  <c r="BZ118" i="13" s="1"/>
  <c r="BZ119" i="13" s="1"/>
  <c r="BZ120" i="13" s="1"/>
  <c r="BZ121" i="13" s="1"/>
  <c r="BZ122" i="13" s="1"/>
  <c r="BZ123" i="13" s="1"/>
  <c r="BZ124" i="13" s="1"/>
  <c r="BZ125" i="13" s="1"/>
  <c r="BZ126" i="13" s="1"/>
  <c r="BZ127" i="13" s="1"/>
  <c r="BZ128" i="13" s="1"/>
  <c r="BZ129" i="13" s="1"/>
  <c r="BZ130" i="13" s="1"/>
  <c r="BZ131" i="13" s="1"/>
  <c r="BZ132" i="13" s="1"/>
  <c r="BZ133" i="13" s="1"/>
  <c r="BZ134" i="13" s="1"/>
  <c r="BZ135" i="13" s="1"/>
  <c r="BZ136" i="13" s="1"/>
  <c r="BZ137" i="13" s="1"/>
  <c r="BZ138" i="13" s="1"/>
  <c r="BZ139" i="13" s="1"/>
  <c r="BZ140" i="13" s="1"/>
  <c r="BZ141" i="13" s="1"/>
  <c r="BZ142" i="13" s="1"/>
  <c r="BZ143" i="13" s="1"/>
  <c r="BZ144" i="13" s="1"/>
  <c r="BZ145" i="13" s="1"/>
  <c r="BZ146" i="13" s="1"/>
  <c r="BZ147" i="13" s="1"/>
  <c r="BZ148" i="13" s="1"/>
  <c r="BZ149" i="13" s="1"/>
  <c r="BZ150" i="13" s="1"/>
  <c r="BZ151" i="13" s="1"/>
  <c r="BZ152" i="13" s="1"/>
  <c r="BZ153" i="13" s="1"/>
  <c r="BZ154" i="13" s="1"/>
  <c r="BZ155" i="13" s="1"/>
  <c r="BZ156" i="13" s="1"/>
  <c r="BZ157" i="13" s="1"/>
  <c r="BZ158" i="13" s="1"/>
  <c r="BZ159" i="13" s="1"/>
  <c r="BZ160" i="13" s="1"/>
  <c r="BZ161" i="13" s="1"/>
  <c r="BZ162" i="13" s="1"/>
  <c r="BZ163" i="13" s="1"/>
  <c r="BZ164" i="13" s="1"/>
  <c r="BZ165" i="13" s="1"/>
  <c r="BZ166" i="13" s="1"/>
  <c r="BZ167" i="13" s="1"/>
  <c r="BZ168" i="13" s="1"/>
  <c r="BZ169" i="13" s="1"/>
  <c r="BZ170" i="13" s="1"/>
  <c r="BZ171" i="13" s="1"/>
  <c r="BZ172" i="13" s="1"/>
  <c r="BZ173" i="13" s="1"/>
  <c r="BZ174" i="13" s="1"/>
  <c r="BZ175" i="13" s="1"/>
  <c r="BZ176" i="13" s="1"/>
  <c r="BZ177" i="13" s="1"/>
  <c r="BZ178" i="13" s="1"/>
  <c r="BZ179" i="13" s="1"/>
  <c r="BZ180" i="13" s="1"/>
  <c r="BZ181" i="13" s="1"/>
  <c r="BZ182" i="13" s="1"/>
  <c r="BZ183" i="13" s="1"/>
  <c r="BZ184" i="13" s="1"/>
  <c r="BZ185" i="13" s="1"/>
  <c r="BZ186" i="13" s="1"/>
  <c r="BZ187" i="13" s="1"/>
  <c r="BZ188" i="13" s="1"/>
  <c r="BZ189" i="13" s="1"/>
  <c r="BZ190" i="13" s="1"/>
  <c r="BZ191" i="13" s="1"/>
  <c r="BZ192" i="13" s="1"/>
  <c r="BZ193" i="13" s="1"/>
  <c r="BZ194" i="13" s="1"/>
  <c r="BZ195" i="13" s="1"/>
  <c r="BZ196" i="13" s="1"/>
  <c r="BZ197" i="13" s="1"/>
  <c r="BZ198" i="13" s="1"/>
  <c r="BZ199" i="13" s="1"/>
  <c r="BZ200" i="13" s="1"/>
  <c r="BZ201" i="13" s="1"/>
  <c r="BZ202" i="13" s="1"/>
  <c r="BZ203" i="13" s="1"/>
  <c r="BZ204" i="13" s="1"/>
  <c r="BZ205" i="13" s="1"/>
  <c r="BZ206" i="13" s="1"/>
  <c r="BZ207" i="13" s="1"/>
  <c r="BZ208" i="13" s="1"/>
  <c r="BZ209" i="13" s="1"/>
  <c r="BZ210" i="13" s="1"/>
  <c r="BZ211" i="13" s="1"/>
  <c r="BZ212" i="13" s="1"/>
  <c r="BZ213" i="13" s="1"/>
  <c r="BZ214" i="13" s="1"/>
  <c r="BZ215" i="13" s="1"/>
  <c r="BZ216" i="13" s="1"/>
  <c r="BZ217" i="13" s="1"/>
  <c r="BZ218" i="13" s="1"/>
  <c r="BZ219" i="13" s="1"/>
  <c r="BZ220" i="13" s="1"/>
  <c r="BZ221" i="13" s="1"/>
  <c r="BZ222" i="13" s="1"/>
  <c r="BZ223" i="13" s="1"/>
  <c r="BZ224" i="13" s="1"/>
  <c r="BZ225" i="13" s="1"/>
  <c r="BZ226" i="13" s="1"/>
  <c r="BZ227" i="13" s="1"/>
  <c r="BZ228" i="13" s="1"/>
  <c r="BZ229" i="13" s="1"/>
  <c r="BZ230" i="13" s="1"/>
  <c r="BZ231" i="13" s="1"/>
  <c r="BZ232" i="13" s="1"/>
  <c r="BZ233" i="13" s="1"/>
  <c r="BZ234" i="13" s="1"/>
  <c r="BZ235" i="13" s="1"/>
  <c r="BZ236" i="13" s="1"/>
  <c r="BZ237" i="13" s="1"/>
  <c r="BZ238" i="13" s="1"/>
  <c r="BZ239" i="13" s="1"/>
  <c r="BZ240" i="13" s="1"/>
  <c r="BZ241" i="13" s="1"/>
  <c r="BZ242" i="13" s="1"/>
  <c r="BZ243" i="13" s="1"/>
  <c r="BZ244" i="13" s="1"/>
  <c r="BZ245" i="13" s="1"/>
  <c r="BZ246" i="13" s="1"/>
  <c r="BZ247" i="13" s="1"/>
  <c r="BZ248" i="13" s="1"/>
  <c r="BZ249" i="13" s="1"/>
  <c r="BZ250" i="13" s="1"/>
  <c r="BZ251" i="13" s="1"/>
  <c r="BZ252" i="13" s="1"/>
  <c r="BZ253" i="13" s="1"/>
  <c r="BZ254" i="13" s="1"/>
  <c r="BZ255" i="13" s="1"/>
  <c r="BZ256" i="13" s="1"/>
  <c r="BZ257" i="13" s="1"/>
  <c r="BZ258" i="13" s="1"/>
  <c r="BZ259" i="13" s="1"/>
  <c r="BZ260" i="13" s="1"/>
  <c r="BZ261" i="13" s="1"/>
  <c r="BZ262" i="13" s="1"/>
  <c r="BZ263" i="13" s="1"/>
  <c r="BZ264" i="13" s="1"/>
  <c r="BZ265" i="13" s="1"/>
  <c r="BZ266" i="13" s="1"/>
  <c r="BZ267" i="13" s="1"/>
  <c r="BZ268" i="13" s="1"/>
  <c r="BZ269" i="13" s="1"/>
  <c r="BZ270" i="13" s="1"/>
  <c r="BZ271" i="13" s="1"/>
  <c r="BZ272" i="13" s="1"/>
  <c r="BZ273" i="13" s="1"/>
  <c r="BZ274" i="13" s="1"/>
  <c r="BZ275" i="13" s="1"/>
  <c r="BZ276" i="13" s="1"/>
  <c r="BZ277" i="13" s="1"/>
  <c r="BZ278" i="13" s="1"/>
  <c r="BZ279" i="13" s="1"/>
  <c r="BZ280" i="13" s="1"/>
  <c r="BZ281" i="13" s="1"/>
  <c r="BZ282" i="13" s="1"/>
  <c r="BZ283" i="13" s="1"/>
  <c r="BZ284" i="13" s="1"/>
  <c r="BZ285" i="13" s="1"/>
  <c r="BZ286" i="13" s="1"/>
  <c r="BZ287" i="13" s="1"/>
  <c r="BZ288" i="13" s="1"/>
  <c r="BZ289" i="13" s="1"/>
  <c r="BZ290" i="13" s="1"/>
  <c r="BZ291" i="13" s="1"/>
  <c r="BZ292" i="13" s="1"/>
  <c r="BZ293" i="13" s="1"/>
  <c r="BZ294" i="13" s="1"/>
  <c r="BZ295" i="13" s="1"/>
  <c r="BZ296" i="13" s="1"/>
  <c r="BZ297" i="13" s="1"/>
  <c r="BZ298" i="13" s="1"/>
  <c r="BZ299" i="13" s="1"/>
  <c r="BZ300" i="13" s="1"/>
  <c r="BZ301" i="13" s="1"/>
  <c r="BZ302" i="13" s="1"/>
  <c r="BZ303" i="13" s="1"/>
  <c r="BZ304" i="13" s="1"/>
  <c r="BZ305" i="13" s="1"/>
  <c r="BZ306" i="13" s="1"/>
  <c r="BZ307" i="13" s="1"/>
  <c r="BZ308" i="13" s="1"/>
  <c r="BZ309" i="13" s="1"/>
  <c r="BZ310" i="13" s="1"/>
  <c r="BZ311" i="13" s="1"/>
  <c r="BZ312" i="13" s="1"/>
  <c r="BZ313" i="13" s="1"/>
  <c r="BZ314" i="13" s="1"/>
  <c r="BZ315" i="13" s="1"/>
  <c r="BZ316" i="13" s="1"/>
  <c r="BZ317" i="13" s="1"/>
  <c r="BZ318" i="13" s="1"/>
  <c r="BZ319" i="13" s="1"/>
  <c r="BZ320" i="13" s="1"/>
  <c r="BZ321" i="13" s="1"/>
  <c r="BZ322" i="13" s="1"/>
  <c r="BZ323" i="13" s="1"/>
  <c r="BZ324" i="13" s="1"/>
  <c r="BZ325" i="13" s="1"/>
  <c r="BZ326" i="13" s="1"/>
  <c r="BZ327" i="13" s="1"/>
  <c r="BZ328" i="13" s="1"/>
  <c r="BZ329" i="13" s="1"/>
  <c r="BZ330" i="13" s="1"/>
  <c r="BZ331" i="13" s="1"/>
  <c r="BZ332" i="13" s="1"/>
  <c r="BZ333" i="13" s="1"/>
  <c r="BZ334" i="13" s="1"/>
  <c r="BZ335" i="13" s="1"/>
  <c r="BZ336" i="13" s="1"/>
  <c r="BZ337" i="13" s="1"/>
  <c r="BZ338" i="13" s="1"/>
  <c r="BZ339" i="13" s="1"/>
  <c r="BZ340" i="13" s="1"/>
  <c r="BZ341" i="13" s="1"/>
  <c r="BZ342" i="13" s="1"/>
  <c r="BZ343" i="13" s="1"/>
  <c r="BZ344" i="13" s="1"/>
  <c r="BZ345" i="13" s="1"/>
  <c r="BZ346" i="13" s="1"/>
  <c r="BZ347" i="13" s="1"/>
  <c r="BZ348" i="13" s="1"/>
  <c r="BZ349" i="13" s="1"/>
  <c r="BZ350" i="13" s="1"/>
  <c r="BZ351" i="13" s="1"/>
  <c r="BZ352" i="13" s="1"/>
  <c r="BZ353" i="13" s="1"/>
  <c r="BZ354" i="13" s="1"/>
  <c r="BZ355" i="13" s="1"/>
  <c r="BZ356" i="13" s="1"/>
  <c r="BZ357" i="13" s="1"/>
  <c r="BZ358" i="13" s="1"/>
  <c r="BZ359" i="13" s="1"/>
  <c r="BZ360" i="13" s="1"/>
  <c r="BZ361" i="13" s="1"/>
  <c r="BZ362" i="13" s="1"/>
  <c r="BZ363" i="13" s="1"/>
  <c r="BZ364" i="13" s="1"/>
  <c r="BZ365" i="13" s="1"/>
  <c r="BZ366" i="13" s="1"/>
  <c r="BZ367" i="13" s="1"/>
  <c r="BZ368" i="13" s="1"/>
  <c r="BZ369" i="13" s="1"/>
  <c r="BZ370" i="13" s="1"/>
  <c r="BZ371" i="13" s="1"/>
  <c r="BZ372" i="13" s="1"/>
  <c r="BZ373" i="13" s="1"/>
  <c r="BZ374" i="13" s="1"/>
  <c r="BZ375" i="13" s="1"/>
  <c r="BZ376" i="13" s="1"/>
  <c r="BZ377" i="13" s="1"/>
  <c r="BZ378" i="13" s="1"/>
  <c r="BZ379" i="13" s="1"/>
  <c r="BZ380" i="13" s="1"/>
  <c r="BZ381" i="13" s="1"/>
  <c r="BZ382" i="13" s="1"/>
  <c r="BZ383" i="13" s="1"/>
  <c r="BZ384" i="13" s="1"/>
  <c r="BZ385" i="13" s="1"/>
  <c r="BZ386" i="13" s="1"/>
  <c r="BZ387" i="13" s="1"/>
  <c r="BZ388" i="13" s="1"/>
  <c r="BZ389" i="13" s="1"/>
  <c r="BZ390" i="13" s="1"/>
  <c r="BZ391" i="13" s="1"/>
  <c r="BZ392" i="13" s="1"/>
  <c r="BZ393" i="13" s="1"/>
  <c r="BZ394" i="13" s="1"/>
  <c r="BZ395" i="13" s="1"/>
  <c r="BZ396" i="13" s="1"/>
  <c r="BZ397" i="13" s="1"/>
  <c r="BZ398" i="13" s="1"/>
  <c r="BZ399" i="13" s="1"/>
  <c r="BZ400" i="13" s="1"/>
  <c r="BZ401" i="13" s="1"/>
  <c r="BZ402" i="13" s="1"/>
  <c r="BZ403" i="13" s="1"/>
  <c r="BZ404" i="13" s="1"/>
  <c r="BZ405" i="13" s="1"/>
  <c r="BZ406" i="13" s="1"/>
  <c r="BZ407" i="13" s="1"/>
  <c r="BZ408" i="13" s="1"/>
  <c r="BZ409" i="13" s="1"/>
  <c r="BZ410" i="13" s="1"/>
  <c r="BZ411" i="13" s="1"/>
  <c r="BZ412" i="13" s="1"/>
  <c r="BZ413" i="13" s="1"/>
  <c r="BZ414" i="13" s="1"/>
  <c r="BZ415" i="13" s="1"/>
  <c r="BZ416" i="13" s="1"/>
  <c r="BZ417" i="13" s="1"/>
  <c r="BZ418" i="13" s="1"/>
  <c r="BZ419" i="13" s="1"/>
  <c r="BZ420" i="13" s="1"/>
  <c r="BZ421" i="13" s="1"/>
  <c r="BZ422" i="13" s="1"/>
  <c r="BZ423" i="13" s="1"/>
  <c r="BZ424" i="13" s="1"/>
  <c r="BZ425" i="13" s="1"/>
  <c r="BZ426" i="13" s="1"/>
  <c r="BZ427" i="13" s="1"/>
  <c r="BZ428" i="13" s="1"/>
  <c r="BZ429" i="13" s="1"/>
  <c r="BZ430" i="13" s="1"/>
  <c r="BZ431" i="13" s="1"/>
  <c r="BZ432" i="13" s="1"/>
  <c r="BZ433" i="13" s="1"/>
  <c r="BZ434" i="13" s="1"/>
  <c r="BZ435" i="13" s="1"/>
  <c r="BZ436" i="13" s="1"/>
  <c r="BZ437" i="13" s="1"/>
  <c r="BZ438" i="13" s="1"/>
  <c r="BZ439" i="13" s="1"/>
  <c r="BZ440" i="13" s="1"/>
  <c r="BZ441" i="13" s="1"/>
  <c r="BZ442" i="13" s="1"/>
  <c r="BZ443" i="13" s="1"/>
  <c r="BZ444" i="13" s="1"/>
  <c r="BZ445" i="13" s="1"/>
  <c r="BZ446" i="13" s="1"/>
  <c r="BZ447" i="13" s="1"/>
  <c r="BZ448" i="13" s="1"/>
  <c r="BZ449" i="13" s="1"/>
  <c r="BZ450" i="13" s="1"/>
  <c r="BZ451" i="13" s="1"/>
  <c r="BZ452" i="13" s="1"/>
  <c r="BZ453" i="13" s="1"/>
  <c r="BZ454" i="13" s="1"/>
  <c r="AA4" i="9"/>
  <c r="AA5" i="9"/>
  <c r="AA6" i="9"/>
  <c r="AA7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0" i="9"/>
  <c r="AA21" i="9"/>
  <c r="AA22" i="9"/>
  <c r="AA23" i="9"/>
  <c r="AA24" i="9"/>
  <c r="AA25" i="9"/>
  <c r="AA26" i="9"/>
  <c r="AA27" i="9"/>
  <c r="AA28" i="9"/>
  <c r="AA29" i="9"/>
  <c r="AA30" i="9"/>
  <c r="AA31" i="9"/>
  <c r="AA32" i="9"/>
  <c r="AA33" i="9"/>
  <c r="AA34" i="9"/>
  <c r="AA35" i="9"/>
  <c r="AA36" i="9"/>
  <c r="AA37" i="9"/>
  <c r="AA38" i="9"/>
  <c r="AA39" i="9"/>
  <c r="AA40" i="9"/>
  <c r="AA41" i="9"/>
  <c r="AA42" i="9"/>
  <c r="AA43" i="9"/>
  <c r="AA44" i="9"/>
  <c r="AA45" i="9"/>
  <c r="AA46" i="9"/>
  <c r="AA47" i="9"/>
  <c r="AA48" i="9"/>
  <c r="AA49" i="9"/>
  <c r="AA50" i="9"/>
  <c r="AA51" i="9"/>
  <c r="AA52" i="9"/>
  <c r="AA53" i="9"/>
  <c r="AA54" i="9"/>
  <c r="AA55" i="9"/>
  <c r="AA56" i="9"/>
  <c r="AA57" i="9"/>
  <c r="AA58" i="9"/>
  <c r="AA59" i="9"/>
  <c r="AA60" i="9"/>
  <c r="AA61" i="9"/>
  <c r="AA62" i="9"/>
  <c r="AA63" i="9"/>
  <c r="AA64" i="9"/>
  <c r="AA65" i="9"/>
  <c r="AA66" i="9"/>
  <c r="AA67" i="9"/>
  <c r="AA68" i="9"/>
  <c r="AA69" i="9"/>
  <c r="AA70" i="9"/>
  <c r="AA71" i="9"/>
  <c r="AA72" i="9"/>
  <c r="AA73" i="9"/>
  <c r="AA74" i="9"/>
  <c r="AA75" i="9"/>
  <c r="AA76" i="9"/>
  <c r="AA77" i="9"/>
  <c r="AA78" i="9"/>
  <c r="AA79" i="9"/>
  <c r="AA80" i="9"/>
  <c r="AA81" i="9"/>
  <c r="AA82" i="9"/>
  <c r="AA83" i="9"/>
  <c r="AA84" i="9"/>
  <c r="AA85" i="9"/>
  <c r="AA86" i="9"/>
  <c r="AA87" i="9"/>
  <c r="AA88" i="9"/>
  <c r="AA89" i="9"/>
  <c r="AA90" i="9"/>
  <c r="AA91" i="9"/>
  <c r="AA92" i="9"/>
  <c r="AA93" i="9"/>
  <c r="AA94" i="9"/>
  <c r="AA95" i="9"/>
  <c r="AA96" i="9"/>
  <c r="AA97" i="9"/>
  <c r="AA98" i="9"/>
  <c r="AA99" i="9"/>
  <c r="AA100" i="9"/>
  <c r="AA101" i="9"/>
  <c r="AA102" i="9"/>
  <c r="AA103" i="9"/>
  <c r="AA104" i="9"/>
  <c r="AA105" i="9"/>
  <c r="AA106" i="9"/>
  <c r="AA107" i="9"/>
  <c r="AA108" i="9"/>
  <c r="AA109" i="9"/>
  <c r="AA110" i="9"/>
  <c r="AA111" i="9"/>
  <c r="AA112" i="9"/>
  <c r="AA113" i="9"/>
  <c r="AA114" i="9"/>
  <c r="AA115" i="9"/>
  <c r="AA116" i="9"/>
  <c r="AA117" i="9"/>
  <c r="AA118" i="9"/>
  <c r="AA119" i="9"/>
  <c r="AA120" i="9"/>
  <c r="AA121" i="9"/>
  <c r="AA122" i="9"/>
  <c r="AA123" i="9"/>
  <c r="AA124" i="9"/>
  <c r="AA125" i="9"/>
  <c r="AA126" i="9"/>
  <c r="AA127" i="9"/>
  <c r="AA128" i="9"/>
  <c r="AA129" i="9"/>
  <c r="AA130" i="9"/>
  <c r="AA131" i="9"/>
  <c r="AA132" i="9"/>
  <c r="AA133" i="9"/>
  <c r="AA134" i="9"/>
  <c r="AA135" i="9"/>
  <c r="AA136" i="9"/>
  <c r="AA137" i="9"/>
  <c r="AA138" i="9"/>
  <c r="AA139" i="9"/>
  <c r="AA140" i="9"/>
  <c r="AA141" i="9"/>
  <c r="AA142" i="9"/>
  <c r="AA143" i="9"/>
  <c r="AA144" i="9"/>
  <c r="AA145" i="9"/>
  <c r="AA146" i="9"/>
  <c r="AA147" i="9"/>
  <c r="AA148" i="9"/>
  <c r="AA149" i="9"/>
  <c r="AA150" i="9"/>
  <c r="AA151" i="9"/>
  <c r="AA152" i="9"/>
  <c r="AA153" i="9"/>
  <c r="AA154" i="9"/>
  <c r="AA155" i="9"/>
  <c r="AA156" i="9"/>
  <c r="AA157" i="9"/>
  <c r="AA158" i="9"/>
  <c r="AA159" i="9"/>
  <c r="AA160" i="9"/>
  <c r="AA161" i="9"/>
  <c r="AA162" i="9"/>
  <c r="AA163" i="9"/>
  <c r="AA164" i="9"/>
  <c r="AA165" i="9"/>
  <c r="AA166" i="9"/>
  <c r="AA167" i="9"/>
  <c r="AA168" i="9"/>
  <c r="AA169" i="9"/>
  <c r="AA170" i="9"/>
  <c r="AA171" i="9"/>
  <c r="AA172" i="9"/>
  <c r="AA173" i="9"/>
  <c r="AA174" i="9"/>
  <c r="AA175" i="9"/>
  <c r="AA176" i="9"/>
  <c r="AA177" i="9"/>
  <c r="AA178" i="9"/>
  <c r="AA179" i="9"/>
  <c r="AA180" i="9"/>
  <c r="AA181" i="9"/>
  <c r="AA182" i="9"/>
  <c r="AA183" i="9"/>
  <c r="AA184" i="9"/>
  <c r="AA185" i="9"/>
  <c r="AA186" i="9"/>
  <c r="AA187" i="9"/>
  <c r="AA188" i="9"/>
  <c r="AA189" i="9"/>
  <c r="AA190" i="9"/>
  <c r="AA191" i="9"/>
  <c r="AA192" i="9"/>
  <c r="AA193" i="9"/>
  <c r="AA194" i="9"/>
  <c r="AA195" i="9"/>
  <c r="AA196" i="9"/>
  <c r="AA197" i="9"/>
  <c r="AA198" i="9"/>
  <c r="AA199" i="9"/>
  <c r="AA200" i="9"/>
  <c r="AA201" i="9"/>
  <c r="AA202" i="9"/>
  <c r="AA203" i="9"/>
  <c r="AA204" i="9"/>
  <c r="AA205" i="9"/>
  <c r="AA206" i="9"/>
  <c r="AA207" i="9"/>
  <c r="AA208" i="9"/>
  <c r="AA209" i="9"/>
  <c r="AA210" i="9"/>
  <c r="AA211" i="9"/>
  <c r="AA212" i="9"/>
  <c r="AA213" i="9"/>
  <c r="AA214" i="9"/>
  <c r="AA215" i="9"/>
  <c r="AA216" i="9"/>
  <c r="AA217" i="9"/>
  <c r="AA218" i="9"/>
  <c r="AA219" i="9"/>
  <c r="AA220" i="9"/>
  <c r="AA221" i="9"/>
  <c r="AA222" i="9"/>
  <c r="AA223" i="9"/>
  <c r="AA224" i="9"/>
  <c r="AA225" i="9"/>
  <c r="AA226" i="9"/>
  <c r="AA227" i="9"/>
  <c r="AA228" i="9"/>
  <c r="AA229" i="9"/>
  <c r="AA230" i="9"/>
  <c r="AA231" i="9"/>
  <c r="AA232" i="9"/>
  <c r="AA233" i="9"/>
  <c r="AA234" i="9"/>
  <c r="AA235" i="9"/>
  <c r="AA236" i="9"/>
  <c r="AA237" i="9"/>
  <c r="AA238" i="9"/>
  <c r="AA239" i="9"/>
  <c r="AA240" i="9"/>
  <c r="AA241" i="9"/>
  <c r="AA242" i="9"/>
  <c r="AA243" i="9"/>
  <c r="AA244" i="9"/>
  <c r="AA245" i="9"/>
  <c r="AA246" i="9"/>
  <c r="AA247" i="9"/>
  <c r="AA248" i="9"/>
  <c r="AA249" i="9"/>
  <c r="AA250" i="9"/>
  <c r="AA251" i="9"/>
  <c r="AA252" i="9"/>
  <c r="AA253" i="9"/>
  <c r="AA254" i="9"/>
  <c r="AA255" i="9"/>
  <c r="AA256" i="9"/>
  <c r="AA257" i="9"/>
  <c r="AA258" i="9"/>
  <c r="AA259" i="9"/>
  <c r="AA260" i="9"/>
  <c r="AA261" i="9"/>
  <c r="AA262" i="9"/>
  <c r="AA263" i="9"/>
  <c r="AA264" i="9"/>
  <c r="AA265" i="9"/>
  <c r="AA266" i="9"/>
  <c r="AA267" i="9"/>
  <c r="AA268" i="9"/>
  <c r="AA269" i="9"/>
  <c r="AA270" i="9"/>
  <c r="AA271" i="9"/>
  <c r="AA272" i="9"/>
  <c r="AA273" i="9"/>
  <c r="AA274" i="9"/>
  <c r="AA275" i="9"/>
  <c r="AA276" i="9"/>
  <c r="AA277" i="9"/>
  <c r="AA278" i="9"/>
  <c r="AA279" i="9"/>
  <c r="AA280" i="9"/>
  <c r="AA281" i="9"/>
  <c r="AA282" i="9"/>
  <c r="AA283" i="9"/>
  <c r="AA284" i="9"/>
  <c r="AA285" i="9"/>
  <c r="AA286" i="9"/>
  <c r="AA287" i="9"/>
  <c r="AA288" i="9"/>
  <c r="AA289" i="9"/>
  <c r="AA290" i="9"/>
  <c r="AA291" i="9"/>
  <c r="AA292" i="9"/>
  <c r="AA293" i="9"/>
  <c r="AA294" i="9"/>
  <c r="AA295" i="9"/>
  <c r="AA296" i="9"/>
  <c r="AA297" i="9"/>
  <c r="AA298" i="9"/>
  <c r="AA299" i="9"/>
  <c r="AA300" i="9"/>
  <c r="AA301" i="9"/>
  <c r="AA302" i="9"/>
  <c r="AA303" i="9"/>
  <c r="AA304" i="9"/>
  <c r="AA305" i="9"/>
  <c r="AA306" i="9"/>
  <c r="AA307" i="9"/>
  <c r="AA308" i="9"/>
  <c r="AA309" i="9"/>
  <c r="AA310" i="9"/>
  <c r="AA311" i="9"/>
  <c r="AA312" i="9"/>
  <c r="AA313" i="9"/>
  <c r="AA314" i="9"/>
  <c r="AA315" i="9"/>
  <c r="AA316" i="9"/>
  <c r="AA317" i="9"/>
  <c r="AA318" i="9"/>
  <c r="AA319" i="9"/>
  <c r="AA320" i="9"/>
  <c r="AA321" i="9"/>
  <c r="AA322" i="9"/>
  <c r="AA323" i="9"/>
  <c r="AA324" i="9"/>
  <c r="AA325" i="9"/>
  <c r="AA326" i="9"/>
  <c r="AA327" i="9"/>
  <c r="AA328" i="9"/>
  <c r="AA329" i="9"/>
  <c r="AA330" i="9"/>
  <c r="AA331" i="9"/>
  <c r="AA332" i="9"/>
  <c r="AA333" i="9"/>
  <c r="AA334" i="9"/>
  <c r="AA335" i="9"/>
  <c r="AA336" i="9"/>
  <c r="AA337" i="9"/>
  <c r="AA338" i="9"/>
  <c r="AA339" i="9"/>
  <c r="AA340" i="9"/>
  <c r="AA341" i="9"/>
  <c r="AA342" i="9"/>
  <c r="AA343" i="9"/>
  <c r="AA344" i="9"/>
  <c r="AA345" i="9"/>
  <c r="AA3" i="9"/>
  <c r="G19" i="7" a="1"/>
  <c r="G39" i="7" a="1"/>
  <c r="G49" i="7" a="1"/>
  <c r="G20" i="7" a="1"/>
  <c r="G36" i="7" a="1"/>
  <c r="G42" i="7" a="1"/>
  <c r="G18" i="7" a="1"/>
  <c r="G21" i="7" a="1"/>
  <c r="G37" i="7" a="1"/>
  <c r="G38" i="7" a="1"/>
  <c r="G29" i="7" a="1"/>
  <c r="G30" i="7" a="1"/>
  <c r="G17" i="7" a="1"/>
  <c r="G22" i="7" a="1"/>
  <c r="G35" i="7" a="1"/>
  <c r="G16" i="7" a="1"/>
  <c r="G33" i="7" a="1"/>
  <c r="G46" i="7" a="1"/>
  <c r="G34" i="7" a="1"/>
  <c r="G47" i="7" a="1"/>
  <c r="G40" i="7" a="1"/>
  <c r="G27" i="7" a="1"/>
  <c r="G50" i="7" a="1"/>
  <c r="G28" i="7" a="1"/>
  <c r="G41" i="7" a="1"/>
  <c r="G48" i="7" a="1"/>
  <c r="G12" i="7" a="1"/>
  <c r="G10" i="7" a="1"/>
  <c r="G56" i="7" a="1"/>
  <c r="G15" i="7" a="1"/>
  <c r="G52" i="7" a="1"/>
  <c r="G53" i="7" a="1"/>
  <c r="G51" i="7" a="1"/>
  <c r="CN1609" i="13" l="1"/>
  <c r="CO1608" i="13"/>
  <c r="CJ1399" i="13"/>
  <c r="CM1398" i="13"/>
  <c r="CN1398" i="13" s="1"/>
  <c r="CJ1692" i="13"/>
  <c r="CM1691" i="13"/>
  <c r="CN1691" i="13" s="1"/>
  <c r="BZ482" i="13"/>
  <c r="BZ483" i="13" s="1"/>
  <c r="BZ484" i="13" s="1"/>
  <c r="BZ485" i="13" s="1"/>
  <c r="BZ486" i="13" s="1"/>
  <c r="BZ487" i="13" s="1"/>
  <c r="BZ488" i="13" s="1"/>
  <c r="BZ489" i="13" s="1"/>
  <c r="BZ490" i="13" s="1"/>
  <c r="BZ491" i="13" s="1"/>
  <c r="BZ492" i="13" s="1"/>
  <c r="BZ493" i="13" s="1"/>
  <c r="BZ494" i="13" s="1"/>
  <c r="BZ495" i="13" s="1"/>
  <c r="BZ496" i="13" s="1"/>
  <c r="BZ497" i="13" s="1"/>
  <c r="BZ498" i="13" s="1"/>
  <c r="BZ455" i="13"/>
  <c r="CK277" i="13"/>
  <c r="CK278" i="13" s="1"/>
  <c r="CK279" i="13" s="1"/>
  <c r="CK280" i="13" s="1"/>
  <c r="CK281" i="13" s="1"/>
  <c r="CK282" i="13" s="1"/>
  <c r="CK283" i="13" s="1"/>
  <c r="CK284" i="13" s="1"/>
  <c r="CK285" i="13" s="1"/>
  <c r="CK286" i="13" s="1"/>
  <c r="CK287" i="13" s="1"/>
  <c r="CK288" i="13" s="1"/>
  <c r="CK289" i="13" s="1"/>
  <c r="CK290" i="13" s="1"/>
  <c r="CK291" i="13" s="1"/>
  <c r="CK292" i="13" s="1"/>
  <c r="CK293" i="13" s="1"/>
  <c r="CK294" i="13" s="1"/>
  <c r="CK295" i="13" s="1"/>
  <c r="CK296" i="13" s="1"/>
  <c r="CK297" i="13" s="1"/>
  <c r="CK298" i="13" s="1"/>
  <c r="CK299" i="13" s="1"/>
  <c r="CK300" i="13" s="1"/>
  <c r="CK301" i="13" s="1"/>
  <c r="CK302" i="13" s="1"/>
  <c r="CK303" i="13" s="1"/>
  <c r="CK304" i="13" s="1"/>
  <c r="CK305" i="13" s="1"/>
  <c r="CK306" i="13" s="1"/>
  <c r="CK307" i="13" s="1"/>
  <c r="CK308" i="13" s="1"/>
  <c r="CK309" i="13" s="1"/>
  <c r="CK310" i="13" s="1"/>
  <c r="CK311" i="13" s="1"/>
  <c r="CK312" i="13" s="1"/>
  <c r="CK313" i="13" s="1"/>
  <c r="CK314" i="13" s="1"/>
  <c r="CK315" i="13" s="1"/>
  <c r="CK316" i="13" s="1"/>
  <c r="CK317" i="13" s="1"/>
  <c r="CK318" i="13" s="1"/>
  <c r="CK319" i="13" s="1"/>
  <c r="CK320" i="13" s="1"/>
  <c r="CK321" i="13" s="1"/>
  <c r="CK322" i="13" s="1"/>
  <c r="CK323" i="13" s="1"/>
  <c r="CK324" i="13" s="1"/>
  <c r="CK325" i="13" s="1"/>
  <c r="CK326" i="13" s="1"/>
  <c r="CK327" i="13" s="1"/>
  <c r="CK328" i="13" s="1"/>
  <c r="CK329" i="13" s="1"/>
  <c r="CK330" i="13" s="1"/>
  <c r="CK331" i="13" s="1"/>
  <c r="CK332" i="13" s="1"/>
  <c r="CK333" i="13" s="1"/>
  <c r="CK334" i="13" s="1"/>
  <c r="CK335" i="13" s="1"/>
  <c r="CK336" i="13" s="1"/>
  <c r="CK337" i="13" s="1"/>
  <c r="CK338" i="13" s="1"/>
  <c r="CK339" i="13" s="1"/>
  <c r="CK340" i="13" s="1"/>
  <c r="CK341" i="13" s="1"/>
  <c r="CK342" i="13" s="1"/>
  <c r="CK343" i="13" s="1"/>
  <c r="CK344" i="13" s="1"/>
  <c r="CK345" i="13" s="1"/>
  <c r="CK346" i="13" s="1"/>
  <c r="CK347" i="13" s="1"/>
  <c r="CK348" i="13" s="1"/>
  <c r="CK349" i="13" s="1"/>
  <c r="CK350" i="13" s="1"/>
  <c r="CK351" i="13" s="1"/>
  <c r="CK352" i="13" s="1"/>
  <c r="CK353" i="13" s="1"/>
  <c r="CK354" i="13" s="1"/>
  <c r="CK355" i="13" s="1"/>
  <c r="CK356" i="13" s="1"/>
  <c r="CK357" i="13" s="1"/>
  <c r="CK358" i="13" s="1"/>
  <c r="CK359" i="13" s="1"/>
  <c r="CK360" i="13" s="1"/>
  <c r="CK361" i="13" s="1"/>
  <c r="CK362" i="13" s="1"/>
  <c r="CK363" i="13" s="1"/>
  <c r="CK364" i="13" s="1"/>
  <c r="CK365" i="13" s="1"/>
  <c r="CK366" i="13" s="1"/>
  <c r="CK367" i="13" s="1"/>
  <c r="CK368" i="13" s="1"/>
  <c r="CK369" i="13" s="1"/>
  <c r="CK370" i="13" s="1"/>
  <c r="CK371" i="13" s="1"/>
  <c r="CK372" i="13" s="1"/>
  <c r="CK373" i="13" s="1"/>
  <c r="CK374" i="13" s="1"/>
  <c r="CK375" i="13" s="1"/>
  <c r="CK376" i="13" s="1"/>
  <c r="CK377" i="13" s="1"/>
  <c r="CK378" i="13" s="1"/>
  <c r="CK379" i="13" s="1"/>
  <c r="CK380" i="13" s="1"/>
  <c r="CK381" i="13" s="1"/>
  <c r="CK382" i="13" s="1"/>
  <c r="CK383" i="13" s="1"/>
  <c r="CK384" i="13" s="1"/>
  <c r="CK385" i="13" s="1"/>
  <c r="CK386" i="13" s="1"/>
  <c r="CK387" i="13" s="1"/>
  <c r="CK388" i="13" s="1"/>
  <c r="CK389" i="13" s="1"/>
  <c r="CK390" i="13" s="1"/>
  <c r="CK391" i="13" s="1"/>
  <c r="CK392" i="13" s="1"/>
  <c r="CK393" i="13" s="1"/>
  <c r="CK394" i="13" s="1"/>
  <c r="CK395" i="13" s="1"/>
  <c r="CK396" i="13" s="1"/>
  <c r="CK397" i="13" s="1"/>
  <c r="CK398" i="13" s="1"/>
  <c r="CK399" i="13" s="1"/>
  <c r="CK400" i="13" s="1"/>
  <c r="CK401" i="13" s="1"/>
  <c r="CK402" i="13" s="1"/>
  <c r="CK403" i="13" s="1"/>
  <c r="CK404" i="13" s="1"/>
  <c r="CK405" i="13" s="1"/>
  <c r="CK406" i="13" s="1"/>
  <c r="CK407" i="13" s="1"/>
  <c r="CK408" i="13" s="1"/>
  <c r="CK409" i="13" s="1"/>
  <c r="CK410" i="13" s="1"/>
  <c r="CK411" i="13" s="1"/>
  <c r="CK412" i="13" s="1"/>
  <c r="CK413" i="13" s="1"/>
  <c r="CK414" i="13" s="1"/>
  <c r="CK415" i="13" s="1"/>
  <c r="CK416" i="13" s="1"/>
  <c r="CK417" i="13" s="1"/>
  <c r="CK418" i="13" s="1"/>
  <c r="CK419" i="13" s="1"/>
  <c r="CK420" i="13" s="1"/>
  <c r="CL211" i="13"/>
  <c r="CL212" i="13" s="1"/>
  <c r="CM6" i="13"/>
  <c r="CJ7" i="13"/>
  <c r="CM5" i="13"/>
  <c r="CN5" i="13" s="1"/>
  <c r="G48" i="7"/>
  <c r="G41" i="7"/>
  <c r="G28" i="7"/>
  <c r="G50" i="7"/>
  <c r="G27" i="7"/>
  <c r="G40" i="7"/>
  <c r="G47" i="7"/>
  <c r="G34" i="7"/>
  <c r="G46" i="7"/>
  <c r="G33" i="7"/>
  <c r="G16" i="7"/>
  <c r="G35" i="7"/>
  <c r="G22" i="7"/>
  <c r="G17" i="7"/>
  <c r="G30" i="7"/>
  <c r="G29" i="7"/>
  <c r="G38" i="7"/>
  <c r="G37" i="7"/>
  <c r="G21" i="7"/>
  <c r="G18" i="7"/>
  <c r="G42" i="7"/>
  <c r="G36" i="7"/>
  <c r="G20" i="7"/>
  <c r="G49" i="7"/>
  <c r="G39" i="7"/>
  <c r="G19" i="7"/>
  <c r="G56" i="7"/>
  <c r="G10" i="7"/>
  <c r="G12" i="7"/>
  <c r="G15" i="7"/>
  <c r="G53" i="7"/>
  <c r="G52" i="7"/>
  <c r="G51" i="7"/>
  <c r="G33" i="11"/>
  <c r="G42" i="11"/>
  <c r="F17" i="11"/>
  <c r="F26" i="11"/>
  <c r="F49" i="11"/>
  <c r="F10" i="11"/>
  <c r="E24" i="11"/>
  <c r="E32" i="11"/>
  <c r="E48" i="11"/>
  <c r="E77" i="11"/>
  <c r="C10" i="11"/>
  <c r="C11" i="11"/>
  <c r="C12" i="11"/>
  <c r="C13" i="11"/>
  <c r="E13" i="11" s="1"/>
  <c r="C14" i="11"/>
  <c r="C15" i="11"/>
  <c r="C16" i="11"/>
  <c r="C17" i="11"/>
  <c r="G17" i="11" s="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D33" i="11" s="1"/>
  <c r="C34" i="11"/>
  <c r="C35" i="11"/>
  <c r="C36" i="11"/>
  <c r="C37" i="11"/>
  <c r="C38" i="11"/>
  <c r="C39" i="11"/>
  <c r="C40" i="11"/>
  <c r="C41" i="11"/>
  <c r="D41" i="11" s="1"/>
  <c r="C42" i="11"/>
  <c r="C43" i="11"/>
  <c r="C44" i="11"/>
  <c r="C45" i="11"/>
  <c r="C46" i="11"/>
  <c r="C47" i="11"/>
  <c r="C48" i="11"/>
  <c r="C49" i="11"/>
  <c r="G49" i="11" s="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D65" i="11" s="1"/>
  <c r="C66" i="11"/>
  <c r="C67" i="11"/>
  <c r="C68" i="11"/>
  <c r="C69" i="11"/>
  <c r="C70" i="11"/>
  <c r="C71" i="11"/>
  <c r="C72" i="11"/>
  <c r="C73" i="11"/>
  <c r="E73" i="11" s="1"/>
  <c r="C74" i="11"/>
  <c r="C75" i="11"/>
  <c r="C76" i="11"/>
  <c r="C77" i="11"/>
  <c r="C78" i="11"/>
  <c r="C79" i="11"/>
  <c r="C80" i="11"/>
  <c r="C81" i="11"/>
  <c r="G81" i="11" s="1"/>
  <c r="C82" i="11"/>
  <c r="C83" i="11"/>
  <c r="C84" i="11"/>
  <c r="C85" i="11"/>
  <c r="C86" i="11"/>
  <c r="C87" i="11"/>
  <c r="C88" i="11"/>
  <c r="C89" i="11"/>
  <c r="E89" i="11" s="1"/>
  <c r="CJ1693" i="13" l="1"/>
  <c r="CM1692" i="13"/>
  <c r="CN1692" i="13" s="1"/>
  <c r="CJ1400" i="13"/>
  <c r="CM1399" i="13"/>
  <c r="CN1399" i="13" s="1"/>
  <c r="G83" i="11"/>
  <c r="D83" i="11"/>
  <c r="G71" i="11"/>
  <c r="D71" i="11"/>
  <c r="G59" i="11"/>
  <c r="D59" i="11"/>
  <c r="F47" i="11"/>
  <c r="D47" i="11"/>
  <c r="G35" i="11"/>
  <c r="D35" i="11"/>
  <c r="G27" i="11"/>
  <c r="D27" i="11"/>
  <c r="G19" i="11"/>
  <c r="D19" i="11"/>
  <c r="F81" i="11"/>
  <c r="G65" i="11"/>
  <c r="F86" i="11"/>
  <c r="D86" i="11"/>
  <c r="E82" i="11"/>
  <c r="D82" i="11"/>
  <c r="G78" i="11"/>
  <c r="D78" i="11"/>
  <c r="E74" i="11"/>
  <c r="D74" i="11"/>
  <c r="F70" i="11"/>
  <c r="D70" i="11"/>
  <c r="E66" i="11"/>
  <c r="D66" i="11"/>
  <c r="G62" i="11"/>
  <c r="D62" i="11"/>
  <c r="E58" i="11"/>
  <c r="D58" i="11"/>
  <c r="F54" i="11"/>
  <c r="D54" i="11"/>
  <c r="E50" i="11"/>
  <c r="D50" i="11"/>
  <c r="G46" i="11"/>
  <c r="D46" i="11"/>
  <c r="E42" i="11"/>
  <c r="D42" i="11"/>
  <c r="G38" i="11"/>
  <c r="D38" i="11"/>
  <c r="E34" i="11"/>
  <c r="D34" i="11"/>
  <c r="F30" i="11"/>
  <c r="D30" i="11"/>
  <c r="E26" i="11"/>
  <c r="D26" i="11"/>
  <c r="G22" i="11"/>
  <c r="D22" i="11"/>
  <c r="E18" i="11"/>
  <c r="D18" i="11"/>
  <c r="F14" i="11"/>
  <c r="D14" i="11"/>
  <c r="E10" i="11"/>
  <c r="D10" i="11"/>
  <c r="E33" i="11"/>
  <c r="F65" i="11"/>
  <c r="F33" i="11"/>
  <c r="G87" i="11"/>
  <c r="D87" i="11"/>
  <c r="G75" i="11"/>
  <c r="D75" i="11"/>
  <c r="F63" i="11"/>
  <c r="D63" i="11"/>
  <c r="G51" i="11"/>
  <c r="D51" i="11"/>
  <c r="F39" i="11"/>
  <c r="B4" i="11" s="1"/>
  <c r="D4" i="8" s="1"/>
  <c r="D39" i="11"/>
  <c r="G23" i="11"/>
  <c r="D23" i="11"/>
  <c r="G11" i="11"/>
  <c r="D11" i="11"/>
  <c r="G85" i="11"/>
  <c r="D85" i="11"/>
  <c r="G77" i="11"/>
  <c r="D77" i="11"/>
  <c r="E57" i="11"/>
  <c r="D57" i="11"/>
  <c r="E49" i="11"/>
  <c r="D49" i="11"/>
  <c r="G29" i="11"/>
  <c r="D29" i="11"/>
  <c r="G25" i="11"/>
  <c r="D25" i="11"/>
  <c r="G21" i="11"/>
  <c r="D21" i="11"/>
  <c r="E17" i="11"/>
  <c r="D17" i="11"/>
  <c r="G13" i="11"/>
  <c r="D13" i="11"/>
  <c r="E65" i="11"/>
  <c r="F58" i="11"/>
  <c r="G74" i="11"/>
  <c r="G79" i="11"/>
  <c r="D79" i="11"/>
  <c r="G67" i="11"/>
  <c r="D67" i="11"/>
  <c r="G55" i="11"/>
  <c r="D55" i="11"/>
  <c r="G43" i="11"/>
  <c r="D43" i="11"/>
  <c r="G31" i="11"/>
  <c r="D31" i="11"/>
  <c r="G15" i="11"/>
  <c r="D15" i="11"/>
  <c r="G89" i="11"/>
  <c r="D89" i="11"/>
  <c r="E81" i="11"/>
  <c r="D81" i="11"/>
  <c r="F73" i="11"/>
  <c r="D73" i="11"/>
  <c r="G69" i="11"/>
  <c r="D69" i="11"/>
  <c r="G61" i="11"/>
  <c r="D61" i="11"/>
  <c r="G53" i="11"/>
  <c r="D53" i="11"/>
  <c r="G45" i="11"/>
  <c r="D45" i="11"/>
  <c r="G37" i="11"/>
  <c r="D37" i="11"/>
  <c r="G88" i="11"/>
  <c r="D88" i="11"/>
  <c r="G84" i="11"/>
  <c r="D84" i="11"/>
  <c r="G80" i="11"/>
  <c r="D80" i="11"/>
  <c r="G76" i="11"/>
  <c r="D76" i="11"/>
  <c r="G72" i="11"/>
  <c r="D72" i="11"/>
  <c r="G68" i="11"/>
  <c r="D68" i="11"/>
  <c r="G64" i="11"/>
  <c r="D64" i="11"/>
  <c r="G60" i="11"/>
  <c r="D60" i="11"/>
  <c r="G56" i="11"/>
  <c r="D56" i="11"/>
  <c r="G52" i="11"/>
  <c r="D52" i="11"/>
  <c r="G48" i="11"/>
  <c r="D48" i="11"/>
  <c r="G44" i="11"/>
  <c r="D44" i="11"/>
  <c r="G40" i="11"/>
  <c r="D40" i="11"/>
  <c r="G36" i="11"/>
  <c r="D36" i="11"/>
  <c r="G32" i="11"/>
  <c r="D32" i="11"/>
  <c r="G28" i="11"/>
  <c r="D28" i="11"/>
  <c r="G24" i="11"/>
  <c r="D24" i="11"/>
  <c r="G20" i="11"/>
  <c r="D20" i="11"/>
  <c r="G16" i="11"/>
  <c r="D16" i="11"/>
  <c r="G12" i="11"/>
  <c r="D12" i="11"/>
  <c r="E88" i="11"/>
  <c r="E56" i="11"/>
  <c r="E25" i="11"/>
  <c r="F82" i="11"/>
  <c r="F50" i="11"/>
  <c r="F18" i="11"/>
  <c r="G66" i="11"/>
  <c r="G34" i="11"/>
  <c r="BZ499" i="13"/>
  <c r="BZ500" i="13" s="1"/>
  <c r="BZ501" i="13" s="1"/>
  <c r="BZ502" i="13" s="1"/>
  <c r="BZ503" i="13" s="1"/>
  <c r="BZ504" i="13" s="1"/>
  <c r="BZ505" i="13" s="1"/>
  <c r="BZ506" i="13" s="1"/>
  <c r="BZ507" i="13" s="1"/>
  <c r="BZ508" i="13" s="1"/>
  <c r="BZ509" i="13" s="1"/>
  <c r="BZ510" i="13" s="1"/>
  <c r="BZ511" i="13" s="1"/>
  <c r="BZ512" i="13" s="1"/>
  <c r="BZ513" i="13" s="1"/>
  <c r="BZ514" i="13" s="1"/>
  <c r="BZ515" i="13" s="1"/>
  <c r="BZ516" i="13" s="1"/>
  <c r="BZ517" i="13" s="1"/>
  <c r="BZ518" i="13" s="1"/>
  <c r="BZ519" i="13" s="1"/>
  <c r="BZ520" i="13" s="1"/>
  <c r="BZ521" i="13" s="1"/>
  <c r="BZ522" i="13" s="1"/>
  <c r="BZ523" i="13" s="1"/>
  <c r="BZ524" i="13" s="1"/>
  <c r="BZ525" i="13" s="1"/>
  <c r="BZ526" i="13" s="1"/>
  <c r="BZ527" i="13" s="1"/>
  <c r="BZ528" i="13" s="1"/>
  <c r="BZ529" i="13" s="1"/>
  <c r="BZ530" i="13" s="1"/>
  <c r="BZ531" i="13" s="1"/>
  <c r="BZ532" i="13" s="1"/>
  <c r="BZ533" i="13" s="1"/>
  <c r="BZ534" i="13" s="1"/>
  <c r="BZ535" i="13" s="1"/>
  <c r="BZ536" i="13" s="1"/>
  <c r="BZ537" i="13" s="1"/>
  <c r="BZ538" i="13" s="1"/>
  <c r="BZ539" i="13" s="1"/>
  <c r="BZ540" i="13" s="1"/>
  <c r="BZ541" i="13" s="1"/>
  <c r="BZ542" i="13" s="1"/>
  <c r="BZ543" i="13" s="1"/>
  <c r="BZ544" i="13" s="1"/>
  <c r="BZ545" i="13" s="1"/>
  <c r="BZ546" i="13" s="1"/>
  <c r="BZ547" i="13" s="1"/>
  <c r="BZ548" i="13" s="1"/>
  <c r="BZ549" i="13" s="1"/>
  <c r="BZ550" i="13" s="1"/>
  <c r="BZ551" i="13" s="1"/>
  <c r="BZ552" i="13" s="1"/>
  <c r="BZ553" i="13" s="1"/>
  <c r="BZ554" i="13" s="1"/>
  <c r="BZ555" i="13" s="1"/>
  <c r="BZ556" i="13" s="1"/>
  <c r="BZ557" i="13" s="1"/>
  <c r="BZ558" i="13" s="1"/>
  <c r="BZ559" i="13" s="1"/>
  <c r="BZ560" i="13" s="1"/>
  <c r="BZ561" i="13" s="1"/>
  <c r="BZ562" i="13" s="1"/>
  <c r="BZ563" i="13" s="1"/>
  <c r="BZ564" i="13" s="1"/>
  <c r="BZ565" i="13" s="1"/>
  <c r="BZ566" i="13" s="1"/>
  <c r="BZ567" i="13" s="1"/>
  <c r="BZ568" i="13" s="1"/>
  <c r="BZ569" i="13" s="1"/>
  <c r="BZ570" i="13" s="1"/>
  <c r="BZ571" i="13" s="1"/>
  <c r="BZ572" i="13" s="1"/>
  <c r="BZ573" i="13" s="1"/>
  <c r="BZ574" i="13" s="1"/>
  <c r="BZ575" i="13" s="1"/>
  <c r="BZ576" i="13" s="1"/>
  <c r="BZ577" i="13" s="1"/>
  <c r="BZ578" i="13" s="1"/>
  <c r="BZ579" i="13" s="1"/>
  <c r="BZ580" i="13" s="1"/>
  <c r="BZ581" i="13" s="1"/>
  <c r="BZ582" i="13" s="1"/>
  <c r="BZ583" i="13" s="1"/>
  <c r="BZ584" i="13" s="1"/>
  <c r="BZ585" i="13" s="1"/>
  <c r="BZ586" i="13" s="1"/>
  <c r="BZ587" i="13" s="1"/>
  <c r="BZ588" i="13" s="1"/>
  <c r="BZ589" i="13" s="1"/>
  <c r="BZ590" i="13" s="1"/>
  <c r="BZ591" i="13" s="1"/>
  <c r="BZ592" i="13" s="1"/>
  <c r="BZ593" i="13" s="1"/>
  <c r="BZ594" i="13" s="1"/>
  <c r="BZ595" i="13" s="1"/>
  <c r="BZ596" i="13" s="1"/>
  <c r="BZ597" i="13" s="1"/>
  <c r="BZ598" i="13" s="1"/>
  <c r="BZ599" i="13" s="1"/>
  <c r="BZ600" i="13" s="1"/>
  <c r="BZ601" i="13" s="1"/>
  <c r="BZ602" i="13" s="1"/>
  <c r="BZ603" i="13" s="1"/>
  <c r="BZ604" i="13" s="1"/>
  <c r="BZ605" i="13" s="1"/>
  <c r="BZ606" i="13" s="1"/>
  <c r="BZ607" i="13" s="1"/>
  <c r="BZ608" i="13" s="1"/>
  <c r="BZ609" i="13" s="1"/>
  <c r="BZ610" i="13" s="1"/>
  <c r="BZ611" i="13" s="1"/>
  <c r="BZ612" i="13" s="1"/>
  <c r="BZ613" i="13" s="1"/>
  <c r="BZ614" i="13" s="1"/>
  <c r="BZ615" i="13" s="1"/>
  <c r="BZ616" i="13" s="1"/>
  <c r="BZ617" i="13" s="1"/>
  <c r="BZ618" i="13" s="1"/>
  <c r="BZ619" i="13" s="1"/>
  <c r="BZ620" i="13" s="1"/>
  <c r="BZ621" i="13" s="1"/>
  <c r="BZ622" i="13" s="1"/>
  <c r="BZ623" i="13" s="1"/>
  <c r="BZ624" i="13" s="1"/>
  <c r="BZ625" i="13" s="1"/>
  <c r="BZ626" i="13" s="1"/>
  <c r="BZ627" i="13" s="1"/>
  <c r="BZ628" i="13" s="1"/>
  <c r="BZ629" i="13" s="1"/>
  <c r="BZ630" i="13" s="1"/>
  <c r="BZ631" i="13" s="1"/>
  <c r="BZ632" i="13" s="1"/>
  <c r="BZ633" i="13" s="1"/>
  <c r="BZ634" i="13" s="1"/>
  <c r="BZ635" i="13" s="1"/>
  <c r="BZ636" i="13" s="1"/>
  <c r="BZ637" i="13" s="1"/>
  <c r="BZ638" i="13" s="1"/>
  <c r="BZ639" i="13" s="1"/>
  <c r="BZ640" i="13" s="1"/>
  <c r="BZ641" i="13" s="1"/>
  <c r="BZ642" i="13" s="1"/>
  <c r="BZ643" i="13" s="1"/>
  <c r="BZ644" i="13" s="1"/>
  <c r="BZ645" i="13" s="1"/>
  <c r="BZ646" i="13" s="1"/>
  <c r="BZ647" i="13" s="1"/>
  <c r="BZ648" i="13" s="1"/>
  <c r="BZ649" i="13" s="1"/>
  <c r="BZ650" i="13" s="1"/>
  <c r="BZ651" i="13" s="1"/>
  <c r="BZ652" i="13" s="1"/>
  <c r="BZ653" i="13" s="1"/>
  <c r="BZ654" i="13" s="1"/>
  <c r="BZ655" i="13" s="1"/>
  <c r="BZ656" i="13" s="1"/>
  <c r="BZ657" i="13" s="1"/>
  <c r="BZ658" i="13" s="1"/>
  <c r="BZ659" i="13" s="1"/>
  <c r="BZ660" i="13" s="1"/>
  <c r="BZ661" i="13" s="1"/>
  <c r="BZ662" i="13" s="1"/>
  <c r="BZ663" i="13" s="1"/>
  <c r="BZ664" i="13" s="1"/>
  <c r="BZ665" i="13" s="1"/>
  <c r="BZ666" i="13" s="1"/>
  <c r="BZ667" i="13" s="1"/>
  <c r="BZ668" i="13" s="1"/>
  <c r="BZ669" i="13" s="1"/>
  <c r="BZ670" i="13" s="1"/>
  <c r="BZ671" i="13" s="1"/>
  <c r="BZ672" i="13" s="1"/>
  <c r="BZ673" i="13" s="1"/>
  <c r="BZ674" i="13" s="1"/>
  <c r="BZ675" i="13" s="1"/>
  <c r="BZ676" i="13" s="1"/>
  <c r="BZ677" i="13" s="1"/>
  <c r="BZ678" i="13" s="1"/>
  <c r="BZ679" i="13" s="1"/>
  <c r="BZ680" i="13" s="1"/>
  <c r="BZ681" i="13" s="1"/>
  <c r="BZ682" i="13" s="1"/>
  <c r="BZ683" i="13" s="1"/>
  <c r="BZ684" i="13" s="1"/>
  <c r="BZ685" i="13" s="1"/>
  <c r="BZ686" i="13" s="1"/>
  <c r="BZ687" i="13" s="1"/>
  <c r="BZ688" i="13" s="1"/>
  <c r="BZ689" i="13" s="1"/>
  <c r="BZ690" i="13" s="1"/>
  <c r="BZ691" i="13" s="1"/>
  <c r="BZ692" i="13" s="1"/>
  <c r="BZ693" i="13" s="1"/>
  <c r="BZ694" i="13" s="1"/>
  <c r="BZ695" i="13" s="1"/>
  <c r="BZ696" i="13" s="1"/>
  <c r="BZ697" i="13" s="1"/>
  <c r="BZ698" i="13" s="1"/>
  <c r="BZ699" i="13" s="1"/>
  <c r="BZ700" i="13" s="1"/>
  <c r="BZ701" i="13" s="1"/>
  <c r="BZ702" i="13" s="1"/>
  <c r="BZ703" i="13" s="1"/>
  <c r="BZ704" i="13" s="1"/>
  <c r="BZ705" i="13" s="1"/>
  <c r="BZ706" i="13" s="1"/>
  <c r="BZ707" i="13" s="1"/>
  <c r="BZ708" i="13" s="1"/>
  <c r="BZ709" i="13" s="1"/>
  <c r="BZ710" i="13" s="1"/>
  <c r="BZ711" i="13" s="1"/>
  <c r="BZ712" i="13" s="1"/>
  <c r="BZ713" i="13" s="1"/>
  <c r="BZ714" i="13" s="1"/>
  <c r="BZ715" i="13" s="1"/>
  <c r="BZ716" i="13" s="1"/>
  <c r="BZ717" i="13" s="1"/>
  <c r="BZ718" i="13" s="1"/>
  <c r="BZ719" i="13" s="1"/>
  <c r="BZ720" i="13" s="1"/>
  <c r="BZ721" i="13" s="1"/>
  <c r="BZ722" i="13" s="1"/>
  <c r="BZ723" i="13" s="1"/>
  <c r="BZ724" i="13" s="1"/>
  <c r="BZ725" i="13" s="1"/>
  <c r="BZ726" i="13" s="1"/>
  <c r="BZ727" i="13" s="1"/>
  <c r="BZ728" i="13" s="1"/>
  <c r="BZ729" i="13" s="1"/>
  <c r="BZ730" i="13" s="1"/>
  <c r="BZ731" i="13" s="1"/>
  <c r="BZ732" i="13" s="1"/>
  <c r="BZ733" i="13" s="1"/>
  <c r="BZ734" i="13" s="1"/>
  <c r="BZ735" i="13" s="1"/>
  <c r="BZ736" i="13" s="1"/>
  <c r="BZ737" i="13" s="1"/>
  <c r="BZ738" i="13" s="1"/>
  <c r="BZ739" i="13" s="1"/>
  <c r="BZ740" i="13" s="1"/>
  <c r="BZ741" i="13" s="1"/>
  <c r="BZ742" i="13" s="1"/>
  <c r="BZ743" i="13" s="1"/>
  <c r="BZ744" i="13" s="1"/>
  <c r="BZ745" i="13" s="1"/>
  <c r="BZ746" i="13" s="1"/>
  <c r="BZ747" i="13" s="1"/>
  <c r="BZ748" i="13" s="1"/>
  <c r="BZ749" i="13" s="1"/>
  <c r="BZ750" i="13" s="1"/>
  <c r="BZ751" i="13" s="1"/>
  <c r="BZ752" i="13" s="1"/>
  <c r="BZ753" i="13" s="1"/>
  <c r="BZ754" i="13" s="1"/>
  <c r="BZ755" i="13" s="1"/>
  <c r="BZ756" i="13" s="1"/>
  <c r="BZ757" i="13" s="1"/>
  <c r="BZ758" i="13" s="1"/>
  <c r="BZ759" i="13" s="1"/>
  <c r="BZ760" i="13" s="1"/>
  <c r="BZ761" i="13" s="1"/>
  <c r="BZ762" i="13" s="1"/>
  <c r="BZ763" i="13" s="1"/>
  <c r="BZ764" i="13" s="1"/>
  <c r="BZ765" i="13" s="1"/>
  <c r="BZ766" i="13" s="1"/>
  <c r="BZ767" i="13" s="1"/>
  <c r="BZ768" i="13" s="1"/>
  <c r="BZ769" i="13" s="1"/>
  <c r="BZ770" i="13" s="1"/>
  <c r="BZ771" i="13" s="1"/>
  <c r="BZ772" i="13" s="1"/>
  <c r="BZ773" i="13" s="1"/>
  <c r="BZ774" i="13" s="1"/>
  <c r="BZ775" i="13" s="1"/>
  <c r="BZ776" i="13" s="1"/>
  <c r="BZ777" i="13" s="1"/>
  <c r="BZ778" i="13" s="1"/>
  <c r="BZ779" i="13" s="1"/>
  <c r="BZ780" i="13" s="1"/>
  <c r="BZ781" i="13" s="1"/>
  <c r="BZ782" i="13" s="1"/>
  <c r="BZ783" i="13" s="1"/>
  <c r="BZ784" i="13" s="1"/>
  <c r="BZ785" i="13" s="1"/>
  <c r="BZ786" i="13" s="1"/>
  <c r="BZ787" i="13" s="1"/>
  <c r="BZ788" i="13" s="1"/>
  <c r="BZ789" i="13" s="1"/>
  <c r="BZ790" i="13" s="1"/>
  <c r="BZ791" i="13" s="1"/>
  <c r="BZ792" i="13" s="1"/>
  <c r="BZ793" i="13" s="1"/>
  <c r="BZ794" i="13" s="1"/>
  <c r="BZ795" i="13" s="1"/>
  <c r="BZ796" i="13" s="1"/>
  <c r="BZ797" i="13" s="1"/>
  <c r="BZ798" i="13" s="1"/>
  <c r="BZ799" i="13" s="1"/>
  <c r="BZ800" i="13" s="1"/>
  <c r="BZ801" i="13" s="1"/>
  <c r="BZ802" i="13" s="1"/>
  <c r="BZ803" i="13" s="1"/>
  <c r="BZ804" i="13" s="1"/>
  <c r="BZ805" i="13" s="1"/>
  <c r="BZ806" i="13" s="1"/>
  <c r="BZ807" i="13" s="1"/>
  <c r="BZ808" i="13" s="1"/>
  <c r="BZ809" i="13" s="1"/>
  <c r="BZ810" i="13" s="1"/>
  <c r="BZ811" i="13" s="1"/>
  <c r="BZ812" i="13" s="1"/>
  <c r="BZ813" i="13" s="1"/>
  <c r="BZ814" i="13" s="1"/>
  <c r="BZ815" i="13" s="1"/>
  <c r="BZ816" i="13" s="1"/>
  <c r="BZ817" i="13" s="1"/>
  <c r="BZ818" i="13" s="1"/>
  <c r="BZ819" i="13" s="1"/>
  <c r="BZ820" i="13" s="1"/>
  <c r="BZ821" i="13" s="1"/>
  <c r="BZ822" i="13" s="1"/>
  <c r="BZ823" i="13" s="1"/>
  <c r="BZ824" i="13" s="1"/>
  <c r="BZ825" i="13" s="1"/>
  <c r="BZ826" i="13" s="1"/>
  <c r="BZ827" i="13" s="1"/>
  <c r="BZ828" i="13" s="1"/>
  <c r="BZ829" i="13" s="1"/>
  <c r="BZ830" i="13" s="1"/>
  <c r="BZ831" i="13" s="1"/>
  <c r="BZ832" i="13" s="1"/>
  <c r="BZ833" i="13" s="1"/>
  <c r="BZ834" i="13" s="1"/>
  <c r="BZ835" i="13" s="1"/>
  <c r="BZ836" i="13" s="1"/>
  <c r="BZ837" i="13" s="1"/>
  <c r="BZ838" i="13" s="1"/>
  <c r="BZ839" i="13" s="1"/>
  <c r="BZ840" i="13" s="1"/>
  <c r="BZ841" i="13" s="1"/>
  <c r="BZ842" i="13" s="1"/>
  <c r="BZ843" i="13" s="1"/>
  <c r="BZ844" i="13" s="1"/>
  <c r="BZ845" i="13" s="1"/>
  <c r="BZ846" i="13" s="1"/>
  <c r="BZ847" i="13" s="1"/>
  <c r="BZ848" i="13" s="1"/>
  <c r="BZ849" i="13" s="1"/>
  <c r="BZ850" i="13" s="1"/>
  <c r="BZ851" i="13" s="1"/>
  <c r="BZ852" i="13" s="1"/>
  <c r="BZ853" i="13" s="1"/>
  <c r="BZ854" i="13" s="1"/>
  <c r="BZ855" i="13" s="1"/>
  <c r="BZ856" i="13" s="1"/>
  <c r="BZ857" i="13" s="1"/>
  <c r="BZ858" i="13" s="1"/>
  <c r="BZ859" i="13" s="1"/>
  <c r="BZ860" i="13" s="1"/>
  <c r="BZ861" i="13" s="1"/>
  <c r="BZ862" i="13" s="1"/>
  <c r="BZ863" i="13" s="1"/>
  <c r="BZ864" i="13" s="1"/>
  <c r="BZ865" i="13" s="1"/>
  <c r="BZ866" i="13" s="1"/>
  <c r="BZ867" i="13" s="1"/>
  <c r="BZ868" i="13" s="1"/>
  <c r="BZ869" i="13" s="1"/>
  <c r="BZ870" i="13" s="1"/>
  <c r="BZ871" i="13" s="1"/>
  <c r="BZ872" i="13" s="1"/>
  <c r="BZ873" i="13" s="1"/>
  <c r="BZ874" i="13" s="1"/>
  <c r="BZ875" i="13" s="1"/>
  <c r="BZ876" i="13" s="1"/>
  <c r="BZ877" i="13" s="1"/>
  <c r="BZ878" i="13" s="1"/>
  <c r="BZ879" i="13" s="1"/>
  <c r="BZ880" i="13" s="1"/>
  <c r="BZ881" i="13" s="1"/>
  <c r="BZ882" i="13" s="1"/>
  <c r="BZ883" i="13" s="1"/>
  <c r="BZ884" i="13" s="1"/>
  <c r="BZ885" i="13" s="1"/>
  <c r="BZ886" i="13" s="1"/>
  <c r="BZ887" i="13" s="1"/>
  <c r="BZ888" i="13" s="1"/>
  <c r="BZ889" i="13" s="1"/>
  <c r="BZ890" i="13" s="1"/>
  <c r="BZ891" i="13" s="1"/>
  <c r="BZ892" i="13" s="1"/>
  <c r="BZ893" i="13" s="1"/>
  <c r="BZ894" i="13" s="1"/>
  <c r="BZ895" i="13" s="1"/>
  <c r="BZ896" i="13" s="1"/>
  <c r="BZ897" i="13" s="1"/>
  <c r="BZ898" i="13" s="1"/>
  <c r="BZ899" i="13" s="1"/>
  <c r="BZ900" i="13" s="1"/>
  <c r="BZ901" i="13" s="1"/>
  <c r="BZ902" i="13" s="1"/>
  <c r="BZ903" i="13" s="1"/>
  <c r="BZ904" i="13" s="1"/>
  <c r="BZ905" i="13" s="1"/>
  <c r="BZ906" i="13" s="1"/>
  <c r="BZ907" i="13" s="1"/>
  <c r="BZ908" i="13" s="1"/>
  <c r="BZ909" i="13" s="1"/>
  <c r="BZ910" i="13" s="1"/>
  <c r="BZ911" i="13" s="1"/>
  <c r="BZ912" i="13" s="1"/>
  <c r="BZ913" i="13" s="1"/>
  <c r="BZ914" i="13" s="1"/>
  <c r="BZ915" i="13" s="1"/>
  <c r="BZ916" i="13" s="1"/>
  <c r="BZ917" i="13" s="1"/>
  <c r="BZ918" i="13" s="1"/>
  <c r="BZ919" i="13" s="1"/>
  <c r="BZ920" i="13" s="1"/>
  <c r="BZ921" i="13" s="1"/>
  <c r="BZ922" i="13" s="1"/>
  <c r="BZ923" i="13" s="1"/>
  <c r="BZ924" i="13" s="1"/>
  <c r="BZ925" i="13" s="1"/>
  <c r="BZ926" i="13" s="1"/>
  <c r="BZ927" i="13" s="1"/>
  <c r="BZ928" i="13" s="1"/>
  <c r="BZ929" i="13" s="1"/>
  <c r="BZ930" i="13" s="1"/>
  <c r="BZ931" i="13" s="1"/>
  <c r="BZ932" i="13" s="1"/>
  <c r="BZ933" i="13" s="1"/>
  <c r="BZ934" i="13" s="1"/>
  <c r="BZ935" i="13" s="1"/>
  <c r="BZ936" i="13" s="1"/>
  <c r="BZ937" i="13" s="1"/>
  <c r="BZ938" i="13" s="1"/>
  <c r="BZ939" i="13" s="1"/>
  <c r="BZ940" i="13" s="1"/>
  <c r="BZ941" i="13" s="1"/>
  <c r="BZ942" i="13" s="1"/>
  <c r="BZ943" i="13" s="1"/>
  <c r="BZ944" i="13" s="1"/>
  <c r="BZ945" i="13" s="1"/>
  <c r="BZ946" i="13" s="1"/>
  <c r="BZ947" i="13" s="1"/>
  <c r="BZ948" i="13" s="1"/>
  <c r="BZ949" i="13" s="1"/>
  <c r="BZ950" i="13" s="1"/>
  <c r="BZ951" i="13" s="1"/>
  <c r="BZ952" i="13" s="1"/>
  <c r="BZ953" i="13" s="1"/>
  <c r="BZ954" i="13" s="1"/>
  <c r="BZ955" i="13" s="1"/>
  <c r="BZ956" i="13" s="1"/>
  <c r="BZ957" i="13" s="1"/>
  <c r="BZ958" i="13" s="1"/>
  <c r="BZ959" i="13" s="1"/>
  <c r="BZ960" i="13" s="1"/>
  <c r="BZ961" i="13" s="1"/>
  <c r="BZ962" i="13" s="1"/>
  <c r="BZ963" i="13" s="1"/>
  <c r="BZ964" i="13" s="1"/>
  <c r="BZ965" i="13" s="1"/>
  <c r="BZ966" i="13" s="1"/>
  <c r="BZ967" i="13" s="1"/>
  <c r="BZ968" i="13" s="1"/>
  <c r="BZ969" i="13" s="1"/>
  <c r="BZ970" i="13" s="1"/>
  <c r="BZ971" i="13" s="1"/>
  <c r="BZ972" i="13" s="1"/>
  <c r="BZ973" i="13" s="1"/>
  <c r="BZ974" i="13" s="1"/>
  <c r="BZ975" i="13"/>
  <c r="BZ976" i="13" s="1"/>
  <c r="BZ977" i="13" s="1"/>
  <c r="BZ978" i="13" s="1"/>
  <c r="BZ979" i="13" s="1"/>
  <c r="BZ980" i="13" s="1"/>
  <c r="BZ981" i="13" s="1"/>
  <c r="BZ982" i="13" s="1"/>
  <c r="BZ983" i="13" s="1"/>
  <c r="BZ984" i="13" s="1"/>
  <c r="BZ985" i="13" s="1"/>
  <c r="BZ986" i="13" s="1"/>
  <c r="BZ987" i="13" s="1"/>
  <c r="BZ988" i="13" s="1"/>
  <c r="BZ989" i="13" s="1"/>
  <c r="BZ990" i="13" s="1"/>
  <c r="BZ991" i="13" s="1"/>
  <c r="BZ992" i="13" s="1"/>
  <c r="BZ993" i="13" s="1"/>
  <c r="BZ994" i="13" s="1"/>
  <c r="BZ995" i="13" s="1"/>
  <c r="BZ996" i="13" s="1"/>
  <c r="BZ997" i="13" s="1"/>
  <c r="CK421" i="13"/>
  <c r="CK422" i="13" s="1"/>
  <c r="CK423" i="13" s="1"/>
  <c r="CK424" i="13" s="1"/>
  <c r="CK425" i="13" s="1"/>
  <c r="CK426" i="13" s="1"/>
  <c r="CK427" i="13" s="1"/>
  <c r="CK428" i="13" s="1"/>
  <c r="CK429" i="13" s="1"/>
  <c r="CK430" i="13" s="1"/>
  <c r="CK431" i="13" s="1"/>
  <c r="CK432" i="13" s="1"/>
  <c r="CK433" i="13" s="1"/>
  <c r="CK434" i="13" s="1"/>
  <c r="CK435" i="13" s="1"/>
  <c r="CK436" i="13" s="1"/>
  <c r="CK437" i="13" s="1"/>
  <c r="CK438" i="13" s="1"/>
  <c r="CK439" i="13" s="1"/>
  <c r="CK440" i="13" s="1"/>
  <c r="CK441" i="13" s="1"/>
  <c r="CK442" i="13" s="1"/>
  <c r="CK443" i="13" s="1"/>
  <c r="CK444" i="13" s="1"/>
  <c r="CK445" i="13" s="1"/>
  <c r="CK446" i="13" s="1"/>
  <c r="CK447" i="13" s="1"/>
  <c r="CK448" i="13" s="1"/>
  <c r="CK449" i="13" s="1"/>
  <c r="CK450" i="13" s="1"/>
  <c r="CK451" i="13" s="1"/>
  <c r="CK452" i="13" s="1"/>
  <c r="CK453" i="13" s="1"/>
  <c r="CK454" i="13" s="1"/>
  <c r="CK455" i="13" s="1"/>
  <c r="CK456" i="13" s="1"/>
  <c r="CK457" i="13" s="1"/>
  <c r="CK458" i="13" s="1"/>
  <c r="CK459" i="13" s="1"/>
  <c r="CK460" i="13" s="1"/>
  <c r="CK461" i="13" s="1"/>
  <c r="CK462" i="13" s="1"/>
  <c r="CK463" i="13" s="1"/>
  <c r="CK464" i="13" s="1"/>
  <c r="CK465" i="13" s="1"/>
  <c r="CK466" i="13" s="1"/>
  <c r="CK467" i="13" s="1"/>
  <c r="CK468" i="13" s="1"/>
  <c r="CK469" i="13" s="1"/>
  <c r="CK470" i="13" s="1"/>
  <c r="CK471" i="13" s="1"/>
  <c r="CK472" i="13" s="1"/>
  <c r="CK473" i="13" s="1"/>
  <c r="CK474" i="13" s="1"/>
  <c r="CK475" i="13" s="1"/>
  <c r="CK476" i="13" s="1"/>
  <c r="CK477" i="13" s="1"/>
  <c r="CK478" i="13" s="1"/>
  <c r="CK479" i="13" s="1"/>
  <c r="CK480" i="13" s="1"/>
  <c r="CK481" i="13" s="1"/>
  <c r="CK482" i="13" s="1"/>
  <c r="CK483" i="13" s="1"/>
  <c r="CK484" i="13" s="1"/>
  <c r="CK485" i="13" s="1"/>
  <c r="CK486" i="13" s="1"/>
  <c r="CK487" i="13" s="1"/>
  <c r="CK488" i="13" s="1"/>
  <c r="CK489" i="13" s="1"/>
  <c r="CK490" i="13" s="1"/>
  <c r="CK491" i="13" s="1"/>
  <c r="CK492" i="13" s="1"/>
  <c r="CK493" i="13" s="1"/>
  <c r="CK494" i="13" s="1"/>
  <c r="CK495" i="13" s="1"/>
  <c r="CK496" i="13" s="1"/>
  <c r="CK497" i="13" s="1"/>
  <c r="CK498" i="13" s="1"/>
  <c r="CK499" i="13" s="1"/>
  <c r="CK500" i="13" s="1"/>
  <c r="CK501" i="13" s="1"/>
  <c r="CK502" i="13" s="1"/>
  <c r="CK503" i="13" s="1"/>
  <c r="CK504" i="13" s="1"/>
  <c r="CK505" i="13" s="1"/>
  <c r="CK506" i="13" s="1"/>
  <c r="CK507" i="13" s="1"/>
  <c r="CK508" i="13" s="1"/>
  <c r="CK509" i="13" s="1"/>
  <c r="CK510" i="13" s="1"/>
  <c r="CK511" i="13" s="1"/>
  <c r="CK512" i="13" s="1"/>
  <c r="CK513" i="13" s="1"/>
  <c r="CK514" i="13" s="1"/>
  <c r="CK515" i="13" s="1"/>
  <c r="CK516" i="13" s="1"/>
  <c r="CK517" i="13" s="1"/>
  <c r="CK518" i="13" s="1"/>
  <c r="CK519" i="13" s="1"/>
  <c r="CK520" i="13" s="1"/>
  <c r="CK521" i="13" s="1"/>
  <c r="CK522" i="13" s="1"/>
  <c r="CK523" i="13" s="1"/>
  <c r="CK524" i="13" s="1"/>
  <c r="CK525" i="13" s="1"/>
  <c r="CK526" i="13" s="1"/>
  <c r="CK527" i="13" s="1"/>
  <c r="CK528" i="13" s="1"/>
  <c r="CK529" i="13" s="1"/>
  <c r="CK530" i="13" s="1"/>
  <c r="CK531" i="13" s="1"/>
  <c r="CK532" i="13" s="1"/>
  <c r="CK533" i="13" s="1"/>
  <c r="CK534" i="13" s="1"/>
  <c r="CK535" i="13" s="1"/>
  <c r="CK536" i="13" s="1"/>
  <c r="CK537" i="13" s="1"/>
  <c r="CK538" i="13" s="1"/>
  <c r="CK539" i="13" s="1"/>
  <c r="CK540" i="13" s="1"/>
  <c r="CK541" i="13" s="1"/>
  <c r="CK542" i="13" s="1"/>
  <c r="CK543" i="13" s="1"/>
  <c r="CK544" i="13" s="1"/>
  <c r="CK545" i="13" s="1"/>
  <c r="CK546" i="13" s="1"/>
  <c r="CK547" i="13" s="1"/>
  <c r="CK548" i="13" s="1"/>
  <c r="CK549" i="13" s="1"/>
  <c r="CK550" i="13" s="1"/>
  <c r="CK551" i="13" s="1"/>
  <c r="CK552" i="13" s="1"/>
  <c r="CK553" i="13" s="1"/>
  <c r="CK554" i="13" s="1"/>
  <c r="CK555" i="13" s="1"/>
  <c r="CK556" i="13" s="1"/>
  <c r="CK557" i="13" s="1"/>
  <c r="CK558" i="13" s="1"/>
  <c r="CK559" i="13" s="1"/>
  <c r="CK560" i="13" s="1"/>
  <c r="CK561" i="13" s="1"/>
  <c r="CK562" i="13" s="1"/>
  <c r="CK563" i="13" s="1"/>
  <c r="CK564" i="13" s="1"/>
  <c r="CK565" i="13" s="1"/>
  <c r="CK566" i="13" s="1"/>
  <c r="CK567" i="13" s="1"/>
  <c r="CK568" i="13" s="1"/>
  <c r="CK569" i="13" s="1"/>
  <c r="CK570" i="13" s="1"/>
  <c r="CK571" i="13" s="1"/>
  <c r="CK572" i="13" s="1"/>
  <c r="CK573" i="13" s="1"/>
  <c r="CK574" i="13" s="1"/>
  <c r="CK575" i="13" s="1"/>
  <c r="CK576" i="13" s="1"/>
  <c r="CK577" i="13" s="1"/>
  <c r="CK578" i="13" s="1"/>
  <c r="CK579" i="13" s="1"/>
  <c r="CK580" i="13" s="1"/>
  <c r="CK581" i="13" s="1"/>
  <c r="CK582" i="13" s="1"/>
  <c r="CK583" i="13" s="1"/>
  <c r="CK584" i="13" s="1"/>
  <c r="CK585" i="13" s="1"/>
  <c r="CK586" i="13" s="1"/>
  <c r="CK587" i="13" s="1"/>
  <c r="CK588" i="13" s="1"/>
  <c r="CK589" i="13" s="1"/>
  <c r="CK590" i="13" s="1"/>
  <c r="CK591" i="13" s="1"/>
  <c r="CK592" i="13" s="1"/>
  <c r="CK593" i="13" s="1"/>
  <c r="CK594" i="13" s="1"/>
  <c r="CK595" i="13" s="1"/>
  <c r="CK596" i="13" s="1"/>
  <c r="CK597" i="13" s="1"/>
  <c r="CK598" i="13" s="1"/>
  <c r="CK599" i="13" s="1"/>
  <c r="CK600" i="13" s="1"/>
  <c r="CK601" i="13" s="1"/>
  <c r="CK602" i="13" s="1"/>
  <c r="CK603" i="13" s="1"/>
  <c r="CK604" i="13" s="1"/>
  <c r="CK605" i="13" s="1"/>
  <c r="CK606" i="13" s="1"/>
  <c r="CK607" i="13" s="1"/>
  <c r="CK608" i="13" s="1"/>
  <c r="CK609" i="13" s="1"/>
  <c r="CK610" i="13" s="1"/>
  <c r="CK611" i="13" s="1"/>
  <c r="CK612" i="13" s="1"/>
  <c r="CK613" i="13" s="1"/>
  <c r="CK614" i="13" s="1"/>
  <c r="CK615" i="13" s="1"/>
  <c r="CK616" i="13" s="1"/>
  <c r="CK617" i="13" s="1"/>
  <c r="CK618" i="13" s="1"/>
  <c r="CK619" i="13" s="1"/>
  <c r="CK620" i="13" s="1"/>
  <c r="CK621" i="13" s="1"/>
  <c r="CK622" i="13" s="1"/>
  <c r="CK623" i="13" s="1"/>
  <c r="CK624" i="13" s="1"/>
  <c r="CK625" i="13" s="1"/>
  <c r="CK626" i="13" s="1"/>
  <c r="CK627" i="13" s="1"/>
  <c r="CK628" i="13" s="1"/>
  <c r="CK629" i="13" s="1"/>
  <c r="CK630" i="13" s="1"/>
  <c r="CK631" i="13" s="1"/>
  <c r="CK632" i="13" s="1"/>
  <c r="CK633" i="13" s="1"/>
  <c r="CK634" i="13" s="1"/>
  <c r="CK635" i="13" s="1"/>
  <c r="CK636" i="13" s="1"/>
  <c r="CK637" i="13" s="1"/>
  <c r="CK638" i="13" s="1"/>
  <c r="CK639" i="13" s="1"/>
  <c r="CK640" i="13" s="1"/>
  <c r="CK641" i="13" s="1"/>
  <c r="CK642" i="13" s="1"/>
  <c r="CK643" i="13" s="1"/>
  <c r="CK644" i="13" s="1"/>
  <c r="CK645" i="13" s="1"/>
  <c r="CK646" i="13" s="1"/>
  <c r="CK647" i="13" s="1"/>
  <c r="CK648" i="13" s="1"/>
  <c r="CK649" i="13" s="1"/>
  <c r="CK650" i="13" s="1"/>
  <c r="CK651" i="13" s="1"/>
  <c r="CK652" i="13" s="1"/>
  <c r="CK653" i="13" s="1"/>
  <c r="CK654" i="13" s="1"/>
  <c r="CK655" i="13" s="1"/>
  <c r="CK656" i="13" s="1"/>
  <c r="CK657" i="13" s="1"/>
  <c r="CK658" i="13" s="1"/>
  <c r="CK659" i="13" s="1"/>
  <c r="CK660" i="13" s="1"/>
  <c r="CK661" i="13" s="1"/>
  <c r="CK662" i="13" s="1"/>
  <c r="CK663" i="13" s="1"/>
  <c r="CK664" i="13" s="1"/>
  <c r="CK665" i="13" s="1"/>
  <c r="CK666" i="13" s="1"/>
  <c r="CK667" i="13" s="1"/>
  <c r="CK668" i="13" s="1"/>
  <c r="CK669" i="13" s="1"/>
  <c r="CK670" i="13" s="1"/>
  <c r="CK671" i="13" s="1"/>
  <c r="CK672" i="13" s="1"/>
  <c r="CK673" i="13" s="1"/>
  <c r="CK674" i="13" s="1"/>
  <c r="CK675" i="13" s="1"/>
  <c r="CK676" i="13" s="1"/>
  <c r="CK677" i="13" s="1"/>
  <c r="CK678" i="13" s="1"/>
  <c r="CK679" i="13" s="1"/>
  <c r="CK680" i="13" s="1"/>
  <c r="CK681" i="13" s="1"/>
  <c r="CK682" i="13" s="1"/>
  <c r="CK683" i="13" s="1"/>
  <c r="CK684" i="13" s="1"/>
  <c r="CK685" i="13" s="1"/>
  <c r="CK686" i="13" s="1"/>
  <c r="CK687" i="13" s="1"/>
  <c r="CK688" i="13" s="1"/>
  <c r="CK689" i="13" s="1"/>
  <c r="CK690" i="13" s="1"/>
  <c r="CK691" i="13" s="1"/>
  <c r="CK692" i="13" s="1"/>
  <c r="CK693" i="13" s="1"/>
  <c r="CK694" i="13" s="1"/>
  <c r="CK695" i="13" s="1"/>
  <c r="CK696" i="13" s="1"/>
  <c r="CK697" i="13" s="1"/>
  <c r="CK698" i="13" s="1"/>
  <c r="CK699" i="13" s="1"/>
  <c r="CK700" i="13" s="1"/>
  <c r="CK701" i="13" s="1"/>
  <c r="CK702" i="13" s="1"/>
  <c r="CK703" i="13" s="1"/>
  <c r="CK704" i="13" s="1"/>
  <c r="CK705" i="13" s="1"/>
  <c r="CK706" i="13" s="1"/>
  <c r="CK707" i="13" s="1"/>
  <c r="CK708" i="13" s="1"/>
  <c r="CK709" i="13" s="1"/>
  <c r="CK710" i="13" s="1"/>
  <c r="CK711" i="13" s="1"/>
  <c r="CK712" i="13" s="1"/>
  <c r="CK713" i="13" s="1"/>
  <c r="CK714" i="13" s="1"/>
  <c r="CK715" i="13" s="1"/>
  <c r="CK716" i="13" s="1"/>
  <c r="CK717" i="13" s="1"/>
  <c r="CK718" i="13" s="1"/>
  <c r="CK719" i="13" s="1"/>
  <c r="CK720" i="13" s="1"/>
  <c r="CK721" i="13" s="1"/>
  <c r="CK722" i="13" s="1"/>
  <c r="CK723" i="13" s="1"/>
  <c r="CK724" i="13" s="1"/>
  <c r="CK725" i="13" s="1"/>
  <c r="CK726" i="13" s="1"/>
  <c r="CK727" i="13" s="1"/>
  <c r="CK728" i="13" s="1"/>
  <c r="CK729" i="13" s="1"/>
  <c r="CK730" i="13" s="1"/>
  <c r="CK731" i="13" s="1"/>
  <c r="CK732" i="13" s="1"/>
  <c r="CK733" i="13" s="1"/>
  <c r="CK734" i="13" s="1"/>
  <c r="CK735" i="13" s="1"/>
  <c r="CK736" i="13" s="1"/>
  <c r="CK737" i="13" s="1"/>
  <c r="CK738" i="13" s="1"/>
  <c r="CK739" i="13" s="1"/>
  <c r="CK740" i="13" s="1"/>
  <c r="CK741" i="13" s="1"/>
  <c r="CK742" i="13" s="1"/>
  <c r="CK743" i="13" s="1"/>
  <c r="CK744" i="13" s="1"/>
  <c r="CK745" i="13" s="1"/>
  <c r="CK746" i="13" s="1"/>
  <c r="CK747" i="13" s="1"/>
  <c r="CK748" i="13" s="1"/>
  <c r="CK749" i="13" s="1"/>
  <c r="CK750" i="13" s="1"/>
  <c r="CK751" i="13" s="1"/>
  <c r="CK752" i="13" s="1"/>
  <c r="CK753" i="13" s="1"/>
  <c r="CK754" i="13" s="1"/>
  <c r="CK755" i="13" s="1"/>
  <c r="CK756" i="13" s="1"/>
  <c r="CK757" i="13" s="1"/>
  <c r="CK758" i="13" s="1"/>
  <c r="CK759" i="13" s="1"/>
  <c r="CK760" i="13" s="1"/>
  <c r="CK761" i="13" s="1"/>
  <c r="CK762" i="13" s="1"/>
  <c r="CK763" i="13" s="1"/>
  <c r="CK764" i="13" s="1"/>
  <c r="CK765" i="13" s="1"/>
  <c r="CK766" i="13" s="1"/>
  <c r="CK767" i="13" s="1"/>
  <c r="CK768" i="13" s="1"/>
  <c r="CK769" i="13" s="1"/>
  <c r="CK770" i="13" s="1"/>
  <c r="CK771" i="13" s="1"/>
  <c r="CK772" i="13" s="1"/>
  <c r="CK773" i="13" s="1"/>
  <c r="CK774" i="13" s="1"/>
  <c r="CK775" i="13" s="1"/>
  <c r="CK776" i="13" s="1"/>
  <c r="CK777" i="13" s="1"/>
  <c r="CK778" i="13" s="1"/>
  <c r="CK779" i="13" s="1"/>
  <c r="CK780" i="13" s="1"/>
  <c r="CK781" i="13" s="1"/>
  <c r="CK782" i="13" s="1"/>
  <c r="CK783" i="13" s="1"/>
  <c r="CK784" i="13" s="1"/>
  <c r="CK785" i="13" s="1"/>
  <c r="CK786" i="13" s="1"/>
  <c r="CK787" i="13" s="1"/>
  <c r="CK788" i="13" s="1"/>
  <c r="CK789" i="13" s="1"/>
  <c r="CK790" i="13" s="1"/>
  <c r="CK791" i="13" s="1"/>
  <c r="CK792" i="13" s="1"/>
  <c r="CK793" i="13" s="1"/>
  <c r="CK794" i="13" s="1"/>
  <c r="CK795" i="13" s="1"/>
  <c r="CK796" i="13" s="1"/>
  <c r="CK797" i="13" s="1"/>
  <c r="CK798" i="13" s="1"/>
  <c r="CK799" i="13" s="1"/>
  <c r="CK800" i="13" s="1"/>
  <c r="CK801" i="13" s="1"/>
  <c r="CK802" i="13" s="1"/>
  <c r="CK803" i="13" s="1"/>
  <c r="CK804" i="13" s="1"/>
  <c r="CK805" i="13" s="1"/>
  <c r="CK806" i="13" s="1"/>
  <c r="CK807" i="13" s="1"/>
  <c r="CK808" i="13" s="1"/>
  <c r="CK809" i="13" s="1"/>
  <c r="CK810" i="13" s="1"/>
  <c r="CK811" i="13" s="1"/>
  <c r="CK812" i="13" s="1"/>
  <c r="CK813" i="13" s="1"/>
  <c r="CK814" i="13" s="1"/>
  <c r="CK815" i="13" s="1"/>
  <c r="CK816" i="13" s="1"/>
  <c r="CK817" i="13" s="1"/>
  <c r="CK818" i="13" s="1"/>
  <c r="CK819" i="13" s="1"/>
  <c r="CK820" i="13" s="1"/>
  <c r="CK821" i="13" s="1"/>
  <c r="CK822" i="13" s="1"/>
  <c r="CK823" i="13" s="1"/>
  <c r="CK824" i="13" s="1"/>
  <c r="CK825" i="13" s="1"/>
  <c r="CK826" i="13" s="1"/>
  <c r="CK827" i="13" s="1"/>
  <c r="CK828" i="13" s="1"/>
  <c r="CK829" i="13" s="1"/>
  <c r="CK830" i="13" s="1"/>
  <c r="CK831" i="13" s="1"/>
  <c r="CK832" i="13" s="1"/>
  <c r="CK833" i="13" s="1"/>
  <c r="CK834" i="13" s="1"/>
  <c r="CK835" i="13" s="1"/>
  <c r="CK836" i="13" s="1"/>
  <c r="CK837" i="13" s="1"/>
  <c r="CK838" i="13" s="1"/>
  <c r="CK839" i="13" s="1"/>
  <c r="CK840" i="13" s="1"/>
  <c r="CK841" i="13" s="1"/>
  <c r="CK842" i="13" s="1"/>
  <c r="CK843" i="13" s="1"/>
  <c r="CK844" i="13" s="1"/>
  <c r="CK845" i="13" s="1"/>
  <c r="CK846" i="13" s="1"/>
  <c r="CK847" i="13" s="1"/>
  <c r="CK848" i="13" s="1"/>
  <c r="CK849" i="13" s="1"/>
  <c r="CK850" i="13" s="1"/>
  <c r="CK851" i="13" s="1"/>
  <c r="CK852" i="13" s="1"/>
  <c r="CK853" i="13" s="1"/>
  <c r="CK854" i="13" s="1"/>
  <c r="CK855" i="13" s="1"/>
  <c r="CK856" i="13" s="1"/>
  <c r="CK857" i="13" s="1"/>
  <c r="CK858" i="13" s="1"/>
  <c r="CK859" i="13" s="1"/>
  <c r="CK860" i="13" s="1"/>
  <c r="CK861" i="13" s="1"/>
  <c r="CK862" i="13" s="1"/>
  <c r="CK863" i="13" s="1"/>
  <c r="CK864" i="13" s="1"/>
  <c r="CK865" i="13" s="1"/>
  <c r="CK866" i="13" s="1"/>
  <c r="CK867" i="13" s="1"/>
  <c r="CK868" i="13" s="1"/>
  <c r="CK869" i="13" s="1"/>
  <c r="CK870" i="13" s="1"/>
  <c r="CK871" i="13" s="1"/>
  <c r="CK872" i="13" s="1"/>
  <c r="CK873" i="13" s="1"/>
  <c r="CK874" i="13" s="1"/>
  <c r="CK875" i="13" s="1"/>
  <c r="CK876" i="13" s="1"/>
  <c r="CK877" i="13" s="1"/>
  <c r="CK878" i="13" s="1"/>
  <c r="CK879" i="13" s="1"/>
  <c r="CK880" i="13" s="1"/>
  <c r="CK881" i="13" s="1"/>
  <c r="CK882" i="13" s="1"/>
  <c r="CK883" i="13" s="1"/>
  <c r="CK884" i="13" s="1"/>
  <c r="CK885" i="13" s="1"/>
  <c r="CK886" i="13" s="1"/>
  <c r="CK887" i="13" s="1"/>
  <c r="CK888" i="13" s="1"/>
  <c r="CK889" i="13" s="1"/>
  <c r="CK890" i="13" s="1"/>
  <c r="CK891" i="13" s="1"/>
  <c r="CK892" i="13" s="1"/>
  <c r="CK893" i="13" s="1"/>
  <c r="CK894" i="13" s="1"/>
  <c r="CK895" i="13" s="1"/>
  <c r="CK896" i="13" s="1"/>
  <c r="CK897" i="13" s="1"/>
  <c r="CK898" i="13" s="1"/>
  <c r="CK899" i="13" s="1"/>
  <c r="CK900" i="13" s="1"/>
  <c r="CK901" i="13" s="1"/>
  <c r="CK902" i="13" s="1"/>
  <c r="CK903" i="13" s="1"/>
  <c r="CK904" i="13" s="1"/>
  <c r="CK905" i="13" s="1"/>
  <c r="CK906" i="13" s="1"/>
  <c r="CK907" i="13" s="1"/>
  <c r="CK908" i="13" s="1"/>
  <c r="CK909" i="13" s="1"/>
  <c r="CK910" i="13" s="1"/>
  <c r="CK911" i="13" s="1"/>
  <c r="CK912" i="13" s="1"/>
  <c r="CK913" i="13" s="1"/>
  <c r="CK914" i="13" s="1"/>
  <c r="CK915" i="13" s="1"/>
  <c r="CK916" i="13" s="1"/>
  <c r="CK917" i="13" s="1"/>
  <c r="CK918" i="13" s="1"/>
  <c r="CK919" i="13" s="1"/>
  <c r="CK920" i="13" s="1"/>
  <c r="CK921" i="13" s="1"/>
  <c r="CK922" i="13" s="1"/>
  <c r="CK923" i="13" s="1"/>
  <c r="CK924" i="13" s="1"/>
  <c r="CK925" i="13" s="1"/>
  <c r="CK926" i="13" s="1"/>
  <c r="CK927" i="13" s="1"/>
  <c r="CK928" i="13" s="1"/>
  <c r="CK929" i="13" s="1"/>
  <c r="CK930" i="13" s="1"/>
  <c r="CK931" i="13" s="1"/>
  <c r="CK932" i="13" s="1"/>
  <c r="CK933" i="13" s="1"/>
  <c r="CK934" i="13" s="1"/>
  <c r="CK935" i="13" s="1"/>
  <c r="CK936" i="13" s="1"/>
  <c r="CK937" i="13" s="1"/>
  <c r="CK938" i="13" s="1"/>
  <c r="CK939" i="13" s="1"/>
  <c r="CK940" i="13" s="1"/>
  <c r="CK941" i="13" s="1"/>
  <c r="CK942" i="13" s="1"/>
  <c r="CK943" i="13" s="1"/>
  <c r="CK944" i="13" s="1"/>
  <c r="CK945" i="13" s="1"/>
  <c r="CK946" i="13" s="1"/>
  <c r="CK947" i="13" s="1"/>
  <c r="CK948" i="13" s="1"/>
  <c r="CK949" i="13" s="1"/>
  <c r="CK950" i="13" s="1"/>
  <c r="CK951" i="13" s="1"/>
  <c r="CK952" i="13" s="1"/>
  <c r="CK953" i="13" s="1"/>
  <c r="CK954" i="13" s="1"/>
  <c r="CK955" i="13" s="1"/>
  <c r="CK956" i="13" s="1"/>
  <c r="CK957" i="13" s="1"/>
  <c r="CK958" i="13" s="1"/>
  <c r="CK959" i="13" s="1"/>
  <c r="CK960" i="13" s="1"/>
  <c r="CK961" i="13" s="1"/>
  <c r="CK962" i="13" s="1"/>
  <c r="CK963" i="13" s="1"/>
  <c r="CK964" i="13" s="1"/>
  <c r="CK965" i="13" s="1"/>
  <c r="CK966" i="13" s="1"/>
  <c r="CK967" i="13" s="1"/>
  <c r="CK968" i="13" s="1"/>
  <c r="CK969" i="13" s="1"/>
  <c r="CK970" i="13" s="1"/>
  <c r="CK971" i="13" s="1"/>
  <c r="CK972" i="13" s="1"/>
  <c r="CK973" i="13" s="1"/>
  <c r="CK974" i="13" s="1"/>
  <c r="CK975" i="13" s="1"/>
  <c r="CK976" i="13" s="1"/>
  <c r="CK977" i="13" s="1"/>
  <c r="CK978" i="13" s="1"/>
  <c r="CK979" i="13" s="1"/>
  <c r="CK980" i="13" s="1"/>
  <c r="CK981" i="13" s="1"/>
  <c r="CK982" i="13" s="1"/>
  <c r="CK983" i="13" s="1"/>
  <c r="CK984" i="13" s="1"/>
  <c r="CK985" i="13" s="1"/>
  <c r="CK986" i="13" s="1"/>
  <c r="CK987" i="13" s="1"/>
  <c r="CK988" i="13" s="1"/>
  <c r="CK989" i="13" s="1"/>
  <c r="CK990" i="13" s="1"/>
  <c r="CK991" i="13" s="1"/>
  <c r="CK992" i="13" s="1"/>
  <c r="CK993" i="13" s="1"/>
  <c r="CK994" i="13" s="1"/>
  <c r="CK995" i="13" s="1"/>
  <c r="CK996" i="13" s="1"/>
  <c r="CK997" i="13" s="1"/>
  <c r="CK998" i="13" s="1"/>
  <c r="CK999" i="13" s="1"/>
  <c r="CK1000" i="13" s="1"/>
  <c r="CK1001" i="13" s="1"/>
  <c r="CK1002" i="13" s="1"/>
  <c r="CK1003" i="13" s="1"/>
  <c r="CK1004" i="13" s="1"/>
  <c r="CK1005" i="13" s="1"/>
  <c r="CK1006" i="13" s="1"/>
  <c r="CK1007" i="13" s="1"/>
  <c r="CK1008" i="13" s="1"/>
  <c r="CK1009" i="13" s="1"/>
  <c r="CK1010" i="13" s="1"/>
  <c r="CK1011" i="13" s="1"/>
  <c r="CK1012" i="13" s="1"/>
  <c r="CK1013" i="13" s="1"/>
  <c r="CK1014" i="13" s="1"/>
  <c r="CK1015" i="13" s="1"/>
  <c r="CK1016" i="13" s="1"/>
  <c r="CK1017" i="13" s="1"/>
  <c r="CK1018" i="13" s="1"/>
  <c r="CK1019" i="13" s="1"/>
  <c r="CK1020" i="13" s="1"/>
  <c r="CK1021" i="13" s="1"/>
  <c r="CK1022" i="13" s="1"/>
  <c r="CK1023" i="13" s="1"/>
  <c r="CK1024" i="13" s="1"/>
  <c r="CK1025" i="13" s="1"/>
  <c r="CK1026" i="13" s="1"/>
  <c r="CK1027" i="13" s="1"/>
  <c r="CK1028" i="13" s="1"/>
  <c r="CK1029" i="13" s="1"/>
  <c r="CK1030" i="13" s="1"/>
  <c r="CK1031" i="13" s="1"/>
  <c r="CK1032" i="13" s="1"/>
  <c r="CK1033" i="13" s="1"/>
  <c r="CK1034" i="13" s="1"/>
  <c r="CK1035" i="13" s="1"/>
  <c r="CK1036" i="13" s="1"/>
  <c r="CK1037" i="13" s="1"/>
  <c r="CK1038" i="13" s="1"/>
  <c r="CK1039" i="13" s="1"/>
  <c r="CK1040" i="13" s="1"/>
  <c r="CK1041" i="13" s="1"/>
  <c r="CK1042" i="13" s="1"/>
  <c r="CK1043" i="13" s="1"/>
  <c r="CK1044" i="13" s="1"/>
  <c r="CK1045" i="13" s="1"/>
  <c r="CK1046" i="13" s="1"/>
  <c r="CK1047" i="13" s="1"/>
  <c r="CK1048" i="13" s="1"/>
  <c r="CK1049" i="13" s="1"/>
  <c r="CK1050" i="13" s="1"/>
  <c r="CK1051" i="13" s="1"/>
  <c r="CK1052" i="13" s="1"/>
  <c r="CK1053" i="13" s="1"/>
  <c r="CK1054" i="13" s="1"/>
  <c r="CK1055" i="13" s="1"/>
  <c r="CK1056" i="13" s="1"/>
  <c r="CK1057" i="13" s="1"/>
  <c r="CK1058" i="13" s="1"/>
  <c r="CK1059" i="13" s="1"/>
  <c r="CK1060" i="13" s="1"/>
  <c r="CK1061" i="13" s="1"/>
  <c r="CK1062" i="13" s="1"/>
  <c r="CK1063" i="13" s="1"/>
  <c r="CK1064" i="13" s="1"/>
  <c r="CK1065" i="13" s="1"/>
  <c r="CK1066" i="13" s="1"/>
  <c r="CK1067" i="13" s="1"/>
  <c r="CK1068" i="13" s="1"/>
  <c r="CK1069" i="13" s="1"/>
  <c r="CK1070" i="13" s="1"/>
  <c r="CK1071" i="13" s="1"/>
  <c r="CK1072" i="13" s="1"/>
  <c r="CK1073" i="13" s="1"/>
  <c r="CK1074" i="13" s="1"/>
  <c r="CK1075" i="13" s="1"/>
  <c r="CK1076" i="13" s="1"/>
  <c r="CK1077" i="13" s="1"/>
  <c r="CK1078" i="13" s="1"/>
  <c r="CK1079" i="13" s="1"/>
  <c r="CK1080" i="13" s="1"/>
  <c r="CK1081" i="13" s="1"/>
  <c r="CK1082" i="13" s="1"/>
  <c r="CK1083" i="13" s="1"/>
  <c r="CK1084" i="13" s="1"/>
  <c r="CK1085" i="13" s="1"/>
  <c r="CK1086" i="13" s="1"/>
  <c r="CK1087" i="13" s="1"/>
  <c r="CK1088" i="13" s="1"/>
  <c r="CK1089" i="13" s="1"/>
  <c r="CK1090" i="13" s="1"/>
  <c r="CK1091" i="13" s="1"/>
  <c r="CK1092" i="13" s="1"/>
  <c r="CK1093" i="13" s="1"/>
  <c r="CK1094" i="13" s="1"/>
  <c r="CK1095" i="13" s="1"/>
  <c r="CK1096" i="13" s="1"/>
  <c r="CK1097" i="13" s="1"/>
  <c r="CK1098" i="13" s="1"/>
  <c r="CK1099" i="13" s="1"/>
  <c r="CK1100" i="13" s="1"/>
  <c r="CK1101" i="13" s="1"/>
  <c r="CK1102" i="13" s="1"/>
  <c r="CK1103" i="13" s="1"/>
  <c r="CK1104" i="13" s="1"/>
  <c r="CK1105" i="13" s="1"/>
  <c r="CK1106" i="13" s="1"/>
  <c r="CK1107" i="13" s="1"/>
  <c r="CK1108" i="13" s="1"/>
  <c r="CK1109" i="13" s="1"/>
  <c r="CK1110" i="13" s="1"/>
  <c r="CK1111" i="13" s="1"/>
  <c r="CK1112" i="13" s="1"/>
  <c r="CK1113" i="13" s="1"/>
  <c r="CK1114" i="13" s="1"/>
  <c r="CK1115" i="13" s="1"/>
  <c r="CK1116" i="13" s="1"/>
  <c r="CK1117" i="13" s="1"/>
  <c r="CK1118" i="13" s="1"/>
  <c r="CK1119" i="13" s="1"/>
  <c r="CK1120" i="13" s="1"/>
  <c r="CK1121" i="13" s="1"/>
  <c r="CK1122" i="13" s="1"/>
  <c r="CK1123" i="13" s="1"/>
  <c r="CK1124" i="13" s="1"/>
  <c r="CK1125" i="13" s="1"/>
  <c r="CK1126" i="13" s="1"/>
  <c r="CK1127" i="13" s="1"/>
  <c r="CK1128" i="13" s="1"/>
  <c r="CK1129" i="13" s="1"/>
  <c r="CK1130" i="13" s="1"/>
  <c r="CK1131" i="13" s="1"/>
  <c r="CK1132" i="13" s="1"/>
  <c r="CK1133" i="13" s="1"/>
  <c r="CK1134" i="13" s="1"/>
  <c r="CK1135" i="13" s="1"/>
  <c r="CK1136" i="13" s="1"/>
  <c r="CK1137" i="13" s="1"/>
  <c r="CK1138" i="13" s="1"/>
  <c r="CK1139" i="13" s="1"/>
  <c r="CK1140" i="13" s="1"/>
  <c r="CK1141" i="13" s="1"/>
  <c r="CK1142" i="13" s="1"/>
  <c r="CK1143" i="13" s="1"/>
  <c r="CK1144" i="13" s="1"/>
  <c r="CK1145" i="13" s="1"/>
  <c r="CK1146" i="13" s="1"/>
  <c r="CK1147" i="13" s="1"/>
  <c r="CK1148" i="13" s="1"/>
  <c r="CK1149" i="13" s="1"/>
  <c r="CK1150" i="13" s="1"/>
  <c r="CK1151" i="13" s="1"/>
  <c r="CK1152" i="13" s="1"/>
  <c r="CK1153" i="13" s="1"/>
  <c r="CK1154" i="13" s="1"/>
  <c r="CK1155" i="13" s="1"/>
  <c r="CK1156" i="13" s="1"/>
  <c r="CK1157" i="13" s="1"/>
  <c r="CK1158" i="13" s="1"/>
  <c r="CK1159" i="13" s="1"/>
  <c r="CK1160" i="13" s="1"/>
  <c r="CK1161" i="13" s="1"/>
  <c r="CK1162" i="13" s="1"/>
  <c r="CK1163" i="13" s="1"/>
  <c r="CK1164" i="13" s="1"/>
  <c r="CK1165" i="13" s="1"/>
  <c r="CK1166" i="13" s="1"/>
  <c r="CK1167" i="13" s="1"/>
  <c r="CK1168" i="13" s="1"/>
  <c r="CK1169" i="13" s="1"/>
  <c r="CK1170" i="13" s="1"/>
  <c r="CK1171" i="13" s="1"/>
  <c r="CK1172" i="13" s="1"/>
  <c r="CK1173" i="13" s="1"/>
  <c r="CK1174" i="13" s="1"/>
  <c r="CK1175" i="13" s="1"/>
  <c r="CK1176" i="13" s="1"/>
  <c r="CK1177" i="13" s="1"/>
  <c r="CK1178" i="13" s="1"/>
  <c r="CK1179" i="13" s="1"/>
  <c r="CK1180" i="13" s="1"/>
  <c r="CK1181" i="13" s="1"/>
  <c r="CK1182" i="13" s="1"/>
  <c r="CK1183" i="13" s="1"/>
  <c r="CK1184" i="13" s="1"/>
  <c r="CK1185" i="13" s="1"/>
  <c r="CK1186" i="13" s="1"/>
  <c r="CK1187" i="13" s="1"/>
  <c r="CK1188" i="13" s="1"/>
  <c r="CK1189" i="13" s="1"/>
  <c r="CK1190" i="13" s="1"/>
  <c r="CK1191" i="13" s="1"/>
  <c r="CK1192" i="13" s="1"/>
  <c r="CK1193" i="13" s="1"/>
  <c r="CK1194" i="13" s="1"/>
  <c r="CK1195" i="13" s="1"/>
  <c r="CK1196" i="13" s="1"/>
  <c r="CK1197" i="13" s="1"/>
  <c r="CK1198" i="13" s="1"/>
  <c r="CK1199" i="13" s="1"/>
  <c r="CK1200" i="13" s="1"/>
  <c r="CK1201" i="13" s="1"/>
  <c r="CK1202" i="13" s="1"/>
  <c r="CK1203" i="13" s="1"/>
  <c r="CK1204" i="13" s="1"/>
  <c r="CK1205" i="13" s="1"/>
  <c r="CK1206" i="13" s="1"/>
  <c r="CK1207" i="13" s="1"/>
  <c r="CK1208" i="13" s="1"/>
  <c r="CK1209" i="13" s="1"/>
  <c r="CK1210" i="13" s="1"/>
  <c r="CK1211" i="13" s="1"/>
  <c r="CK1212" i="13" s="1"/>
  <c r="CK1213" i="13" s="1"/>
  <c r="CK1214" i="13" s="1"/>
  <c r="CK1215" i="13" s="1"/>
  <c r="CK1216" i="13" s="1"/>
  <c r="CK1217" i="13" s="1"/>
  <c r="CK1218" i="13" s="1"/>
  <c r="CK1219" i="13" s="1"/>
  <c r="CK1220" i="13" s="1"/>
  <c r="CK1221" i="13" s="1"/>
  <c r="CK1222" i="13" s="1"/>
  <c r="CK1223" i="13" s="1"/>
  <c r="CK1224" i="13" s="1"/>
  <c r="CK1225" i="13" s="1"/>
  <c r="CK1226" i="13" s="1"/>
  <c r="CK1227" i="13" s="1"/>
  <c r="CK1228" i="13" s="1"/>
  <c r="CK1229" i="13" s="1"/>
  <c r="CK1230" i="13" s="1"/>
  <c r="CK1231" i="13" s="1"/>
  <c r="CK1232" i="13" s="1"/>
  <c r="CK1233" i="13" s="1"/>
  <c r="CK1234" i="13" s="1"/>
  <c r="CK1235" i="13" s="1"/>
  <c r="CK1236" i="13" s="1"/>
  <c r="CK1237" i="13" s="1"/>
  <c r="CK1238" i="13" s="1"/>
  <c r="CK1239" i="13" s="1"/>
  <c r="CK1240" i="13" s="1"/>
  <c r="CK1241" i="13" s="1"/>
  <c r="CK1242" i="13" s="1"/>
  <c r="CK1243" i="13" s="1"/>
  <c r="CK1244" i="13" s="1"/>
  <c r="CK1245" i="13" s="1"/>
  <c r="CK1246" i="13" s="1"/>
  <c r="CK1247" i="13" s="1"/>
  <c r="CK1248" i="13" s="1"/>
  <c r="CK1249" i="13" s="1"/>
  <c r="CK1250" i="13" s="1"/>
  <c r="CK1251" i="13" s="1"/>
  <c r="CK1252" i="13" s="1"/>
  <c r="CK1253" i="13" s="1"/>
  <c r="CK1254" i="13" s="1"/>
  <c r="CK1255" i="13" s="1"/>
  <c r="CK1256" i="13" s="1"/>
  <c r="CK1257" i="13" s="1"/>
  <c r="CK1258" i="13" s="1"/>
  <c r="CK1259" i="13" s="1"/>
  <c r="CK1260" i="13" s="1"/>
  <c r="CK1261" i="13" s="1"/>
  <c r="CK1262" i="13" s="1"/>
  <c r="CK1263" i="13" s="1"/>
  <c r="CK1264" i="13" s="1"/>
  <c r="CK1265" i="13" s="1"/>
  <c r="CK1266" i="13" s="1"/>
  <c r="CK1267" i="13" s="1"/>
  <c r="CK1268" i="13" s="1"/>
  <c r="CK1269" i="13" s="1"/>
  <c r="CK1270" i="13" s="1"/>
  <c r="CK1271" i="13" s="1"/>
  <c r="CK1272" i="13" s="1"/>
  <c r="CK1273" i="13" s="1"/>
  <c r="CK1274" i="13" s="1"/>
  <c r="CK1275" i="13" s="1"/>
  <c r="CK1276" i="13" s="1"/>
  <c r="CK1277" i="13" s="1"/>
  <c r="CK1278" i="13" s="1"/>
  <c r="CK1279" i="13" s="1"/>
  <c r="CK1280" i="13" s="1"/>
  <c r="CK1281" i="13" s="1"/>
  <c r="CK1282" i="13" s="1"/>
  <c r="CK1283" i="13" s="1"/>
  <c r="CK1284" i="13" s="1"/>
  <c r="CK1285" i="13" s="1"/>
  <c r="CK1286" i="13" s="1"/>
  <c r="CK1287" i="13" s="1"/>
  <c r="CK1288" i="13" s="1"/>
  <c r="CK1289" i="13" s="1"/>
  <c r="CK1290" i="13" s="1"/>
  <c r="CK1291" i="13" s="1"/>
  <c r="CK1292" i="13" s="1"/>
  <c r="CK1293" i="13" s="1"/>
  <c r="CK1294" i="13" s="1"/>
  <c r="CK1295" i="13" s="1"/>
  <c r="CK1296" i="13" s="1"/>
  <c r="CK1297" i="13" s="1"/>
  <c r="CK1298" i="13" s="1"/>
  <c r="CK1299" i="13" s="1"/>
  <c r="CK1300" i="13" s="1"/>
  <c r="CK1301" i="13" s="1"/>
  <c r="CK1302" i="13" s="1"/>
  <c r="CK1303" i="13" s="1"/>
  <c r="CK1304" i="13" s="1"/>
  <c r="CK1305" i="13" s="1"/>
  <c r="CK1306" i="13" s="1"/>
  <c r="CK1307" i="13" s="1"/>
  <c r="CK1308" i="13" s="1"/>
  <c r="CK1309" i="13" s="1"/>
  <c r="CK1310" i="13" s="1"/>
  <c r="CK1311" i="13" s="1"/>
  <c r="CK1312" i="13" s="1"/>
  <c r="CK1313" i="13" s="1"/>
  <c r="CK1314" i="13" s="1"/>
  <c r="CK1315" i="13" s="1"/>
  <c r="CK1316" i="13" s="1"/>
  <c r="CK1317" i="13" s="1"/>
  <c r="CK1318" i="13" s="1"/>
  <c r="CK1319" i="13" s="1"/>
  <c r="CK1320" i="13" s="1"/>
  <c r="CK1321" i="13" s="1"/>
  <c r="CK1322" i="13" s="1"/>
  <c r="CL213" i="13"/>
  <c r="CL214" i="13" s="1"/>
  <c r="CL215" i="13" s="1"/>
  <c r="CL216" i="13" s="1"/>
  <c r="CL217" i="13" s="1"/>
  <c r="CL218" i="13" s="1"/>
  <c r="CL219" i="13" s="1"/>
  <c r="CL220" i="13" s="1"/>
  <c r="CL221" i="13" s="1"/>
  <c r="CL222" i="13" s="1"/>
  <c r="CL223" i="13" s="1"/>
  <c r="CL224" i="13" s="1"/>
  <c r="CL225" i="13" s="1"/>
  <c r="CL226" i="13" s="1"/>
  <c r="CL227" i="13" s="1"/>
  <c r="CL228" i="13" s="1"/>
  <c r="CL229" i="13" s="1"/>
  <c r="CL230" i="13" s="1"/>
  <c r="CL231" i="13" s="1"/>
  <c r="CL232" i="13" s="1"/>
  <c r="CL233" i="13" s="1"/>
  <c r="CL234" i="13" s="1"/>
  <c r="CL235" i="13" s="1"/>
  <c r="CL236" i="13" s="1"/>
  <c r="CL237" i="13" s="1"/>
  <c r="CL238" i="13" s="1"/>
  <c r="CL239" i="13" s="1"/>
  <c r="CL240" i="13" s="1"/>
  <c r="CL241" i="13" s="1"/>
  <c r="CL242" i="13" s="1"/>
  <c r="CL243" i="13" s="1"/>
  <c r="CL244" i="13" s="1"/>
  <c r="CL245" i="13" s="1"/>
  <c r="CL246" i="13" s="1"/>
  <c r="CL247" i="13" s="1"/>
  <c r="CL248" i="13" s="1"/>
  <c r="CL249" i="13" s="1"/>
  <c r="CL250" i="13" s="1"/>
  <c r="CL251" i="13" s="1"/>
  <c r="CL252" i="13" s="1"/>
  <c r="CL253" i="13" s="1"/>
  <c r="CL254" i="13" s="1"/>
  <c r="CL255" i="13" s="1"/>
  <c r="CL256" i="13" s="1"/>
  <c r="CL257" i="13" s="1"/>
  <c r="CL258" i="13" s="1"/>
  <c r="CL259" i="13" s="1"/>
  <c r="CL260" i="13" s="1"/>
  <c r="CL261" i="13" s="1"/>
  <c r="CL262" i="13" s="1"/>
  <c r="CL263" i="13" s="1"/>
  <c r="CL264" i="13" s="1"/>
  <c r="CL265" i="13" s="1"/>
  <c r="CL266" i="13" s="1"/>
  <c r="CL267" i="13" s="1"/>
  <c r="CL268" i="13" s="1"/>
  <c r="CL269" i="13" s="1"/>
  <c r="CL270" i="13" s="1"/>
  <c r="CL271" i="13" s="1"/>
  <c r="CL272" i="13" s="1"/>
  <c r="CL273" i="13" s="1"/>
  <c r="CL274" i="13" s="1"/>
  <c r="CL275" i="13" s="1"/>
  <c r="CL276" i="13" s="1"/>
  <c r="CL277" i="13" s="1"/>
  <c r="CL278" i="13" s="1"/>
  <c r="CL279" i="13" s="1"/>
  <c r="CL280" i="13" s="1"/>
  <c r="CL281" i="13" s="1"/>
  <c r="CL282" i="13" s="1"/>
  <c r="CL283" i="13" s="1"/>
  <c r="CL284" i="13" s="1"/>
  <c r="CL285" i="13" s="1"/>
  <c r="CL286" i="13" s="1"/>
  <c r="CL287" i="13" s="1"/>
  <c r="CL288" i="13" s="1"/>
  <c r="CL289" i="13" s="1"/>
  <c r="CL290" i="13" s="1"/>
  <c r="CL291" i="13" s="1"/>
  <c r="CL292" i="13" s="1"/>
  <c r="CL293" i="13" s="1"/>
  <c r="CL294" i="13" s="1"/>
  <c r="CL295" i="13" s="1"/>
  <c r="CL296" i="13" s="1"/>
  <c r="CL297" i="13" s="1"/>
  <c r="CL298" i="13" s="1"/>
  <c r="CL299" i="13" s="1"/>
  <c r="CL300" i="13" s="1"/>
  <c r="CL301" i="13" s="1"/>
  <c r="CL302" i="13" s="1"/>
  <c r="CL303" i="13" s="1"/>
  <c r="CL304" i="13" s="1"/>
  <c r="CL305" i="13" s="1"/>
  <c r="CL306" i="13" s="1"/>
  <c r="CL307" i="13" s="1"/>
  <c r="CL308" i="13" s="1"/>
  <c r="CL309" i="13" s="1"/>
  <c r="CL310" i="13" s="1"/>
  <c r="CL311" i="13" s="1"/>
  <c r="CL312" i="13" s="1"/>
  <c r="CL313" i="13" s="1"/>
  <c r="CL314" i="13" s="1"/>
  <c r="CL315" i="13" s="1"/>
  <c r="CL316" i="13" s="1"/>
  <c r="CL317" i="13" s="1"/>
  <c r="CL318" i="13" s="1"/>
  <c r="CL319" i="13" s="1"/>
  <c r="CL320" i="13" s="1"/>
  <c r="CL321" i="13" s="1"/>
  <c r="CL322" i="13" s="1"/>
  <c r="CL323" i="13" s="1"/>
  <c r="CL324" i="13" s="1"/>
  <c r="CL325" i="13" s="1"/>
  <c r="CL326" i="13" s="1"/>
  <c r="CL327" i="13" s="1"/>
  <c r="CL328" i="13" s="1"/>
  <c r="CL329" i="13" s="1"/>
  <c r="CL330" i="13" s="1"/>
  <c r="CL331" i="13" s="1"/>
  <c r="CL332" i="13" s="1"/>
  <c r="CL333" i="13" s="1"/>
  <c r="CL334" i="13" s="1"/>
  <c r="CL335" i="13" s="1"/>
  <c r="CL336" i="13" s="1"/>
  <c r="CL337" i="13" s="1"/>
  <c r="CL338" i="13" s="1"/>
  <c r="CL339" i="13" s="1"/>
  <c r="CL340" i="13" s="1"/>
  <c r="CL341" i="13" s="1"/>
  <c r="CL342" i="13" s="1"/>
  <c r="CL343" i="13" s="1"/>
  <c r="CL344" i="13" s="1"/>
  <c r="CL345" i="13" s="1"/>
  <c r="CL346" i="13" s="1"/>
  <c r="CL347" i="13" s="1"/>
  <c r="CL348" i="13" s="1"/>
  <c r="CL349" i="13" s="1"/>
  <c r="CL350" i="13" s="1"/>
  <c r="CL351" i="13" s="1"/>
  <c r="CL352" i="13" s="1"/>
  <c r="CL353" i="13" s="1"/>
  <c r="CL354" i="13" s="1"/>
  <c r="CL355" i="13" s="1"/>
  <c r="CL356" i="13" s="1"/>
  <c r="CL357" i="13" s="1"/>
  <c r="CL358" i="13" s="1"/>
  <c r="CL359" i="13" s="1"/>
  <c r="CL360" i="13" s="1"/>
  <c r="CL361" i="13" s="1"/>
  <c r="CL362" i="13" s="1"/>
  <c r="CL363" i="13" s="1"/>
  <c r="CL364" i="13" s="1"/>
  <c r="CL365" i="13" s="1"/>
  <c r="CL366" i="13" s="1"/>
  <c r="CL367" i="13" s="1"/>
  <c r="CL368" i="13" s="1"/>
  <c r="CL369" i="13" s="1"/>
  <c r="CL370" i="13" s="1"/>
  <c r="CL371" i="13" s="1"/>
  <c r="CL372" i="13" s="1"/>
  <c r="CL373" i="13" s="1"/>
  <c r="CL374" i="13" s="1"/>
  <c r="CL375" i="13" s="1"/>
  <c r="CL376" i="13" s="1"/>
  <c r="CL377" i="13" s="1"/>
  <c r="CL378" i="13" s="1"/>
  <c r="CL379" i="13" s="1"/>
  <c r="CL380" i="13" s="1"/>
  <c r="CL381" i="13" s="1"/>
  <c r="CL382" i="13" s="1"/>
  <c r="CL383" i="13" s="1"/>
  <c r="CL384" i="13" s="1"/>
  <c r="CL385" i="13" s="1"/>
  <c r="CL386" i="13" s="1"/>
  <c r="CL387" i="13" s="1"/>
  <c r="CL388" i="13" s="1"/>
  <c r="CL389" i="13" s="1"/>
  <c r="CL390" i="13" s="1"/>
  <c r="CL391" i="13" s="1"/>
  <c r="CL392" i="13" s="1"/>
  <c r="CL393" i="13" s="1"/>
  <c r="CL394" i="13" s="1"/>
  <c r="CL395" i="13" s="1"/>
  <c r="CL396" i="13" s="1"/>
  <c r="CL397" i="13" s="1"/>
  <c r="CL398" i="13" s="1"/>
  <c r="CL399" i="13" s="1"/>
  <c r="CL400" i="13" s="1"/>
  <c r="CL401" i="13" s="1"/>
  <c r="CL402" i="13" s="1"/>
  <c r="CL403" i="13" s="1"/>
  <c r="CL404" i="13" s="1"/>
  <c r="CL405" i="13" s="1"/>
  <c r="CL406" i="13" s="1"/>
  <c r="CL407" i="13" s="1"/>
  <c r="CL408" i="13" s="1"/>
  <c r="CL409" i="13" s="1"/>
  <c r="CL410" i="13" s="1"/>
  <c r="CL411" i="13" s="1"/>
  <c r="CL412" i="13" s="1"/>
  <c r="CL413" i="13" s="1"/>
  <c r="CL414" i="13" s="1"/>
  <c r="CL415" i="13" s="1"/>
  <c r="CL416" i="13" s="1"/>
  <c r="CL417" i="13" s="1"/>
  <c r="CL418" i="13" s="1"/>
  <c r="CL419" i="13" s="1"/>
  <c r="CL420" i="13" s="1"/>
  <c r="CL421" i="13" s="1"/>
  <c r="CL422" i="13" s="1"/>
  <c r="CL423" i="13" s="1"/>
  <c r="CL424" i="13" s="1"/>
  <c r="CL425" i="13" s="1"/>
  <c r="CL426" i="13" s="1"/>
  <c r="CL427" i="13" s="1"/>
  <c r="CL428" i="13" s="1"/>
  <c r="CL429" i="13" s="1"/>
  <c r="CL430" i="13" s="1"/>
  <c r="CL431" i="13" s="1"/>
  <c r="CL432" i="13" s="1"/>
  <c r="CL433" i="13" s="1"/>
  <c r="CL434" i="13" s="1"/>
  <c r="CL435" i="13" s="1"/>
  <c r="CL436" i="13" s="1"/>
  <c r="CL437" i="13" s="1"/>
  <c r="CL438" i="13" s="1"/>
  <c r="CL439" i="13" s="1"/>
  <c r="CL440" i="13" s="1"/>
  <c r="CL441" i="13" s="1"/>
  <c r="CL442" i="13" s="1"/>
  <c r="CL443" i="13" s="1"/>
  <c r="CL444" i="13" s="1"/>
  <c r="CL445" i="13" s="1"/>
  <c r="CL446" i="13" s="1"/>
  <c r="CL447" i="13" s="1"/>
  <c r="CL448" i="13" s="1"/>
  <c r="CL449" i="13" s="1"/>
  <c r="CL450" i="13" s="1"/>
  <c r="CL451" i="13" s="1"/>
  <c r="CL452" i="13" s="1"/>
  <c r="CL453" i="13" s="1"/>
  <c r="CL454" i="13" s="1"/>
  <c r="CL455" i="13" s="1"/>
  <c r="CL456" i="13" s="1"/>
  <c r="CL457" i="13" s="1"/>
  <c r="CL458" i="13" s="1"/>
  <c r="CL459" i="13" s="1"/>
  <c r="CL460" i="13" s="1"/>
  <c r="CL461" i="13" s="1"/>
  <c r="CL462" i="13" s="1"/>
  <c r="CL463" i="13" s="1"/>
  <c r="CL464" i="13" s="1"/>
  <c r="CL465" i="13" s="1"/>
  <c r="CL466" i="13" s="1"/>
  <c r="CL467" i="13" s="1"/>
  <c r="CL468" i="13" s="1"/>
  <c r="CL469" i="13" s="1"/>
  <c r="CL470" i="13" s="1"/>
  <c r="CL471" i="13" s="1"/>
  <c r="CL472" i="13" s="1"/>
  <c r="CL473" i="13" s="1"/>
  <c r="CL474" i="13" s="1"/>
  <c r="CL475" i="13" s="1"/>
  <c r="CL476" i="13" s="1"/>
  <c r="CL477" i="13" s="1"/>
  <c r="CL478" i="13" s="1"/>
  <c r="CL479" i="13" s="1"/>
  <c r="CL480" i="13" s="1"/>
  <c r="CL481" i="13" s="1"/>
  <c r="CL482" i="13" s="1"/>
  <c r="CL483" i="13" s="1"/>
  <c r="CL484" i="13" s="1"/>
  <c r="CL485" i="13" s="1"/>
  <c r="CL486" i="13" s="1"/>
  <c r="CL487" i="13" s="1"/>
  <c r="CL488" i="13" s="1"/>
  <c r="CL489" i="13" s="1"/>
  <c r="CL490" i="13" s="1"/>
  <c r="CL491" i="13" s="1"/>
  <c r="CL492" i="13" s="1"/>
  <c r="CL493" i="13" s="1"/>
  <c r="CL494" i="13" s="1"/>
  <c r="CL495" i="13" s="1"/>
  <c r="CL496" i="13" s="1"/>
  <c r="CL497" i="13" s="1"/>
  <c r="CL498" i="13" s="1"/>
  <c r="CL499" i="13" s="1"/>
  <c r="CL500" i="13" s="1"/>
  <c r="CL501" i="13" s="1"/>
  <c r="CL502" i="13" s="1"/>
  <c r="CL503" i="13" s="1"/>
  <c r="CL504" i="13" s="1"/>
  <c r="CL505" i="13" s="1"/>
  <c r="CL506" i="13" s="1"/>
  <c r="CL507" i="13" s="1"/>
  <c r="CL508" i="13" s="1"/>
  <c r="CL509" i="13" s="1"/>
  <c r="CL510" i="13" s="1"/>
  <c r="CL511" i="13" s="1"/>
  <c r="CL512" i="13" s="1"/>
  <c r="CL513" i="13" s="1"/>
  <c r="CL514" i="13" s="1"/>
  <c r="CL515" i="13" s="1"/>
  <c r="CL516" i="13" s="1"/>
  <c r="CL517" i="13" s="1"/>
  <c r="CL518" i="13" s="1"/>
  <c r="CL519" i="13" s="1"/>
  <c r="CL520" i="13" s="1"/>
  <c r="CL521" i="13" s="1"/>
  <c r="CL522" i="13" s="1"/>
  <c r="CL523" i="13" s="1"/>
  <c r="CL524" i="13" s="1"/>
  <c r="CL525" i="13" s="1"/>
  <c r="CL526" i="13" s="1"/>
  <c r="CL527" i="13" s="1"/>
  <c r="CL528" i="13" s="1"/>
  <c r="CL529" i="13" s="1"/>
  <c r="CL530" i="13" s="1"/>
  <c r="CL531" i="13" s="1"/>
  <c r="CL532" i="13" s="1"/>
  <c r="CL533" i="13" s="1"/>
  <c r="CL534" i="13" s="1"/>
  <c r="CL535" i="13" s="1"/>
  <c r="CL536" i="13" s="1"/>
  <c r="CL537" i="13" s="1"/>
  <c r="CL538" i="13" s="1"/>
  <c r="CL539" i="13" s="1"/>
  <c r="CL540" i="13" s="1"/>
  <c r="CL541" i="13" s="1"/>
  <c r="CL542" i="13" s="1"/>
  <c r="CL543" i="13" s="1"/>
  <c r="CL544" i="13" s="1"/>
  <c r="CL545" i="13" s="1"/>
  <c r="CL546" i="13" s="1"/>
  <c r="CL547" i="13" s="1"/>
  <c r="CL548" i="13" s="1"/>
  <c r="CL549" i="13" s="1"/>
  <c r="CL550" i="13" s="1"/>
  <c r="CL551" i="13" s="1"/>
  <c r="CL552" i="13" s="1"/>
  <c r="CL553" i="13" s="1"/>
  <c r="CL554" i="13" s="1"/>
  <c r="CL555" i="13" s="1"/>
  <c r="CL556" i="13" s="1"/>
  <c r="CL557" i="13" s="1"/>
  <c r="CL558" i="13" s="1"/>
  <c r="CL559" i="13" s="1"/>
  <c r="CL560" i="13" s="1"/>
  <c r="CL561" i="13" s="1"/>
  <c r="CL562" i="13" s="1"/>
  <c r="CL563" i="13" s="1"/>
  <c r="CL564" i="13" s="1"/>
  <c r="CL565" i="13" s="1"/>
  <c r="CL566" i="13" s="1"/>
  <c r="CL567" i="13" s="1"/>
  <c r="CL568" i="13" s="1"/>
  <c r="CL569" i="13" s="1"/>
  <c r="CL570" i="13" s="1"/>
  <c r="CL571" i="13" s="1"/>
  <c r="CL572" i="13" s="1"/>
  <c r="CL573" i="13" s="1"/>
  <c r="CL574" i="13" s="1"/>
  <c r="CL575" i="13" s="1"/>
  <c r="CL576" i="13" s="1"/>
  <c r="CL577" i="13" s="1"/>
  <c r="CL578" i="13" s="1"/>
  <c r="CL579" i="13" s="1"/>
  <c r="CL580" i="13" s="1"/>
  <c r="CL581" i="13" s="1"/>
  <c r="CL582" i="13" s="1"/>
  <c r="CL583" i="13" s="1"/>
  <c r="CL584" i="13" s="1"/>
  <c r="CL585" i="13" s="1"/>
  <c r="CL586" i="13" s="1"/>
  <c r="CL587" i="13" s="1"/>
  <c r="CL588" i="13" s="1"/>
  <c r="CL589" i="13" s="1"/>
  <c r="CL590" i="13" s="1"/>
  <c r="CL591" i="13" s="1"/>
  <c r="CL592" i="13" s="1"/>
  <c r="CL593" i="13" s="1"/>
  <c r="CL594" i="13" s="1"/>
  <c r="CL595" i="13" s="1"/>
  <c r="CL596" i="13" s="1"/>
  <c r="CL597" i="13" s="1"/>
  <c r="CL598" i="13" s="1"/>
  <c r="CL599" i="13" s="1"/>
  <c r="CL600" i="13" s="1"/>
  <c r="CL601" i="13" s="1"/>
  <c r="CL602" i="13" s="1"/>
  <c r="CL603" i="13" s="1"/>
  <c r="CL604" i="13" s="1"/>
  <c r="CL605" i="13" s="1"/>
  <c r="CL606" i="13" s="1"/>
  <c r="CL607" i="13" s="1"/>
  <c r="CL608" i="13" s="1"/>
  <c r="CL609" i="13" s="1"/>
  <c r="CL610" i="13" s="1"/>
  <c r="CL611" i="13" s="1"/>
  <c r="CL612" i="13" s="1"/>
  <c r="CL613" i="13" s="1"/>
  <c r="CL614" i="13" s="1"/>
  <c r="CL615" i="13" s="1"/>
  <c r="CL616" i="13" s="1"/>
  <c r="CL617" i="13" s="1"/>
  <c r="CL618" i="13" s="1"/>
  <c r="CL619" i="13" s="1"/>
  <c r="CL620" i="13" s="1"/>
  <c r="CL621" i="13" s="1"/>
  <c r="CL622" i="13" s="1"/>
  <c r="CL623" i="13" s="1"/>
  <c r="CL624" i="13" s="1"/>
  <c r="CL625" i="13" s="1"/>
  <c r="CL626" i="13" s="1"/>
  <c r="CL627" i="13" s="1"/>
  <c r="CL628" i="13" s="1"/>
  <c r="CL629" i="13" s="1"/>
  <c r="CL630" i="13" s="1"/>
  <c r="CL631" i="13" s="1"/>
  <c r="CL632" i="13" s="1"/>
  <c r="CL633" i="13" s="1"/>
  <c r="CL634" i="13" s="1"/>
  <c r="CL635" i="13" s="1"/>
  <c r="CL636" i="13" s="1"/>
  <c r="CL637" i="13" s="1"/>
  <c r="CL638" i="13" s="1"/>
  <c r="CL639" i="13" s="1"/>
  <c r="CL640" i="13" s="1"/>
  <c r="CL641" i="13" s="1"/>
  <c r="CL642" i="13" s="1"/>
  <c r="CL643" i="13" s="1"/>
  <c r="CL644" i="13" s="1"/>
  <c r="CL645" i="13" s="1"/>
  <c r="CL646" i="13" s="1"/>
  <c r="CL647" i="13" s="1"/>
  <c r="CL648" i="13" s="1"/>
  <c r="CL649" i="13" s="1"/>
  <c r="CL650" i="13" s="1"/>
  <c r="CL651" i="13" s="1"/>
  <c r="CL652" i="13" s="1"/>
  <c r="CL653" i="13" s="1"/>
  <c r="CL654" i="13" s="1"/>
  <c r="CL655" i="13" s="1"/>
  <c r="CL656" i="13" s="1"/>
  <c r="CL657" i="13" s="1"/>
  <c r="CL658" i="13" s="1"/>
  <c r="CL659" i="13" s="1"/>
  <c r="CL660" i="13" s="1"/>
  <c r="CL661" i="13" s="1"/>
  <c r="CL662" i="13" s="1"/>
  <c r="CL663" i="13" s="1"/>
  <c r="CL664" i="13" s="1"/>
  <c r="CL665" i="13" s="1"/>
  <c r="CL666" i="13" s="1"/>
  <c r="CL667" i="13" s="1"/>
  <c r="CL668" i="13" s="1"/>
  <c r="CL669" i="13" s="1"/>
  <c r="CL670" i="13" s="1"/>
  <c r="CL671" i="13" s="1"/>
  <c r="CL672" i="13" s="1"/>
  <c r="CL673" i="13" s="1"/>
  <c r="CL674" i="13" s="1"/>
  <c r="CL675" i="13" s="1"/>
  <c r="CL676" i="13" s="1"/>
  <c r="CL677" i="13" s="1"/>
  <c r="CL678" i="13" s="1"/>
  <c r="CL679" i="13" s="1"/>
  <c r="CL680" i="13" s="1"/>
  <c r="CL681" i="13" s="1"/>
  <c r="CL682" i="13" s="1"/>
  <c r="CL683" i="13" s="1"/>
  <c r="CL684" i="13" s="1"/>
  <c r="CL685" i="13" s="1"/>
  <c r="CL686" i="13" s="1"/>
  <c r="CL687" i="13" s="1"/>
  <c r="CL688" i="13" s="1"/>
  <c r="CL689" i="13" s="1"/>
  <c r="CL690" i="13" s="1"/>
  <c r="CL691" i="13" s="1"/>
  <c r="CL692" i="13" s="1"/>
  <c r="CL693" i="13" s="1"/>
  <c r="CL694" i="13" s="1"/>
  <c r="CL695" i="13" s="1"/>
  <c r="CL696" i="13" s="1"/>
  <c r="CL697" i="13" s="1"/>
  <c r="CL698" i="13" s="1"/>
  <c r="CL699" i="13" s="1"/>
  <c r="CL700" i="13" s="1"/>
  <c r="CL701" i="13" s="1"/>
  <c r="CL702" i="13" s="1"/>
  <c r="CL703" i="13" s="1"/>
  <c r="CL704" i="13" s="1"/>
  <c r="CL705" i="13" s="1"/>
  <c r="CL706" i="13" s="1"/>
  <c r="CL707" i="13" s="1"/>
  <c r="CL708" i="13" s="1"/>
  <c r="CL709" i="13" s="1"/>
  <c r="CL710" i="13" s="1"/>
  <c r="CL711" i="13" s="1"/>
  <c r="CL712" i="13" s="1"/>
  <c r="CL713" i="13" s="1"/>
  <c r="CL714" i="13" s="1"/>
  <c r="CL715" i="13" s="1"/>
  <c r="CL716" i="13" s="1"/>
  <c r="CL717" i="13" s="1"/>
  <c r="CL718" i="13" s="1"/>
  <c r="CL719" i="13" s="1"/>
  <c r="CL720" i="13" s="1"/>
  <c r="CL721" i="13" s="1"/>
  <c r="CL722" i="13" s="1"/>
  <c r="CL723" i="13" s="1"/>
  <c r="CL724" i="13" s="1"/>
  <c r="CL725" i="13" s="1"/>
  <c r="CL726" i="13" s="1"/>
  <c r="CL727" i="13" s="1"/>
  <c r="CL728" i="13" s="1"/>
  <c r="CL729" i="13" s="1"/>
  <c r="CL730" i="13" s="1"/>
  <c r="CL731" i="13" s="1"/>
  <c r="CL732" i="13" s="1"/>
  <c r="CL733" i="13" s="1"/>
  <c r="CL734" i="13" s="1"/>
  <c r="CL735" i="13" s="1"/>
  <c r="CL736" i="13" s="1"/>
  <c r="CL737" i="13" s="1"/>
  <c r="CL738" i="13" s="1"/>
  <c r="CL739" i="13" s="1"/>
  <c r="CL740" i="13" s="1"/>
  <c r="CL741" i="13" s="1"/>
  <c r="CL742" i="13" s="1"/>
  <c r="CL743" i="13" s="1"/>
  <c r="CL744" i="13" s="1"/>
  <c r="CL745" i="13" s="1"/>
  <c r="CL746" i="13" s="1"/>
  <c r="CL747" i="13" s="1"/>
  <c r="CL748" i="13" s="1"/>
  <c r="CL749" i="13" s="1"/>
  <c r="CL750" i="13" s="1"/>
  <c r="CL751" i="13" s="1"/>
  <c r="CL752" i="13" s="1"/>
  <c r="CL753" i="13" s="1"/>
  <c r="CL754" i="13" s="1"/>
  <c r="CL755" i="13" s="1"/>
  <c r="CL756" i="13" s="1"/>
  <c r="CL757" i="13" s="1"/>
  <c r="CL758" i="13" s="1"/>
  <c r="CL759" i="13" s="1"/>
  <c r="CL760" i="13" s="1"/>
  <c r="CL761" i="13" s="1"/>
  <c r="CL762" i="13" s="1"/>
  <c r="CL763" i="13" s="1"/>
  <c r="CL764" i="13" s="1"/>
  <c r="CL765" i="13" s="1"/>
  <c r="CL766" i="13" s="1"/>
  <c r="CL767" i="13" s="1"/>
  <c r="CL768" i="13" s="1"/>
  <c r="CL769" i="13" s="1"/>
  <c r="CL770" i="13" s="1"/>
  <c r="CL771" i="13" s="1"/>
  <c r="CL772" i="13" s="1"/>
  <c r="CL773" i="13" s="1"/>
  <c r="CL774" i="13" s="1"/>
  <c r="CL775" i="13" s="1"/>
  <c r="CL776" i="13" s="1"/>
  <c r="CL777" i="13" s="1"/>
  <c r="CL778" i="13" s="1"/>
  <c r="CL779" i="13" s="1"/>
  <c r="CL780" i="13" s="1"/>
  <c r="CL781" i="13" s="1"/>
  <c r="CL782" i="13" s="1"/>
  <c r="CL783" i="13" s="1"/>
  <c r="CL784" i="13" s="1"/>
  <c r="CL785" i="13" s="1"/>
  <c r="CL786" i="13" s="1"/>
  <c r="CL787" i="13" s="1"/>
  <c r="CL788" i="13" s="1"/>
  <c r="CL789" i="13" s="1"/>
  <c r="CL790" i="13" s="1"/>
  <c r="CL791" i="13" s="1"/>
  <c r="CL792" i="13" s="1"/>
  <c r="CL793" i="13" s="1"/>
  <c r="CL794" i="13" s="1"/>
  <c r="CL795" i="13" s="1"/>
  <c r="CL796" i="13" s="1"/>
  <c r="CL797" i="13" s="1"/>
  <c r="CL798" i="13" s="1"/>
  <c r="CL799" i="13" s="1"/>
  <c r="CL800" i="13" s="1"/>
  <c r="CL801" i="13" s="1"/>
  <c r="CL802" i="13" s="1"/>
  <c r="CL803" i="13" s="1"/>
  <c r="CL804" i="13" s="1"/>
  <c r="CL805" i="13" s="1"/>
  <c r="CL806" i="13" s="1"/>
  <c r="CL807" i="13" s="1"/>
  <c r="CL808" i="13" s="1"/>
  <c r="CL809" i="13" s="1"/>
  <c r="CL810" i="13" s="1"/>
  <c r="CL811" i="13" s="1"/>
  <c r="CL812" i="13" s="1"/>
  <c r="CL813" i="13" s="1"/>
  <c r="CL814" i="13" s="1"/>
  <c r="CL815" i="13" s="1"/>
  <c r="CL816" i="13" s="1"/>
  <c r="CL817" i="13" s="1"/>
  <c r="CL818" i="13" s="1"/>
  <c r="CL819" i="13" s="1"/>
  <c r="CL820" i="13" s="1"/>
  <c r="CL821" i="13" s="1"/>
  <c r="CL822" i="13" s="1"/>
  <c r="CL823" i="13" s="1"/>
  <c r="CL824" i="13" s="1"/>
  <c r="CL825" i="13" s="1"/>
  <c r="CL826" i="13" s="1"/>
  <c r="CL827" i="13" s="1"/>
  <c r="CL828" i="13" s="1"/>
  <c r="CL829" i="13" s="1"/>
  <c r="CL830" i="13" s="1"/>
  <c r="CL831" i="13" s="1"/>
  <c r="CL832" i="13" s="1"/>
  <c r="CL833" i="13" s="1"/>
  <c r="CL834" i="13" s="1"/>
  <c r="CL835" i="13" s="1"/>
  <c r="CL836" i="13" s="1"/>
  <c r="CL837" i="13" s="1"/>
  <c r="CL838" i="13" s="1"/>
  <c r="CL839" i="13" s="1"/>
  <c r="CL840" i="13" s="1"/>
  <c r="CL841" i="13" s="1"/>
  <c r="CL842" i="13" s="1"/>
  <c r="CL843" i="13" s="1"/>
  <c r="CL844" i="13" s="1"/>
  <c r="CL845" i="13" s="1"/>
  <c r="CL846" i="13" s="1"/>
  <c r="CL847" i="13" s="1"/>
  <c r="CL848" i="13" s="1"/>
  <c r="CL849" i="13" s="1"/>
  <c r="CL850" i="13" s="1"/>
  <c r="CL851" i="13" s="1"/>
  <c r="CL852" i="13" s="1"/>
  <c r="CL853" i="13" s="1"/>
  <c r="CL854" i="13" s="1"/>
  <c r="CL855" i="13" s="1"/>
  <c r="CL856" i="13" s="1"/>
  <c r="CL857" i="13" s="1"/>
  <c r="CL858" i="13" s="1"/>
  <c r="CL859" i="13" s="1"/>
  <c r="CL860" i="13" s="1"/>
  <c r="CL861" i="13" s="1"/>
  <c r="CL862" i="13" s="1"/>
  <c r="CL863" i="13" s="1"/>
  <c r="CL864" i="13" s="1"/>
  <c r="CL865" i="13" s="1"/>
  <c r="CL866" i="13" s="1"/>
  <c r="CL867" i="13" s="1"/>
  <c r="CL868" i="13" s="1"/>
  <c r="CL869" i="13" s="1"/>
  <c r="CL870" i="13" s="1"/>
  <c r="CL871" i="13" s="1"/>
  <c r="CL872" i="13" s="1"/>
  <c r="CL873" i="13" s="1"/>
  <c r="CL874" i="13" s="1"/>
  <c r="CL875" i="13" s="1"/>
  <c r="CL876" i="13" s="1"/>
  <c r="CL877" i="13" s="1"/>
  <c r="CL878" i="13" s="1"/>
  <c r="CL879" i="13" s="1"/>
  <c r="CL880" i="13" s="1"/>
  <c r="CL881" i="13" s="1"/>
  <c r="CL882" i="13" s="1"/>
  <c r="CL883" i="13" s="1"/>
  <c r="CL884" i="13" s="1"/>
  <c r="CL885" i="13" s="1"/>
  <c r="CL886" i="13" s="1"/>
  <c r="CL887" i="13" s="1"/>
  <c r="CL888" i="13" s="1"/>
  <c r="CL889" i="13" s="1"/>
  <c r="CL890" i="13" s="1"/>
  <c r="CL891" i="13" s="1"/>
  <c r="CL892" i="13" s="1"/>
  <c r="CL893" i="13" s="1"/>
  <c r="CL894" i="13" s="1"/>
  <c r="CL895" i="13" s="1"/>
  <c r="CL896" i="13" s="1"/>
  <c r="CL897" i="13" s="1"/>
  <c r="CL898" i="13" s="1"/>
  <c r="CL899" i="13" s="1"/>
  <c r="CL900" i="13" s="1"/>
  <c r="CL901" i="13" s="1"/>
  <c r="CL902" i="13" s="1"/>
  <c r="CL903" i="13" s="1"/>
  <c r="CL904" i="13" s="1"/>
  <c r="CL905" i="13" s="1"/>
  <c r="CL906" i="13" s="1"/>
  <c r="CL907" i="13" s="1"/>
  <c r="CL908" i="13" s="1"/>
  <c r="CL909" i="13" s="1"/>
  <c r="CL910" i="13" s="1"/>
  <c r="CL911" i="13" s="1"/>
  <c r="CL912" i="13" s="1"/>
  <c r="CL913" i="13" s="1"/>
  <c r="CL914" i="13" s="1"/>
  <c r="CL915" i="13" s="1"/>
  <c r="CL916" i="13" s="1"/>
  <c r="CL917" i="13" s="1"/>
  <c r="CL918" i="13" s="1"/>
  <c r="CL919" i="13" s="1"/>
  <c r="CL920" i="13" s="1"/>
  <c r="CL921" i="13" s="1"/>
  <c r="CL922" i="13" s="1"/>
  <c r="CL923" i="13" s="1"/>
  <c r="CL924" i="13" s="1"/>
  <c r="CL925" i="13" s="1"/>
  <c r="CL926" i="13" s="1"/>
  <c r="CL927" i="13" s="1"/>
  <c r="CL928" i="13" s="1"/>
  <c r="CL929" i="13" s="1"/>
  <c r="CL930" i="13" s="1"/>
  <c r="CL931" i="13" s="1"/>
  <c r="CL932" i="13" s="1"/>
  <c r="CL933" i="13" s="1"/>
  <c r="CL934" i="13" s="1"/>
  <c r="CL935" i="13" s="1"/>
  <c r="CL936" i="13" s="1"/>
  <c r="CL937" i="13" s="1"/>
  <c r="CL938" i="13" s="1"/>
  <c r="CL939" i="13" s="1"/>
  <c r="CL940" i="13" s="1"/>
  <c r="CL941" i="13" s="1"/>
  <c r="CL942" i="13" s="1"/>
  <c r="CL943" i="13" s="1"/>
  <c r="CL944" i="13" s="1"/>
  <c r="CL945" i="13" s="1"/>
  <c r="CL946" i="13" s="1"/>
  <c r="CL947" i="13" s="1"/>
  <c r="CL948" i="13" s="1"/>
  <c r="CL949" i="13" s="1"/>
  <c r="CL950" i="13" s="1"/>
  <c r="CL951" i="13" s="1"/>
  <c r="CL952" i="13" s="1"/>
  <c r="CL953" i="13" s="1"/>
  <c r="CL954" i="13" s="1"/>
  <c r="CL955" i="13" s="1"/>
  <c r="CL956" i="13" s="1"/>
  <c r="CL957" i="13" s="1"/>
  <c r="CL958" i="13" s="1"/>
  <c r="CL959" i="13" s="1"/>
  <c r="CL960" i="13" s="1"/>
  <c r="CL961" i="13" s="1"/>
  <c r="CL962" i="13" s="1"/>
  <c r="CL963" i="13" s="1"/>
  <c r="CL964" i="13" s="1"/>
  <c r="CL965" i="13" s="1"/>
  <c r="CL966" i="13" s="1"/>
  <c r="CL967" i="13" s="1"/>
  <c r="CL968" i="13" s="1"/>
  <c r="CL969" i="13" s="1"/>
  <c r="CL970" i="13" s="1"/>
  <c r="CL971" i="13" s="1"/>
  <c r="CL972" i="13" s="1"/>
  <c r="CL973" i="13" s="1"/>
  <c r="CL974" i="13" s="1"/>
  <c r="CL975" i="13" s="1"/>
  <c r="CL976" i="13" s="1"/>
  <c r="CL977" i="13" s="1"/>
  <c r="CL978" i="13" s="1"/>
  <c r="CL979" i="13" s="1"/>
  <c r="CL980" i="13" s="1"/>
  <c r="CL981" i="13" s="1"/>
  <c r="CL982" i="13" s="1"/>
  <c r="CL983" i="13" s="1"/>
  <c r="CL984" i="13" s="1"/>
  <c r="CL985" i="13" s="1"/>
  <c r="CL986" i="13" s="1"/>
  <c r="CL987" i="13" s="1"/>
  <c r="CL988" i="13" s="1"/>
  <c r="CL989" i="13" s="1"/>
  <c r="CL990" i="13" s="1"/>
  <c r="CL991" i="13" s="1"/>
  <c r="CL992" i="13" s="1"/>
  <c r="CL993" i="13" s="1"/>
  <c r="CL994" i="13" s="1"/>
  <c r="CL995" i="13" s="1"/>
  <c r="CL996" i="13" s="1"/>
  <c r="CL997" i="13" s="1"/>
  <c r="CL998" i="13" s="1"/>
  <c r="CL999" i="13" s="1"/>
  <c r="CL1000" i="13" s="1"/>
  <c r="CL1001" i="13" s="1"/>
  <c r="CL1002" i="13" s="1"/>
  <c r="CL1003" i="13" s="1"/>
  <c r="CL1004" i="13" s="1"/>
  <c r="CL1005" i="13" s="1"/>
  <c r="CL1006" i="13" s="1"/>
  <c r="CL1007" i="13" s="1"/>
  <c r="CL1008" i="13" s="1"/>
  <c r="CL1009" i="13" s="1"/>
  <c r="CL1010" i="13" s="1"/>
  <c r="CL1011" i="13" s="1"/>
  <c r="CL1012" i="13" s="1"/>
  <c r="CL1013" i="13" s="1"/>
  <c r="CL1014" i="13" s="1"/>
  <c r="CL1015" i="13" s="1"/>
  <c r="CL1016" i="13" s="1"/>
  <c r="CL1017" i="13" s="1"/>
  <c r="CL1018" i="13" s="1"/>
  <c r="CL1019" i="13" s="1"/>
  <c r="CL1020" i="13" s="1"/>
  <c r="CL1021" i="13" s="1"/>
  <c r="CL1022" i="13" s="1"/>
  <c r="CL1023" i="13" s="1"/>
  <c r="CL1024" i="13" s="1"/>
  <c r="CL1025" i="13" s="1"/>
  <c r="CL1026" i="13" s="1"/>
  <c r="CL1027" i="13" s="1"/>
  <c r="CL1028" i="13" s="1"/>
  <c r="CL1029" i="13" s="1"/>
  <c r="CL1030" i="13" s="1"/>
  <c r="CL1031" i="13" s="1"/>
  <c r="CL1032" i="13" s="1"/>
  <c r="CL1033" i="13" s="1"/>
  <c r="CL1034" i="13" s="1"/>
  <c r="CL1035" i="13" s="1"/>
  <c r="CL1036" i="13" s="1"/>
  <c r="CL1037" i="13" s="1"/>
  <c r="CL1038" i="13" s="1"/>
  <c r="CL1039" i="13" s="1"/>
  <c r="CL1040" i="13" s="1"/>
  <c r="CL1041" i="13" s="1"/>
  <c r="CL1042" i="13" s="1"/>
  <c r="CL1043" i="13" s="1"/>
  <c r="CL1044" i="13" s="1"/>
  <c r="CL1045" i="13" s="1"/>
  <c r="CL1046" i="13" s="1"/>
  <c r="CL1047" i="13" s="1"/>
  <c r="CL1048" i="13" s="1"/>
  <c r="CL1049" i="13" s="1"/>
  <c r="CL1050" i="13" s="1"/>
  <c r="CL1051" i="13" s="1"/>
  <c r="CL1052" i="13" s="1"/>
  <c r="CL1053" i="13" s="1"/>
  <c r="CL1054" i="13" s="1"/>
  <c r="CL1055" i="13" s="1"/>
  <c r="CL1056" i="13" s="1"/>
  <c r="CL1057" i="13" s="1"/>
  <c r="CL1058" i="13" s="1"/>
  <c r="CL1059" i="13" s="1"/>
  <c r="CL1060" i="13" s="1"/>
  <c r="CL1061" i="13" s="1"/>
  <c r="CL1062" i="13" s="1"/>
  <c r="CL1063" i="13" s="1"/>
  <c r="CL1064" i="13" s="1"/>
  <c r="CL1065" i="13" s="1"/>
  <c r="CL1066" i="13" s="1"/>
  <c r="CL1067" i="13" s="1"/>
  <c r="CL1068" i="13" s="1"/>
  <c r="CL1069" i="13" s="1"/>
  <c r="CL1070" i="13" s="1"/>
  <c r="CL1071" i="13" s="1"/>
  <c r="CL1072" i="13" s="1"/>
  <c r="CL1073" i="13" s="1"/>
  <c r="CL1074" i="13" s="1"/>
  <c r="CL1075" i="13" s="1"/>
  <c r="CL1076" i="13" s="1"/>
  <c r="CL1077" i="13" s="1"/>
  <c r="CL1078" i="13" s="1"/>
  <c r="CL1079" i="13" s="1"/>
  <c r="CL1080" i="13" s="1"/>
  <c r="CL1081" i="13" s="1"/>
  <c r="CL1082" i="13" s="1"/>
  <c r="CL1083" i="13" s="1"/>
  <c r="CL1084" i="13" s="1"/>
  <c r="CL1085" i="13" s="1"/>
  <c r="CL1086" i="13" s="1"/>
  <c r="CL1087" i="13" s="1"/>
  <c r="CL1088" i="13" s="1"/>
  <c r="CL1089" i="13" s="1"/>
  <c r="CL1090" i="13" s="1"/>
  <c r="CL1091" i="13" s="1"/>
  <c r="CL1092" i="13" s="1"/>
  <c r="CL1093" i="13" s="1"/>
  <c r="CL1094" i="13" s="1"/>
  <c r="CL1095" i="13" s="1"/>
  <c r="CL1096" i="13" s="1"/>
  <c r="CL1097" i="13" s="1"/>
  <c r="CL1098" i="13" s="1"/>
  <c r="CM7" i="13"/>
  <c r="CJ8" i="13"/>
  <c r="CN6" i="13"/>
  <c r="E53" i="11"/>
  <c r="E72" i="11"/>
  <c r="E29" i="11"/>
  <c r="F89" i="11"/>
  <c r="F57" i="11"/>
  <c r="F25" i="11"/>
  <c r="G73" i="11"/>
  <c r="G41" i="11"/>
  <c r="E45" i="11"/>
  <c r="E85" i="11"/>
  <c r="E64" i="11"/>
  <c r="E41" i="11"/>
  <c r="E21" i="11"/>
  <c r="F74" i="11"/>
  <c r="F42" i="11"/>
  <c r="G10" i="11"/>
  <c r="G58" i="11"/>
  <c r="G26" i="11"/>
  <c r="E61" i="11"/>
  <c r="E40" i="11"/>
  <c r="F41" i="11"/>
  <c r="G57" i="11"/>
  <c r="E69" i="11"/>
  <c r="E80" i="11"/>
  <c r="E37" i="11"/>
  <c r="E16" i="11"/>
  <c r="F66" i="11"/>
  <c r="F34" i="11"/>
  <c r="G82" i="11"/>
  <c r="G50" i="11"/>
  <c r="G18" i="11"/>
  <c r="B2" i="11"/>
  <c r="E87" i="11"/>
  <c r="E79" i="11"/>
  <c r="E71" i="11"/>
  <c r="E63" i="11"/>
  <c r="E55" i="11"/>
  <c r="E47" i="11"/>
  <c r="E39" i="11"/>
  <c r="B3" i="11" s="1"/>
  <c r="E31" i="11"/>
  <c r="E23" i="11"/>
  <c r="E15" i="11"/>
  <c r="E86" i="11"/>
  <c r="E78" i="11"/>
  <c r="E70" i="11"/>
  <c r="E62" i="11"/>
  <c r="E54" i="11"/>
  <c r="E46" i="11"/>
  <c r="E38" i="11"/>
  <c r="E30" i="11"/>
  <c r="E22" i="11"/>
  <c r="E14" i="11"/>
  <c r="F88" i="11"/>
  <c r="F80" i="11"/>
  <c r="F72" i="11"/>
  <c r="F64" i="11"/>
  <c r="F56" i="11"/>
  <c r="F48" i="11"/>
  <c r="F40" i="11"/>
  <c r="F32" i="11"/>
  <c r="F24" i="11"/>
  <c r="F16" i="11"/>
  <c r="F79" i="11"/>
  <c r="F31" i="11"/>
  <c r="G63" i="11"/>
  <c r="G47" i="11"/>
  <c r="G39" i="11"/>
  <c r="B5" i="11" s="1"/>
  <c r="F23" i="11"/>
  <c r="E68" i="11"/>
  <c r="E44" i="11"/>
  <c r="E12" i="11"/>
  <c r="F38" i="11"/>
  <c r="F87" i="11"/>
  <c r="F55" i="11"/>
  <c r="F15" i="11"/>
  <c r="E84" i="11"/>
  <c r="E60" i="11"/>
  <c r="E36" i="11"/>
  <c r="E20" i="11"/>
  <c r="F78" i="11"/>
  <c r="F62" i="11"/>
  <c r="F46" i="11"/>
  <c r="F22" i="11"/>
  <c r="G86" i="11"/>
  <c r="G70" i="11"/>
  <c r="G54" i="11"/>
  <c r="G30" i="11"/>
  <c r="G14" i="11"/>
  <c r="E83" i="11"/>
  <c r="E75" i="11"/>
  <c r="E67" i="11"/>
  <c r="E59" i="11"/>
  <c r="E51" i="11"/>
  <c r="E43" i="11"/>
  <c r="E35" i="11"/>
  <c r="E27" i="11"/>
  <c r="E19" i="11"/>
  <c r="E11" i="11"/>
  <c r="F85" i="11"/>
  <c r="F77" i="11"/>
  <c r="F69" i="11"/>
  <c r="F61" i="11"/>
  <c r="F53" i="11"/>
  <c r="F45" i="11"/>
  <c r="F37" i="11"/>
  <c r="F29" i="11"/>
  <c r="F21" i="11"/>
  <c r="F13" i="11"/>
  <c r="F71" i="11"/>
  <c r="E76" i="11"/>
  <c r="E52" i="11"/>
  <c r="E28" i="11"/>
  <c r="F84" i="11"/>
  <c r="F76" i="11"/>
  <c r="F68" i="11"/>
  <c r="F60" i="11"/>
  <c r="F52" i="11"/>
  <c r="F44" i="11"/>
  <c r="F36" i="11"/>
  <c r="F28" i="11"/>
  <c r="F20" i="11"/>
  <c r="F12" i="11"/>
  <c r="F83" i="11"/>
  <c r="F75" i="11"/>
  <c r="F67" i="11"/>
  <c r="F59" i="11"/>
  <c r="F51" i="11"/>
  <c r="F43" i="11"/>
  <c r="F35" i="11"/>
  <c r="F27" i="11"/>
  <c r="F19" i="11"/>
  <c r="F11" i="11"/>
  <c r="CJ1401" i="13" l="1"/>
  <c r="CM1400" i="13"/>
  <c r="CN1400" i="13" s="1"/>
  <c r="CJ1694" i="13"/>
  <c r="CM1693" i="13"/>
  <c r="CN1693" i="13" s="1"/>
  <c r="BZ998" i="13"/>
  <c r="BZ999" i="13" s="1"/>
  <c r="BZ1000" i="13" s="1"/>
  <c r="BZ1001" i="13" s="1"/>
  <c r="BZ1002" i="13" s="1"/>
  <c r="BZ1003" i="13" s="1"/>
  <c r="BZ1004" i="13" s="1"/>
  <c r="BZ1005" i="13" s="1"/>
  <c r="BZ1006" i="13" s="1"/>
  <c r="BZ1007" i="13" s="1"/>
  <c r="BZ1008" i="13" s="1"/>
  <c r="BZ1009" i="13" s="1"/>
  <c r="BZ1010" i="13" s="1"/>
  <c r="BZ1011" i="13" s="1"/>
  <c r="BZ1012" i="13" s="1"/>
  <c r="BZ1013" i="13" s="1"/>
  <c r="BZ1014" i="13" s="1"/>
  <c r="BZ1015" i="13" s="1"/>
  <c r="BZ1016" i="13" s="1"/>
  <c r="BZ1017" i="13" s="1"/>
  <c r="BZ1018" i="13" s="1"/>
  <c r="BZ1019" i="13" s="1"/>
  <c r="BZ1020" i="13" s="1"/>
  <c r="BZ1021" i="13" s="1"/>
  <c r="BZ1022" i="13" s="1"/>
  <c r="BZ1023" i="13" s="1"/>
  <c r="BZ1024" i="13" s="1"/>
  <c r="BZ1025" i="13" s="1"/>
  <c r="BZ1026" i="13" s="1"/>
  <c r="BZ1027" i="13" s="1"/>
  <c r="BZ1028" i="13" s="1"/>
  <c r="BZ1029" i="13" s="1"/>
  <c r="BZ1030" i="13" s="1"/>
  <c r="BZ1031" i="13" s="1"/>
  <c r="BZ1032" i="13" s="1"/>
  <c r="BZ1033" i="13" s="1"/>
  <c r="BZ1034" i="13" s="1"/>
  <c r="BZ1035" i="13" s="1"/>
  <c r="BZ1036" i="13" s="1"/>
  <c r="BZ1037" i="13" s="1"/>
  <c r="BZ1038" i="13" s="1"/>
  <c r="BZ1039" i="13" s="1"/>
  <c r="BZ1040" i="13" s="1"/>
  <c r="BZ1041" i="13" s="1"/>
  <c r="BZ1042" i="13" s="1"/>
  <c r="BZ1043" i="13" s="1"/>
  <c r="BZ1044" i="13" s="1"/>
  <c r="BZ1045" i="13" s="1"/>
  <c r="BZ1046" i="13" s="1"/>
  <c r="BZ1047" i="13" s="1"/>
  <c r="BZ1048" i="13" s="1"/>
  <c r="BZ1049" i="13" s="1"/>
  <c r="BZ1050" i="13" s="1"/>
  <c r="BZ1051" i="13" s="1"/>
  <c r="BZ1052" i="13" s="1"/>
  <c r="BZ1053" i="13" s="1"/>
  <c r="BZ1054" i="13" s="1"/>
  <c r="BZ1055" i="13" s="1"/>
  <c r="BZ1056" i="13" s="1"/>
  <c r="BZ1057" i="13" s="1"/>
  <c r="BZ1058" i="13" s="1"/>
  <c r="BZ1059" i="13" s="1"/>
  <c r="BZ1060" i="13" s="1"/>
  <c r="BZ1061" i="13" s="1"/>
  <c r="BZ1062" i="13" s="1"/>
  <c r="BZ1063" i="13" s="1"/>
  <c r="BZ1064" i="13" s="1"/>
  <c r="BZ1065" i="13" s="1"/>
  <c r="BZ1066" i="13" s="1"/>
  <c r="BZ1067" i="13" s="1"/>
  <c r="BZ1068" i="13" s="1"/>
  <c r="BZ1069" i="13" s="1"/>
  <c r="BZ1070" i="13" s="1"/>
  <c r="BZ1071" i="13" s="1"/>
  <c r="BZ1072" i="13" s="1"/>
  <c r="BZ1073" i="13" s="1"/>
  <c r="BZ1074" i="13" s="1"/>
  <c r="BZ1075" i="13" s="1"/>
  <c r="BZ1076" i="13" s="1"/>
  <c r="BZ1077" i="13" s="1"/>
  <c r="BZ1078" i="13" s="1"/>
  <c r="BZ1079" i="13" s="1"/>
  <c r="BZ1080" i="13" s="1"/>
  <c r="BZ1081" i="13" s="1"/>
  <c r="BZ1082" i="13" s="1"/>
  <c r="BZ1083" i="13" s="1"/>
  <c r="BZ1084" i="13" s="1"/>
  <c r="BZ1085" i="13" s="1"/>
  <c r="BZ1086" i="13" s="1"/>
  <c r="BZ1087" i="13" s="1"/>
  <c r="BZ1088" i="13" s="1"/>
  <c r="BZ1089" i="13" s="1"/>
  <c r="BZ1090" i="13" s="1"/>
  <c r="BZ1091" i="13" s="1"/>
  <c r="BZ1092" i="13" s="1"/>
  <c r="BZ1093" i="13" s="1"/>
  <c r="BZ1094" i="13" s="1"/>
  <c r="BZ1095" i="13" s="1"/>
  <c r="BZ1096" i="13" s="1"/>
  <c r="BZ1097" i="13" s="1"/>
  <c r="BZ1098" i="13" s="1"/>
  <c r="BZ1099" i="13" s="1"/>
  <c r="BZ1100" i="13" s="1"/>
  <c r="BZ1101" i="13" s="1"/>
  <c r="BZ1102" i="13" s="1"/>
  <c r="BZ1103" i="13" s="1"/>
  <c r="BZ1104" i="13" s="1"/>
  <c r="BZ1105" i="13" s="1"/>
  <c r="BZ1106" i="13" s="1"/>
  <c r="BZ1107" i="13" s="1"/>
  <c r="BZ1108" i="13" s="1"/>
  <c r="BZ1109" i="13" s="1"/>
  <c r="BZ1110" i="13" s="1"/>
  <c r="BZ1111" i="13" s="1"/>
  <c r="BZ1112" i="13" s="1"/>
  <c r="BZ1113" i="13" s="1"/>
  <c r="BZ1114" i="13" s="1"/>
  <c r="BZ1115" i="13" s="1"/>
  <c r="BZ1116" i="13" s="1"/>
  <c r="BZ1117" i="13" s="1"/>
  <c r="BZ1118" i="13" s="1"/>
  <c r="BZ1119" i="13" s="1"/>
  <c r="BZ1120" i="13" s="1"/>
  <c r="F53" i="8"/>
  <c r="BZ1121" i="13"/>
  <c r="BZ1122" i="13" s="1"/>
  <c r="BZ1123" i="13" s="1"/>
  <c r="BZ1124" i="13" s="1"/>
  <c r="BZ1125" i="13" s="1"/>
  <c r="BZ1126" i="13" s="1"/>
  <c r="BZ1127" i="13" s="1"/>
  <c r="BZ1128" i="13" s="1"/>
  <c r="BZ1129" i="13" s="1"/>
  <c r="BZ1130" i="13" s="1"/>
  <c r="BZ1131" i="13" s="1"/>
  <c r="BZ1132" i="13" s="1"/>
  <c r="BZ1133" i="13" s="1"/>
  <c r="BZ1134" i="13" s="1"/>
  <c r="BZ1135" i="13" s="1"/>
  <c r="BZ1136" i="13" s="1"/>
  <c r="BZ1137" i="13" s="1"/>
  <c r="BZ1138" i="13" s="1"/>
  <c r="BZ1139" i="13" s="1"/>
  <c r="BZ1140" i="13" s="1"/>
  <c r="BZ1141" i="13" s="1"/>
  <c r="BZ1142" i="13" s="1"/>
  <c r="BZ1143" i="13" s="1"/>
  <c r="BZ1144" i="13" s="1"/>
  <c r="BZ1145" i="13" s="1"/>
  <c r="BZ1146" i="13" s="1"/>
  <c r="BZ1147" i="13" s="1"/>
  <c r="BZ1148" i="13" s="1"/>
  <c r="BZ1149" i="13" s="1"/>
  <c r="BZ1150" i="13" s="1"/>
  <c r="BZ1151" i="13" s="1"/>
  <c r="BZ1152" i="13" s="1"/>
  <c r="BZ1153" i="13" s="1"/>
  <c r="BZ1154" i="13" s="1"/>
  <c r="BZ1155" i="13" s="1"/>
  <c r="BZ1156" i="13" s="1"/>
  <c r="BZ1157" i="13" s="1"/>
  <c r="BZ1158" i="13" s="1"/>
  <c r="BZ1159" i="13" s="1"/>
  <c r="BZ1160" i="13" s="1"/>
  <c r="BZ1161" i="13" s="1"/>
  <c r="BZ1162" i="13" s="1"/>
  <c r="BZ1163" i="13" s="1"/>
  <c r="BZ1164" i="13" s="1"/>
  <c r="BZ1165" i="13" s="1"/>
  <c r="BZ1166" i="13" s="1"/>
  <c r="BZ1167" i="13" s="1"/>
  <c r="BZ1168" i="13" s="1"/>
  <c r="BZ1169" i="13" s="1"/>
  <c r="BZ1170" i="13" s="1"/>
  <c r="BZ1171" i="13" s="1"/>
  <c r="BZ1172" i="13" s="1"/>
  <c r="BZ1173" i="13" s="1"/>
  <c r="BZ1174" i="13" s="1"/>
  <c r="BZ1175" i="13" s="1"/>
  <c r="BZ1176" i="13" s="1"/>
  <c r="BZ1177" i="13" s="1"/>
  <c r="BZ1178" i="13" s="1"/>
  <c r="BZ1179" i="13" s="1"/>
  <c r="BZ1180" i="13" s="1"/>
  <c r="BZ1181" i="13" s="1"/>
  <c r="BZ1182" i="13" s="1"/>
  <c r="BZ1183" i="13" s="1"/>
  <c r="BZ1184" i="13" s="1"/>
  <c r="BZ1185" i="13" s="1"/>
  <c r="BZ1186" i="13" s="1"/>
  <c r="BZ1187" i="13" s="1"/>
  <c r="BZ1188" i="13" s="1"/>
  <c r="BZ1189" i="13" s="1"/>
  <c r="BZ1190" i="13" s="1"/>
  <c r="BZ1191" i="13" s="1"/>
  <c r="BZ1192" i="13" s="1"/>
  <c r="BZ1193" i="13" s="1"/>
  <c r="BZ1194" i="13" s="1"/>
  <c r="BZ1195" i="13" s="1"/>
  <c r="BZ1196" i="13" s="1"/>
  <c r="BZ1197" i="13" s="1"/>
  <c r="BZ1198" i="13" s="1"/>
  <c r="BZ1199" i="13" s="1"/>
  <c r="BZ1200" i="13" s="1"/>
  <c r="BZ1201" i="13" s="1"/>
  <c r="BZ1202" i="13" s="1"/>
  <c r="BZ1203" i="13" s="1"/>
  <c r="BZ1204" i="13" s="1"/>
  <c r="BZ1205" i="13" s="1"/>
  <c r="BZ1206" i="13" s="1"/>
  <c r="BZ1207" i="13" s="1"/>
  <c r="BZ1208" i="13" s="1"/>
  <c r="BZ1209" i="13" s="1"/>
  <c r="BZ1210" i="13" s="1"/>
  <c r="BZ1211" i="13" s="1"/>
  <c r="BZ1212" i="13" s="1"/>
  <c r="BZ1213" i="13" s="1"/>
  <c r="BZ1214" i="13" s="1"/>
  <c r="BZ1215" i="13" s="1"/>
  <c r="BZ1216" i="13" s="1"/>
  <c r="BZ1217" i="13" s="1"/>
  <c r="BZ1218" i="13" s="1"/>
  <c r="BZ1219" i="13" s="1"/>
  <c r="BZ1220" i="13" s="1"/>
  <c r="BZ1221" i="13" s="1"/>
  <c r="BZ1222" i="13" s="1"/>
  <c r="BZ1223" i="13" s="1"/>
  <c r="BZ1224" i="13" s="1"/>
  <c r="BZ1225" i="13" s="1"/>
  <c r="BZ1226" i="13" s="1"/>
  <c r="BZ1227" i="13" s="1"/>
  <c r="BZ1228" i="13" s="1"/>
  <c r="BZ1229" i="13" s="1"/>
  <c r="BZ1230" i="13" s="1"/>
  <c r="BZ1231" i="13" s="1"/>
  <c r="BZ1232" i="13" s="1"/>
  <c r="BZ1233" i="13" s="1"/>
  <c r="BZ1234" i="13" s="1"/>
  <c r="BZ1235" i="13" s="1"/>
  <c r="BZ1236" i="13" s="1"/>
  <c r="BZ1237" i="13" s="1"/>
  <c r="BZ1238" i="13" s="1"/>
  <c r="BZ1239" i="13" s="1"/>
  <c r="BZ1240" i="13" s="1"/>
  <c r="BZ1241" i="13" s="1"/>
  <c r="BZ1242" i="13" s="1"/>
  <c r="BZ1243" i="13" s="1"/>
  <c r="BZ1244" i="13" s="1"/>
  <c r="BZ1245" i="13" s="1"/>
  <c r="BZ1246" i="13" s="1"/>
  <c r="BZ1247" i="13" s="1"/>
  <c r="BZ1248" i="13" s="1"/>
  <c r="BZ1249" i="13" s="1"/>
  <c r="BZ1250" i="13" s="1"/>
  <c r="BZ1251" i="13" s="1"/>
  <c r="BZ1252" i="13" s="1"/>
  <c r="BZ1253" i="13" s="1"/>
  <c r="BZ1254" i="13" s="1"/>
  <c r="BZ1255" i="13" s="1"/>
  <c r="BZ1256" i="13" s="1"/>
  <c r="BZ1257" i="13" s="1"/>
  <c r="BZ1258" i="13" s="1"/>
  <c r="BZ1259" i="13" s="1"/>
  <c r="BZ1260" i="13" s="1"/>
  <c r="CL1099" i="13"/>
  <c r="CL1100" i="13" s="1"/>
  <c r="CL1101" i="13" s="1"/>
  <c r="CL1102" i="13" s="1"/>
  <c r="CL1103" i="13" s="1"/>
  <c r="CL1104" i="13" s="1"/>
  <c r="CL1105" i="13" s="1"/>
  <c r="CL1106" i="13" s="1"/>
  <c r="CL1107" i="13" s="1"/>
  <c r="CL1108" i="13" s="1"/>
  <c r="CL1109" i="13" s="1"/>
  <c r="CL1110" i="13" s="1"/>
  <c r="CL1111" i="13" s="1"/>
  <c r="CL1112" i="13" s="1"/>
  <c r="CL1113" i="13" s="1"/>
  <c r="CL1114" i="13" s="1"/>
  <c r="CL1115" i="13" s="1"/>
  <c r="CL1116" i="13" s="1"/>
  <c r="CL1117" i="13" s="1"/>
  <c r="CL1118" i="13" s="1"/>
  <c r="CL1119" i="13" s="1"/>
  <c r="CL1120" i="13" s="1"/>
  <c r="CL1121" i="13" s="1"/>
  <c r="CL1122" i="13" s="1"/>
  <c r="CL1123" i="13" s="1"/>
  <c r="CL1124" i="13" s="1"/>
  <c r="CL1125" i="13" s="1"/>
  <c r="CL1126" i="13" s="1"/>
  <c r="CL1127" i="13" s="1"/>
  <c r="CL1128" i="13" s="1"/>
  <c r="CL1129" i="13" s="1"/>
  <c r="CL1130" i="13" s="1"/>
  <c r="CL1131" i="13" s="1"/>
  <c r="CL1132" i="13" s="1"/>
  <c r="CL1133" i="13" s="1"/>
  <c r="CL1134" i="13" s="1"/>
  <c r="CL1135" i="13" s="1"/>
  <c r="CL1136" i="13" s="1"/>
  <c r="CL1137" i="13" s="1"/>
  <c r="CL1138" i="13" s="1"/>
  <c r="CL1139" i="13" s="1"/>
  <c r="CL1140" i="13" s="1"/>
  <c r="CL1141" i="13" s="1"/>
  <c r="CL1142" i="13" s="1"/>
  <c r="CL1143" i="13" s="1"/>
  <c r="CL1144" i="13" s="1"/>
  <c r="CL1145" i="13" s="1"/>
  <c r="CL1146" i="13" s="1"/>
  <c r="CL1147" i="13" s="1"/>
  <c r="CL1148" i="13" s="1"/>
  <c r="CL1149" i="13" s="1"/>
  <c r="CL1150" i="13" s="1"/>
  <c r="CL1151" i="13" s="1"/>
  <c r="CL1152" i="13" s="1"/>
  <c r="CL1153" i="13" s="1"/>
  <c r="CL1154" i="13" s="1"/>
  <c r="CL1155" i="13" s="1"/>
  <c r="CL1156" i="13" s="1"/>
  <c r="CL1157" i="13" s="1"/>
  <c r="CL1158" i="13" s="1"/>
  <c r="CL1159" i="13" s="1"/>
  <c r="CL1160" i="13" s="1"/>
  <c r="CL1161" i="13" s="1"/>
  <c r="CL1162" i="13" s="1"/>
  <c r="CL1163" i="13" s="1"/>
  <c r="CL1164" i="13" s="1"/>
  <c r="CL1165" i="13" s="1"/>
  <c r="CL1166" i="13" s="1"/>
  <c r="CL1167" i="13" s="1"/>
  <c r="CL1168" i="13" s="1"/>
  <c r="CL1169" i="13" s="1"/>
  <c r="CL1170" i="13" s="1"/>
  <c r="CL1171" i="13" s="1"/>
  <c r="CL1172" i="13" s="1"/>
  <c r="CL1173" i="13" s="1"/>
  <c r="CL1174" i="13" s="1"/>
  <c r="CL1175" i="13" s="1"/>
  <c r="CL1176" i="13" s="1"/>
  <c r="CL1177" i="13" s="1"/>
  <c r="CL1178" i="13" s="1"/>
  <c r="CL1179" i="13" s="1"/>
  <c r="CL1180" i="13" s="1"/>
  <c r="CL1181" i="13" s="1"/>
  <c r="CL1182" i="13" s="1"/>
  <c r="CL1183" i="13" s="1"/>
  <c r="CL1184" i="13" s="1"/>
  <c r="CL1185" i="13" s="1"/>
  <c r="CL1186" i="13" s="1"/>
  <c r="CL1187" i="13" s="1"/>
  <c r="CL1188" i="13" s="1"/>
  <c r="CL1189" i="13" s="1"/>
  <c r="CL1190" i="13" s="1"/>
  <c r="CL1191" i="13" s="1"/>
  <c r="CL1192" i="13" s="1"/>
  <c r="CL1193" i="13" s="1"/>
  <c r="CL1194" i="13" s="1"/>
  <c r="CL1195" i="13" s="1"/>
  <c r="CL1196" i="13" s="1"/>
  <c r="CL1197" i="13" s="1"/>
  <c r="CL1198" i="13" s="1"/>
  <c r="CL1199" i="13" s="1"/>
  <c r="CL1200" i="13" s="1"/>
  <c r="CL1201" i="13" s="1"/>
  <c r="CL1202" i="13" s="1"/>
  <c r="CL1203" i="13" s="1"/>
  <c r="CL1204" i="13" s="1"/>
  <c r="CL1205" i="13" s="1"/>
  <c r="CL1206" i="13" s="1"/>
  <c r="CL1207" i="13" s="1"/>
  <c r="CL1208" i="13" s="1"/>
  <c r="CL1209" i="13" s="1"/>
  <c r="CL1210" i="13" s="1"/>
  <c r="CL1211" i="13" s="1"/>
  <c r="CL1212" i="13" s="1"/>
  <c r="CL1213" i="13" s="1"/>
  <c r="CL1214" i="13" s="1"/>
  <c r="CL1215" i="13" s="1"/>
  <c r="CL1216" i="13" s="1"/>
  <c r="CL1217" i="13" s="1"/>
  <c r="CL1218" i="13" s="1"/>
  <c r="CL1219" i="13" s="1"/>
  <c r="CL1220" i="13" s="1"/>
  <c r="CL1221" i="13" s="1"/>
  <c r="CL1222" i="13" s="1"/>
  <c r="CL1223" i="13" s="1"/>
  <c r="CL1224" i="13" s="1"/>
  <c r="CL1225" i="13" s="1"/>
  <c r="CL1226" i="13" s="1"/>
  <c r="CL1227" i="13" s="1"/>
  <c r="CL1228" i="13" s="1"/>
  <c r="CL1229" i="13" s="1"/>
  <c r="CL1230" i="13" s="1"/>
  <c r="CL1231" i="13" s="1"/>
  <c r="CL1232" i="13" s="1"/>
  <c r="CL1233" i="13" s="1"/>
  <c r="CL1234" i="13" s="1"/>
  <c r="CL1235" i="13" s="1"/>
  <c r="CL1236" i="13" s="1"/>
  <c r="CL1237" i="13" s="1"/>
  <c r="CL1238" i="13" s="1"/>
  <c r="CL1239" i="13" s="1"/>
  <c r="CL1240" i="13" s="1"/>
  <c r="CL1241" i="13" s="1"/>
  <c r="CL1242" i="13" s="1"/>
  <c r="CL1243" i="13" s="1"/>
  <c r="CL1244" i="13" s="1"/>
  <c r="CL1245" i="13" s="1"/>
  <c r="CL1246" i="13" s="1"/>
  <c r="CL1247" i="13" s="1"/>
  <c r="CL1248" i="13" s="1"/>
  <c r="CL1249" i="13" s="1"/>
  <c r="CL1250" i="13" s="1"/>
  <c r="CL1251" i="13" s="1"/>
  <c r="CL1252" i="13" s="1"/>
  <c r="CL1253" i="13" s="1"/>
  <c r="CL1254" i="13" s="1"/>
  <c r="CL1255" i="13" s="1"/>
  <c r="CL1256" i="13" s="1"/>
  <c r="CL1257" i="13" s="1"/>
  <c r="CL1258" i="13" s="1"/>
  <c r="CL1259" i="13" s="1"/>
  <c r="CL1260" i="13" s="1"/>
  <c r="CL1261" i="13" s="1"/>
  <c r="CL1262" i="13" s="1"/>
  <c r="CL1263" i="13" s="1"/>
  <c r="CL1264" i="13" s="1"/>
  <c r="CL1265" i="13" s="1"/>
  <c r="CL1266" i="13" s="1"/>
  <c r="CL1267" i="13" s="1"/>
  <c r="CL1268" i="13" s="1"/>
  <c r="CL1269" i="13" s="1"/>
  <c r="CL1270" i="13" s="1"/>
  <c r="CL1271" i="13" s="1"/>
  <c r="CL1272" i="13" s="1"/>
  <c r="CL1273" i="13" s="1"/>
  <c r="CL1274" i="13" s="1"/>
  <c r="CL1275" i="13" s="1"/>
  <c r="CL1276" i="13" s="1"/>
  <c r="CL1277" i="13" s="1"/>
  <c r="CL1278" i="13" s="1"/>
  <c r="CL1279" i="13" s="1"/>
  <c r="CL1280" i="13" s="1"/>
  <c r="CL1281" i="13" s="1"/>
  <c r="CL1282" i="13" s="1"/>
  <c r="CL1283" i="13" s="1"/>
  <c r="CL1284" i="13" s="1"/>
  <c r="CL1285" i="13" s="1"/>
  <c r="CL1286" i="13" s="1"/>
  <c r="CL1287" i="13" s="1"/>
  <c r="CL1288" i="13" s="1"/>
  <c r="CL1289" i="13" s="1"/>
  <c r="CL1290" i="13" s="1"/>
  <c r="CL1291" i="13" s="1"/>
  <c r="CL1292" i="13" s="1"/>
  <c r="CL1293" i="13" s="1"/>
  <c r="CL1294" i="13" s="1"/>
  <c r="CL1295" i="13" s="1"/>
  <c r="CL1296" i="13" s="1"/>
  <c r="CL1297" i="13" s="1"/>
  <c r="CL1298" i="13" s="1"/>
  <c r="CL1299" i="13" s="1"/>
  <c r="CL1300" i="13" s="1"/>
  <c r="CL1301" i="13" s="1"/>
  <c r="CL1302" i="13" s="1"/>
  <c r="CL1303" i="13" s="1"/>
  <c r="CL1304" i="13" s="1"/>
  <c r="CL1305" i="13" s="1"/>
  <c r="CL1306" i="13" s="1"/>
  <c r="CL1307" i="13" s="1"/>
  <c r="CL1308" i="13" s="1"/>
  <c r="CL1309" i="13" s="1"/>
  <c r="CL1310" i="13" s="1"/>
  <c r="CL1311" i="13" s="1"/>
  <c r="CL1312" i="13" s="1"/>
  <c r="CL1313" i="13" s="1"/>
  <c r="CL1314" i="13" s="1"/>
  <c r="CL1315" i="13" s="1"/>
  <c r="CL1316" i="13" s="1"/>
  <c r="CL1317" i="13" s="1"/>
  <c r="CL1318" i="13" s="1"/>
  <c r="CL1319" i="13" s="1"/>
  <c r="CL1320" i="13" s="1"/>
  <c r="CL1321" i="13" s="1"/>
  <c r="CL1322" i="13" s="1"/>
  <c r="CO946" i="13"/>
  <c r="CO484" i="13"/>
  <c r="CO757" i="13"/>
  <c r="CM8" i="13"/>
  <c r="CJ9" i="13"/>
  <c r="CN7" i="13"/>
  <c r="C5" i="11"/>
  <c r="C2" i="11"/>
  <c r="C3" i="11"/>
  <c r="C4" i="11"/>
  <c r="E4" i="8" s="1"/>
  <c r="CJ1695" i="13" l="1"/>
  <c r="CM1694" i="13"/>
  <c r="CN1694" i="13" s="1"/>
  <c r="CJ1402" i="13"/>
  <c r="CM1402" i="13" s="1"/>
  <c r="CM1401" i="13"/>
  <c r="CN1401" i="13" s="1"/>
  <c r="CO1401" i="13" s="1"/>
  <c r="BZ1261" i="13"/>
  <c r="BZ1262" i="13" s="1"/>
  <c r="BZ1263" i="13" s="1"/>
  <c r="BZ1264" i="13" s="1"/>
  <c r="BZ1265" i="13" s="1"/>
  <c r="BZ1266" i="13" s="1"/>
  <c r="BZ1267" i="13" s="1"/>
  <c r="BZ1268" i="13" s="1"/>
  <c r="BZ1269" i="13" s="1"/>
  <c r="BZ1270" i="13" s="1"/>
  <c r="BZ1271" i="13" s="1"/>
  <c r="BZ1272" i="13" s="1"/>
  <c r="BZ1273" i="13" s="1"/>
  <c r="BZ1274" i="13" s="1"/>
  <c r="BZ1275" i="13" s="1"/>
  <c r="BZ1276" i="13" s="1"/>
  <c r="BZ1277" i="13" s="1"/>
  <c r="BZ1278" i="13" s="1"/>
  <c r="BZ1279" i="13" s="1"/>
  <c r="BZ1280" i="13" s="1"/>
  <c r="BZ1281" i="13" s="1"/>
  <c r="BZ1282" i="13" s="1"/>
  <c r="BZ1283" i="13" s="1"/>
  <c r="BZ1284" i="13" s="1"/>
  <c r="BZ1285" i="13" s="1"/>
  <c r="BZ1286" i="13" s="1"/>
  <c r="BZ1287" i="13" s="1"/>
  <c r="BZ1288" i="13" s="1"/>
  <c r="BZ1289" i="13" s="1"/>
  <c r="BZ1290" i="13" s="1"/>
  <c r="BZ1291" i="13" s="1"/>
  <c r="BZ1292" i="13" s="1"/>
  <c r="BZ1293" i="13" s="1"/>
  <c r="BZ1294" i="13" s="1"/>
  <c r="BZ1295" i="13" s="1"/>
  <c r="BZ1296" i="13" s="1"/>
  <c r="BZ1297" i="13" s="1"/>
  <c r="BZ1298" i="13" s="1"/>
  <c r="BZ1299" i="13" s="1"/>
  <c r="BZ1300" i="13" s="1"/>
  <c r="BZ1301" i="13" s="1"/>
  <c r="BZ1302" i="13" s="1"/>
  <c r="BZ1303" i="13" s="1"/>
  <c r="BZ1304" i="13" s="1"/>
  <c r="BZ1305" i="13" s="1"/>
  <c r="BZ1306" i="13" s="1"/>
  <c r="BZ1307" i="13" s="1"/>
  <c r="BZ1308" i="13" s="1"/>
  <c r="BZ1309" i="13" s="1"/>
  <c r="BZ1310" i="13" s="1"/>
  <c r="BZ1311" i="13" s="1"/>
  <c r="BZ1312" i="13" s="1"/>
  <c r="BZ1313" i="13" s="1"/>
  <c r="BZ1314" i="13" s="1"/>
  <c r="BZ1315" i="13" s="1"/>
  <c r="BZ1316" i="13" s="1"/>
  <c r="BZ1317" i="13" s="1"/>
  <c r="BZ1318" i="13" s="1"/>
  <c r="BZ1319" i="13" s="1"/>
  <c r="BZ1320" i="13" s="1"/>
  <c r="BZ1321" i="13" s="1"/>
  <c r="F9" i="8" s="1"/>
  <c r="F35" i="8"/>
  <c r="F28" i="8" s="1"/>
  <c r="CM9" i="13"/>
  <c r="CJ10" i="13"/>
  <c r="CN8" i="13"/>
  <c r="AB363" i="9"/>
  <c r="AA363" i="9" s="1"/>
  <c r="W363" i="9"/>
  <c r="Y363" i="9" s="1"/>
  <c r="Z363" i="9" s="1"/>
  <c r="AC363" i="9" s="1"/>
  <c r="AB362" i="9"/>
  <c r="AA362" i="9" s="1"/>
  <c r="W362" i="9"/>
  <c r="Y362" i="9" s="1"/>
  <c r="Z362" i="9" s="1"/>
  <c r="AC362" i="9" s="1"/>
  <c r="AB361" i="9"/>
  <c r="AA361" i="9" s="1"/>
  <c r="W361" i="9"/>
  <c r="Y361" i="9" s="1"/>
  <c r="Z361" i="9" s="1"/>
  <c r="AC361" i="9" s="1"/>
  <c r="AB360" i="9"/>
  <c r="AA360" i="9" s="1"/>
  <c r="W360" i="9"/>
  <c r="Y360" i="9" s="1"/>
  <c r="Z360" i="9" s="1"/>
  <c r="AC360" i="9" s="1"/>
  <c r="AB359" i="9"/>
  <c r="AA359" i="9" s="1"/>
  <c r="W359" i="9"/>
  <c r="Y359" i="9" s="1"/>
  <c r="Z359" i="9" s="1"/>
  <c r="AC359" i="9" s="1"/>
  <c r="AB358" i="9"/>
  <c r="AA358" i="9" s="1"/>
  <c r="W358" i="9"/>
  <c r="Y358" i="9" s="1"/>
  <c r="Z358" i="9" s="1"/>
  <c r="AC358" i="9" s="1"/>
  <c r="AB357" i="9"/>
  <c r="AA357" i="9" s="1"/>
  <c r="W357" i="9"/>
  <c r="Y357" i="9" s="1"/>
  <c r="Z357" i="9" s="1"/>
  <c r="AC357" i="9" s="1"/>
  <c r="AB356" i="9"/>
  <c r="AA356" i="9" s="1"/>
  <c r="W356" i="9"/>
  <c r="Y356" i="9" s="1"/>
  <c r="Z356" i="9" s="1"/>
  <c r="AC356" i="9" s="1"/>
  <c r="AB355" i="9"/>
  <c r="AA355" i="9" s="1"/>
  <c r="W355" i="9"/>
  <c r="Y355" i="9" s="1"/>
  <c r="Z355" i="9" s="1"/>
  <c r="AC355" i="9" s="1"/>
  <c r="AB354" i="9"/>
  <c r="AA354" i="9" s="1"/>
  <c r="W354" i="9"/>
  <c r="Y354" i="9" s="1"/>
  <c r="Z354" i="9" s="1"/>
  <c r="AC354" i="9" s="1"/>
  <c r="AB353" i="9"/>
  <c r="AA353" i="9" s="1"/>
  <c r="W353" i="9"/>
  <c r="Y353" i="9" s="1"/>
  <c r="Z353" i="9" s="1"/>
  <c r="AC353" i="9" s="1"/>
  <c r="AB352" i="9"/>
  <c r="AA352" i="9" s="1"/>
  <c r="W352" i="9"/>
  <c r="Y352" i="9" s="1"/>
  <c r="Z352" i="9" s="1"/>
  <c r="AC352" i="9" s="1"/>
  <c r="AB351" i="9"/>
  <c r="AA351" i="9" s="1"/>
  <c r="W351" i="9"/>
  <c r="J351" i="9"/>
  <c r="AB350" i="9"/>
  <c r="AA350" i="9" s="1"/>
  <c r="W350" i="9"/>
  <c r="Y350" i="9" s="1"/>
  <c r="Z350" i="9" s="1"/>
  <c r="AC350" i="9" s="1"/>
  <c r="AB349" i="9"/>
  <c r="AA349" i="9" s="1"/>
  <c r="W349" i="9"/>
  <c r="Y349" i="9" s="1"/>
  <c r="Z349" i="9" s="1"/>
  <c r="AC349" i="9" s="1"/>
  <c r="AB348" i="9"/>
  <c r="AA348" i="9" s="1"/>
  <c r="W348" i="9"/>
  <c r="Y348" i="9" s="1"/>
  <c r="Z348" i="9" s="1"/>
  <c r="AC348" i="9" s="1"/>
  <c r="AB347" i="9"/>
  <c r="AA347" i="9" s="1"/>
  <c r="W347" i="9"/>
  <c r="Y347" i="9" s="1"/>
  <c r="Z347" i="9" s="1"/>
  <c r="AC347" i="9" s="1"/>
  <c r="AB346" i="9"/>
  <c r="AA346" i="9" s="1"/>
  <c r="W346" i="9"/>
  <c r="Y346" i="9" s="1"/>
  <c r="Z346" i="9" s="1"/>
  <c r="AC346" i="9" s="1"/>
  <c r="AD345" i="9"/>
  <c r="W345" i="9"/>
  <c r="Y345" i="9" s="1"/>
  <c r="Z345" i="9" s="1"/>
  <c r="W344" i="9"/>
  <c r="Y344" i="9" s="1"/>
  <c r="Z344" i="9" s="1"/>
  <c r="AC344" i="9" s="1"/>
  <c r="AD344" i="9" s="1"/>
  <c r="W343" i="9"/>
  <c r="Y343" i="9" s="1"/>
  <c r="Z343" i="9" s="1"/>
  <c r="AC343" i="9" s="1"/>
  <c r="AD343" i="9" s="1"/>
  <c r="W342" i="9"/>
  <c r="Y342" i="9" s="1"/>
  <c r="Z342" i="9" s="1"/>
  <c r="AC342" i="9" s="1"/>
  <c r="AD342" i="9" s="1"/>
  <c r="W341" i="9"/>
  <c r="Y341" i="9" s="1"/>
  <c r="Z341" i="9" s="1"/>
  <c r="AC341" i="9" s="1"/>
  <c r="AD341" i="9" s="1"/>
  <c r="W340" i="9"/>
  <c r="Y340" i="9" s="1"/>
  <c r="Z340" i="9" s="1"/>
  <c r="AC340" i="9" s="1"/>
  <c r="AD340" i="9" s="1"/>
  <c r="W339" i="9"/>
  <c r="Y339" i="9" s="1"/>
  <c r="Z339" i="9" s="1"/>
  <c r="AC339" i="9" s="1"/>
  <c r="AD339" i="9" s="1"/>
  <c r="W338" i="9"/>
  <c r="Y338" i="9" s="1"/>
  <c r="Z338" i="9" s="1"/>
  <c r="AC338" i="9" s="1"/>
  <c r="AD338" i="9" s="1"/>
  <c r="W337" i="9"/>
  <c r="Y337" i="9" s="1"/>
  <c r="Z337" i="9" s="1"/>
  <c r="AC337" i="9" s="1"/>
  <c r="AD337" i="9" s="1"/>
  <c r="W336" i="9"/>
  <c r="Y336" i="9" s="1"/>
  <c r="Z336" i="9" s="1"/>
  <c r="AC336" i="9" s="1"/>
  <c r="AD336" i="9" s="1"/>
  <c r="W335" i="9"/>
  <c r="Y335" i="9" s="1"/>
  <c r="Z335" i="9" s="1"/>
  <c r="AC335" i="9" s="1"/>
  <c r="AD335" i="9" s="1"/>
  <c r="W334" i="9"/>
  <c r="Y334" i="9" s="1"/>
  <c r="Z334" i="9" s="1"/>
  <c r="AC334" i="9" s="1"/>
  <c r="AD334" i="9" s="1"/>
  <c r="W333" i="9"/>
  <c r="Y333" i="9" s="1"/>
  <c r="Z333" i="9" s="1"/>
  <c r="AC333" i="9" s="1"/>
  <c r="AD333" i="9" s="1"/>
  <c r="W332" i="9"/>
  <c r="Y332" i="9" s="1"/>
  <c r="Z332" i="9" s="1"/>
  <c r="AC332" i="9" s="1"/>
  <c r="AD332" i="9" s="1"/>
  <c r="W331" i="9"/>
  <c r="Y331" i="9" s="1"/>
  <c r="Z331" i="9" s="1"/>
  <c r="AC331" i="9" s="1"/>
  <c r="AD331" i="9" s="1"/>
  <c r="W330" i="9"/>
  <c r="Y330" i="9" s="1"/>
  <c r="Z330" i="9" s="1"/>
  <c r="AC330" i="9" s="1"/>
  <c r="AD330" i="9" s="1"/>
  <c r="W329" i="9"/>
  <c r="Y329" i="9" s="1"/>
  <c r="Z329" i="9" s="1"/>
  <c r="AC329" i="9" s="1"/>
  <c r="AD329" i="9" s="1"/>
  <c r="W328" i="9"/>
  <c r="Y328" i="9" s="1"/>
  <c r="Z328" i="9" s="1"/>
  <c r="AC328" i="9" s="1"/>
  <c r="AD328" i="9" s="1"/>
  <c r="W327" i="9"/>
  <c r="Y327" i="9" s="1"/>
  <c r="Z327" i="9" s="1"/>
  <c r="AC327" i="9" s="1"/>
  <c r="AD327" i="9" s="1"/>
  <c r="W326" i="9"/>
  <c r="Y326" i="9" s="1"/>
  <c r="Z326" i="9" s="1"/>
  <c r="AC326" i="9" s="1"/>
  <c r="AD326" i="9" s="1"/>
  <c r="W325" i="9"/>
  <c r="Y325" i="9" s="1"/>
  <c r="Z325" i="9" s="1"/>
  <c r="AC325" i="9" s="1"/>
  <c r="AD325" i="9" s="1"/>
  <c r="W324" i="9"/>
  <c r="Y324" i="9" s="1"/>
  <c r="Z324" i="9" s="1"/>
  <c r="AC324" i="9" s="1"/>
  <c r="AD324" i="9" s="1"/>
  <c r="W323" i="9"/>
  <c r="Y323" i="9" s="1"/>
  <c r="Z323" i="9" s="1"/>
  <c r="AC323" i="9" s="1"/>
  <c r="AD323" i="9" s="1"/>
  <c r="W322" i="9"/>
  <c r="Y322" i="9" s="1"/>
  <c r="Z322" i="9" s="1"/>
  <c r="AC322" i="9" s="1"/>
  <c r="AD322" i="9" s="1"/>
  <c r="W321" i="9"/>
  <c r="Y321" i="9" s="1"/>
  <c r="Z321" i="9" s="1"/>
  <c r="AC321" i="9" s="1"/>
  <c r="AD321" i="9" s="1"/>
  <c r="W320" i="9"/>
  <c r="Y320" i="9" s="1"/>
  <c r="Z320" i="9" s="1"/>
  <c r="AC320" i="9" s="1"/>
  <c r="AD320" i="9" s="1"/>
  <c r="W319" i="9"/>
  <c r="Y319" i="9" s="1"/>
  <c r="Z319" i="9" s="1"/>
  <c r="AC319" i="9" s="1"/>
  <c r="AD319" i="9" s="1"/>
  <c r="W318" i="9"/>
  <c r="Y318" i="9" s="1"/>
  <c r="Z318" i="9" s="1"/>
  <c r="AC318" i="9" s="1"/>
  <c r="AD318" i="9" s="1"/>
  <c r="W317" i="9"/>
  <c r="Y317" i="9" s="1"/>
  <c r="Z317" i="9" s="1"/>
  <c r="AC317" i="9" s="1"/>
  <c r="AD317" i="9" s="1"/>
  <c r="W316" i="9"/>
  <c r="Y316" i="9" s="1"/>
  <c r="Z316" i="9" s="1"/>
  <c r="AC316" i="9" s="1"/>
  <c r="AD316" i="9" s="1"/>
  <c r="W315" i="9"/>
  <c r="Y315" i="9" s="1"/>
  <c r="Z315" i="9" s="1"/>
  <c r="AC315" i="9" s="1"/>
  <c r="AD315" i="9" s="1"/>
  <c r="W314" i="9"/>
  <c r="Y314" i="9" s="1"/>
  <c r="Z314" i="9" s="1"/>
  <c r="AC314" i="9" s="1"/>
  <c r="AD314" i="9" s="1"/>
  <c r="W313" i="9"/>
  <c r="Y313" i="9" s="1"/>
  <c r="Z313" i="9" s="1"/>
  <c r="AC313" i="9" s="1"/>
  <c r="AD313" i="9" s="1"/>
  <c r="W312" i="9"/>
  <c r="Y312" i="9" s="1"/>
  <c r="Z312" i="9" s="1"/>
  <c r="AC312" i="9" s="1"/>
  <c r="AD312" i="9" s="1"/>
  <c r="W311" i="9"/>
  <c r="Y311" i="9" s="1"/>
  <c r="Z311" i="9" s="1"/>
  <c r="AC311" i="9" s="1"/>
  <c r="AD311" i="9" s="1"/>
  <c r="W310" i="9"/>
  <c r="Y310" i="9" s="1"/>
  <c r="Z310" i="9" s="1"/>
  <c r="AC310" i="9" s="1"/>
  <c r="AD310" i="9" s="1"/>
  <c r="W309" i="9"/>
  <c r="Y309" i="9" s="1"/>
  <c r="Z309" i="9" s="1"/>
  <c r="AC309" i="9" s="1"/>
  <c r="AD309" i="9" s="1"/>
  <c r="W308" i="9"/>
  <c r="Y308" i="9" s="1"/>
  <c r="Z308" i="9" s="1"/>
  <c r="AC308" i="9" s="1"/>
  <c r="AD308" i="9" s="1"/>
  <c r="W307" i="9"/>
  <c r="Y307" i="9" s="1"/>
  <c r="Z307" i="9" s="1"/>
  <c r="AC307" i="9" s="1"/>
  <c r="AD307" i="9" s="1"/>
  <c r="W306" i="9"/>
  <c r="Y306" i="9" s="1"/>
  <c r="Z306" i="9" s="1"/>
  <c r="AC306" i="9" s="1"/>
  <c r="AD306" i="9" s="1"/>
  <c r="W305" i="9"/>
  <c r="Y305" i="9" s="1"/>
  <c r="Z305" i="9" s="1"/>
  <c r="AC305" i="9" s="1"/>
  <c r="AD305" i="9" s="1"/>
  <c r="W304" i="9"/>
  <c r="Y304" i="9" s="1"/>
  <c r="Z304" i="9" s="1"/>
  <c r="AC304" i="9" s="1"/>
  <c r="AD304" i="9" s="1"/>
  <c r="W303" i="9"/>
  <c r="Y303" i="9" s="1"/>
  <c r="Z303" i="9" s="1"/>
  <c r="AC303" i="9" s="1"/>
  <c r="AD303" i="9" s="1"/>
  <c r="W302" i="9"/>
  <c r="Y302" i="9" s="1"/>
  <c r="Z302" i="9" s="1"/>
  <c r="AC302" i="9" s="1"/>
  <c r="AD302" i="9" s="1"/>
  <c r="W301" i="9"/>
  <c r="Y301" i="9" s="1"/>
  <c r="Z301" i="9" s="1"/>
  <c r="AC301" i="9" s="1"/>
  <c r="AD301" i="9" s="1"/>
  <c r="W300" i="9"/>
  <c r="Y300" i="9" s="1"/>
  <c r="Z300" i="9" s="1"/>
  <c r="AC300" i="9" s="1"/>
  <c r="AD300" i="9" s="1"/>
  <c r="W299" i="9"/>
  <c r="Y299" i="9" s="1"/>
  <c r="Z299" i="9" s="1"/>
  <c r="AC299" i="9" s="1"/>
  <c r="AD299" i="9" s="1"/>
  <c r="W298" i="9"/>
  <c r="Y298" i="9" s="1"/>
  <c r="Z298" i="9" s="1"/>
  <c r="AC298" i="9" s="1"/>
  <c r="AD298" i="9" s="1"/>
  <c r="W297" i="9"/>
  <c r="Y297" i="9" s="1"/>
  <c r="Z297" i="9" s="1"/>
  <c r="AC297" i="9" s="1"/>
  <c r="AD297" i="9" s="1"/>
  <c r="W296" i="9"/>
  <c r="Y296" i="9" s="1"/>
  <c r="Z296" i="9" s="1"/>
  <c r="AC296" i="9" s="1"/>
  <c r="AD296" i="9" s="1"/>
  <c r="W295" i="9"/>
  <c r="Y295" i="9" s="1"/>
  <c r="Z295" i="9" s="1"/>
  <c r="AC295" i="9" s="1"/>
  <c r="AD295" i="9" s="1"/>
  <c r="W294" i="9"/>
  <c r="Y294" i="9" s="1"/>
  <c r="Z294" i="9" s="1"/>
  <c r="AC294" i="9" s="1"/>
  <c r="AD294" i="9" s="1"/>
  <c r="W293" i="9"/>
  <c r="Y293" i="9" s="1"/>
  <c r="Z293" i="9" s="1"/>
  <c r="AC293" i="9" s="1"/>
  <c r="AD293" i="9" s="1"/>
  <c r="W292" i="9"/>
  <c r="Y292" i="9" s="1"/>
  <c r="Z292" i="9" s="1"/>
  <c r="AC292" i="9" s="1"/>
  <c r="AD292" i="9" s="1"/>
  <c r="W291" i="9"/>
  <c r="Y291" i="9" s="1"/>
  <c r="Z291" i="9" s="1"/>
  <c r="AC291" i="9" s="1"/>
  <c r="AD291" i="9" s="1"/>
  <c r="W290" i="9"/>
  <c r="Y290" i="9" s="1"/>
  <c r="Z290" i="9" s="1"/>
  <c r="AC290" i="9" s="1"/>
  <c r="AD290" i="9" s="1"/>
  <c r="W289" i="9"/>
  <c r="Y289" i="9" s="1"/>
  <c r="Z289" i="9" s="1"/>
  <c r="AC289" i="9" s="1"/>
  <c r="AD289" i="9" s="1"/>
  <c r="W288" i="9"/>
  <c r="Y288" i="9" s="1"/>
  <c r="Z288" i="9" s="1"/>
  <c r="AC288" i="9" s="1"/>
  <c r="AD288" i="9" s="1"/>
  <c r="W287" i="9"/>
  <c r="Y287" i="9" s="1"/>
  <c r="Z287" i="9" s="1"/>
  <c r="AC287" i="9" s="1"/>
  <c r="AD287" i="9" s="1"/>
  <c r="W286" i="9"/>
  <c r="Y286" i="9" s="1"/>
  <c r="Z286" i="9" s="1"/>
  <c r="AC286" i="9" s="1"/>
  <c r="AD286" i="9" s="1"/>
  <c r="W285" i="9"/>
  <c r="Y285" i="9" s="1"/>
  <c r="Z285" i="9" s="1"/>
  <c r="AC285" i="9" s="1"/>
  <c r="AD285" i="9" s="1"/>
  <c r="W284" i="9"/>
  <c r="Y284" i="9" s="1"/>
  <c r="Z284" i="9" s="1"/>
  <c r="AC284" i="9" s="1"/>
  <c r="AD284" i="9" s="1"/>
  <c r="W283" i="9"/>
  <c r="Y283" i="9" s="1"/>
  <c r="Z283" i="9" s="1"/>
  <c r="AC283" i="9" s="1"/>
  <c r="AD283" i="9" s="1"/>
  <c r="W282" i="9"/>
  <c r="Y282" i="9" s="1"/>
  <c r="Z282" i="9" s="1"/>
  <c r="AC282" i="9" s="1"/>
  <c r="AD282" i="9" s="1"/>
  <c r="W281" i="9"/>
  <c r="Y281" i="9" s="1"/>
  <c r="Z281" i="9" s="1"/>
  <c r="AC281" i="9" s="1"/>
  <c r="AD281" i="9" s="1"/>
  <c r="W280" i="9"/>
  <c r="Y280" i="9" s="1"/>
  <c r="Z280" i="9" s="1"/>
  <c r="AC280" i="9" s="1"/>
  <c r="AD280" i="9" s="1"/>
  <c r="W279" i="9"/>
  <c r="Y279" i="9" s="1"/>
  <c r="Z279" i="9" s="1"/>
  <c r="AC279" i="9" s="1"/>
  <c r="V279" i="9"/>
  <c r="W278" i="9"/>
  <c r="Y278" i="9" s="1"/>
  <c r="Z278" i="9" s="1"/>
  <c r="AC278" i="9" s="1"/>
  <c r="W277" i="9"/>
  <c r="Y277" i="9" s="1"/>
  <c r="Z277" i="9" s="1"/>
  <c r="AC277" i="9" s="1"/>
  <c r="V277" i="9"/>
  <c r="W276" i="9"/>
  <c r="Y276" i="9" s="1"/>
  <c r="Z276" i="9" s="1"/>
  <c r="AC276" i="9" s="1"/>
  <c r="W275" i="9"/>
  <c r="Y275" i="9" s="1"/>
  <c r="Z275" i="9" s="1"/>
  <c r="AC275" i="9" s="1"/>
  <c r="V275" i="9"/>
  <c r="W274" i="9"/>
  <c r="Y274" i="9" s="1"/>
  <c r="Z274" i="9" s="1"/>
  <c r="AC274" i="9" s="1"/>
  <c r="W273" i="9"/>
  <c r="Y273" i="9" s="1"/>
  <c r="Z273" i="9" s="1"/>
  <c r="AC273" i="9" s="1"/>
  <c r="V273" i="9"/>
  <c r="W272" i="9"/>
  <c r="Y272" i="9" s="1"/>
  <c r="Z272" i="9" s="1"/>
  <c r="AC272" i="9" s="1"/>
  <c r="W271" i="9"/>
  <c r="Y271" i="9" s="1"/>
  <c r="Z271" i="9" s="1"/>
  <c r="AC271" i="9" s="1"/>
  <c r="V271" i="9"/>
  <c r="W270" i="9"/>
  <c r="Y270" i="9" s="1"/>
  <c r="Z270" i="9" s="1"/>
  <c r="AC270" i="9" s="1"/>
  <c r="W269" i="9"/>
  <c r="Y269" i="9" s="1"/>
  <c r="Z269" i="9" s="1"/>
  <c r="AC269" i="9" s="1"/>
  <c r="V269" i="9"/>
  <c r="W268" i="9"/>
  <c r="Y268" i="9" s="1"/>
  <c r="Z268" i="9" s="1"/>
  <c r="AC268" i="9" s="1"/>
  <c r="W267" i="9"/>
  <c r="Y267" i="9" s="1"/>
  <c r="Z267" i="9" s="1"/>
  <c r="AC267" i="9" s="1"/>
  <c r="V267" i="9"/>
  <c r="W266" i="9"/>
  <c r="Y266" i="9" s="1"/>
  <c r="Z266" i="9" s="1"/>
  <c r="AC266" i="9" s="1"/>
  <c r="W265" i="9"/>
  <c r="V265" i="9"/>
  <c r="J264" i="9"/>
  <c r="W264" i="9"/>
  <c r="V264" i="9"/>
  <c r="AD263" i="9"/>
  <c r="W263" i="9"/>
  <c r="Y263" i="9" s="1"/>
  <c r="Z263" i="9" s="1"/>
  <c r="V263" i="9"/>
  <c r="AD262" i="9"/>
  <c r="W262" i="9"/>
  <c r="Y262" i="9" s="1"/>
  <c r="Z262" i="9" s="1"/>
  <c r="W261" i="9"/>
  <c r="Y261" i="9" s="1"/>
  <c r="Z261" i="9" s="1"/>
  <c r="AC261" i="9" s="1"/>
  <c r="V261" i="9"/>
  <c r="W260" i="9"/>
  <c r="Y260" i="9" s="1"/>
  <c r="Z260" i="9" s="1"/>
  <c r="AC260" i="9" s="1"/>
  <c r="W259" i="9"/>
  <c r="Y259" i="9" s="1"/>
  <c r="Z259" i="9" s="1"/>
  <c r="AC259" i="9" s="1"/>
  <c r="V259" i="9"/>
  <c r="W258" i="9"/>
  <c r="Y258" i="9" s="1"/>
  <c r="Z258" i="9" s="1"/>
  <c r="AC258" i="9" s="1"/>
  <c r="W257" i="9"/>
  <c r="Y257" i="9" s="1"/>
  <c r="Z257" i="9" s="1"/>
  <c r="AC257" i="9" s="1"/>
  <c r="V257" i="9"/>
  <c r="W256" i="9"/>
  <c r="Y256" i="9" s="1"/>
  <c r="Z256" i="9" s="1"/>
  <c r="AC256" i="9" s="1"/>
  <c r="W255" i="9"/>
  <c r="Y255" i="9" s="1"/>
  <c r="Z255" i="9" s="1"/>
  <c r="AC255" i="9" s="1"/>
  <c r="V255" i="9"/>
  <c r="W254" i="9"/>
  <c r="Y254" i="9" s="1"/>
  <c r="Z254" i="9" s="1"/>
  <c r="AC254" i="9" s="1"/>
  <c r="W253" i="9"/>
  <c r="Y253" i="9" s="1"/>
  <c r="Z253" i="9" s="1"/>
  <c r="AC253" i="9" s="1"/>
  <c r="V253" i="9"/>
  <c r="W252" i="9"/>
  <c r="Y252" i="9" s="1"/>
  <c r="Z252" i="9" s="1"/>
  <c r="AC252" i="9" s="1"/>
  <c r="W251" i="9"/>
  <c r="Y251" i="9" s="1"/>
  <c r="Z251" i="9" s="1"/>
  <c r="AC251" i="9" s="1"/>
  <c r="V251" i="9"/>
  <c r="W250" i="9"/>
  <c r="Y250" i="9" s="1"/>
  <c r="Z250" i="9" s="1"/>
  <c r="AC250" i="9" s="1"/>
  <c r="W249" i="9"/>
  <c r="Y249" i="9" s="1"/>
  <c r="Z249" i="9" s="1"/>
  <c r="AC249" i="9" s="1"/>
  <c r="V249" i="9"/>
  <c r="W248" i="9"/>
  <c r="Y248" i="9" s="1"/>
  <c r="Z248" i="9" s="1"/>
  <c r="AC248" i="9" s="1"/>
  <c r="W247" i="9"/>
  <c r="Y247" i="9" s="1"/>
  <c r="Z247" i="9" s="1"/>
  <c r="AC247" i="9" s="1"/>
  <c r="V247" i="9"/>
  <c r="W246" i="9"/>
  <c r="Y246" i="9" s="1"/>
  <c r="Z246" i="9" s="1"/>
  <c r="AC246" i="9" s="1"/>
  <c r="W245" i="9"/>
  <c r="Y245" i="9" s="1"/>
  <c r="Z245" i="9" s="1"/>
  <c r="AC245" i="9" s="1"/>
  <c r="V245" i="9"/>
  <c r="J244" i="9"/>
  <c r="W244" i="9"/>
  <c r="V244" i="9"/>
  <c r="AD243" i="9"/>
  <c r="W243" i="9"/>
  <c r="Y243" i="9" s="1"/>
  <c r="Z243" i="9" s="1"/>
  <c r="V243" i="9"/>
  <c r="W242" i="9"/>
  <c r="Y242" i="9" s="1"/>
  <c r="Z242" i="9" s="1"/>
  <c r="AC242" i="9" s="1"/>
  <c r="AD242" i="9" s="1"/>
  <c r="W241" i="9"/>
  <c r="Y241" i="9" s="1"/>
  <c r="Z241" i="9" s="1"/>
  <c r="AC241" i="9" s="1"/>
  <c r="AD241" i="9" s="1"/>
  <c r="V241" i="9"/>
  <c r="W240" i="9"/>
  <c r="Y240" i="9" s="1"/>
  <c r="Z240" i="9" s="1"/>
  <c r="AC240" i="9" s="1"/>
  <c r="AD240" i="9" s="1"/>
  <c r="W239" i="9"/>
  <c r="Y239" i="9" s="1"/>
  <c r="Z239" i="9" s="1"/>
  <c r="AC239" i="9" s="1"/>
  <c r="AD239" i="9" s="1"/>
  <c r="V239" i="9"/>
  <c r="W238" i="9"/>
  <c r="Y238" i="9" s="1"/>
  <c r="Z238" i="9" s="1"/>
  <c r="AC238" i="9" s="1"/>
  <c r="AD238" i="9" s="1"/>
  <c r="W237" i="9"/>
  <c r="Y237" i="9" s="1"/>
  <c r="Z237" i="9" s="1"/>
  <c r="AC237" i="9" s="1"/>
  <c r="AD237" i="9" s="1"/>
  <c r="V237" i="9"/>
  <c r="W236" i="9"/>
  <c r="Y236" i="9" s="1"/>
  <c r="Z236" i="9" s="1"/>
  <c r="AC236" i="9" s="1"/>
  <c r="AD236" i="9" s="1"/>
  <c r="W235" i="9"/>
  <c r="Y235" i="9" s="1"/>
  <c r="Z235" i="9" s="1"/>
  <c r="AC235" i="9" s="1"/>
  <c r="AD235" i="9" s="1"/>
  <c r="V235" i="9"/>
  <c r="W234" i="9"/>
  <c r="Y234" i="9" s="1"/>
  <c r="Z234" i="9" s="1"/>
  <c r="AC234" i="9" s="1"/>
  <c r="AD234" i="9" s="1"/>
  <c r="W233" i="9"/>
  <c r="Y233" i="9" s="1"/>
  <c r="Z233" i="9" s="1"/>
  <c r="AC233" i="9" s="1"/>
  <c r="AD233" i="9" s="1"/>
  <c r="V233" i="9"/>
  <c r="W232" i="9"/>
  <c r="Y232" i="9" s="1"/>
  <c r="Z232" i="9" s="1"/>
  <c r="AC232" i="9" s="1"/>
  <c r="AD232" i="9" s="1"/>
  <c r="W231" i="9"/>
  <c r="Y231" i="9" s="1"/>
  <c r="Z231" i="9" s="1"/>
  <c r="AC231" i="9" s="1"/>
  <c r="AD231" i="9" s="1"/>
  <c r="V231" i="9"/>
  <c r="W230" i="9"/>
  <c r="Y230" i="9" s="1"/>
  <c r="Z230" i="9" s="1"/>
  <c r="AC230" i="9" s="1"/>
  <c r="AD230" i="9" s="1"/>
  <c r="W229" i="9"/>
  <c r="Y229" i="9" s="1"/>
  <c r="Z229" i="9" s="1"/>
  <c r="AC229" i="9" s="1"/>
  <c r="AD229" i="9" s="1"/>
  <c r="V229" i="9"/>
  <c r="W228" i="9"/>
  <c r="Y228" i="9" s="1"/>
  <c r="Z228" i="9" s="1"/>
  <c r="AC228" i="9" s="1"/>
  <c r="AD228" i="9" s="1"/>
  <c r="W227" i="9"/>
  <c r="Y227" i="9" s="1"/>
  <c r="Z227" i="9" s="1"/>
  <c r="AC227" i="9" s="1"/>
  <c r="AD227" i="9" s="1"/>
  <c r="V227" i="9"/>
  <c r="W226" i="9"/>
  <c r="Y226" i="9" s="1"/>
  <c r="Z226" i="9" s="1"/>
  <c r="AC226" i="9" s="1"/>
  <c r="AD226" i="9" s="1"/>
  <c r="W225" i="9"/>
  <c r="Y225" i="9" s="1"/>
  <c r="Z225" i="9" s="1"/>
  <c r="AC225" i="9" s="1"/>
  <c r="AD225" i="9" s="1"/>
  <c r="V225" i="9"/>
  <c r="W224" i="9"/>
  <c r="Y224" i="9" s="1"/>
  <c r="Z224" i="9" s="1"/>
  <c r="AC224" i="9" s="1"/>
  <c r="AD224" i="9" s="1"/>
  <c r="W223" i="9"/>
  <c r="Y223" i="9" s="1"/>
  <c r="Z223" i="9" s="1"/>
  <c r="AC223" i="9" s="1"/>
  <c r="AD223" i="9" s="1"/>
  <c r="V223" i="9"/>
  <c r="AD222" i="9"/>
  <c r="W222" i="9"/>
  <c r="Y222" i="9" s="1"/>
  <c r="Z222" i="9" s="1"/>
  <c r="W221" i="9"/>
  <c r="Y221" i="9" s="1"/>
  <c r="Z221" i="9" s="1"/>
  <c r="AC221" i="9" s="1"/>
  <c r="V221" i="9"/>
  <c r="W220" i="9"/>
  <c r="Y220" i="9" s="1"/>
  <c r="Z220" i="9" s="1"/>
  <c r="AC220" i="9" s="1"/>
  <c r="W219" i="9"/>
  <c r="Y219" i="9" s="1"/>
  <c r="Z219" i="9" s="1"/>
  <c r="AC219" i="9" s="1"/>
  <c r="V219" i="9"/>
  <c r="W218" i="9"/>
  <c r="Y218" i="9" s="1"/>
  <c r="Z218" i="9" s="1"/>
  <c r="AC218" i="9" s="1"/>
  <c r="W217" i="9"/>
  <c r="Y217" i="9" s="1"/>
  <c r="Z217" i="9" s="1"/>
  <c r="AC217" i="9" s="1"/>
  <c r="V217" i="9"/>
  <c r="W216" i="9"/>
  <c r="Y216" i="9" s="1"/>
  <c r="Z216" i="9" s="1"/>
  <c r="AC216" i="9" s="1"/>
  <c r="W215" i="9"/>
  <c r="Y215" i="9" s="1"/>
  <c r="Z215" i="9" s="1"/>
  <c r="AC215" i="9" s="1"/>
  <c r="V215" i="9"/>
  <c r="W214" i="9"/>
  <c r="Y214" i="9" s="1"/>
  <c r="Z214" i="9" s="1"/>
  <c r="AC214" i="9" s="1"/>
  <c r="W213" i="9"/>
  <c r="Y213" i="9" s="1"/>
  <c r="Z213" i="9" s="1"/>
  <c r="AC213" i="9" s="1"/>
  <c r="V213" i="9"/>
  <c r="W212" i="9"/>
  <c r="V212" i="9"/>
  <c r="J212" i="9"/>
  <c r="W211" i="9"/>
  <c r="Y211" i="9" s="1"/>
  <c r="Z211" i="9" s="1"/>
  <c r="AC211" i="9" s="1"/>
  <c r="W210" i="9"/>
  <c r="Y210" i="9" s="1"/>
  <c r="Z210" i="9" s="1"/>
  <c r="AC210" i="9" s="1"/>
  <c r="V210" i="9"/>
  <c r="W209" i="9"/>
  <c r="Y209" i="9" s="1"/>
  <c r="Z209" i="9" s="1"/>
  <c r="AC209" i="9" s="1"/>
  <c r="W208" i="9"/>
  <c r="Y208" i="9" s="1"/>
  <c r="Z208" i="9" s="1"/>
  <c r="AC208" i="9" s="1"/>
  <c r="V208" i="9"/>
  <c r="W207" i="9"/>
  <c r="Y207" i="9" s="1"/>
  <c r="Z207" i="9" s="1"/>
  <c r="AC207" i="9" s="1"/>
  <c r="W206" i="9"/>
  <c r="Y206" i="9" s="1"/>
  <c r="Z206" i="9" s="1"/>
  <c r="AC206" i="9" s="1"/>
  <c r="V206" i="9"/>
  <c r="W205" i="9"/>
  <c r="Y205" i="9" s="1"/>
  <c r="Z205" i="9" s="1"/>
  <c r="AC205" i="9" s="1"/>
  <c r="AD205" i="9" s="1"/>
  <c r="V205" i="9"/>
  <c r="AD204" i="9"/>
  <c r="W204" i="9"/>
  <c r="Y204" i="9" s="1"/>
  <c r="Z204" i="9" s="1"/>
  <c r="V204" i="9"/>
  <c r="AD203" i="9"/>
  <c r="W203" i="9"/>
  <c r="Y203" i="9" s="1"/>
  <c r="Z203" i="9" s="1"/>
  <c r="W202" i="9"/>
  <c r="Y202" i="9" s="1"/>
  <c r="Z202" i="9" s="1"/>
  <c r="AC202" i="9" s="1"/>
  <c r="V202" i="9"/>
  <c r="W201" i="9"/>
  <c r="Y201" i="9" s="1"/>
  <c r="Z201" i="9" s="1"/>
  <c r="AC201" i="9" s="1"/>
  <c r="W200" i="9"/>
  <c r="Y200" i="9" s="1"/>
  <c r="Z200" i="9" s="1"/>
  <c r="AC200" i="9" s="1"/>
  <c r="V200" i="9"/>
  <c r="W199" i="9"/>
  <c r="Y199" i="9" s="1"/>
  <c r="Z199" i="9" s="1"/>
  <c r="AC199" i="9" s="1"/>
  <c r="W198" i="9"/>
  <c r="Y198" i="9" s="1"/>
  <c r="Z198" i="9" s="1"/>
  <c r="AC198" i="9" s="1"/>
  <c r="V198" i="9"/>
  <c r="W197" i="9"/>
  <c r="Y197" i="9" s="1"/>
  <c r="Z197" i="9" s="1"/>
  <c r="AC197" i="9" s="1"/>
  <c r="W196" i="9"/>
  <c r="Y196" i="9" s="1"/>
  <c r="Z196" i="9" s="1"/>
  <c r="AC196" i="9" s="1"/>
  <c r="V196" i="9"/>
  <c r="W195" i="9"/>
  <c r="Y195" i="9" s="1"/>
  <c r="Z195" i="9" s="1"/>
  <c r="AC195" i="9" s="1"/>
  <c r="W194" i="9"/>
  <c r="Y194" i="9" s="1"/>
  <c r="Z194" i="9" s="1"/>
  <c r="AC194" i="9" s="1"/>
  <c r="V194" i="9"/>
  <c r="W193" i="9"/>
  <c r="Y193" i="9" s="1"/>
  <c r="Z193" i="9" s="1"/>
  <c r="AC193" i="9" s="1"/>
  <c r="W192" i="9"/>
  <c r="Y192" i="9" s="1"/>
  <c r="Z192" i="9" s="1"/>
  <c r="AC192" i="9" s="1"/>
  <c r="V192" i="9"/>
  <c r="W191" i="9"/>
  <c r="Y191" i="9" s="1"/>
  <c r="Z191" i="9" s="1"/>
  <c r="AC191" i="9" s="1"/>
  <c r="W190" i="9"/>
  <c r="Y190" i="9" s="1"/>
  <c r="Z190" i="9" s="1"/>
  <c r="AC190" i="9" s="1"/>
  <c r="V190" i="9"/>
  <c r="W189" i="9"/>
  <c r="V189" i="9"/>
  <c r="J189" i="9"/>
  <c r="W188" i="9"/>
  <c r="Y188" i="9" s="1"/>
  <c r="Z188" i="9" s="1"/>
  <c r="AC188" i="9" s="1"/>
  <c r="W187" i="9"/>
  <c r="Y187" i="9" s="1"/>
  <c r="Z187" i="9" s="1"/>
  <c r="AC187" i="9" s="1"/>
  <c r="V187" i="9"/>
  <c r="W186" i="9"/>
  <c r="Y186" i="9" s="1"/>
  <c r="Z186" i="9" s="1"/>
  <c r="AC186" i="9" s="1"/>
  <c r="W185" i="9"/>
  <c r="Y185" i="9" s="1"/>
  <c r="Z185" i="9" s="1"/>
  <c r="AC185" i="9" s="1"/>
  <c r="V185" i="9"/>
  <c r="W184" i="9"/>
  <c r="Y184" i="9" s="1"/>
  <c r="Z184" i="9" s="1"/>
  <c r="AC184" i="9" s="1"/>
  <c r="W183" i="9"/>
  <c r="Y183" i="9" s="1"/>
  <c r="Z183" i="9" s="1"/>
  <c r="AC183" i="9" s="1"/>
  <c r="AD183" i="9" s="1"/>
  <c r="V183" i="9"/>
  <c r="AD182" i="9"/>
  <c r="W182" i="9"/>
  <c r="Y182" i="9" s="1"/>
  <c r="Z182" i="9" s="1"/>
  <c r="V182" i="9"/>
  <c r="AD181" i="9"/>
  <c r="W181" i="9"/>
  <c r="Y181" i="9" s="1"/>
  <c r="Z181" i="9" s="1"/>
  <c r="W180" i="9"/>
  <c r="Y180" i="9" s="1"/>
  <c r="Z180" i="9" s="1"/>
  <c r="AC180" i="9" s="1"/>
  <c r="V180" i="9"/>
  <c r="W179" i="9"/>
  <c r="Y179" i="9" s="1"/>
  <c r="Z179" i="9" s="1"/>
  <c r="AC179" i="9" s="1"/>
  <c r="W178" i="9"/>
  <c r="Y178" i="9" s="1"/>
  <c r="Z178" i="9" s="1"/>
  <c r="AC178" i="9" s="1"/>
  <c r="V178" i="9"/>
  <c r="W177" i="9"/>
  <c r="Y177" i="9" s="1"/>
  <c r="Z177" i="9" s="1"/>
  <c r="AC177" i="9" s="1"/>
  <c r="W176" i="9"/>
  <c r="Y176" i="9" s="1"/>
  <c r="Z176" i="9" s="1"/>
  <c r="AC176" i="9" s="1"/>
  <c r="V176" i="9"/>
  <c r="W175" i="9"/>
  <c r="Y175" i="9" s="1"/>
  <c r="Z175" i="9" s="1"/>
  <c r="AC175" i="9" s="1"/>
  <c r="W174" i="9"/>
  <c r="Y174" i="9" s="1"/>
  <c r="Z174" i="9" s="1"/>
  <c r="AC174" i="9" s="1"/>
  <c r="V174" i="9"/>
  <c r="W173" i="9"/>
  <c r="Y173" i="9" s="1"/>
  <c r="Z173" i="9" s="1"/>
  <c r="AC173" i="9" s="1"/>
  <c r="W172" i="9"/>
  <c r="Y172" i="9" s="1"/>
  <c r="Z172" i="9" s="1"/>
  <c r="AC172" i="9" s="1"/>
  <c r="V172" i="9"/>
  <c r="W171" i="9"/>
  <c r="Y171" i="9" s="1"/>
  <c r="Z171" i="9" s="1"/>
  <c r="AC171" i="9" s="1"/>
  <c r="W170" i="9"/>
  <c r="Y170" i="9" s="1"/>
  <c r="Z170" i="9" s="1"/>
  <c r="AC170" i="9" s="1"/>
  <c r="V170" i="9"/>
  <c r="W169" i="9"/>
  <c r="V169" i="9"/>
  <c r="J169" i="9"/>
  <c r="AD168" i="9"/>
  <c r="W168" i="9"/>
  <c r="Y168" i="9" s="1"/>
  <c r="Z168" i="9" s="1"/>
  <c r="V168" i="9"/>
  <c r="W167" i="9"/>
  <c r="Y167" i="9" s="1"/>
  <c r="Z167" i="9" s="1"/>
  <c r="AC167" i="9" s="1"/>
  <c r="W166" i="9"/>
  <c r="Y166" i="9" s="1"/>
  <c r="Z166" i="9" s="1"/>
  <c r="AC166" i="9" s="1"/>
  <c r="V166" i="9"/>
  <c r="W165" i="9"/>
  <c r="Y165" i="9" s="1"/>
  <c r="Z165" i="9" s="1"/>
  <c r="AC165" i="9" s="1"/>
  <c r="W164" i="9"/>
  <c r="Y164" i="9" s="1"/>
  <c r="Z164" i="9" s="1"/>
  <c r="AC164" i="9" s="1"/>
  <c r="V164" i="9"/>
  <c r="W163" i="9"/>
  <c r="Y163" i="9" s="1"/>
  <c r="Z163" i="9" s="1"/>
  <c r="AC163" i="9" s="1"/>
  <c r="W162" i="9"/>
  <c r="Y162" i="9" s="1"/>
  <c r="Z162" i="9" s="1"/>
  <c r="AC162" i="9" s="1"/>
  <c r="AD162" i="9" s="1"/>
  <c r="V162" i="9"/>
  <c r="AD161" i="9"/>
  <c r="W161" i="9"/>
  <c r="Y161" i="9" s="1"/>
  <c r="Z161" i="9" s="1"/>
  <c r="W160" i="9"/>
  <c r="Y160" i="9" s="1"/>
  <c r="Z160" i="9" s="1"/>
  <c r="AC160" i="9" s="1"/>
  <c r="V160" i="9"/>
  <c r="W159" i="9"/>
  <c r="Y159" i="9" s="1"/>
  <c r="AC159" i="9" s="1"/>
  <c r="AD159" i="9" s="1"/>
  <c r="V159" i="9"/>
  <c r="W158" i="9"/>
  <c r="Y158" i="9" s="1"/>
  <c r="Z158" i="9" s="1"/>
  <c r="AC158" i="9" s="1"/>
  <c r="AD158" i="9" s="1"/>
  <c r="W157" i="9"/>
  <c r="Y157" i="9" s="1"/>
  <c r="Z157" i="9" s="1"/>
  <c r="AC157" i="9" s="1"/>
  <c r="AD157" i="9" s="1"/>
  <c r="V157" i="9"/>
  <c r="W156" i="9"/>
  <c r="Y156" i="9" s="1"/>
  <c r="Z156" i="9" s="1"/>
  <c r="AC156" i="9" s="1"/>
  <c r="AD156" i="9" s="1"/>
  <c r="W155" i="9"/>
  <c r="Y155" i="9" s="1"/>
  <c r="Z155" i="9" s="1"/>
  <c r="AC155" i="9" s="1"/>
  <c r="AD155" i="9" s="1"/>
  <c r="V155" i="9"/>
  <c r="W154" i="9"/>
  <c r="Y154" i="9" s="1"/>
  <c r="Z154" i="9" s="1"/>
  <c r="AC154" i="9" s="1"/>
  <c r="AD154" i="9" s="1"/>
  <c r="W153" i="9"/>
  <c r="Y153" i="9" s="1"/>
  <c r="Z153" i="9" s="1"/>
  <c r="AC153" i="9" s="1"/>
  <c r="AD153" i="9" s="1"/>
  <c r="V153" i="9"/>
  <c r="W152" i="9"/>
  <c r="Y152" i="9" s="1"/>
  <c r="Z152" i="9" s="1"/>
  <c r="AC152" i="9" s="1"/>
  <c r="AD152" i="9" s="1"/>
  <c r="W151" i="9"/>
  <c r="Y151" i="9" s="1"/>
  <c r="Z151" i="9" s="1"/>
  <c r="AC151" i="9" s="1"/>
  <c r="AD151" i="9" s="1"/>
  <c r="V151" i="9"/>
  <c r="W150" i="9"/>
  <c r="Y150" i="9" s="1"/>
  <c r="Z150" i="9" s="1"/>
  <c r="AC150" i="9" s="1"/>
  <c r="AD150" i="9" s="1"/>
  <c r="W149" i="9"/>
  <c r="Y149" i="9" s="1"/>
  <c r="Z149" i="9" s="1"/>
  <c r="AC149" i="9" s="1"/>
  <c r="AD149" i="9" s="1"/>
  <c r="V149" i="9"/>
  <c r="W148" i="9"/>
  <c r="Y148" i="9" s="1"/>
  <c r="Z148" i="9" s="1"/>
  <c r="AC148" i="9" s="1"/>
  <c r="AD148" i="9" s="1"/>
  <c r="W147" i="9"/>
  <c r="Y147" i="9" s="1"/>
  <c r="Z147" i="9" s="1"/>
  <c r="AC147" i="9" s="1"/>
  <c r="AD147" i="9" s="1"/>
  <c r="V147" i="9"/>
  <c r="W146" i="9"/>
  <c r="Y146" i="9" s="1"/>
  <c r="Z146" i="9" s="1"/>
  <c r="AC146" i="9" s="1"/>
  <c r="AD146" i="9" s="1"/>
  <c r="W145" i="9"/>
  <c r="Y145" i="9" s="1"/>
  <c r="Z145" i="9" s="1"/>
  <c r="AC145" i="9" s="1"/>
  <c r="AD145" i="9" s="1"/>
  <c r="V145" i="9"/>
  <c r="W144" i="9"/>
  <c r="Y144" i="9" s="1"/>
  <c r="Z144" i="9" s="1"/>
  <c r="AC144" i="9" s="1"/>
  <c r="AD144" i="9" s="1"/>
  <c r="W143" i="9"/>
  <c r="Y143" i="9" s="1"/>
  <c r="Z143" i="9" s="1"/>
  <c r="AC143" i="9" s="1"/>
  <c r="AD143" i="9" s="1"/>
  <c r="V143" i="9"/>
  <c r="W142" i="9"/>
  <c r="Y142" i="9" s="1"/>
  <c r="Z142" i="9" s="1"/>
  <c r="AC142" i="9" s="1"/>
  <c r="AD142" i="9" s="1"/>
  <c r="W141" i="9"/>
  <c r="Y141" i="9" s="1"/>
  <c r="Z141" i="9" s="1"/>
  <c r="AC141" i="9" s="1"/>
  <c r="AD141" i="9" s="1"/>
  <c r="V141" i="9"/>
  <c r="W140" i="9"/>
  <c r="Y140" i="9" s="1"/>
  <c r="Z140" i="9" s="1"/>
  <c r="AC140" i="9" s="1"/>
  <c r="AD140" i="9" s="1"/>
  <c r="W139" i="9"/>
  <c r="Y139" i="9" s="1"/>
  <c r="Z139" i="9" s="1"/>
  <c r="AC139" i="9" s="1"/>
  <c r="AD139" i="9" s="1"/>
  <c r="V139" i="9"/>
  <c r="W138" i="9"/>
  <c r="Y138" i="9" s="1"/>
  <c r="Z138" i="9" s="1"/>
  <c r="AC138" i="9" s="1"/>
  <c r="AD138" i="9" s="1"/>
  <c r="W137" i="9"/>
  <c r="Y137" i="9" s="1"/>
  <c r="Z137" i="9" s="1"/>
  <c r="AC137" i="9" s="1"/>
  <c r="AD137" i="9" s="1"/>
  <c r="V137" i="9"/>
  <c r="W136" i="9"/>
  <c r="Y136" i="9" s="1"/>
  <c r="Z136" i="9" s="1"/>
  <c r="AC136" i="9" s="1"/>
  <c r="AD136" i="9" s="1"/>
  <c r="W135" i="9"/>
  <c r="Y135" i="9" s="1"/>
  <c r="Z135" i="9" s="1"/>
  <c r="AC135" i="9" s="1"/>
  <c r="AD135" i="9" s="1"/>
  <c r="V135" i="9"/>
  <c r="W134" i="9"/>
  <c r="Y134" i="9" s="1"/>
  <c r="Z134" i="9" s="1"/>
  <c r="AC134" i="9" s="1"/>
  <c r="AD134" i="9" s="1"/>
  <c r="W133" i="9"/>
  <c r="Y133" i="9" s="1"/>
  <c r="Z133" i="9" s="1"/>
  <c r="AC133" i="9" s="1"/>
  <c r="AD133" i="9" s="1"/>
  <c r="V133" i="9"/>
  <c r="W132" i="9"/>
  <c r="Y132" i="9" s="1"/>
  <c r="Z132" i="9" s="1"/>
  <c r="AC132" i="9" s="1"/>
  <c r="AD132" i="9" s="1"/>
  <c r="W131" i="9"/>
  <c r="Y131" i="9" s="1"/>
  <c r="Z131" i="9" s="1"/>
  <c r="AC131" i="9" s="1"/>
  <c r="AD131" i="9" s="1"/>
  <c r="V131" i="9"/>
  <c r="AC130" i="9"/>
  <c r="AD130" i="9" s="1"/>
  <c r="W130" i="9"/>
  <c r="W129" i="9"/>
  <c r="Y129" i="9" s="1"/>
  <c r="Z129" i="9" s="1"/>
  <c r="AC129" i="9" s="1"/>
  <c r="V129" i="9"/>
  <c r="W128" i="9"/>
  <c r="Y128" i="9" s="1"/>
  <c r="Z128" i="9" s="1"/>
  <c r="AC128" i="9" s="1"/>
  <c r="W127" i="9"/>
  <c r="Y127" i="9" s="1"/>
  <c r="Z127" i="9" s="1"/>
  <c r="AC127" i="9" s="1"/>
  <c r="V127" i="9"/>
  <c r="W126" i="9"/>
  <c r="Y126" i="9" s="1"/>
  <c r="Z126" i="9" s="1"/>
  <c r="AC126" i="9" s="1"/>
  <c r="W125" i="9"/>
  <c r="Y125" i="9" s="1"/>
  <c r="Z125" i="9" s="1"/>
  <c r="AC125" i="9" s="1"/>
  <c r="V125" i="9"/>
  <c r="W124" i="9"/>
  <c r="Y124" i="9" s="1"/>
  <c r="Z124" i="9" s="1"/>
  <c r="AC124" i="9" s="1"/>
  <c r="W123" i="9"/>
  <c r="Y123" i="9" s="1"/>
  <c r="Z123" i="9" s="1"/>
  <c r="AC123" i="9" s="1"/>
  <c r="V123" i="9"/>
  <c r="W122" i="9"/>
  <c r="Y122" i="9" s="1"/>
  <c r="Z122" i="9" s="1"/>
  <c r="AC122" i="9" s="1"/>
  <c r="W121" i="9"/>
  <c r="Y121" i="9" s="1"/>
  <c r="Z121" i="9" s="1"/>
  <c r="AC121" i="9" s="1"/>
  <c r="V121" i="9"/>
  <c r="W120" i="9"/>
  <c r="Y120" i="9" s="1"/>
  <c r="Z120" i="9" s="1"/>
  <c r="AC120" i="9" s="1"/>
  <c r="W119" i="9"/>
  <c r="Y119" i="9" s="1"/>
  <c r="Z119" i="9" s="1"/>
  <c r="AC119" i="9" s="1"/>
  <c r="V119" i="9"/>
  <c r="W118" i="9"/>
  <c r="Y118" i="9" s="1"/>
  <c r="Z118" i="9" s="1"/>
  <c r="AC118" i="9" s="1"/>
  <c r="W117" i="9"/>
  <c r="Y117" i="9" s="1"/>
  <c r="Z117" i="9" s="1"/>
  <c r="AC117" i="9" s="1"/>
  <c r="V117" i="9"/>
  <c r="W116" i="9"/>
  <c r="V116" i="9"/>
  <c r="J116" i="9"/>
  <c r="W115" i="9"/>
  <c r="Y115" i="9" s="1"/>
  <c r="Z115" i="9" s="1"/>
  <c r="AC115" i="9" s="1"/>
  <c r="W114" i="9"/>
  <c r="V114" i="9"/>
  <c r="J114" i="9"/>
  <c r="W113" i="9"/>
  <c r="Y113" i="9" s="1"/>
  <c r="AC113" i="9" s="1"/>
  <c r="AD113" i="9" s="1"/>
  <c r="V113" i="9"/>
  <c r="W112" i="9"/>
  <c r="Y112" i="9" s="1"/>
  <c r="AC112" i="9" s="1"/>
  <c r="AD112" i="9" s="1"/>
  <c r="W111" i="9"/>
  <c r="Y111" i="9" s="1"/>
  <c r="Z111" i="9" s="1"/>
  <c r="AC111" i="9" s="1"/>
  <c r="V111" i="9"/>
  <c r="W110" i="9"/>
  <c r="Y110" i="9" s="1"/>
  <c r="Z110" i="9" s="1"/>
  <c r="AC110" i="9" s="1"/>
  <c r="W109" i="9"/>
  <c r="Y109" i="9" s="1"/>
  <c r="Z109" i="9" s="1"/>
  <c r="AC109" i="9" s="1"/>
  <c r="V109" i="9"/>
  <c r="W108" i="9"/>
  <c r="Y108" i="9" s="1"/>
  <c r="Z108" i="9" s="1"/>
  <c r="AC108" i="9" s="1"/>
  <c r="W107" i="9"/>
  <c r="Y107" i="9" s="1"/>
  <c r="Z107" i="9" s="1"/>
  <c r="AC107" i="9" s="1"/>
  <c r="V107" i="9"/>
  <c r="W106" i="9"/>
  <c r="Y106" i="9" s="1"/>
  <c r="Z106" i="9" s="1"/>
  <c r="AC106" i="9" s="1"/>
  <c r="W105" i="9"/>
  <c r="Y105" i="9" s="1"/>
  <c r="Z105" i="9" s="1"/>
  <c r="AC105" i="9" s="1"/>
  <c r="V105" i="9"/>
  <c r="W104" i="9"/>
  <c r="J104" i="9"/>
  <c r="W103" i="9"/>
  <c r="Y103" i="9" s="1"/>
  <c r="Z103" i="9" s="1"/>
  <c r="AC103" i="9" s="1"/>
  <c r="W102" i="9"/>
  <c r="Y102" i="9" s="1"/>
  <c r="Z102" i="9" s="1"/>
  <c r="AC102" i="9" s="1"/>
  <c r="V102" i="9"/>
  <c r="W101" i="9"/>
  <c r="Y101" i="9" s="1"/>
  <c r="Z101" i="9" s="1"/>
  <c r="AC101" i="9" s="1"/>
  <c r="W100" i="9"/>
  <c r="Y100" i="9" s="1"/>
  <c r="Z100" i="9" s="1"/>
  <c r="AC100" i="9" s="1"/>
  <c r="V100" i="9"/>
  <c r="W99" i="9"/>
  <c r="Y99" i="9" s="1"/>
  <c r="AC99" i="9" s="1"/>
  <c r="AD99" i="9" s="1"/>
  <c r="V99" i="9"/>
  <c r="W98" i="9"/>
  <c r="Y98" i="9" s="1"/>
  <c r="Z98" i="9" s="1"/>
  <c r="AC98" i="9" s="1"/>
  <c r="AD98" i="9" s="1"/>
  <c r="W97" i="9"/>
  <c r="Y97" i="9" s="1"/>
  <c r="Z97" i="9" s="1"/>
  <c r="AC97" i="9" s="1"/>
  <c r="AD97" i="9" s="1"/>
  <c r="V97" i="9"/>
  <c r="W96" i="9"/>
  <c r="Y96" i="9" s="1"/>
  <c r="Z96" i="9" s="1"/>
  <c r="AC96" i="9" s="1"/>
  <c r="AD96" i="9" s="1"/>
  <c r="W95" i="9"/>
  <c r="Y95" i="9" s="1"/>
  <c r="Z95" i="9" s="1"/>
  <c r="AC95" i="9" s="1"/>
  <c r="AD95" i="9" s="1"/>
  <c r="V95" i="9"/>
  <c r="W94" i="9"/>
  <c r="Y94" i="9" s="1"/>
  <c r="Z94" i="9" s="1"/>
  <c r="AC94" i="9" s="1"/>
  <c r="AD94" i="9" s="1"/>
  <c r="W93" i="9"/>
  <c r="Y93" i="9" s="1"/>
  <c r="Z93" i="9" s="1"/>
  <c r="AC93" i="9" s="1"/>
  <c r="AD93" i="9" s="1"/>
  <c r="V93" i="9"/>
  <c r="W92" i="9"/>
  <c r="Y92" i="9" s="1"/>
  <c r="Z92" i="9" s="1"/>
  <c r="AC92" i="9" s="1"/>
  <c r="AD92" i="9" s="1"/>
  <c r="W91" i="9"/>
  <c r="Y91" i="9" s="1"/>
  <c r="Z91" i="9" s="1"/>
  <c r="AC91" i="9" s="1"/>
  <c r="AD91" i="9" s="1"/>
  <c r="V91" i="9"/>
  <c r="W90" i="9"/>
  <c r="Y90" i="9" s="1"/>
  <c r="Z90" i="9" s="1"/>
  <c r="AC90" i="9" s="1"/>
  <c r="AD90" i="9" s="1"/>
  <c r="W89" i="9"/>
  <c r="Y89" i="9" s="1"/>
  <c r="Z89" i="9" s="1"/>
  <c r="AC89" i="9" s="1"/>
  <c r="AD89" i="9" s="1"/>
  <c r="V89" i="9"/>
  <c r="W88" i="9"/>
  <c r="Y88" i="9" s="1"/>
  <c r="Z88" i="9" s="1"/>
  <c r="AC88" i="9" s="1"/>
  <c r="AD88" i="9" s="1"/>
  <c r="W87" i="9"/>
  <c r="Y87" i="9" s="1"/>
  <c r="Z87" i="9" s="1"/>
  <c r="AC87" i="9" s="1"/>
  <c r="AD87" i="9" s="1"/>
  <c r="V87" i="9"/>
  <c r="W86" i="9"/>
  <c r="Y86" i="9" s="1"/>
  <c r="Z86" i="9" s="1"/>
  <c r="AC86" i="9" s="1"/>
  <c r="AD86" i="9" s="1"/>
  <c r="W85" i="9"/>
  <c r="Y85" i="9" s="1"/>
  <c r="Z85" i="9" s="1"/>
  <c r="AC85" i="9" s="1"/>
  <c r="AD85" i="9" s="1"/>
  <c r="V85" i="9"/>
  <c r="W84" i="9"/>
  <c r="Y84" i="9" s="1"/>
  <c r="Z84" i="9" s="1"/>
  <c r="AC84" i="9" s="1"/>
  <c r="AD84" i="9" s="1"/>
  <c r="W83" i="9"/>
  <c r="Y83" i="9" s="1"/>
  <c r="Z83" i="9" s="1"/>
  <c r="AC83" i="9" s="1"/>
  <c r="AD83" i="9" s="1"/>
  <c r="V83" i="9"/>
  <c r="W82" i="9"/>
  <c r="Y82" i="9" s="1"/>
  <c r="Z82" i="9" s="1"/>
  <c r="AC82" i="9" s="1"/>
  <c r="AD82" i="9" s="1"/>
  <c r="W81" i="9"/>
  <c r="Y81" i="9" s="1"/>
  <c r="Z81" i="9" s="1"/>
  <c r="AC81" i="9" s="1"/>
  <c r="AD81" i="9" s="1"/>
  <c r="V81" i="9"/>
  <c r="W80" i="9"/>
  <c r="Y80" i="9" s="1"/>
  <c r="Z80" i="9" s="1"/>
  <c r="AC80" i="9" s="1"/>
  <c r="AD80" i="9" s="1"/>
  <c r="W79" i="9"/>
  <c r="Y79" i="9" s="1"/>
  <c r="Z79" i="9" s="1"/>
  <c r="AC79" i="9" s="1"/>
  <c r="AD79" i="9" s="1"/>
  <c r="V79" i="9"/>
  <c r="W78" i="9"/>
  <c r="Y78" i="9" s="1"/>
  <c r="Z78" i="9" s="1"/>
  <c r="AC78" i="9" s="1"/>
  <c r="AD78" i="9" s="1"/>
  <c r="W77" i="9"/>
  <c r="Y77" i="9" s="1"/>
  <c r="Z77" i="9" s="1"/>
  <c r="AC77" i="9" s="1"/>
  <c r="AD77" i="9" s="1"/>
  <c r="V77" i="9"/>
  <c r="W76" i="9"/>
  <c r="Y76" i="9" s="1"/>
  <c r="Z76" i="9" s="1"/>
  <c r="AC76" i="9" s="1"/>
  <c r="AD76" i="9" s="1"/>
  <c r="W75" i="9"/>
  <c r="Y75" i="9" s="1"/>
  <c r="Z75" i="9" s="1"/>
  <c r="AC75" i="9" s="1"/>
  <c r="AD75" i="9" s="1"/>
  <c r="V75" i="9"/>
  <c r="W74" i="9"/>
  <c r="Y74" i="9" s="1"/>
  <c r="Z74" i="9" s="1"/>
  <c r="AC74" i="9" s="1"/>
  <c r="AD74" i="9" s="1"/>
  <c r="W73" i="9"/>
  <c r="Y73" i="9" s="1"/>
  <c r="Z73" i="9" s="1"/>
  <c r="AC73" i="9" s="1"/>
  <c r="AD73" i="9" s="1"/>
  <c r="V73" i="9"/>
  <c r="W72" i="9"/>
  <c r="Y72" i="9" s="1"/>
  <c r="Z72" i="9" s="1"/>
  <c r="AC72" i="9" s="1"/>
  <c r="AD72" i="9" s="1"/>
  <c r="W71" i="9"/>
  <c r="Y71" i="9" s="1"/>
  <c r="Z71" i="9" s="1"/>
  <c r="AC71" i="9" s="1"/>
  <c r="AD71" i="9" s="1"/>
  <c r="V71" i="9"/>
  <c r="W70" i="9"/>
  <c r="Y70" i="9" s="1"/>
  <c r="Z70" i="9" s="1"/>
  <c r="AC70" i="9" s="1"/>
  <c r="AD70" i="9" s="1"/>
  <c r="W69" i="9"/>
  <c r="Y69" i="9" s="1"/>
  <c r="Z69" i="9" s="1"/>
  <c r="AC69" i="9" s="1"/>
  <c r="AD69" i="9" s="1"/>
  <c r="V69" i="9"/>
  <c r="W68" i="9"/>
  <c r="Y68" i="9" s="1"/>
  <c r="Z68" i="9" s="1"/>
  <c r="AC68" i="9" s="1"/>
  <c r="AD68" i="9" s="1"/>
  <c r="W67" i="9"/>
  <c r="Y67" i="9" s="1"/>
  <c r="Z67" i="9" s="1"/>
  <c r="AC67" i="9" s="1"/>
  <c r="AD67" i="9" s="1"/>
  <c r="V67" i="9"/>
  <c r="W66" i="9"/>
  <c r="Y66" i="9" s="1"/>
  <c r="Z66" i="9" s="1"/>
  <c r="AC66" i="9" s="1"/>
  <c r="AD66" i="9" s="1"/>
  <c r="W65" i="9"/>
  <c r="Y65" i="9" s="1"/>
  <c r="Z65" i="9" s="1"/>
  <c r="AC65" i="9" s="1"/>
  <c r="AD65" i="9" s="1"/>
  <c r="V65" i="9"/>
  <c r="W64" i="9"/>
  <c r="Y64" i="9" s="1"/>
  <c r="AC64" i="9" s="1"/>
  <c r="AD64" i="9" s="1"/>
  <c r="W63" i="9"/>
  <c r="Y63" i="9" s="1"/>
  <c r="Z63" i="9" s="1"/>
  <c r="AC63" i="9" s="1"/>
  <c r="V63" i="9"/>
  <c r="W62" i="9"/>
  <c r="Y62" i="9" s="1"/>
  <c r="Z62" i="9" s="1"/>
  <c r="AC62" i="9" s="1"/>
  <c r="W61" i="9"/>
  <c r="Y61" i="9" s="1"/>
  <c r="Z61" i="9" s="1"/>
  <c r="AC61" i="9" s="1"/>
  <c r="V61" i="9"/>
  <c r="W60" i="9"/>
  <c r="Y60" i="9" s="1"/>
  <c r="Z60" i="9" s="1"/>
  <c r="AC60" i="9" s="1"/>
  <c r="W59" i="9"/>
  <c r="Y59" i="9" s="1"/>
  <c r="Z59" i="9" s="1"/>
  <c r="AC59" i="9" s="1"/>
  <c r="V59" i="9"/>
  <c r="W58" i="9"/>
  <c r="Y58" i="9" s="1"/>
  <c r="Z58" i="9" s="1"/>
  <c r="AC58" i="9" s="1"/>
  <c r="W57" i="9"/>
  <c r="Y57" i="9" s="1"/>
  <c r="Z57" i="9" s="1"/>
  <c r="AC57" i="9" s="1"/>
  <c r="V57" i="9"/>
  <c r="W56" i="9"/>
  <c r="Y56" i="9" s="1"/>
  <c r="Z56" i="9" s="1"/>
  <c r="AC56" i="9" s="1"/>
  <c r="W55" i="9"/>
  <c r="Y55" i="9" s="1"/>
  <c r="Z55" i="9" s="1"/>
  <c r="AC55" i="9" s="1"/>
  <c r="V55" i="9"/>
  <c r="W54" i="9"/>
  <c r="Y54" i="9" s="1"/>
  <c r="Z54" i="9" s="1"/>
  <c r="AC54" i="9" s="1"/>
  <c r="W53" i="9"/>
  <c r="Y53" i="9" s="1"/>
  <c r="Z53" i="9" s="1"/>
  <c r="AC53" i="9" s="1"/>
  <c r="V53" i="9"/>
  <c r="W52" i="9"/>
  <c r="Y52" i="9" s="1"/>
  <c r="Z52" i="9" s="1"/>
  <c r="AC52" i="9" s="1"/>
  <c r="W51" i="9"/>
  <c r="Y51" i="9" s="1"/>
  <c r="Z51" i="9" s="1"/>
  <c r="AC51" i="9" s="1"/>
  <c r="V51" i="9"/>
  <c r="W50" i="9"/>
  <c r="Y50" i="9" s="1"/>
  <c r="Z50" i="9" s="1"/>
  <c r="AC50" i="9" s="1"/>
  <c r="W49" i="9"/>
  <c r="Y49" i="9" s="1"/>
  <c r="Z49" i="9" s="1"/>
  <c r="AC49" i="9" s="1"/>
  <c r="V49" i="9"/>
  <c r="W48" i="9"/>
  <c r="Y48" i="9" s="1"/>
  <c r="Z48" i="9" s="1"/>
  <c r="AC48" i="9" s="1"/>
  <c r="W47" i="9"/>
  <c r="Y47" i="9" s="1"/>
  <c r="Z47" i="9" s="1"/>
  <c r="AC47" i="9" s="1"/>
  <c r="V47" i="9"/>
  <c r="W46" i="9"/>
  <c r="Y46" i="9" s="1"/>
  <c r="Z46" i="9" s="1"/>
  <c r="AC46" i="9" s="1"/>
  <c r="W45" i="9"/>
  <c r="Y45" i="9" s="1"/>
  <c r="Z45" i="9" s="1"/>
  <c r="AC45" i="9" s="1"/>
  <c r="V45" i="9"/>
  <c r="W44" i="9"/>
  <c r="Y44" i="9" s="1"/>
  <c r="Z44" i="9" s="1"/>
  <c r="AC44" i="9" s="1"/>
  <c r="W43" i="9"/>
  <c r="V43" i="9"/>
  <c r="J42" i="9"/>
  <c r="Y42" i="9" s="1"/>
  <c r="Z42" i="9" s="1"/>
  <c r="AC42" i="9" s="1"/>
  <c r="Y41" i="9"/>
  <c r="AC41" i="9" s="1"/>
  <c r="AD41" i="9" s="1"/>
  <c r="W40" i="9"/>
  <c r="Y40" i="9" s="1"/>
  <c r="AC40" i="9" s="1"/>
  <c r="AD40" i="9" s="1"/>
  <c r="W39" i="9"/>
  <c r="Y39" i="9" s="1"/>
  <c r="Z39" i="9" s="1"/>
  <c r="AC39" i="9" s="1"/>
  <c r="V39" i="9"/>
  <c r="W38" i="9"/>
  <c r="Y38" i="9" s="1"/>
  <c r="Z38" i="9" s="1"/>
  <c r="AC38" i="9" s="1"/>
  <c r="W37" i="9"/>
  <c r="Y37" i="9" s="1"/>
  <c r="Z37" i="9" s="1"/>
  <c r="AC37" i="9" s="1"/>
  <c r="V37" i="9"/>
  <c r="W36" i="9"/>
  <c r="Y36" i="9" s="1"/>
  <c r="Z36" i="9" s="1"/>
  <c r="AC36" i="9" s="1"/>
  <c r="W35" i="9"/>
  <c r="Y35" i="9" s="1"/>
  <c r="Z35" i="9" s="1"/>
  <c r="AC35" i="9" s="1"/>
  <c r="V35" i="9"/>
  <c r="W34" i="9"/>
  <c r="Y34" i="9" s="1"/>
  <c r="Z34" i="9" s="1"/>
  <c r="AC34" i="9" s="1"/>
  <c r="W33" i="9"/>
  <c r="Y33" i="9" s="1"/>
  <c r="Z33" i="9" s="1"/>
  <c r="AC33" i="9" s="1"/>
  <c r="V33" i="9"/>
  <c r="W32" i="9"/>
  <c r="Y32" i="9" s="1"/>
  <c r="Z32" i="9" s="1"/>
  <c r="AC32" i="9" s="1"/>
  <c r="W31" i="9"/>
  <c r="Y31" i="9" s="1"/>
  <c r="Z31" i="9" s="1"/>
  <c r="AC31" i="9" s="1"/>
  <c r="V31" i="9"/>
  <c r="W30" i="9"/>
  <c r="Y30" i="9" s="1"/>
  <c r="Z30" i="9" s="1"/>
  <c r="AC30" i="9" s="1"/>
  <c r="W29" i="9"/>
  <c r="Y29" i="9" s="1"/>
  <c r="Z29" i="9" s="1"/>
  <c r="AC29" i="9" s="1"/>
  <c r="V29" i="9"/>
  <c r="W28" i="9"/>
  <c r="Y28" i="9" s="1"/>
  <c r="Z28" i="9" s="1"/>
  <c r="AC28" i="9" s="1"/>
  <c r="W27" i="9"/>
  <c r="Y27" i="9" s="1"/>
  <c r="Z27" i="9" s="1"/>
  <c r="AC27" i="9" s="1"/>
  <c r="V27" i="9"/>
  <c r="W26" i="9"/>
  <c r="Y26" i="9" s="1"/>
  <c r="Z26" i="9" s="1"/>
  <c r="AC26" i="9" s="1"/>
  <c r="W25" i="9"/>
  <c r="Y25" i="9" s="1"/>
  <c r="Z25" i="9" s="1"/>
  <c r="AC25" i="9" s="1"/>
  <c r="V25" i="9"/>
  <c r="W24" i="9"/>
  <c r="Y24" i="9" s="1"/>
  <c r="Z24" i="9" s="1"/>
  <c r="AC24" i="9" s="1"/>
  <c r="W23" i="9"/>
  <c r="V23" i="9"/>
  <c r="W22" i="9"/>
  <c r="W21" i="9"/>
  <c r="Y21" i="9" s="1"/>
  <c r="AC21" i="9" s="1"/>
  <c r="AD21" i="9" s="1"/>
  <c r="V21" i="9"/>
  <c r="AD20" i="9"/>
  <c r="W20" i="9"/>
  <c r="W19" i="9"/>
  <c r="Y19" i="9" s="1"/>
  <c r="Z19" i="9" s="1"/>
  <c r="AC19" i="9" s="1"/>
  <c r="V19" i="9"/>
  <c r="W18" i="9"/>
  <c r="Y18" i="9" s="1"/>
  <c r="Z18" i="9" s="1"/>
  <c r="AC18" i="9" s="1"/>
  <c r="W17" i="9"/>
  <c r="Y17" i="9" s="1"/>
  <c r="Z17" i="9" s="1"/>
  <c r="AC17" i="9" s="1"/>
  <c r="V17" i="9"/>
  <c r="W16" i="9"/>
  <c r="Y16" i="9" s="1"/>
  <c r="Z16" i="9" s="1"/>
  <c r="AC16" i="9" s="1"/>
  <c r="W15" i="9"/>
  <c r="Y15" i="9" s="1"/>
  <c r="Z15" i="9" s="1"/>
  <c r="AC15" i="9" s="1"/>
  <c r="V15" i="9"/>
  <c r="W14" i="9"/>
  <c r="Y14" i="9" s="1"/>
  <c r="Z14" i="9" s="1"/>
  <c r="AC14" i="9" s="1"/>
  <c r="W13" i="9"/>
  <c r="Y13" i="9" s="1"/>
  <c r="Z13" i="9" s="1"/>
  <c r="AC13" i="9" s="1"/>
  <c r="V13" i="9"/>
  <c r="W12" i="9"/>
  <c r="Y12" i="9" s="1"/>
  <c r="Z12" i="9" s="1"/>
  <c r="AC12" i="9" s="1"/>
  <c r="W11" i="9"/>
  <c r="Y11" i="9" s="1"/>
  <c r="Z11" i="9" s="1"/>
  <c r="AC11" i="9" s="1"/>
  <c r="V11" i="9"/>
  <c r="W10" i="9"/>
  <c r="Y10" i="9" s="1"/>
  <c r="Z10" i="9" s="1"/>
  <c r="AC10" i="9" s="1"/>
  <c r="W9" i="9"/>
  <c r="Y9" i="9" s="1"/>
  <c r="V9" i="9"/>
  <c r="W8" i="9"/>
  <c r="Y8" i="9" s="1"/>
  <c r="Z8" i="9" s="1"/>
  <c r="AC8" i="9" s="1"/>
  <c r="W7" i="9"/>
  <c r="Y7" i="9" s="1"/>
  <c r="Z7" i="9" s="1"/>
  <c r="AC7" i="9" s="1"/>
  <c r="V7" i="9"/>
  <c r="W6" i="9"/>
  <c r="Y6" i="9" s="1"/>
  <c r="Z6" i="9" s="1"/>
  <c r="AC6" i="9" s="1"/>
  <c r="W5" i="9"/>
  <c r="V5" i="9"/>
  <c r="J5" i="9"/>
  <c r="J4" i="9" s="1"/>
  <c r="W4" i="9"/>
  <c r="V4" i="9"/>
  <c r="W3" i="9"/>
  <c r="Y3" i="9" s="1"/>
  <c r="AC3" i="9" s="1"/>
  <c r="AD3" i="9" s="1"/>
  <c r="V3" i="9"/>
  <c r="CN1402" i="13" l="1"/>
  <c r="C49" i="8"/>
  <c r="C57" i="8" s="1"/>
  <c r="C61" i="8" s="1"/>
  <c r="C50" i="8"/>
  <c r="C58" i="8" s="1"/>
  <c r="C62" i="8" s="1"/>
  <c r="CJ1696" i="13"/>
  <c r="CM1695" i="13"/>
  <c r="CN1695" i="13" s="1"/>
  <c r="C31" i="8"/>
  <c r="C39" i="8" s="1"/>
  <c r="C43" i="8" s="1"/>
  <c r="C32" i="8"/>
  <c r="C40" i="8" s="1"/>
  <c r="C44" i="8" s="1"/>
  <c r="Z9" i="9"/>
  <c r="AC9" i="9" s="1"/>
  <c r="C13" i="8"/>
  <c r="C12" i="8"/>
  <c r="Y351" i="9"/>
  <c r="Z351" i="9" s="1"/>
  <c r="AC351" i="9" s="1"/>
  <c r="AD351" i="9" s="1"/>
  <c r="CM10" i="13"/>
  <c r="CJ11" i="13"/>
  <c r="CN9" i="13"/>
  <c r="AD362" i="9"/>
  <c r="AD27" i="9"/>
  <c r="AD252" i="9"/>
  <c r="AD8" i="9"/>
  <c r="AD267" i="9"/>
  <c r="AD249" i="9"/>
  <c r="AD271" i="9"/>
  <c r="AD359" i="9"/>
  <c r="AD57" i="9"/>
  <c r="AD218" i="9"/>
  <c r="AD173" i="9"/>
  <c r="AD174" i="9"/>
  <c r="AD346" i="9"/>
  <c r="Y5" i="9"/>
  <c r="Z5" i="9" s="1"/>
  <c r="AC5" i="9" s="1"/>
  <c r="AD6" i="9" s="1"/>
  <c r="AD18" i="9"/>
  <c r="AD160" i="9"/>
  <c r="AD200" i="9"/>
  <c r="AD220" i="9"/>
  <c r="Y4" i="9"/>
  <c r="Z4" i="9" s="1"/>
  <c r="AC4" i="9" s="1"/>
  <c r="AD4" i="9" s="1"/>
  <c r="AD25" i="9"/>
  <c r="AD102" i="9"/>
  <c r="AD195" i="9"/>
  <c r="E17" i="8"/>
  <c r="E16" i="8"/>
  <c r="Y23" i="9"/>
  <c r="Z23" i="9" s="1"/>
  <c r="AC23" i="9" s="1"/>
  <c r="AD32" i="9"/>
  <c r="AD103" i="9"/>
  <c r="AD191" i="9"/>
  <c r="AD53" i="9"/>
  <c r="AD253" i="9"/>
  <c r="AD163" i="9"/>
  <c r="AD354" i="9"/>
  <c r="AD19" i="9"/>
  <c r="J22" i="9"/>
  <c r="Y22" i="9" s="1"/>
  <c r="Z22" i="9" s="1"/>
  <c r="AC22" i="9" s="1"/>
  <c r="AD22" i="9" s="1"/>
  <c r="AD42" i="9"/>
  <c r="Y116" i="9"/>
  <c r="Z116" i="9" s="1"/>
  <c r="AC116" i="9" s="1"/>
  <c r="AD117" i="9" s="1"/>
  <c r="Y169" i="9"/>
  <c r="Z169" i="9" s="1"/>
  <c r="AC169" i="9" s="1"/>
  <c r="AD169" i="9" s="1"/>
  <c r="AD176" i="9"/>
  <c r="AD201" i="9"/>
  <c r="AD257" i="9"/>
  <c r="AD348" i="9"/>
  <c r="Y264" i="9"/>
  <c r="Z264" i="9" s="1"/>
  <c r="AC264" i="9" s="1"/>
  <c r="AD264" i="9" s="1"/>
  <c r="AD355" i="9"/>
  <c r="AD206" i="9"/>
  <c r="Y212" i="9"/>
  <c r="Z212" i="9" s="1"/>
  <c r="AC212" i="9" s="1"/>
  <c r="AD213" i="9" s="1"/>
  <c r="AD61" i="9"/>
  <c r="AD211" i="9"/>
  <c r="AD219" i="9"/>
  <c r="AD275" i="9"/>
  <c r="AD45" i="9"/>
  <c r="AD51" i="9"/>
  <c r="AD198" i="9"/>
  <c r="AD248" i="9"/>
  <c r="AD247" i="9"/>
  <c r="AD59" i="9"/>
  <c r="AD111" i="9"/>
  <c r="AD126" i="9"/>
  <c r="AD196" i="9"/>
  <c r="AD127" i="9"/>
  <c r="AD259" i="9"/>
  <c r="AD261" i="9"/>
  <c r="AD277" i="9"/>
  <c r="AD37" i="9"/>
  <c r="AD35" i="9"/>
  <c r="Y104" i="9"/>
  <c r="Z104" i="9" s="1"/>
  <c r="AC104" i="9" s="1"/>
  <c r="AD104" i="9" s="1"/>
  <c r="AD106" i="9"/>
  <c r="AD123" i="9"/>
  <c r="AD255" i="9"/>
  <c r="Y265" i="9"/>
  <c r="Z265" i="9" s="1"/>
  <c r="AC265" i="9" s="1"/>
  <c r="AD266" i="9" s="1"/>
  <c r="AD273" i="9"/>
  <c r="AD26" i="9"/>
  <c r="AD33" i="9"/>
  <c r="AD38" i="9"/>
  <c r="Y114" i="9"/>
  <c r="Z114" i="9" s="1"/>
  <c r="AC114" i="9" s="1"/>
  <c r="AD115" i="9" s="1"/>
  <c r="AD166" i="9"/>
  <c r="AD128" i="9"/>
  <c r="AD178" i="9"/>
  <c r="AD193" i="9"/>
  <c r="AD250" i="9"/>
  <c r="AD268" i="9"/>
  <c r="AD347" i="9"/>
  <c r="AD246" i="9"/>
  <c r="AD171" i="9"/>
  <c r="AD179" i="9"/>
  <c r="AD186" i="9"/>
  <c r="AD209" i="9"/>
  <c r="AD216" i="9"/>
  <c r="Y244" i="9"/>
  <c r="Z244" i="9" s="1"/>
  <c r="AC244" i="9" s="1"/>
  <c r="AD244" i="9" s="1"/>
  <c r="AD12" i="9"/>
  <c r="AD15" i="9"/>
  <c r="AD30" i="9"/>
  <c r="AD108" i="9"/>
  <c r="AD214" i="9"/>
  <c r="AD356" i="9"/>
  <c r="AD47" i="9"/>
  <c r="AD54" i="9"/>
  <c r="AD62" i="9"/>
  <c r="AD120" i="9"/>
  <c r="AD28" i="9"/>
  <c r="AD13" i="9"/>
  <c r="AD16" i="9"/>
  <c r="AD48" i="9"/>
  <c r="AD101" i="9"/>
  <c r="AD100" i="9"/>
  <c r="AD109" i="9"/>
  <c r="AD31" i="9"/>
  <c r="AD55" i="9"/>
  <c r="AD63" i="9"/>
  <c r="AD121" i="9"/>
  <c r="AD14" i="9"/>
  <c r="AD36" i="9"/>
  <c r="AD7" i="9"/>
  <c r="AD11" i="9"/>
  <c r="AD29" i="9"/>
  <c r="AD56" i="9"/>
  <c r="AD58" i="9"/>
  <c r="AD107" i="9"/>
  <c r="AD17" i="9"/>
  <c r="AD39" i="9"/>
  <c r="AD46" i="9"/>
  <c r="AD49" i="9"/>
  <c r="AD50" i="9"/>
  <c r="AD34" i="9"/>
  <c r="AD60" i="9"/>
  <c r="AD217" i="9"/>
  <c r="AD124" i="9"/>
  <c r="AD52" i="9"/>
  <c r="AD119" i="9"/>
  <c r="AD118" i="9"/>
  <c r="AD125" i="9"/>
  <c r="AD129" i="9"/>
  <c r="AD180" i="9"/>
  <c r="AD187" i="9"/>
  <c r="AD184" i="9"/>
  <c r="Y43" i="9"/>
  <c r="Z43" i="9" s="1"/>
  <c r="AC43" i="9" s="1"/>
  <c r="AD43" i="9" s="1"/>
  <c r="AD164" i="9"/>
  <c r="AD165" i="9"/>
  <c r="AD172" i="9"/>
  <c r="AD110" i="9"/>
  <c r="AD122" i="9"/>
  <c r="AD167" i="9"/>
  <c r="AD185" i="9"/>
  <c r="AD188" i="9"/>
  <c r="AD207" i="9"/>
  <c r="AD215" i="9"/>
  <c r="AD221" i="9"/>
  <c r="AD175" i="9"/>
  <c r="AD177" i="9"/>
  <c r="AD194" i="9"/>
  <c r="AD251" i="9"/>
  <c r="AD202" i="9"/>
  <c r="AD210" i="9"/>
  <c r="AD256" i="9"/>
  <c r="AD278" i="9"/>
  <c r="AD192" i="9"/>
  <c r="AD208" i="9"/>
  <c r="AD254" i="9"/>
  <c r="Y189" i="9"/>
  <c r="Z189" i="9" s="1"/>
  <c r="AC189" i="9" s="1"/>
  <c r="AD189" i="9" s="1"/>
  <c r="AD197" i="9"/>
  <c r="AD199" i="9"/>
  <c r="AD279" i="9"/>
  <c r="AD269" i="9"/>
  <c r="AD258" i="9"/>
  <c r="AD272" i="9"/>
  <c r="AD274" i="9"/>
  <c r="AD276" i="9"/>
  <c r="AD349" i="9"/>
  <c r="AD357" i="9"/>
  <c r="AD352" i="9"/>
  <c r="AD360" i="9"/>
  <c r="AD270" i="9"/>
  <c r="AD363" i="9"/>
  <c r="AD260" i="9"/>
  <c r="AD350" i="9"/>
  <c r="AD358" i="9"/>
  <c r="AD353" i="9"/>
  <c r="AD361" i="9"/>
  <c r="CJ1697" i="13" l="1"/>
  <c r="CM1696" i="13"/>
  <c r="CN1696" i="13" s="1"/>
  <c r="E28" i="8"/>
  <c r="AD10" i="9"/>
  <c r="AD9" i="9"/>
  <c r="AE363" i="9"/>
  <c r="CM11" i="13"/>
  <c r="CJ12" i="13"/>
  <c r="CN10" i="13"/>
  <c r="AD170" i="9"/>
  <c r="AE160" i="9" s="1"/>
  <c r="AD116" i="9"/>
  <c r="AD114" i="9"/>
  <c r="AD105" i="9"/>
  <c r="AE106" i="9" s="1"/>
  <c r="C20" i="8"/>
  <c r="C24" i="8" s="1"/>
  <c r="AD245" i="9"/>
  <c r="AE253" i="9" s="1"/>
  <c r="AD212" i="9"/>
  <c r="AE207" i="9" s="1"/>
  <c r="AD265" i="9"/>
  <c r="AE272" i="9" s="1"/>
  <c r="AD23" i="9"/>
  <c r="AD24" i="9"/>
  <c r="AD5" i="9"/>
  <c r="AE352" i="9"/>
  <c r="AE354" i="9"/>
  <c r="AE350" i="9"/>
  <c r="AE359" i="9"/>
  <c r="AE345" i="9"/>
  <c r="AE346" i="9"/>
  <c r="AE351" i="9"/>
  <c r="AE349" i="9"/>
  <c r="AD190" i="9"/>
  <c r="AE183" i="9" s="1"/>
  <c r="AE112" i="9"/>
  <c r="AE356" i="9"/>
  <c r="AE348" i="9"/>
  <c r="AE357" i="9"/>
  <c r="AE355" i="9"/>
  <c r="AE347" i="9"/>
  <c r="AE101" i="9"/>
  <c r="AE109" i="9"/>
  <c r="AE358" i="9"/>
  <c r="AE107" i="9"/>
  <c r="AE103" i="9"/>
  <c r="AE362" i="9"/>
  <c r="AE353" i="9"/>
  <c r="AE361" i="9"/>
  <c r="AE360" i="9"/>
  <c r="AD44" i="9"/>
  <c r="AE49" i="9" s="1"/>
  <c r="CJ1698" i="13" l="1"/>
  <c r="CM1697" i="13"/>
  <c r="CN1697" i="13" s="1"/>
  <c r="AE9" i="9"/>
  <c r="AE99" i="9"/>
  <c r="AE125" i="9"/>
  <c r="AE171" i="9"/>
  <c r="AE174" i="9"/>
  <c r="AE161" i="9"/>
  <c r="AE179" i="9"/>
  <c r="CN11" i="13"/>
  <c r="AE172" i="9"/>
  <c r="AE178" i="9"/>
  <c r="AE176" i="9"/>
  <c r="CM12" i="13"/>
  <c r="CJ13" i="13"/>
  <c r="AE117" i="9"/>
  <c r="AE168" i="9"/>
  <c r="AE164" i="9"/>
  <c r="AE181" i="9"/>
  <c r="AE166" i="9"/>
  <c r="AE165" i="9"/>
  <c r="AE169" i="9"/>
  <c r="AE167" i="9"/>
  <c r="AE162" i="9"/>
  <c r="AE173" i="9"/>
  <c r="AE177" i="9"/>
  <c r="AE180" i="9"/>
  <c r="AE159" i="9"/>
  <c r="AE175" i="9"/>
  <c r="AE163" i="9"/>
  <c r="AE170" i="9"/>
  <c r="AE121" i="9"/>
  <c r="AE108" i="9"/>
  <c r="AE110" i="9"/>
  <c r="AE261" i="9"/>
  <c r="AE262" i="9"/>
  <c r="AE104" i="9"/>
  <c r="AE105" i="9"/>
  <c r="AE111" i="9"/>
  <c r="AE279" i="9"/>
  <c r="AE277" i="9"/>
  <c r="AE268" i="9"/>
  <c r="AE113" i="9"/>
  <c r="AE126" i="9"/>
  <c r="AE123" i="9"/>
  <c r="AE120" i="9"/>
  <c r="AE31" i="9"/>
  <c r="AE116" i="9"/>
  <c r="C21" i="8" s="1"/>
  <c r="AE124" i="9"/>
  <c r="AE115" i="9"/>
  <c r="AE122" i="9"/>
  <c r="AE129" i="9"/>
  <c r="AE118" i="9"/>
  <c r="AE127" i="9"/>
  <c r="AE119" i="9"/>
  <c r="AE128" i="9"/>
  <c r="AE130" i="9"/>
  <c r="AE114" i="9"/>
  <c r="AE245" i="9"/>
  <c r="AE260" i="9"/>
  <c r="AE197" i="9"/>
  <c r="AE266" i="9"/>
  <c r="AE269" i="9"/>
  <c r="AE263" i="9"/>
  <c r="AE271" i="9"/>
  <c r="AE196" i="9"/>
  <c r="AE248" i="9"/>
  <c r="AE270" i="9"/>
  <c r="AE218" i="9"/>
  <c r="AE210" i="9"/>
  <c r="AE276" i="9"/>
  <c r="AE209" i="9"/>
  <c r="AE221" i="9"/>
  <c r="AE100" i="9"/>
  <c r="AE220" i="9"/>
  <c r="AE250" i="9"/>
  <c r="AE214" i="9"/>
  <c r="AE219" i="9"/>
  <c r="AE205" i="9"/>
  <c r="AE249" i="9"/>
  <c r="AE212" i="9"/>
  <c r="AE213" i="9"/>
  <c r="AE217" i="9"/>
  <c r="AE246" i="9"/>
  <c r="AE222" i="9"/>
  <c r="AE206" i="9"/>
  <c r="AE259" i="9"/>
  <c r="AE216" i="9"/>
  <c r="AE252" i="9"/>
  <c r="AE204" i="9"/>
  <c r="AE254" i="9"/>
  <c r="AE215" i="9"/>
  <c r="AE247" i="9"/>
  <c r="AE243" i="9"/>
  <c r="AE258" i="9"/>
  <c r="AE208" i="9"/>
  <c r="AE256" i="9"/>
  <c r="AE255" i="9"/>
  <c r="AE211" i="9"/>
  <c r="AE102" i="9"/>
  <c r="AE244" i="9"/>
  <c r="AE27" i="9"/>
  <c r="AE33" i="9"/>
  <c r="AE29" i="9"/>
  <c r="AE26" i="9"/>
  <c r="AE22" i="9"/>
  <c r="AE273" i="9"/>
  <c r="AE257" i="9"/>
  <c r="AE35" i="9"/>
  <c r="AE32" i="9"/>
  <c r="AE13" i="9"/>
  <c r="AE21" i="9"/>
  <c r="AE38" i="9"/>
  <c r="AE34" i="9"/>
  <c r="AE11" i="9"/>
  <c r="AE25" i="9"/>
  <c r="AE251" i="9"/>
  <c r="AE19" i="9"/>
  <c r="AE36" i="9"/>
  <c r="AE37" i="9"/>
  <c r="AE28" i="9"/>
  <c r="AE16" i="9"/>
  <c r="AE4" i="9"/>
  <c r="AE6" i="9"/>
  <c r="AE12" i="9"/>
  <c r="AE14" i="9"/>
  <c r="AE275" i="9"/>
  <c r="AE264" i="9"/>
  <c r="AE8" i="9"/>
  <c r="AE30" i="9"/>
  <c r="AE198" i="9"/>
  <c r="AE15" i="9"/>
  <c r="AE274" i="9"/>
  <c r="AE203" i="9"/>
  <c r="AE40" i="9"/>
  <c r="AE199" i="9"/>
  <c r="AE10" i="9"/>
  <c r="AE24" i="9"/>
  <c r="AE17" i="9"/>
  <c r="AE23" i="9"/>
  <c r="AE39" i="9"/>
  <c r="AE278" i="9"/>
  <c r="AE20" i="9"/>
  <c r="AE7" i="9"/>
  <c r="AE3" i="9"/>
  <c r="AE202" i="9"/>
  <c r="AE265" i="9"/>
  <c r="AE267" i="9"/>
  <c r="AE5" i="9"/>
  <c r="AE18" i="9"/>
  <c r="AE187" i="9"/>
  <c r="AE182" i="9"/>
  <c r="AE200" i="9"/>
  <c r="AE59" i="9"/>
  <c r="AE64" i="9"/>
  <c r="AE50" i="9"/>
  <c r="AE192" i="9"/>
  <c r="AE195" i="9"/>
  <c r="AE188" i="9"/>
  <c r="AE191" i="9"/>
  <c r="AE201" i="9"/>
  <c r="AE194" i="9"/>
  <c r="AE189" i="9"/>
  <c r="AE185" i="9"/>
  <c r="AE56" i="9"/>
  <c r="AE42" i="9"/>
  <c r="AE48" i="9"/>
  <c r="AE47" i="9"/>
  <c r="AE57" i="9"/>
  <c r="AE62" i="9"/>
  <c r="AE58" i="9"/>
  <c r="AE52" i="9"/>
  <c r="AE44" i="9"/>
  <c r="AE45" i="9"/>
  <c r="AE51" i="9"/>
  <c r="AE41" i="9"/>
  <c r="AE186" i="9"/>
  <c r="AE43" i="9"/>
  <c r="AE63" i="9"/>
  <c r="AE46" i="9"/>
  <c r="AE55" i="9"/>
  <c r="AE184" i="9"/>
  <c r="AE60" i="9"/>
  <c r="AE61" i="9"/>
  <c r="AE53" i="9"/>
  <c r="AE193" i="9"/>
  <c r="AE54" i="9"/>
  <c r="AE190" i="9"/>
  <c r="CJ1699" i="13" l="1"/>
  <c r="CM1698" i="13"/>
  <c r="CN1698" i="13" s="1"/>
  <c r="C25" i="8"/>
  <c r="E9" i="8" s="1"/>
  <c r="CN12" i="13"/>
  <c r="CM13" i="13"/>
  <c r="CJ14" i="13"/>
  <c r="CJ1700" i="13" l="1"/>
  <c r="CM1700" i="13" s="1"/>
  <c r="CM1699" i="13"/>
  <c r="CN1699" i="13" s="1"/>
  <c r="CN13" i="13"/>
  <c r="CM14" i="13"/>
  <c r="CJ15" i="13"/>
  <c r="CN1700" i="13" l="1"/>
  <c r="CO1699" i="13"/>
  <c r="G16" i="8" s="1"/>
  <c r="CN14" i="13"/>
  <c r="CM15" i="13"/>
  <c r="CJ16" i="13"/>
  <c r="CN15" i="13" l="1"/>
  <c r="CM16" i="13"/>
  <c r="CJ17" i="13"/>
  <c r="CN16" i="13" l="1"/>
  <c r="CM17" i="13"/>
  <c r="CJ18" i="13"/>
  <c r="CN17" i="13" l="1"/>
  <c r="CM18" i="13"/>
  <c r="CJ19" i="13"/>
  <c r="CN18" i="13" l="1"/>
  <c r="CO18" i="13" s="1"/>
  <c r="CM19" i="13"/>
  <c r="CJ20" i="13"/>
  <c r="CN19" i="13" l="1"/>
  <c r="CO19" i="13" s="1"/>
  <c r="CM20" i="13"/>
  <c r="CJ21" i="13"/>
  <c r="CN20" i="13" l="1"/>
  <c r="CJ22" i="13"/>
  <c r="CM21" i="13"/>
  <c r="CN21" i="13" s="1"/>
  <c r="CJ23" i="13" l="1"/>
  <c r="CM22" i="13"/>
  <c r="CN22" i="13" s="1"/>
  <c r="CJ24" i="13" l="1"/>
  <c r="CM23" i="13"/>
  <c r="CN23" i="13" s="1"/>
  <c r="CJ25" i="13" l="1"/>
  <c r="CM24" i="13"/>
  <c r="CN24" i="13" s="1"/>
  <c r="CJ26" i="13" l="1"/>
  <c r="CM25" i="13"/>
  <c r="CN25" i="13" s="1"/>
  <c r="CJ27" i="13" l="1"/>
  <c r="CM26" i="13"/>
  <c r="CN26" i="13" s="1"/>
  <c r="CJ28" i="13" l="1"/>
  <c r="CM27" i="13"/>
  <c r="CN27" i="13" s="1"/>
  <c r="CJ29" i="13" l="1"/>
  <c r="CM28" i="13"/>
  <c r="CN28" i="13" s="1"/>
  <c r="CJ30" i="13" l="1"/>
  <c r="CM29" i="13"/>
  <c r="CN29" i="13" s="1"/>
  <c r="CJ31" i="13" l="1"/>
  <c r="CM30" i="13"/>
  <c r="CN30" i="13" s="1"/>
  <c r="CJ32" i="13" l="1"/>
  <c r="CM31" i="13"/>
  <c r="CN31" i="13" s="1"/>
  <c r="CJ33" i="13" l="1"/>
  <c r="CM32" i="13"/>
  <c r="CN32" i="13" s="1"/>
  <c r="CJ34" i="13" l="1"/>
  <c r="CM33" i="13"/>
  <c r="CN33" i="13" s="1"/>
  <c r="CJ35" i="13" l="1"/>
  <c r="CM34" i="13"/>
  <c r="CN34" i="13" s="1"/>
  <c r="CJ36" i="13" l="1"/>
  <c r="CM35" i="13"/>
  <c r="CN35" i="13" s="1"/>
  <c r="CJ37" i="13" l="1"/>
  <c r="CM36" i="13"/>
  <c r="CN36" i="13" s="1"/>
  <c r="CJ38" i="13" l="1"/>
  <c r="CM37" i="13"/>
  <c r="CN37" i="13" s="1"/>
  <c r="CJ39" i="13" l="1"/>
  <c r="CM38" i="13"/>
  <c r="CN38" i="13" s="1"/>
  <c r="CJ40" i="13" l="1"/>
  <c r="CM39" i="13"/>
  <c r="CN39" i="13" s="1"/>
  <c r="CJ41" i="13" l="1"/>
  <c r="CM40" i="13"/>
  <c r="CN40" i="13" s="1"/>
  <c r="CJ42" i="13" l="1"/>
  <c r="CM41" i="13"/>
  <c r="CN41" i="13" s="1"/>
  <c r="CJ43" i="13" l="1"/>
  <c r="CM42" i="13"/>
  <c r="CN42" i="13" s="1"/>
  <c r="CJ44" i="13" l="1"/>
  <c r="CM43" i="13"/>
  <c r="CN43" i="13" s="1"/>
  <c r="CJ45" i="13" l="1"/>
  <c r="CM44" i="13"/>
  <c r="CN44" i="13" s="1"/>
  <c r="CJ46" i="13" l="1"/>
  <c r="CM45" i="13"/>
  <c r="CN45" i="13" s="1"/>
  <c r="CJ47" i="13" l="1"/>
  <c r="CM46" i="13"/>
  <c r="CN46" i="13" s="1"/>
  <c r="CM47" i="13" l="1"/>
  <c r="CN47" i="13" s="1"/>
  <c r="CJ48" i="13"/>
  <c r="CM48" i="13" l="1"/>
  <c r="CN48" i="13" s="1"/>
  <c r="CJ49" i="13"/>
  <c r="CM49" i="13" l="1"/>
  <c r="CN49" i="13" s="1"/>
  <c r="CJ50" i="13"/>
  <c r="CM50" i="13" l="1"/>
  <c r="CN50" i="13" s="1"/>
  <c r="CJ51" i="13"/>
  <c r="CM51" i="13" l="1"/>
  <c r="CN51" i="13" s="1"/>
  <c r="CJ52" i="13"/>
  <c r="CM52" i="13" l="1"/>
  <c r="CN52" i="13" s="1"/>
  <c r="CJ53" i="13"/>
  <c r="CJ54" i="13" l="1"/>
  <c r="CM53" i="13"/>
  <c r="CN53" i="13" s="1"/>
  <c r="CJ55" i="13" l="1"/>
  <c r="CM54" i="13"/>
  <c r="CN54" i="13" s="1"/>
  <c r="CJ56" i="13" l="1"/>
  <c r="CM55" i="13"/>
  <c r="CN55" i="13" s="1"/>
  <c r="CO55" i="13" s="1"/>
  <c r="CM56" i="13" l="1"/>
  <c r="CN56" i="13" s="1"/>
  <c r="CO56" i="13" s="1"/>
  <c r="CJ57" i="13"/>
  <c r="CM57" i="13" l="1"/>
  <c r="CN57" i="13" s="1"/>
  <c r="CJ58" i="13"/>
  <c r="CJ59" i="13" l="1"/>
  <c r="CM58" i="13"/>
  <c r="CN58" i="13" s="1"/>
  <c r="CJ60" i="13" l="1"/>
  <c r="CM59" i="13"/>
  <c r="CN59" i="13" s="1"/>
  <c r="CJ61" i="13" l="1"/>
  <c r="CM60" i="13"/>
  <c r="CN60" i="13" s="1"/>
  <c r="CJ62" i="13" l="1"/>
  <c r="CM61" i="13"/>
  <c r="CN61" i="13" s="1"/>
  <c r="CJ63" i="13" l="1"/>
  <c r="CM62" i="13"/>
  <c r="CN62" i="13" s="1"/>
  <c r="CJ64" i="13" l="1"/>
  <c r="CM63" i="13"/>
  <c r="CN63" i="13" s="1"/>
  <c r="CJ65" i="13" l="1"/>
  <c r="CM64" i="13"/>
  <c r="CN64" i="13" s="1"/>
  <c r="CJ66" i="13" l="1"/>
  <c r="CM65" i="13"/>
  <c r="CN65" i="13" s="1"/>
  <c r="CJ67" i="13" l="1"/>
  <c r="CM66" i="13"/>
  <c r="CN66" i="13" s="1"/>
  <c r="CJ68" i="13" l="1"/>
  <c r="CM67" i="13"/>
  <c r="CN67" i="13" s="1"/>
  <c r="CJ69" i="13" l="1"/>
  <c r="CM68" i="13"/>
  <c r="CN68" i="13" s="1"/>
  <c r="CJ70" i="13" l="1"/>
  <c r="CM69" i="13"/>
  <c r="CN69" i="13" s="1"/>
  <c r="CJ71" i="13" l="1"/>
  <c r="CM70" i="13"/>
  <c r="CN70" i="13" s="1"/>
  <c r="CJ72" i="13" l="1"/>
  <c r="CM71" i="13"/>
  <c r="CN71" i="13" s="1"/>
  <c r="CJ73" i="13" l="1"/>
  <c r="CM72" i="13"/>
  <c r="CN72" i="13" s="1"/>
  <c r="CJ74" i="13" l="1"/>
  <c r="CM73" i="13"/>
  <c r="CN73" i="13" s="1"/>
  <c r="CJ75" i="13" l="1"/>
  <c r="CM74" i="13"/>
  <c r="CN74" i="13" s="1"/>
  <c r="CJ76" i="13" l="1"/>
  <c r="CM75" i="13"/>
  <c r="CN75" i="13" s="1"/>
  <c r="CJ77" i="13" l="1"/>
  <c r="CM76" i="13"/>
  <c r="CN76" i="13" s="1"/>
  <c r="CJ78" i="13" l="1"/>
  <c r="CM77" i="13"/>
  <c r="CN77" i="13" s="1"/>
  <c r="CJ79" i="13" l="1"/>
  <c r="CM78" i="13"/>
  <c r="CN78" i="13" s="1"/>
  <c r="CJ80" i="13" l="1"/>
  <c r="CM79" i="13"/>
  <c r="CN79" i="13" s="1"/>
  <c r="CJ81" i="13" l="1"/>
  <c r="CM80" i="13"/>
  <c r="CN80" i="13" s="1"/>
  <c r="CJ82" i="13" l="1"/>
  <c r="CM81" i="13"/>
  <c r="CN81" i="13" s="1"/>
  <c r="CJ83" i="13" l="1"/>
  <c r="CM82" i="13"/>
  <c r="CN82" i="13" s="1"/>
  <c r="CJ84" i="13" l="1"/>
  <c r="CM83" i="13"/>
  <c r="CN83" i="13" s="1"/>
  <c r="CJ85" i="13" l="1"/>
  <c r="CM84" i="13"/>
  <c r="CN84" i="13" s="1"/>
  <c r="CJ86" i="13" l="1"/>
  <c r="CM85" i="13"/>
  <c r="CN85" i="13" s="1"/>
  <c r="CJ87" i="13" l="1"/>
  <c r="CM86" i="13"/>
  <c r="CN86" i="13" s="1"/>
  <c r="CJ88" i="13" l="1"/>
  <c r="CM87" i="13"/>
  <c r="CN87" i="13" s="1"/>
  <c r="CJ89" i="13" l="1"/>
  <c r="CM88" i="13"/>
  <c r="CN88" i="13" s="1"/>
  <c r="CJ90" i="13" l="1"/>
  <c r="CM89" i="13"/>
  <c r="CN89" i="13" s="1"/>
  <c r="CJ91" i="13" l="1"/>
  <c r="CM90" i="13"/>
  <c r="CN90" i="13" s="1"/>
  <c r="CJ92" i="13" l="1"/>
  <c r="CM91" i="13"/>
  <c r="CN91" i="13" s="1"/>
  <c r="CJ93" i="13" l="1"/>
  <c r="CM92" i="13"/>
  <c r="CN92" i="13" s="1"/>
  <c r="CJ94" i="13" l="1"/>
  <c r="CM93" i="13"/>
  <c r="CN93" i="13" s="1"/>
  <c r="CJ95" i="13" l="1"/>
  <c r="CM94" i="13"/>
  <c r="CN94" i="13" s="1"/>
  <c r="CJ96" i="13" l="1"/>
  <c r="CM95" i="13"/>
  <c r="CN95" i="13" s="1"/>
  <c r="CJ97" i="13" l="1"/>
  <c r="CM96" i="13"/>
  <c r="CN96" i="13" s="1"/>
  <c r="CJ98" i="13" l="1"/>
  <c r="CM97" i="13"/>
  <c r="CN97" i="13" s="1"/>
  <c r="CJ99" i="13" l="1"/>
  <c r="CM98" i="13"/>
  <c r="CN98" i="13" s="1"/>
  <c r="CJ100" i="13" l="1"/>
  <c r="CM99" i="13"/>
  <c r="CN99" i="13" s="1"/>
  <c r="CJ101" i="13" l="1"/>
  <c r="CM100" i="13"/>
  <c r="CN100" i="13" s="1"/>
  <c r="CJ102" i="13" l="1"/>
  <c r="CM101" i="13"/>
  <c r="CN101" i="13" s="1"/>
  <c r="CJ103" i="13" l="1"/>
  <c r="CM102" i="13"/>
  <c r="CN102" i="13" s="1"/>
  <c r="CJ104" i="13" l="1"/>
  <c r="CM103" i="13"/>
  <c r="CN103" i="13" s="1"/>
  <c r="CJ105" i="13" l="1"/>
  <c r="CM104" i="13"/>
  <c r="CN104" i="13" s="1"/>
  <c r="CJ106" i="13" l="1"/>
  <c r="CM105" i="13"/>
  <c r="CN105" i="13" s="1"/>
  <c r="CJ107" i="13" l="1"/>
  <c r="CM106" i="13"/>
  <c r="CN106" i="13" s="1"/>
  <c r="CJ108" i="13" l="1"/>
  <c r="CM107" i="13"/>
  <c r="CN107" i="13" s="1"/>
  <c r="CJ109" i="13" l="1"/>
  <c r="CM108" i="13"/>
  <c r="CN108" i="13" s="1"/>
  <c r="CJ110" i="13" l="1"/>
  <c r="CM109" i="13"/>
  <c r="CN109" i="13" s="1"/>
  <c r="CJ111" i="13" l="1"/>
  <c r="CM110" i="13"/>
  <c r="CN110" i="13" s="1"/>
  <c r="CJ112" i="13" l="1"/>
  <c r="CM111" i="13"/>
  <c r="CN111" i="13" s="1"/>
  <c r="CJ113" i="13" l="1"/>
  <c r="CM112" i="13"/>
  <c r="CN112" i="13" s="1"/>
  <c r="CJ114" i="13" l="1"/>
  <c r="CM113" i="13"/>
  <c r="CN113" i="13" s="1"/>
  <c r="CJ115" i="13" l="1"/>
  <c r="CM114" i="13"/>
  <c r="CN114" i="13" s="1"/>
  <c r="CJ116" i="13" l="1"/>
  <c r="CM115" i="13"/>
  <c r="CN115" i="13" s="1"/>
  <c r="CJ117" i="13" l="1"/>
  <c r="CM116" i="13"/>
  <c r="CN116" i="13" s="1"/>
  <c r="CJ118" i="13" l="1"/>
  <c r="CM117" i="13"/>
  <c r="CN117" i="13" s="1"/>
  <c r="CJ119" i="13" l="1"/>
  <c r="CM118" i="13"/>
  <c r="CN118" i="13" s="1"/>
  <c r="CJ120" i="13" l="1"/>
  <c r="CM119" i="13"/>
  <c r="CN119" i="13" s="1"/>
  <c r="CJ121" i="13" l="1"/>
  <c r="CM120" i="13"/>
  <c r="CN120" i="13" s="1"/>
  <c r="CJ122" i="13" l="1"/>
  <c r="CM121" i="13"/>
  <c r="CN121" i="13" s="1"/>
  <c r="CJ123" i="13" l="1"/>
  <c r="CM122" i="13"/>
  <c r="CN122" i="13" s="1"/>
  <c r="CJ124" i="13" l="1"/>
  <c r="CM123" i="13"/>
  <c r="CN123" i="13" s="1"/>
  <c r="CJ125" i="13" l="1"/>
  <c r="CM124" i="13"/>
  <c r="CN124" i="13" s="1"/>
  <c r="CJ126" i="13" l="1"/>
  <c r="CM125" i="13"/>
  <c r="CN125" i="13" s="1"/>
  <c r="CJ127" i="13" l="1"/>
  <c r="CM126" i="13"/>
  <c r="CN126" i="13" s="1"/>
  <c r="CJ128" i="13" l="1"/>
  <c r="CM127" i="13"/>
  <c r="CN127" i="13" s="1"/>
  <c r="CJ129" i="13" l="1"/>
  <c r="CM128" i="13"/>
  <c r="CN128" i="13" s="1"/>
  <c r="CJ130" i="13" l="1"/>
  <c r="CM129" i="13"/>
  <c r="CN129" i="13" s="1"/>
  <c r="CJ131" i="13" l="1"/>
  <c r="CM130" i="13"/>
  <c r="CN130" i="13" s="1"/>
  <c r="CJ132" i="13" l="1"/>
  <c r="CM131" i="13"/>
  <c r="CN131" i="13" s="1"/>
  <c r="CJ133" i="13" l="1"/>
  <c r="CM132" i="13"/>
  <c r="CN132" i="13" s="1"/>
  <c r="CJ134" i="13" l="1"/>
  <c r="CM133" i="13"/>
  <c r="CN133" i="13" s="1"/>
  <c r="CJ135" i="13" l="1"/>
  <c r="CM134" i="13"/>
  <c r="CN134" i="13" s="1"/>
  <c r="CJ136" i="13" l="1"/>
  <c r="CM135" i="13"/>
  <c r="CN135" i="13" s="1"/>
  <c r="CJ137" i="13" l="1"/>
  <c r="CM136" i="13"/>
  <c r="CN136" i="13" s="1"/>
  <c r="CJ138" i="13" l="1"/>
  <c r="CM137" i="13"/>
  <c r="CN137" i="13" s="1"/>
  <c r="CJ139" i="13" l="1"/>
  <c r="CM138" i="13"/>
  <c r="CN138" i="13" s="1"/>
  <c r="CJ140" i="13" l="1"/>
  <c r="CM139" i="13"/>
  <c r="CN139" i="13" s="1"/>
  <c r="CM140" i="13" l="1"/>
  <c r="CN140" i="13" s="1"/>
  <c r="CJ141" i="13"/>
  <c r="CJ142" i="13" l="1"/>
  <c r="CM141" i="13"/>
  <c r="CN141" i="13" s="1"/>
  <c r="CO141" i="13" s="1"/>
  <c r="CJ143" i="13" l="1"/>
  <c r="CM142" i="13"/>
  <c r="CN142" i="13" s="1"/>
  <c r="CJ144" i="13" l="1"/>
  <c r="CM143" i="13"/>
  <c r="CN143" i="13" s="1"/>
  <c r="CJ145" i="13" l="1"/>
  <c r="CM144" i="13"/>
  <c r="CN144" i="13" s="1"/>
  <c r="CJ146" i="13" l="1"/>
  <c r="CM145" i="13"/>
  <c r="CN145" i="13" s="1"/>
  <c r="CJ147" i="13" l="1"/>
  <c r="CM146" i="13"/>
  <c r="CN146" i="13" s="1"/>
  <c r="CO146" i="13" s="1"/>
  <c r="CJ148" i="13" l="1"/>
  <c r="CM147" i="13"/>
  <c r="CN147" i="13" s="1"/>
  <c r="CJ149" i="13" l="1"/>
  <c r="CM148" i="13"/>
  <c r="CN148" i="13" s="1"/>
  <c r="CJ150" i="13" l="1"/>
  <c r="CM149" i="13"/>
  <c r="CN149" i="13" s="1"/>
  <c r="CJ151" i="13" l="1"/>
  <c r="CM150" i="13"/>
  <c r="CN150" i="13" s="1"/>
  <c r="CJ152" i="13" l="1"/>
  <c r="CM151" i="13"/>
  <c r="CN151" i="13" s="1"/>
  <c r="CJ153" i="13" l="1"/>
  <c r="CM152" i="13"/>
  <c r="CN152" i="13" s="1"/>
  <c r="CJ154" i="13" l="1"/>
  <c r="CM153" i="13"/>
  <c r="CN153" i="13" s="1"/>
  <c r="CJ155" i="13" l="1"/>
  <c r="CM154" i="13"/>
  <c r="CN154" i="13" s="1"/>
  <c r="CJ156" i="13" l="1"/>
  <c r="CM155" i="13"/>
  <c r="CN155" i="13" s="1"/>
  <c r="CJ157" i="13" l="1"/>
  <c r="CM156" i="13"/>
  <c r="CN156" i="13" s="1"/>
  <c r="CJ158" i="13" l="1"/>
  <c r="CM157" i="13"/>
  <c r="CN157" i="13" s="1"/>
  <c r="CJ159" i="13" l="1"/>
  <c r="CM158" i="13"/>
  <c r="CN158" i="13" s="1"/>
  <c r="CJ160" i="13" l="1"/>
  <c r="CM159" i="13"/>
  <c r="CN159" i="13" s="1"/>
  <c r="CJ161" i="13" l="1"/>
  <c r="CM160" i="13"/>
  <c r="CN160" i="13" s="1"/>
  <c r="CO160" i="13" s="1"/>
  <c r="CJ162" i="13" l="1"/>
  <c r="CM161" i="13"/>
  <c r="CN161" i="13" s="1"/>
  <c r="CJ163" i="13" l="1"/>
  <c r="CM162" i="13"/>
  <c r="CN162" i="13" s="1"/>
  <c r="CJ164" i="13" l="1"/>
  <c r="CM163" i="13"/>
  <c r="CN163" i="13" s="1"/>
  <c r="CJ165" i="13" l="1"/>
  <c r="CM164" i="13"/>
  <c r="CN164" i="13" s="1"/>
  <c r="CJ166" i="13" l="1"/>
  <c r="CM165" i="13"/>
  <c r="CN165" i="13" s="1"/>
  <c r="CJ167" i="13" l="1"/>
  <c r="CM166" i="13"/>
  <c r="CN166" i="13" s="1"/>
  <c r="CJ168" i="13" l="1"/>
  <c r="CM167" i="13"/>
  <c r="CN167" i="13" s="1"/>
  <c r="CJ169" i="13" l="1"/>
  <c r="CM168" i="13"/>
  <c r="CN168" i="13" s="1"/>
  <c r="CJ170" i="13" l="1"/>
  <c r="CM169" i="13"/>
  <c r="CN169" i="13" s="1"/>
  <c r="CJ171" i="13" l="1"/>
  <c r="CM170" i="13"/>
  <c r="CN170" i="13" s="1"/>
  <c r="CJ172" i="13" l="1"/>
  <c r="CM171" i="13"/>
  <c r="CN171" i="13" s="1"/>
  <c r="CJ173" i="13" l="1"/>
  <c r="CM172" i="13"/>
  <c r="CN172" i="13" s="1"/>
  <c r="CJ174" i="13" l="1"/>
  <c r="CM173" i="13"/>
  <c r="CN173" i="13" s="1"/>
  <c r="CJ175" i="13" l="1"/>
  <c r="CM174" i="13"/>
  <c r="CN174" i="13" s="1"/>
  <c r="CJ176" i="13" l="1"/>
  <c r="CM175" i="13"/>
  <c r="CN175" i="13" s="1"/>
  <c r="CJ177" i="13" l="1"/>
  <c r="CM176" i="13"/>
  <c r="CN176" i="13" s="1"/>
  <c r="CJ178" i="13" l="1"/>
  <c r="CM177" i="13"/>
  <c r="CN177" i="13" s="1"/>
  <c r="CJ179" i="13" l="1"/>
  <c r="CM178" i="13"/>
  <c r="CN178" i="13" s="1"/>
  <c r="CJ180" i="13" l="1"/>
  <c r="CM179" i="13"/>
  <c r="CN179" i="13" s="1"/>
  <c r="CJ181" i="13" l="1"/>
  <c r="CM180" i="13"/>
  <c r="CN180" i="13" s="1"/>
  <c r="CJ182" i="13" l="1"/>
  <c r="CM181" i="13"/>
  <c r="CN181" i="13" s="1"/>
  <c r="CO181" i="13" s="1"/>
  <c r="CJ183" i="13" l="1"/>
  <c r="CM182" i="13"/>
  <c r="CN182" i="13" s="1"/>
  <c r="CJ184" i="13" l="1"/>
  <c r="CM183" i="13"/>
  <c r="CN183" i="13" s="1"/>
  <c r="CJ185" i="13" l="1"/>
  <c r="CM184" i="13"/>
  <c r="CN184" i="13" s="1"/>
  <c r="CJ186" i="13" l="1"/>
  <c r="CM185" i="13"/>
  <c r="CN185" i="13" s="1"/>
  <c r="CJ187" i="13" l="1"/>
  <c r="CM186" i="13"/>
  <c r="CN186" i="13" s="1"/>
  <c r="CJ188" i="13" l="1"/>
  <c r="CM187" i="13"/>
  <c r="CN187" i="13" s="1"/>
  <c r="CJ189" i="13" l="1"/>
  <c r="CM188" i="13"/>
  <c r="CN188" i="13" s="1"/>
  <c r="CJ190" i="13" l="1"/>
  <c r="CM189" i="13"/>
  <c r="CN189" i="13" s="1"/>
  <c r="CJ191" i="13" l="1"/>
  <c r="CM190" i="13"/>
  <c r="CN190" i="13" s="1"/>
  <c r="CJ192" i="13" l="1"/>
  <c r="CM191" i="13"/>
  <c r="CN191" i="13" s="1"/>
  <c r="CJ193" i="13" l="1"/>
  <c r="CM192" i="13"/>
  <c r="CN192" i="13" s="1"/>
  <c r="CJ194" i="13" l="1"/>
  <c r="CM193" i="13"/>
  <c r="CN193" i="13" s="1"/>
  <c r="CJ195" i="13" l="1"/>
  <c r="CM194" i="13"/>
  <c r="CN194" i="13" s="1"/>
  <c r="CJ196" i="13" l="1"/>
  <c r="CM195" i="13"/>
  <c r="CN195" i="13" s="1"/>
  <c r="CJ197" i="13" l="1"/>
  <c r="CM196" i="13"/>
  <c r="CN196" i="13" s="1"/>
  <c r="CJ198" i="13" l="1"/>
  <c r="CM197" i="13"/>
  <c r="CN197" i="13" s="1"/>
  <c r="CJ199" i="13" l="1"/>
  <c r="CM198" i="13"/>
  <c r="CN198" i="13" s="1"/>
  <c r="CJ200" i="13" l="1"/>
  <c r="CM199" i="13"/>
  <c r="CN199" i="13" s="1"/>
  <c r="CJ201" i="13" l="1"/>
  <c r="CM200" i="13"/>
  <c r="CN200" i="13" s="1"/>
  <c r="CJ202" i="13" l="1"/>
  <c r="CM201" i="13"/>
  <c r="CN201" i="13" s="1"/>
  <c r="CJ203" i="13" l="1"/>
  <c r="CM202" i="13"/>
  <c r="CN202" i="13" s="1"/>
  <c r="CJ204" i="13" l="1"/>
  <c r="CM203" i="13"/>
  <c r="CN203" i="13" s="1"/>
  <c r="CJ205" i="13" l="1"/>
  <c r="CM204" i="13"/>
  <c r="CN204" i="13" s="1"/>
  <c r="CJ206" i="13" l="1"/>
  <c r="CM205" i="13"/>
  <c r="CN205" i="13" s="1"/>
  <c r="CJ207" i="13" l="1"/>
  <c r="CM206" i="13"/>
  <c r="CN206" i="13" s="1"/>
  <c r="CJ208" i="13" l="1"/>
  <c r="CM207" i="13"/>
  <c r="CN207" i="13" s="1"/>
  <c r="CJ209" i="13" l="1"/>
  <c r="CM208" i="13"/>
  <c r="CN208" i="13" s="1"/>
  <c r="CJ210" i="13" l="1"/>
  <c r="CM209" i="13"/>
  <c r="CN209" i="13" s="1"/>
  <c r="CJ211" i="13" l="1"/>
  <c r="CM210" i="13"/>
  <c r="CN210" i="13" s="1"/>
  <c r="CO210" i="13" s="1"/>
  <c r="CJ212" i="13" l="1"/>
  <c r="CM211" i="13"/>
  <c r="CN211" i="13" s="1"/>
  <c r="CJ213" i="13" l="1"/>
  <c r="CM212" i="13"/>
  <c r="CN212" i="13" s="1"/>
  <c r="CJ214" i="13" l="1"/>
  <c r="CM213" i="13"/>
  <c r="CN213" i="13" s="1"/>
  <c r="CJ215" i="13" l="1"/>
  <c r="CM214" i="13"/>
  <c r="CN214" i="13" s="1"/>
  <c r="CJ216" i="13" l="1"/>
  <c r="CM215" i="13"/>
  <c r="CN215" i="13" s="1"/>
  <c r="CJ217" i="13" l="1"/>
  <c r="CM216" i="13"/>
  <c r="CN216" i="13" s="1"/>
  <c r="CJ218" i="13" l="1"/>
  <c r="CM217" i="13"/>
  <c r="CN217" i="13" s="1"/>
  <c r="CJ219" i="13" l="1"/>
  <c r="CM218" i="13"/>
  <c r="CN218" i="13" s="1"/>
  <c r="CJ220" i="13" l="1"/>
  <c r="CM219" i="13"/>
  <c r="CN219" i="13" s="1"/>
  <c r="CJ221" i="13" l="1"/>
  <c r="CM220" i="13"/>
  <c r="CN220" i="13" s="1"/>
  <c r="CJ222" i="13" l="1"/>
  <c r="CM221" i="13"/>
  <c r="CN221" i="13" s="1"/>
  <c r="CJ223" i="13" l="1"/>
  <c r="CM222" i="13"/>
  <c r="CN222" i="13" s="1"/>
  <c r="CJ224" i="13" l="1"/>
  <c r="CM223" i="13"/>
  <c r="CN223" i="13" s="1"/>
  <c r="CJ225" i="13" l="1"/>
  <c r="CM224" i="13"/>
  <c r="CN224" i="13" s="1"/>
  <c r="CJ226" i="13" l="1"/>
  <c r="CM225" i="13"/>
  <c r="CN225" i="13" s="1"/>
  <c r="CJ227" i="13" l="1"/>
  <c r="CM226" i="13"/>
  <c r="CN226" i="13" s="1"/>
  <c r="CJ228" i="13" l="1"/>
  <c r="CM227" i="13"/>
  <c r="CN227" i="13" s="1"/>
  <c r="CJ229" i="13" l="1"/>
  <c r="CM228" i="13"/>
  <c r="CN228" i="13" s="1"/>
  <c r="CJ230" i="13" l="1"/>
  <c r="CM229" i="13"/>
  <c r="CN229" i="13" s="1"/>
  <c r="CJ231" i="13" l="1"/>
  <c r="CM230" i="13"/>
  <c r="CN230" i="13" s="1"/>
  <c r="CJ232" i="13" l="1"/>
  <c r="CM231" i="13"/>
  <c r="CN231" i="13" s="1"/>
  <c r="CJ233" i="13" l="1"/>
  <c r="CM232" i="13"/>
  <c r="CN232" i="13" s="1"/>
  <c r="CJ234" i="13" l="1"/>
  <c r="CM233" i="13"/>
  <c r="CN233" i="13" s="1"/>
  <c r="CJ235" i="13" l="1"/>
  <c r="CM234" i="13"/>
  <c r="CN234" i="13" s="1"/>
  <c r="CJ236" i="13" l="1"/>
  <c r="CM235" i="13"/>
  <c r="CN235" i="13" s="1"/>
  <c r="CJ237" i="13" l="1"/>
  <c r="CM236" i="13"/>
  <c r="CN236" i="13" s="1"/>
  <c r="CJ238" i="13" l="1"/>
  <c r="CM237" i="13"/>
  <c r="CN237" i="13" s="1"/>
  <c r="CJ239" i="13" l="1"/>
  <c r="CM238" i="13"/>
  <c r="CN238" i="13" s="1"/>
  <c r="CJ240" i="13" l="1"/>
  <c r="CM239" i="13"/>
  <c r="CN239" i="13" s="1"/>
  <c r="CJ241" i="13" l="1"/>
  <c r="CM240" i="13"/>
  <c r="CN240" i="13" s="1"/>
  <c r="CJ242" i="13" l="1"/>
  <c r="CM241" i="13"/>
  <c r="CN241" i="13" s="1"/>
  <c r="CJ243" i="13" l="1"/>
  <c r="CM242" i="13"/>
  <c r="CN242" i="13" s="1"/>
  <c r="CJ244" i="13" l="1"/>
  <c r="CM243" i="13"/>
  <c r="CN243" i="13" s="1"/>
  <c r="CJ245" i="13" l="1"/>
  <c r="CM244" i="13"/>
  <c r="CN244" i="13" s="1"/>
  <c r="CJ246" i="13" l="1"/>
  <c r="CM245" i="13"/>
  <c r="CN245" i="13" s="1"/>
  <c r="CJ247" i="13" l="1"/>
  <c r="CM246" i="13"/>
  <c r="CN246" i="13" s="1"/>
  <c r="CJ248" i="13" l="1"/>
  <c r="CM247" i="13"/>
  <c r="CN247" i="13" s="1"/>
  <c r="CJ249" i="13" l="1"/>
  <c r="CM248" i="13"/>
  <c r="CN248" i="13" s="1"/>
  <c r="CJ250" i="13" l="1"/>
  <c r="CM249" i="13"/>
  <c r="CN249" i="13" s="1"/>
  <c r="CJ251" i="13" l="1"/>
  <c r="CM250" i="13"/>
  <c r="CN250" i="13" s="1"/>
  <c r="CJ252" i="13" l="1"/>
  <c r="CM251" i="13"/>
  <c r="CN251" i="13" s="1"/>
  <c r="CJ253" i="13" l="1"/>
  <c r="CM252" i="13"/>
  <c r="CN252" i="13" s="1"/>
  <c r="CJ254" i="13" l="1"/>
  <c r="CM253" i="13"/>
  <c r="CN253" i="13" s="1"/>
  <c r="CJ255" i="13" l="1"/>
  <c r="CM254" i="13"/>
  <c r="CN254" i="13" s="1"/>
  <c r="CJ256" i="13" l="1"/>
  <c r="CM255" i="13"/>
  <c r="CN255" i="13" s="1"/>
  <c r="CJ257" i="13" l="1"/>
  <c r="CM256" i="13"/>
  <c r="CN256" i="13" s="1"/>
  <c r="CJ258" i="13" l="1"/>
  <c r="CM257" i="13"/>
  <c r="CN257" i="13" s="1"/>
  <c r="CJ259" i="13" l="1"/>
  <c r="CM258" i="13"/>
  <c r="CN258" i="13" s="1"/>
  <c r="CJ260" i="13" l="1"/>
  <c r="CM259" i="13"/>
  <c r="CN259" i="13" s="1"/>
  <c r="CJ261" i="13" l="1"/>
  <c r="CM260" i="13"/>
  <c r="CN260" i="13" s="1"/>
  <c r="CJ262" i="13" l="1"/>
  <c r="CM261" i="13"/>
  <c r="CN261" i="13" s="1"/>
  <c r="CJ263" i="13" l="1"/>
  <c r="CM262" i="13"/>
  <c r="CN262" i="13" s="1"/>
  <c r="CJ264" i="13" l="1"/>
  <c r="CM263" i="13"/>
  <c r="CN263" i="13" s="1"/>
  <c r="CJ265" i="13" l="1"/>
  <c r="CM264" i="13"/>
  <c r="CN264" i="13" s="1"/>
  <c r="CJ266" i="13" l="1"/>
  <c r="CM265" i="13"/>
  <c r="CN265" i="13" s="1"/>
  <c r="CJ267" i="13" l="1"/>
  <c r="CM266" i="13"/>
  <c r="CN266" i="13" s="1"/>
  <c r="CJ268" i="13" l="1"/>
  <c r="CM267" i="13"/>
  <c r="CN267" i="13" s="1"/>
  <c r="CJ269" i="13" l="1"/>
  <c r="CM268" i="13"/>
  <c r="CN268" i="13" s="1"/>
  <c r="CJ270" i="13" l="1"/>
  <c r="CM269" i="13"/>
  <c r="CN269" i="13" s="1"/>
  <c r="CJ271" i="13" l="1"/>
  <c r="CM270" i="13"/>
  <c r="CN270" i="13" s="1"/>
  <c r="CJ272" i="13" l="1"/>
  <c r="CM271" i="13"/>
  <c r="CN271" i="13" s="1"/>
  <c r="CJ273" i="13" l="1"/>
  <c r="CM272" i="13"/>
  <c r="CN272" i="13" s="1"/>
  <c r="CJ274" i="13" l="1"/>
  <c r="CM273" i="13"/>
  <c r="CN273" i="13" s="1"/>
  <c r="CM274" i="13" l="1"/>
  <c r="CN274" i="13" s="1"/>
  <c r="CJ275" i="13"/>
  <c r="CJ276" i="13" l="1"/>
  <c r="CM275" i="13"/>
  <c r="CN275" i="13" s="1"/>
  <c r="CJ277" i="13" l="1"/>
  <c r="CM276" i="13"/>
  <c r="CN276" i="13" s="1"/>
  <c r="CJ278" i="13" l="1"/>
  <c r="CM277" i="13"/>
  <c r="CN277" i="13" s="1"/>
  <c r="CJ279" i="13" l="1"/>
  <c r="CM278" i="13"/>
  <c r="CN278" i="13" s="1"/>
  <c r="CM279" i="13" l="1"/>
  <c r="CN279" i="13" s="1"/>
  <c r="CJ280" i="13"/>
  <c r="CM280" i="13" l="1"/>
  <c r="CN280" i="13" s="1"/>
  <c r="CO280" i="13" s="1"/>
  <c r="CJ281" i="13"/>
  <c r="CJ282" i="13" l="1"/>
  <c r="CM281" i="13"/>
  <c r="CN281" i="13" s="1"/>
  <c r="CJ283" i="13" l="1"/>
  <c r="CM282" i="13"/>
  <c r="CN282" i="13" s="1"/>
  <c r="CJ284" i="13" l="1"/>
  <c r="CM283" i="13"/>
  <c r="CN283" i="13" s="1"/>
  <c r="CJ285" i="13" l="1"/>
  <c r="CM284" i="13"/>
  <c r="CN284" i="13" s="1"/>
  <c r="CJ286" i="13" l="1"/>
  <c r="CM285" i="13"/>
  <c r="CN285" i="13" s="1"/>
  <c r="CJ287" i="13" l="1"/>
  <c r="CM286" i="13"/>
  <c r="CN286" i="13" s="1"/>
  <c r="CJ288" i="13" l="1"/>
  <c r="CM287" i="13"/>
  <c r="CN287" i="13" s="1"/>
  <c r="CJ289" i="13" l="1"/>
  <c r="CM288" i="13"/>
  <c r="CN288" i="13" s="1"/>
  <c r="CJ290" i="13" l="1"/>
  <c r="CM289" i="13"/>
  <c r="CN289" i="13" s="1"/>
  <c r="CO289" i="13" s="1"/>
  <c r="CJ291" i="13" l="1"/>
  <c r="CM290" i="13"/>
  <c r="CN290" i="13" s="1"/>
  <c r="CJ292" i="13" l="1"/>
  <c r="CM291" i="13"/>
  <c r="CN291" i="13" s="1"/>
  <c r="CM292" i="13" l="1"/>
  <c r="CN292" i="13" s="1"/>
  <c r="CJ293" i="13"/>
  <c r="CJ294" i="13" l="1"/>
  <c r="CM293" i="13"/>
  <c r="CN293" i="13" s="1"/>
  <c r="CM294" i="13" l="1"/>
  <c r="CN294" i="13" s="1"/>
  <c r="CO294" i="13" s="1"/>
  <c r="CJ295" i="13"/>
  <c r="CM295" i="13" l="1"/>
  <c r="CN295" i="13" s="1"/>
  <c r="CO295" i="13" s="1"/>
  <c r="CJ296" i="13"/>
  <c r="CJ297" i="13" l="1"/>
  <c r="CM296" i="13"/>
  <c r="CN296" i="13" s="1"/>
  <c r="CJ298" i="13" l="1"/>
  <c r="CM297" i="13"/>
  <c r="CN297" i="13" s="1"/>
  <c r="CJ299" i="13" l="1"/>
  <c r="CM298" i="13"/>
  <c r="CN298" i="13" s="1"/>
  <c r="CJ300" i="13" l="1"/>
  <c r="CM299" i="13"/>
  <c r="CN299" i="13" s="1"/>
  <c r="CJ301" i="13" l="1"/>
  <c r="CM300" i="13"/>
  <c r="CN300" i="13" s="1"/>
  <c r="CJ302" i="13" l="1"/>
  <c r="CM301" i="13"/>
  <c r="CN301" i="13" s="1"/>
  <c r="CJ303" i="13" l="1"/>
  <c r="CM302" i="13"/>
  <c r="CN302" i="13" s="1"/>
  <c r="CJ304" i="13" l="1"/>
  <c r="CM303" i="13"/>
  <c r="CN303" i="13" s="1"/>
  <c r="CJ305" i="13" l="1"/>
  <c r="CM304" i="13"/>
  <c r="CN304" i="13" s="1"/>
  <c r="CJ306" i="13" l="1"/>
  <c r="CM305" i="13"/>
  <c r="CN305" i="13" s="1"/>
  <c r="CJ307" i="13" l="1"/>
  <c r="CM306" i="13"/>
  <c r="CN306" i="13" s="1"/>
  <c r="CJ308" i="13" l="1"/>
  <c r="CM307" i="13"/>
  <c r="CN307" i="13" s="1"/>
  <c r="CJ309" i="13" l="1"/>
  <c r="CM308" i="13"/>
  <c r="CN308" i="13" s="1"/>
  <c r="CJ310" i="13" l="1"/>
  <c r="CM309" i="13"/>
  <c r="CN309" i="13" s="1"/>
  <c r="CJ311" i="13" l="1"/>
  <c r="CM310" i="13"/>
  <c r="CN310" i="13" s="1"/>
  <c r="CJ312" i="13" l="1"/>
  <c r="CM311" i="13"/>
  <c r="CN311" i="13" s="1"/>
  <c r="CJ313" i="13" l="1"/>
  <c r="CM312" i="13"/>
  <c r="CN312" i="13" s="1"/>
  <c r="CJ314" i="13" l="1"/>
  <c r="CM313" i="13"/>
  <c r="CN313" i="13" s="1"/>
  <c r="CJ315" i="13" l="1"/>
  <c r="CM314" i="13"/>
  <c r="CN314" i="13" s="1"/>
  <c r="CJ316" i="13" l="1"/>
  <c r="CM315" i="13"/>
  <c r="CN315" i="13" s="1"/>
  <c r="CJ317" i="13" l="1"/>
  <c r="CM316" i="13"/>
  <c r="CN316" i="13" s="1"/>
  <c r="CJ318" i="13" l="1"/>
  <c r="CM317" i="13"/>
  <c r="CN317" i="13" s="1"/>
  <c r="CJ319" i="13" l="1"/>
  <c r="CM318" i="13"/>
  <c r="CN318" i="13" s="1"/>
  <c r="CJ320" i="13" l="1"/>
  <c r="CM319" i="13"/>
  <c r="CN319" i="13" s="1"/>
  <c r="CJ321" i="13" l="1"/>
  <c r="CM320" i="13"/>
  <c r="CN320" i="13" s="1"/>
  <c r="CJ322" i="13" l="1"/>
  <c r="CM321" i="13"/>
  <c r="CN321" i="13" s="1"/>
  <c r="CJ323" i="13" l="1"/>
  <c r="CM322" i="13"/>
  <c r="CN322" i="13" s="1"/>
  <c r="CJ324" i="13" l="1"/>
  <c r="CM323" i="13"/>
  <c r="CN323" i="13" s="1"/>
  <c r="CJ325" i="13" l="1"/>
  <c r="CM324" i="13"/>
  <c r="CN324" i="13" s="1"/>
  <c r="CJ326" i="13" l="1"/>
  <c r="CM325" i="13"/>
  <c r="CN325" i="13" s="1"/>
  <c r="CJ327" i="13" l="1"/>
  <c r="CM326" i="13"/>
  <c r="CN326" i="13" s="1"/>
  <c r="CJ328" i="13" l="1"/>
  <c r="CM327" i="13"/>
  <c r="CN327" i="13" s="1"/>
  <c r="CJ329" i="13" l="1"/>
  <c r="CM328" i="13"/>
  <c r="CN328" i="13" s="1"/>
  <c r="CJ330" i="13" l="1"/>
  <c r="CM329" i="13"/>
  <c r="CN329" i="13" s="1"/>
  <c r="CJ331" i="13" l="1"/>
  <c r="CM330" i="13"/>
  <c r="CN330" i="13" s="1"/>
  <c r="CJ332" i="13" l="1"/>
  <c r="CM331" i="13"/>
  <c r="CN331" i="13" s="1"/>
  <c r="CJ333" i="13" l="1"/>
  <c r="CM332" i="13"/>
  <c r="CN332" i="13" s="1"/>
  <c r="CJ334" i="13" l="1"/>
  <c r="CM333" i="13"/>
  <c r="CN333" i="13" s="1"/>
  <c r="CJ335" i="13" l="1"/>
  <c r="CM334" i="13"/>
  <c r="CN334" i="13" s="1"/>
  <c r="CJ336" i="13" l="1"/>
  <c r="CM335" i="13"/>
  <c r="CN335" i="13" s="1"/>
  <c r="CJ337" i="13" l="1"/>
  <c r="CM336" i="13"/>
  <c r="CN336" i="13" s="1"/>
  <c r="CJ338" i="13" l="1"/>
  <c r="CM337" i="13"/>
  <c r="CN337" i="13" s="1"/>
  <c r="CJ339" i="13" l="1"/>
  <c r="CM338" i="13"/>
  <c r="CN338" i="13" s="1"/>
  <c r="CJ340" i="13" l="1"/>
  <c r="CM339" i="13"/>
  <c r="CN339" i="13" s="1"/>
  <c r="CJ341" i="13" l="1"/>
  <c r="CM340" i="13"/>
  <c r="CN340" i="13" s="1"/>
  <c r="CJ342" i="13" l="1"/>
  <c r="CM341" i="13"/>
  <c r="CN341" i="13" s="1"/>
  <c r="CJ343" i="13" l="1"/>
  <c r="CM342" i="13"/>
  <c r="CN342" i="13" s="1"/>
  <c r="CJ344" i="13" l="1"/>
  <c r="CM343" i="13"/>
  <c r="CN343" i="13" s="1"/>
  <c r="CJ345" i="13" l="1"/>
  <c r="CM344" i="13"/>
  <c r="CN344" i="13" s="1"/>
  <c r="CJ346" i="13" l="1"/>
  <c r="CM345" i="13"/>
  <c r="CN345" i="13" s="1"/>
  <c r="CJ347" i="13" l="1"/>
  <c r="CM346" i="13"/>
  <c r="CN346" i="13" s="1"/>
  <c r="CJ348" i="13" l="1"/>
  <c r="CM347" i="13"/>
  <c r="CN347" i="13" s="1"/>
  <c r="CM348" i="13" l="1"/>
  <c r="CN348" i="13" s="1"/>
  <c r="CO348" i="13" s="1"/>
  <c r="CJ349" i="13"/>
  <c r="CJ350" i="13" l="1"/>
  <c r="CM349" i="13"/>
  <c r="CN349" i="13" s="1"/>
  <c r="CJ351" i="13" l="1"/>
  <c r="CM350" i="13"/>
  <c r="CN350" i="13" s="1"/>
  <c r="CJ352" i="13" l="1"/>
  <c r="CM351" i="13"/>
  <c r="CN351" i="13" s="1"/>
  <c r="CJ353" i="13" l="1"/>
  <c r="CM352" i="13"/>
  <c r="CN352" i="13" s="1"/>
  <c r="CJ354" i="13" l="1"/>
  <c r="CM353" i="13"/>
  <c r="CN353" i="13" s="1"/>
  <c r="CJ355" i="13" l="1"/>
  <c r="CM354" i="13"/>
  <c r="CN354" i="13" s="1"/>
  <c r="CJ356" i="13" l="1"/>
  <c r="CM355" i="13"/>
  <c r="CN355" i="13" s="1"/>
  <c r="CJ357" i="13" l="1"/>
  <c r="CM356" i="13"/>
  <c r="CN356" i="13" s="1"/>
  <c r="CJ358" i="13" l="1"/>
  <c r="CM357" i="13"/>
  <c r="CN357" i="13" s="1"/>
  <c r="CJ359" i="13" l="1"/>
  <c r="CM358" i="13"/>
  <c r="CN358" i="13" s="1"/>
  <c r="CJ360" i="13" l="1"/>
  <c r="CM359" i="13"/>
  <c r="CN359" i="13" s="1"/>
  <c r="CJ361" i="13" l="1"/>
  <c r="CM360" i="13"/>
  <c r="CN360" i="13" s="1"/>
  <c r="CJ362" i="13" l="1"/>
  <c r="CM361" i="13"/>
  <c r="CN361" i="13" s="1"/>
  <c r="CJ363" i="13" l="1"/>
  <c r="CM362" i="13"/>
  <c r="CN362" i="13" s="1"/>
  <c r="CJ364" i="13" l="1"/>
  <c r="CM363" i="13"/>
  <c r="CN363" i="13" s="1"/>
  <c r="CJ365" i="13" l="1"/>
  <c r="CM364" i="13"/>
  <c r="CN364" i="13" s="1"/>
  <c r="CM365" i="13" l="1"/>
  <c r="CN365" i="13" s="1"/>
  <c r="CJ366" i="13"/>
  <c r="CM366" i="13" l="1"/>
  <c r="CN366" i="13" s="1"/>
  <c r="CO366" i="13" s="1"/>
  <c r="CJ367" i="13"/>
  <c r="CJ368" i="13" l="1"/>
  <c r="CM367" i="13"/>
  <c r="CN367" i="13" s="1"/>
  <c r="CM368" i="13" l="1"/>
  <c r="CN368" i="13" s="1"/>
  <c r="CJ369" i="13"/>
  <c r="CJ370" i="13" l="1"/>
  <c r="CM369" i="13"/>
  <c r="CN369" i="13" s="1"/>
  <c r="CJ371" i="13" l="1"/>
  <c r="CM370" i="13"/>
  <c r="CN370" i="13" s="1"/>
  <c r="CJ372" i="13" l="1"/>
  <c r="CM371" i="13"/>
  <c r="CN371" i="13" s="1"/>
  <c r="CJ373" i="13" l="1"/>
  <c r="CM372" i="13"/>
  <c r="CN372" i="13" s="1"/>
  <c r="CJ374" i="13" l="1"/>
  <c r="CM373" i="13"/>
  <c r="CN373" i="13" s="1"/>
  <c r="CJ375" i="13" l="1"/>
  <c r="CM374" i="13"/>
  <c r="CN374" i="13" s="1"/>
  <c r="CJ376" i="13" l="1"/>
  <c r="CM375" i="13"/>
  <c r="CN375" i="13" s="1"/>
  <c r="CJ377" i="13" l="1"/>
  <c r="CM376" i="13"/>
  <c r="CN376" i="13" s="1"/>
  <c r="CJ378" i="13" l="1"/>
  <c r="CM377" i="13"/>
  <c r="CN377" i="13" s="1"/>
  <c r="CJ379" i="13" l="1"/>
  <c r="CM378" i="13"/>
  <c r="CN378" i="13" s="1"/>
  <c r="CJ380" i="13" l="1"/>
  <c r="CM379" i="13"/>
  <c r="CN379" i="13" s="1"/>
  <c r="CJ381" i="13" l="1"/>
  <c r="CM380" i="13"/>
  <c r="CN380" i="13" s="1"/>
  <c r="CJ382" i="13" l="1"/>
  <c r="CM381" i="13"/>
  <c r="CN381" i="13" s="1"/>
  <c r="CJ383" i="13" l="1"/>
  <c r="CM382" i="13"/>
  <c r="CN382" i="13" s="1"/>
  <c r="CJ384" i="13" l="1"/>
  <c r="CM383" i="13"/>
  <c r="CN383" i="13" s="1"/>
  <c r="CJ385" i="13" l="1"/>
  <c r="CM384" i="13"/>
  <c r="CN384" i="13" s="1"/>
  <c r="CJ386" i="13" l="1"/>
  <c r="CM385" i="13"/>
  <c r="CN385" i="13" s="1"/>
  <c r="CJ387" i="13" l="1"/>
  <c r="CM386" i="13"/>
  <c r="CN386" i="13" s="1"/>
  <c r="CJ388" i="13" l="1"/>
  <c r="CM387" i="13"/>
  <c r="CN387" i="13" s="1"/>
  <c r="CJ389" i="13" l="1"/>
  <c r="CM388" i="13"/>
  <c r="CN388" i="13" s="1"/>
  <c r="CJ390" i="13" l="1"/>
  <c r="CM389" i="13"/>
  <c r="CN389" i="13" s="1"/>
  <c r="CJ391" i="13" l="1"/>
  <c r="CM390" i="13"/>
  <c r="CN390" i="13" s="1"/>
  <c r="CJ392" i="13" l="1"/>
  <c r="CM391" i="13"/>
  <c r="CN391" i="13" s="1"/>
  <c r="CJ393" i="13" l="1"/>
  <c r="CM392" i="13"/>
  <c r="CN392" i="13" s="1"/>
  <c r="CJ394" i="13" l="1"/>
  <c r="CM393" i="13"/>
  <c r="CN393" i="13" s="1"/>
  <c r="CJ395" i="13" l="1"/>
  <c r="CM394" i="13"/>
  <c r="CN394" i="13" s="1"/>
  <c r="CJ396" i="13" l="1"/>
  <c r="CM395" i="13"/>
  <c r="CN395" i="13" s="1"/>
  <c r="CJ397" i="13" l="1"/>
  <c r="CM396" i="13"/>
  <c r="CN396" i="13" s="1"/>
  <c r="CO396" i="13" s="1"/>
  <c r="CJ398" i="13" l="1"/>
  <c r="CM397" i="13"/>
  <c r="CN397" i="13" s="1"/>
  <c r="CJ399" i="13" l="1"/>
  <c r="CM398" i="13"/>
  <c r="CN398" i="13" s="1"/>
  <c r="CJ400" i="13" l="1"/>
  <c r="CM399" i="13"/>
  <c r="CN399" i="13" s="1"/>
  <c r="CJ401" i="13" l="1"/>
  <c r="CM400" i="13"/>
  <c r="CN400" i="13" s="1"/>
  <c r="CJ402" i="13" l="1"/>
  <c r="CM401" i="13"/>
  <c r="CN401" i="13" s="1"/>
  <c r="CJ403" i="13" l="1"/>
  <c r="CM402" i="13"/>
  <c r="CN402" i="13" s="1"/>
  <c r="CJ404" i="13" l="1"/>
  <c r="CM403" i="13"/>
  <c r="CN403" i="13" s="1"/>
  <c r="CJ405" i="13" l="1"/>
  <c r="CM404" i="13"/>
  <c r="CN404" i="13" s="1"/>
  <c r="CJ406" i="13" l="1"/>
  <c r="CM405" i="13"/>
  <c r="CN405" i="13" s="1"/>
  <c r="CJ407" i="13" l="1"/>
  <c r="CM406" i="13"/>
  <c r="CN406" i="13" s="1"/>
  <c r="CJ408" i="13" l="1"/>
  <c r="CM407" i="13"/>
  <c r="CN407" i="13" s="1"/>
  <c r="CJ409" i="13" l="1"/>
  <c r="CM408" i="13"/>
  <c r="CN408" i="13" s="1"/>
  <c r="CJ410" i="13" l="1"/>
  <c r="CM409" i="13"/>
  <c r="CN409" i="13" s="1"/>
  <c r="CJ411" i="13" l="1"/>
  <c r="CM410" i="13"/>
  <c r="CN410" i="13" s="1"/>
  <c r="CJ412" i="13" l="1"/>
  <c r="CM411" i="13"/>
  <c r="CN411" i="13" s="1"/>
  <c r="CJ413" i="13" l="1"/>
  <c r="CM412" i="13"/>
  <c r="CN412" i="13" s="1"/>
  <c r="CJ414" i="13" l="1"/>
  <c r="CM413" i="13"/>
  <c r="CN413" i="13" s="1"/>
  <c r="CM414" i="13" l="1"/>
  <c r="CN414" i="13" s="1"/>
  <c r="CJ415" i="13"/>
  <c r="CJ416" i="13" l="1"/>
  <c r="CM415" i="13"/>
  <c r="CN415" i="13" s="1"/>
  <c r="CJ417" i="13" l="1"/>
  <c r="CM416" i="13"/>
  <c r="CN416" i="13" s="1"/>
  <c r="CJ418" i="13" l="1"/>
  <c r="CM417" i="13"/>
  <c r="CN417" i="13" s="1"/>
  <c r="CJ419" i="13" l="1"/>
  <c r="CM418" i="13"/>
  <c r="CN418" i="13" s="1"/>
  <c r="CJ420" i="13" l="1"/>
  <c r="CM419" i="13"/>
  <c r="CN419" i="13" s="1"/>
  <c r="CJ421" i="13" l="1"/>
  <c r="CM420" i="13"/>
  <c r="CN420" i="13" s="1"/>
  <c r="CO420" i="13" s="1"/>
  <c r="CJ422" i="13" l="1"/>
  <c r="CM421" i="13"/>
  <c r="CN421" i="13" s="1"/>
  <c r="CJ423" i="13" l="1"/>
  <c r="CM422" i="13"/>
  <c r="CN422" i="13" s="1"/>
  <c r="CJ424" i="13" l="1"/>
  <c r="CM423" i="13"/>
  <c r="CN423" i="13" s="1"/>
  <c r="CJ425" i="13" l="1"/>
  <c r="CM424" i="13"/>
  <c r="CN424" i="13" s="1"/>
  <c r="CJ426" i="13" l="1"/>
  <c r="CM425" i="13"/>
  <c r="CN425" i="13" s="1"/>
  <c r="CJ427" i="13" l="1"/>
  <c r="CM426" i="13"/>
  <c r="CN426" i="13" s="1"/>
  <c r="CJ428" i="13" l="1"/>
  <c r="CM427" i="13"/>
  <c r="CN427" i="13" s="1"/>
  <c r="CJ429" i="13" l="1"/>
  <c r="CM428" i="13"/>
  <c r="CN428" i="13" s="1"/>
  <c r="CJ430" i="13" l="1"/>
  <c r="CM429" i="13"/>
  <c r="CN429" i="13" s="1"/>
  <c r="CJ431" i="13" l="1"/>
  <c r="CM430" i="13"/>
  <c r="CN430" i="13" s="1"/>
  <c r="CJ432" i="13" l="1"/>
  <c r="CM431" i="13"/>
  <c r="CN431" i="13" s="1"/>
  <c r="CJ433" i="13" l="1"/>
  <c r="CM432" i="13"/>
  <c r="CN432" i="13" s="1"/>
  <c r="CJ434" i="13" l="1"/>
  <c r="CM433" i="13"/>
  <c r="CN433" i="13" s="1"/>
  <c r="CJ435" i="13" l="1"/>
  <c r="CM434" i="13"/>
  <c r="CN434" i="13" s="1"/>
  <c r="CJ436" i="13" l="1"/>
  <c r="CM435" i="13"/>
  <c r="CN435" i="13" s="1"/>
  <c r="CJ437" i="13" l="1"/>
  <c r="CM436" i="13"/>
  <c r="CN436" i="13" s="1"/>
  <c r="CJ438" i="13" l="1"/>
  <c r="CM437" i="13"/>
  <c r="CN437" i="13" s="1"/>
  <c r="CJ439" i="13" l="1"/>
  <c r="CM438" i="13"/>
  <c r="CN438" i="13" s="1"/>
  <c r="CJ440" i="13" l="1"/>
  <c r="CM439" i="13"/>
  <c r="CN439" i="13" s="1"/>
  <c r="CJ441" i="13" l="1"/>
  <c r="CM440" i="13"/>
  <c r="CN440" i="13" s="1"/>
  <c r="CJ442" i="13" l="1"/>
  <c r="CM441" i="13"/>
  <c r="CN441" i="13" s="1"/>
  <c r="CJ443" i="13" l="1"/>
  <c r="CM442" i="13"/>
  <c r="CN442" i="13" s="1"/>
  <c r="CJ444" i="13" l="1"/>
  <c r="CM443" i="13"/>
  <c r="CN443" i="13" s="1"/>
  <c r="CJ445" i="13" l="1"/>
  <c r="CM444" i="13"/>
  <c r="CN444" i="13" s="1"/>
  <c r="CJ446" i="13" l="1"/>
  <c r="CM445" i="13"/>
  <c r="CN445" i="13" s="1"/>
  <c r="CJ447" i="13" l="1"/>
  <c r="CM446" i="13"/>
  <c r="CN446" i="13" s="1"/>
  <c r="CJ448" i="13" l="1"/>
  <c r="CM447" i="13"/>
  <c r="CN447" i="13" s="1"/>
  <c r="CJ449" i="13" l="1"/>
  <c r="CM448" i="13"/>
  <c r="CN448" i="13" s="1"/>
  <c r="CJ450" i="13" l="1"/>
  <c r="CM449" i="13"/>
  <c r="CN449" i="13" s="1"/>
  <c r="CJ451" i="13" l="1"/>
  <c r="CM450" i="13"/>
  <c r="CN450" i="13" s="1"/>
  <c r="CJ452" i="13" l="1"/>
  <c r="CM451" i="13"/>
  <c r="CN451" i="13" s="1"/>
  <c r="CJ453" i="13" l="1"/>
  <c r="CM452" i="13"/>
  <c r="CN452" i="13" s="1"/>
  <c r="CJ454" i="13" l="1"/>
  <c r="CM453" i="13"/>
  <c r="CN453" i="13" s="1"/>
  <c r="CJ455" i="13" l="1"/>
  <c r="CM454" i="13"/>
  <c r="CN454" i="13" s="1"/>
  <c r="CO454" i="13" s="1"/>
  <c r="CJ456" i="13" l="1"/>
  <c r="CM455" i="13"/>
  <c r="CN455" i="13" s="1"/>
  <c r="CO455" i="13" s="1"/>
  <c r="CJ457" i="13" l="1"/>
  <c r="CM456" i="13"/>
  <c r="CN456" i="13" s="1"/>
  <c r="CJ458" i="13" l="1"/>
  <c r="CM457" i="13"/>
  <c r="CN457" i="13" s="1"/>
  <c r="CJ459" i="13" l="1"/>
  <c r="CM458" i="13"/>
  <c r="CN458" i="13" s="1"/>
  <c r="CJ460" i="13" l="1"/>
  <c r="CM459" i="13"/>
  <c r="CN459" i="13" s="1"/>
  <c r="CJ461" i="13" l="1"/>
  <c r="CM460" i="13"/>
  <c r="CN460" i="13" s="1"/>
  <c r="CJ462" i="13" l="1"/>
  <c r="CM461" i="13"/>
  <c r="CN461" i="13" s="1"/>
  <c r="CJ463" i="13" l="1"/>
  <c r="CM462" i="13"/>
  <c r="CN462" i="13" s="1"/>
  <c r="CJ464" i="13" l="1"/>
  <c r="CM463" i="13"/>
  <c r="CN463" i="13" s="1"/>
  <c r="CJ465" i="13" l="1"/>
  <c r="CM464" i="13"/>
  <c r="CN464" i="13" s="1"/>
  <c r="CJ466" i="13" l="1"/>
  <c r="CM465" i="13"/>
  <c r="CN465" i="13" s="1"/>
  <c r="CJ467" i="13" l="1"/>
  <c r="CM466" i="13"/>
  <c r="CN466" i="13" s="1"/>
  <c r="CJ468" i="13" l="1"/>
  <c r="CM467" i="13"/>
  <c r="CN467" i="13" s="1"/>
  <c r="CJ469" i="13" l="1"/>
  <c r="CM468" i="13"/>
  <c r="CN468" i="13" s="1"/>
  <c r="CJ470" i="13" l="1"/>
  <c r="CM469" i="13"/>
  <c r="CN469" i="13" s="1"/>
  <c r="CJ471" i="13" l="1"/>
  <c r="CM470" i="13"/>
  <c r="CN470" i="13" s="1"/>
  <c r="CJ472" i="13" l="1"/>
  <c r="CM471" i="13"/>
  <c r="CN471" i="13" s="1"/>
  <c r="CJ473" i="13" l="1"/>
  <c r="CM472" i="13"/>
  <c r="CN472" i="13" s="1"/>
  <c r="CO472" i="13" s="1"/>
  <c r="CJ474" i="13" l="1"/>
  <c r="CM473" i="13"/>
  <c r="CN473" i="13" s="1"/>
  <c r="CO473" i="13" s="1"/>
  <c r="CJ475" i="13" l="1"/>
  <c r="CM474" i="13"/>
  <c r="CN474" i="13" s="1"/>
  <c r="CJ476" i="13" l="1"/>
  <c r="CM475" i="13"/>
  <c r="CN475" i="13" s="1"/>
  <c r="CJ477" i="13" l="1"/>
  <c r="CM476" i="13"/>
  <c r="CN476" i="13" s="1"/>
  <c r="CJ478" i="13" l="1"/>
  <c r="CM477" i="13"/>
  <c r="CN477" i="13" s="1"/>
  <c r="CJ479" i="13" l="1"/>
  <c r="CM478" i="13"/>
  <c r="CN478" i="13" s="1"/>
  <c r="CJ480" i="13" l="1"/>
  <c r="CM479" i="13"/>
  <c r="CN479" i="13" s="1"/>
  <c r="CJ481" i="13" l="1"/>
  <c r="CM480" i="13"/>
  <c r="CN480" i="13" s="1"/>
  <c r="CJ482" i="13" l="1"/>
  <c r="CM481" i="13"/>
  <c r="CN481" i="13" s="1"/>
  <c r="CJ483" i="13" l="1"/>
  <c r="CM482" i="13"/>
  <c r="CN482" i="13" s="1"/>
  <c r="CJ484" i="13" l="1"/>
  <c r="CM483" i="13"/>
  <c r="CN483" i="13" s="1"/>
  <c r="CJ485" i="13" l="1"/>
  <c r="CM484" i="13"/>
  <c r="CN484" i="13" s="1"/>
  <c r="CJ486" i="13" l="1"/>
  <c r="CM485" i="13"/>
  <c r="CN485" i="13" s="1"/>
  <c r="CJ487" i="13" l="1"/>
  <c r="CM486" i="13"/>
  <c r="CN486" i="13" s="1"/>
  <c r="CJ488" i="13" l="1"/>
  <c r="CM487" i="13"/>
  <c r="CN487" i="13" s="1"/>
  <c r="CJ489" i="13" l="1"/>
  <c r="CM488" i="13"/>
  <c r="CN488" i="13" s="1"/>
  <c r="CJ490" i="13" l="1"/>
  <c r="CM489" i="13"/>
  <c r="CN489" i="13" s="1"/>
  <c r="CJ491" i="13" l="1"/>
  <c r="CM490" i="13"/>
  <c r="CN490" i="13" s="1"/>
  <c r="CJ492" i="13" l="1"/>
  <c r="CM491" i="13"/>
  <c r="CN491" i="13" s="1"/>
  <c r="CJ493" i="13" l="1"/>
  <c r="CM492" i="13"/>
  <c r="CN492" i="13" s="1"/>
  <c r="CJ494" i="13" l="1"/>
  <c r="CM493" i="13"/>
  <c r="CN493" i="13" s="1"/>
  <c r="CJ495" i="13" l="1"/>
  <c r="CM494" i="13"/>
  <c r="CN494" i="13" s="1"/>
  <c r="CJ496" i="13" l="1"/>
  <c r="CM495" i="13"/>
  <c r="CN495" i="13" s="1"/>
  <c r="CJ497" i="13" l="1"/>
  <c r="CM496" i="13"/>
  <c r="CN496" i="13" s="1"/>
  <c r="CJ498" i="13" l="1"/>
  <c r="CM497" i="13"/>
  <c r="CN497" i="13" s="1"/>
  <c r="CJ499" i="13" l="1"/>
  <c r="CM498" i="13"/>
  <c r="CN498" i="13" s="1"/>
  <c r="CO498" i="13" s="1"/>
  <c r="CJ500" i="13" l="1"/>
  <c r="CM499" i="13"/>
  <c r="CN499" i="13" s="1"/>
  <c r="CJ501" i="13" l="1"/>
  <c r="CM500" i="13"/>
  <c r="CN500" i="13" s="1"/>
  <c r="CJ502" i="13" l="1"/>
  <c r="CM501" i="13"/>
  <c r="CN501" i="13" s="1"/>
  <c r="CJ503" i="13" l="1"/>
  <c r="CM502" i="13"/>
  <c r="CN502" i="13" s="1"/>
  <c r="CJ504" i="13" l="1"/>
  <c r="CM503" i="13"/>
  <c r="CN503" i="13" s="1"/>
  <c r="CJ505" i="13" l="1"/>
  <c r="CM504" i="13"/>
  <c r="CN504" i="13" s="1"/>
  <c r="CJ506" i="13" l="1"/>
  <c r="CM505" i="13"/>
  <c r="CN505" i="13" s="1"/>
  <c r="CJ507" i="13" l="1"/>
  <c r="CM506" i="13"/>
  <c r="CN506" i="13" s="1"/>
  <c r="CJ508" i="13" l="1"/>
  <c r="CM507" i="13"/>
  <c r="CN507" i="13" s="1"/>
  <c r="CJ509" i="13" l="1"/>
  <c r="CM508" i="13"/>
  <c r="CN508" i="13" s="1"/>
  <c r="CJ510" i="13" l="1"/>
  <c r="CM509" i="13"/>
  <c r="CN509" i="13" s="1"/>
  <c r="CJ511" i="13" l="1"/>
  <c r="CM510" i="13"/>
  <c r="CN510" i="13" s="1"/>
  <c r="CJ512" i="13" l="1"/>
  <c r="CM511" i="13"/>
  <c r="CN511" i="13" s="1"/>
  <c r="CJ513" i="13" l="1"/>
  <c r="CM512" i="13"/>
  <c r="CN512" i="13" s="1"/>
  <c r="CJ514" i="13" l="1"/>
  <c r="CM513" i="13"/>
  <c r="CN513" i="13" s="1"/>
  <c r="CJ515" i="13" l="1"/>
  <c r="CM514" i="13"/>
  <c r="CN514" i="13" s="1"/>
  <c r="CJ516" i="13" l="1"/>
  <c r="CM515" i="13"/>
  <c r="CN515" i="13" s="1"/>
  <c r="CJ517" i="13" l="1"/>
  <c r="CM516" i="13"/>
  <c r="CN516" i="13" s="1"/>
  <c r="CJ518" i="13" l="1"/>
  <c r="CM517" i="13"/>
  <c r="CN517" i="13" s="1"/>
  <c r="CJ519" i="13" l="1"/>
  <c r="CM518" i="13"/>
  <c r="CN518" i="13" s="1"/>
  <c r="CJ520" i="13" l="1"/>
  <c r="CM519" i="13"/>
  <c r="CN519" i="13" s="1"/>
  <c r="CJ521" i="13" l="1"/>
  <c r="CM520" i="13"/>
  <c r="CN520" i="13" s="1"/>
  <c r="CJ522" i="13" l="1"/>
  <c r="CM521" i="13"/>
  <c r="CN521" i="13" s="1"/>
  <c r="CJ523" i="13" l="1"/>
  <c r="CM522" i="13"/>
  <c r="CN522" i="13" s="1"/>
  <c r="CJ524" i="13" l="1"/>
  <c r="CM523" i="13"/>
  <c r="CN523" i="13" s="1"/>
  <c r="CJ525" i="13" l="1"/>
  <c r="CM524" i="13"/>
  <c r="CN524" i="13" s="1"/>
  <c r="CJ526" i="13" l="1"/>
  <c r="CM525" i="13"/>
  <c r="CN525" i="13" s="1"/>
  <c r="CJ527" i="13" l="1"/>
  <c r="CM526" i="13"/>
  <c r="CN526" i="13" s="1"/>
  <c r="CJ528" i="13" l="1"/>
  <c r="CM527" i="13"/>
  <c r="CN527" i="13" s="1"/>
  <c r="CJ529" i="13" l="1"/>
  <c r="CM528" i="13"/>
  <c r="CN528" i="13" s="1"/>
  <c r="CJ530" i="13" l="1"/>
  <c r="CM529" i="13"/>
  <c r="CN529" i="13" s="1"/>
  <c r="CJ531" i="13" l="1"/>
  <c r="CM530" i="13"/>
  <c r="CN530" i="13" s="1"/>
  <c r="CJ532" i="13" l="1"/>
  <c r="CM531" i="13"/>
  <c r="CN531" i="13" s="1"/>
  <c r="CJ533" i="13" l="1"/>
  <c r="CM532" i="13"/>
  <c r="CN532" i="13" s="1"/>
  <c r="CJ534" i="13" l="1"/>
  <c r="CM533" i="13"/>
  <c r="CN533" i="13" s="1"/>
  <c r="CJ535" i="13" l="1"/>
  <c r="CM534" i="13"/>
  <c r="CN534" i="13" s="1"/>
  <c r="CJ536" i="13" l="1"/>
  <c r="CM535" i="13"/>
  <c r="CN535" i="13" s="1"/>
  <c r="CJ537" i="13" l="1"/>
  <c r="CM536" i="13"/>
  <c r="CN536" i="13" s="1"/>
  <c r="CJ538" i="13" l="1"/>
  <c r="CM537" i="13"/>
  <c r="CN537" i="13" s="1"/>
  <c r="CJ539" i="13" l="1"/>
  <c r="CM538" i="13"/>
  <c r="CN538" i="13" s="1"/>
  <c r="CJ540" i="13" l="1"/>
  <c r="CM539" i="13"/>
  <c r="CN539" i="13" s="1"/>
  <c r="CJ541" i="13" l="1"/>
  <c r="CM540" i="13"/>
  <c r="CN540" i="13" s="1"/>
  <c r="CJ542" i="13" l="1"/>
  <c r="CM541" i="13"/>
  <c r="CN541" i="13" s="1"/>
  <c r="CJ543" i="13" l="1"/>
  <c r="CM542" i="13"/>
  <c r="CN542" i="13" s="1"/>
  <c r="CJ544" i="13" l="1"/>
  <c r="CM543" i="13"/>
  <c r="CN543" i="13" s="1"/>
  <c r="CJ545" i="13" l="1"/>
  <c r="CM544" i="13"/>
  <c r="CN544" i="13" s="1"/>
  <c r="CJ546" i="13" l="1"/>
  <c r="CM545" i="13"/>
  <c r="CN545" i="13" s="1"/>
  <c r="CJ547" i="13" l="1"/>
  <c r="CM546" i="13"/>
  <c r="CN546" i="13" s="1"/>
  <c r="CJ548" i="13" l="1"/>
  <c r="CM547" i="13"/>
  <c r="CN547" i="13" s="1"/>
  <c r="CJ549" i="13" l="1"/>
  <c r="CM548" i="13"/>
  <c r="CN548" i="13" s="1"/>
  <c r="CJ550" i="13" l="1"/>
  <c r="CM549" i="13"/>
  <c r="CN549" i="13" s="1"/>
  <c r="CJ551" i="13" l="1"/>
  <c r="CM550" i="13"/>
  <c r="CN550" i="13" s="1"/>
  <c r="CJ552" i="13" l="1"/>
  <c r="CM551" i="13"/>
  <c r="CN551" i="13" s="1"/>
  <c r="CJ553" i="13" l="1"/>
  <c r="CM552" i="13"/>
  <c r="CN552" i="13" s="1"/>
  <c r="CO552" i="13" s="1"/>
  <c r="CJ554" i="13" l="1"/>
  <c r="CM553" i="13"/>
  <c r="CN553" i="13" s="1"/>
  <c r="CO553" i="13" s="1"/>
  <c r="CJ555" i="13" l="1"/>
  <c r="CM554" i="13"/>
  <c r="CN554" i="13" s="1"/>
  <c r="CJ556" i="13" l="1"/>
  <c r="CM555" i="13"/>
  <c r="CN555" i="13" s="1"/>
  <c r="CJ557" i="13" l="1"/>
  <c r="CM556" i="13"/>
  <c r="CN556" i="13" s="1"/>
  <c r="CJ558" i="13" l="1"/>
  <c r="CM557" i="13"/>
  <c r="CN557" i="13" s="1"/>
  <c r="CJ559" i="13" l="1"/>
  <c r="CM558" i="13"/>
  <c r="CN558" i="13" s="1"/>
  <c r="CJ560" i="13" l="1"/>
  <c r="CM559" i="13"/>
  <c r="CN559" i="13" s="1"/>
  <c r="CJ561" i="13" l="1"/>
  <c r="CM560" i="13"/>
  <c r="CN560" i="13" s="1"/>
  <c r="CJ562" i="13" l="1"/>
  <c r="CM561" i="13"/>
  <c r="CN561" i="13" s="1"/>
  <c r="CJ563" i="13" l="1"/>
  <c r="CM562" i="13"/>
  <c r="CN562" i="13" s="1"/>
  <c r="CJ564" i="13" l="1"/>
  <c r="CM563" i="13"/>
  <c r="CN563" i="13" s="1"/>
  <c r="CJ565" i="13" l="1"/>
  <c r="CM564" i="13"/>
  <c r="CN564" i="13" s="1"/>
  <c r="CJ566" i="13" l="1"/>
  <c r="CM565" i="13"/>
  <c r="CN565" i="13" s="1"/>
  <c r="CJ567" i="13" l="1"/>
  <c r="CM566" i="13"/>
  <c r="CN566" i="13" s="1"/>
  <c r="CJ568" i="13" l="1"/>
  <c r="CM567" i="13"/>
  <c r="CN567" i="13" s="1"/>
  <c r="CJ569" i="13" l="1"/>
  <c r="CM568" i="13"/>
  <c r="CN568" i="13" s="1"/>
  <c r="CJ570" i="13" l="1"/>
  <c r="CM569" i="13"/>
  <c r="CN569" i="13" s="1"/>
  <c r="CJ571" i="13" l="1"/>
  <c r="CM570" i="13"/>
  <c r="CN570" i="13" s="1"/>
  <c r="CJ572" i="13" l="1"/>
  <c r="CM571" i="13"/>
  <c r="CN571" i="13" s="1"/>
  <c r="CJ573" i="13" l="1"/>
  <c r="CM572" i="13"/>
  <c r="CN572" i="13" s="1"/>
  <c r="CJ574" i="13" l="1"/>
  <c r="CM573" i="13"/>
  <c r="CN573" i="13" s="1"/>
  <c r="CJ575" i="13" l="1"/>
  <c r="CM574" i="13"/>
  <c r="CN574" i="13" s="1"/>
  <c r="CJ576" i="13" l="1"/>
  <c r="CM575" i="13"/>
  <c r="CN575" i="13" s="1"/>
  <c r="CJ577" i="13" l="1"/>
  <c r="CM576" i="13"/>
  <c r="CN576" i="13" s="1"/>
  <c r="CJ578" i="13" l="1"/>
  <c r="CM577" i="13"/>
  <c r="CN577" i="13" s="1"/>
  <c r="CJ579" i="13" l="1"/>
  <c r="CM578" i="13"/>
  <c r="CN578" i="13" s="1"/>
  <c r="CJ580" i="13" l="1"/>
  <c r="CM579" i="13"/>
  <c r="CN579" i="13" s="1"/>
  <c r="CJ581" i="13" l="1"/>
  <c r="CM580" i="13"/>
  <c r="CN580" i="13" s="1"/>
  <c r="CJ582" i="13" l="1"/>
  <c r="CM581" i="13"/>
  <c r="CN581" i="13" s="1"/>
  <c r="CM582" i="13" l="1"/>
  <c r="CN582" i="13" s="1"/>
  <c r="CJ583" i="13"/>
  <c r="CM583" i="13" l="1"/>
  <c r="CN583" i="13" s="1"/>
  <c r="CJ584" i="13"/>
  <c r="CJ585" i="13" l="1"/>
  <c r="CM584" i="13"/>
  <c r="CN584" i="13" s="1"/>
  <c r="CM585" i="13" l="1"/>
  <c r="CN585" i="13" s="1"/>
  <c r="CJ586" i="13"/>
  <c r="CM586" i="13" l="1"/>
  <c r="CN586" i="13" s="1"/>
  <c r="CJ587" i="13"/>
  <c r="CM587" i="13" l="1"/>
  <c r="CN587" i="13" s="1"/>
  <c r="CJ588" i="13"/>
  <c r="CM588" i="13" l="1"/>
  <c r="CN588" i="13" s="1"/>
  <c r="CJ589" i="13"/>
  <c r="CM589" i="13" l="1"/>
  <c r="CN589" i="13" s="1"/>
  <c r="CJ590" i="13"/>
  <c r="CJ591" i="13" l="1"/>
  <c r="CM590" i="13"/>
  <c r="CN590" i="13" s="1"/>
  <c r="CJ592" i="13" l="1"/>
  <c r="CM591" i="13"/>
  <c r="CN591" i="13" s="1"/>
  <c r="CJ593" i="13" l="1"/>
  <c r="CM592" i="13"/>
  <c r="CN592" i="13" s="1"/>
  <c r="CO592" i="13" s="1"/>
  <c r="CM593" i="13" l="1"/>
  <c r="CN593" i="13" s="1"/>
  <c r="CJ594" i="13"/>
  <c r="CJ595" i="13" l="1"/>
  <c r="CM594" i="13"/>
  <c r="CN594" i="13" s="1"/>
  <c r="CJ596" i="13" l="1"/>
  <c r="CM595" i="13"/>
  <c r="CN595" i="13" s="1"/>
  <c r="CJ597" i="13" l="1"/>
  <c r="CM596" i="13"/>
  <c r="CN596" i="13" s="1"/>
  <c r="CJ598" i="13" l="1"/>
  <c r="CM597" i="13"/>
  <c r="CN597" i="13" s="1"/>
  <c r="CJ599" i="13" l="1"/>
  <c r="CM598" i="13"/>
  <c r="CN598" i="13" s="1"/>
  <c r="CO598" i="13" s="1"/>
  <c r="CJ600" i="13" l="1"/>
  <c r="CM599" i="13"/>
  <c r="CN599" i="13" s="1"/>
  <c r="CO599" i="13" s="1"/>
  <c r="CJ601" i="13" l="1"/>
  <c r="CM600" i="13"/>
  <c r="CN600" i="13" s="1"/>
  <c r="CJ602" i="13" l="1"/>
  <c r="CM601" i="13"/>
  <c r="CN601" i="13" s="1"/>
  <c r="CJ603" i="13" l="1"/>
  <c r="CM602" i="13"/>
  <c r="CN602" i="13" s="1"/>
  <c r="CJ604" i="13" l="1"/>
  <c r="CM603" i="13"/>
  <c r="CN603" i="13" s="1"/>
  <c r="CJ605" i="13" l="1"/>
  <c r="CM604" i="13"/>
  <c r="CN604" i="13" s="1"/>
  <c r="CJ606" i="13" l="1"/>
  <c r="CM605" i="13"/>
  <c r="CN605" i="13" s="1"/>
  <c r="CJ607" i="13" l="1"/>
  <c r="CM606" i="13"/>
  <c r="CN606" i="13" s="1"/>
  <c r="CJ608" i="13" l="1"/>
  <c r="CM607" i="13"/>
  <c r="CN607" i="13" s="1"/>
  <c r="CJ609" i="13" l="1"/>
  <c r="CM608" i="13"/>
  <c r="CN608" i="13" s="1"/>
  <c r="CJ610" i="13" l="1"/>
  <c r="CM609" i="13"/>
  <c r="CN609" i="13" s="1"/>
  <c r="CJ611" i="13" l="1"/>
  <c r="CM610" i="13"/>
  <c r="CN610" i="13" s="1"/>
  <c r="CJ612" i="13" l="1"/>
  <c r="CM611" i="13"/>
  <c r="CN611" i="13" s="1"/>
  <c r="CJ613" i="13" l="1"/>
  <c r="CM612" i="13"/>
  <c r="CN612" i="13" s="1"/>
  <c r="CJ614" i="13" l="1"/>
  <c r="CM613" i="13"/>
  <c r="CN613" i="13" s="1"/>
  <c r="CJ615" i="13" l="1"/>
  <c r="CM614" i="13"/>
  <c r="CN614" i="13" s="1"/>
  <c r="CJ616" i="13" l="1"/>
  <c r="CM615" i="13"/>
  <c r="CN615" i="13" s="1"/>
  <c r="CJ617" i="13" l="1"/>
  <c r="CM616" i="13"/>
  <c r="CN616" i="13" s="1"/>
  <c r="CJ618" i="13" l="1"/>
  <c r="CM617" i="13"/>
  <c r="CN617" i="13" s="1"/>
  <c r="CJ619" i="13" l="1"/>
  <c r="CM618" i="13"/>
  <c r="CN618" i="13" s="1"/>
  <c r="CJ620" i="13" l="1"/>
  <c r="CM619" i="13"/>
  <c r="CN619" i="13" s="1"/>
  <c r="CJ621" i="13" l="1"/>
  <c r="CM620" i="13"/>
  <c r="CN620" i="13" s="1"/>
  <c r="CJ622" i="13" l="1"/>
  <c r="CM621" i="13"/>
  <c r="CN621" i="13" s="1"/>
  <c r="CJ623" i="13" l="1"/>
  <c r="CM622" i="13"/>
  <c r="CN622" i="13" s="1"/>
  <c r="CJ624" i="13" l="1"/>
  <c r="CM623" i="13"/>
  <c r="CN623" i="13" s="1"/>
  <c r="CJ625" i="13" l="1"/>
  <c r="CM624" i="13"/>
  <c r="CN624" i="13" s="1"/>
  <c r="CJ626" i="13" l="1"/>
  <c r="CM625" i="13"/>
  <c r="CN625" i="13" s="1"/>
  <c r="CJ627" i="13" l="1"/>
  <c r="CM626" i="13"/>
  <c r="CN626" i="13" s="1"/>
  <c r="CJ628" i="13" l="1"/>
  <c r="CM627" i="13"/>
  <c r="CN627" i="13" s="1"/>
  <c r="CJ629" i="13" l="1"/>
  <c r="CM628" i="13"/>
  <c r="CN628" i="13" s="1"/>
  <c r="CJ630" i="13" l="1"/>
  <c r="CM629" i="13"/>
  <c r="CN629" i="13" s="1"/>
  <c r="CJ631" i="13" l="1"/>
  <c r="CM630" i="13"/>
  <c r="CN630" i="13" s="1"/>
  <c r="CJ632" i="13" l="1"/>
  <c r="CM631" i="13"/>
  <c r="CN631" i="13" s="1"/>
  <c r="CJ633" i="13" l="1"/>
  <c r="CM632" i="13"/>
  <c r="CN632" i="13" s="1"/>
  <c r="CJ634" i="13" l="1"/>
  <c r="CM633" i="13"/>
  <c r="CN633" i="13" s="1"/>
  <c r="CJ635" i="13" l="1"/>
  <c r="CM634" i="13"/>
  <c r="CN634" i="13" s="1"/>
  <c r="CJ636" i="13" l="1"/>
  <c r="CM635" i="13"/>
  <c r="CN635" i="13" s="1"/>
  <c r="CJ637" i="13" l="1"/>
  <c r="CM636" i="13"/>
  <c r="CN636" i="13" s="1"/>
  <c r="CJ638" i="13" l="1"/>
  <c r="CM637" i="13"/>
  <c r="CN637" i="13" s="1"/>
  <c r="CJ639" i="13" l="1"/>
  <c r="CM638" i="13"/>
  <c r="CN638" i="13" s="1"/>
  <c r="CJ640" i="13" l="1"/>
  <c r="CM639" i="13"/>
  <c r="CN639" i="13" s="1"/>
  <c r="CJ641" i="13" l="1"/>
  <c r="CM640" i="13"/>
  <c r="CN640" i="13" s="1"/>
  <c r="CO640" i="13" s="1"/>
  <c r="CJ642" i="13" l="1"/>
  <c r="CM641" i="13"/>
  <c r="CN641" i="13" s="1"/>
  <c r="CJ643" i="13" l="1"/>
  <c r="CM642" i="13"/>
  <c r="CN642" i="13" s="1"/>
  <c r="CJ644" i="13" l="1"/>
  <c r="CM643" i="13"/>
  <c r="CN643" i="13" s="1"/>
  <c r="CJ645" i="13" l="1"/>
  <c r="CM644" i="13"/>
  <c r="CN644" i="13" s="1"/>
  <c r="CJ646" i="13" l="1"/>
  <c r="CM645" i="13"/>
  <c r="CN645" i="13" s="1"/>
  <c r="CJ647" i="13" l="1"/>
  <c r="CM646" i="13"/>
  <c r="CN646" i="13" s="1"/>
  <c r="CJ648" i="13" l="1"/>
  <c r="CM647" i="13"/>
  <c r="CN647" i="13" s="1"/>
  <c r="CJ649" i="13" l="1"/>
  <c r="CM648" i="13"/>
  <c r="CN648" i="13" s="1"/>
  <c r="CJ650" i="13" l="1"/>
  <c r="CM649" i="13"/>
  <c r="CN649" i="13" s="1"/>
  <c r="CJ651" i="13" l="1"/>
  <c r="CM650" i="13"/>
  <c r="CN650" i="13" s="1"/>
  <c r="CJ652" i="13" l="1"/>
  <c r="CM651" i="13"/>
  <c r="CN651" i="13" s="1"/>
  <c r="CJ653" i="13" l="1"/>
  <c r="CM652" i="13"/>
  <c r="CN652" i="13" s="1"/>
  <c r="CJ654" i="13" l="1"/>
  <c r="CM653" i="13"/>
  <c r="CN653" i="13" s="1"/>
  <c r="CJ655" i="13" l="1"/>
  <c r="CM654" i="13"/>
  <c r="CN654" i="13" s="1"/>
  <c r="CJ656" i="13" l="1"/>
  <c r="CM655" i="13"/>
  <c r="CN655" i="13" s="1"/>
  <c r="CJ657" i="13" l="1"/>
  <c r="CM656" i="13"/>
  <c r="CN656" i="13" s="1"/>
  <c r="CJ658" i="13" l="1"/>
  <c r="CM657" i="13"/>
  <c r="CN657" i="13" s="1"/>
  <c r="CJ659" i="13" l="1"/>
  <c r="CM658" i="13"/>
  <c r="CN658" i="13" s="1"/>
  <c r="CJ660" i="13" l="1"/>
  <c r="CM659" i="13"/>
  <c r="CN659" i="13" s="1"/>
  <c r="CJ661" i="13" l="1"/>
  <c r="CM660" i="13"/>
  <c r="CN660" i="13" s="1"/>
  <c r="CJ662" i="13" l="1"/>
  <c r="CM661" i="13"/>
  <c r="CN661" i="13" s="1"/>
  <c r="CJ663" i="13" l="1"/>
  <c r="CM662" i="13"/>
  <c r="CN662" i="13" s="1"/>
  <c r="CJ664" i="13" l="1"/>
  <c r="CM663" i="13"/>
  <c r="CN663" i="13" s="1"/>
  <c r="CJ665" i="13" l="1"/>
  <c r="CM664" i="13"/>
  <c r="CN664" i="13" s="1"/>
  <c r="CJ666" i="13" l="1"/>
  <c r="CM665" i="13"/>
  <c r="CN665" i="13" s="1"/>
  <c r="CJ667" i="13" l="1"/>
  <c r="CM666" i="13"/>
  <c r="CN666" i="13" s="1"/>
  <c r="CJ668" i="13" l="1"/>
  <c r="CM667" i="13"/>
  <c r="CN667" i="13" s="1"/>
  <c r="CJ669" i="13" l="1"/>
  <c r="CM668" i="13"/>
  <c r="CN668" i="13" s="1"/>
  <c r="CJ670" i="13" l="1"/>
  <c r="CM669" i="13"/>
  <c r="CN669" i="13" s="1"/>
  <c r="CJ671" i="13" l="1"/>
  <c r="CM670" i="13"/>
  <c r="CN670" i="13" s="1"/>
  <c r="CJ672" i="13" l="1"/>
  <c r="CM671" i="13"/>
  <c r="CN671" i="13" s="1"/>
  <c r="CJ673" i="13" l="1"/>
  <c r="CM672" i="13"/>
  <c r="CN672" i="13" s="1"/>
  <c r="CJ674" i="13" l="1"/>
  <c r="CM673" i="13"/>
  <c r="CN673" i="13" s="1"/>
  <c r="CJ675" i="13" l="1"/>
  <c r="CM674" i="13"/>
  <c r="CN674" i="13" s="1"/>
  <c r="CJ676" i="13" l="1"/>
  <c r="CM675" i="13"/>
  <c r="CN675" i="13" s="1"/>
  <c r="CJ677" i="13" l="1"/>
  <c r="CM676" i="13"/>
  <c r="CN676" i="13" s="1"/>
  <c r="CJ678" i="13" l="1"/>
  <c r="CM677" i="13"/>
  <c r="CN677" i="13" s="1"/>
  <c r="CJ679" i="13" l="1"/>
  <c r="CM678" i="13"/>
  <c r="CN678" i="13" s="1"/>
  <c r="CJ680" i="13" l="1"/>
  <c r="CM679" i="13"/>
  <c r="CN679" i="13" s="1"/>
  <c r="CJ681" i="13" l="1"/>
  <c r="CM680" i="13"/>
  <c r="CN680" i="13" s="1"/>
  <c r="CJ682" i="13" l="1"/>
  <c r="CM681" i="13"/>
  <c r="CN681" i="13" s="1"/>
  <c r="CJ683" i="13" l="1"/>
  <c r="CM682" i="13"/>
  <c r="CN682" i="13" s="1"/>
  <c r="CO682" i="13" s="1"/>
  <c r="CJ684" i="13" l="1"/>
  <c r="CM683" i="13"/>
  <c r="CN683" i="13" s="1"/>
  <c r="CJ685" i="13" l="1"/>
  <c r="CM684" i="13"/>
  <c r="CN684" i="13" s="1"/>
  <c r="CJ686" i="13" l="1"/>
  <c r="CM685" i="13"/>
  <c r="CN685" i="13" s="1"/>
  <c r="CJ687" i="13" l="1"/>
  <c r="CM686" i="13"/>
  <c r="CN686" i="13" s="1"/>
  <c r="CJ688" i="13" l="1"/>
  <c r="CM687" i="13"/>
  <c r="CN687" i="13" s="1"/>
  <c r="CJ689" i="13" l="1"/>
  <c r="CM688" i="13"/>
  <c r="CN688" i="13" s="1"/>
  <c r="CJ690" i="13" l="1"/>
  <c r="CM689" i="13"/>
  <c r="CN689" i="13" s="1"/>
  <c r="CJ691" i="13" l="1"/>
  <c r="CM690" i="13"/>
  <c r="CN690" i="13" s="1"/>
  <c r="CJ692" i="13" l="1"/>
  <c r="CM691" i="13"/>
  <c r="CN691" i="13" s="1"/>
  <c r="CJ693" i="13" l="1"/>
  <c r="CM692" i="13"/>
  <c r="CN692" i="13" s="1"/>
  <c r="CJ694" i="13" l="1"/>
  <c r="CM693" i="13"/>
  <c r="CN693" i="13" s="1"/>
  <c r="CJ695" i="13" l="1"/>
  <c r="CM694" i="13"/>
  <c r="CN694" i="13" s="1"/>
  <c r="CJ696" i="13" l="1"/>
  <c r="CM695" i="13"/>
  <c r="CN695" i="13" s="1"/>
  <c r="CM696" i="13" l="1"/>
  <c r="CN696" i="13" s="1"/>
  <c r="CJ697" i="13"/>
  <c r="CM697" i="13" l="1"/>
  <c r="CN697" i="13" s="1"/>
  <c r="CJ698" i="13"/>
  <c r="CM698" i="13" l="1"/>
  <c r="CN698" i="13" s="1"/>
  <c r="CJ699" i="13"/>
  <c r="CJ700" i="13" l="1"/>
  <c r="CM699" i="13"/>
  <c r="CN699" i="13" s="1"/>
  <c r="CO699" i="13" s="1"/>
  <c r="CM700" i="13" l="1"/>
  <c r="CN700" i="13" s="1"/>
  <c r="CJ701" i="13"/>
  <c r="CJ702" i="13" l="1"/>
  <c r="CM701" i="13"/>
  <c r="CN701" i="13" s="1"/>
  <c r="CJ703" i="13" l="1"/>
  <c r="CM702" i="13"/>
  <c r="CN702" i="13" s="1"/>
  <c r="CJ704" i="13" l="1"/>
  <c r="CM703" i="13"/>
  <c r="CN703" i="13" s="1"/>
  <c r="CJ705" i="13" l="1"/>
  <c r="CM704" i="13"/>
  <c r="CN704" i="13" s="1"/>
  <c r="CJ706" i="13" l="1"/>
  <c r="CM705" i="13"/>
  <c r="CN705" i="13" s="1"/>
  <c r="CJ707" i="13" l="1"/>
  <c r="CM706" i="13"/>
  <c r="CN706" i="13" s="1"/>
  <c r="CJ708" i="13" l="1"/>
  <c r="CM707" i="13"/>
  <c r="CN707" i="13" s="1"/>
  <c r="CJ709" i="13" l="1"/>
  <c r="CM708" i="13"/>
  <c r="CN708" i="13" s="1"/>
  <c r="CJ710" i="13" l="1"/>
  <c r="CM709" i="13"/>
  <c r="CN709" i="13" s="1"/>
  <c r="CJ711" i="13" l="1"/>
  <c r="CM710" i="13"/>
  <c r="CN710" i="13" s="1"/>
  <c r="CJ712" i="13" l="1"/>
  <c r="CM711" i="13"/>
  <c r="CN711" i="13" s="1"/>
  <c r="CJ713" i="13" l="1"/>
  <c r="CM712" i="13"/>
  <c r="CN712" i="13" s="1"/>
  <c r="CJ714" i="13" l="1"/>
  <c r="CM713" i="13"/>
  <c r="CN713" i="13" s="1"/>
  <c r="CJ715" i="13" l="1"/>
  <c r="CM714" i="13"/>
  <c r="CN714" i="13" s="1"/>
  <c r="CJ716" i="13" l="1"/>
  <c r="CM715" i="13"/>
  <c r="CN715" i="13" s="1"/>
  <c r="CJ717" i="13" l="1"/>
  <c r="CM716" i="13"/>
  <c r="CN716" i="13" s="1"/>
  <c r="CJ718" i="13" l="1"/>
  <c r="CM717" i="13"/>
  <c r="CN717" i="13" s="1"/>
  <c r="CJ719" i="13" l="1"/>
  <c r="CM718" i="13"/>
  <c r="CN718" i="13" s="1"/>
  <c r="CJ720" i="13" l="1"/>
  <c r="CM719" i="13"/>
  <c r="CN719" i="13" s="1"/>
  <c r="CJ721" i="13" l="1"/>
  <c r="CM720" i="13"/>
  <c r="CN720" i="13" s="1"/>
  <c r="CJ722" i="13" l="1"/>
  <c r="CM721" i="13"/>
  <c r="CN721" i="13" s="1"/>
  <c r="CJ723" i="13" l="1"/>
  <c r="CM722" i="13"/>
  <c r="CN722" i="13" s="1"/>
  <c r="CJ724" i="13" l="1"/>
  <c r="CM723" i="13"/>
  <c r="CN723" i="13" s="1"/>
  <c r="CJ725" i="13" l="1"/>
  <c r="CM724" i="13"/>
  <c r="CN724" i="13" s="1"/>
  <c r="CO724" i="13" s="1"/>
  <c r="CJ726" i="13" l="1"/>
  <c r="CM725" i="13"/>
  <c r="CN725" i="13" s="1"/>
  <c r="CJ727" i="13" l="1"/>
  <c r="CM726" i="13"/>
  <c r="CN726" i="13" s="1"/>
  <c r="CJ728" i="13" l="1"/>
  <c r="CM727" i="13"/>
  <c r="CN727" i="13" s="1"/>
  <c r="CJ729" i="13" l="1"/>
  <c r="CM728" i="13"/>
  <c r="CN728" i="13" s="1"/>
  <c r="CJ730" i="13" l="1"/>
  <c r="CM729" i="13"/>
  <c r="CN729" i="13" s="1"/>
  <c r="CJ731" i="13" l="1"/>
  <c r="CM730" i="13"/>
  <c r="CN730" i="13" s="1"/>
  <c r="CJ732" i="13" l="1"/>
  <c r="CM731" i="13"/>
  <c r="CN731" i="13" s="1"/>
  <c r="CJ733" i="13" l="1"/>
  <c r="CM732" i="13"/>
  <c r="CN732" i="13" s="1"/>
  <c r="CJ734" i="13" l="1"/>
  <c r="CM733" i="13"/>
  <c r="CN733" i="13" s="1"/>
  <c r="CJ735" i="13" l="1"/>
  <c r="CM734" i="13"/>
  <c r="CN734" i="13" s="1"/>
  <c r="CJ736" i="13" l="1"/>
  <c r="CM735" i="13"/>
  <c r="CN735" i="13" s="1"/>
  <c r="CJ737" i="13" l="1"/>
  <c r="CM736" i="13"/>
  <c r="CN736" i="13" s="1"/>
  <c r="CJ738" i="13" l="1"/>
  <c r="CM737" i="13"/>
  <c r="CN737" i="13" s="1"/>
  <c r="CJ739" i="13" l="1"/>
  <c r="CM738" i="13"/>
  <c r="CN738" i="13" s="1"/>
  <c r="CJ740" i="13" l="1"/>
  <c r="CM739" i="13"/>
  <c r="CN739" i="13" s="1"/>
  <c r="CJ741" i="13" l="1"/>
  <c r="CM740" i="13"/>
  <c r="CN740" i="13" s="1"/>
  <c r="CJ742" i="13" l="1"/>
  <c r="CM741" i="13"/>
  <c r="CN741" i="13" s="1"/>
  <c r="CJ743" i="13" l="1"/>
  <c r="CM742" i="13"/>
  <c r="CN742" i="13" s="1"/>
  <c r="CJ744" i="13" l="1"/>
  <c r="CM743" i="13"/>
  <c r="CN743" i="13" s="1"/>
  <c r="CJ745" i="13" l="1"/>
  <c r="CM744" i="13"/>
  <c r="CN744" i="13" s="1"/>
  <c r="CJ746" i="13" l="1"/>
  <c r="CM745" i="13"/>
  <c r="CN745" i="13" s="1"/>
  <c r="CJ747" i="13" l="1"/>
  <c r="CM746" i="13"/>
  <c r="CN746" i="13" s="1"/>
  <c r="CJ748" i="13" l="1"/>
  <c r="CM747" i="13"/>
  <c r="CN747" i="13" s="1"/>
  <c r="CJ749" i="13" l="1"/>
  <c r="CM748" i="13"/>
  <c r="CN748" i="13" s="1"/>
  <c r="CJ750" i="13" l="1"/>
  <c r="CM749" i="13"/>
  <c r="CN749" i="13" s="1"/>
  <c r="CJ751" i="13" l="1"/>
  <c r="CM750" i="13"/>
  <c r="CN750" i="13" s="1"/>
  <c r="CJ752" i="13" l="1"/>
  <c r="CM751" i="13"/>
  <c r="CN751" i="13" s="1"/>
  <c r="CJ753" i="13" l="1"/>
  <c r="CM752" i="13"/>
  <c r="CN752" i="13" s="1"/>
  <c r="CJ754" i="13" l="1"/>
  <c r="CM753" i="13"/>
  <c r="CN753" i="13" s="1"/>
  <c r="CJ755" i="13" l="1"/>
  <c r="CM754" i="13"/>
  <c r="CN754" i="13" s="1"/>
  <c r="CJ756" i="13" l="1"/>
  <c r="CM755" i="13"/>
  <c r="CN755" i="13" s="1"/>
  <c r="CJ757" i="13" l="1"/>
  <c r="CM756" i="13"/>
  <c r="CN756" i="13" s="1"/>
  <c r="CJ758" i="13" l="1"/>
  <c r="CM757" i="13"/>
  <c r="CN757" i="13" s="1"/>
  <c r="CJ759" i="13" l="1"/>
  <c r="CM758" i="13"/>
  <c r="CN758" i="13" s="1"/>
  <c r="CO758" i="13" s="1"/>
  <c r="CJ760" i="13" l="1"/>
  <c r="CM759" i="13"/>
  <c r="CN759" i="13" s="1"/>
  <c r="CJ761" i="13" l="1"/>
  <c r="CM760" i="13"/>
  <c r="CN760" i="13" s="1"/>
  <c r="CJ762" i="13" l="1"/>
  <c r="CM761" i="13"/>
  <c r="CN761" i="13" s="1"/>
  <c r="CJ763" i="13" l="1"/>
  <c r="CM762" i="13"/>
  <c r="CN762" i="13" s="1"/>
  <c r="CJ764" i="13" l="1"/>
  <c r="CM763" i="13"/>
  <c r="CN763" i="13" s="1"/>
  <c r="CJ765" i="13" l="1"/>
  <c r="CM764" i="13"/>
  <c r="CN764" i="13" s="1"/>
  <c r="CJ766" i="13" l="1"/>
  <c r="CM765" i="13"/>
  <c r="CN765" i="13" s="1"/>
  <c r="CJ767" i="13" l="1"/>
  <c r="CM766" i="13"/>
  <c r="CN766" i="13" s="1"/>
  <c r="CJ768" i="13" l="1"/>
  <c r="CM767" i="13"/>
  <c r="CN767" i="13" s="1"/>
  <c r="CJ769" i="13" l="1"/>
  <c r="CM768" i="13"/>
  <c r="CN768" i="13" s="1"/>
  <c r="CJ770" i="13" l="1"/>
  <c r="CM769" i="13"/>
  <c r="CN769" i="13" s="1"/>
  <c r="CJ771" i="13" l="1"/>
  <c r="CM770" i="13"/>
  <c r="CN770" i="13" s="1"/>
  <c r="CJ772" i="13" l="1"/>
  <c r="CM771" i="13"/>
  <c r="CN771" i="13" s="1"/>
  <c r="CJ773" i="13" l="1"/>
  <c r="CM772" i="13"/>
  <c r="CN772" i="13" s="1"/>
  <c r="CJ774" i="13" l="1"/>
  <c r="CM773" i="13"/>
  <c r="CN773" i="13" s="1"/>
  <c r="CM774" i="13" l="1"/>
  <c r="CN774" i="13" s="1"/>
  <c r="CJ775" i="13"/>
  <c r="CM775" i="13" l="1"/>
  <c r="CN775" i="13" s="1"/>
  <c r="CO775" i="13" s="1"/>
  <c r="CJ776" i="13"/>
  <c r="CM776" i="13" l="1"/>
  <c r="CN776" i="13" s="1"/>
  <c r="CO776" i="13" s="1"/>
  <c r="CJ777" i="13"/>
  <c r="CJ778" i="13" l="1"/>
  <c r="CM777" i="13"/>
  <c r="CN777" i="13" s="1"/>
  <c r="CJ779" i="13" l="1"/>
  <c r="CM778" i="13"/>
  <c r="CN778" i="13" s="1"/>
  <c r="CJ780" i="13" l="1"/>
  <c r="CM779" i="13"/>
  <c r="CN779" i="13" s="1"/>
  <c r="CJ781" i="13" l="1"/>
  <c r="CM780" i="13"/>
  <c r="CN780" i="13" s="1"/>
  <c r="CJ782" i="13" l="1"/>
  <c r="CM781" i="13"/>
  <c r="CN781" i="13" s="1"/>
  <c r="CJ783" i="13" l="1"/>
  <c r="CM782" i="13"/>
  <c r="CN782" i="13" s="1"/>
  <c r="CJ784" i="13" l="1"/>
  <c r="CM783" i="13"/>
  <c r="CN783" i="13" s="1"/>
  <c r="CJ785" i="13" l="1"/>
  <c r="CM784" i="13"/>
  <c r="CN784" i="13" s="1"/>
  <c r="CJ786" i="13" l="1"/>
  <c r="CM785" i="13"/>
  <c r="CN785" i="13" s="1"/>
  <c r="CJ787" i="13" l="1"/>
  <c r="CM786" i="13"/>
  <c r="CN786" i="13" s="1"/>
  <c r="CJ788" i="13" l="1"/>
  <c r="CM787" i="13"/>
  <c r="CN787" i="13" s="1"/>
  <c r="CJ789" i="13" l="1"/>
  <c r="CM788" i="13"/>
  <c r="CN788" i="13" s="1"/>
  <c r="CJ790" i="13" l="1"/>
  <c r="CM789" i="13"/>
  <c r="CN789" i="13" s="1"/>
  <c r="CJ791" i="13" l="1"/>
  <c r="CM790" i="13"/>
  <c r="CN790" i="13" s="1"/>
  <c r="CM791" i="13" l="1"/>
  <c r="CN791" i="13" s="1"/>
  <c r="CJ792" i="13"/>
  <c r="CM792" i="13" l="1"/>
  <c r="CN792" i="13" s="1"/>
  <c r="CJ793" i="13"/>
  <c r="CM793" i="13" l="1"/>
  <c r="CN793" i="13" s="1"/>
  <c r="CJ794" i="13"/>
  <c r="CM794" i="13" l="1"/>
  <c r="CN794" i="13" s="1"/>
  <c r="CJ795" i="13"/>
  <c r="CM795" i="13" l="1"/>
  <c r="CN795" i="13" s="1"/>
  <c r="CJ796" i="13"/>
  <c r="CM796" i="13" l="1"/>
  <c r="CN796" i="13" s="1"/>
  <c r="CJ797" i="13"/>
  <c r="CM797" i="13" l="1"/>
  <c r="CN797" i="13" s="1"/>
  <c r="CJ798" i="13"/>
  <c r="CM798" i="13" l="1"/>
  <c r="CN798" i="13" s="1"/>
  <c r="CJ799" i="13"/>
  <c r="CM799" i="13" l="1"/>
  <c r="CN799" i="13" s="1"/>
  <c r="CJ800" i="13"/>
  <c r="CM800" i="13" l="1"/>
  <c r="CN800" i="13" s="1"/>
  <c r="CJ801" i="13"/>
  <c r="CM801" i="13" l="1"/>
  <c r="CN801" i="13" s="1"/>
  <c r="CO801" i="13" s="1"/>
  <c r="CJ802" i="13"/>
  <c r="CM802" i="13" l="1"/>
  <c r="CN802" i="13" s="1"/>
  <c r="CJ803" i="13"/>
  <c r="CJ804" i="13" l="1"/>
  <c r="CM803" i="13"/>
  <c r="CN803" i="13" s="1"/>
  <c r="CJ805" i="13" l="1"/>
  <c r="CM804" i="13"/>
  <c r="CN804" i="13" s="1"/>
  <c r="CJ806" i="13" l="1"/>
  <c r="CM805" i="13"/>
  <c r="CN805" i="13" s="1"/>
  <c r="CJ807" i="13" l="1"/>
  <c r="CM806" i="13"/>
  <c r="CN806" i="13" s="1"/>
  <c r="CO806" i="13" s="1"/>
  <c r="CJ808" i="13" l="1"/>
  <c r="CM807" i="13"/>
  <c r="CN807" i="13" s="1"/>
  <c r="CJ809" i="13" l="1"/>
  <c r="CM808" i="13"/>
  <c r="CN808" i="13" s="1"/>
  <c r="CJ810" i="13" l="1"/>
  <c r="CM809" i="13"/>
  <c r="CN809" i="13" s="1"/>
  <c r="CJ811" i="13" l="1"/>
  <c r="CM810" i="13"/>
  <c r="CN810" i="13" s="1"/>
  <c r="CJ812" i="13" l="1"/>
  <c r="CM811" i="13"/>
  <c r="CN811" i="13" s="1"/>
  <c r="CJ813" i="13" l="1"/>
  <c r="CM812" i="13"/>
  <c r="CN812" i="13" s="1"/>
  <c r="CJ814" i="13" l="1"/>
  <c r="CM813" i="13"/>
  <c r="CN813" i="13" s="1"/>
  <c r="CJ815" i="13" l="1"/>
  <c r="CM814" i="13"/>
  <c r="CN814" i="13" s="1"/>
  <c r="CJ816" i="13" l="1"/>
  <c r="CM815" i="13"/>
  <c r="CN815" i="13" s="1"/>
  <c r="CJ817" i="13" l="1"/>
  <c r="CM816" i="13"/>
  <c r="CN816" i="13" s="1"/>
  <c r="CJ818" i="13" l="1"/>
  <c r="CM817" i="13"/>
  <c r="CN817" i="13" s="1"/>
  <c r="CJ819" i="13" l="1"/>
  <c r="CM818" i="13"/>
  <c r="CN818" i="13" s="1"/>
  <c r="CJ820" i="13" l="1"/>
  <c r="CM819" i="13"/>
  <c r="CN819" i="13" s="1"/>
  <c r="CJ821" i="13" l="1"/>
  <c r="CM820" i="13"/>
  <c r="CN820" i="13" s="1"/>
  <c r="CJ822" i="13" l="1"/>
  <c r="CM821" i="13"/>
  <c r="CN821" i="13" s="1"/>
  <c r="CJ823" i="13" l="1"/>
  <c r="CM822" i="13"/>
  <c r="CN822" i="13" s="1"/>
  <c r="CJ824" i="13" l="1"/>
  <c r="CM823" i="13"/>
  <c r="CN823" i="13" s="1"/>
  <c r="CJ825" i="13" l="1"/>
  <c r="CM824" i="13"/>
  <c r="CN824" i="13" s="1"/>
  <c r="CJ826" i="13" l="1"/>
  <c r="CM825" i="13"/>
  <c r="CN825" i="13" s="1"/>
  <c r="CJ827" i="13" l="1"/>
  <c r="CM826" i="13"/>
  <c r="CN826" i="13" s="1"/>
  <c r="CJ828" i="13" l="1"/>
  <c r="CM827" i="13"/>
  <c r="CN827" i="13" s="1"/>
  <c r="CJ829" i="13" l="1"/>
  <c r="CM828" i="13"/>
  <c r="CN828" i="13" s="1"/>
  <c r="CJ830" i="13" l="1"/>
  <c r="CM829" i="13"/>
  <c r="CN829" i="13" s="1"/>
  <c r="CJ831" i="13" l="1"/>
  <c r="CM830" i="13"/>
  <c r="CN830" i="13" s="1"/>
  <c r="CJ832" i="13" l="1"/>
  <c r="CM831" i="13"/>
  <c r="CN831" i="13" s="1"/>
  <c r="CJ833" i="13" l="1"/>
  <c r="CM832" i="13"/>
  <c r="CN832" i="13" s="1"/>
  <c r="CJ834" i="13" l="1"/>
  <c r="CM833" i="13"/>
  <c r="CN833" i="13" s="1"/>
  <c r="CJ835" i="13" l="1"/>
  <c r="CM834" i="13"/>
  <c r="CN834" i="13" s="1"/>
  <c r="CJ836" i="13" l="1"/>
  <c r="CM835" i="13"/>
  <c r="CN835" i="13" s="1"/>
  <c r="CJ837" i="13" l="1"/>
  <c r="CM836" i="13"/>
  <c r="CN836" i="13" s="1"/>
  <c r="CJ838" i="13" l="1"/>
  <c r="CM837" i="13"/>
  <c r="CN837" i="13" s="1"/>
  <c r="CJ839" i="13" l="1"/>
  <c r="CM838" i="13"/>
  <c r="CN838" i="13" s="1"/>
  <c r="CJ840" i="13" l="1"/>
  <c r="CM839" i="13"/>
  <c r="CN839" i="13" s="1"/>
  <c r="CM840" i="13" l="1"/>
  <c r="CN840" i="13" s="1"/>
  <c r="CJ841" i="13"/>
  <c r="CM841" i="13" l="1"/>
  <c r="CN841" i="13" s="1"/>
  <c r="CJ842" i="13"/>
  <c r="CM842" i="13" l="1"/>
  <c r="CN842" i="13" s="1"/>
  <c r="CJ843" i="13"/>
  <c r="CJ844" i="13" l="1"/>
  <c r="CM843" i="13"/>
  <c r="CN843" i="13" s="1"/>
  <c r="CM844" i="13" l="1"/>
  <c r="CN844" i="13" s="1"/>
  <c r="CJ845" i="13"/>
  <c r="CM845" i="13" l="1"/>
  <c r="CN845" i="13" s="1"/>
  <c r="CJ846" i="13"/>
  <c r="CM846" i="13" l="1"/>
  <c r="CN846" i="13" s="1"/>
  <c r="CJ847" i="13"/>
  <c r="CJ848" i="13" l="1"/>
  <c r="CM847" i="13"/>
  <c r="CN847" i="13" s="1"/>
  <c r="CM848" i="13" l="1"/>
  <c r="CN848" i="13" s="1"/>
  <c r="CJ849" i="13"/>
  <c r="CJ850" i="13" l="1"/>
  <c r="CM849" i="13"/>
  <c r="CN849" i="13" s="1"/>
  <c r="CJ851" i="13" l="1"/>
  <c r="CM850" i="13"/>
  <c r="CN850" i="13" s="1"/>
  <c r="CM851" i="13" l="1"/>
  <c r="CN851" i="13" s="1"/>
  <c r="CJ852" i="13"/>
  <c r="CM852" i="13" l="1"/>
  <c r="CN852" i="13" s="1"/>
  <c r="CJ853" i="13"/>
  <c r="CM853" i="13" l="1"/>
  <c r="CN853" i="13" s="1"/>
  <c r="CJ854" i="13"/>
  <c r="CJ855" i="13" l="1"/>
  <c r="CM854" i="13"/>
  <c r="CN854" i="13" s="1"/>
  <c r="CM855" i="13" l="1"/>
  <c r="CN855" i="13" s="1"/>
  <c r="CO855" i="13" s="1"/>
  <c r="CJ856" i="13"/>
  <c r="CM856" i="13" l="1"/>
  <c r="CN856" i="13" s="1"/>
  <c r="CO856" i="13" s="1"/>
  <c r="CJ857" i="13"/>
  <c r="CM857" i="13" l="1"/>
  <c r="CN857" i="13" s="1"/>
  <c r="CJ858" i="13"/>
  <c r="CJ859" i="13" l="1"/>
  <c r="CM858" i="13"/>
  <c r="CN858" i="13" s="1"/>
  <c r="CJ860" i="13" l="1"/>
  <c r="CM859" i="13"/>
  <c r="CN859" i="13" s="1"/>
  <c r="CJ861" i="13" l="1"/>
  <c r="CM860" i="13"/>
  <c r="CN860" i="13" s="1"/>
  <c r="CJ862" i="13" l="1"/>
  <c r="CM861" i="13"/>
  <c r="CN861" i="13" s="1"/>
  <c r="CJ863" i="13" l="1"/>
  <c r="CM862" i="13"/>
  <c r="CN862" i="13" s="1"/>
  <c r="CJ864" i="13" l="1"/>
  <c r="CM863" i="13"/>
  <c r="CN863" i="13" s="1"/>
  <c r="CJ865" i="13" l="1"/>
  <c r="CM864" i="13"/>
  <c r="CN864" i="13" s="1"/>
  <c r="CJ866" i="13" l="1"/>
  <c r="CM865" i="13"/>
  <c r="CN865" i="13" s="1"/>
  <c r="CJ867" i="13" l="1"/>
  <c r="CM866" i="13"/>
  <c r="CN866" i="13" s="1"/>
  <c r="CJ868" i="13" l="1"/>
  <c r="CM867" i="13"/>
  <c r="CN867" i="13" s="1"/>
  <c r="CJ869" i="13" l="1"/>
  <c r="CM868" i="13"/>
  <c r="CN868" i="13" s="1"/>
  <c r="CJ870" i="13" l="1"/>
  <c r="CM869" i="13"/>
  <c r="CN869" i="13" s="1"/>
  <c r="CJ871" i="13" l="1"/>
  <c r="CM870" i="13"/>
  <c r="CN870" i="13" s="1"/>
  <c r="CJ872" i="13" l="1"/>
  <c r="CM871" i="13"/>
  <c r="CN871" i="13" s="1"/>
  <c r="CJ873" i="13" l="1"/>
  <c r="CM872" i="13"/>
  <c r="CN872" i="13" s="1"/>
  <c r="CJ874" i="13" l="1"/>
  <c r="CM873" i="13"/>
  <c r="CN873" i="13" s="1"/>
  <c r="CJ875" i="13" l="1"/>
  <c r="CM874" i="13"/>
  <c r="CN874" i="13" s="1"/>
  <c r="CJ876" i="13" l="1"/>
  <c r="CM875" i="13"/>
  <c r="CN875" i="13" s="1"/>
  <c r="CJ877" i="13" l="1"/>
  <c r="CM876" i="13"/>
  <c r="CN876" i="13" s="1"/>
  <c r="CJ878" i="13" l="1"/>
  <c r="CM877" i="13"/>
  <c r="CN877" i="13" s="1"/>
  <c r="CJ879" i="13" l="1"/>
  <c r="CM878" i="13"/>
  <c r="CN878" i="13" s="1"/>
  <c r="CJ880" i="13" l="1"/>
  <c r="CM879" i="13"/>
  <c r="CN879" i="13" s="1"/>
  <c r="CJ881" i="13" l="1"/>
  <c r="CM880" i="13"/>
  <c r="CN880" i="13" s="1"/>
  <c r="CJ882" i="13" l="1"/>
  <c r="CM881" i="13"/>
  <c r="CN881" i="13" s="1"/>
  <c r="CJ883" i="13" l="1"/>
  <c r="CM882" i="13"/>
  <c r="CN882" i="13" s="1"/>
  <c r="CM883" i="13" l="1"/>
  <c r="CN883" i="13" s="1"/>
  <c r="CJ884" i="13"/>
  <c r="CJ885" i="13" l="1"/>
  <c r="CM884" i="13"/>
  <c r="CN884" i="13" s="1"/>
  <c r="CJ886" i="13" l="1"/>
  <c r="CM885" i="13"/>
  <c r="CN885" i="13" s="1"/>
  <c r="CJ887" i="13" l="1"/>
  <c r="CM886" i="13"/>
  <c r="CN886" i="13" s="1"/>
  <c r="CM887" i="13" l="1"/>
  <c r="CN887" i="13" s="1"/>
  <c r="CJ888" i="13"/>
  <c r="CM888" i="13" l="1"/>
  <c r="CN888" i="13" s="1"/>
  <c r="CJ889" i="13"/>
  <c r="CM889" i="13" l="1"/>
  <c r="CN889" i="13" s="1"/>
  <c r="CJ890" i="13"/>
  <c r="CM890" i="13" l="1"/>
  <c r="CN890" i="13" s="1"/>
  <c r="CJ891" i="13"/>
  <c r="CM891" i="13" l="1"/>
  <c r="CN891" i="13" s="1"/>
  <c r="CJ892" i="13"/>
  <c r="CM892" i="13" l="1"/>
  <c r="CN892" i="13" s="1"/>
  <c r="CJ893" i="13"/>
  <c r="CJ894" i="13" l="1"/>
  <c r="CM893" i="13"/>
  <c r="CN893" i="13" s="1"/>
  <c r="CJ895" i="13" l="1"/>
  <c r="CM894" i="13"/>
  <c r="CN894" i="13" s="1"/>
  <c r="CJ896" i="13" l="1"/>
  <c r="CM895" i="13"/>
  <c r="CN895" i="13" s="1"/>
  <c r="CM896" i="13" l="1"/>
  <c r="CN896" i="13" s="1"/>
  <c r="CJ897" i="13"/>
  <c r="CJ898" i="13" l="1"/>
  <c r="CM897" i="13"/>
  <c r="CN897" i="13" s="1"/>
  <c r="CJ899" i="13" l="1"/>
  <c r="CM898" i="13"/>
  <c r="CN898" i="13" s="1"/>
  <c r="CM899" i="13" l="1"/>
  <c r="CN899" i="13" s="1"/>
  <c r="CJ900" i="13"/>
  <c r="CM900" i="13" l="1"/>
  <c r="CN900" i="13" s="1"/>
  <c r="CJ901" i="13"/>
  <c r="CM901" i="13" l="1"/>
  <c r="CN901" i="13" s="1"/>
  <c r="CO901" i="13" s="1"/>
  <c r="CJ902" i="13"/>
  <c r="CM902" i="13" l="1"/>
  <c r="CN902" i="13" s="1"/>
  <c r="CO902" i="13" s="1"/>
  <c r="CJ903" i="13"/>
  <c r="CM903" i="13" l="1"/>
  <c r="CN903" i="13" s="1"/>
  <c r="CJ904" i="13"/>
  <c r="CJ905" i="13" l="1"/>
  <c r="CM904" i="13"/>
  <c r="CN904" i="13" s="1"/>
  <c r="CJ906" i="13" l="1"/>
  <c r="CM905" i="13"/>
  <c r="CN905" i="13" s="1"/>
  <c r="CJ907" i="13" l="1"/>
  <c r="CM906" i="13"/>
  <c r="CN906" i="13" s="1"/>
  <c r="CJ908" i="13" l="1"/>
  <c r="CM907" i="13"/>
  <c r="CN907" i="13" s="1"/>
  <c r="CJ909" i="13" l="1"/>
  <c r="CM908" i="13"/>
  <c r="CN908" i="13" s="1"/>
  <c r="CJ910" i="13" l="1"/>
  <c r="CM909" i="13"/>
  <c r="CN909" i="13" s="1"/>
  <c r="CO909" i="13" s="1"/>
  <c r="CJ911" i="13" l="1"/>
  <c r="CM910" i="13"/>
  <c r="CN910" i="13" s="1"/>
  <c r="CJ912" i="13" l="1"/>
  <c r="CM911" i="13"/>
  <c r="CN911" i="13" s="1"/>
  <c r="CJ913" i="13" l="1"/>
  <c r="CM912" i="13"/>
  <c r="CN912" i="13" s="1"/>
  <c r="CJ914" i="13" l="1"/>
  <c r="CM913" i="13"/>
  <c r="CN913" i="13" s="1"/>
  <c r="CJ915" i="13" l="1"/>
  <c r="CM914" i="13"/>
  <c r="CN914" i="13" s="1"/>
  <c r="CJ916" i="13" l="1"/>
  <c r="CM915" i="13"/>
  <c r="CN915" i="13" s="1"/>
  <c r="CJ917" i="13" l="1"/>
  <c r="CM916" i="13"/>
  <c r="CN916" i="13" s="1"/>
  <c r="CJ918" i="13" l="1"/>
  <c r="CM917" i="13"/>
  <c r="CN917" i="13" s="1"/>
  <c r="CJ919" i="13" l="1"/>
  <c r="CM918" i="13"/>
  <c r="CN918" i="13" s="1"/>
  <c r="CJ920" i="13" l="1"/>
  <c r="CM919" i="13"/>
  <c r="CN919" i="13" s="1"/>
  <c r="CJ921" i="13" l="1"/>
  <c r="CM920" i="13"/>
  <c r="CN920" i="13" s="1"/>
  <c r="CJ922" i="13" l="1"/>
  <c r="CM921" i="13"/>
  <c r="CN921" i="13" s="1"/>
  <c r="CJ923" i="13" l="1"/>
  <c r="CM922" i="13"/>
  <c r="CN922" i="13" s="1"/>
  <c r="CJ924" i="13" l="1"/>
  <c r="CM923" i="13"/>
  <c r="CN923" i="13" s="1"/>
  <c r="CJ925" i="13" l="1"/>
  <c r="CM924" i="13"/>
  <c r="CN924" i="13" s="1"/>
  <c r="CJ926" i="13" l="1"/>
  <c r="CM925" i="13"/>
  <c r="CN925" i="13" s="1"/>
  <c r="CJ927" i="13" l="1"/>
  <c r="CM926" i="13"/>
  <c r="CN926" i="13" s="1"/>
  <c r="CJ928" i="13" l="1"/>
  <c r="CM927" i="13"/>
  <c r="CN927" i="13" s="1"/>
  <c r="CJ929" i="13" l="1"/>
  <c r="CM928" i="13"/>
  <c r="CN928" i="13" s="1"/>
  <c r="CJ930" i="13" l="1"/>
  <c r="CM929" i="13"/>
  <c r="CN929" i="13" s="1"/>
  <c r="CJ931" i="13" l="1"/>
  <c r="CM930" i="13"/>
  <c r="CN930" i="13" s="1"/>
  <c r="CJ932" i="13" l="1"/>
  <c r="CM931" i="13"/>
  <c r="CN931" i="13" s="1"/>
  <c r="CJ933" i="13" l="1"/>
  <c r="CM932" i="13"/>
  <c r="CN932" i="13" s="1"/>
  <c r="CJ934" i="13" l="1"/>
  <c r="CM933" i="13"/>
  <c r="CN933" i="13" s="1"/>
  <c r="CJ935" i="13" l="1"/>
  <c r="CM934" i="13"/>
  <c r="CN934" i="13" s="1"/>
  <c r="CJ936" i="13" l="1"/>
  <c r="CM935" i="13"/>
  <c r="CN935" i="13" s="1"/>
  <c r="CJ937" i="13" l="1"/>
  <c r="CM936" i="13"/>
  <c r="CN936" i="13" s="1"/>
  <c r="CJ938" i="13" l="1"/>
  <c r="CM937" i="13"/>
  <c r="CN937" i="13" s="1"/>
  <c r="CJ939" i="13" l="1"/>
  <c r="CM938" i="13"/>
  <c r="CN938" i="13" s="1"/>
  <c r="CJ940" i="13" l="1"/>
  <c r="CM939" i="13"/>
  <c r="CN939" i="13" s="1"/>
  <c r="CJ941" i="13" l="1"/>
  <c r="CM940" i="13"/>
  <c r="CN940" i="13" s="1"/>
  <c r="CJ942" i="13" l="1"/>
  <c r="CM941" i="13"/>
  <c r="CN941" i="13" s="1"/>
  <c r="CJ943" i="13" l="1"/>
  <c r="CM942" i="13"/>
  <c r="CN942" i="13" s="1"/>
  <c r="CJ944" i="13" l="1"/>
  <c r="CM943" i="13"/>
  <c r="CN943" i="13" s="1"/>
  <c r="CJ945" i="13" l="1"/>
  <c r="CM944" i="13"/>
  <c r="CN944" i="13" s="1"/>
  <c r="CJ946" i="13" l="1"/>
  <c r="CM945" i="13"/>
  <c r="CN945" i="13" s="1"/>
  <c r="CJ947" i="13" l="1"/>
  <c r="CM946" i="13"/>
  <c r="CN946" i="13" s="1"/>
  <c r="CJ948" i="13" l="1"/>
  <c r="CM947" i="13"/>
  <c r="CN947" i="13" s="1"/>
  <c r="CO947" i="13" s="1"/>
  <c r="CJ949" i="13" l="1"/>
  <c r="CM948" i="13"/>
  <c r="CN948" i="13" s="1"/>
  <c r="CJ950" i="13" l="1"/>
  <c r="CM949" i="13"/>
  <c r="CN949" i="13" s="1"/>
  <c r="CJ951" i="13" l="1"/>
  <c r="CM950" i="13"/>
  <c r="CN950" i="13" s="1"/>
  <c r="CJ952" i="13" l="1"/>
  <c r="CM951" i="13"/>
  <c r="CN951" i="13" s="1"/>
  <c r="CJ953" i="13" l="1"/>
  <c r="CM952" i="13"/>
  <c r="CN952" i="13" s="1"/>
  <c r="CJ954" i="13" l="1"/>
  <c r="CM953" i="13"/>
  <c r="CN953" i="13" s="1"/>
  <c r="CJ955" i="13" l="1"/>
  <c r="CM954" i="13"/>
  <c r="CN954" i="13" s="1"/>
  <c r="CJ956" i="13" l="1"/>
  <c r="CM955" i="13"/>
  <c r="CN955" i="13" s="1"/>
  <c r="CJ957" i="13" l="1"/>
  <c r="CM956" i="13"/>
  <c r="CN956" i="13" s="1"/>
  <c r="CJ958" i="13" l="1"/>
  <c r="CM957" i="13"/>
  <c r="CN957" i="13" s="1"/>
  <c r="CJ959" i="13" l="1"/>
  <c r="CM958" i="13"/>
  <c r="CN958" i="13" s="1"/>
  <c r="CJ960" i="13" l="1"/>
  <c r="CM959" i="13"/>
  <c r="CN959" i="13" s="1"/>
  <c r="CJ961" i="13" l="1"/>
  <c r="CM960" i="13"/>
  <c r="CN960" i="13" s="1"/>
  <c r="CJ962" i="13" l="1"/>
  <c r="CM961" i="13"/>
  <c r="CN961" i="13" s="1"/>
  <c r="CJ963" i="13" l="1"/>
  <c r="CM962" i="13"/>
  <c r="CN962" i="13" s="1"/>
  <c r="CJ964" i="13" l="1"/>
  <c r="CM963" i="13"/>
  <c r="CN963" i="13" s="1"/>
  <c r="CJ965" i="13" l="1"/>
  <c r="CM964" i="13"/>
  <c r="CN964" i="13" s="1"/>
  <c r="CJ966" i="13" l="1"/>
  <c r="CM965" i="13"/>
  <c r="CN965" i="13" s="1"/>
  <c r="CJ967" i="13" l="1"/>
  <c r="CM966" i="13"/>
  <c r="CN966" i="13" s="1"/>
  <c r="CJ968" i="13" l="1"/>
  <c r="CM967" i="13"/>
  <c r="CN967" i="13" s="1"/>
  <c r="CJ969" i="13" l="1"/>
  <c r="CM968" i="13"/>
  <c r="CN968" i="13" s="1"/>
  <c r="CJ970" i="13" l="1"/>
  <c r="CM969" i="13"/>
  <c r="CN969" i="13" s="1"/>
  <c r="CJ971" i="13" l="1"/>
  <c r="CM970" i="13"/>
  <c r="CN970" i="13" s="1"/>
  <c r="CJ972" i="13" l="1"/>
  <c r="CM971" i="13"/>
  <c r="CN971" i="13" s="1"/>
  <c r="CJ973" i="13" l="1"/>
  <c r="CM972" i="13"/>
  <c r="CN972" i="13" s="1"/>
  <c r="CJ974" i="13" l="1"/>
  <c r="CM973" i="13"/>
  <c r="CN973" i="13" s="1"/>
  <c r="CJ975" i="13" l="1"/>
  <c r="CM974" i="13"/>
  <c r="CN974" i="13" s="1"/>
  <c r="CO974" i="13" s="1"/>
  <c r="CJ976" i="13" l="1"/>
  <c r="CM975" i="13"/>
  <c r="CN975" i="13" s="1"/>
  <c r="CJ977" i="13" l="1"/>
  <c r="CM976" i="13"/>
  <c r="CN976" i="13" s="1"/>
  <c r="CJ978" i="13" l="1"/>
  <c r="CM977" i="13"/>
  <c r="CN977" i="13" s="1"/>
  <c r="CJ979" i="13" l="1"/>
  <c r="CM978" i="13"/>
  <c r="CN978" i="13" s="1"/>
  <c r="CJ980" i="13" l="1"/>
  <c r="CM979" i="13"/>
  <c r="CN979" i="13" s="1"/>
  <c r="CJ981" i="13" l="1"/>
  <c r="CM980" i="13"/>
  <c r="CN980" i="13" s="1"/>
  <c r="CJ982" i="13" l="1"/>
  <c r="CM981" i="13"/>
  <c r="CN981" i="13" s="1"/>
  <c r="CJ983" i="13" l="1"/>
  <c r="CM982" i="13"/>
  <c r="CN982" i="13" s="1"/>
  <c r="CJ984" i="13" l="1"/>
  <c r="CM983" i="13"/>
  <c r="CN983" i="13" s="1"/>
  <c r="CJ985" i="13" l="1"/>
  <c r="CM984" i="13"/>
  <c r="CN984" i="13" s="1"/>
  <c r="CJ986" i="13" l="1"/>
  <c r="CM985" i="13"/>
  <c r="CN985" i="13" s="1"/>
  <c r="CJ987" i="13" l="1"/>
  <c r="CM986" i="13"/>
  <c r="CN986" i="13" s="1"/>
  <c r="CJ988" i="13" l="1"/>
  <c r="CM987" i="13"/>
  <c r="CN987" i="13" s="1"/>
  <c r="CJ989" i="13" l="1"/>
  <c r="CM988" i="13"/>
  <c r="CN988" i="13" s="1"/>
  <c r="CJ990" i="13" l="1"/>
  <c r="CM989" i="13"/>
  <c r="CN989" i="13" s="1"/>
  <c r="CO989" i="13" s="1"/>
  <c r="CJ991" i="13" l="1"/>
  <c r="CM990" i="13"/>
  <c r="CN990" i="13" s="1"/>
  <c r="CJ992" i="13" l="1"/>
  <c r="CM991" i="13"/>
  <c r="CN991" i="13" s="1"/>
  <c r="CJ993" i="13" l="1"/>
  <c r="CM992" i="13"/>
  <c r="CN992" i="13" s="1"/>
  <c r="CJ994" i="13" l="1"/>
  <c r="CM993" i="13"/>
  <c r="CN993" i="13" s="1"/>
  <c r="CJ995" i="13" l="1"/>
  <c r="CM994" i="13"/>
  <c r="CN994" i="13" s="1"/>
  <c r="CJ996" i="13" l="1"/>
  <c r="CM995" i="13"/>
  <c r="CN995" i="13" s="1"/>
  <c r="CJ997" i="13" l="1"/>
  <c r="CM996" i="13"/>
  <c r="CN996" i="13" s="1"/>
  <c r="CJ998" i="13" l="1"/>
  <c r="CM997" i="13"/>
  <c r="CN997" i="13" s="1"/>
  <c r="CO997" i="13" s="1"/>
  <c r="CJ999" i="13" l="1"/>
  <c r="CM998" i="13"/>
  <c r="CN998" i="13" s="1"/>
  <c r="CJ1000" i="13" l="1"/>
  <c r="CM999" i="13"/>
  <c r="CN999" i="13" s="1"/>
  <c r="CJ1001" i="13" l="1"/>
  <c r="CM1000" i="13"/>
  <c r="CN1000" i="13" s="1"/>
  <c r="CJ1002" i="13" l="1"/>
  <c r="CM1001" i="13"/>
  <c r="CN1001" i="13" s="1"/>
  <c r="CJ1003" i="13" l="1"/>
  <c r="CM1002" i="13"/>
  <c r="CN1002" i="13" s="1"/>
  <c r="CJ1004" i="13" l="1"/>
  <c r="CM1003" i="13"/>
  <c r="CN1003" i="13" s="1"/>
  <c r="CJ1005" i="13" l="1"/>
  <c r="CM1004" i="13"/>
  <c r="CN1004" i="13" s="1"/>
  <c r="CJ1006" i="13" l="1"/>
  <c r="CM1005" i="13"/>
  <c r="CN1005" i="13" s="1"/>
  <c r="CJ1007" i="13" l="1"/>
  <c r="CM1006" i="13"/>
  <c r="CN1006" i="13" s="1"/>
  <c r="CJ1008" i="13" l="1"/>
  <c r="CM1007" i="13"/>
  <c r="CN1007" i="13" s="1"/>
  <c r="CJ1009" i="13" l="1"/>
  <c r="CM1008" i="13"/>
  <c r="CN1008" i="13" s="1"/>
  <c r="CJ1010" i="13" l="1"/>
  <c r="CM1009" i="13"/>
  <c r="CN1009" i="13" s="1"/>
  <c r="CJ1011" i="13" l="1"/>
  <c r="CM1010" i="13"/>
  <c r="CN1010" i="13" s="1"/>
  <c r="CJ1012" i="13" l="1"/>
  <c r="CM1011" i="13"/>
  <c r="CN1011" i="13" s="1"/>
  <c r="CJ1013" i="13" l="1"/>
  <c r="CM1012" i="13"/>
  <c r="CN1012" i="13" s="1"/>
  <c r="CJ1014" i="13" l="1"/>
  <c r="CM1013" i="13"/>
  <c r="CN1013" i="13" s="1"/>
  <c r="CJ1015" i="13" l="1"/>
  <c r="CM1014" i="13"/>
  <c r="CN1014" i="13" s="1"/>
  <c r="CJ1016" i="13" l="1"/>
  <c r="CM1015" i="13"/>
  <c r="CN1015" i="13" s="1"/>
  <c r="CJ1017" i="13" l="1"/>
  <c r="CM1016" i="13"/>
  <c r="CN1016" i="13" s="1"/>
  <c r="CJ1018" i="13" l="1"/>
  <c r="CM1017" i="13"/>
  <c r="CN1017" i="13" s="1"/>
  <c r="CJ1019" i="13" l="1"/>
  <c r="CM1018" i="13"/>
  <c r="CN1018" i="13" s="1"/>
  <c r="CJ1020" i="13" l="1"/>
  <c r="CM1019" i="13"/>
  <c r="CN1019" i="13" s="1"/>
  <c r="CJ1021" i="13" l="1"/>
  <c r="CM1020" i="13"/>
  <c r="CN1020" i="13" s="1"/>
  <c r="CJ1022" i="13" l="1"/>
  <c r="CM1021" i="13"/>
  <c r="CN1021" i="13" s="1"/>
  <c r="CO1021" i="13" s="1"/>
  <c r="CJ1023" i="13" l="1"/>
  <c r="CM1022" i="13"/>
  <c r="CN1022" i="13" s="1"/>
  <c r="CJ1024" i="13" l="1"/>
  <c r="CM1023" i="13"/>
  <c r="CN1023" i="13" s="1"/>
  <c r="CJ1025" i="13" l="1"/>
  <c r="CM1024" i="13"/>
  <c r="CN1024" i="13" s="1"/>
  <c r="CJ1026" i="13" l="1"/>
  <c r="CM1025" i="13"/>
  <c r="CN1025" i="13" s="1"/>
  <c r="CJ1027" i="13" l="1"/>
  <c r="CM1026" i="13"/>
  <c r="CN1026" i="13" s="1"/>
  <c r="CJ1028" i="13" l="1"/>
  <c r="CM1027" i="13"/>
  <c r="CN1027" i="13" s="1"/>
  <c r="CJ1029" i="13" l="1"/>
  <c r="CM1028" i="13"/>
  <c r="CN1028" i="13" s="1"/>
  <c r="CJ1030" i="13" l="1"/>
  <c r="CM1029" i="13"/>
  <c r="CN1029" i="13" s="1"/>
  <c r="CJ1031" i="13" l="1"/>
  <c r="CM1030" i="13"/>
  <c r="CN1030" i="13" s="1"/>
  <c r="CJ1032" i="13" l="1"/>
  <c r="CM1031" i="13"/>
  <c r="CN1031" i="13" s="1"/>
  <c r="CJ1033" i="13" l="1"/>
  <c r="CM1032" i="13"/>
  <c r="CN1032" i="13" s="1"/>
  <c r="CJ1034" i="13" l="1"/>
  <c r="CM1033" i="13"/>
  <c r="CN1033" i="13" s="1"/>
  <c r="CJ1035" i="13" l="1"/>
  <c r="CM1034" i="13"/>
  <c r="CN1034" i="13" s="1"/>
  <c r="CJ1036" i="13" l="1"/>
  <c r="CM1035" i="13"/>
  <c r="CN1035" i="13" s="1"/>
  <c r="CJ1037" i="13" l="1"/>
  <c r="CM1036" i="13"/>
  <c r="CN1036" i="13" s="1"/>
  <c r="CJ1038" i="13" l="1"/>
  <c r="CM1037" i="13"/>
  <c r="CN1037" i="13" s="1"/>
  <c r="CJ1039" i="13" l="1"/>
  <c r="CM1038" i="13"/>
  <c r="CN1038" i="13" s="1"/>
  <c r="CJ1040" i="13" l="1"/>
  <c r="CM1039" i="13"/>
  <c r="CN1039" i="13" s="1"/>
  <c r="CJ1041" i="13" l="1"/>
  <c r="CM1040" i="13"/>
  <c r="CN1040" i="13" s="1"/>
  <c r="CJ1042" i="13" l="1"/>
  <c r="CM1041" i="13"/>
  <c r="CN1041" i="13" s="1"/>
  <c r="CJ1043" i="13" l="1"/>
  <c r="CM1042" i="13"/>
  <c r="CN1042" i="13" s="1"/>
  <c r="CJ1044" i="13" l="1"/>
  <c r="CM1043" i="13"/>
  <c r="CN1043" i="13" s="1"/>
  <c r="CO1043" i="13" s="1"/>
  <c r="CJ1045" i="13" l="1"/>
  <c r="CM1044" i="13"/>
  <c r="CN1044" i="13" s="1"/>
  <c r="CJ1046" i="13" l="1"/>
  <c r="CM1045" i="13"/>
  <c r="CN1045" i="13" s="1"/>
  <c r="CJ1047" i="13" l="1"/>
  <c r="CM1046" i="13"/>
  <c r="CN1046" i="13" s="1"/>
  <c r="CJ1048" i="13" l="1"/>
  <c r="CM1047" i="13"/>
  <c r="CN1047" i="13" s="1"/>
  <c r="CJ1049" i="13" l="1"/>
  <c r="CM1048" i="13"/>
  <c r="CN1048" i="13" s="1"/>
  <c r="CJ1050" i="13" l="1"/>
  <c r="CM1049" i="13"/>
  <c r="CN1049" i="13" s="1"/>
  <c r="CJ1051" i="13" l="1"/>
  <c r="CM1050" i="13"/>
  <c r="CN1050" i="13" s="1"/>
  <c r="CJ1052" i="13" l="1"/>
  <c r="CM1051" i="13"/>
  <c r="CN1051" i="13" s="1"/>
  <c r="CJ1053" i="13" l="1"/>
  <c r="CM1052" i="13"/>
  <c r="CN1052" i="13" s="1"/>
  <c r="CJ1054" i="13" l="1"/>
  <c r="CM1053" i="13"/>
  <c r="CN1053" i="13" s="1"/>
  <c r="CJ1055" i="13" l="1"/>
  <c r="CM1054" i="13"/>
  <c r="CN1054" i="13" s="1"/>
  <c r="CJ1056" i="13" l="1"/>
  <c r="CM1055" i="13"/>
  <c r="CN1055" i="13" s="1"/>
  <c r="CJ1057" i="13" l="1"/>
  <c r="CM1056" i="13"/>
  <c r="CN1056" i="13" s="1"/>
  <c r="CO1056" i="13" s="1"/>
  <c r="CJ1058" i="13" l="1"/>
  <c r="CM1057" i="13"/>
  <c r="CN1057" i="13" s="1"/>
  <c r="CJ1059" i="13" l="1"/>
  <c r="CM1058" i="13"/>
  <c r="CN1058" i="13" s="1"/>
  <c r="CJ1060" i="13" l="1"/>
  <c r="CM1059" i="13"/>
  <c r="CN1059" i="13" s="1"/>
  <c r="CJ1061" i="13" l="1"/>
  <c r="CM1060" i="13"/>
  <c r="CN1060" i="13" s="1"/>
  <c r="CJ1062" i="13" l="1"/>
  <c r="CM1061" i="13"/>
  <c r="CN1061" i="13" s="1"/>
  <c r="CJ1063" i="13" l="1"/>
  <c r="CM1062" i="13"/>
  <c r="CN1062" i="13" s="1"/>
  <c r="CJ1064" i="13" l="1"/>
  <c r="CM1063" i="13"/>
  <c r="CN1063" i="13" s="1"/>
  <c r="CJ1065" i="13" l="1"/>
  <c r="CM1064" i="13"/>
  <c r="CN1064" i="13" s="1"/>
  <c r="CJ1066" i="13" l="1"/>
  <c r="CM1065" i="13"/>
  <c r="CN1065" i="13" s="1"/>
  <c r="CO1065" i="13" s="1"/>
  <c r="CJ1067" i="13" l="1"/>
  <c r="CM1066" i="13"/>
  <c r="CN1066" i="13" s="1"/>
  <c r="CJ1068" i="13" l="1"/>
  <c r="CM1067" i="13"/>
  <c r="CN1067" i="13" s="1"/>
  <c r="CJ1069" i="13" l="1"/>
  <c r="CM1068" i="13"/>
  <c r="CN1068" i="13" s="1"/>
  <c r="CJ1070" i="13" l="1"/>
  <c r="CM1069" i="13"/>
  <c r="CN1069" i="13" s="1"/>
  <c r="CJ1071" i="13" l="1"/>
  <c r="CM1070" i="13"/>
  <c r="CN1070" i="13" s="1"/>
  <c r="CJ1072" i="13" l="1"/>
  <c r="CM1071" i="13"/>
  <c r="CN1071" i="13" s="1"/>
  <c r="CJ1073" i="13" l="1"/>
  <c r="CM1072" i="13"/>
  <c r="CN1072" i="13" s="1"/>
  <c r="CJ1074" i="13" l="1"/>
  <c r="CM1073" i="13"/>
  <c r="CN1073" i="13" s="1"/>
  <c r="CJ1075" i="13" l="1"/>
  <c r="CM1074" i="13"/>
  <c r="CN1074" i="13" s="1"/>
  <c r="CJ1076" i="13" l="1"/>
  <c r="CM1075" i="13"/>
  <c r="CN1075" i="13" s="1"/>
  <c r="CJ1077" i="13" l="1"/>
  <c r="CM1076" i="13"/>
  <c r="CN1076" i="13" s="1"/>
  <c r="CJ1078" i="13" l="1"/>
  <c r="CM1077" i="13"/>
  <c r="CN1077" i="13" s="1"/>
  <c r="CJ1079" i="13" l="1"/>
  <c r="CM1078" i="13"/>
  <c r="CN1078" i="13" s="1"/>
  <c r="CJ1080" i="13" l="1"/>
  <c r="CM1079" i="13"/>
  <c r="CN1079" i="13" s="1"/>
  <c r="CJ1081" i="13" l="1"/>
  <c r="CM1080" i="13"/>
  <c r="CN1080" i="13" s="1"/>
  <c r="CJ1082" i="13" l="1"/>
  <c r="CM1081" i="13"/>
  <c r="CN1081" i="13" s="1"/>
  <c r="CJ1083" i="13" l="1"/>
  <c r="CM1082" i="13"/>
  <c r="CN1082" i="13" s="1"/>
  <c r="CJ1084" i="13" l="1"/>
  <c r="CM1083" i="13"/>
  <c r="CN1083" i="13" s="1"/>
  <c r="CJ1085" i="13" l="1"/>
  <c r="CM1084" i="13"/>
  <c r="CN1084" i="13" s="1"/>
  <c r="CJ1086" i="13" l="1"/>
  <c r="CM1085" i="13"/>
  <c r="CN1085" i="13" s="1"/>
  <c r="CJ1087" i="13" l="1"/>
  <c r="CM1086" i="13"/>
  <c r="CN1086" i="13" s="1"/>
  <c r="CJ1088" i="13" l="1"/>
  <c r="CM1087" i="13"/>
  <c r="CN1087" i="13" s="1"/>
  <c r="CJ1089" i="13" l="1"/>
  <c r="CM1088" i="13"/>
  <c r="CN1088" i="13" s="1"/>
  <c r="CJ1090" i="13" l="1"/>
  <c r="CM1089" i="13"/>
  <c r="CN1089" i="13" s="1"/>
  <c r="CJ1091" i="13" l="1"/>
  <c r="CM1090" i="13"/>
  <c r="CN1090" i="13" s="1"/>
  <c r="CJ1092" i="13" l="1"/>
  <c r="CM1091" i="13"/>
  <c r="CN1091" i="13" s="1"/>
  <c r="CJ1093" i="13" l="1"/>
  <c r="CM1092" i="13"/>
  <c r="CN1092" i="13" s="1"/>
  <c r="CJ1094" i="13" l="1"/>
  <c r="CM1093" i="13"/>
  <c r="CN1093" i="13" s="1"/>
  <c r="CJ1095" i="13" l="1"/>
  <c r="CM1094" i="13"/>
  <c r="CN1094" i="13" s="1"/>
  <c r="CO1094" i="13" s="1"/>
  <c r="CJ1096" i="13" l="1"/>
  <c r="CM1095" i="13"/>
  <c r="CN1095" i="13" s="1"/>
  <c r="CJ1097" i="13" l="1"/>
  <c r="CM1096" i="13"/>
  <c r="CN1096" i="13" s="1"/>
  <c r="CJ1098" i="13" l="1"/>
  <c r="CM1097" i="13"/>
  <c r="CN1097" i="13" s="1"/>
  <c r="CJ1099" i="13" l="1"/>
  <c r="CM1098" i="13"/>
  <c r="CN1098" i="13" s="1"/>
  <c r="CO1098" i="13" s="1"/>
  <c r="CJ1100" i="13" l="1"/>
  <c r="CM1099" i="13"/>
  <c r="CN1099" i="13" s="1"/>
  <c r="CJ1101" i="13" l="1"/>
  <c r="CM1100" i="13"/>
  <c r="CN1100" i="13" s="1"/>
  <c r="CJ1102" i="13" l="1"/>
  <c r="CM1101" i="13"/>
  <c r="CN1101" i="13" s="1"/>
  <c r="CJ1103" i="13" l="1"/>
  <c r="CM1102" i="13"/>
  <c r="CN1102" i="13" s="1"/>
  <c r="CJ1104" i="13" l="1"/>
  <c r="CM1103" i="13"/>
  <c r="CN1103" i="13" s="1"/>
  <c r="CJ1105" i="13" l="1"/>
  <c r="CM1104" i="13"/>
  <c r="CN1104" i="13" s="1"/>
  <c r="CJ1106" i="13" l="1"/>
  <c r="CM1105" i="13"/>
  <c r="CN1105" i="13" s="1"/>
  <c r="CJ1107" i="13" l="1"/>
  <c r="CM1106" i="13"/>
  <c r="CN1106" i="13" s="1"/>
  <c r="CJ1108" i="13" l="1"/>
  <c r="CM1107" i="13"/>
  <c r="CN1107" i="13" s="1"/>
  <c r="CJ1109" i="13" l="1"/>
  <c r="CM1108" i="13"/>
  <c r="CN1108" i="13" s="1"/>
  <c r="CJ1110" i="13" l="1"/>
  <c r="CM1109" i="13"/>
  <c r="CN1109" i="13" s="1"/>
  <c r="CJ1111" i="13" l="1"/>
  <c r="CM1110" i="13"/>
  <c r="CN1110" i="13" s="1"/>
  <c r="CJ1112" i="13" l="1"/>
  <c r="CM1111" i="13"/>
  <c r="CN1111" i="13" s="1"/>
  <c r="CJ1113" i="13" l="1"/>
  <c r="CM1112" i="13"/>
  <c r="CN1112" i="13" s="1"/>
  <c r="CJ1114" i="13" l="1"/>
  <c r="CM1113" i="13"/>
  <c r="CN1113" i="13" s="1"/>
  <c r="CJ1115" i="13" l="1"/>
  <c r="CM1114" i="13"/>
  <c r="CN1114" i="13" s="1"/>
  <c r="CJ1116" i="13" l="1"/>
  <c r="CM1115" i="13"/>
  <c r="CN1115" i="13" s="1"/>
  <c r="CJ1117" i="13" l="1"/>
  <c r="CM1116" i="13"/>
  <c r="CN1116" i="13" s="1"/>
  <c r="CJ1118" i="13" l="1"/>
  <c r="CM1117" i="13"/>
  <c r="CN1117" i="13" s="1"/>
  <c r="CJ1119" i="13" l="1"/>
  <c r="CM1118" i="13"/>
  <c r="CN1118" i="13" s="1"/>
  <c r="CJ1120" i="13" l="1"/>
  <c r="CM1119" i="13"/>
  <c r="CN1119" i="13" s="1"/>
  <c r="CJ1121" i="13" l="1"/>
  <c r="CM1120" i="13"/>
  <c r="CN1120" i="13" s="1"/>
  <c r="CO1120" i="13" s="1"/>
  <c r="CJ1122" i="13" l="1"/>
  <c r="CM1121" i="13"/>
  <c r="CN1121" i="13" s="1"/>
  <c r="CJ1123" i="13" l="1"/>
  <c r="CM1122" i="13"/>
  <c r="CN1122" i="13" s="1"/>
  <c r="CJ1124" i="13" l="1"/>
  <c r="CM1123" i="13"/>
  <c r="CN1123" i="13" s="1"/>
  <c r="CJ1125" i="13" l="1"/>
  <c r="CM1124" i="13"/>
  <c r="CN1124" i="13" s="1"/>
  <c r="CJ1126" i="13" l="1"/>
  <c r="CM1125" i="13"/>
  <c r="CN1125" i="13" s="1"/>
  <c r="CJ1127" i="13" l="1"/>
  <c r="CM1126" i="13"/>
  <c r="CN1126" i="13" s="1"/>
  <c r="CJ1128" i="13" l="1"/>
  <c r="CM1127" i="13"/>
  <c r="CN1127" i="13" s="1"/>
  <c r="CJ1129" i="13" l="1"/>
  <c r="CM1128" i="13"/>
  <c r="CN1128" i="13" s="1"/>
  <c r="CJ1130" i="13" l="1"/>
  <c r="CM1129" i="13"/>
  <c r="CN1129" i="13" s="1"/>
  <c r="CJ1131" i="13" l="1"/>
  <c r="CM1130" i="13"/>
  <c r="CN1130" i="13" s="1"/>
  <c r="CJ1132" i="13" l="1"/>
  <c r="CM1131" i="13"/>
  <c r="CN1131" i="13" s="1"/>
  <c r="CJ1133" i="13" l="1"/>
  <c r="CM1132" i="13"/>
  <c r="CN1132" i="13" s="1"/>
  <c r="CJ1134" i="13" l="1"/>
  <c r="CM1133" i="13"/>
  <c r="CN1133" i="13" s="1"/>
  <c r="CJ1135" i="13" l="1"/>
  <c r="CM1134" i="13"/>
  <c r="CN1134" i="13" s="1"/>
  <c r="CJ1136" i="13" l="1"/>
  <c r="CM1135" i="13"/>
  <c r="CN1135" i="13" s="1"/>
  <c r="CJ1137" i="13" l="1"/>
  <c r="CM1136" i="13"/>
  <c r="CN1136" i="13" s="1"/>
  <c r="CJ1138" i="13" l="1"/>
  <c r="CM1137" i="13"/>
  <c r="CN1137" i="13" s="1"/>
  <c r="CJ1139" i="13" l="1"/>
  <c r="CM1138" i="13"/>
  <c r="CN1138" i="13" s="1"/>
  <c r="CM1139" i="13" l="1"/>
  <c r="CN1139" i="13" s="1"/>
  <c r="CJ1140" i="13"/>
  <c r="CJ1141" i="13" l="1"/>
  <c r="CM1140" i="13"/>
  <c r="CN1140" i="13" s="1"/>
  <c r="CO1140" i="13" s="1"/>
  <c r="CJ1142" i="13" l="1"/>
  <c r="CM1141" i="13"/>
  <c r="CN1141" i="13" s="1"/>
  <c r="CJ1143" i="13" l="1"/>
  <c r="CM1142" i="13"/>
  <c r="CN1142" i="13" s="1"/>
  <c r="CJ1144" i="13" l="1"/>
  <c r="CM1143" i="13"/>
  <c r="CN1143" i="13" s="1"/>
  <c r="CJ1145" i="13" l="1"/>
  <c r="CM1144" i="13"/>
  <c r="CN1144" i="13" s="1"/>
  <c r="CJ1146" i="13" l="1"/>
  <c r="CM1145" i="13"/>
  <c r="CN1145" i="13" s="1"/>
  <c r="CJ1147" i="13" l="1"/>
  <c r="CM1146" i="13"/>
  <c r="CN1146" i="13" s="1"/>
  <c r="CJ1148" i="13" l="1"/>
  <c r="CM1147" i="13"/>
  <c r="CN1147" i="13" s="1"/>
  <c r="CJ1149" i="13" l="1"/>
  <c r="CM1148" i="13"/>
  <c r="CN1148" i="13" s="1"/>
  <c r="CJ1150" i="13" l="1"/>
  <c r="CM1149" i="13"/>
  <c r="CN1149" i="13" s="1"/>
  <c r="CJ1151" i="13" l="1"/>
  <c r="CM1150" i="13"/>
  <c r="CN1150" i="13" s="1"/>
  <c r="CJ1152" i="13" l="1"/>
  <c r="CM1151" i="13"/>
  <c r="CN1151" i="13" s="1"/>
  <c r="CJ1153" i="13" l="1"/>
  <c r="CM1152" i="13"/>
  <c r="CN1152" i="13" s="1"/>
  <c r="CJ1154" i="13" l="1"/>
  <c r="CM1153" i="13"/>
  <c r="CN1153" i="13" s="1"/>
  <c r="CJ1155" i="13" l="1"/>
  <c r="CM1154" i="13"/>
  <c r="CN1154" i="13" s="1"/>
  <c r="CJ1156" i="13" l="1"/>
  <c r="CM1155" i="13"/>
  <c r="CN1155" i="13" s="1"/>
  <c r="CJ1157" i="13" l="1"/>
  <c r="CM1156" i="13"/>
  <c r="CN1156" i="13" s="1"/>
  <c r="CJ1158" i="13" l="1"/>
  <c r="CM1157" i="13"/>
  <c r="CN1157" i="13" s="1"/>
  <c r="CJ1159" i="13" l="1"/>
  <c r="CM1158" i="13"/>
  <c r="CN1158" i="13" s="1"/>
  <c r="CJ1160" i="13" l="1"/>
  <c r="CM1159" i="13"/>
  <c r="CN1159" i="13" s="1"/>
  <c r="CJ1161" i="13" l="1"/>
  <c r="CM1160" i="13"/>
  <c r="CN1160" i="13" s="1"/>
  <c r="CJ1162" i="13" l="1"/>
  <c r="CM1161" i="13"/>
  <c r="CN1161" i="13" s="1"/>
  <c r="CJ1163" i="13" l="1"/>
  <c r="CM1162" i="13"/>
  <c r="CN1162" i="13" s="1"/>
  <c r="CJ1164" i="13" l="1"/>
  <c r="CM1163" i="13"/>
  <c r="CN1163" i="13" s="1"/>
  <c r="CJ1165" i="13" l="1"/>
  <c r="CM1164" i="13"/>
  <c r="CN1164" i="13" s="1"/>
  <c r="CJ1166" i="13" l="1"/>
  <c r="CM1165" i="13"/>
  <c r="CN1165" i="13" s="1"/>
  <c r="CJ1167" i="13" l="1"/>
  <c r="CM1166" i="13"/>
  <c r="CN1166" i="13" s="1"/>
  <c r="CJ1168" i="13" l="1"/>
  <c r="CM1167" i="13"/>
  <c r="CN1167" i="13" s="1"/>
  <c r="CJ1169" i="13" l="1"/>
  <c r="CM1168" i="13"/>
  <c r="CN1168" i="13" s="1"/>
  <c r="CJ1170" i="13" l="1"/>
  <c r="CM1169" i="13"/>
  <c r="CN1169" i="13" s="1"/>
  <c r="CJ1171" i="13" l="1"/>
  <c r="CM1170" i="13"/>
  <c r="CN1170" i="13" s="1"/>
  <c r="CJ1172" i="13" l="1"/>
  <c r="CM1171" i="13"/>
  <c r="CN1171" i="13" s="1"/>
  <c r="CJ1173" i="13" l="1"/>
  <c r="CM1172" i="13"/>
  <c r="CN1172" i="13" s="1"/>
  <c r="CJ1174" i="13" l="1"/>
  <c r="CM1173" i="13"/>
  <c r="CN1173" i="13" s="1"/>
  <c r="CJ1175" i="13" l="1"/>
  <c r="CM1174" i="13"/>
  <c r="CN1174" i="13" s="1"/>
  <c r="CJ1176" i="13" l="1"/>
  <c r="CM1175" i="13"/>
  <c r="CN1175" i="13" s="1"/>
  <c r="CO1175" i="13" s="1"/>
  <c r="CJ1177" i="13" l="1"/>
  <c r="CM1176" i="13"/>
  <c r="CN1176" i="13" s="1"/>
  <c r="CJ1178" i="13" l="1"/>
  <c r="CM1177" i="13"/>
  <c r="CN1177" i="13" s="1"/>
  <c r="CJ1179" i="13" l="1"/>
  <c r="CM1178" i="13"/>
  <c r="CN1178" i="13" s="1"/>
  <c r="CJ1180" i="13" l="1"/>
  <c r="CM1179" i="13"/>
  <c r="CN1179" i="13" s="1"/>
  <c r="CJ1181" i="13" l="1"/>
  <c r="CM1180" i="13"/>
  <c r="CN1180" i="13" s="1"/>
  <c r="CJ1182" i="13" l="1"/>
  <c r="CM1181" i="13"/>
  <c r="CN1181" i="13" s="1"/>
  <c r="CJ1183" i="13" l="1"/>
  <c r="CM1182" i="13"/>
  <c r="CN1182" i="13" s="1"/>
  <c r="CJ1184" i="13" l="1"/>
  <c r="CM1183" i="13"/>
  <c r="CN1183" i="13" s="1"/>
  <c r="CJ1185" i="13" l="1"/>
  <c r="CM1184" i="13"/>
  <c r="CN1184" i="13" s="1"/>
  <c r="CJ1186" i="13" l="1"/>
  <c r="CM1185" i="13"/>
  <c r="CN1185" i="13" s="1"/>
  <c r="CJ1187" i="13" l="1"/>
  <c r="CM1186" i="13"/>
  <c r="CN1186" i="13" s="1"/>
  <c r="CJ1188" i="13" l="1"/>
  <c r="CM1187" i="13"/>
  <c r="CN1187" i="13" s="1"/>
  <c r="CJ1189" i="13" l="1"/>
  <c r="CM1188" i="13"/>
  <c r="CN1188" i="13" s="1"/>
  <c r="CJ1190" i="13" l="1"/>
  <c r="CM1189" i="13"/>
  <c r="CN1189" i="13" s="1"/>
  <c r="CJ1191" i="13" l="1"/>
  <c r="CM1190" i="13"/>
  <c r="CN1190" i="13" s="1"/>
  <c r="CJ1192" i="13" l="1"/>
  <c r="CM1191" i="13"/>
  <c r="CN1191" i="13" s="1"/>
  <c r="CJ1193" i="13" l="1"/>
  <c r="CM1192" i="13"/>
  <c r="CN1192" i="13" s="1"/>
  <c r="CJ1194" i="13" l="1"/>
  <c r="CM1193" i="13"/>
  <c r="CN1193" i="13" s="1"/>
  <c r="CJ1195" i="13" l="1"/>
  <c r="CM1194" i="13"/>
  <c r="CN1194" i="13" s="1"/>
  <c r="CJ1196" i="13" l="1"/>
  <c r="CM1195" i="13"/>
  <c r="CN1195" i="13" s="1"/>
  <c r="CJ1197" i="13" l="1"/>
  <c r="CM1196" i="13"/>
  <c r="CN1196" i="13" s="1"/>
  <c r="CJ1198" i="13" l="1"/>
  <c r="CM1197" i="13"/>
  <c r="CN1197" i="13" s="1"/>
  <c r="CJ1199" i="13" l="1"/>
  <c r="CM1198" i="13"/>
  <c r="CN1198" i="13" s="1"/>
  <c r="CJ1200" i="13" l="1"/>
  <c r="CM1199" i="13"/>
  <c r="CN1199" i="13" s="1"/>
  <c r="CJ1201" i="13" l="1"/>
  <c r="CM1200" i="13"/>
  <c r="CN1200" i="13" s="1"/>
  <c r="CJ1202" i="13" l="1"/>
  <c r="CM1201" i="13"/>
  <c r="CN1201" i="13" s="1"/>
  <c r="CJ1203" i="13" l="1"/>
  <c r="CM1202" i="13"/>
  <c r="CN1202" i="13" s="1"/>
  <c r="CJ1204" i="13" l="1"/>
  <c r="CM1203" i="13"/>
  <c r="CN1203" i="13" s="1"/>
  <c r="CJ1205" i="13" l="1"/>
  <c r="CM1204" i="13"/>
  <c r="CN1204" i="13" s="1"/>
  <c r="CJ1206" i="13" l="1"/>
  <c r="CM1205" i="13"/>
  <c r="CN1205" i="13" s="1"/>
  <c r="CJ1207" i="13" l="1"/>
  <c r="CM1206" i="13"/>
  <c r="CN1206" i="13" s="1"/>
  <c r="CJ1208" i="13" l="1"/>
  <c r="CM1207" i="13"/>
  <c r="CN1207" i="13" s="1"/>
  <c r="CJ1209" i="13" l="1"/>
  <c r="CM1208" i="13"/>
  <c r="CN1208" i="13" s="1"/>
  <c r="CJ1210" i="13" l="1"/>
  <c r="CM1209" i="13"/>
  <c r="CN1209" i="13" s="1"/>
  <c r="CJ1211" i="13" l="1"/>
  <c r="CM1210" i="13"/>
  <c r="CN1210" i="13" s="1"/>
  <c r="CJ1212" i="13" l="1"/>
  <c r="CM1211" i="13"/>
  <c r="CN1211" i="13" s="1"/>
  <c r="CJ1213" i="13" l="1"/>
  <c r="CM1212" i="13"/>
  <c r="CN1212" i="13" s="1"/>
  <c r="CJ1214" i="13" l="1"/>
  <c r="CM1213" i="13"/>
  <c r="CN1213" i="13" s="1"/>
  <c r="CJ1215" i="13" l="1"/>
  <c r="CM1214" i="13"/>
  <c r="CN1214" i="13" s="1"/>
  <c r="CJ1216" i="13" l="1"/>
  <c r="CM1215" i="13"/>
  <c r="CN1215" i="13" s="1"/>
  <c r="CJ1217" i="13" l="1"/>
  <c r="CM1216" i="13"/>
  <c r="CN1216" i="13" s="1"/>
  <c r="CJ1218" i="13" l="1"/>
  <c r="CM1217" i="13"/>
  <c r="CN1217" i="13" s="1"/>
  <c r="CJ1219" i="13" l="1"/>
  <c r="CM1218" i="13"/>
  <c r="CN1218" i="13" s="1"/>
  <c r="CJ1220" i="13" l="1"/>
  <c r="CM1219" i="13"/>
  <c r="CN1219" i="13" s="1"/>
  <c r="CJ1221" i="13" l="1"/>
  <c r="CM1220" i="13"/>
  <c r="CN1220" i="13" s="1"/>
  <c r="CJ1222" i="13" l="1"/>
  <c r="CM1221" i="13"/>
  <c r="CN1221" i="13" s="1"/>
  <c r="CO1221" i="13" s="1"/>
  <c r="CJ1223" i="13" l="1"/>
  <c r="CM1222" i="13"/>
  <c r="CN1222" i="13" s="1"/>
  <c r="CO1222" i="13" s="1"/>
  <c r="CJ1224" i="13" l="1"/>
  <c r="CM1223" i="13"/>
  <c r="CN1223" i="13" s="1"/>
  <c r="CJ1225" i="13" l="1"/>
  <c r="CM1224" i="13"/>
  <c r="CN1224" i="13" s="1"/>
  <c r="CJ1226" i="13" l="1"/>
  <c r="CM1225" i="13"/>
  <c r="CN1225" i="13" s="1"/>
  <c r="CJ1227" i="13" l="1"/>
  <c r="CM1226" i="13"/>
  <c r="CN1226" i="13" s="1"/>
  <c r="CJ1228" i="13" l="1"/>
  <c r="CM1227" i="13"/>
  <c r="CN1227" i="13" s="1"/>
  <c r="CJ1229" i="13" l="1"/>
  <c r="CM1228" i="13"/>
  <c r="CN1228" i="13" s="1"/>
  <c r="CJ1230" i="13" l="1"/>
  <c r="CM1229" i="13"/>
  <c r="CN1229" i="13" s="1"/>
  <c r="CJ1231" i="13" l="1"/>
  <c r="CM1230" i="13"/>
  <c r="CN1230" i="13" s="1"/>
  <c r="CJ1232" i="13" l="1"/>
  <c r="CM1231" i="13"/>
  <c r="CN1231" i="13" s="1"/>
  <c r="CJ1233" i="13" l="1"/>
  <c r="CM1232" i="13"/>
  <c r="CN1232" i="13" s="1"/>
  <c r="CJ1234" i="13" l="1"/>
  <c r="CM1233" i="13"/>
  <c r="CN1233" i="13" s="1"/>
  <c r="CJ1235" i="13" l="1"/>
  <c r="CM1234" i="13"/>
  <c r="CN1234" i="13" s="1"/>
  <c r="CJ1236" i="13" l="1"/>
  <c r="CM1235" i="13"/>
  <c r="CN1235" i="13" s="1"/>
  <c r="CJ1237" i="13" l="1"/>
  <c r="CM1236" i="13"/>
  <c r="CN1236" i="13" s="1"/>
  <c r="CJ1238" i="13" l="1"/>
  <c r="CM1237" i="13"/>
  <c r="CN1237" i="13" s="1"/>
  <c r="CJ1239" i="13" l="1"/>
  <c r="CM1238" i="13"/>
  <c r="CN1238" i="13" s="1"/>
  <c r="CJ1240" i="13" l="1"/>
  <c r="CM1239" i="13"/>
  <c r="CN1239" i="13" s="1"/>
  <c r="CJ1241" i="13" l="1"/>
  <c r="CM1240" i="13"/>
  <c r="CN1240" i="13" s="1"/>
  <c r="CJ1242" i="13" l="1"/>
  <c r="CM1241" i="13"/>
  <c r="CN1241" i="13" s="1"/>
  <c r="CJ1243" i="13" l="1"/>
  <c r="CM1242" i="13"/>
  <c r="CN1242" i="13" s="1"/>
  <c r="CJ1244" i="13" l="1"/>
  <c r="CM1243" i="13"/>
  <c r="CN1243" i="13" s="1"/>
  <c r="CJ1245" i="13" l="1"/>
  <c r="CM1244" i="13"/>
  <c r="CN1244" i="13" s="1"/>
  <c r="CJ1246" i="13" l="1"/>
  <c r="CM1245" i="13"/>
  <c r="CN1245" i="13" s="1"/>
  <c r="CJ1247" i="13" l="1"/>
  <c r="CM1246" i="13"/>
  <c r="CN1246" i="13" s="1"/>
  <c r="CJ1248" i="13" l="1"/>
  <c r="CM1247" i="13"/>
  <c r="CN1247" i="13" s="1"/>
  <c r="CJ1249" i="13" l="1"/>
  <c r="CM1248" i="13"/>
  <c r="CN1248" i="13" s="1"/>
  <c r="CJ1250" i="13" l="1"/>
  <c r="CM1249" i="13"/>
  <c r="CN1249" i="13" s="1"/>
  <c r="CJ1251" i="13" l="1"/>
  <c r="CM1250" i="13"/>
  <c r="CN1250" i="13" s="1"/>
  <c r="CJ1252" i="13" l="1"/>
  <c r="CM1251" i="13"/>
  <c r="CN1251" i="13" s="1"/>
  <c r="CJ1253" i="13" l="1"/>
  <c r="CM1252" i="13"/>
  <c r="CN1252" i="13" s="1"/>
  <c r="CJ1254" i="13" l="1"/>
  <c r="CM1253" i="13"/>
  <c r="CN1253" i="13" s="1"/>
  <c r="CJ1255" i="13" l="1"/>
  <c r="CM1254" i="13"/>
  <c r="CN1254" i="13" s="1"/>
  <c r="CJ1256" i="13" l="1"/>
  <c r="CM1255" i="13"/>
  <c r="CN1255" i="13" s="1"/>
  <c r="CJ1257" i="13" l="1"/>
  <c r="CM1256" i="13"/>
  <c r="CN1256" i="13" s="1"/>
  <c r="CJ1258" i="13" l="1"/>
  <c r="CM1257" i="13"/>
  <c r="CN1257" i="13" s="1"/>
  <c r="CJ1259" i="13" l="1"/>
  <c r="CM1258" i="13"/>
  <c r="CN1258" i="13" s="1"/>
  <c r="CJ1260" i="13" l="1"/>
  <c r="CM1259" i="13"/>
  <c r="CN1259" i="13" s="1"/>
  <c r="CJ1261" i="13" l="1"/>
  <c r="CM1260" i="13"/>
  <c r="CN1260" i="13" s="1"/>
  <c r="CO1260" i="13" s="1"/>
  <c r="G35" i="8" s="1"/>
  <c r="G28" i="8" s="1"/>
  <c r="CJ1262" i="13" l="1"/>
  <c r="CM1261" i="13"/>
  <c r="CN1261" i="13" s="1"/>
  <c r="CJ1263" i="13" l="1"/>
  <c r="CM1262" i="13"/>
  <c r="CN1262" i="13" s="1"/>
  <c r="CJ1264" i="13" l="1"/>
  <c r="CM1263" i="13"/>
  <c r="CN1263" i="13" s="1"/>
  <c r="CJ1265" i="13" l="1"/>
  <c r="CM1264" i="13"/>
  <c r="CN1264" i="13" s="1"/>
  <c r="CJ1266" i="13" l="1"/>
  <c r="CM1265" i="13"/>
  <c r="CN1265" i="13" s="1"/>
  <c r="CJ1267" i="13" l="1"/>
  <c r="CM1266" i="13"/>
  <c r="CN1266" i="13" s="1"/>
  <c r="CJ1268" i="13" l="1"/>
  <c r="CM1267" i="13"/>
  <c r="CN1267" i="13" s="1"/>
  <c r="CJ1269" i="13" l="1"/>
  <c r="CM1268" i="13"/>
  <c r="CN1268" i="13" s="1"/>
  <c r="CJ1270" i="13" l="1"/>
  <c r="CM1269" i="13"/>
  <c r="CN1269" i="13" s="1"/>
  <c r="CJ1271" i="13" l="1"/>
  <c r="CM1270" i="13"/>
  <c r="CN1270" i="13" s="1"/>
  <c r="CJ1272" i="13" l="1"/>
  <c r="CM1271" i="13"/>
  <c r="CN1271" i="13" s="1"/>
  <c r="CJ1273" i="13" l="1"/>
  <c r="CM1272" i="13"/>
  <c r="CN1272" i="13" s="1"/>
  <c r="CJ1274" i="13" l="1"/>
  <c r="CM1273" i="13"/>
  <c r="CN1273" i="13" s="1"/>
  <c r="CJ1275" i="13" l="1"/>
  <c r="CM1274" i="13"/>
  <c r="CN1274" i="13" s="1"/>
  <c r="CJ1276" i="13" l="1"/>
  <c r="CM1275" i="13"/>
  <c r="CN1275" i="13" s="1"/>
  <c r="CJ1277" i="13" l="1"/>
  <c r="CM1276" i="13"/>
  <c r="CN1276" i="13" s="1"/>
  <c r="CJ1278" i="13" l="1"/>
  <c r="CM1277" i="13"/>
  <c r="CN1277" i="13" s="1"/>
  <c r="CJ1279" i="13" l="1"/>
  <c r="CM1278" i="13"/>
  <c r="CN1278" i="13" s="1"/>
  <c r="CJ1280" i="13" l="1"/>
  <c r="CM1279" i="13"/>
  <c r="CN1279" i="13" s="1"/>
  <c r="CJ1281" i="13" l="1"/>
  <c r="CM1280" i="13"/>
  <c r="CN1280" i="13" s="1"/>
  <c r="CJ1282" i="13" l="1"/>
  <c r="CM1281" i="13"/>
  <c r="CN1281" i="13" s="1"/>
  <c r="CJ1283" i="13" l="1"/>
  <c r="CM1282" i="13"/>
  <c r="CN1282" i="13" s="1"/>
  <c r="CJ1284" i="13" l="1"/>
  <c r="CM1283" i="13"/>
  <c r="CN1283" i="13" s="1"/>
  <c r="CJ1285" i="13" l="1"/>
  <c r="CM1284" i="13"/>
  <c r="CN1284" i="13" s="1"/>
  <c r="CJ1286" i="13" l="1"/>
  <c r="CM1285" i="13"/>
  <c r="CN1285" i="13" s="1"/>
  <c r="CJ1287" i="13" l="1"/>
  <c r="CM1286" i="13"/>
  <c r="CN1286" i="13" s="1"/>
  <c r="CJ1288" i="13" l="1"/>
  <c r="CM1287" i="13"/>
  <c r="CN1287" i="13" s="1"/>
  <c r="CJ1289" i="13" l="1"/>
  <c r="CM1288" i="13"/>
  <c r="CN1288" i="13" s="1"/>
  <c r="CJ1290" i="13" l="1"/>
  <c r="CM1289" i="13"/>
  <c r="CN1289" i="13" s="1"/>
  <c r="CJ1291" i="13" l="1"/>
  <c r="CM1290" i="13"/>
  <c r="CN1290" i="13" s="1"/>
  <c r="CJ1292" i="13" l="1"/>
  <c r="CM1291" i="13"/>
  <c r="CN1291" i="13" s="1"/>
  <c r="CJ1293" i="13" l="1"/>
  <c r="CM1292" i="13"/>
  <c r="CN1292" i="13" s="1"/>
  <c r="CJ1294" i="13" l="1"/>
  <c r="CM1293" i="13"/>
  <c r="CN1293" i="13" s="1"/>
  <c r="CJ1295" i="13" l="1"/>
  <c r="CM1294" i="13"/>
  <c r="CN1294" i="13" s="1"/>
  <c r="CJ1296" i="13" l="1"/>
  <c r="CM1295" i="13"/>
  <c r="CN1295" i="13" s="1"/>
  <c r="CJ1297" i="13" l="1"/>
  <c r="CM1296" i="13"/>
  <c r="CN1296" i="13" s="1"/>
  <c r="CJ1298" i="13" l="1"/>
  <c r="CM1297" i="13"/>
  <c r="CN1297" i="13" s="1"/>
  <c r="CJ1299" i="13" l="1"/>
  <c r="CM1298" i="13"/>
  <c r="CN1298" i="13" s="1"/>
  <c r="CJ1300" i="13" l="1"/>
  <c r="CM1299" i="13"/>
  <c r="CN1299" i="13" s="1"/>
  <c r="CJ1301" i="13" l="1"/>
  <c r="CM1300" i="13"/>
  <c r="CN1300" i="13" s="1"/>
  <c r="CJ1302" i="13" l="1"/>
  <c r="CM1301" i="13"/>
  <c r="CN1301" i="13" s="1"/>
  <c r="CJ1303" i="13" l="1"/>
  <c r="CM1302" i="13"/>
  <c r="CN1302" i="13" s="1"/>
  <c r="CJ1304" i="13" l="1"/>
  <c r="CM1303" i="13"/>
  <c r="CN1303" i="13" s="1"/>
  <c r="CJ1305" i="13" l="1"/>
  <c r="CJ1306" i="13" s="1"/>
  <c r="CM1304" i="13"/>
  <c r="CN1304" i="13" s="1"/>
  <c r="CJ1307" i="13" l="1"/>
  <c r="CM1306" i="13"/>
  <c r="CM1305" i="13"/>
  <c r="CN1305" i="13" s="1"/>
  <c r="CN1306" i="13" l="1"/>
  <c r="CJ1308" i="13"/>
  <c r="CM1307" i="13"/>
  <c r="CJ1309" i="13" l="1"/>
  <c r="CM1308" i="13"/>
  <c r="CN1307" i="13"/>
  <c r="CN1308" i="13" s="1"/>
  <c r="CJ1310" i="13" l="1"/>
  <c r="CM1309" i="13"/>
  <c r="CN1309" i="13" s="1"/>
  <c r="CJ1311" i="13" l="1"/>
  <c r="CM1310" i="13"/>
  <c r="CN1310" i="13" s="1"/>
  <c r="CJ1312" i="13" l="1"/>
  <c r="CM1311" i="13"/>
  <c r="CN1311" i="13" s="1"/>
  <c r="CJ1313" i="13" l="1"/>
  <c r="CM1312" i="13"/>
  <c r="CN1312" i="13" s="1"/>
  <c r="CJ1314" i="13" l="1"/>
  <c r="CM1313" i="13"/>
  <c r="CN1313" i="13" s="1"/>
  <c r="CJ1315" i="13" l="1"/>
  <c r="CM1314" i="13"/>
  <c r="CN1314" i="13" s="1"/>
  <c r="CJ1316" i="13" l="1"/>
  <c r="CM1315" i="13"/>
  <c r="CN1315" i="13" s="1"/>
  <c r="CJ1317" i="13" l="1"/>
  <c r="CM1316" i="13"/>
  <c r="CN1316" i="13" s="1"/>
  <c r="CJ1318" i="13" l="1"/>
  <c r="CM1317" i="13"/>
  <c r="CN1317" i="13" s="1"/>
  <c r="CJ1319" i="13" l="1"/>
  <c r="CM1318" i="13"/>
  <c r="CN1318" i="13" s="1"/>
  <c r="CJ1320" i="13" l="1"/>
  <c r="CM1319" i="13"/>
  <c r="CN1319" i="13" s="1"/>
  <c r="CJ1321" i="13" l="1"/>
  <c r="CM1320" i="13"/>
  <c r="CN1320" i="13" s="1"/>
  <c r="CJ1322" i="13" l="1"/>
  <c r="CM1322" i="13" s="1"/>
  <c r="CM1321" i="13"/>
  <c r="CN1321" i="13" s="1"/>
  <c r="CN1322" i="13" l="1"/>
  <c r="CO1321" i="13"/>
  <c r="G9" i="8" s="1"/>
  <c r="B95" i="8" s="1"/>
  <c r="F95" i="8" l="1"/>
  <c r="F98" i="8" s="1"/>
  <c r="F99" i="8" s="1"/>
  <c r="E98" i="8" l="1"/>
  <c r="E99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FOURNIER Salome</author>
  </authors>
  <commentList>
    <comment ref="AJ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bois fort tige (tarif Emerge)</t>
        </r>
      </text>
    </comment>
    <comment ref="AL2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total (tarif Emerge)</t>
        </r>
      </text>
    </comment>
    <comment ref="BN2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séquestré en forêt (tCO2/ha)</t>
        </r>
      </text>
    </comment>
    <comment ref="BO2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exporté du peuplement (tCO2/ha)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<sst xmlns="http://schemas.openxmlformats.org/spreadsheetml/2006/main" count="36333" uniqueCount="1546">
  <si>
    <t>essence</t>
  </si>
  <si>
    <t xml:space="preserve">fertilité </t>
  </si>
  <si>
    <t>Ho</t>
  </si>
  <si>
    <t>Cartographie des guides de sylvicultures ONF disponibles</t>
  </si>
  <si>
    <t>N</t>
  </si>
  <si>
    <t>G</t>
  </si>
  <si>
    <t>Dg</t>
  </si>
  <si>
    <t>Do</t>
  </si>
  <si>
    <t>DOU</t>
  </si>
  <si>
    <t>F1</t>
  </si>
  <si>
    <t>F2</t>
  </si>
  <si>
    <t>National</t>
  </si>
  <si>
    <t>Entree 17-18m, densité haute</t>
  </si>
  <si>
    <t>G_ecl</t>
  </si>
  <si>
    <t>Kg</t>
  </si>
  <si>
    <t>PSY</t>
  </si>
  <si>
    <t>Eclaircie précoce</t>
  </si>
  <si>
    <t>CHS</t>
  </si>
  <si>
    <t>Classique</t>
  </si>
  <si>
    <t>Cseq_moy</t>
  </si>
  <si>
    <t>CH_ATL</t>
  </si>
  <si>
    <t>P_CNO</t>
  </si>
  <si>
    <t>CH_CONT</t>
  </si>
  <si>
    <t>Vtig_ecl</t>
  </si>
  <si>
    <t>Dico_var</t>
  </si>
  <si>
    <t>code_dico</t>
  </si>
  <si>
    <t>definition</t>
  </si>
  <si>
    <t>unite</t>
  </si>
  <si>
    <t>essence considérée</t>
  </si>
  <si>
    <t>zone_geo</t>
  </si>
  <si>
    <t>type_iti</t>
  </si>
  <si>
    <t>classe de fertilité issue du référentiel du guide de sylviculture considéré</t>
  </si>
  <si>
    <t>zone géographique correspondant à l'aire de validité du guide de sylviculture considéré (se référer à la carte en onglet carto_sylv)</t>
  </si>
  <si>
    <t>Identification de la variante d'itinéraire sylvicole considéré dans le guide</t>
  </si>
  <si>
    <t>Âge à partir du stade semis</t>
  </si>
  <si>
    <t>m</t>
  </si>
  <si>
    <t>tiges/ha</t>
  </si>
  <si>
    <t>m2/ha</t>
  </si>
  <si>
    <t>cm</t>
  </si>
  <si>
    <t>m3/ha</t>
  </si>
  <si>
    <t>Coefficient d'éclaircie</t>
  </si>
  <si>
    <t>C_seq</t>
  </si>
  <si>
    <t xml:space="preserve"> tCO2/ha</t>
  </si>
  <si>
    <t>C_stock</t>
  </si>
  <si>
    <t>C_subst</t>
  </si>
  <si>
    <t>C_ecl</t>
  </si>
  <si>
    <t>Carbone stocké dans les produits bois mis en œuvre</t>
  </si>
  <si>
    <t>Emissions de carbone évitées par utilisation de produits bois issus du peuplement (bois énergie ou matériau)</t>
  </si>
  <si>
    <t>Dico_mod</t>
  </si>
  <si>
    <t>Carbone séquestré en moyenne lors de la révolution</t>
  </si>
  <si>
    <t>age</t>
  </si>
  <si>
    <t>av_ap</t>
  </si>
  <si>
    <t>av</t>
  </si>
  <si>
    <t>ap</t>
  </si>
  <si>
    <t>millesime</t>
  </si>
  <si>
    <t>modele</t>
  </si>
  <si>
    <t>fertilite</t>
  </si>
  <si>
    <t>v_modele</t>
  </si>
  <si>
    <t>Auteur</t>
  </si>
  <si>
    <t>Ho_ini</t>
  </si>
  <si>
    <t>Ho_50</t>
  </si>
  <si>
    <t>age_ini</t>
  </si>
  <si>
    <t>Sydy_Gymnos</t>
  </si>
  <si>
    <t>CapsisONF2019_sydy v10_07</t>
  </si>
  <si>
    <t>Sydy_Sylvestris</t>
  </si>
  <si>
    <t>CapsisONF2020</t>
  </si>
  <si>
    <t>Sydy_Fagacees</t>
  </si>
  <si>
    <t>CapsisONF2017</t>
  </si>
  <si>
    <t>FCBA_pseudotsugamenziesii</t>
  </si>
  <si>
    <t>CHP</t>
  </si>
  <si>
    <t>cl5_ini</t>
  </si>
  <si>
    <t>pplt_ini</t>
  </si>
  <si>
    <t>cl10_ini</t>
  </si>
  <si>
    <t>cl15_ini</t>
  </si>
  <si>
    <t>cl20_ini</t>
  </si>
  <si>
    <t>cl25_ini</t>
  </si>
  <si>
    <t>N_ini</t>
  </si>
  <si>
    <t>G_ini</t>
  </si>
  <si>
    <t>FD_Orleans_p912</t>
  </si>
  <si>
    <t>source_pplt_ini</t>
  </si>
  <si>
    <t>BDD_Sylvie_DT_COA</t>
  </si>
  <si>
    <t>Virtuel</t>
  </si>
  <si>
    <t>date_inv</t>
  </si>
  <si>
    <t>FCBA_projet_ICIF</t>
  </si>
  <si>
    <t>cl_diametre</t>
  </si>
  <si>
    <t>modif_pplt_source</t>
  </si>
  <si>
    <t>option_modele</t>
  </si>
  <si>
    <t>RDIinf0.5reduitdHdom = true</t>
  </si>
  <si>
    <t>param_Chapman_Richards(p1=66.967279;p2=0.015071;p3=1.060640)</t>
  </si>
  <si>
    <t>Année de réalisation de la modélisation</t>
  </si>
  <si>
    <t>S.Fournier</t>
  </si>
  <si>
    <t>Nom du modèle utilisé</t>
  </si>
  <si>
    <t>version de la compilation Capsis utilisée</t>
  </si>
  <si>
    <t>Option du modèle utilisée lors du démarrage de la simulation</t>
  </si>
  <si>
    <t>Nom de l'auteur de la modélisation</t>
  </si>
  <si>
    <t>Hauteur dominante du peuplement à 50 ans</t>
  </si>
  <si>
    <t>Origine du peuplement initial (virtuel ou nom de la placette utilisée)</t>
  </si>
  <si>
    <t>Banque de données contenant les informations sur le peuplement initial</t>
  </si>
  <si>
    <t>Date de l'inventaire du peuplement initial (si peuplement réel)</t>
  </si>
  <si>
    <t>Modifications apportées aux données du peuplement initial pour la modélisation (si présence de modifications)</t>
  </si>
  <si>
    <t>Hauteur dominante du peuplement lors de l'inventaire initial</t>
  </si>
  <si>
    <t>année</t>
  </si>
  <si>
    <t>Densité de tiges du peuplement lors de l'inventaire initial</t>
  </si>
  <si>
    <t>Hauteur dominante du peuplement à l'âge considéré</t>
  </si>
  <si>
    <t>Surface terrière dans le peuplement à l'âge considéré</t>
  </si>
  <si>
    <t>Densité de tiges dans le peuplement à l'âge considéré</t>
  </si>
  <si>
    <t>Diamètre quadratique moyen dans le peuplement à l'âge considéré</t>
  </si>
  <si>
    <t>Diamètre dominant dans le peuplement à l'âge considéré</t>
  </si>
  <si>
    <t>Volume total dans le peuplement à l'âge considéré</t>
  </si>
  <si>
    <t>Surface terrière prélevée lors de l'éclaircie à l'âge considéré</t>
  </si>
  <si>
    <t>Volume bois fort tige prélevé lors de l'éclaircie à l'âge considéré</t>
  </si>
  <si>
    <t>Carbone exporté dans les produits issus d'une coupe à l'âge considéré</t>
  </si>
  <si>
    <t>Surface terrière du peuplement lors de l'inventaire initial</t>
  </si>
  <si>
    <t>Nombre de tiges dans la classe de diamètre 5 dans le peuplement initial</t>
  </si>
  <si>
    <t>Nombre de tiges dans la classe de diamètre 10 dans le peuplement initial</t>
  </si>
  <si>
    <t>Nombre de tiges dans la classe de diamètre 15 dans le peuplement initial</t>
  </si>
  <si>
    <t>Nombre de tiges dans la classe de diamètre 20 dans le peuplement initial</t>
  </si>
  <si>
    <t>Nombre de tiges dans la classe de diamètre 25 dans le peuplement initial</t>
  </si>
  <si>
    <t>m²/ha</t>
  </si>
  <si>
    <t>âge du peuplement lors de l'inventaire initial (à partir du stade semis)</t>
  </si>
  <si>
    <t>inventaire avant ou après éclaircie</t>
  </si>
  <si>
    <t>Type_var</t>
  </si>
  <si>
    <t>Identification_modelisation</t>
  </si>
  <si>
    <t>Identification_itineraire</t>
  </si>
  <si>
    <t>Peuplement_initial</t>
  </si>
  <si>
    <t>Variables_dendro</t>
  </si>
  <si>
    <t>Variables_eclaircies</t>
  </si>
  <si>
    <t>Compta_carbone</t>
  </si>
  <si>
    <t>code_var</t>
  </si>
  <si>
    <t>code_mod</t>
  </si>
  <si>
    <t>nom</t>
  </si>
  <si>
    <t>Douglas</t>
  </si>
  <si>
    <t>Pin Sylvestre</t>
  </si>
  <si>
    <t>Chêne Pédonculé</t>
  </si>
  <si>
    <t>Chênes sessile</t>
  </si>
  <si>
    <t>Guide national</t>
  </si>
  <si>
    <t>Guide pins des plaines du Centre et du Nord-Ouest</t>
  </si>
  <si>
    <t>Guide chênaie atlantique</t>
  </si>
  <si>
    <t>Guide chênaie continentale</t>
  </si>
  <si>
    <t>âge du peuplement initial modifié sans correction du Ho pour adapter la fertilité du site</t>
  </si>
  <si>
    <t>répartition des tiges modifiée dans les classes de diamètre pour adapter la croissance du peuplement</t>
  </si>
  <si>
    <t>inventaire avant exploitation</t>
  </si>
  <si>
    <t>inventaire après exploitation</t>
  </si>
  <si>
    <t>Entree 19-20m</t>
  </si>
  <si>
    <t>F3</t>
  </si>
  <si>
    <t>param_Chapman_Richards(p1=59.682032;p2=0.013363;p3=1.109842)</t>
  </si>
  <si>
    <t>Dynamique</t>
  </si>
  <si>
    <t>Eclaircie tardive</t>
  </si>
  <si>
    <t>Ecouves_p10</t>
  </si>
  <si>
    <t>Ho du peuplement initial modifié sans correction de l'âge pour adapter la fertilité du site</t>
  </si>
  <si>
    <t>N_plant</t>
  </si>
  <si>
    <t>Vtot.dec7</t>
  </si>
  <si>
    <t>Vtig.dec7</t>
  </si>
  <si>
    <t>Vtot.dec0</t>
  </si>
  <si>
    <t>Volume bois fort tige (découpe 7 cm) dans le peuplement à l'âge considéré</t>
  </si>
  <si>
    <t>C_aer</t>
  </si>
  <si>
    <t>C_rac</t>
  </si>
  <si>
    <t>Volume total bois fort (découpe 7 cm) dans le peuplement à l'âge considéré</t>
  </si>
  <si>
    <t>Carbone total séquestré dans le peuplement à l'âge considéré</t>
  </si>
  <si>
    <t>Carbone séquestré dans la biomasse racinaire du peuplement à l'âge considéré</t>
  </si>
  <si>
    <t>Carbone séquestré dans la biomasse aérienne du peuplement à l'âge considéré</t>
  </si>
  <si>
    <t>d_Dupouey</t>
  </si>
  <si>
    <t>Infradensité de l'espèce selon la base de données de Dupouey</t>
  </si>
  <si>
    <t>tMs/m3</t>
  </si>
  <si>
    <t>%BO</t>
  </si>
  <si>
    <t>%BI</t>
  </si>
  <si>
    <t>%BE</t>
  </si>
  <si>
    <t>VUM_ecl</t>
  </si>
  <si>
    <t>N_ecl</t>
  </si>
  <si>
    <t/>
  </si>
  <si>
    <t>rege_nat</t>
  </si>
  <si>
    <t>plantation</t>
  </si>
  <si>
    <t>rege_fin</t>
  </si>
  <si>
    <t>Mode de régénération en fin d'itinéraire</t>
  </si>
  <si>
    <t>régénération artificielle par plantation</t>
  </si>
  <si>
    <t>régénération naturelle par coupes succesives</t>
  </si>
  <si>
    <t>m3</t>
  </si>
  <si>
    <t>Volume unitaire moyen éclairci lors de la coupe</t>
  </si>
  <si>
    <t>Densité de plantation nécessaire pour suivre l'itinéraire concerné (si le peuplement est issu de régénération artificielle)</t>
  </si>
  <si>
    <t>Pin laricio</t>
  </si>
  <si>
    <t>PL</t>
  </si>
  <si>
    <t>initialisation_laricio</t>
  </si>
  <si>
    <t>EPC</t>
  </si>
  <si>
    <t>Entree 16-17 m</t>
  </si>
  <si>
    <t>Fbonne</t>
  </si>
  <si>
    <t>ARC_JURA</t>
  </si>
  <si>
    <t>Archives T.Sardin</t>
  </si>
  <si>
    <t>cl30_ini</t>
  </si>
  <si>
    <t>param_Chapman_Richards(p1=40.404264;p2=0.030541;p3=1.424982)</t>
  </si>
  <si>
    <t>D_exp</t>
  </si>
  <si>
    <t>50-55</t>
  </si>
  <si>
    <t>60-65</t>
  </si>
  <si>
    <t>45-50</t>
  </si>
  <si>
    <t>70-75</t>
  </si>
  <si>
    <t>75-80</t>
  </si>
  <si>
    <t>Diamètre d'exploitabilité cible exprimé en classe de diamètre pour la mise en régénération (artificielle ou naturelle)</t>
  </si>
  <si>
    <t>Avant coupe</t>
  </si>
  <si>
    <t>Eclaircie</t>
  </si>
  <si>
    <t>Après coupe</t>
  </si>
  <si>
    <t>Production</t>
  </si>
  <si>
    <t>Essence</t>
  </si>
  <si>
    <t>Fertilité</t>
  </si>
  <si>
    <t>Itinéraire</t>
  </si>
  <si>
    <t>Guide Sylvicole</t>
  </si>
  <si>
    <t>page du Guide</t>
  </si>
  <si>
    <t>Age</t>
  </si>
  <si>
    <t>V</t>
  </si>
  <si>
    <t>N/ha</t>
  </si>
  <si>
    <t>Gmin/ha</t>
  </si>
  <si>
    <t>Gmax/ha</t>
  </si>
  <si>
    <t>Acc G</t>
  </si>
  <si>
    <t>Acc V</t>
  </si>
  <si>
    <t>Donnée Av-ap</t>
  </si>
  <si>
    <t>infradensité</t>
  </si>
  <si>
    <t>FEB</t>
  </si>
  <si>
    <t>BA(n)</t>
  </si>
  <si>
    <t>BR (n)</t>
  </si>
  <si>
    <t>Concaténer</t>
  </si>
  <si>
    <t>Carbone Sc projet (n)</t>
  </si>
  <si>
    <t>Aire pr calcul moyenne</t>
  </si>
  <si>
    <t>Cseq révolution</t>
  </si>
  <si>
    <t>Sapin pectiné</t>
  </si>
  <si>
    <t>Cas général</t>
  </si>
  <si>
    <t>GS Arc Jurassien</t>
  </si>
  <si>
    <t>N/A</t>
  </si>
  <si>
    <t>Entrée en Reg pr Dex=50-55 cm</t>
  </si>
  <si>
    <t>SP1_d5</t>
  </si>
  <si>
    <t>GSM Alpes du Sud</t>
  </si>
  <si>
    <t>SP2_4</t>
  </si>
  <si>
    <t>Epicéa</t>
  </si>
  <si>
    <t>29?7</t>
  </si>
  <si>
    <t>Pin Noir d'Autriche</t>
  </si>
  <si>
    <t>PO1_d4</t>
  </si>
  <si>
    <t>PO2_d4</t>
  </si>
  <si>
    <t>Pin Laricio</t>
  </si>
  <si>
    <t>GS Pineraies des plaines du Centre et du Nord Ouest</t>
  </si>
  <si>
    <t>Pin Maritime</t>
  </si>
  <si>
    <t>Pin Laricio bis</t>
  </si>
  <si>
    <t>Hêtre commun</t>
  </si>
  <si>
    <t>GS Hêtraies et hêtraies sapinières des Pyrénées</t>
  </si>
  <si>
    <t>19.1</t>
  </si>
  <si>
    <t>17.6</t>
  </si>
  <si>
    <t>21.3</t>
  </si>
  <si>
    <t>23.4</t>
  </si>
  <si>
    <t>26.7</t>
  </si>
  <si>
    <t>18.2</t>
  </si>
  <si>
    <t>5.5</t>
  </si>
  <si>
    <t>23.3</t>
  </si>
  <si>
    <t>29.6</t>
  </si>
  <si>
    <t>21.4</t>
  </si>
  <si>
    <t>5.1</t>
  </si>
  <si>
    <t>18.1</t>
  </si>
  <si>
    <t>26.2</t>
  </si>
  <si>
    <t>25.4</t>
  </si>
  <si>
    <t>34.2</t>
  </si>
  <si>
    <t>6.8</t>
  </si>
  <si>
    <t>18.6</t>
  </si>
  <si>
    <t>28.6</t>
  </si>
  <si>
    <t>38.5</t>
  </si>
  <si>
    <t>30.1</t>
  </si>
  <si>
    <t>6.3</t>
  </si>
  <si>
    <t>18.8</t>
  </si>
  <si>
    <t>30.7</t>
  </si>
  <si>
    <t>24.5</t>
  </si>
  <si>
    <t>42.3</t>
  </si>
  <si>
    <t>34.6</t>
  </si>
  <si>
    <t>5.7</t>
  </si>
  <si>
    <t>32.6</t>
  </si>
  <si>
    <t>40.1</t>
  </si>
  <si>
    <t>5.3</t>
  </si>
  <si>
    <t>18.7</t>
  </si>
  <si>
    <t>49.9</t>
  </si>
  <si>
    <t>45.9</t>
  </si>
  <si>
    <t>36.1</t>
  </si>
  <si>
    <t>23.8</t>
  </si>
  <si>
    <t>54.2</t>
  </si>
  <si>
    <t>52.9</t>
  </si>
  <si>
    <t>19.9</t>
  </si>
  <si>
    <t>22.3</t>
  </si>
  <si>
    <t>24.2</t>
  </si>
  <si>
    <t>28.1</t>
  </si>
  <si>
    <t>19.2</t>
  </si>
  <si>
    <t>17.3</t>
  </si>
  <si>
    <t>31.7</t>
  </si>
  <si>
    <t>6.5</t>
  </si>
  <si>
    <t>16.8</t>
  </si>
  <si>
    <t>26.5</t>
  </si>
  <si>
    <t>22.4</t>
  </si>
  <si>
    <t>35.1</t>
  </si>
  <si>
    <t>27.7</t>
  </si>
  <si>
    <t>28.3</t>
  </si>
  <si>
    <t>31.9</t>
  </si>
  <si>
    <t>4.8</t>
  </si>
  <si>
    <t>17.5</t>
  </si>
  <si>
    <t>30.4</t>
  </si>
  <si>
    <t>23.7</t>
  </si>
  <si>
    <t>43.7</t>
  </si>
  <si>
    <t>37.7</t>
  </si>
  <si>
    <t>5.8</t>
  </si>
  <si>
    <t>17.9</t>
  </si>
  <si>
    <t>32.3</t>
  </si>
  <si>
    <t>23.5</t>
  </si>
  <si>
    <t>48.1</t>
  </si>
  <si>
    <t>43.8</t>
  </si>
  <si>
    <t>18.4</t>
  </si>
  <si>
    <t>52.2</t>
  </si>
  <si>
    <t>Normal</t>
  </si>
  <si>
    <t>GS Sapinières du Massif Central</t>
  </si>
  <si>
    <t>Cèdre de l'Atlas</t>
  </si>
  <si>
    <t>CA1_d5</t>
  </si>
  <si>
    <t>CA2_d5</t>
  </si>
  <si>
    <t>CA3_d5</t>
  </si>
  <si>
    <t>Mélèze d'Europe</t>
  </si>
  <si>
    <t>ME1_d5</t>
  </si>
  <si>
    <t>ME2_d6</t>
  </si>
  <si>
    <t>Historique des modications du fichier</t>
  </si>
  <si>
    <t xml:space="preserve">N° de version </t>
  </si>
  <si>
    <t>version 01</t>
  </si>
  <si>
    <t>Date de la Version</t>
  </si>
  <si>
    <t>17 fev 2021</t>
  </si>
  <si>
    <t>2 - Définition du scénario de projet</t>
  </si>
  <si>
    <t>âge</t>
  </si>
  <si>
    <t>Valeur à rechercher</t>
  </si>
  <si>
    <t>Séquestration carbone à 30 ans</t>
  </si>
  <si>
    <t>tCO2/ha</t>
  </si>
  <si>
    <t>Séquestration moyenne de l'itinéraire</t>
  </si>
  <si>
    <t xml:space="preserve">Essence </t>
  </si>
  <si>
    <r>
      <t>Infradensité (tMS/m</t>
    </r>
    <r>
      <rPr>
        <vertAlign val="superscript"/>
        <sz val="11"/>
        <color rgb="FFFFFFFF"/>
        <rFont val="Times New Roman"/>
        <family val="1"/>
      </rPr>
      <t>3</t>
    </r>
    <r>
      <rPr>
        <sz val="11"/>
        <color rgb="FFFFFFFF"/>
        <rFont val="Times New Roman"/>
        <family val="1"/>
      </rPr>
      <t xml:space="preserve">) </t>
    </r>
  </si>
  <si>
    <t xml:space="preserve">Alisier torminal </t>
  </si>
  <si>
    <t xml:space="preserve">Arbousier </t>
  </si>
  <si>
    <t xml:space="preserve">Aulne vert </t>
  </si>
  <si>
    <t xml:space="preserve">Grands aulnes </t>
  </si>
  <si>
    <t xml:space="preserve">Bouleaux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</si>
  <si>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</si>
  <si>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</si>
  <si>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</si>
  <si>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</si>
  <si>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</si>
  <si>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</si>
  <si>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</si>
  <si>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>Chêne rouge d'amérique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</si>
  <si>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</si>
  <si>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</si>
  <si>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</si>
  <si>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</si>
  <si>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</si>
  <si>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</si>
  <si>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</si>
  <si>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</si>
  <si>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</si>
  <si>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</si>
  <si>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</si>
  <si>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</si>
  <si>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Frênes </t>
  </si>
  <si>
    <t xml:space="preserve">Fruitiers </t>
  </si>
  <si>
    <t xml:space="preserve">If </t>
  </si>
  <si>
    <t>Mélèze d'europe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</si>
  <si>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</si>
  <si>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</si>
  <si>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</si>
  <si>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</si>
  <si>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</si>
  <si>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</si>
  <si>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</si>
  <si>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</si>
  <si>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</si>
  <si>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</si>
  <si>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>Pin d'Alep</t>
  </si>
  <si>
    <t xml:space="preserve">Pin cembro </t>
  </si>
  <si>
    <t xml:space="preserve">Pin à crochets </t>
  </si>
  <si>
    <t xml:space="preserve">Pin mugho </t>
  </si>
  <si>
    <t>Pin noir d'Autriche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</si>
  <si>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</si>
  <si>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</si>
  <si>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</si>
  <si>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</si>
  <si>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</si>
  <si>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</si>
  <si>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</si>
  <si>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</si>
  <si>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</si>
  <si>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</si>
  <si>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</si>
  <si>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</si>
  <si>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</si>
  <si>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</si>
  <si>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</si>
  <si>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Pin sylvestre</t>
  </si>
  <si>
    <t>Chêne pédonculé</t>
  </si>
  <si>
    <t>Chêne sessile</t>
  </si>
  <si>
    <t>Année</t>
  </si>
  <si>
    <t>Scénario de référence</t>
  </si>
  <si>
    <t>Mediterranée - Résineux</t>
  </si>
  <si>
    <t>Méditerranée - Feuillus</t>
  </si>
  <si>
    <t>National - Résineux</t>
  </si>
  <si>
    <t>National - Feuillus</t>
  </si>
  <si>
    <t>Cseq_scRef(30)</t>
  </si>
  <si>
    <t>Moy_Cseq_ScRef</t>
  </si>
  <si>
    <t>Volume aérien (en m3)</t>
  </si>
  <si>
    <t>Volume racinaire (en m3)</t>
  </si>
  <si>
    <t>Cseq_Med_R (tCO2)</t>
  </si>
  <si>
    <t>Cseq_Med_F (tCO2)</t>
  </si>
  <si>
    <t>Cseq_Nat_R (tCO2)</t>
  </si>
  <si>
    <t>Cseq_Nat_F (tCO2)</t>
  </si>
  <si>
    <t>Cseq_ScdeRef (30ans)</t>
  </si>
  <si>
    <t>Comparaison Cseq(moy) Vs Cseq(30)</t>
  </si>
  <si>
    <t>Delta Cseq(30) entre Scénario de projet et Scénario de référence</t>
  </si>
  <si>
    <t>Delta Cmoy</t>
  </si>
  <si>
    <t>Cmoy_ScdeRef (sur 80ans)</t>
  </si>
  <si>
    <t>Guide</t>
  </si>
  <si>
    <t>Nom concaténé</t>
  </si>
  <si>
    <t>Essence_Fertilité_Itinéraire_Guide Sylvicole_</t>
  </si>
  <si>
    <t>Test OK</t>
  </si>
  <si>
    <t>REA Forêt (tCO2/ha)</t>
  </si>
  <si>
    <t>Modélisation - REA Forêt</t>
  </si>
  <si>
    <t>Résultat - Résultat Forêt</t>
  </si>
  <si>
    <t>Guides - REA forêt</t>
  </si>
  <si>
    <t>PTG</t>
  </si>
  <si>
    <t>PP3</t>
  </si>
  <si>
    <t>PM</t>
  </si>
  <si>
    <t>Initialisateur_Salem_modifie</t>
  </si>
  <si>
    <t>Essence2</t>
  </si>
  <si>
    <t>Chêne sessile_F1_Dynamique_Guide chênaie continentale_30_</t>
  </si>
  <si>
    <r>
      <t xml:space="preserve">Création du fichier - Cyril Brûlez : version 01
</t>
    </r>
    <r>
      <rPr>
        <sz val="11"/>
        <color rgb="FFFF0000"/>
        <rFont val="Calibri"/>
        <family val="2"/>
        <scheme val="minor"/>
      </rPr>
      <t>- revoir l'épicéa : fertilité bonne VS Fertilité 1
- rajouté les essences de la RDI à la liste des possibilité</t>
    </r>
  </si>
  <si>
    <t>FBonne</t>
  </si>
  <si>
    <t>Fmoyenne</t>
  </si>
  <si>
    <t>FMoyenne</t>
  </si>
  <si>
    <t>HET</t>
  </si>
  <si>
    <t>HET_PYR</t>
  </si>
  <si>
    <t>initialisateur_Salem</t>
  </si>
  <si>
    <t>Abial</t>
  </si>
  <si>
    <t>Capsis4.2.0</t>
  </si>
  <si>
    <t>SAP</t>
  </si>
  <si>
    <t>D</t>
  </si>
  <si>
    <t>D2</t>
  </si>
  <si>
    <t>ACM</t>
  </si>
  <si>
    <t>Tilleul à petites feuilles</t>
  </si>
  <si>
    <t>Tilia cordata</t>
  </si>
  <si>
    <t>20P</t>
  </si>
  <si>
    <t>TIP</t>
  </si>
  <si>
    <t>TILCOR</t>
  </si>
  <si>
    <t>Tilleul de Hollande</t>
  </si>
  <si>
    <t>Tilia x europaea</t>
  </si>
  <si>
    <t>20X</t>
  </si>
  <si>
    <t>Figuier de Carie</t>
  </si>
  <si>
    <t>Ficus carica</t>
  </si>
  <si>
    <t>23F</t>
  </si>
  <si>
    <t>FIG</t>
  </si>
  <si>
    <t>FICCAR</t>
  </si>
  <si>
    <t>Saule blanc</t>
  </si>
  <si>
    <t>Salix alba</t>
  </si>
  <si>
    <t>25B</t>
  </si>
  <si>
    <t>SAB</t>
  </si>
  <si>
    <t>SALALB</t>
  </si>
  <si>
    <t>Saule cendré</t>
  </si>
  <si>
    <t>Salix cinerea</t>
  </si>
  <si>
    <t>25C</t>
  </si>
  <si>
    <t>SAC</t>
  </si>
  <si>
    <t>SALCIN</t>
  </si>
  <si>
    <t>Saule drapé</t>
  </si>
  <si>
    <t>Salix eleagnos subsp. eleagnos</t>
  </si>
  <si>
    <t>25D</t>
  </si>
  <si>
    <t>SDR</t>
  </si>
  <si>
    <t>SALINC</t>
  </si>
  <si>
    <t>Saule faux daphné</t>
  </si>
  <si>
    <t>Salix daphnoides</t>
  </si>
  <si>
    <t>25FD</t>
  </si>
  <si>
    <t>SAD</t>
  </si>
  <si>
    <t>SALDAP</t>
  </si>
  <si>
    <t>Saule cassant</t>
  </si>
  <si>
    <t>Salix fragilis</t>
  </si>
  <si>
    <t>25FR</t>
  </si>
  <si>
    <t>SAF</t>
  </si>
  <si>
    <t>SALFRA</t>
  </si>
  <si>
    <t>Saule marsault</t>
  </si>
  <si>
    <t>Salix caprea</t>
  </si>
  <si>
    <t>25M</t>
  </si>
  <si>
    <t>SAM</t>
  </si>
  <si>
    <t>SALCAP</t>
  </si>
  <si>
    <t>Saule pédicellé</t>
  </si>
  <si>
    <t>Salix pedicellata</t>
  </si>
  <si>
    <t>25P</t>
  </si>
  <si>
    <t>Saule roux</t>
  </si>
  <si>
    <t>Salix atrocinerea</t>
  </si>
  <si>
    <t>25R</t>
  </si>
  <si>
    <t>SAN</t>
  </si>
  <si>
    <t>SALATR</t>
  </si>
  <si>
    <t>Saule des vanniers</t>
  </si>
  <si>
    <t>Salix viminalis</t>
  </si>
  <si>
    <t>25V</t>
  </si>
  <si>
    <t>SAV</t>
  </si>
  <si>
    <t>SALVIM</t>
  </si>
  <si>
    <t>Saule rouge</t>
  </si>
  <si>
    <t>Salix x rubens</t>
  </si>
  <si>
    <t>25XR</t>
  </si>
  <si>
    <t>Autre feuillu exotique</t>
  </si>
  <si>
    <t>29AF</t>
  </si>
  <si>
    <t>Ailante</t>
  </si>
  <si>
    <t>Ailanthus altissima</t>
  </si>
  <si>
    <t>29AI</t>
  </si>
  <si>
    <t>AIL</t>
  </si>
  <si>
    <t>AILALT</t>
  </si>
  <si>
    <t>Caroubier</t>
  </si>
  <si>
    <t>Ceratonia siliqua</t>
  </si>
  <si>
    <t>29CA</t>
  </si>
  <si>
    <t>CAR</t>
  </si>
  <si>
    <t>CERSIL</t>
  </si>
  <si>
    <t>Catalpa</t>
  </si>
  <si>
    <t>Catalpa bignonioides</t>
  </si>
  <si>
    <t>29CT</t>
  </si>
  <si>
    <t>Filao</t>
  </si>
  <si>
    <t>Casuarina cunninghamiana</t>
  </si>
  <si>
    <t>29FI</t>
  </si>
  <si>
    <t>FNH</t>
  </si>
  <si>
    <t>CASCUN</t>
  </si>
  <si>
    <t>Liquidambar</t>
  </si>
  <si>
    <t>Liquidambar styraciflua</t>
  </si>
  <si>
    <t>29LI</t>
  </si>
  <si>
    <t>LIQ</t>
  </si>
  <si>
    <t>LIQSTY</t>
  </si>
  <si>
    <t>Marronnier d'Inde</t>
  </si>
  <si>
    <t>Aesculus hippocastanum</t>
  </si>
  <si>
    <t>29MA</t>
  </si>
  <si>
    <t>MAR</t>
  </si>
  <si>
    <t>AESHIP</t>
  </si>
  <si>
    <t>Mimosa</t>
  </si>
  <si>
    <t>Acacia farnesiana</t>
  </si>
  <si>
    <t>29MI</t>
  </si>
  <si>
    <t>MIM</t>
  </si>
  <si>
    <t>ACADEA</t>
  </si>
  <si>
    <t>Plaqueminier</t>
  </si>
  <si>
    <t>Diospyros lotus</t>
  </si>
  <si>
    <t>29PL</t>
  </si>
  <si>
    <t>Pistachier vrai</t>
  </si>
  <si>
    <t>Pistacia vera</t>
  </si>
  <si>
    <t>29PV</t>
  </si>
  <si>
    <t>PIS</t>
  </si>
  <si>
    <t>PISVER</t>
  </si>
  <si>
    <t>Tilleul d'Amérique du Nord</t>
  </si>
  <si>
    <t>Tilia americana</t>
  </si>
  <si>
    <t>29TA</t>
  </si>
  <si>
    <t>Tilleul argenté</t>
  </si>
  <si>
    <t>Tilia tomentosa</t>
  </si>
  <si>
    <t>29TT</t>
  </si>
  <si>
    <t>TIA</t>
  </si>
  <si>
    <t>TILARG</t>
  </si>
  <si>
    <t>Tilleul vert</t>
  </si>
  <si>
    <t>Tilia x euchlora</t>
  </si>
  <si>
    <t>29TX</t>
  </si>
  <si>
    <t>Peuplier blanc</t>
  </si>
  <si>
    <t>Populus alba</t>
  </si>
  <si>
    <t>33B</t>
  </si>
  <si>
    <t>PEB</t>
  </si>
  <si>
    <t>POPALB</t>
  </si>
  <si>
    <t>Peuplier grisard</t>
  </si>
  <si>
    <t>Populus x canescens</t>
  </si>
  <si>
    <t>33G</t>
  </si>
  <si>
    <t>PEG</t>
  </si>
  <si>
    <t>POPCAN</t>
  </si>
  <si>
    <t>Peuplier noir</t>
  </si>
  <si>
    <t>Populus nigra</t>
  </si>
  <si>
    <t>33N</t>
  </si>
  <si>
    <t>PEN</t>
  </si>
  <si>
    <t>POPNIG</t>
  </si>
  <si>
    <t>Cytise des Alpes</t>
  </si>
  <si>
    <t>Laburnum alpinum</t>
  </si>
  <si>
    <t>38AL</t>
  </si>
  <si>
    <t>CYA</t>
  </si>
  <si>
    <t>LABALP</t>
  </si>
  <si>
    <t>Cytise aubour</t>
  </si>
  <si>
    <t>Laburnum anagyroides subsp. anagyroides</t>
  </si>
  <si>
    <t>38AU</t>
  </si>
  <si>
    <t>CYT</t>
  </si>
  <si>
    <t>LABANA</t>
  </si>
  <si>
    <t>Aubépine Azerolier</t>
  </si>
  <si>
    <t>Crataegus azarolus</t>
  </si>
  <si>
    <t>49AA</t>
  </si>
  <si>
    <t>Aubépine épineuse</t>
  </si>
  <si>
    <t>Crataegus laevigata</t>
  </si>
  <si>
    <t>49AE</t>
  </si>
  <si>
    <t>AUE</t>
  </si>
  <si>
    <t>CRAOXY</t>
  </si>
  <si>
    <t>Aubépine monogyne</t>
  </si>
  <si>
    <t>Crataegus monogyna</t>
  </si>
  <si>
    <t>49AM</t>
  </si>
  <si>
    <t>CRA</t>
  </si>
  <si>
    <t>CRAMON</t>
  </si>
  <si>
    <t>Buis</t>
  </si>
  <si>
    <t>Buxus sempervirens</t>
  </si>
  <si>
    <t>49BS</t>
  </si>
  <si>
    <t>BUI</t>
  </si>
  <si>
    <t>BUXSEM</t>
  </si>
  <si>
    <t>Sumac de Virginie</t>
  </si>
  <si>
    <t>Rhus typhina</t>
  </si>
  <si>
    <t>49RT</t>
  </si>
  <si>
    <t>Tamaris de France</t>
  </si>
  <si>
    <t>Tamarix gallica</t>
  </si>
  <si>
    <t>49TA</t>
  </si>
  <si>
    <t>TAM</t>
  </si>
  <si>
    <t>TAMGAL</t>
  </si>
  <si>
    <t>Tamaris d'Afrique</t>
  </si>
  <si>
    <t>Tamarix africana</t>
  </si>
  <si>
    <t>49TF</t>
  </si>
  <si>
    <t>49TG</t>
  </si>
  <si>
    <t>Vernis vrai</t>
  </si>
  <si>
    <t>Rhus vernicifera</t>
  </si>
  <si>
    <t>49VV</t>
  </si>
  <si>
    <t>Aulne générique</t>
  </si>
  <si>
    <t>Alnus sp.</t>
  </si>
  <si>
    <t>Bouleau générique</t>
  </si>
  <si>
    <t>Betula sp.</t>
  </si>
  <si>
    <t>Gen</t>
  </si>
  <si>
    <t>D2 générique</t>
  </si>
  <si>
    <t>D2 generique</t>
  </si>
  <si>
    <t>Feuillu exotique</t>
  </si>
  <si>
    <t>sp.</t>
  </si>
  <si>
    <t>Cytise générique</t>
  </si>
  <si>
    <t>Laburnum sp.</t>
  </si>
  <si>
    <t>CASFIS</t>
  </si>
  <si>
    <t>Cassia</t>
  </si>
  <si>
    <t>Peuplier générique non sélectionné</t>
  </si>
  <si>
    <t>Populus sp.</t>
  </si>
  <si>
    <t>19</t>
  </si>
  <si>
    <t>PEU</t>
  </si>
  <si>
    <t>Saule générique</t>
  </si>
  <si>
    <t>Salix sp.</t>
  </si>
  <si>
    <t>SAU</t>
  </si>
  <si>
    <t>Tilleul générique</t>
  </si>
  <si>
    <t>Tilia sp.</t>
  </si>
  <si>
    <t>TIL</t>
  </si>
  <si>
    <t>E</t>
  </si>
  <si>
    <t>E1</t>
  </si>
  <si>
    <t>Chêne rouge</t>
  </si>
  <si>
    <t>Quercus rubra</t>
  </si>
  <si>
    <t>04</t>
  </si>
  <si>
    <t>CHR</t>
  </si>
  <si>
    <t>QUERUB</t>
  </si>
  <si>
    <t>Chêne vert</t>
  </si>
  <si>
    <t>Quercus ilex</t>
  </si>
  <si>
    <t>06</t>
  </si>
  <si>
    <t>CHV</t>
  </si>
  <si>
    <t>QUEILE</t>
  </si>
  <si>
    <t>Châtaignier</t>
  </si>
  <si>
    <t>Castanea sativa</t>
  </si>
  <si>
    <t>CHT</t>
  </si>
  <si>
    <t>CASSAT</t>
  </si>
  <si>
    <t>E1 générique</t>
  </si>
  <si>
    <t>E1 generique</t>
  </si>
  <si>
    <t>E2</t>
  </si>
  <si>
    <t>Quercus robur subsp. robur</t>
  </si>
  <si>
    <t>02</t>
  </si>
  <si>
    <t>QUEROB</t>
  </si>
  <si>
    <t>Quercus petraea subsp. petraea</t>
  </si>
  <si>
    <t>03</t>
  </si>
  <si>
    <t>QUEPET</t>
  </si>
  <si>
    <t>Chêne pubescent</t>
  </si>
  <si>
    <t>Quercus pubescens</t>
  </si>
  <si>
    <t>05</t>
  </si>
  <si>
    <t>CHY</t>
  </si>
  <si>
    <t>QUEPUB</t>
  </si>
  <si>
    <t>Chêne tauzin</t>
  </si>
  <si>
    <t>Quercus pyrenaica</t>
  </si>
  <si>
    <t>07</t>
  </si>
  <si>
    <t>CHZ</t>
  </si>
  <si>
    <t>QUEPYR</t>
  </si>
  <si>
    <t>Micocoulier</t>
  </si>
  <si>
    <t>Celtis australis</t>
  </si>
  <si>
    <t>MIC</t>
  </si>
  <si>
    <t>CELAUS</t>
  </si>
  <si>
    <t>Chêne chevelu</t>
  </si>
  <si>
    <t>Quercus cerris</t>
  </si>
  <si>
    <t>CHC</t>
  </si>
  <si>
    <t>QUECER</t>
  </si>
  <si>
    <t>Chêne faux-liège</t>
  </si>
  <si>
    <t>Quercus crenata</t>
  </si>
  <si>
    <t>08P</t>
  </si>
  <si>
    <t>Chêne-liège</t>
  </si>
  <si>
    <t>Quercus suber</t>
  </si>
  <si>
    <t>08S</t>
  </si>
  <si>
    <t>CHL</t>
  </si>
  <si>
    <t>QUESUB</t>
  </si>
  <si>
    <t>Chêne écarlate</t>
  </si>
  <si>
    <t>Quercus coccinea</t>
  </si>
  <si>
    <t>29CE</t>
  </si>
  <si>
    <t>CHK</t>
  </si>
  <si>
    <t>QUECOC</t>
  </si>
  <si>
    <t>Chêne des marais</t>
  </si>
  <si>
    <t>Quercus palustris</t>
  </si>
  <si>
    <t>29CM</t>
  </si>
  <si>
    <t>QPA</t>
  </si>
  <si>
    <t>QUEPAL</t>
  </si>
  <si>
    <t>Murier blanc</t>
  </si>
  <si>
    <t>Morus alba</t>
  </si>
  <si>
    <t>49MB</t>
  </si>
  <si>
    <t>MUB</t>
  </si>
  <si>
    <t>MORALB</t>
  </si>
  <si>
    <t>Murier de Chine</t>
  </si>
  <si>
    <t>Broussonetia papyrifera</t>
  </si>
  <si>
    <t>49MC</t>
  </si>
  <si>
    <t>Murier noir</t>
  </si>
  <si>
    <t>Morus nigra</t>
  </si>
  <si>
    <t>49MN</t>
  </si>
  <si>
    <t>MUN</t>
  </si>
  <si>
    <t>MORNIG</t>
  </si>
  <si>
    <t>E2 générique</t>
  </si>
  <si>
    <t>E2 generique</t>
  </si>
  <si>
    <t>Murier générique</t>
  </si>
  <si>
    <t>Morus sp.</t>
  </si>
  <si>
    <t>Quercus_generique</t>
  </si>
  <si>
    <t>Quercus_robur_petraea</t>
  </si>
  <si>
    <t>CHX</t>
  </si>
  <si>
    <t>A</t>
  </si>
  <si>
    <t>A1</t>
  </si>
  <si>
    <t>Pseudotsuga menziesii</t>
  </si>
  <si>
    <t>PSEMEN</t>
  </si>
  <si>
    <t>Cyprès de l'Arizona</t>
  </si>
  <si>
    <t>Cupressus arizonica</t>
  </si>
  <si>
    <t>68CA</t>
  </si>
  <si>
    <t>CAZ</t>
  </si>
  <si>
    <t>CUPARI</t>
  </si>
  <si>
    <t>Cyprès chauve</t>
  </si>
  <si>
    <t>Taxodium distichum</t>
  </si>
  <si>
    <t>68CC</t>
  </si>
  <si>
    <t>CYC</t>
  </si>
  <si>
    <t>TAXDIS</t>
  </si>
  <si>
    <t>Autre conifère exotique</t>
  </si>
  <si>
    <t>68CE</t>
  </si>
  <si>
    <t>Cryptoméria du Japon</t>
  </si>
  <si>
    <t>Cryptomeria japonica</t>
  </si>
  <si>
    <t>68CJ</t>
  </si>
  <si>
    <t>CRY</t>
  </si>
  <si>
    <t>CRYJAP</t>
  </si>
  <si>
    <t>Cyprès de Lawson</t>
  </si>
  <si>
    <t>Chamaecyparis lawsoniana</t>
  </si>
  <si>
    <t>68CL</t>
  </si>
  <si>
    <t>KMA</t>
  </si>
  <si>
    <t>CHALAW</t>
  </si>
  <si>
    <t>Cyprès de Lambert</t>
  </si>
  <si>
    <t>Cupressus macrocarpa</t>
  </si>
  <si>
    <t>68CM</t>
  </si>
  <si>
    <t>CLA</t>
  </si>
  <si>
    <t>CUPMAC</t>
  </si>
  <si>
    <t>Séquoia géant</t>
  </si>
  <si>
    <t>Sequoiadendron giganteum</t>
  </si>
  <si>
    <t>68SG</t>
  </si>
  <si>
    <t>SQG</t>
  </si>
  <si>
    <t>SEQGIG</t>
  </si>
  <si>
    <t>Séquoia toujours vert</t>
  </si>
  <si>
    <t>Sequoia sempervirens</t>
  </si>
  <si>
    <t>68SV</t>
  </si>
  <si>
    <t>SQV</t>
  </si>
  <si>
    <t>SEQSEM</t>
  </si>
  <si>
    <t>A1 générique</t>
  </si>
  <si>
    <t>A1 generique</t>
  </si>
  <si>
    <t>A2</t>
  </si>
  <si>
    <t>Cyprès de Provence</t>
  </si>
  <si>
    <t>Cupressus sempervirens</t>
  </si>
  <si>
    <t>CTV</t>
  </si>
  <si>
    <t>CUPSEM</t>
  </si>
  <si>
    <t>Genévrier thurifère</t>
  </si>
  <si>
    <t>Juniperus thurifera</t>
  </si>
  <si>
    <t>GET</t>
  </si>
  <si>
    <t>JUNTHU</t>
  </si>
  <si>
    <t>Genévrier commun</t>
  </si>
  <si>
    <t>Juniperus communis subsp. communis</t>
  </si>
  <si>
    <t>69JC</t>
  </si>
  <si>
    <t>GEC</t>
  </si>
  <si>
    <t>JUNCOM</t>
  </si>
  <si>
    <t>Genévrier oxycèdre</t>
  </si>
  <si>
    <t>Juniperus oxycedrus</t>
  </si>
  <si>
    <t>69JO</t>
  </si>
  <si>
    <t>GEO</t>
  </si>
  <si>
    <t>JUNOXY</t>
  </si>
  <si>
    <t>A2 générique</t>
  </si>
  <si>
    <t>A2 generique</t>
  </si>
  <si>
    <t>Cypres de Leyland</t>
  </si>
  <si>
    <t>Cupressocyparis leylandii</t>
  </si>
  <si>
    <t>CLE</t>
  </si>
  <si>
    <t>CUPLEY</t>
  </si>
  <si>
    <t>Cupressus générique</t>
  </si>
  <si>
    <t>Cupressus sp.</t>
  </si>
  <si>
    <t>inconnu (resineux) sp.</t>
  </si>
  <si>
    <t>RDV</t>
  </si>
  <si>
    <t>A3</t>
  </si>
  <si>
    <t>Abies alba subsp. alba</t>
  </si>
  <si>
    <t>S.P</t>
  </si>
  <si>
    <t>ABIALB</t>
  </si>
  <si>
    <t>Epicéa commun</t>
  </si>
  <si>
    <t>Picea abies subsp. abies</t>
  </si>
  <si>
    <t>PICABI</t>
  </si>
  <si>
    <t>Sapin de Nordmann</t>
  </si>
  <si>
    <t>Abies nordmanniana</t>
  </si>
  <si>
    <t>S.N</t>
  </si>
  <si>
    <t>ABINOR</t>
  </si>
  <si>
    <t>Epicéa de Sitka</t>
  </si>
  <si>
    <t>Picea sitchensis</t>
  </si>
  <si>
    <t>EPS</t>
  </si>
  <si>
    <t>PICSIT</t>
  </si>
  <si>
    <t>Epicéa omorica</t>
  </si>
  <si>
    <t>Picea omorika</t>
  </si>
  <si>
    <t>68EO</t>
  </si>
  <si>
    <t>Sapin du Colorado</t>
  </si>
  <si>
    <t>Abies concolor</t>
  </si>
  <si>
    <t>68SC</t>
  </si>
  <si>
    <t>SCO</t>
  </si>
  <si>
    <t>ABICON</t>
  </si>
  <si>
    <t>Sapin de Cilicie</t>
  </si>
  <si>
    <t>68SI</t>
  </si>
  <si>
    <t>SCI</t>
  </si>
  <si>
    <t>ABICIL</t>
  </si>
  <si>
    <t>Thuya du Canada</t>
  </si>
  <si>
    <t>Thuja occidentalis</t>
  </si>
  <si>
    <t>68TC</t>
  </si>
  <si>
    <t>Thuya géant</t>
  </si>
  <si>
    <t>Thuja plicata</t>
  </si>
  <si>
    <t>68TG</t>
  </si>
  <si>
    <t>THU</t>
  </si>
  <si>
    <t>THUPLI</t>
  </si>
  <si>
    <t>Tsuga hétérophylle</t>
  </si>
  <si>
    <t>Tsuga heterophylla</t>
  </si>
  <si>
    <t>68TH</t>
  </si>
  <si>
    <t>TSU</t>
  </si>
  <si>
    <t>TSUHET</t>
  </si>
  <si>
    <t>Tsuga du Canada</t>
  </si>
  <si>
    <t>Tsuga canadensis</t>
  </si>
  <si>
    <t>68TS</t>
  </si>
  <si>
    <t>Sapin de Turquie</t>
  </si>
  <si>
    <t>Abies nordmanniana subsp. bornmuelleriana</t>
  </si>
  <si>
    <t>70SB</t>
  </si>
  <si>
    <t>Sapin de Céphalonie</t>
  </si>
  <si>
    <t>Abies cephalonica</t>
  </si>
  <si>
    <t>70SC</t>
  </si>
  <si>
    <t>SCE</t>
  </si>
  <si>
    <t>ABICEP</t>
  </si>
  <si>
    <t>Sapin d'Andalousie</t>
  </si>
  <si>
    <t>Abies pinsapo</t>
  </si>
  <si>
    <t>70SE</t>
  </si>
  <si>
    <t>SPI</t>
  </si>
  <si>
    <t>ABIPIN</t>
  </si>
  <si>
    <t>Sapin noble</t>
  </si>
  <si>
    <t>Abies procera</t>
  </si>
  <si>
    <t>72N</t>
  </si>
  <si>
    <t>SNO</t>
  </si>
  <si>
    <t>ABIPRO</t>
  </si>
  <si>
    <t>Sapin de Vancouver</t>
  </si>
  <si>
    <t>Abies grandis</t>
  </si>
  <si>
    <t>72V</t>
  </si>
  <si>
    <t>S.V</t>
  </si>
  <si>
    <t>ABIGRA</t>
  </si>
  <si>
    <t>A3 générique</t>
  </si>
  <si>
    <t>A3 generique</t>
  </si>
  <si>
    <t>B</t>
  </si>
  <si>
    <t>B1</t>
  </si>
  <si>
    <t>Pin Weymouth</t>
  </si>
  <si>
    <t>Pinus strobus</t>
  </si>
  <si>
    <t>P.W</t>
  </si>
  <si>
    <t>PINSTR</t>
  </si>
  <si>
    <t>Pinus cembra</t>
  </si>
  <si>
    <t>P.C</t>
  </si>
  <si>
    <t>PINCEM</t>
  </si>
  <si>
    <t>Larix decidua subsp. decidua</t>
  </si>
  <si>
    <t>MEE</t>
  </si>
  <si>
    <t>LARDEC</t>
  </si>
  <si>
    <t>Cedrus atlantica</t>
  </si>
  <si>
    <t>CEA</t>
  </si>
  <si>
    <t>CEDATL</t>
  </si>
  <si>
    <t>Cèdre du Liban</t>
  </si>
  <si>
    <t>Cedrus libani</t>
  </si>
  <si>
    <t>CEL</t>
  </si>
  <si>
    <t>CEDLIB</t>
  </si>
  <si>
    <t>Cèdre de chypre</t>
  </si>
  <si>
    <t>Cedrus brevifolia</t>
  </si>
  <si>
    <t>68CB</t>
  </si>
  <si>
    <t>CEC</t>
  </si>
  <si>
    <t>CEDBRE</t>
  </si>
  <si>
    <t>Cèdre de l'Hymalaya</t>
  </si>
  <si>
    <t>Cedrus deodara</t>
  </si>
  <si>
    <t>68CH</t>
  </si>
  <si>
    <t>CEH</t>
  </si>
  <si>
    <t>CEDDEO</t>
  </si>
  <si>
    <t>Mélèze hybride</t>
  </si>
  <si>
    <t>Larix x marschlinsii</t>
  </si>
  <si>
    <t>74H</t>
  </si>
  <si>
    <t>MEH</t>
  </si>
  <si>
    <t>LAREUR</t>
  </si>
  <si>
    <t>Mélèze du Japon</t>
  </si>
  <si>
    <t>Larix kaempferi</t>
  </si>
  <si>
    <t>74J</t>
  </si>
  <si>
    <t>MEJ</t>
  </si>
  <si>
    <t>LARKAE</t>
  </si>
  <si>
    <t>B1 générique</t>
  </si>
  <si>
    <t>B1 generique</t>
  </si>
  <si>
    <t>Cedrus atlantica ou libani</t>
  </si>
  <si>
    <t>Cedrus atlantica_libani</t>
  </si>
  <si>
    <t>CED</t>
  </si>
  <si>
    <t>B2</t>
  </si>
  <si>
    <t>Pin maritime</t>
  </si>
  <si>
    <t>Pinus pinaster subsp. pinaster</t>
  </si>
  <si>
    <t>P.M</t>
  </si>
  <si>
    <t>PINPIN</t>
  </si>
  <si>
    <t>Pinus sylvestris</t>
  </si>
  <si>
    <t>P.S</t>
  </si>
  <si>
    <t>PINSYL</t>
  </si>
  <si>
    <t>Pinus nigra subsp. nigra</t>
  </si>
  <si>
    <t>P.O</t>
  </si>
  <si>
    <t>PINNIG</t>
  </si>
  <si>
    <t>Pin parasol</t>
  </si>
  <si>
    <t>Pinus pinea</t>
  </si>
  <si>
    <t>P.P</t>
  </si>
  <si>
    <t>Pinus mugo subsp. uncinata</t>
  </si>
  <si>
    <t>P.X</t>
  </si>
  <si>
    <t>PINUNC</t>
  </si>
  <si>
    <t>Pin mugo</t>
  </si>
  <si>
    <t>Pinus mugo</t>
  </si>
  <si>
    <t>PMU</t>
  </si>
  <si>
    <t>PINMUG</t>
  </si>
  <si>
    <t>Pinus taeda</t>
  </si>
  <si>
    <t>PAE</t>
  </si>
  <si>
    <t>PINTAE</t>
  </si>
  <si>
    <t>Pin laricio de Calabre</t>
  </si>
  <si>
    <t>Pinus nigra var. calabrica</t>
  </si>
  <si>
    <t>53CA</t>
  </si>
  <si>
    <t>PCA</t>
  </si>
  <si>
    <t>Pin laricio de Corse</t>
  </si>
  <si>
    <t>Pinus nigra var. corsicana</t>
  </si>
  <si>
    <t>53CO</t>
  </si>
  <si>
    <t>PCO</t>
  </si>
  <si>
    <t>Pin de Salzmann</t>
  </si>
  <si>
    <t>Pinus nigra subsp. salzmannii</t>
  </si>
  <si>
    <t>53S</t>
  </si>
  <si>
    <t>PSA</t>
  </si>
  <si>
    <t>Pinus halepensis</t>
  </si>
  <si>
    <t>57A</t>
  </si>
  <si>
    <t>P.A</t>
  </si>
  <si>
    <t>PINHAL</t>
  </si>
  <si>
    <t>Pin brutia (ou) eldarica</t>
  </si>
  <si>
    <t>Pinus halepensis subsp. brutia</t>
  </si>
  <si>
    <t>57B</t>
  </si>
  <si>
    <t>PBR</t>
  </si>
  <si>
    <t>PINBRU</t>
  </si>
  <si>
    <t>Pin de Murray</t>
  </si>
  <si>
    <t>Pinus contorta</t>
  </si>
  <si>
    <t>68PC</t>
  </si>
  <si>
    <t>PMY</t>
  </si>
  <si>
    <t>PINCON</t>
  </si>
  <si>
    <t>Pin de Monterey</t>
  </si>
  <si>
    <t>Pinus radiata</t>
  </si>
  <si>
    <t>68PM</t>
  </si>
  <si>
    <t>PMO</t>
  </si>
  <si>
    <t>PINRAD</t>
  </si>
  <si>
    <t>B2 générique</t>
  </si>
  <si>
    <t>B2 generique</t>
  </si>
  <si>
    <t>Pin noir pallasiana</t>
  </si>
  <si>
    <t>Pinus nigra ssp pallasiana</t>
  </si>
  <si>
    <t>P.N</t>
  </si>
  <si>
    <t>Pin générique</t>
  </si>
  <si>
    <t>Pinus sp.</t>
  </si>
  <si>
    <t>PEX</t>
  </si>
  <si>
    <t>POPX E</t>
  </si>
  <si>
    <t>C</t>
  </si>
  <si>
    <t>C1</t>
  </si>
  <si>
    <t>Cornouiller mâle</t>
  </si>
  <si>
    <t>Cornus mas</t>
  </si>
  <si>
    <t>CRN</t>
  </si>
  <si>
    <t>CORMAS</t>
  </si>
  <si>
    <t>Erable plane</t>
  </si>
  <si>
    <t>Acer platanoides</t>
  </si>
  <si>
    <t>15P</t>
  </si>
  <si>
    <t>ERP</t>
  </si>
  <si>
    <t>ACEPLA</t>
  </si>
  <si>
    <t>Erable sycomore</t>
  </si>
  <si>
    <t>Acer pseudoplatanus</t>
  </si>
  <si>
    <t>15S</t>
  </si>
  <si>
    <t>ERS</t>
  </si>
  <si>
    <t>ACEPSE</t>
  </si>
  <si>
    <t>Erable champêtre</t>
  </si>
  <si>
    <t>Acer campestre</t>
  </si>
  <si>
    <t>21C</t>
  </si>
  <si>
    <t>ERC</t>
  </si>
  <si>
    <t>ACECAM</t>
  </si>
  <si>
    <t>Erable de Montpellier</t>
  </si>
  <si>
    <t>Acer monspessulanum</t>
  </si>
  <si>
    <t>21M</t>
  </si>
  <si>
    <t>ERM</t>
  </si>
  <si>
    <t>ACEMON</t>
  </si>
  <si>
    <t>Erable à feuilles d'obier</t>
  </si>
  <si>
    <t>Acer opalus subsp. opalus</t>
  </si>
  <si>
    <t>21O</t>
  </si>
  <si>
    <t>ERO</t>
  </si>
  <si>
    <t>ACEOPA</t>
  </si>
  <si>
    <t>Erable negundo</t>
  </si>
  <si>
    <t>Acer negundo</t>
  </si>
  <si>
    <t>29EN</t>
  </si>
  <si>
    <t>ERN</t>
  </si>
  <si>
    <t>ACENEG</t>
  </si>
  <si>
    <t>Fusain d'Europe</t>
  </si>
  <si>
    <t>Euonymus europaeus</t>
  </si>
  <si>
    <t>49EV</t>
  </si>
  <si>
    <t>FUS</t>
  </si>
  <si>
    <t>EVOEUR</t>
  </si>
  <si>
    <t>Houx</t>
  </si>
  <si>
    <t>Ilex aquifolium</t>
  </si>
  <si>
    <t>49IA</t>
  </si>
  <si>
    <t>HOU</t>
  </si>
  <si>
    <t>ILEAQU</t>
  </si>
  <si>
    <t xml:space="preserve">Erable générique </t>
  </si>
  <si>
    <t>Acer sp.</t>
  </si>
  <si>
    <t>C1 générique</t>
  </si>
  <si>
    <t>C1 generique</t>
  </si>
  <si>
    <t>C2</t>
  </si>
  <si>
    <t>Olivier d'Europe</t>
  </si>
  <si>
    <t>Olea europaea var. sylvestris</t>
  </si>
  <si>
    <t>OLI</t>
  </si>
  <si>
    <t>OLEEUR</t>
  </si>
  <si>
    <t>Alisier torminal</t>
  </si>
  <si>
    <t>Sorbus torminalis</t>
  </si>
  <si>
    <t>ALT</t>
  </si>
  <si>
    <t>SORTOR</t>
  </si>
  <si>
    <t>Tulipier de Virginie</t>
  </si>
  <si>
    <t>Liriodendron tulipifera</t>
  </si>
  <si>
    <t>TUL</t>
  </si>
  <si>
    <t>LIRTUL</t>
  </si>
  <si>
    <t>Cerisier</t>
  </si>
  <si>
    <t>Prunus cerasus</t>
  </si>
  <si>
    <t>22C</t>
  </si>
  <si>
    <t>CEX</t>
  </si>
  <si>
    <t>PRUCER</t>
  </si>
  <si>
    <t>Cerisier à grappes</t>
  </si>
  <si>
    <t>Prunus padus</t>
  </si>
  <si>
    <t>22G</t>
  </si>
  <si>
    <t>CEG</t>
  </si>
  <si>
    <t>PRUPAD</t>
  </si>
  <si>
    <t>Merisier</t>
  </si>
  <si>
    <t>Prunus avium</t>
  </si>
  <si>
    <t>22M</t>
  </si>
  <si>
    <t>MER</t>
  </si>
  <si>
    <t>PRUAVI</t>
  </si>
  <si>
    <t>Cerisier tardif</t>
  </si>
  <si>
    <t>Prunus serotina</t>
  </si>
  <si>
    <t>22S</t>
  </si>
  <si>
    <t>CET</t>
  </si>
  <si>
    <t>PRUSER</t>
  </si>
  <si>
    <t>Amandier</t>
  </si>
  <si>
    <t>Prunus dulcis</t>
  </si>
  <si>
    <t>23A</t>
  </si>
  <si>
    <t>AMA</t>
  </si>
  <si>
    <t>PRUAMY</t>
  </si>
  <si>
    <t>Alisier blanc</t>
  </si>
  <si>
    <t>Sorbus aria</t>
  </si>
  <si>
    <t>23AB</t>
  </si>
  <si>
    <t>ALB</t>
  </si>
  <si>
    <t>SORARI</t>
  </si>
  <si>
    <t>Alisier de Fontainebleau</t>
  </si>
  <si>
    <t>Sorbus latifolia</t>
  </si>
  <si>
    <t>23AF</t>
  </si>
  <si>
    <t>ALF</t>
  </si>
  <si>
    <t>SORLAT</t>
  </si>
  <si>
    <t>Alisier de Mougeot</t>
  </si>
  <si>
    <t>Sorbus mougeotii</t>
  </si>
  <si>
    <t>23AM</t>
  </si>
  <si>
    <t>ALM</t>
  </si>
  <si>
    <t>SORMOU</t>
  </si>
  <si>
    <t>Cormier</t>
  </si>
  <si>
    <t>Sorbus domestica</t>
  </si>
  <si>
    <t>23C</t>
  </si>
  <si>
    <t>COR</t>
  </si>
  <si>
    <t>SORDOM</t>
  </si>
  <si>
    <t>Poirier à feuilles d'amandier</t>
  </si>
  <si>
    <t>Pyrus spinosa</t>
  </si>
  <si>
    <t>23PA</t>
  </si>
  <si>
    <t>POA</t>
  </si>
  <si>
    <t>PYRAMY</t>
  </si>
  <si>
    <t xml:space="preserve">Poirier commun </t>
  </si>
  <si>
    <t>Pyrus pyraster</t>
  </si>
  <si>
    <t>23PC</t>
  </si>
  <si>
    <t>POI</t>
  </si>
  <si>
    <t>PYRPYR</t>
  </si>
  <si>
    <t>Prunier domestique</t>
  </si>
  <si>
    <t>Prunus domestica</t>
  </si>
  <si>
    <t>23PD</t>
  </si>
  <si>
    <t>PRU</t>
  </si>
  <si>
    <t>PRUDOM</t>
  </si>
  <si>
    <t>Poirier à feuilles en coeur</t>
  </si>
  <si>
    <t>Pyrus cordata</t>
  </si>
  <si>
    <t>23PF</t>
  </si>
  <si>
    <t>Pommier sauvage</t>
  </si>
  <si>
    <t>Malus sylvestris</t>
  </si>
  <si>
    <t>23PM</t>
  </si>
  <si>
    <t>POM</t>
  </si>
  <si>
    <t>MALSYL</t>
  </si>
  <si>
    <t>Sorbier de Finlande</t>
  </si>
  <si>
    <t>Sorbus legrei</t>
  </si>
  <si>
    <t>23SF</t>
  </si>
  <si>
    <t>Sorbier des oiseleurs</t>
  </si>
  <si>
    <t>Sorbus aucuparia subsp. aucuparia</t>
  </si>
  <si>
    <t>23SO</t>
  </si>
  <si>
    <t>SOR</t>
  </si>
  <si>
    <t>SORAUC</t>
  </si>
  <si>
    <t>Sorbier de Suède</t>
  </si>
  <si>
    <t>Sorbus intermedia</t>
  </si>
  <si>
    <t>23SS</t>
  </si>
  <si>
    <t>Platane à feuilles d'érable</t>
  </si>
  <si>
    <t>Platanus x hispanica</t>
  </si>
  <si>
    <t>26E</t>
  </si>
  <si>
    <t>PLA</t>
  </si>
  <si>
    <t>PLAHYB</t>
  </si>
  <si>
    <t>Platane d'Occident</t>
  </si>
  <si>
    <t>26OC</t>
  </si>
  <si>
    <t>PLW</t>
  </si>
  <si>
    <t>PLAOCC</t>
  </si>
  <si>
    <t>Platane d'Orient</t>
  </si>
  <si>
    <t>Platanus orientalis</t>
  </si>
  <si>
    <t>26OR</t>
  </si>
  <si>
    <t>PLO</t>
  </si>
  <si>
    <t>PLAORI</t>
  </si>
  <si>
    <t>Noyer commun</t>
  </si>
  <si>
    <t>Juglans regia</t>
  </si>
  <si>
    <t>27C</t>
  </si>
  <si>
    <t>NOC</t>
  </si>
  <si>
    <t>JUGREG</t>
  </si>
  <si>
    <t>Noyer noir</t>
  </si>
  <si>
    <t>Juglans nigra</t>
  </si>
  <si>
    <t>27N</t>
  </si>
  <si>
    <t>NON</t>
  </si>
  <si>
    <t>JUGNIG</t>
  </si>
  <si>
    <t>Paulownia</t>
  </si>
  <si>
    <t>Paulownia tomentosa</t>
  </si>
  <si>
    <t>29PT</t>
  </si>
  <si>
    <t>Bourdaine</t>
  </si>
  <si>
    <t>Frangula dodonei subsp. dodonei</t>
  </si>
  <si>
    <t>49BO</t>
  </si>
  <si>
    <t>BRD</t>
  </si>
  <si>
    <t>RHAFRA</t>
  </si>
  <si>
    <t>Cognassier</t>
  </si>
  <si>
    <t>Cydonia oblonga</t>
  </si>
  <si>
    <t>49C</t>
  </si>
  <si>
    <t>Oranger</t>
  </si>
  <si>
    <t>Citrus aurantium</t>
  </si>
  <si>
    <t>49CA</t>
  </si>
  <si>
    <t>Cédratier</t>
  </si>
  <si>
    <t>Citrus medica</t>
  </si>
  <si>
    <t>49CM</t>
  </si>
  <si>
    <t>Mandarinier</t>
  </si>
  <si>
    <t>Citrus reticulata</t>
  </si>
  <si>
    <t>49CN</t>
  </si>
  <si>
    <t>Arbre de Judée</t>
  </si>
  <si>
    <t>Cercis siliquastrum</t>
  </si>
  <si>
    <t>49CS</t>
  </si>
  <si>
    <t>ADJ</t>
  </si>
  <si>
    <t>Filaire à feuilles étroites</t>
  </si>
  <si>
    <t>Phillyrea angustifolia</t>
  </si>
  <si>
    <t>49FA</t>
  </si>
  <si>
    <t>FIE</t>
  </si>
  <si>
    <t>PHIANG</t>
  </si>
  <si>
    <t>Filaire à feuilles larges</t>
  </si>
  <si>
    <t>Phillyrea latifolia</t>
  </si>
  <si>
    <t>49FL</t>
  </si>
  <si>
    <t>FIL</t>
  </si>
  <si>
    <t>PHILAT</t>
  </si>
  <si>
    <t>Kaki</t>
  </si>
  <si>
    <t>Diospyros kaki</t>
  </si>
  <si>
    <t>49KK</t>
  </si>
  <si>
    <t>Laurier noble</t>
  </si>
  <si>
    <t>Laurus nobilis</t>
  </si>
  <si>
    <t>49LN</t>
  </si>
  <si>
    <t>Olivier de Bohême</t>
  </si>
  <si>
    <t>Elaeagnus angustifolia</t>
  </si>
  <si>
    <t>49OB</t>
  </si>
  <si>
    <t>Oranger des Osages</t>
  </si>
  <si>
    <t>Maclura pomifera</t>
  </si>
  <si>
    <t>49OO</t>
  </si>
  <si>
    <t>Abricotier</t>
  </si>
  <si>
    <t>Prunus armeniaca</t>
  </si>
  <si>
    <t>49PA</t>
  </si>
  <si>
    <t xml:space="preserve">Prunier de Briançon </t>
  </si>
  <si>
    <t>Prunus brigantina</t>
  </si>
  <si>
    <t>49PB</t>
  </si>
  <si>
    <t>Prune-cerise</t>
  </si>
  <si>
    <t>Prunus cerasifera</t>
  </si>
  <si>
    <t>49PC</t>
  </si>
  <si>
    <t>Pistachier lentisque</t>
  </si>
  <si>
    <t>Pistacia lentiscus</t>
  </si>
  <si>
    <t>49PL</t>
  </si>
  <si>
    <t>PIL</t>
  </si>
  <si>
    <t>PISLEN</t>
  </si>
  <si>
    <t>Cerisier de Sainte-Lucie</t>
  </si>
  <si>
    <t>Prunus mahaleb</t>
  </si>
  <si>
    <t>49PM</t>
  </si>
  <si>
    <t>CSL</t>
  </si>
  <si>
    <t>PRUMAH</t>
  </si>
  <si>
    <t>Poirier neigeux</t>
  </si>
  <si>
    <t>Pyrus nivalis</t>
  </si>
  <si>
    <t>49PN</t>
  </si>
  <si>
    <t>Prunellier</t>
  </si>
  <si>
    <t>Prunus spinosa</t>
  </si>
  <si>
    <t>49PS</t>
  </si>
  <si>
    <t>PRL</t>
  </si>
  <si>
    <t>PRUSPI</t>
  </si>
  <si>
    <t>Pistachier térébinthe</t>
  </si>
  <si>
    <t>Pistacia terebinthus</t>
  </si>
  <si>
    <t>49PT</t>
  </si>
  <si>
    <t>PIT</t>
  </si>
  <si>
    <t>PISTER</t>
  </si>
  <si>
    <t>Nerprun alaterne</t>
  </si>
  <si>
    <t>Rhamnus alaternus</t>
  </si>
  <si>
    <t>49RA</t>
  </si>
  <si>
    <t>NAL</t>
  </si>
  <si>
    <t>RHAALA</t>
  </si>
  <si>
    <t>Nerprun purgatif</t>
  </si>
  <si>
    <t>Rhamnus cathartica</t>
  </si>
  <si>
    <t>49RC</t>
  </si>
  <si>
    <t>NPU</t>
  </si>
  <si>
    <t>RHACAT</t>
  </si>
  <si>
    <t>Nerprun des Alpes</t>
  </si>
  <si>
    <t>Rhamnus alpina</t>
  </si>
  <si>
    <t>49RP</t>
  </si>
  <si>
    <t>NDA</t>
  </si>
  <si>
    <t>RHAALP</t>
  </si>
  <si>
    <t>C2 générique</t>
  </si>
  <si>
    <t>C2 generique</t>
  </si>
  <si>
    <t>Fruitiers divers</t>
  </si>
  <si>
    <t>FRU</t>
  </si>
  <si>
    <t>Platane générique</t>
  </si>
  <si>
    <t>Platanus sp.</t>
  </si>
  <si>
    <t>Genre prunus</t>
  </si>
  <si>
    <t>Prunus sp.</t>
  </si>
  <si>
    <t>C3</t>
  </si>
  <si>
    <t>Hêtre</t>
  </si>
  <si>
    <t>Fagus sylvatica</t>
  </si>
  <si>
    <t>09</t>
  </si>
  <si>
    <t>FAGSYL</t>
  </si>
  <si>
    <t>Charme</t>
  </si>
  <si>
    <t>Carpinus betulus</t>
  </si>
  <si>
    <t>CHA</t>
  </si>
  <si>
    <t>CARBET</t>
  </si>
  <si>
    <t>Charme houblon</t>
  </si>
  <si>
    <t>Ostrya carpinifolia</t>
  </si>
  <si>
    <t>OST</t>
  </si>
  <si>
    <t>OSTCAR</t>
  </si>
  <si>
    <t>If</t>
  </si>
  <si>
    <t>Taxus baccata</t>
  </si>
  <si>
    <t>IFS</t>
  </si>
  <si>
    <t>TAXBAC</t>
  </si>
  <si>
    <t>Frêne commun</t>
  </si>
  <si>
    <t>Fraxinus excelsior</t>
  </si>
  <si>
    <t>17C</t>
  </si>
  <si>
    <t>FRC</t>
  </si>
  <si>
    <t>FRAEXC</t>
  </si>
  <si>
    <t>Frêne à  fleur</t>
  </si>
  <si>
    <t>Fraxinus ornus subsp. ornus</t>
  </si>
  <si>
    <t>17F</t>
  </si>
  <si>
    <t>FRF</t>
  </si>
  <si>
    <t>FRAORN</t>
  </si>
  <si>
    <t>Frêne oxyphylle</t>
  </si>
  <si>
    <t>Fraxinus angustifolia subsp. angustifolia</t>
  </si>
  <si>
    <t>17O</t>
  </si>
  <si>
    <t>FRO</t>
  </si>
  <si>
    <t>FRAANG</t>
  </si>
  <si>
    <t>Frêne d'Amérique</t>
  </si>
  <si>
    <t>Fraxinus americana</t>
  </si>
  <si>
    <t>29FA</t>
  </si>
  <si>
    <t>C3 générique</t>
  </si>
  <si>
    <t>C3 generique</t>
  </si>
  <si>
    <t>D1</t>
  </si>
  <si>
    <t>Noisetier coudrier</t>
  </si>
  <si>
    <t>Corylus avellana</t>
  </si>
  <si>
    <t>NOI</t>
  </si>
  <si>
    <t>CORAVE</t>
  </si>
  <si>
    <t>Eucalyptus (Genre)</t>
  </si>
  <si>
    <t>Eucalyptus</t>
  </si>
  <si>
    <t>EUC</t>
  </si>
  <si>
    <t>EUCSP.</t>
  </si>
  <si>
    <t>Orme champêtre</t>
  </si>
  <si>
    <t>Ulmus minor subsp. minor</t>
  </si>
  <si>
    <t>18C</t>
  </si>
  <si>
    <t>ORC</t>
  </si>
  <si>
    <t>ULMMIN</t>
  </si>
  <si>
    <t>Orme lisse</t>
  </si>
  <si>
    <t>Ulmus laevis</t>
  </si>
  <si>
    <t>18D</t>
  </si>
  <si>
    <t>ORD</t>
  </si>
  <si>
    <t>ULMLAE</t>
  </si>
  <si>
    <t>Orme de montagne</t>
  </si>
  <si>
    <t>Ulmus glabra subsp. glabra</t>
  </si>
  <si>
    <t>18M</t>
  </si>
  <si>
    <t>ORT</t>
  </si>
  <si>
    <t>ULMGLA</t>
  </si>
  <si>
    <t>Bruyère arborescente</t>
  </si>
  <si>
    <t>Erica arborea</t>
  </si>
  <si>
    <t>49EA</t>
  </si>
  <si>
    <t>BAR</t>
  </si>
  <si>
    <t>ERIARB</t>
  </si>
  <si>
    <t>Sureau noir</t>
  </si>
  <si>
    <t>Sambucus nigra</t>
  </si>
  <si>
    <t>49SN</t>
  </si>
  <si>
    <t>SUN</t>
  </si>
  <si>
    <t>SAMNIG</t>
  </si>
  <si>
    <t>Sureau à grappes</t>
  </si>
  <si>
    <t>Sambucus racemosa</t>
  </si>
  <si>
    <t>49SR</t>
  </si>
  <si>
    <t>SUR</t>
  </si>
  <si>
    <t>SAMRAC</t>
  </si>
  <si>
    <t>D1 générique</t>
  </si>
  <si>
    <t>D1 generique</t>
  </si>
  <si>
    <t>Orme générique</t>
  </si>
  <si>
    <t>Ulmus sp.</t>
  </si>
  <si>
    <t>ORM</t>
  </si>
  <si>
    <t>Robinier faux acacia</t>
  </si>
  <si>
    <t>Robinia pseudoacacia</t>
  </si>
  <si>
    <t>ROB</t>
  </si>
  <si>
    <t>ROBPSE</t>
  </si>
  <si>
    <t>Peuplier Autre cultivé</t>
  </si>
  <si>
    <t>PEI</t>
  </si>
  <si>
    <t>POPX I</t>
  </si>
  <si>
    <t>Tremble</t>
  </si>
  <si>
    <t>Populus tremula</t>
  </si>
  <si>
    <t>TRE</t>
  </si>
  <si>
    <t>POPTRE</t>
  </si>
  <si>
    <t>Alnus alnobetula subsp. alnobetula</t>
  </si>
  <si>
    <t>AUV</t>
  </si>
  <si>
    <t>ALNVIR</t>
  </si>
  <si>
    <t>Arbousier</t>
  </si>
  <si>
    <t>Arbutus unedo</t>
  </si>
  <si>
    <t>ARB</t>
  </si>
  <si>
    <t>ARBUNE</t>
  </si>
  <si>
    <t>Saule à trois étamines</t>
  </si>
  <si>
    <t>Salix triandra</t>
  </si>
  <si>
    <t>25E3</t>
  </si>
  <si>
    <t>SA3</t>
  </si>
  <si>
    <t>SALTRI</t>
  </si>
  <si>
    <t xml:space="preserve">Saule à cinq étamines </t>
  </si>
  <si>
    <t>Salix pentandra</t>
  </si>
  <si>
    <t>25E5</t>
  </si>
  <si>
    <t>SAE</t>
  </si>
  <si>
    <t>SALPEN</t>
  </si>
  <si>
    <t>Bouleau pubescent</t>
  </si>
  <si>
    <t>Betula pubescens</t>
  </si>
  <si>
    <t>12P</t>
  </si>
  <si>
    <t>BOP</t>
  </si>
  <si>
    <t>BETPUB</t>
  </si>
  <si>
    <t>Bouleau verruqueux</t>
  </si>
  <si>
    <t>Betula pendula</t>
  </si>
  <si>
    <t>12V</t>
  </si>
  <si>
    <t>BOV</t>
  </si>
  <si>
    <t>BETPEN</t>
  </si>
  <si>
    <t>Aulne blanc</t>
  </si>
  <si>
    <t>Alnus incana</t>
  </si>
  <si>
    <t>13B</t>
  </si>
  <si>
    <t>AUB</t>
  </si>
  <si>
    <t>ALNINC</t>
  </si>
  <si>
    <t>Aulne de Corse</t>
  </si>
  <si>
    <t>Alnus cordata</t>
  </si>
  <si>
    <t>13C</t>
  </si>
  <si>
    <t>AUC</t>
  </si>
  <si>
    <t>ALNCOR</t>
  </si>
  <si>
    <t>Aulne glutineux</t>
  </si>
  <si>
    <t>Alnus glutinosa</t>
  </si>
  <si>
    <t>13G</t>
  </si>
  <si>
    <t>AUG</t>
  </si>
  <si>
    <t>ALNGLU</t>
  </si>
  <si>
    <t>Tilleul à grandes feuilles</t>
  </si>
  <si>
    <t>20G</t>
  </si>
  <si>
    <t>id_emerge</t>
  </si>
  <si>
    <t>Groupe</t>
  </si>
  <si>
    <t>Group_ess</t>
  </si>
  <si>
    <t>Meth_Gpt</t>
  </si>
  <si>
    <t>num</t>
  </si>
  <si>
    <t>code_franc</t>
  </si>
  <si>
    <t>nom_franc</t>
  </si>
  <si>
    <t>tax_ref</t>
  </si>
  <si>
    <t>nom_lat</t>
  </si>
  <si>
    <t>codesp</t>
  </si>
  <si>
    <t>espar</t>
  </si>
  <si>
    <t>code3_onf</t>
  </si>
  <si>
    <t>code6_onf</t>
  </si>
  <si>
    <t>Eff_INRA</t>
  </si>
  <si>
    <t>Vtot_param_moy</t>
  </si>
  <si>
    <t>Vtot_a</t>
  </si>
  <si>
    <t>Vtot_b_hdn</t>
  </si>
  <si>
    <t>Vtot_c_hsurd</t>
  </si>
  <si>
    <t>Eff_IFN</t>
  </si>
  <si>
    <t>Vtige_d</t>
  </si>
  <si>
    <t>Vtige_e_logis</t>
  </si>
  <si>
    <t>Vtige_f_hdn</t>
  </si>
  <si>
    <t>Vtige_g_invc130</t>
  </si>
  <si>
    <t>Vhoup_B</t>
  </si>
  <si>
    <t>Vhoup_Alpha</t>
  </si>
  <si>
    <t>dens_Chave_Zanne</t>
  </si>
  <si>
    <t xml:space="preserve"> dens_Dupouey</t>
  </si>
  <si>
    <t>BT31-RDVTECH44</t>
  </si>
  <si>
    <t>Nb tiges avant éclaircies (nb/ha)</t>
  </si>
  <si>
    <t>Av/ap Eclaircie</t>
  </si>
  <si>
    <t>Nb de tiges prélevées  (nb/ha)</t>
  </si>
  <si>
    <t>Diamètre (en cm)</t>
  </si>
  <si>
    <t>Circonférence (en m)</t>
  </si>
  <si>
    <t>Hauteur (en m) - BT31</t>
  </si>
  <si>
    <t>Vol. Unitaire (en m3) - RDV tech N°44</t>
  </si>
  <si>
    <t>a</t>
  </si>
  <si>
    <t>b</t>
  </si>
  <si>
    <t>c</t>
  </si>
  <si>
    <t>PI</t>
  </si>
  <si>
    <t>Volume sur la parcelle (en m3/ha)</t>
  </si>
  <si>
    <t>Volume eclaircie (en m3/ha)</t>
  </si>
  <si>
    <t>Infra densité</t>
  </si>
  <si>
    <t>Biomasse Aérienne (tMS/ha)</t>
  </si>
  <si>
    <t>Biomasse racinaire (tMS/ha)</t>
  </si>
  <si>
    <t>Biomasse totale (tMS/ha)</t>
  </si>
  <si>
    <t>Biomasse en tCO2/ha</t>
  </si>
  <si>
    <t>variable à chercher</t>
  </si>
  <si>
    <t>30ap</t>
  </si>
  <si>
    <t>Cedre_Atlas</t>
  </si>
  <si>
    <t>Chene_pedoncule</t>
  </si>
  <si>
    <t>Chene_sessile</t>
  </si>
  <si>
    <t>Guide de sylviculture</t>
  </si>
  <si>
    <t>Essence disponible</t>
  </si>
  <si>
    <t>Guide sylvicole disponible par essence</t>
  </si>
  <si>
    <t>GSM_Alpes_du_Sud</t>
  </si>
  <si>
    <t>guide_chenaie_continentale</t>
  </si>
  <si>
    <t>guide_chenaie_atlantique</t>
  </si>
  <si>
    <t>guide_national</t>
  </si>
  <si>
    <t>Fertilité disponible par essence et par guide</t>
  </si>
  <si>
    <t>Itinéraire disponible par essence/par guide/par fertilité</t>
  </si>
  <si>
    <t>Diamètre d'exploitabilité</t>
  </si>
  <si>
    <t>ESSENCE ATYPIQUE 2</t>
  </si>
  <si>
    <t>2 - Définition du scénario de projet - Essences forestières classiques [OBLIGATOIRE]</t>
  </si>
  <si>
    <t>Application des Rabais</t>
  </si>
  <si>
    <t>Valeur du rabais</t>
  </si>
  <si>
    <t>Analyse Economique de l'additionnalité</t>
  </si>
  <si>
    <t>Non</t>
  </si>
  <si>
    <t>A remplir</t>
  </si>
  <si>
    <t>Vérification additionnelle de terrain  (à n+5 si non atteinte de la densité de 900tiges/ha)</t>
  </si>
  <si>
    <t>A calculer, non fixé, uniquement si densité inférieure aux seuils prévus</t>
  </si>
  <si>
    <t>Risque Incendie</t>
  </si>
  <si>
    <t>Risque généraux difficilement maitrisables</t>
  </si>
  <si>
    <t>Obligatoire</t>
  </si>
  <si>
    <t>Résineux</t>
  </si>
  <si>
    <t>Rabais</t>
  </si>
  <si>
    <t>Oui</t>
  </si>
  <si>
    <t>Incendie</t>
  </si>
  <si>
    <t>Fort ou très fort</t>
  </si>
  <si>
    <t>Moyen</t>
  </si>
  <si>
    <t>Très faible ou faible</t>
  </si>
  <si>
    <t>Classement non clair par commune</t>
  </si>
  <si>
    <t>Non concerné</t>
  </si>
  <si>
    <t>3 - Rabais appliqués [OBLIGATOIRE]</t>
  </si>
  <si>
    <t>2 bis - Définition du scénario de projet - Essences atypiques [FACULTATIF]</t>
  </si>
  <si>
    <t>Type essence</t>
  </si>
  <si>
    <t>%BE av 30ans</t>
  </si>
  <si>
    <t>%BI av 30ans</t>
  </si>
  <si>
    <t>%BO av 30ans</t>
  </si>
  <si>
    <t>Coefficient de substitution avant 30 ans</t>
  </si>
  <si>
    <t>REE cumulé (tCO2/ha)</t>
  </si>
  <si>
    <t>REE substitution (tCO2/ha)</t>
  </si>
  <si>
    <t>REA stockage (tCO2/ha)</t>
  </si>
  <si>
    <t>% Sciage</t>
  </si>
  <si>
    <t>%panneaux</t>
  </si>
  <si>
    <t>%papier</t>
  </si>
  <si>
    <t>Substitution  sur les 30 premières années (tCO2/ha)</t>
  </si>
  <si>
    <t>volume Sciage (m3)</t>
  </si>
  <si>
    <t>volume Papier (m3</t>
  </si>
  <si>
    <t>volume panneaux (m3</t>
  </si>
  <si>
    <t>Flux CO2 Sciage (tCO2)</t>
  </si>
  <si>
    <t>Flux CO2 panneaux (tCO2)</t>
  </si>
  <si>
    <t>Flux CO2 Papier (tCO2)</t>
  </si>
  <si>
    <t>K (ln2/t(1/2))</t>
  </si>
  <si>
    <t>Stock Carbone Sciage (tCO2)</t>
  </si>
  <si>
    <t>Stock Carbone panneaux (tCO2)</t>
  </si>
  <si>
    <t>Stock Carbone papier (tCO2)</t>
  </si>
  <si>
    <t>Stock total (tCO2)</t>
  </si>
  <si>
    <t>stock total cumulé (tCO2)</t>
  </si>
  <si>
    <t>REA (30) en tCO2</t>
  </si>
  <si>
    <t>Total REE/REA par hectare (tCO2/ha)</t>
  </si>
  <si>
    <t>Total après rabais (tCO2/ha)</t>
  </si>
  <si>
    <t>surface (ha)</t>
  </si>
  <si>
    <t>total REE + REA (tCO2)</t>
  </si>
  <si>
    <t>4 - Calcul des Réductions d'émissions (REAforêt + REA produits + REE substitution) [OBLIGATOIRE]</t>
  </si>
  <si>
    <t>ITK</t>
  </si>
  <si>
    <t>CONCAT</t>
  </si>
  <si>
    <t>date_ajout</t>
  </si>
  <si>
    <t>ACM_G</t>
  </si>
  <si>
    <t>ACC_G</t>
  </si>
  <si>
    <t>PTV</t>
  </si>
  <si>
    <t>ACM_V</t>
  </si>
  <si>
    <t>ACC_V</t>
  </si>
  <si>
    <t>Dg_ecl</t>
  </si>
  <si>
    <t>%GB_fcba</t>
  </si>
  <si>
    <t>%BO_fcba</t>
  </si>
  <si>
    <t>%PB_FCBA</t>
  </si>
  <si>
    <t>V_BO</t>
  </si>
  <si>
    <t>V_BI_panneaux</t>
  </si>
  <si>
    <t>V_BI_papier</t>
  </si>
  <si>
    <t>V_BE</t>
  </si>
  <si>
    <t>C_yield</t>
  </si>
  <si>
    <t>T.Sardin-S.Fournier</t>
  </si>
  <si>
    <t>Sydy</t>
  </si>
  <si>
    <t>Capsis2020_sydy24-03-2021</t>
  </si>
  <si>
    <t>P.Dreyfus-S.Fournier</t>
  </si>
  <si>
    <t>PNA</t>
  </si>
  <si>
    <t>GSM_AS</t>
  </si>
  <si>
    <t>Inconnu</t>
  </si>
  <si>
    <t>Archives P.Dreyfus</t>
  </si>
  <si>
    <t>PS1_d3</t>
  </si>
  <si>
    <t>PS2_d2</t>
  </si>
  <si>
    <t>40-45</t>
  </si>
  <si>
    <t>Capsis2020-sydy12-02-2021a</t>
  </si>
  <si>
    <t>initialisation_Salem</t>
  </si>
  <si>
    <t>Concaténation</t>
  </si>
  <si>
    <t>type essence</t>
  </si>
  <si>
    <t>Feuillus</t>
  </si>
  <si>
    <t>EN ATTENTE DE DONNEES</t>
  </si>
  <si>
    <t>DONNEES OK</t>
  </si>
  <si>
    <t>v</t>
  </si>
  <si>
    <t>INRA</t>
  </si>
  <si>
    <t>ONF 1993</t>
  </si>
  <si>
    <t>PA</t>
  </si>
  <si>
    <t>Somme REE+REA</t>
  </si>
  <si>
    <t>Moyenne tCO2/ha</t>
  </si>
  <si>
    <t>Données : table de production de P. Richard 1987</t>
  </si>
  <si>
    <t>F_Littorales_Atl_Dunaires</t>
  </si>
  <si>
    <t>Forêts littorales Atlantiques dunaires</t>
  </si>
  <si>
    <t>Hypothèse à justifier</t>
  </si>
  <si>
    <t>Guide chênaie atlantique - Mémento Sylvicole Coupes</t>
  </si>
  <si>
    <t xml:space="preserve">REE Substitution </t>
  </si>
  <si>
    <t>REE Substitution 30</t>
  </si>
  <si>
    <t>Sydy_NRG</t>
  </si>
  <si>
    <t>Capsis2020-sydy24-03-2021</t>
  </si>
  <si>
    <t>M.Simeoni-S.Fournier</t>
  </si>
  <si>
    <t>PIN_ALEP</t>
  </si>
  <si>
    <t>35-40</t>
  </si>
  <si>
    <t>80-85</t>
  </si>
  <si>
    <t>Archives M.Simeoni</t>
  </si>
  <si>
    <t>ESSENCE 1</t>
  </si>
  <si>
    <t>ESSENCE 2</t>
  </si>
  <si>
    <t>Démonstration réalisée?</t>
  </si>
  <si>
    <t>Justification de la classe de production</t>
  </si>
  <si>
    <t>ESSENCE ATYPIQUE 1</t>
  </si>
  <si>
    <t>Coefficient multiplicateur</t>
  </si>
  <si>
    <t>ESSENCE ATYPIQUE 3</t>
  </si>
  <si>
    <r>
      <t xml:space="preserve">total REE + REA (tCO2) </t>
    </r>
    <r>
      <rPr>
        <b/>
        <sz val="11"/>
        <color rgb="FFFF0000"/>
        <rFont val="Calibri"/>
        <family val="2"/>
        <scheme val="minor"/>
      </rPr>
      <t>AVANT RABAIS</t>
    </r>
  </si>
  <si>
    <t>1 - Définition du scénario de référence [OBLIGATOIRE]</t>
  </si>
  <si>
    <t>Capsis2020_PP3_LEMOINE</t>
  </si>
  <si>
    <t>LANDES</t>
  </si>
  <si>
    <t>initialisation_PP3</t>
  </si>
  <si>
    <t>Landes</t>
  </si>
  <si>
    <t>Pin Maritime_F3_Classique_Landes_</t>
  </si>
  <si>
    <t>Chêne liège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</si>
</sst>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0"/>
    <numFmt numFmtId="166" formatCode="0.0"/>
  </numFmts>
  <fonts count="3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FFFF"/>
      <name val="Calibri"/>
      <family val="2"/>
      <scheme val="minor"/>
    </font>
    <font>
      <vertAlign val="superscript"/>
      <sz val="11"/>
      <color rgb="FFFFFFFF"/>
      <name val="Times New Roman"/>
      <family val="1"/>
    </font>
    <font>
      <sz val="11"/>
      <color rgb="FFFFFFFF"/>
      <name val="Times New Roman"/>
      <family val="1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name val="Arial"/>
      <family val="2"/>
    </font>
    <font>
      <sz val="9"/>
      <name val="MS Sans Serif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70C0"/>
      <name val="Arial"/>
      <family val="2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 style="medium">
        <color rgb="FFFFD966"/>
      </left>
      <right style="medium">
        <color rgb="FFFFD966"/>
      </right>
      <top/>
      <bottom style="medium">
        <color rgb="FFFFD966"/>
      </bottom>
      <diagonal/>
    </border>
    <border>
      <left style="medium">
        <color rgb="FFFFD966"/>
      </left>
      <right style="medium">
        <color rgb="FFFFD966"/>
      </right>
      <top/>
      <bottom/>
      <diagonal/>
    </border>
    <border>
      <left style="medium">
        <color rgb="FFFFD966"/>
      </left>
      <right style="medium">
        <color rgb="FFFFD966"/>
      </right>
      <top style="medium">
        <color rgb="FFFFD966"/>
      </top>
      <bottom style="medium">
        <color rgb="FFFFD96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11" fillId="8" borderId="0" applyNumberFormat="0" applyBorder="0" applyAlignment="0" applyProtection="0"/>
    <xf numFmtId="0" fontId="14" fillId="0" borderId="0" applyNumberFormat="0" applyFill="0" applyBorder="0" applyAlignment="0" applyProtection="0"/>
    <xf numFmtId="9" fontId="32" fillId="0" borderId="0" applyFont="0" applyFill="0" applyBorder="0" applyAlignment="0" applyProtection="0"/>
  </cellStyleXfs>
  <cellXfs count="384">
    <xf numFmtId="0" fontId="0" fillId="0" borderId="0" xfId="0"/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0" xfId="0" applyFill="1"/>
    <xf numFmtId="1" fontId="0" fillId="6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2" fontId="10" fillId="7" borderId="0" xfId="0" applyNumberFormat="1" applyFon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9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14" fillId="12" borderId="12" xfId="3" applyFill="1" applyBorder="1" applyAlignment="1">
      <alignment horizontal="center" vertical="center"/>
    </xf>
    <xf numFmtId="4" fontId="0" fillId="12" borderId="12" xfId="0" applyNumberFormat="1" applyFill="1" applyBorder="1" applyAlignment="1">
      <alignment horizontal="center" vertical="center"/>
    </xf>
    <xf numFmtId="0" fontId="14" fillId="9" borderId="12" xfId="3" applyFill="1" applyBorder="1" applyAlignment="1">
      <alignment horizontal="center" vertical="center"/>
    </xf>
    <xf numFmtId="0" fontId="15" fillId="12" borderId="1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9" borderId="12" xfId="0" applyFont="1" applyFill="1" applyBorder="1" applyAlignment="1">
      <alignment horizontal="center" vertical="center"/>
    </xf>
    <xf numFmtId="0" fontId="0" fillId="0" borderId="12" xfId="0" applyBorder="1"/>
    <xf numFmtId="0" fontId="11" fillId="8" borderId="12" xfId="2" applyBorder="1" applyAlignment="1">
      <alignment horizontal="center"/>
    </xf>
    <xf numFmtId="0" fontId="17" fillId="13" borderId="16" xfId="0" applyFont="1" applyFill="1" applyBorder="1" applyAlignment="1">
      <alignment horizontal="center" vertical="center" wrapText="1"/>
    </xf>
    <xf numFmtId="0" fontId="20" fillId="14" borderId="17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3" fontId="0" fillId="0" borderId="0" xfId="0" applyNumberFormat="1"/>
    <xf numFmtId="0" fontId="0" fillId="9" borderId="0" xfId="0" applyFill="1" applyAlignment="1">
      <alignment horizontal="left" vertical="center"/>
    </xf>
    <xf numFmtId="0" fontId="20" fillId="14" borderId="18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top" wrapText="1"/>
    </xf>
    <xf numFmtId="0" fontId="0" fillId="9" borderId="0" xfId="0" applyFill="1" applyAlignment="1">
      <alignment horizontal="left"/>
    </xf>
    <xf numFmtId="0" fontId="0" fillId="0" borderId="12" xfId="0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13" fillId="12" borderId="12" xfId="0" applyFont="1" applyFill="1" applyBorder="1" applyAlignment="1">
      <alignment horizontal="center" vertical="center" wrapText="1"/>
    </xf>
    <xf numFmtId="0" fontId="13" fillId="12" borderId="12" xfId="0" applyFont="1" applyFill="1" applyBorder="1"/>
    <xf numFmtId="3" fontId="0" fillId="0" borderId="12" xfId="0" applyNumberFormat="1" applyBorder="1" applyAlignment="1">
      <alignment horizontal="center" vertical="center"/>
    </xf>
    <xf numFmtId="4" fontId="0" fillId="0" borderId="12" xfId="0" applyNumberFormat="1" applyBorder="1"/>
    <xf numFmtId="3" fontId="13" fillId="12" borderId="12" xfId="0" applyNumberFormat="1" applyFont="1" applyFill="1" applyBorder="1" applyAlignment="1">
      <alignment horizontal="center" vertical="center"/>
    </xf>
    <xf numFmtId="4" fontId="13" fillId="12" borderId="12" xfId="0" applyNumberFormat="1" applyFont="1" applyFill="1" applyBorder="1" applyAlignment="1">
      <alignment horizontal="center" vertical="center"/>
    </xf>
    <xf numFmtId="4" fontId="0" fillId="0" borderId="12" xfId="0" applyNumberFormat="1" applyBorder="1" applyAlignment="1">
      <alignment horizontal="center"/>
    </xf>
    <xf numFmtId="0" fontId="0" fillId="15" borderId="12" xfId="0" applyFill="1" applyBorder="1" applyAlignment="1">
      <alignment horizontal="center" vertical="center"/>
    </xf>
    <xf numFmtId="0" fontId="0" fillId="16" borderId="0" xfId="0" applyFill="1" applyAlignment="1">
      <alignment horizontal="center"/>
    </xf>
    <xf numFmtId="4" fontId="11" fillId="8" borderId="12" xfId="2" applyNumberFormat="1" applyBorder="1" applyAlignment="1">
      <alignment horizontal="center" vertical="center"/>
    </xf>
    <xf numFmtId="4" fontId="0" fillId="16" borderId="0" xfId="0" applyNumberFormat="1" applyFill="1" applyAlignment="1">
      <alignment horizontal="center" vertical="center"/>
    </xf>
    <xf numFmtId="0" fontId="0" fillId="2" borderId="12" xfId="0" applyFill="1" applyBorder="1"/>
    <xf numFmtId="0" fontId="16" fillId="0" borderId="0" xfId="0" applyFont="1" applyAlignment="1">
      <alignment wrapText="1"/>
    </xf>
    <xf numFmtId="0" fontId="16" fillId="9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wrapText="1"/>
    </xf>
    <xf numFmtId="0" fontId="22" fillId="16" borderId="0" xfId="0" applyFont="1" applyFill="1" applyAlignment="1">
      <alignment wrapText="1"/>
    </xf>
    <xf numFmtId="0" fontId="11" fillId="8" borderId="12" xfId="2" applyBorder="1" applyAlignment="1">
      <alignment wrapText="1"/>
    </xf>
    <xf numFmtId="0" fontId="23" fillId="0" borderId="0" xfId="0" applyFont="1" applyAlignment="1">
      <alignment wrapText="1"/>
    </xf>
    <xf numFmtId="0" fontId="0" fillId="17" borderId="12" xfId="0" applyFill="1" applyBorder="1" applyAlignment="1">
      <alignment horizontal="center" vertical="center"/>
    </xf>
    <xf numFmtId="0" fontId="16" fillId="16" borderId="0" xfId="0" applyFont="1" applyFill="1" applyAlignment="1">
      <alignment wrapText="1"/>
    </xf>
    <xf numFmtId="0" fontId="7" fillId="8" borderId="12" xfId="2" applyFont="1" applyBorder="1" applyAlignment="1">
      <alignment wrapText="1"/>
    </xf>
    <xf numFmtId="0" fontId="7" fillId="8" borderId="12" xfId="2" applyFont="1" applyBorder="1" applyAlignment="1">
      <alignment horizontal="center"/>
    </xf>
    <xf numFmtId="2" fontId="0" fillId="12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0" fillId="18" borderId="12" xfId="0" applyFont="1" applyFill="1" applyBorder="1" applyAlignment="1">
      <alignment horizontal="center"/>
    </xf>
    <xf numFmtId="0" fontId="0" fillId="18" borderId="12" xfId="0" applyFill="1" applyBorder="1"/>
    <xf numFmtId="49" fontId="0" fillId="18" borderId="12" xfId="0" applyNumberFormat="1" applyFill="1" applyBorder="1"/>
    <xf numFmtId="0" fontId="0" fillId="19" borderId="12" xfId="0" applyFill="1" applyBorder="1"/>
    <xf numFmtId="0" fontId="15" fillId="19" borderId="12" xfId="0" applyFont="1" applyFill="1" applyBorder="1"/>
    <xf numFmtId="0" fontId="0" fillId="20" borderId="12" xfId="0" applyFill="1" applyBorder="1"/>
    <xf numFmtId="0" fontId="0" fillId="21" borderId="12" xfId="0" applyFill="1" applyBorder="1"/>
    <xf numFmtId="164" fontId="9" fillId="20" borderId="12" xfId="0" applyNumberFormat="1" applyFont="1" applyFill="1" applyBorder="1" applyAlignment="1">
      <alignment horizontal="right"/>
    </xf>
    <xf numFmtId="0" fontId="0" fillId="22" borderId="12" xfId="0" applyFill="1" applyBorder="1"/>
    <xf numFmtId="0" fontId="0" fillId="18" borderId="12" xfId="0" applyFill="1" applyBorder="1" applyAlignment="1">
      <alignment horizontal="center"/>
    </xf>
    <xf numFmtId="164" fontId="9" fillId="21" borderId="12" xfId="0" applyNumberFormat="1" applyFont="1" applyFill="1" applyBorder="1" applyAlignment="1">
      <alignment horizontal="right"/>
    </xf>
    <xf numFmtId="0" fontId="8" fillId="18" borderId="12" xfId="0" applyFont="1" applyFill="1" applyBorder="1" applyAlignment="1">
      <alignment horizontal="center"/>
    </xf>
    <xf numFmtId="164" fontId="24" fillId="20" borderId="12" xfId="0" applyNumberFormat="1" applyFont="1" applyFill="1" applyBorder="1" applyAlignment="1">
      <alignment horizontal="right"/>
    </xf>
    <xf numFmtId="0" fontId="7" fillId="18" borderId="12" xfId="0" applyFont="1" applyFill="1" applyBorder="1" applyAlignment="1">
      <alignment horizontal="center"/>
    </xf>
    <xf numFmtId="0" fontId="8" fillId="18" borderId="12" xfId="0" applyFont="1" applyFill="1" applyBorder="1"/>
    <xf numFmtId="0" fontId="15" fillId="18" borderId="12" xfId="0" applyFont="1" applyFill="1" applyBorder="1"/>
    <xf numFmtId="0" fontId="16" fillId="18" borderId="12" xfId="0" applyFont="1" applyFill="1" applyBorder="1" applyAlignment="1">
      <alignment horizontal="center"/>
    </xf>
    <xf numFmtId="0" fontId="16" fillId="18" borderId="12" xfId="0" applyFont="1" applyFill="1" applyBorder="1"/>
    <xf numFmtId="0" fontId="16" fillId="23" borderId="12" xfId="0" applyFont="1" applyFill="1" applyBorder="1" applyAlignment="1">
      <alignment horizontal="center"/>
    </xf>
    <xf numFmtId="0" fontId="0" fillId="23" borderId="12" xfId="0" applyFill="1" applyBorder="1"/>
    <xf numFmtId="49" fontId="0" fillId="23" borderId="12" xfId="0" applyNumberFormat="1" applyFill="1" applyBorder="1"/>
    <xf numFmtId="0" fontId="15" fillId="23" borderId="12" xfId="0" applyFont="1" applyFill="1" applyBorder="1"/>
    <xf numFmtId="0" fontId="0" fillId="24" borderId="12" xfId="0" applyFill="1" applyBorder="1"/>
    <xf numFmtId="164" fontId="9" fillId="24" borderId="12" xfId="0" applyNumberFormat="1" applyFont="1" applyFill="1" applyBorder="1" applyAlignment="1">
      <alignment horizontal="right"/>
    </xf>
    <xf numFmtId="0" fontId="0" fillId="23" borderId="12" xfId="0" applyFill="1" applyBorder="1" applyAlignment="1">
      <alignment horizontal="center"/>
    </xf>
    <xf numFmtId="0" fontId="0" fillId="25" borderId="12" xfId="0" applyFill="1" applyBorder="1" applyAlignment="1">
      <alignment horizontal="center"/>
    </xf>
    <xf numFmtId="0" fontId="0" fillId="25" borderId="12" xfId="0" applyFill="1" applyBorder="1"/>
    <xf numFmtId="49" fontId="0" fillId="25" borderId="12" xfId="0" applyNumberFormat="1" applyFill="1" applyBorder="1"/>
    <xf numFmtId="0" fontId="15" fillId="25" borderId="12" xfId="0" applyFont="1" applyFill="1" applyBorder="1"/>
    <xf numFmtId="0" fontId="0" fillId="26" borderId="12" xfId="0" applyFill="1" applyBorder="1"/>
    <xf numFmtId="164" fontId="9" fillId="26" borderId="12" xfId="0" applyNumberFormat="1" applyFont="1" applyFill="1" applyBorder="1" applyAlignment="1">
      <alignment horizontal="right"/>
    </xf>
    <xf numFmtId="0" fontId="16" fillId="25" borderId="12" xfId="0" applyFont="1" applyFill="1" applyBorder="1" applyAlignment="1">
      <alignment horizontal="center"/>
    </xf>
    <xf numFmtId="0" fontId="7" fillId="25" borderId="12" xfId="0" applyFont="1" applyFill="1" applyBorder="1" applyAlignment="1">
      <alignment horizontal="center"/>
    </xf>
    <xf numFmtId="0" fontId="8" fillId="13" borderId="12" xfId="0" applyFont="1" applyFill="1" applyBorder="1" applyAlignment="1">
      <alignment horizontal="center"/>
    </xf>
    <xf numFmtId="0" fontId="0" fillId="13" borderId="12" xfId="0" applyFill="1" applyBorder="1"/>
    <xf numFmtId="49" fontId="0" fillId="13" borderId="12" xfId="0" applyNumberFormat="1" applyFill="1" applyBorder="1"/>
    <xf numFmtId="0" fontId="15" fillId="13" borderId="12" xfId="0" applyFont="1" applyFill="1" applyBorder="1"/>
    <xf numFmtId="0" fontId="0" fillId="27" borderId="12" xfId="0" applyFill="1" applyBorder="1"/>
    <xf numFmtId="164" fontId="9" fillId="27" borderId="12" xfId="0" applyNumberFormat="1" applyFont="1" applyFill="1" applyBorder="1" applyAlignment="1">
      <alignment horizontal="right"/>
    </xf>
    <xf numFmtId="0" fontId="10" fillId="13" borderId="12" xfId="0" applyFont="1" applyFill="1" applyBorder="1" applyAlignment="1">
      <alignment horizontal="center"/>
    </xf>
    <xf numFmtId="0" fontId="0" fillId="28" borderId="12" xfId="0" applyFill="1" applyBorder="1"/>
    <xf numFmtId="0" fontId="15" fillId="28" borderId="12" xfId="0" applyFont="1" applyFill="1" applyBorder="1"/>
    <xf numFmtId="0" fontId="16" fillId="13" borderId="12" xfId="0" applyFont="1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16" fillId="29" borderId="12" xfId="0" applyFont="1" applyFill="1" applyBorder="1" applyAlignment="1">
      <alignment horizontal="center"/>
    </xf>
    <xf numFmtId="0" fontId="0" fillId="29" borderId="12" xfId="0" applyFill="1" applyBorder="1"/>
    <xf numFmtId="49" fontId="0" fillId="29" borderId="12" xfId="0" applyNumberFormat="1" applyFill="1" applyBorder="1"/>
    <xf numFmtId="164" fontId="9" fillId="29" borderId="12" xfId="0" applyNumberFormat="1" applyFont="1" applyFill="1" applyBorder="1" applyAlignment="1">
      <alignment horizontal="right"/>
    </xf>
    <xf numFmtId="0" fontId="10" fillId="29" borderId="12" xfId="0" applyFont="1" applyFill="1" applyBorder="1" applyAlignment="1">
      <alignment horizontal="center"/>
    </xf>
    <xf numFmtId="0" fontId="0" fillId="29" borderId="12" xfId="0" applyFill="1" applyBorder="1" applyAlignment="1">
      <alignment horizontal="center"/>
    </xf>
    <xf numFmtId="0" fontId="8" fillId="29" borderId="12" xfId="0" applyFont="1" applyFill="1" applyBorder="1" applyAlignment="1">
      <alignment horizontal="center"/>
    </xf>
    <xf numFmtId="0" fontId="8" fillId="29" borderId="12" xfId="0" applyFont="1" applyFill="1" applyBorder="1"/>
    <xf numFmtId="0" fontId="0" fillId="6" borderId="12" xfId="0" applyFill="1" applyBorder="1"/>
    <xf numFmtId="164" fontId="9" fillId="30" borderId="12" xfId="0" applyNumberFormat="1" applyFont="1" applyFill="1" applyBorder="1" applyAlignment="1">
      <alignment horizontal="right"/>
    </xf>
    <xf numFmtId="0" fontId="0" fillId="30" borderId="12" xfId="0" applyFill="1" applyBorder="1"/>
    <xf numFmtId="0" fontId="8" fillId="12" borderId="12" xfId="0" applyFont="1" applyFill="1" applyBorder="1" applyAlignment="1">
      <alignment horizontal="center"/>
    </xf>
    <xf numFmtId="0" fontId="0" fillId="12" borderId="12" xfId="0" applyFill="1" applyBorder="1"/>
    <xf numFmtId="49" fontId="0" fillId="12" borderId="12" xfId="0" applyNumberFormat="1" applyFill="1" applyBorder="1"/>
    <xf numFmtId="0" fontId="15" fillId="12" borderId="12" xfId="0" applyFont="1" applyFill="1" applyBorder="1"/>
    <xf numFmtId="0" fontId="0" fillId="31" borderId="12" xfId="0" applyFill="1" applyBorder="1"/>
    <xf numFmtId="164" fontId="9" fillId="31" borderId="12" xfId="0" applyNumberFormat="1" applyFont="1" applyFill="1" applyBorder="1" applyAlignment="1">
      <alignment horizontal="right"/>
    </xf>
    <xf numFmtId="0" fontId="0" fillId="12" borderId="12" xfId="0" applyFill="1" applyBorder="1" applyAlignment="1">
      <alignment horizontal="center"/>
    </xf>
    <xf numFmtId="0" fontId="16" fillId="12" borderId="12" xfId="0" applyFont="1" applyFill="1" applyBorder="1" applyAlignment="1">
      <alignment horizontal="center"/>
    </xf>
    <xf numFmtId="0" fontId="10" fillId="12" borderId="12" xfId="0" applyFont="1" applyFill="1" applyBorder="1" applyAlignment="1">
      <alignment horizontal="center"/>
    </xf>
    <xf numFmtId="0" fontId="15" fillId="6" borderId="12" xfId="0" applyFont="1" applyFill="1" applyBorder="1"/>
    <xf numFmtId="0" fontId="16" fillId="32" borderId="12" xfId="0" applyFont="1" applyFill="1" applyBorder="1" applyAlignment="1">
      <alignment horizontal="center"/>
    </xf>
    <xf numFmtId="0" fontId="0" fillId="32" borderId="12" xfId="0" applyFill="1" applyBorder="1"/>
    <xf numFmtId="49" fontId="0" fillId="32" borderId="12" xfId="0" applyNumberFormat="1" applyFill="1" applyBorder="1"/>
    <xf numFmtId="0" fontId="15" fillId="32" borderId="12" xfId="0" applyFont="1" applyFill="1" applyBorder="1"/>
    <xf numFmtId="0" fontId="0" fillId="33" borderId="12" xfId="0" applyFill="1" applyBorder="1"/>
    <xf numFmtId="164" fontId="9" fillId="33" borderId="12" xfId="0" applyNumberFormat="1" applyFont="1" applyFill="1" applyBorder="1" applyAlignment="1">
      <alignment horizontal="right"/>
    </xf>
    <xf numFmtId="0" fontId="10" fillId="32" borderId="12" xfId="0" applyFont="1" applyFill="1" applyBorder="1" applyAlignment="1">
      <alignment horizontal="center"/>
    </xf>
    <xf numFmtId="0" fontId="8" fillId="32" borderId="12" xfId="0" applyFont="1" applyFill="1" applyBorder="1" applyAlignment="1">
      <alignment horizontal="center"/>
    </xf>
    <xf numFmtId="0" fontId="0" fillId="32" borderId="12" xfId="0" applyFill="1" applyBorder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0" fillId="34" borderId="12" xfId="0" applyFill="1" applyBorder="1"/>
    <xf numFmtId="49" fontId="0" fillId="34" borderId="12" xfId="0" applyNumberFormat="1" applyFill="1" applyBorder="1"/>
    <xf numFmtId="0" fontId="15" fillId="34" borderId="12" xfId="0" applyFont="1" applyFill="1" applyBorder="1"/>
    <xf numFmtId="0" fontId="0" fillId="35" borderId="12" xfId="0" applyFill="1" applyBorder="1"/>
    <xf numFmtId="164" fontId="9" fillId="35" borderId="12" xfId="0" applyNumberFormat="1" applyFont="1" applyFill="1" applyBorder="1" applyAlignment="1">
      <alignment horizontal="right"/>
    </xf>
    <xf numFmtId="0" fontId="8" fillId="34" borderId="12" xfId="0" applyFont="1" applyFill="1" applyBorder="1" applyAlignment="1">
      <alignment horizontal="center"/>
    </xf>
    <xf numFmtId="0" fontId="7" fillId="34" borderId="12" xfId="0" applyFont="1" applyFill="1" applyBorder="1" applyAlignment="1">
      <alignment horizontal="center"/>
    </xf>
    <xf numFmtId="0" fontId="10" fillId="34" borderId="12" xfId="0" applyFont="1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0" fontId="16" fillId="36" borderId="12" xfId="0" applyFont="1" applyFill="1" applyBorder="1" applyAlignment="1">
      <alignment horizontal="center"/>
    </xf>
    <xf numFmtId="0" fontId="0" fillId="36" borderId="12" xfId="0" applyFill="1" applyBorder="1"/>
    <xf numFmtId="49" fontId="0" fillId="36" borderId="12" xfId="0" applyNumberFormat="1" applyFill="1" applyBorder="1"/>
    <xf numFmtId="0" fontId="0" fillId="37" borderId="12" xfId="0" applyFill="1" applyBorder="1"/>
    <xf numFmtId="164" fontId="9" fillId="37" borderId="12" xfId="0" applyNumberFormat="1" applyFont="1" applyFill="1" applyBorder="1" applyAlignment="1">
      <alignment horizontal="right"/>
    </xf>
    <xf numFmtId="0" fontId="15" fillId="36" borderId="12" xfId="0" applyFont="1" applyFill="1" applyBorder="1"/>
    <xf numFmtId="164" fontId="9" fillId="36" borderId="12" xfId="0" applyNumberFormat="1" applyFont="1" applyFill="1" applyBorder="1" applyAlignment="1">
      <alignment horizontal="right"/>
    </xf>
    <xf numFmtId="0" fontId="10" fillId="36" borderId="12" xfId="0" applyFont="1" applyFill="1" applyBorder="1" applyAlignment="1">
      <alignment horizontal="center"/>
    </xf>
    <xf numFmtId="0" fontId="0" fillId="36" borderId="1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49" fontId="0" fillId="2" borderId="12" xfId="0" applyNumberFormat="1" applyFill="1" applyBorder="1"/>
    <xf numFmtId="0" fontId="0" fillId="38" borderId="12" xfId="0" applyFill="1" applyBorder="1"/>
    <xf numFmtId="0" fontId="16" fillId="2" borderId="12" xfId="0" applyFont="1" applyFill="1" applyBorder="1" applyAlignment="1">
      <alignment horizontal="center"/>
    </xf>
    <xf numFmtId="164" fontId="9" fillId="38" borderId="12" xfId="0" applyNumberFormat="1" applyFont="1" applyFill="1" applyBorder="1" applyAlignment="1">
      <alignment horizontal="right"/>
    </xf>
    <xf numFmtId="0" fontId="7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5" fillId="2" borderId="12" xfId="0" applyFont="1" applyFill="1" applyBorder="1"/>
    <xf numFmtId="0" fontId="8" fillId="2" borderId="12" xfId="0" applyFont="1" applyFill="1" applyBorder="1" applyAlignment="1">
      <alignment horizontal="center"/>
    </xf>
    <xf numFmtId="0" fontId="16" fillId="39" borderId="12" xfId="0" applyFont="1" applyFill="1" applyBorder="1" applyAlignment="1">
      <alignment horizontal="center"/>
    </xf>
    <xf numFmtId="0" fontId="0" fillId="39" borderId="12" xfId="0" applyFill="1" applyBorder="1"/>
    <xf numFmtId="49" fontId="0" fillId="39" borderId="12" xfId="0" applyNumberFormat="1" applyFill="1" applyBorder="1"/>
    <xf numFmtId="0" fontId="15" fillId="39" borderId="12" xfId="0" applyFont="1" applyFill="1" applyBorder="1"/>
    <xf numFmtId="0" fontId="0" fillId="40" borderId="12" xfId="0" applyFill="1" applyBorder="1"/>
    <xf numFmtId="164" fontId="9" fillId="40" borderId="12" xfId="0" applyNumberFormat="1" applyFont="1" applyFill="1" applyBorder="1" applyAlignment="1">
      <alignment horizontal="right"/>
    </xf>
    <xf numFmtId="164" fontId="9" fillId="39" borderId="12" xfId="0" applyNumberFormat="1" applyFont="1" applyFill="1" applyBorder="1" applyAlignment="1">
      <alignment horizontal="right"/>
    </xf>
    <xf numFmtId="0" fontId="10" fillId="39" borderId="12" xfId="0" applyFont="1" applyFill="1" applyBorder="1" applyAlignment="1">
      <alignment horizontal="center"/>
    </xf>
    <xf numFmtId="0" fontId="0" fillId="39" borderId="12" xfId="0" applyFill="1" applyBorder="1" applyAlignment="1">
      <alignment horizontal="center"/>
    </xf>
    <xf numFmtId="0" fontId="16" fillId="41" borderId="12" xfId="0" applyFont="1" applyFill="1" applyBorder="1" applyAlignment="1">
      <alignment horizontal="center"/>
    </xf>
    <xf numFmtId="0" fontId="0" fillId="41" borderId="12" xfId="0" applyFill="1" applyBorder="1"/>
    <xf numFmtId="49" fontId="0" fillId="41" borderId="12" xfId="0" applyNumberFormat="1" applyFill="1" applyBorder="1"/>
    <xf numFmtId="0" fontId="0" fillId="42" borderId="12" xfId="0" applyFill="1" applyBorder="1"/>
    <xf numFmtId="0" fontId="8" fillId="41" borderId="12" xfId="0" applyFont="1" applyFill="1" applyBorder="1" applyAlignment="1">
      <alignment horizontal="center"/>
    </xf>
    <xf numFmtId="164" fontId="9" fillId="42" borderId="12" xfId="0" applyNumberFormat="1" applyFont="1" applyFill="1" applyBorder="1" applyAlignment="1">
      <alignment horizontal="right"/>
    </xf>
    <xf numFmtId="0" fontId="10" fillId="41" borderId="12" xfId="0" applyFont="1" applyFill="1" applyBorder="1" applyAlignment="1">
      <alignment horizontal="center"/>
    </xf>
    <xf numFmtId="0" fontId="0" fillId="41" borderId="12" xfId="0" applyFill="1" applyBorder="1" applyAlignment="1">
      <alignment horizontal="center"/>
    </xf>
    <xf numFmtId="0" fontId="8" fillId="41" borderId="12" xfId="0" applyFont="1" applyFill="1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25" fillId="0" borderId="12" xfId="0" applyFont="1" applyBorder="1"/>
    <xf numFmtId="0" fontId="26" fillId="43" borderId="12" xfId="0" applyFont="1" applyFill="1" applyBorder="1" applyAlignment="1">
      <alignment horizontal="center" vertical="center" wrapText="1"/>
    </xf>
    <xf numFmtId="0" fontId="27" fillId="43" borderId="12" xfId="0" applyFont="1" applyFill="1" applyBorder="1" applyAlignment="1">
      <alignment horizontal="center" vertical="center" wrapText="1"/>
    </xf>
    <xf numFmtId="165" fontId="27" fillId="43" borderId="1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4" fontId="0" fillId="43" borderId="0" xfId="0" applyNumberFormat="1" applyFill="1" applyAlignment="1">
      <alignment horizontal="center" vertical="center"/>
    </xf>
    <xf numFmtId="0" fontId="0" fillId="43" borderId="0" xfId="0" applyFill="1"/>
    <xf numFmtId="0" fontId="26" fillId="43" borderId="12" xfId="0" applyFont="1" applyFill="1" applyBorder="1" applyAlignment="1">
      <alignment horizontal="center" vertical="center"/>
    </xf>
    <xf numFmtId="0" fontId="27" fillId="43" borderId="12" xfId="0" applyFont="1" applyFill="1" applyBorder="1" applyAlignment="1">
      <alignment horizontal="center" vertical="center"/>
    </xf>
    <xf numFmtId="4" fontId="27" fillId="43" borderId="12" xfId="0" applyNumberFormat="1" applyFont="1" applyFill="1" applyBorder="1" applyAlignment="1">
      <alignment horizontal="center" vertical="center"/>
    </xf>
    <xf numFmtId="1" fontId="28" fillId="43" borderId="12" xfId="0" applyNumberFormat="1" applyFont="1" applyFill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4" fontId="29" fillId="0" borderId="12" xfId="0" applyNumberFormat="1" applyFont="1" applyBorder="1" applyAlignment="1">
      <alignment horizontal="center" vertical="center"/>
    </xf>
    <xf numFmtId="0" fontId="28" fillId="43" borderId="12" xfId="0" applyFont="1" applyFill="1" applyBorder="1" applyAlignment="1">
      <alignment horizontal="center" vertical="center" wrapText="1"/>
    </xf>
    <xf numFmtId="0" fontId="28" fillId="43" borderId="12" xfId="0" applyFont="1" applyFill="1" applyBorder="1" applyAlignment="1">
      <alignment horizontal="center" vertical="center"/>
    </xf>
    <xf numFmtId="0" fontId="30" fillId="43" borderId="0" xfId="0" applyFont="1" applyFill="1" applyAlignment="1">
      <alignment horizontal="center" vertical="center"/>
    </xf>
    <xf numFmtId="0" fontId="31" fillId="43" borderId="12" xfId="0" applyFont="1" applyFill="1" applyBorder="1" applyAlignment="1">
      <alignment horizontal="center" vertical="center" wrapText="1"/>
    </xf>
    <xf numFmtId="0" fontId="31" fillId="43" borderId="12" xfId="0" applyFont="1" applyFill="1" applyBorder="1" applyAlignment="1">
      <alignment horizontal="center" vertical="center"/>
    </xf>
    <xf numFmtId="0" fontId="0" fillId="10" borderId="12" xfId="0" applyFill="1" applyBorder="1"/>
    <xf numFmtId="0" fontId="0" fillId="17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33" fillId="0" borderId="0" xfId="0" applyFont="1" applyAlignment="1"/>
    <xf numFmtId="0" fontId="12" fillId="44" borderId="12" xfId="0" applyFont="1" applyFill="1" applyBorder="1" applyAlignment="1">
      <alignment horizontal="center" vertical="center" wrapText="1"/>
    </xf>
    <xf numFmtId="0" fontId="8" fillId="45" borderId="12" xfId="0" applyFont="1" applyFill="1" applyBorder="1" applyAlignment="1">
      <alignment horizontal="left" vertical="center" wrapText="1"/>
    </xf>
    <xf numFmtId="9" fontId="0" fillId="45" borderId="12" xfId="0" applyNumberFormat="1" applyFill="1" applyBorder="1" applyAlignment="1">
      <alignment horizontal="center" vertical="center" wrapText="1"/>
    </xf>
    <xf numFmtId="0" fontId="8" fillId="45" borderId="20" xfId="0" applyFont="1" applyFill="1" applyBorder="1" applyAlignment="1">
      <alignment horizontal="left" vertical="center" wrapText="1"/>
    </xf>
    <xf numFmtId="0" fontId="34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9" fontId="0" fillId="45" borderId="12" xfId="0" applyNumberFormat="1" applyFill="1" applyBorder="1" applyAlignment="1">
      <alignment horizontal="center" vertical="center"/>
    </xf>
    <xf numFmtId="9" fontId="34" fillId="0" borderId="12" xfId="4" applyFont="1" applyBorder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22" fillId="16" borderId="0" xfId="0" applyFont="1" applyFill="1" applyAlignment="1">
      <alignment horizontal="center" vertical="center" wrapText="1"/>
    </xf>
    <xf numFmtId="4" fontId="7" fillId="8" borderId="12" xfId="2" applyNumberFormat="1" applyFont="1" applyBorder="1" applyAlignment="1">
      <alignment horizontal="center" vertical="center" wrapText="1"/>
    </xf>
    <xf numFmtId="0" fontId="0" fillId="12" borderId="0" xfId="0" applyFill="1"/>
    <xf numFmtId="9" fontId="0" fillId="0" borderId="0" xfId="4" applyFont="1"/>
    <xf numFmtId="9" fontId="0" fillId="12" borderId="0" xfId="4" applyFont="1" applyFill="1"/>
    <xf numFmtId="0" fontId="0" fillId="12" borderId="0" xfId="0" applyFill="1" applyAlignment="1">
      <alignment horizontal="center" vertical="center" wrapText="1"/>
    </xf>
    <xf numFmtId="9" fontId="0" fillId="12" borderId="0" xfId="4" applyFont="1" applyFill="1" applyAlignment="1">
      <alignment horizontal="center" vertical="center" wrapText="1"/>
    </xf>
    <xf numFmtId="0" fontId="0" fillId="46" borderId="0" xfId="0" applyFill="1" applyAlignment="1">
      <alignment wrapText="1"/>
    </xf>
    <xf numFmtId="0" fontId="0" fillId="46" borderId="0" xfId="0" applyFill="1"/>
    <xf numFmtId="0" fontId="12" fillId="12" borderId="12" xfId="0" applyFont="1" applyFill="1" applyBorder="1" applyAlignment="1">
      <alignment horizontal="center" vertical="center"/>
    </xf>
    <xf numFmtId="4" fontId="16" fillId="0" borderId="12" xfId="0" applyNumberFormat="1" applyFont="1" applyBorder="1" applyAlignment="1">
      <alignment horizontal="center" vertical="center" wrapText="1"/>
    </xf>
    <xf numFmtId="4" fontId="16" fillId="0" borderId="12" xfId="0" applyNumberFormat="1" applyFont="1" applyBorder="1" applyAlignment="1">
      <alignment horizontal="center" vertical="center"/>
    </xf>
    <xf numFmtId="166" fontId="16" fillId="0" borderId="12" xfId="0" applyNumberFormat="1" applyFont="1" applyBorder="1" applyAlignment="1">
      <alignment horizontal="center" vertical="center"/>
    </xf>
    <xf numFmtId="166" fontId="16" fillId="2" borderId="12" xfId="0" applyNumberFormat="1" applyFont="1" applyFill="1" applyBorder="1" applyAlignment="1">
      <alignment horizontal="center" vertical="center"/>
    </xf>
    <xf numFmtId="0" fontId="0" fillId="0" borderId="12" xfId="0" applyFill="1" applyBorder="1"/>
    <xf numFmtId="0" fontId="8" fillId="0" borderId="12" xfId="0" applyFont="1" applyFill="1" applyBorder="1"/>
    <xf numFmtId="0" fontId="16" fillId="0" borderId="12" xfId="0" applyFont="1" applyFill="1" applyBorder="1"/>
    <xf numFmtId="0" fontId="0" fillId="47" borderId="12" xfId="0" applyFill="1" applyBorder="1"/>
    <xf numFmtId="10" fontId="24" fillId="6" borderId="0" xfId="4" applyNumberFormat="1" applyFont="1" applyFill="1" applyAlignment="1">
      <alignment horizontal="center"/>
    </xf>
    <xf numFmtId="10" fontId="0" fillId="6" borderId="0" xfId="4" applyNumberFormat="1" applyFont="1" applyFill="1" applyAlignment="1">
      <alignment horizontal="center"/>
    </xf>
    <xf numFmtId="2" fontId="10" fillId="6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9" fontId="0" fillId="12" borderId="0" xfId="0" applyNumberFormat="1" applyFill="1"/>
    <xf numFmtId="2" fontId="0" fillId="2" borderId="0" xfId="0" applyNumberFormat="1" applyFill="1" applyAlignment="1">
      <alignment horizontal="center" vertical="center"/>
    </xf>
    <xf numFmtId="0" fontId="12" fillId="48" borderId="12" xfId="0" applyFont="1" applyFill="1" applyBorder="1" applyAlignment="1">
      <alignment horizontal="center" vertical="center"/>
    </xf>
    <xf numFmtId="0" fontId="12" fillId="48" borderId="20" xfId="0" applyFont="1" applyFill="1" applyBorder="1" applyAlignment="1">
      <alignment horizontal="center" vertical="center"/>
    </xf>
    <xf numFmtId="0" fontId="35" fillId="0" borderId="0" xfId="0" applyFont="1"/>
    <xf numFmtId="0" fontId="16" fillId="0" borderId="0" xfId="0" applyFont="1"/>
    <xf numFmtId="0" fontId="0" fillId="43" borderId="0" xfId="0" applyFill="1" applyBorder="1"/>
    <xf numFmtId="0" fontId="16" fillId="43" borderId="0" xfId="0" applyFont="1" applyFill="1" applyBorder="1" applyAlignment="1">
      <alignment horizontal="center" vertical="center"/>
    </xf>
    <xf numFmtId="4" fontId="0" fillId="43" borderId="0" xfId="0" applyNumberFormat="1" applyFill="1" applyBorder="1" applyAlignment="1">
      <alignment horizontal="center"/>
    </xf>
    <xf numFmtId="0" fontId="0" fillId="49" borderId="12" xfId="0" applyFill="1" applyBorder="1" applyAlignment="1">
      <alignment horizontal="center" vertical="center"/>
    </xf>
    <xf numFmtId="0" fontId="0" fillId="49" borderId="0" xfId="0" applyFill="1" applyAlignment="1">
      <alignment horizontal="center" vertical="center"/>
    </xf>
    <xf numFmtId="0" fontId="0" fillId="49" borderId="0" xfId="0" applyFill="1"/>
    <xf numFmtId="0" fontId="0" fillId="9" borderId="21" xfId="0" applyFill="1" applyBorder="1" applyAlignment="1">
      <alignment horizontal="center" vertical="center"/>
    </xf>
    <xf numFmtId="0" fontId="14" fillId="9" borderId="21" xfId="3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0" fillId="49" borderId="12" xfId="0" applyFill="1" applyBorder="1"/>
    <xf numFmtId="0" fontId="15" fillId="49" borderId="0" xfId="0" applyFont="1" applyFill="1" applyAlignment="1">
      <alignment horizontal="center" vertical="center"/>
    </xf>
    <xf numFmtId="0" fontId="0" fillId="49" borderId="0" xfId="0" applyFill="1" applyBorder="1" applyAlignment="1">
      <alignment horizontal="center" vertical="center"/>
    </xf>
    <xf numFmtId="0" fontId="0" fillId="49" borderId="0" xfId="0" applyFill="1" applyBorder="1"/>
    <xf numFmtId="4" fontId="0" fillId="0" borderId="0" xfId="0" applyNumberFormat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1" fontId="10" fillId="0" borderId="0" xfId="0" applyNumberFormat="1" applyFont="1"/>
    <xf numFmtId="1" fontId="10" fillId="0" borderId="0" xfId="0" applyNumberFormat="1" applyFont="1" applyAlignment="1">
      <alignment horizontal="right"/>
    </xf>
    <xf numFmtId="0" fontId="34" fillId="50" borderId="0" xfId="0" applyFont="1" applyFill="1"/>
    <xf numFmtId="0" fontId="0" fillId="0" borderId="0" xfId="0" applyAlignment="1">
      <alignment horizontal="center"/>
    </xf>
    <xf numFmtId="0" fontId="27" fillId="2" borderId="12" xfId="0" applyFont="1" applyFill="1" applyBorder="1" applyAlignment="1">
      <alignment horizontal="center" vertical="center" wrapText="1"/>
    </xf>
    <xf numFmtId="0" fontId="16" fillId="4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0" fillId="43" borderId="12" xfId="0" applyFill="1" applyBorder="1"/>
    <xf numFmtId="0" fontId="0" fillId="43" borderId="12" xfId="0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66" fontId="16" fillId="0" borderId="12" xfId="0" applyNumberFormat="1" applyFont="1" applyFill="1" applyBorder="1" applyAlignment="1">
      <alignment horizontal="center" vertical="center"/>
    </xf>
    <xf numFmtId="0" fontId="12" fillId="17" borderId="12" xfId="0" applyFont="1" applyFill="1" applyBorder="1" applyAlignment="1">
      <alignment horizontal="center" vertical="center" wrapText="1"/>
    </xf>
    <xf numFmtId="166" fontId="16" fillId="17" borderId="1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9" borderId="13" xfId="0" applyFont="1" applyFill="1" applyBorder="1" applyAlignment="1">
      <alignment horizontal="center" vertical="center"/>
    </xf>
    <xf numFmtId="0" fontId="16" fillId="9" borderId="1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</cellXfs>
  <cellStyles count="5">
    <cellStyle name="Lien hypertexte" xfId="3" builtinId="8"/>
    <cellStyle name="Normal" xfId="0" builtinId="0"/>
    <cellStyle name="Normal_AR_2006_17_01" xfId="1" xr:uid="{00000000-0005-0000-0000-000002000000}"/>
    <cellStyle name="Pourcentage" xfId="4" builtinId="5"/>
    <cellStyle name="Satisfaisant" xfId="2" builtinId="26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505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</xdr:rowOff>
    </xdr:from>
    <xdr:to>
      <xdr:col>14</xdr:col>
      <xdr:colOff>47182</xdr:colOff>
      <xdr:row>33</xdr:row>
      <xdr:rowOff>93515</xdr:rowOff>
    </xdr:to>
    <xdr:grpSp>
      <xdr:nvGrpSpPr>
        <xdr:cNvPr id="54" name="Group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pSpPr/>
      </xdr:nvGrpSpPr>
      <xdr:grpSpPr>
        <a:xfrm>
          <a:off x="0" y="381586"/>
          <a:ext cx="10817759" cy="5983775"/>
          <a:chOff x="733900" y="1198056"/>
          <a:chExt cx="11141902" cy="5747555"/>
        </a:xfrm>
      </xdr:grpSpPr>
      <xdr:pic>
        <xdr:nvPicPr>
          <xdr:cNvPr id="55" name="Picture 5" descr="carto_guides_rec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55249" y="1319511"/>
            <a:ext cx="5675312" cy="5529263"/>
          </a:xfrm>
          <a:prstGeom prst="rect">
            <a:avLst/>
          </a:prstGeom>
          <a:solidFill>
            <a:schemeClr val="accent1">
              <a:alpha val="0"/>
            </a:schemeClr>
          </a:solidFill>
          <a:ln w="38100">
            <a:solidFill>
              <a:srgbClr val="008080"/>
            </a:solidFill>
            <a:miter lim="800000"/>
            <a:headEnd/>
            <a:tailEnd/>
          </a:ln>
        </xdr:spPr>
      </xdr:pic>
      <xdr:sp macro="" textlink="">
        <xdr:nvSpPr>
          <xdr:cNvPr id="56" name="Text Box 6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5786" y="1505249"/>
            <a:ext cx="21097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chêne rouge, 2004</a:t>
            </a:r>
          </a:p>
        </xdr:txBody>
      </xdr:sp>
      <xdr:sp macro="" textlink="">
        <xdr:nvSpPr>
          <xdr:cNvPr id="57" name="Text Box 7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29636" y="5499399"/>
            <a:ext cx="17526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pin maritime de lande, 2004</a:t>
            </a:r>
          </a:p>
        </xdr:txBody>
      </xdr:sp>
      <xdr:sp macro="" textlink="">
        <xdr:nvSpPr>
          <xdr:cNvPr id="58" name="AutoShape 8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>
            <a:spLocks noChangeArrowheads="1"/>
          </xdr:cNvSpPr>
        </xdr:nvSpPr>
        <xdr:spPr bwMode="auto">
          <a:xfrm rot="20971979">
            <a:off x="3155249" y="5591474"/>
            <a:ext cx="1752600" cy="152400"/>
          </a:xfrm>
          <a:custGeom>
            <a:avLst/>
            <a:gdLst>
              <a:gd name="T0" fmla="*/ 1314450 w 21600"/>
              <a:gd name="T1" fmla="*/ 0 h 21600"/>
              <a:gd name="T2" fmla="*/ 0 w 21600"/>
              <a:gd name="T3" fmla="*/ 76200 h 21600"/>
              <a:gd name="T4" fmla="*/ 1314450 w 21600"/>
              <a:gd name="T5" fmla="*/ 152400 h 21600"/>
              <a:gd name="T6" fmla="*/ 17526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accent1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59" name="Text Box 9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3900" y="2251374"/>
            <a:ext cx="2232436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La chênaie atlantique, 2004, révisé en </a:t>
            </a:r>
            <a:r>
              <a:rPr lang="fr-FR" altLang="fr-FR" b="1">
                <a:latin typeface="Times New Roman" panose="02020603050405020304" pitchFamily="18" charset="0"/>
              </a:rPr>
              <a:t>2018</a:t>
            </a:r>
          </a:p>
        </xdr:txBody>
      </xdr:sp>
      <xdr:sp macro="" textlink="">
        <xdr:nvSpPr>
          <xdr:cNvPr id="60" name="Text Box 10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44786" y="3770611"/>
            <a:ext cx="2133600" cy="6413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6600">
                    <a:alpha val="39999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Montagne des Alpes du Nord, 2006</a:t>
            </a:r>
          </a:p>
        </xdr:txBody>
      </xdr:sp>
      <xdr:sp macro="" textlink="">
        <xdr:nvSpPr>
          <xdr:cNvPr id="61" name="Text Box 11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86074" y="4707236"/>
            <a:ext cx="1655762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Montagne Alpes du Sud, 2012</a:t>
            </a:r>
          </a:p>
        </xdr:txBody>
      </xdr:sp>
      <xdr:sp macro="" textlink="">
        <xdr:nvSpPr>
          <xdr:cNvPr id="62" name="Text Box 12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9871" y="1198056"/>
            <a:ext cx="159385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en Lorraine, 2005</a:t>
            </a:r>
          </a:p>
        </xdr:txBody>
      </xdr:sp>
      <xdr:sp macro="" textlink="">
        <xdr:nvSpPr>
          <xdr:cNvPr id="63" name="Text Box 13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3194349"/>
            <a:ext cx="1752600" cy="92333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douglas en France, 2007 révisé en 2012</a:t>
            </a:r>
          </a:p>
        </xdr:txBody>
      </xdr:sp>
      <xdr:sp macro="" textlink="">
        <xdr:nvSpPr>
          <xdr:cNvPr id="64" name="AutoShape 14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2725036" y="3483274"/>
            <a:ext cx="2305050" cy="141287"/>
          </a:xfrm>
          <a:custGeom>
            <a:avLst/>
            <a:gdLst>
              <a:gd name="T0" fmla="*/ 1728788 w 21600"/>
              <a:gd name="T1" fmla="*/ 0 h 21600"/>
              <a:gd name="T2" fmla="*/ 0 w 21600"/>
              <a:gd name="T3" fmla="*/ 70644 h 21600"/>
              <a:gd name="T4" fmla="*/ 1728788 w 21600"/>
              <a:gd name="T5" fmla="*/ 141287 h 21600"/>
              <a:gd name="T6" fmla="*/ 2305050 w 21600"/>
              <a:gd name="T7" fmla="*/ 70644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9933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5" name="Text Box 15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4738986"/>
            <a:ext cx="20574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forêts littorales, 2009</a:t>
            </a:r>
          </a:p>
        </xdr:txBody>
      </xdr:sp>
      <xdr:sp macro="" textlink="">
        <xdr:nvSpPr>
          <xdr:cNvPr id="66" name="Text Box 16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9136" y="6578899"/>
            <a:ext cx="2919413" cy="36671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des Pyrénées, 2010</a:t>
            </a:r>
          </a:p>
        </xdr:txBody>
      </xdr:sp>
      <xdr:sp macro="" textlink="">
        <xdr:nvSpPr>
          <xdr:cNvPr id="67" name="AutoShape 17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>
            <a:spLocks noChangeArrowheads="1"/>
          </xdr:cNvSpPr>
        </xdr:nvSpPr>
        <xdr:spPr bwMode="auto">
          <a:xfrm rot="20971979" flipV="1">
            <a:off x="3215574" y="4819949"/>
            <a:ext cx="1533525" cy="173037"/>
          </a:xfrm>
          <a:custGeom>
            <a:avLst/>
            <a:gdLst>
              <a:gd name="T0" fmla="*/ 1150144 w 21600"/>
              <a:gd name="T1" fmla="*/ 0 h 21600"/>
              <a:gd name="T2" fmla="*/ 0 w 21600"/>
              <a:gd name="T3" fmla="*/ 86519 h 21600"/>
              <a:gd name="T4" fmla="*/ 1150144 w 21600"/>
              <a:gd name="T5" fmla="*/ 173037 h 21600"/>
              <a:gd name="T6" fmla="*/ 1533525 w 21600"/>
              <a:gd name="T7" fmla="*/ 865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FFCC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8" name="AutoShape 18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>
            <a:spLocks noChangeArrowheads="1"/>
          </xdr:cNvSpPr>
        </xdr:nvSpPr>
        <xdr:spPr bwMode="auto">
          <a:xfrm rot="7797518">
            <a:off x="7982836" y="5354936"/>
            <a:ext cx="576263" cy="144463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72232 h 21600"/>
              <a:gd name="T4" fmla="*/ 432197 w 21600"/>
              <a:gd name="T5" fmla="*/ 144463 h 21600"/>
              <a:gd name="T6" fmla="*/ 576263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CC99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9" name="Text Box 19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53450" y="1343665"/>
            <a:ext cx="272895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chênaies continentales, 2007, révisé en </a:t>
            </a:r>
            <a:r>
              <a:rPr lang="fr-FR" altLang="fr-FR" b="1">
                <a:latin typeface="Times New Roman" panose="02020603050405020304" pitchFamily="18" charset="0"/>
              </a:rPr>
              <a:t>2019</a:t>
            </a:r>
          </a:p>
        </xdr:txBody>
      </xdr:sp>
      <xdr:sp macro="" textlink="">
        <xdr:nvSpPr>
          <xdr:cNvPr id="70" name="Text Box 20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01524" y="4562774"/>
            <a:ext cx="1223962" cy="641350"/>
          </a:xfrm>
          <a:prstGeom prst="rect">
            <a:avLst/>
          </a:prstGeom>
          <a:solidFill>
            <a:srgbClr val="FFFFFF">
              <a:alpha val="55000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du MC, 2011</a:t>
            </a:r>
          </a:p>
        </xdr:txBody>
      </xdr:sp>
      <xdr:sp macro="" textlink="">
        <xdr:nvSpPr>
          <xdr:cNvPr id="71" name="AutoShape 21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>
            <a:spLocks noChangeArrowheads="1"/>
          </xdr:cNvSpPr>
        </xdr:nvSpPr>
        <xdr:spPr bwMode="auto">
          <a:xfrm rot="12601392" flipH="1">
            <a:off x="6090536" y="5059661"/>
            <a:ext cx="720725" cy="144463"/>
          </a:xfrm>
          <a:custGeom>
            <a:avLst/>
            <a:gdLst>
              <a:gd name="T0" fmla="*/ 540544 w 21600"/>
              <a:gd name="T1" fmla="*/ 0 h 21600"/>
              <a:gd name="T2" fmla="*/ 0 w 21600"/>
              <a:gd name="T3" fmla="*/ 72232 h 21600"/>
              <a:gd name="T4" fmla="*/ 540544 w 21600"/>
              <a:gd name="T5" fmla="*/ 144463 h 21600"/>
              <a:gd name="T6" fmla="*/ 720725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2" name="Text Box 22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1786" y="1394124"/>
            <a:ext cx="1062038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NO, 2008</a:t>
            </a:r>
          </a:p>
        </xdr:txBody>
      </xdr:sp>
      <xdr:sp macro="" textlink="">
        <xdr:nvSpPr>
          <xdr:cNvPr id="73" name="Text Box 23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01749" y="6507461"/>
            <a:ext cx="2919412" cy="36671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à crochets, 2012</a:t>
            </a:r>
          </a:p>
        </xdr:txBody>
      </xdr:sp>
      <xdr:sp macro="" textlink="">
        <xdr:nvSpPr>
          <xdr:cNvPr id="74" name="Freeform 24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>
            <a:spLocks/>
          </xdr:cNvSpPr>
        </xdr:nvSpPr>
        <xdr:spPr bwMode="auto">
          <a:xfrm>
            <a:off x="7646286" y="3438824"/>
            <a:ext cx="787400" cy="568325"/>
          </a:xfrm>
          <a:custGeom>
            <a:avLst/>
            <a:gdLst>
              <a:gd name="T0" fmla="*/ 787400 w 496"/>
              <a:gd name="T1" fmla="*/ 52388 h 358"/>
              <a:gd name="T2" fmla="*/ 647700 w 496"/>
              <a:gd name="T3" fmla="*/ 1588 h 358"/>
              <a:gd name="T4" fmla="*/ 63500 w 496"/>
              <a:gd name="T5" fmla="*/ 115888 h 358"/>
              <a:gd name="T6" fmla="*/ 38100 w 496"/>
              <a:gd name="T7" fmla="*/ 382588 h 358"/>
              <a:gd name="T8" fmla="*/ 50800 w 496"/>
              <a:gd name="T9" fmla="*/ 458788 h 358"/>
              <a:gd name="T10" fmla="*/ 127000 w 496"/>
              <a:gd name="T11" fmla="*/ 496888 h 358"/>
              <a:gd name="T12" fmla="*/ 698500 w 496"/>
              <a:gd name="T13" fmla="*/ 407988 h 358"/>
              <a:gd name="T14" fmla="*/ 787400 w 496"/>
              <a:gd name="T15" fmla="*/ 52388 h 358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496" h="358">
                <a:moveTo>
                  <a:pt x="496" y="33"/>
                </a:moveTo>
                <a:cubicBezTo>
                  <a:pt x="459" y="26"/>
                  <a:pt x="438" y="21"/>
                  <a:pt x="408" y="1"/>
                </a:cubicBezTo>
                <a:cubicBezTo>
                  <a:pt x="280" y="9"/>
                  <a:pt x="149" y="0"/>
                  <a:pt x="40" y="73"/>
                </a:cubicBezTo>
                <a:cubicBezTo>
                  <a:pt x="0" y="132"/>
                  <a:pt x="15" y="152"/>
                  <a:pt x="24" y="241"/>
                </a:cubicBezTo>
                <a:cubicBezTo>
                  <a:pt x="26" y="257"/>
                  <a:pt x="25" y="274"/>
                  <a:pt x="32" y="289"/>
                </a:cubicBezTo>
                <a:cubicBezTo>
                  <a:pt x="38" y="301"/>
                  <a:pt x="69" y="309"/>
                  <a:pt x="80" y="313"/>
                </a:cubicBezTo>
                <a:cubicBezTo>
                  <a:pt x="489" y="302"/>
                  <a:pt x="289" y="358"/>
                  <a:pt x="440" y="257"/>
                </a:cubicBezTo>
                <a:cubicBezTo>
                  <a:pt x="493" y="178"/>
                  <a:pt x="489" y="139"/>
                  <a:pt x="496" y="33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50800" cap="flat" cmpd="sng">
            <a:solidFill>
              <a:srgbClr val="0080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5" name="Text Box 25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14636" y="3338811"/>
            <a:ext cx="20161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Arc jurassien, 2013</a:t>
            </a:r>
          </a:p>
        </xdr:txBody>
      </xdr:sp>
      <xdr:sp macro="" textlink="">
        <xdr:nvSpPr>
          <xdr:cNvPr id="76" name="Freeform 26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>
            <a:spLocks/>
          </xdr:cNvSpPr>
        </xdr:nvSpPr>
        <xdr:spPr bwMode="auto">
          <a:xfrm>
            <a:off x="7976486" y="2499024"/>
            <a:ext cx="519113" cy="852487"/>
          </a:xfrm>
          <a:custGeom>
            <a:avLst/>
            <a:gdLst>
              <a:gd name="T0" fmla="*/ 355600 w 327"/>
              <a:gd name="T1" fmla="*/ 1587 h 537"/>
              <a:gd name="T2" fmla="*/ 127000 w 327"/>
              <a:gd name="T3" fmla="*/ 52387 h 537"/>
              <a:gd name="T4" fmla="*/ 76200 w 327"/>
              <a:gd name="T5" fmla="*/ 128587 h 537"/>
              <a:gd name="T6" fmla="*/ 63500 w 327"/>
              <a:gd name="T7" fmla="*/ 166687 h 537"/>
              <a:gd name="T8" fmla="*/ 0 w 327"/>
              <a:gd name="T9" fmla="*/ 331787 h 537"/>
              <a:gd name="T10" fmla="*/ 12700 w 327"/>
              <a:gd name="T11" fmla="*/ 763587 h 537"/>
              <a:gd name="T12" fmla="*/ 152400 w 327"/>
              <a:gd name="T13" fmla="*/ 852487 h 537"/>
              <a:gd name="T14" fmla="*/ 279400 w 327"/>
              <a:gd name="T15" fmla="*/ 839787 h 537"/>
              <a:gd name="T16" fmla="*/ 317500 w 327"/>
              <a:gd name="T17" fmla="*/ 763587 h 537"/>
              <a:gd name="T18" fmla="*/ 355600 w 327"/>
              <a:gd name="T19" fmla="*/ 738187 h 537"/>
              <a:gd name="T20" fmla="*/ 444500 w 327"/>
              <a:gd name="T21" fmla="*/ 446087 h 537"/>
              <a:gd name="T22" fmla="*/ 457200 w 327"/>
              <a:gd name="T23" fmla="*/ 395287 h 537"/>
              <a:gd name="T24" fmla="*/ 355600 w 327"/>
              <a:gd name="T25" fmla="*/ 1587 h 53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0" t="0" r="r" b="b"/>
            <a:pathLst>
              <a:path w="327" h="537">
                <a:moveTo>
                  <a:pt x="224" y="1"/>
                </a:moveTo>
                <a:cubicBezTo>
                  <a:pt x="154" y="7"/>
                  <a:pt x="130" y="0"/>
                  <a:pt x="80" y="33"/>
                </a:cubicBezTo>
                <a:cubicBezTo>
                  <a:pt x="61" y="90"/>
                  <a:pt x="88" y="21"/>
                  <a:pt x="48" y="81"/>
                </a:cubicBezTo>
                <a:cubicBezTo>
                  <a:pt x="43" y="88"/>
                  <a:pt x="44" y="97"/>
                  <a:pt x="40" y="105"/>
                </a:cubicBezTo>
                <a:cubicBezTo>
                  <a:pt x="23" y="140"/>
                  <a:pt x="9" y="171"/>
                  <a:pt x="0" y="209"/>
                </a:cubicBezTo>
                <a:cubicBezTo>
                  <a:pt x="3" y="300"/>
                  <a:pt x="1" y="391"/>
                  <a:pt x="8" y="481"/>
                </a:cubicBezTo>
                <a:cubicBezTo>
                  <a:pt x="11" y="516"/>
                  <a:pt x="96" y="537"/>
                  <a:pt x="96" y="537"/>
                </a:cubicBezTo>
                <a:cubicBezTo>
                  <a:pt x="123" y="534"/>
                  <a:pt x="151" y="537"/>
                  <a:pt x="176" y="529"/>
                </a:cubicBezTo>
                <a:cubicBezTo>
                  <a:pt x="194" y="523"/>
                  <a:pt x="191" y="492"/>
                  <a:pt x="200" y="481"/>
                </a:cubicBezTo>
                <a:cubicBezTo>
                  <a:pt x="206" y="473"/>
                  <a:pt x="216" y="470"/>
                  <a:pt x="224" y="465"/>
                </a:cubicBezTo>
                <a:cubicBezTo>
                  <a:pt x="231" y="389"/>
                  <a:pt x="239" y="343"/>
                  <a:pt x="280" y="281"/>
                </a:cubicBezTo>
                <a:cubicBezTo>
                  <a:pt x="283" y="270"/>
                  <a:pt x="287" y="260"/>
                  <a:pt x="288" y="249"/>
                </a:cubicBezTo>
                <a:cubicBezTo>
                  <a:pt x="292" y="202"/>
                  <a:pt x="327" y="1"/>
                  <a:pt x="224" y="1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33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7" name="Text Box 27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7861" y="4240511"/>
            <a:ext cx="22320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Pineraies C+NO, 2009</a:t>
            </a:r>
          </a:p>
        </xdr:txBody>
      </xdr:sp>
      <xdr:sp macro="" textlink="">
        <xdr:nvSpPr>
          <xdr:cNvPr id="78" name="AutoShape 28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>
            <a:spLocks noChangeArrowheads="1"/>
          </xdr:cNvSpPr>
        </xdr:nvSpPr>
        <xdr:spPr bwMode="auto">
          <a:xfrm rot="20772368">
            <a:off x="3391786" y="4084936"/>
            <a:ext cx="1485900" cy="219075"/>
          </a:xfrm>
          <a:custGeom>
            <a:avLst/>
            <a:gdLst>
              <a:gd name="T0" fmla="*/ 1114425 w 21600"/>
              <a:gd name="T1" fmla="*/ 0 h 21600"/>
              <a:gd name="T2" fmla="*/ 0 w 21600"/>
              <a:gd name="T3" fmla="*/ 109538 h 21600"/>
              <a:gd name="T4" fmla="*/ 1114425 w 21600"/>
              <a:gd name="T5" fmla="*/ 219075 h 21600"/>
              <a:gd name="T6" fmla="*/ 1485900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9" name="Text Box 29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874" y="6147099"/>
            <a:ext cx="2520950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Pyrénées, 2013</a:t>
            </a:r>
          </a:p>
        </xdr:txBody>
      </xdr:sp>
      <xdr:sp macro="" textlink="">
        <xdr:nvSpPr>
          <xdr:cNvPr id="80" name="Text Box 30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78719" y="2130204"/>
            <a:ext cx="2287587" cy="36933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BCA, 2009</a:t>
            </a:r>
          </a:p>
        </xdr:txBody>
      </xdr:sp>
      <xdr:sp macro="" textlink="">
        <xdr:nvSpPr>
          <xdr:cNvPr id="81" name="AutoShape 31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>
            <a:spLocks noChangeArrowheads="1"/>
          </xdr:cNvSpPr>
        </xdr:nvSpPr>
        <xdr:spPr bwMode="auto">
          <a:xfrm rot="9108666">
            <a:off x="7552624" y="2722861"/>
            <a:ext cx="1539875" cy="98425"/>
          </a:xfrm>
          <a:custGeom>
            <a:avLst/>
            <a:gdLst>
              <a:gd name="T0" fmla="*/ 1154906 w 21600"/>
              <a:gd name="T1" fmla="*/ 0 h 21600"/>
              <a:gd name="T2" fmla="*/ 0 w 21600"/>
              <a:gd name="T3" fmla="*/ 49213 h 21600"/>
              <a:gd name="T4" fmla="*/ 1154906 w 21600"/>
              <a:gd name="T5" fmla="*/ 98425 h 21600"/>
              <a:gd name="T6" fmla="*/ 1539875 w 21600"/>
              <a:gd name="T7" fmla="*/ 492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2" name="Text Box 32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27386" y="2653477"/>
            <a:ext cx="245110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hêtraies continentales, 2011&amp;13</a:t>
            </a:r>
          </a:p>
        </xdr:txBody>
      </xdr:sp>
      <xdr:sp macro="" textlink="">
        <xdr:nvSpPr>
          <xdr:cNvPr id="83" name="Freeform 3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>
            <a:spLocks/>
          </xdr:cNvSpPr>
        </xdr:nvSpPr>
        <xdr:spPr bwMode="auto">
          <a:xfrm>
            <a:off x="6388986" y="5686724"/>
            <a:ext cx="2166938" cy="1039812"/>
          </a:xfrm>
          <a:custGeom>
            <a:avLst/>
            <a:gdLst>
              <a:gd name="T0" fmla="*/ 241300 w 1365"/>
              <a:gd name="T1" fmla="*/ 1030287 h 655"/>
              <a:gd name="T2" fmla="*/ 50800 w 1365"/>
              <a:gd name="T3" fmla="*/ 1017587 h 655"/>
              <a:gd name="T4" fmla="*/ 0 w 1365"/>
              <a:gd name="T5" fmla="*/ 941387 h 655"/>
              <a:gd name="T6" fmla="*/ 76200 w 1365"/>
              <a:gd name="T7" fmla="*/ 573087 h 655"/>
              <a:gd name="T8" fmla="*/ 203200 w 1365"/>
              <a:gd name="T9" fmla="*/ 420687 h 655"/>
              <a:gd name="T10" fmla="*/ 279400 w 1365"/>
              <a:gd name="T11" fmla="*/ 382587 h 655"/>
              <a:gd name="T12" fmla="*/ 393700 w 1365"/>
              <a:gd name="T13" fmla="*/ 319087 h 655"/>
              <a:gd name="T14" fmla="*/ 482600 w 1365"/>
              <a:gd name="T15" fmla="*/ 217487 h 655"/>
              <a:gd name="T16" fmla="*/ 546100 w 1365"/>
              <a:gd name="T17" fmla="*/ 141287 h 655"/>
              <a:gd name="T18" fmla="*/ 749300 w 1365"/>
              <a:gd name="T19" fmla="*/ 90487 h 655"/>
              <a:gd name="T20" fmla="*/ 1054100 w 1365"/>
              <a:gd name="T21" fmla="*/ 1587 h 655"/>
              <a:gd name="T22" fmla="*/ 1244600 w 1365"/>
              <a:gd name="T23" fmla="*/ 14287 h 655"/>
              <a:gd name="T24" fmla="*/ 1270000 w 1365"/>
              <a:gd name="T25" fmla="*/ 52387 h 655"/>
              <a:gd name="T26" fmla="*/ 1308100 w 1365"/>
              <a:gd name="T27" fmla="*/ 90487 h 655"/>
              <a:gd name="T28" fmla="*/ 1422400 w 1365"/>
              <a:gd name="T29" fmla="*/ 153987 h 655"/>
              <a:gd name="T30" fmla="*/ 1524000 w 1365"/>
              <a:gd name="T31" fmla="*/ 230187 h 655"/>
              <a:gd name="T32" fmla="*/ 1625600 w 1365"/>
              <a:gd name="T33" fmla="*/ 255587 h 655"/>
              <a:gd name="T34" fmla="*/ 2057400 w 1365"/>
              <a:gd name="T35" fmla="*/ 192087 h 655"/>
              <a:gd name="T36" fmla="*/ 2120900 w 1365"/>
              <a:gd name="T37" fmla="*/ 306387 h 655"/>
              <a:gd name="T38" fmla="*/ 2044700 w 1365"/>
              <a:gd name="T39" fmla="*/ 382587 h 655"/>
              <a:gd name="T40" fmla="*/ 1968500 w 1365"/>
              <a:gd name="T41" fmla="*/ 433387 h 655"/>
              <a:gd name="T42" fmla="*/ 1790700 w 1365"/>
              <a:gd name="T43" fmla="*/ 534987 h 655"/>
              <a:gd name="T44" fmla="*/ 1663700 w 1365"/>
              <a:gd name="T45" fmla="*/ 573087 h 655"/>
              <a:gd name="T46" fmla="*/ 1358900 w 1365"/>
              <a:gd name="T47" fmla="*/ 534987 h 655"/>
              <a:gd name="T48" fmla="*/ 1003300 w 1365"/>
              <a:gd name="T49" fmla="*/ 395287 h 655"/>
              <a:gd name="T50" fmla="*/ 533400 w 1365"/>
              <a:gd name="T51" fmla="*/ 407987 h 655"/>
              <a:gd name="T52" fmla="*/ 330200 w 1365"/>
              <a:gd name="T53" fmla="*/ 509587 h 655"/>
              <a:gd name="T54" fmla="*/ 241300 w 1365"/>
              <a:gd name="T55" fmla="*/ 661987 h 655"/>
              <a:gd name="T56" fmla="*/ 215900 w 1365"/>
              <a:gd name="T57" fmla="*/ 763587 h 655"/>
              <a:gd name="T58" fmla="*/ 190500 w 1365"/>
              <a:gd name="T59" fmla="*/ 839787 h 655"/>
              <a:gd name="T60" fmla="*/ 241300 w 1365"/>
              <a:gd name="T61" fmla="*/ 1030287 h 655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0" t="0" r="r" b="b"/>
            <a:pathLst>
              <a:path w="1365" h="655">
                <a:moveTo>
                  <a:pt x="152" y="649"/>
                </a:moveTo>
                <a:cubicBezTo>
                  <a:pt x="112" y="646"/>
                  <a:pt x="70" y="655"/>
                  <a:pt x="32" y="641"/>
                </a:cubicBezTo>
                <a:cubicBezTo>
                  <a:pt x="14" y="634"/>
                  <a:pt x="0" y="593"/>
                  <a:pt x="0" y="593"/>
                </a:cubicBezTo>
                <a:cubicBezTo>
                  <a:pt x="7" y="515"/>
                  <a:pt x="23" y="436"/>
                  <a:pt x="48" y="361"/>
                </a:cubicBezTo>
                <a:cubicBezTo>
                  <a:pt x="59" y="328"/>
                  <a:pt x="106" y="287"/>
                  <a:pt x="128" y="265"/>
                </a:cubicBezTo>
                <a:cubicBezTo>
                  <a:pt x="155" y="238"/>
                  <a:pt x="147" y="257"/>
                  <a:pt x="176" y="241"/>
                </a:cubicBezTo>
                <a:cubicBezTo>
                  <a:pt x="259" y="195"/>
                  <a:pt x="194" y="219"/>
                  <a:pt x="248" y="201"/>
                </a:cubicBezTo>
                <a:cubicBezTo>
                  <a:pt x="257" y="155"/>
                  <a:pt x="261" y="151"/>
                  <a:pt x="304" y="137"/>
                </a:cubicBezTo>
                <a:cubicBezTo>
                  <a:pt x="319" y="122"/>
                  <a:pt x="326" y="100"/>
                  <a:pt x="344" y="89"/>
                </a:cubicBezTo>
                <a:cubicBezTo>
                  <a:pt x="377" y="68"/>
                  <a:pt x="434" y="62"/>
                  <a:pt x="472" y="57"/>
                </a:cubicBezTo>
                <a:cubicBezTo>
                  <a:pt x="525" y="22"/>
                  <a:pt x="603" y="21"/>
                  <a:pt x="664" y="1"/>
                </a:cubicBezTo>
                <a:cubicBezTo>
                  <a:pt x="704" y="4"/>
                  <a:pt x="745" y="0"/>
                  <a:pt x="784" y="9"/>
                </a:cubicBezTo>
                <a:cubicBezTo>
                  <a:pt x="793" y="11"/>
                  <a:pt x="794" y="26"/>
                  <a:pt x="800" y="33"/>
                </a:cubicBezTo>
                <a:cubicBezTo>
                  <a:pt x="807" y="42"/>
                  <a:pt x="815" y="50"/>
                  <a:pt x="824" y="57"/>
                </a:cubicBezTo>
                <a:cubicBezTo>
                  <a:pt x="846" y="75"/>
                  <a:pt x="872" y="81"/>
                  <a:pt x="896" y="97"/>
                </a:cubicBezTo>
                <a:cubicBezTo>
                  <a:pt x="911" y="120"/>
                  <a:pt x="933" y="135"/>
                  <a:pt x="960" y="145"/>
                </a:cubicBezTo>
                <a:cubicBezTo>
                  <a:pt x="981" y="153"/>
                  <a:pt x="1024" y="161"/>
                  <a:pt x="1024" y="161"/>
                </a:cubicBezTo>
                <a:cubicBezTo>
                  <a:pt x="1113" y="158"/>
                  <a:pt x="1228" y="189"/>
                  <a:pt x="1296" y="121"/>
                </a:cubicBezTo>
                <a:cubicBezTo>
                  <a:pt x="1331" y="130"/>
                  <a:pt x="1365" y="148"/>
                  <a:pt x="1336" y="193"/>
                </a:cubicBezTo>
                <a:cubicBezTo>
                  <a:pt x="1324" y="212"/>
                  <a:pt x="1304" y="225"/>
                  <a:pt x="1288" y="241"/>
                </a:cubicBezTo>
                <a:cubicBezTo>
                  <a:pt x="1274" y="255"/>
                  <a:pt x="1240" y="273"/>
                  <a:pt x="1240" y="273"/>
                </a:cubicBezTo>
                <a:cubicBezTo>
                  <a:pt x="1205" y="325"/>
                  <a:pt x="1186" y="322"/>
                  <a:pt x="1128" y="337"/>
                </a:cubicBezTo>
                <a:cubicBezTo>
                  <a:pt x="1101" y="344"/>
                  <a:pt x="1075" y="354"/>
                  <a:pt x="1048" y="361"/>
                </a:cubicBezTo>
                <a:cubicBezTo>
                  <a:pt x="980" y="357"/>
                  <a:pt x="919" y="360"/>
                  <a:pt x="856" y="337"/>
                </a:cubicBezTo>
                <a:cubicBezTo>
                  <a:pt x="782" y="309"/>
                  <a:pt x="710" y="265"/>
                  <a:pt x="632" y="249"/>
                </a:cubicBezTo>
                <a:cubicBezTo>
                  <a:pt x="533" y="252"/>
                  <a:pt x="434" y="250"/>
                  <a:pt x="336" y="257"/>
                </a:cubicBezTo>
                <a:cubicBezTo>
                  <a:pt x="288" y="260"/>
                  <a:pt x="249" y="300"/>
                  <a:pt x="208" y="321"/>
                </a:cubicBezTo>
                <a:cubicBezTo>
                  <a:pt x="196" y="357"/>
                  <a:pt x="178" y="391"/>
                  <a:pt x="152" y="417"/>
                </a:cubicBezTo>
                <a:cubicBezTo>
                  <a:pt x="128" y="490"/>
                  <a:pt x="165" y="375"/>
                  <a:pt x="136" y="481"/>
                </a:cubicBezTo>
                <a:cubicBezTo>
                  <a:pt x="132" y="497"/>
                  <a:pt x="120" y="529"/>
                  <a:pt x="120" y="529"/>
                </a:cubicBezTo>
                <a:cubicBezTo>
                  <a:pt x="128" y="606"/>
                  <a:pt x="126" y="597"/>
                  <a:pt x="152" y="64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99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4" name="Text Box 34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701974" y="5858174"/>
            <a:ext cx="2063749" cy="36933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d’Alep, 2013</a:t>
            </a:r>
          </a:p>
        </xdr:txBody>
      </xdr:sp>
      <xdr:sp macro="" textlink="">
        <xdr:nvSpPr>
          <xdr:cNvPr id="85" name="AutoShape 35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8052686" y="6151861"/>
            <a:ext cx="617538" cy="71438"/>
          </a:xfrm>
          <a:custGeom>
            <a:avLst/>
            <a:gdLst>
              <a:gd name="T0" fmla="*/ 463154 w 21600"/>
              <a:gd name="T1" fmla="*/ 0 h 21600"/>
              <a:gd name="T2" fmla="*/ 0 w 21600"/>
              <a:gd name="T3" fmla="*/ 35719 h 21600"/>
              <a:gd name="T4" fmla="*/ 463154 w 21600"/>
              <a:gd name="T5" fmla="*/ 71438 h 21600"/>
              <a:gd name="T6" fmla="*/ 617538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6" name="Text Box 36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25261" y="1322686"/>
            <a:ext cx="2520950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Pessières Ardennes, 2013</a:t>
            </a:r>
          </a:p>
        </xdr:txBody>
      </xdr:sp>
      <xdr:sp macro="" textlink="">
        <xdr:nvSpPr>
          <xdr:cNvPr id="87" name="AutoShape 37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>
            <a:spLocks noChangeArrowheads="1"/>
          </xdr:cNvSpPr>
        </xdr:nvSpPr>
        <xdr:spPr bwMode="auto">
          <a:xfrm rot="2656331" flipV="1">
            <a:off x="6598536" y="1830686"/>
            <a:ext cx="649288" cy="144463"/>
          </a:xfrm>
          <a:custGeom>
            <a:avLst/>
            <a:gdLst>
              <a:gd name="T0" fmla="*/ 486966 w 21600"/>
              <a:gd name="T1" fmla="*/ 0 h 21600"/>
              <a:gd name="T2" fmla="*/ 0 w 21600"/>
              <a:gd name="T3" fmla="*/ 72232 h 21600"/>
              <a:gd name="T4" fmla="*/ 486966 w 21600"/>
              <a:gd name="T5" fmla="*/ 144463 h 21600"/>
              <a:gd name="T6" fmla="*/ 649288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8" name="Freeform 38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>
            <a:spLocks/>
          </xdr:cNvSpPr>
        </xdr:nvSpPr>
        <xdr:spPr bwMode="auto">
          <a:xfrm>
            <a:off x="6957311" y="1886249"/>
            <a:ext cx="523875" cy="393700"/>
          </a:xfrm>
          <a:custGeom>
            <a:avLst/>
            <a:gdLst>
              <a:gd name="T0" fmla="*/ 511175 w 330"/>
              <a:gd name="T1" fmla="*/ 360363 h 248"/>
              <a:gd name="T2" fmla="*/ 66675 w 330"/>
              <a:gd name="T3" fmla="*/ 309563 h 248"/>
              <a:gd name="T4" fmla="*/ 28575 w 330"/>
              <a:gd name="T5" fmla="*/ 119063 h 248"/>
              <a:gd name="T6" fmla="*/ 92075 w 330"/>
              <a:gd name="T7" fmla="*/ 4763 h 248"/>
              <a:gd name="T8" fmla="*/ 422275 w 330"/>
              <a:gd name="T9" fmla="*/ 17463 h 248"/>
              <a:gd name="T10" fmla="*/ 498475 w 330"/>
              <a:gd name="T11" fmla="*/ 68263 h 248"/>
              <a:gd name="T12" fmla="*/ 523875 w 330"/>
              <a:gd name="T13" fmla="*/ 207963 h 248"/>
              <a:gd name="T14" fmla="*/ 511175 w 330"/>
              <a:gd name="T15" fmla="*/ 322263 h 248"/>
              <a:gd name="T16" fmla="*/ 511175 w 330"/>
              <a:gd name="T17" fmla="*/ 360363 h 248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330" h="248">
                <a:moveTo>
                  <a:pt x="322" y="227"/>
                </a:moveTo>
                <a:cubicBezTo>
                  <a:pt x="233" y="224"/>
                  <a:pt x="122" y="248"/>
                  <a:pt x="42" y="195"/>
                </a:cubicBezTo>
                <a:cubicBezTo>
                  <a:pt x="0" y="132"/>
                  <a:pt x="4" y="160"/>
                  <a:pt x="18" y="75"/>
                </a:cubicBezTo>
                <a:cubicBezTo>
                  <a:pt x="23" y="48"/>
                  <a:pt x="58" y="3"/>
                  <a:pt x="58" y="3"/>
                </a:cubicBezTo>
                <a:cubicBezTo>
                  <a:pt x="127" y="6"/>
                  <a:pt x="197" y="0"/>
                  <a:pt x="266" y="11"/>
                </a:cubicBezTo>
                <a:cubicBezTo>
                  <a:pt x="285" y="14"/>
                  <a:pt x="314" y="43"/>
                  <a:pt x="314" y="43"/>
                </a:cubicBezTo>
                <a:cubicBezTo>
                  <a:pt x="318" y="73"/>
                  <a:pt x="330" y="101"/>
                  <a:pt x="330" y="131"/>
                </a:cubicBezTo>
                <a:cubicBezTo>
                  <a:pt x="330" y="155"/>
                  <a:pt x="326" y="179"/>
                  <a:pt x="322" y="203"/>
                </a:cubicBezTo>
                <a:cubicBezTo>
                  <a:pt x="318" y="230"/>
                  <a:pt x="304" y="227"/>
                  <a:pt x="322" y="227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80008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9" name="AutoShape 3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>
            <a:spLocks noChangeArrowheads="1"/>
          </xdr:cNvSpPr>
        </xdr:nvSpPr>
        <xdr:spPr bwMode="auto">
          <a:xfrm rot="2154456">
            <a:off x="2744086" y="2337099"/>
            <a:ext cx="1700213" cy="96837"/>
          </a:xfrm>
          <a:custGeom>
            <a:avLst/>
            <a:gdLst>
              <a:gd name="T0" fmla="*/ 1275160 w 21600"/>
              <a:gd name="T1" fmla="*/ 0 h 21600"/>
              <a:gd name="T2" fmla="*/ 0 w 21600"/>
              <a:gd name="T3" fmla="*/ 48418 h 21600"/>
              <a:gd name="T4" fmla="*/ 1275160 w 21600"/>
              <a:gd name="T5" fmla="*/ 96837 h 21600"/>
              <a:gd name="T6" fmla="*/ 1700213 w 21600"/>
              <a:gd name="T7" fmla="*/ 4841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hlink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0" name="AutoShape 40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>
            <a:spLocks noChangeArrowheads="1"/>
          </xdr:cNvSpPr>
        </xdr:nvSpPr>
        <xdr:spPr bwMode="auto">
          <a:xfrm rot="676093">
            <a:off x="2931411" y="2887961"/>
            <a:ext cx="1598613" cy="171450"/>
          </a:xfrm>
          <a:custGeom>
            <a:avLst/>
            <a:gdLst>
              <a:gd name="T0" fmla="*/ 1198960 w 21600"/>
              <a:gd name="T1" fmla="*/ 0 h 21600"/>
              <a:gd name="T2" fmla="*/ 0 w 21600"/>
              <a:gd name="T3" fmla="*/ 85725 h 21600"/>
              <a:gd name="T4" fmla="*/ 1198960 w 21600"/>
              <a:gd name="T5" fmla="*/ 171450 h 21600"/>
              <a:gd name="T6" fmla="*/ 1598613 w 21600"/>
              <a:gd name="T7" fmla="*/ 85725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1" name="AutoShape 41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>
            <a:spLocks noChangeArrowheads="1"/>
          </xdr:cNvSpPr>
        </xdr:nvSpPr>
        <xdr:spPr bwMode="auto">
          <a:xfrm rot="5770355">
            <a:off x="7527224" y="1865611"/>
            <a:ext cx="717550" cy="203200"/>
          </a:xfrm>
          <a:custGeom>
            <a:avLst/>
            <a:gdLst>
              <a:gd name="T0" fmla="*/ 538163 w 21600"/>
              <a:gd name="T1" fmla="*/ 0 h 21600"/>
              <a:gd name="T2" fmla="*/ 0 w 21600"/>
              <a:gd name="T3" fmla="*/ 101600 h 21600"/>
              <a:gd name="T4" fmla="*/ 538163 w 21600"/>
              <a:gd name="T5" fmla="*/ 203200 h 21600"/>
              <a:gd name="T6" fmla="*/ 717550 w 21600"/>
              <a:gd name="T7" fmla="*/ 1016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2" name="AutoShape 42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>
            <a:spLocks noChangeArrowheads="1"/>
          </xdr:cNvSpPr>
        </xdr:nvSpPr>
        <xdr:spPr bwMode="auto">
          <a:xfrm rot="20404329" flipV="1">
            <a:off x="5245986" y="6650336"/>
            <a:ext cx="576263" cy="73025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36513 h 21600"/>
              <a:gd name="T4" fmla="*/ 432197 w 21600"/>
              <a:gd name="T5" fmla="*/ 73025 h 21600"/>
              <a:gd name="T6" fmla="*/ 576263 w 21600"/>
              <a:gd name="T7" fmla="*/ 365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3" name="AutoShape 43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052686" y="2098974"/>
            <a:ext cx="952500" cy="152400"/>
          </a:xfrm>
          <a:custGeom>
            <a:avLst/>
            <a:gdLst>
              <a:gd name="T0" fmla="*/ 714375 w 21600"/>
              <a:gd name="T1" fmla="*/ 0 h 21600"/>
              <a:gd name="T2" fmla="*/ 0 w 21600"/>
              <a:gd name="T3" fmla="*/ 76200 h 21600"/>
              <a:gd name="T4" fmla="*/ 714375 w 21600"/>
              <a:gd name="T5" fmla="*/ 152400 h 21600"/>
              <a:gd name="T6" fmla="*/ 9525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4" name="AutoShape 44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16186" y="41516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6666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5" name="Freeform 45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>
            <a:spLocks/>
          </xdr:cNvSpPr>
        </xdr:nvSpPr>
        <xdr:spPr bwMode="auto">
          <a:xfrm>
            <a:off x="4764974" y="1800524"/>
            <a:ext cx="2206625" cy="1462087"/>
          </a:xfrm>
          <a:custGeom>
            <a:avLst/>
            <a:gdLst>
              <a:gd name="T0" fmla="*/ 1293813 w 1390"/>
              <a:gd name="T1" fmla="*/ 14287 h 921"/>
              <a:gd name="T2" fmla="*/ 1243013 w 1390"/>
              <a:gd name="T3" fmla="*/ 103187 h 921"/>
              <a:gd name="T4" fmla="*/ 1217613 w 1390"/>
              <a:gd name="T5" fmla="*/ 153987 h 921"/>
              <a:gd name="T6" fmla="*/ 1077913 w 1390"/>
              <a:gd name="T7" fmla="*/ 230187 h 921"/>
              <a:gd name="T8" fmla="*/ 950913 w 1390"/>
              <a:gd name="T9" fmla="*/ 331787 h 921"/>
              <a:gd name="T10" fmla="*/ 798513 w 1390"/>
              <a:gd name="T11" fmla="*/ 458787 h 921"/>
              <a:gd name="T12" fmla="*/ 595313 w 1390"/>
              <a:gd name="T13" fmla="*/ 496887 h 921"/>
              <a:gd name="T14" fmla="*/ 265113 w 1390"/>
              <a:gd name="T15" fmla="*/ 623887 h 921"/>
              <a:gd name="T16" fmla="*/ 49213 w 1390"/>
              <a:gd name="T17" fmla="*/ 763587 h 921"/>
              <a:gd name="T18" fmla="*/ 100013 w 1390"/>
              <a:gd name="T19" fmla="*/ 1169987 h 921"/>
              <a:gd name="T20" fmla="*/ 138113 w 1390"/>
              <a:gd name="T21" fmla="*/ 1246187 h 921"/>
              <a:gd name="T22" fmla="*/ 227013 w 1390"/>
              <a:gd name="T23" fmla="*/ 1271587 h 921"/>
              <a:gd name="T24" fmla="*/ 417513 w 1390"/>
              <a:gd name="T25" fmla="*/ 1385887 h 921"/>
              <a:gd name="T26" fmla="*/ 557213 w 1390"/>
              <a:gd name="T27" fmla="*/ 1436687 h 921"/>
              <a:gd name="T28" fmla="*/ 569913 w 1390"/>
              <a:gd name="T29" fmla="*/ 1373187 h 921"/>
              <a:gd name="T30" fmla="*/ 696913 w 1390"/>
              <a:gd name="T31" fmla="*/ 1411287 h 921"/>
              <a:gd name="T32" fmla="*/ 1014413 w 1390"/>
              <a:gd name="T33" fmla="*/ 1462087 h 921"/>
              <a:gd name="T34" fmla="*/ 1751013 w 1390"/>
              <a:gd name="T35" fmla="*/ 1449387 h 921"/>
              <a:gd name="T36" fmla="*/ 1839913 w 1390"/>
              <a:gd name="T37" fmla="*/ 1398587 h 921"/>
              <a:gd name="T38" fmla="*/ 1916113 w 1390"/>
              <a:gd name="T39" fmla="*/ 1347787 h 921"/>
              <a:gd name="T40" fmla="*/ 2030413 w 1390"/>
              <a:gd name="T41" fmla="*/ 1208087 h 921"/>
              <a:gd name="T42" fmla="*/ 2093913 w 1390"/>
              <a:gd name="T43" fmla="*/ 1093787 h 921"/>
              <a:gd name="T44" fmla="*/ 2119313 w 1390"/>
              <a:gd name="T45" fmla="*/ 1017587 h 921"/>
              <a:gd name="T46" fmla="*/ 2132013 w 1390"/>
              <a:gd name="T47" fmla="*/ 979487 h 921"/>
              <a:gd name="T48" fmla="*/ 2043113 w 1390"/>
              <a:gd name="T49" fmla="*/ 382587 h 921"/>
              <a:gd name="T50" fmla="*/ 1992313 w 1390"/>
              <a:gd name="T51" fmla="*/ 331787 h 921"/>
              <a:gd name="T52" fmla="*/ 1979613 w 1390"/>
              <a:gd name="T53" fmla="*/ 293687 h 921"/>
              <a:gd name="T54" fmla="*/ 1941513 w 1390"/>
              <a:gd name="T55" fmla="*/ 268287 h 921"/>
              <a:gd name="T56" fmla="*/ 1687513 w 1390"/>
              <a:gd name="T57" fmla="*/ 52387 h 921"/>
              <a:gd name="T58" fmla="*/ 1573213 w 1390"/>
              <a:gd name="T59" fmla="*/ 14287 h 921"/>
              <a:gd name="T60" fmla="*/ 1535113 w 1390"/>
              <a:gd name="T61" fmla="*/ 1587 h 921"/>
              <a:gd name="T62" fmla="*/ 1293813 w 1390"/>
              <a:gd name="T63" fmla="*/ 14287 h 921"/>
              <a:gd name="T64" fmla="*/ 1255713 w 1390"/>
              <a:gd name="T65" fmla="*/ 52387 h 921"/>
              <a:gd name="T66" fmla="*/ 1293813 w 1390"/>
              <a:gd name="T67" fmla="*/ 14287 h 92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390" h="921">
                <a:moveTo>
                  <a:pt x="815" y="9"/>
                </a:moveTo>
                <a:cubicBezTo>
                  <a:pt x="800" y="71"/>
                  <a:pt x="820" y="14"/>
                  <a:pt x="783" y="65"/>
                </a:cubicBezTo>
                <a:cubicBezTo>
                  <a:pt x="776" y="75"/>
                  <a:pt x="775" y="89"/>
                  <a:pt x="767" y="97"/>
                </a:cubicBezTo>
                <a:cubicBezTo>
                  <a:pt x="740" y="124"/>
                  <a:pt x="712" y="132"/>
                  <a:pt x="679" y="145"/>
                </a:cubicBezTo>
                <a:cubicBezTo>
                  <a:pt x="664" y="190"/>
                  <a:pt x="631" y="181"/>
                  <a:pt x="599" y="209"/>
                </a:cubicBezTo>
                <a:cubicBezTo>
                  <a:pt x="507" y="291"/>
                  <a:pt x="596" y="227"/>
                  <a:pt x="503" y="289"/>
                </a:cubicBezTo>
                <a:cubicBezTo>
                  <a:pt x="483" y="302"/>
                  <a:pt x="397" y="310"/>
                  <a:pt x="375" y="313"/>
                </a:cubicBezTo>
                <a:cubicBezTo>
                  <a:pt x="304" y="337"/>
                  <a:pt x="242" y="378"/>
                  <a:pt x="167" y="393"/>
                </a:cubicBezTo>
                <a:cubicBezTo>
                  <a:pt x="137" y="438"/>
                  <a:pt x="76" y="451"/>
                  <a:pt x="31" y="481"/>
                </a:cubicBezTo>
                <a:cubicBezTo>
                  <a:pt x="0" y="573"/>
                  <a:pt x="10" y="657"/>
                  <a:pt x="63" y="737"/>
                </a:cubicBezTo>
                <a:cubicBezTo>
                  <a:pt x="73" y="752"/>
                  <a:pt x="74" y="772"/>
                  <a:pt x="87" y="785"/>
                </a:cubicBezTo>
                <a:cubicBezTo>
                  <a:pt x="91" y="789"/>
                  <a:pt x="143" y="801"/>
                  <a:pt x="143" y="801"/>
                </a:cubicBezTo>
                <a:cubicBezTo>
                  <a:pt x="176" y="822"/>
                  <a:pt x="224" y="858"/>
                  <a:pt x="263" y="873"/>
                </a:cubicBezTo>
                <a:cubicBezTo>
                  <a:pt x="294" y="885"/>
                  <a:pt x="321" y="890"/>
                  <a:pt x="351" y="905"/>
                </a:cubicBezTo>
                <a:cubicBezTo>
                  <a:pt x="354" y="892"/>
                  <a:pt x="347" y="871"/>
                  <a:pt x="359" y="865"/>
                </a:cubicBezTo>
                <a:cubicBezTo>
                  <a:pt x="403" y="843"/>
                  <a:pt x="410" y="879"/>
                  <a:pt x="439" y="889"/>
                </a:cubicBezTo>
                <a:cubicBezTo>
                  <a:pt x="502" y="912"/>
                  <a:pt x="573" y="913"/>
                  <a:pt x="639" y="921"/>
                </a:cubicBezTo>
                <a:cubicBezTo>
                  <a:pt x="794" y="918"/>
                  <a:pt x="948" y="918"/>
                  <a:pt x="1103" y="913"/>
                </a:cubicBezTo>
                <a:cubicBezTo>
                  <a:pt x="1125" y="912"/>
                  <a:pt x="1143" y="892"/>
                  <a:pt x="1159" y="881"/>
                </a:cubicBezTo>
                <a:cubicBezTo>
                  <a:pt x="1175" y="870"/>
                  <a:pt x="1207" y="849"/>
                  <a:pt x="1207" y="849"/>
                </a:cubicBezTo>
                <a:cubicBezTo>
                  <a:pt x="1230" y="815"/>
                  <a:pt x="1265" y="804"/>
                  <a:pt x="1279" y="761"/>
                </a:cubicBezTo>
                <a:cubicBezTo>
                  <a:pt x="1299" y="702"/>
                  <a:pt x="1283" y="725"/>
                  <a:pt x="1319" y="689"/>
                </a:cubicBezTo>
                <a:cubicBezTo>
                  <a:pt x="1324" y="673"/>
                  <a:pt x="1330" y="657"/>
                  <a:pt x="1335" y="641"/>
                </a:cubicBezTo>
                <a:cubicBezTo>
                  <a:pt x="1338" y="633"/>
                  <a:pt x="1343" y="617"/>
                  <a:pt x="1343" y="617"/>
                </a:cubicBezTo>
                <a:cubicBezTo>
                  <a:pt x="1339" y="452"/>
                  <a:pt x="1390" y="344"/>
                  <a:pt x="1287" y="241"/>
                </a:cubicBezTo>
                <a:cubicBezTo>
                  <a:pt x="1266" y="177"/>
                  <a:pt x="1298" y="252"/>
                  <a:pt x="1255" y="209"/>
                </a:cubicBezTo>
                <a:cubicBezTo>
                  <a:pt x="1249" y="203"/>
                  <a:pt x="1252" y="192"/>
                  <a:pt x="1247" y="185"/>
                </a:cubicBezTo>
                <a:cubicBezTo>
                  <a:pt x="1241" y="177"/>
                  <a:pt x="1231" y="174"/>
                  <a:pt x="1223" y="169"/>
                </a:cubicBezTo>
                <a:cubicBezTo>
                  <a:pt x="1184" y="110"/>
                  <a:pt x="1131" y="60"/>
                  <a:pt x="1063" y="33"/>
                </a:cubicBezTo>
                <a:cubicBezTo>
                  <a:pt x="1040" y="24"/>
                  <a:pt x="1015" y="17"/>
                  <a:pt x="991" y="9"/>
                </a:cubicBezTo>
                <a:cubicBezTo>
                  <a:pt x="983" y="6"/>
                  <a:pt x="967" y="1"/>
                  <a:pt x="967" y="1"/>
                </a:cubicBezTo>
                <a:cubicBezTo>
                  <a:pt x="916" y="4"/>
                  <a:pt x="865" y="0"/>
                  <a:pt x="815" y="9"/>
                </a:cubicBezTo>
                <a:cubicBezTo>
                  <a:pt x="804" y="11"/>
                  <a:pt x="791" y="33"/>
                  <a:pt x="791" y="33"/>
                </a:cubicBezTo>
                <a:cubicBezTo>
                  <a:pt x="791" y="33"/>
                  <a:pt x="807" y="17"/>
                  <a:pt x="815" y="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7625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6" name="AutoShape 46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>
            <a:spLocks noChangeArrowheads="1"/>
          </xdr:cNvSpPr>
        </xdr:nvSpPr>
        <xdr:spPr bwMode="auto">
          <a:xfrm rot="3171435">
            <a:off x="4252211" y="2191049"/>
            <a:ext cx="762000" cy="152400"/>
          </a:xfrm>
          <a:custGeom>
            <a:avLst/>
            <a:gdLst>
              <a:gd name="T0" fmla="*/ 571500 w 21600"/>
              <a:gd name="T1" fmla="*/ 0 h 21600"/>
              <a:gd name="T2" fmla="*/ 0 w 21600"/>
              <a:gd name="T3" fmla="*/ 76200 h 21600"/>
              <a:gd name="T4" fmla="*/ 571500 w 21600"/>
              <a:gd name="T5" fmla="*/ 152400 h 21600"/>
              <a:gd name="T6" fmla="*/ 7620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3399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7" name="AutoShape 47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6396924" y="6656686"/>
            <a:ext cx="617537" cy="71438"/>
          </a:xfrm>
          <a:custGeom>
            <a:avLst/>
            <a:gdLst>
              <a:gd name="T0" fmla="*/ 463153 w 21600"/>
              <a:gd name="T1" fmla="*/ 0 h 21600"/>
              <a:gd name="T2" fmla="*/ 0 w 21600"/>
              <a:gd name="T3" fmla="*/ 35719 h 21600"/>
              <a:gd name="T4" fmla="*/ 463153 w 21600"/>
              <a:gd name="T5" fmla="*/ 71438 h 21600"/>
              <a:gd name="T6" fmla="*/ 617537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8" name="AutoShape 48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98736" y="35547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8000"/>
          </a:solidFill>
          <a:ln w="12700">
            <a:solidFill>
              <a:srgbClr val="008000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9" name="AutoShape 49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>
            <a:spLocks noChangeArrowheads="1"/>
          </xdr:cNvSpPr>
        </xdr:nvSpPr>
        <xdr:spPr bwMode="auto">
          <a:xfrm rot="21406602">
            <a:off x="4242686" y="6269336"/>
            <a:ext cx="506413" cy="104775"/>
          </a:xfrm>
          <a:custGeom>
            <a:avLst/>
            <a:gdLst>
              <a:gd name="T0" fmla="*/ 379810 w 21600"/>
              <a:gd name="T1" fmla="*/ 0 h 21600"/>
              <a:gd name="T2" fmla="*/ 0 w 21600"/>
              <a:gd name="T3" fmla="*/ 52388 h 21600"/>
              <a:gd name="T4" fmla="*/ 379810 w 21600"/>
              <a:gd name="T5" fmla="*/ 104775 h 21600"/>
              <a:gd name="T6" fmla="*/ 506413 w 21600"/>
              <a:gd name="T7" fmla="*/ 5238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FF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0" name="Freeform 50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>
            <a:spLocks/>
          </xdr:cNvSpPr>
        </xdr:nvSpPr>
        <xdr:spPr bwMode="auto">
          <a:xfrm>
            <a:off x="4557011" y="6183611"/>
            <a:ext cx="1738313" cy="596900"/>
          </a:xfrm>
          <a:custGeom>
            <a:avLst/>
            <a:gdLst>
              <a:gd name="T0" fmla="*/ 1704975 w 1095"/>
              <a:gd name="T1" fmla="*/ 444500 h 376"/>
              <a:gd name="T2" fmla="*/ 1577975 w 1095"/>
              <a:gd name="T3" fmla="*/ 393700 h 376"/>
              <a:gd name="T4" fmla="*/ 1209675 w 1095"/>
              <a:gd name="T5" fmla="*/ 254000 h 376"/>
              <a:gd name="T6" fmla="*/ 1082675 w 1095"/>
              <a:gd name="T7" fmla="*/ 177800 h 376"/>
              <a:gd name="T8" fmla="*/ 828675 w 1095"/>
              <a:gd name="T9" fmla="*/ 88900 h 376"/>
              <a:gd name="T10" fmla="*/ 371475 w 1095"/>
              <a:gd name="T11" fmla="*/ 63500 h 376"/>
              <a:gd name="T12" fmla="*/ 117475 w 1095"/>
              <a:gd name="T13" fmla="*/ 152400 h 376"/>
              <a:gd name="T14" fmla="*/ 231775 w 1095"/>
              <a:gd name="T15" fmla="*/ 190500 h 376"/>
              <a:gd name="T16" fmla="*/ 561975 w 1095"/>
              <a:gd name="T17" fmla="*/ 215900 h 376"/>
              <a:gd name="T18" fmla="*/ 727075 w 1095"/>
              <a:gd name="T19" fmla="*/ 266700 h 376"/>
              <a:gd name="T20" fmla="*/ 866775 w 1095"/>
              <a:gd name="T21" fmla="*/ 304800 h 376"/>
              <a:gd name="T22" fmla="*/ 981075 w 1095"/>
              <a:gd name="T23" fmla="*/ 342900 h 376"/>
              <a:gd name="T24" fmla="*/ 1273175 w 1095"/>
              <a:gd name="T25" fmla="*/ 431800 h 376"/>
              <a:gd name="T26" fmla="*/ 1527175 w 1095"/>
              <a:gd name="T27" fmla="*/ 546100 h 376"/>
              <a:gd name="T28" fmla="*/ 1577975 w 1095"/>
              <a:gd name="T29" fmla="*/ 571500 h 376"/>
              <a:gd name="T30" fmla="*/ 1654175 w 1095"/>
              <a:gd name="T31" fmla="*/ 596900 h 376"/>
              <a:gd name="T32" fmla="*/ 1692275 w 1095"/>
              <a:gd name="T33" fmla="*/ 495300 h 376"/>
              <a:gd name="T34" fmla="*/ 1704975 w 1095"/>
              <a:gd name="T35" fmla="*/ 444500 h 37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0" t="0" r="r" b="b"/>
            <a:pathLst>
              <a:path w="1095" h="376">
                <a:moveTo>
                  <a:pt x="1074" y="280"/>
                </a:moveTo>
                <a:cubicBezTo>
                  <a:pt x="1046" y="271"/>
                  <a:pt x="1022" y="257"/>
                  <a:pt x="994" y="248"/>
                </a:cubicBezTo>
                <a:cubicBezTo>
                  <a:pt x="930" y="200"/>
                  <a:pt x="838" y="185"/>
                  <a:pt x="762" y="160"/>
                </a:cubicBezTo>
                <a:cubicBezTo>
                  <a:pt x="726" y="148"/>
                  <a:pt x="719" y="130"/>
                  <a:pt x="682" y="112"/>
                </a:cubicBezTo>
                <a:cubicBezTo>
                  <a:pt x="644" y="93"/>
                  <a:pt x="563" y="58"/>
                  <a:pt x="522" y="56"/>
                </a:cubicBezTo>
                <a:cubicBezTo>
                  <a:pt x="319" y="46"/>
                  <a:pt x="415" y="51"/>
                  <a:pt x="234" y="40"/>
                </a:cubicBezTo>
                <a:cubicBezTo>
                  <a:pt x="183" y="30"/>
                  <a:pt x="0" y="0"/>
                  <a:pt x="74" y="96"/>
                </a:cubicBezTo>
                <a:cubicBezTo>
                  <a:pt x="74" y="96"/>
                  <a:pt x="134" y="116"/>
                  <a:pt x="146" y="120"/>
                </a:cubicBezTo>
                <a:cubicBezTo>
                  <a:pt x="212" y="142"/>
                  <a:pt x="285" y="133"/>
                  <a:pt x="354" y="136"/>
                </a:cubicBezTo>
                <a:cubicBezTo>
                  <a:pt x="388" y="147"/>
                  <a:pt x="423" y="159"/>
                  <a:pt x="458" y="168"/>
                </a:cubicBezTo>
                <a:cubicBezTo>
                  <a:pt x="482" y="174"/>
                  <a:pt x="525" y="178"/>
                  <a:pt x="546" y="192"/>
                </a:cubicBezTo>
                <a:cubicBezTo>
                  <a:pt x="590" y="222"/>
                  <a:pt x="549" y="199"/>
                  <a:pt x="618" y="216"/>
                </a:cubicBezTo>
                <a:cubicBezTo>
                  <a:pt x="681" y="232"/>
                  <a:pt x="739" y="259"/>
                  <a:pt x="802" y="272"/>
                </a:cubicBezTo>
                <a:cubicBezTo>
                  <a:pt x="855" y="299"/>
                  <a:pt x="911" y="315"/>
                  <a:pt x="962" y="344"/>
                </a:cubicBezTo>
                <a:cubicBezTo>
                  <a:pt x="972" y="350"/>
                  <a:pt x="983" y="356"/>
                  <a:pt x="994" y="360"/>
                </a:cubicBezTo>
                <a:cubicBezTo>
                  <a:pt x="1010" y="366"/>
                  <a:pt x="1042" y="376"/>
                  <a:pt x="1042" y="376"/>
                </a:cubicBezTo>
                <a:cubicBezTo>
                  <a:pt x="1095" y="358"/>
                  <a:pt x="1066" y="352"/>
                  <a:pt x="1066" y="312"/>
                </a:cubicBezTo>
                <a:cubicBezTo>
                  <a:pt x="1066" y="301"/>
                  <a:pt x="1071" y="291"/>
                  <a:pt x="1074" y="280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1" name="Freeform 51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>
            <a:spLocks/>
          </xdr:cNvSpPr>
        </xdr:nvSpPr>
        <xdr:spPr bwMode="auto">
          <a:xfrm>
            <a:off x="6704899" y="2827636"/>
            <a:ext cx="1042987" cy="1019175"/>
          </a:xfrm>
          <a:custGeom>
            <a:avLst/>
            <a:gdLst>
              <a:gd name="T0" fmla="*/ 1042987 w 657"/>
              <a:gd name="T1" fmla="*/ 409575 h 642"/>
              <a:gd name="T2" fmla="*/ 1017587 w 657"/>
              <a:gd name="T3" fmla="*/ 561975 h 642"/>
              <a:gd name="T4" fmla="*/ 941387 w 657"/>
              <a:gd name="T5" fmla="*/ 815975 h 642"/>
              <a:gd name="T6" fmla="*/ 852487 w 657"/>
              <a:gd name="T7" fmla="*/ 968375 h 642"/>
              <a:gd name="T8" fmla="*/ 636587 w 657"/>
              <a:gd name="T9" fmla="*/ 1019175 h 642"/>
              <a:gd name="T10" fmla="*/ 344487 w 657"/>
              <a:gd name="T11" fmla="*/ 993775 h 642"/>
              <a:gd name="T12" fmla="*/ 192087 w 657"/>
              <a:gd name="T13" fmla="*/ 930275 h 642"/>
              <a:gd name="T14" fmla="*/ 103187 w 657"/>
              <a:gd name="T15" fmla="*/ 828675 h 642"/>
              <a:gd name="T16" fmla="*/ 77787 w 657"/>
              <a:gd name="T17" fmla="*/ 790575 h 642"/>
              <a:gd name="T18" fmla="*/ 39687 w 657"/>
              <a:gd name="T19" fmla="*/ 765175 h 642"/>
              <a:gd name="T20" fmla="*/ 14287 w 657"/>
              <a:gd name="T21" fmla="*/ 688975 h 642"/>
              <a:gd name="T22" fmla="*/ 1587 w 657"/>
              <a:gd name="T23" fmla="*/ 650875 h 642"/>
              <a:gd name="T24" fmla="*/ 65087 w 657"/>
              <a:gd name="T25" fmla="*/ 320675 h 642"/>
              <a:gd name="T26" fmla="*/ 179387 w 657"/>
              <a:gd name="T27" fmla="*/ 244475 h 642"/>
              <a:gd name="T28" fmla="*/ 217487 w 657"/>
              <a:gd name="T29" fmla="*/ 219075 h 642"/>
              <a:gd name="T30" fmla="*/ 319087 w 657"/>
              <a:gd name="T31" fmla="*/ 142875 h 642"/>
              <a:gd name="T32" fmla="*/ 433387 w 657"/>
              <a:gd name="T33" fmla="*/ 79375 h 642"/>
              <a:gd name="T34" fmla="*/ 598487 w 657"/>
              <a:gd name="T35" fmla="*/ 3175 h 642"/>
              <a:gd name="T36" fmla="*/ 941387 w 657"/>
              <a:gd name="T37" fmla="*/ 53975 h 642"/>
              <a:gd name="T38" fmla="*/ 1017587 w 657"/>
              <a:gd name="T39" fmla="*/ 244475 h 642"/>
              <a:gd name="T40" fmla="*/ 1042987 w 657"/>
              <a:gd name="T41" fmla="*/ 409575 h 642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657" h="642">
                <a:moveTo>
                  <a:pt x="657" y="258"/>
                </a:moveTo>
                <a:cubicBezTo>
                  <a:pt x="652" y="290"/>
                  <a:pt x="646" y="322"/>
                  <a:pt x="641" y="354"/>
                </a:cubicBezTo>
                <a:cubicBezTo>
                  <a:pt x="630" y="417"/>
                  <a:pt x="649" y="477"/>
                  <a:pt x="593" y="514"/>
                </a:cubicBezTo>
                <a:cubicBezTo>
                  <a:pt x="572" y="546"/>
                  <a:pt x="559" y="577"/>
                  <a:pt x="537" y="610"/>
                </a:cubicBezTo>
                <a:cubicBezTo>
                  <a:pt x="528" y="624"/>
                  <a:pt x="415" y="639"/>
                  <a:pt x="401" y="642"/>
                </a:cubicBezTo>
                <a:cubicBezTo>
                  <a:pt x="347" y="639"/>
                  <a:pt x="275" y="642"/>
                  <a:pt x="217" y="626"/>
                </a:cubicBezTo>
                <a:cubicBezTo>
                  <a:pt x="179" y="616"/>
                  <a:pt x="156" y="598"/>
                  <a:pt x="121" y="586"/>
                </a:cubicBezTo>
                <a:cubicBezTo>
                  <a:pt x="84" y="530"/>
                  <a:pt x="105" y="549"/>
                  <a:pt x="65" y="522"/>
                </a:cubicBezTo>
                <a:cubicBezTo>
                  <a:pt x="60" y="514"/>
                  <a:pt x="56" y="505"/>
                  <a:pt x="49" y="498"/>
                </a:cubicBezTo>
                <a:cubicBezTo>
                  <a:pt x="42" y="491"/>
                  <a:pt x="30" y="490"/>
                  <a:pt x="25" y="482"/>
                </a:cubicBezTo>
                <a:cubicBezTo>
                  <a:pt x="16" y="468"/>
                  <a:pt x="14" y="450"/>
                  <a:pt x="9" y="434"/>
                </a:cubicBezTo>
                <a:cubicBezTo>
                  <a:pt x="6" y="426"/>
                  <a:pt x="1" y="410"/>
                  <a:pt x="1" y="410"/>
                </a:cubicBezTo>
                <a:cubicBezTo>
                  <a:pt x="3" y="379"/>
                  <a:pt x="0" y="238"/>
                  <a:pt x="41" y="202"/>
                </a:cubicBezTo>
                <a:cubicBezTo>
                  <a:pt x="41" y="202"/>
                  <a:pt x="101" y="162"/>
                  <a:pt x="113" y="154"/>
                </a:cubicBezTo>
                <a:cubicBezTo>
                  <a:pt x="121" y="149"/>
                  <a:pt x="137" y="138"/>
                  <a:pt x="137" y="138"/>
                </a:cubicBezTo>
                <a:cubicBezTo>
                  <a:pt x="156" y="109"/>
                  <a:pt x="173" y="109"/>
                  <a:pt x="201" y="90"/>
                </a:cubicBezTo>
                <a:cubicBezTo>
                  <a:pt x="222" y="58"/>
                  <a:pt x="236" y="59"/>
                  <a:pt x="273" y="50"/>
                </a:cubicBezTo>
                <a:cubicBezTo>
                  <a:pt x="305" y="29"/>
                  <a:pt x="342" y="19"/>
                  <a:pt x="377" y="2"/>
                </a:cubicBezTo>
                <a:cubicBezTo>
                  <a:pt x="578" y="12"/>
                  <a:pt x="492" y="0"/>
                  <a:pt x="593" y="34"/>
                </a:cubicBezTo>
                <a:cubicBezTo>
                  <a:pt x="631" y="91"/>
                  <a:pt x="620" y="91"/>
                  <a:pt x="641" y="154"/>
                </a:cubicBezTo>
                <a:cubicBezTo>
                  <a:pt x="645" y="185"/>
                  <a:pt x="657" y="226"/>
                  <a:pt x="657" y="258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CCCC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2" name="AutoShape 52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395586" y="2987974"/>
            <a:ext cx="385763" cy="142875"/>
          </a:xfrm>
          <a:custGeom>
            <a:avLst/>
            <a:gdLst>
              <a:gd name="T0" fmla="*/ 307217 w 21600"/>
              <a:gd name="T1" fmla="*/ 0 h 21600"/>
              <a:gd name="T2" fmla="*/ 0 w 21600"/>
              <a:gd name="T3" fmla="*/ 71438 h 21600"/>
              <a:gd name="T4" fmla="*/ 307217 w 21600"/>
              <a:gd name="T5" fmla="*/ 142875 h 21600"/>
              <a:gd name="T6" fmla="*/ 385763 w 21600"/>
              <a:gd name="T7" fmla="*/ 714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8772 h 21600"/>
              <a:gd name="T14" fmla="*/ 20774 w 21600"/>
              <a:gd name="T15" fmla="*/ 12828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7202" y="0"/>
                </a:moveTo>
                <a:lnTo>
                  <a:pt x="17202" y="8772"/>
                </a:lnTo>
                <a:lnTo>
                  <a:pt x="3375" y="8772"/>
                </a:lnTo>
                <a:lnTo>
                  <a:pt x="3375" y="12828"/>
                </a:lnTo>
                <a:lnTo>
                  <a:pt x="17202" y="12828"/>
                </a:lnTo>
                <a:lnTo>
                  <a:pt x="17202" y="21600"/>
                </a:lnTo>
                <a:lnTo>
                  <a:pt x="21600" y="10800"/>
                </a:lnTo>
                <a:lnTo>
                  <a:pt x="17202" y="0"/>
                </a:lnTo>
                <a:close/>
              </a:path>
              <a:path w="21600" h="21600">
                <a:moveTo>
                  <a:pt x="1350" y="8772"/>
                </a:moveTo>
                <a:lnTo>
                  <a:pt x="1350" y="12828"/>
                </a:lnTo>
                <a:lnTo>
                  <a:pt x="2700" y="12828"/>
                </a:lnTo>
                <a:lnTo>
                  <a:pt x="2700" y="8772"/>
                </a:lnTo>
                <a:lnTo>
                  <a:pt x="1350" y="8772"/>
                </a:lnTo>
                <a:close/>
              </a:path>
              <a:path w="21600" h="21600">
                <a:moveTo>
                  <a:pt x="0" y="8772"/>
                </a:moveTo>
                <a:lnTo>
                  <a:pt x="0" y="12828"/>
                </a:lnTo>
                <a:lnTo>
                  <a:pt x="675" y="12828"/>
                </a:lnTo>
                <a:lnTo>
                  <a:pt x="675" y="8772"/>
                </a:lnTo>
                <a:lnTo>
                  <a:pt x="0" y="8772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3" name="AutoShape 53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>
            <a:spLocks noChangeArrowheads="1"/>
          </xdr:cNvSpPr>
        </xdr:nvSpPr>
        <xdr:spPr bwMode="auto">
          <a:xfrm rot="489171" flipV="1">
            <a:off x="7409749" y="2572049"/>
            <a:ext cx="690562" cy="219075"/>
          </a:xfrm>
          <a:custGeom>
            <a:avLst/>
            <a:gdLst>
              <a:gd name="T0" fmla="*/ 517922 w 21600"/>
              <a:gd name="T1" fmla="*/ 0 h 21600"/>
              <a:gd name="T2" fmla="*/ 0 w 21600"/>
              <a:gd name="T3" fmla="*/ 109538 h 21600"/>
              <a:gd name="T4" fmla="*/ 517922 w 21600"/>
              <a:gd name="T5" fmla="*/ 219075 h 21600"/>
              <a:gd name="T6" fmla="*/ 690562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4" name="Text Box 54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30086" y="2330749"/>
            <a:ext cx="23764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massif vosgien, 2012</a:t>
            </a:r>
          </a:p>
        </xdr:txBody>
      </xdr:sp>
      <xdr:sp macro="" textlink="">
        <xdr:nvSpPr>
          <xdr:cNvPr id="105" name="ZoneTexte 107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 txBox="1"/>
        </xdr:nvSpPr>
        <xdr:spPr>
          <a:xfrm rot="16200000">
            <a:off x="9346135" y="3726292"/>
            <a:ext cx="472078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1600" i="1"/>
              <a:t>Bilan des guides de sylviculture adapté de Sardin, 2014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23FD84-834D-48D6-AC8C-F4D1D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92" y="44824"/>
          <a:ext cx="5030321" cy="874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AC36343-A8ED-41F6-A4F2-19594A2C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8AFA57-6F8A-456E-8ED9-3186DE918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099EFE9-9B55-4F81-866D-1AB05ACE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192" y="44824"/>
          <a:ext cx="4763621" cy="888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iblio.onf.fr/documentation/getfile.php?file=1/Doc_associe/45643/1/923502010872.pdf" TargetMode="External"/><Relationship Id="rId13" Type="http://schemas.openxmlformats.org/officeDocument/2006/relationships/hyperlink" Target="http://biblio.onf.fr/documentation/getfile.php?file=1/Doc_associe/45643/1/923502010872.pdf" TargetMode="External"/><Relationship Id="rId18" Type="http://schemas.openxmlformats.org/officeDocument/2006/relationships/hyperlink" Target="http://biblio.onf.fr/documentation/getfile.php?file=1/Doc_associe/44975/1/923502010589.pdf" TargetMode="External"/><Relationship Id="rId3" Type="http://schemas.openxmlformats.org/officeDocument/2006/relationships/hyperlink" Target="http://biblio.onf.fr/documentation/getfile.php?file=1/Doc_associe/52568/1/923502011854.pdf" TargetMode="External"/><Relationship Id="rId21" Type="http://schemas.openxmlformats.org/officeDocument/2006/relationships/hyperlink" Target="http://biblio.onf.fr/documentation/getfile.php?file=1/Doc_associe/56447/1/923502012153.pdf" TargetMode="External"/><Relationship Id="rId7" Type="http://schemas.openxmlformats.org/officeDocument/2006/relationships/hyperlink" Target="http://biblio.onf.fr/documentation/getfile.php?file=1/Doc_associe/56447/1/923502012153.pdf" TargetMode="External"/><Relationship Id="rId12" Type="http://schemas.openxmlformats.org/officeDocument/2006/relationships/hyperlink" Target="http://biblio.onf.fr/documentation/getfile.php?file=1/Doc_associe/45643/1/923502010872.pdf" TargetMode="External"/><Relationship Id="rId17" Type="http://schemas.openxmlformats.org/officeDocument/2006/relationships/hyperlink" Target="http://biblio.onf.fr/documentation/getfile.php?file=1/Doc_associe/44975/1/923502010589.pdf" TargetMode="External"/><Relationship Id="rId2" Type="http://schemas.openxmlformats.org/officeDocument/2006/relationships/hyperlink" Target="http://biblio.onf.fr/documentation/getfile.php?file=1/Doc_associe/52568/1/923502011854.pdf" TargetMode="External"/><Relationship Id="rId16" Type="http://schemas.openxmlformats.org/officeDocument/2006/relationships/hyperlink" Target="http://biblio.onf.fr/documentation/getfile.php?file=1/Doc_associe/56911/1/923502012259.pdf" TargetMode="External"/><Relationship Id="rId20" Type="http://schemas.openxmlformats.org/officeDocument/2006/relationships/hyperlink" Target="http://biblio.onf.fr/documentation/getfile.php?file=1/Doc_associe/45643/1/923502010872.pdf" TargetMode="External"/><Relationship Id="rId1" Type="http://schemas.openxmlformats.org/officeDocument/2006/relationships/hyperlink" Target="http://biblio.onf.fr/documentation/getfile.php?file=1/Doc_associe/56911/1/923502012259.pdf" TargetMode="External"/><Relationship Id="rId6" Type="http://schemas.openxmlformats.org/officeDocument/2006/relationships/hyperlink" Target="http://biblio.onf.fr/documentation/getfile.php?file=1/Doc_associe/56447/1/923502012153.pdf" TargetMode="External"/><Relationship Id="rId11" Type="http://schemas.openxmlformats.org/officeDocument/2006/relationships/hyperlink" Target="http://biblio.onf.fr/documentation/getfile.php?file=1/Doc_associe/56447/1/923502012153.pdf" TargetMode="External"/><Relationship Id="rId5" Type="http://schemas.openxmlformats.org/officeDocument/2006/relationships/hyperlink" Target="http://biblio.onf.fr/documentation/getfile.php?file=1/Doc_associe/44975/1/923502010589.pdf" TargetMode="External"/><Relationship Id="rId15" Type="http://schemas.openxmlformats.org/officeDocument/2006/relationships/hyperlink" Target="http://biblio.onf.fr/documentation/getfile.php?file=1/Doc_associe/56911/1/923502012259.pdf" TargetMode="External"/><Relationship Id="rId23" Type="http://schemas.openxmlformats.org/officeDocument/2006/relationships/printerSettings" Target="../printerSettings/printerSettings4.bin"/><Relationship Id="rId10" Type="http://schemas.openxmlformats.org/officeDocument/2006/relationships/hyperlink" Target="http://biblio.onf.fr/documentation/getfile.php?file=1/Doc_associe/56447/1/923502012153.pdf" TargetMode="External"/><Relationship Id="rId19" Type="http://schemas.openxmlformats.org/officeDocument/2006/relationships/hyperlink" Target="http://biblio.onf.fr/documentation/getfile.php?file=1/Doc_associe/45643/1/923502010872.pdf" TargetMode="External"/><Relationship Id="rId4" Type="http://schemas.openxmlformats.org/officeDocument/2006/relationships/hyperlink" Target="http://biblio.onf.fr/documentation/getfile.php?file=1/Doc_associe/44975/1/923502010589.pdf" TargetMode="External"/><Relationship Id="rId9" Type="http://schemas.openxmlformats.org/officeDocument/2006/relationships/hyperlink" Target="http://biblio.onf.fr/documentation/getfile.php?file=1/Doc_associe/45643/1/923502010872.pdf" TargetMode="External"/><Relationship Id="rId14" Type="http://schemas.openxmlformats.org/officeDocument/2006/relationships/hyperlink" Target="http://biblio.onf.fr/documentation/getfile.php?file=1/Doc_associe/44975/1/923502010589.pdf" TargetMode="External"/><Relationship Id="rId22" Type="http://schemas.openxmlformats.org/officeDocument/2006/relationships/hyperlink" Target="http://biblio.onf.fr/documentation/getfile.php?file=1/Doc_associe/56447/1/923502012153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opLeftCell="A7" zoomScale="130" zoomScaleNormal="130" workbookViewId="0">
      <selection activeCell="A3" sqref="A3:O35"/>
    </sheetView>
  </sheetViews>
  <sheetFormatPr baseColWidth="10" defaultColWidth="0" defaultRowHeight="15" zeroHeight="1" x14ac:dyDescent="0.25"/>
  <cols>
    <col min="1" max="15" width="11.5703125" customWidth="1"/>
    <col min="16" max="16384" width="11.5703125" hidden="1"/>
  </cols>
  <sheetData>
    <row r="1" spans="1:15" ht="14.65" customHeight="1" x14ac:dyDescent="0.25">
      <c r="A1" s="365" t="s">
        <v>3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</row>
    <row r="2" spans="1:15" ht="14.65" customHeight="1" x14ac:dyDescent="0.25">
      <c r="A2" s="365"/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</row>
    <row r="3" spans="1:15" x14ac:dyDescent="0.25">
      <c r="A3" s="366"/>
      <c r="B3" s="366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</row>
    <row r="4" spans="1:15" x14ac:dyDescent="0.25">
      <c r="A4" s="366"/>
      <c r="B4" s="366"/>
      <c r="C4" s="366"/>
      <c r="D4" s="366"/>
      <c r="E4" s="366"/>
      <c r="F4" s="366"/>
      <c r="G4" s="366"/>
      <c r="H4" s="366"/>
      <c r="I4" s="366"/>
      <c r="J4" s="366"/>
      <c r="K4" s="366"/>
      <c r="L4" s="366"/>
      <c r="M4" s="366"/>
      <c r="N4" s="366"/>
      <c r="O4" s="366"/>
    </row>
    <row r="5" spans="1:15" x14ac:dyDescent="0.25">
      <c r="A5" s="366"/>
      <c r="B5" s="366"/>
      <c r="C5" s="366"/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</row>
    <row r="6" spans="1:15" x14ac:dyDescent="0.25">
      <c r="A6" s="366"/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  <c r="M6" s="366"/>
      <c r="N6" s="366"/>
      <c r="O6" s="366"/>
    </row>
    <row r="7" spans="1:15" x14ac:dyDescent="0.25">
      <c r="A7" s="366"/>
      <c r="B7" s="366"/>
      <c r="C7" s="366"/>
      <c r="D7" s="366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366"/>
    </row>
    <row r="8" spans="1:15" x14ac:dyDescent="0.25">
      <c r="A8" s="366"/>
      <c r="B8" s="366"/>
      <c r="C8" s="366"/>
      <c r="D8" s="366"/>
      <c r="E8" s="366"/>
      <c r="F8" s="366"/>
      <c r="G8" s="366"/>
      <c r="H8" s="366"/>
      <c r="I8" s="366"/>
      <c r="J8" s="366"/>
      <c r="K8" s="366"/>
      <c r="L8" s="366"/>
      <c r="M8" s="366"/>
      <c r="N8" s="366"/>
      <c r="O8" s="366"/>
    </row>
    <row r="9" spans="1:15" x14ac:dyDescent="0.25">
      <c r="A9" s="366"/>
      <c r="B9" s="366"/>
      <c r="C9" s="366"/>
      <c r="D9" s="366"/>
      <c r="E9" s="366"/>
      <c r="F9" s="366"/>
      <c r="G9" s="366"/>
      <c r="H9" s="366"/>
      <c r="I9" s="366"/>
      <c r="J9" s="366"/>
      <c r="K9" s="366"/>
      <c r="L9" s="366"/>
      <c r="M9" s="366"/>
      <c r="N9" s="366"/>
      <c r="O9" s="366"/>
    </row>
    <row r="10" spans="1:15" x14ac:dyDescent="0.25">
      <c r="A10" s="366"/>
      <c r="B10" s="366"/>
      <c r="C10" s="366"/>
      <c r="D10" s="366"/>
      <c r="E10" s="366"/>
      <c r="F10" s="366"/>
      <c r="G10" s="366"/>
      <c r="H10" s="366"/>
      <c r="I10" s="366"/>
      <c r="J10" s="366"/>
      <c r="K10" s="366"/>
      <c r="L10" s="366"/>
      <c r="M10" s="366"/>
      <c r="N10" s="366"/>
      <c r="O10" s="366"/>
    </row>
    <row r="11" spans="1:15" x14ac:dyDescent="0.25">
      <c r="A11" s="366"/>
      <c r="B11" s="366"/>
      <c r="C11" s="366"/>
      <c r="D11" s="366"/>
      <c r="E11" s="366"/>
      <c r="F11" s="366"/>
      <c r="G11" s="366"/>
      <c r="H11" s="366"/>
      <c r="I11" s="366"/>
      <c r="J11" s="366"/>
      <c r="K11" s="366"/>
      <c r="L11" s="366"/>
      <c r="M11" s="366"/>
      <c r="N11" s="366"/>
      <c r="O11" s="366"/>
    </row>
    <row r="12" spans="1:15" x14ac:dyDescent="0.25">
      <c r="A12" s="366"/>
      <c r="B12" s="366"/>
      <c r="C12" s="366"/>
      <c r="D12" s="366"/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</row>
    <row r="13" spans="1:15" x14ac:dyDescent="0.25">
      <c r="A13" s="366"/>
      <c r="B13" s="366"/>
      <c r="C13" s="366"/>
      <c r="D13" s="366"/>
      <c r="E13" s="366"/>
      <c r="F13" s="366"/>
      <c r="G13" s="366"/>
      <c r="H13" s="366"/>
      <c r="I13" s="366"/>
      <c r="J13" s="366"/>
      <c r="K13" s="366"/>
      <c r="L13" s="366"/>
      <c r="M13" s="366"/>
      <c r="N13" s="366"/>
      <c r="O13" s="366"/>
    </row>
    <row r="14" spans="1:15" x14ac:dyDescent="0.25">
      <c r="A14" s="366"/>
      <c r="B14" s="366"/>
      <c r="C14" s="366"/>
      <c r="D14" s="366"/>
      <c r="E14" s="366"/>
      <c r="F14" s="366"/>
      <c r="G14" s="366"/>
      <c r="H14" s="366"/>
      <c r="I14" s="366"/>
      <c r="J14" s="366"/>
      <c r="K14" s="366"/>
      <c r="L14" s="366"/>
      <c r="M14" s="366"/>
      <c r="N14" s="366"/>
      <c r="O14" s="366"/>
    </row>
    <row r="15" spans="1:15" x14ac:dyDescent="0.25">
      <c r="A15" s="366"/>
      <c r="B15" s="366"/>
      <c r="C15" s="366"/>
      <c r="D15" s="366"/>
      <c r="E15" s="366"/>
      <c r="F15" s="366"/>
      <c r="G15" s="366"/>
      <c r="H15" s="366"/>
      <c r="I15" s="366"/>
      <c r="J15" s="366"/>
      <c r="K15" s="366"/>
      <c r="L15" s="366"/>
      <c r="M15" s="366"/>
      <c r="N15" s="366"/>
      <c r="O15" s="366"/>
    </row>
    <row r="16" spans="1:15" x14ac:dyDescent="0.25">
      <c r="A16" s="366"/>
      <c r="B16" s="366"/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O16" s="366"/>
    </row>
    <row r="17" spans="1:15" x14ac:dyDescent="0.25">
      <c r="A17" s="366"/>
      <c r="B17" s="366"/>
      <c r="C17" s="366"/>
      <c r="D17" s="366"/>
      <c r="E17" s="366"/>
      <c r="F17" s="366"/>
      <c r="G17" s="366"/>
      <c r="H17" s="366"/>
      <c r="I17" s="366"/>
      <c r="J17" s="366"/>
      <c r="K17" s="366"/>
      <c r="L17" s="366"/>
      <c r="M17" s="366"/>
      <c r="N17" s="366"/>
      <c r="O17" s="366"/>
    </row>
    <row r="18" spans="1:15" x14ac:dyDescent="0.25">
      <c r="A18" s="366"/>
      <c r="B18" s="366"/>
      <c r="C18" s="366"/>
      <c r="D18" s="366"/>
      <c r="E18" s="366"/>
      <c r="F18" s="366"/>
      <c r="G18" s="366"/>
      <c r="H18" s="366"/>
      <c r="I18" s="366"/>
      <c r="J18" s="366"/>
      <c r="K18" s="366"/>
      <c r="L18" s="366"/>
      <c r="M18" s="366"/>
      <c r="N18" s="366"/>
      <c r="O18" s="366"/>
    </row>
    <row r="19" spans="1:15" x14ac:dyDescent="0.25">
      <c r="A19" s="366"/>
      <c r="B19" s="366"/>
      <c r="C19" s="366"/>
      <c r="D19" s="366"/>
      <c r="E19" s="366"/>
      <c r="F19" s="366"/>
      <c r="G19" s="366"/>
      <c r="H19" s="366"/>
      <c r="I19" s="366"/>
      <c r="J19" s="366"/>
      <c r="K19" s="366"/>
      <c r="L19" s="366"/>
      <c r="M19" s="366"/>
      <c r="N19" s="366"/>
      <c r="O19" s="366"/>
    </row>
    <row r="20" spans="1:15" x14ac:dyDescent="0.25">
      <c r="A20" s="366"/>
      <c r="B20" s="366"/>
      <c r="C20" s="366"/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366"/>
    </row>
    <row r="21" spans="1:15" x14ac:dyDescent="0.25">
      <c r="A21" s="366"/>
      <c r="B21" s="366"/>
      <c r="C21" s="366"/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366"/>
    </row>
    <row r="22" spans="1:15" x14ac:dyDescent="0.25">
      <c r="A22" s="366"/>
      <c r="B22" s="366"/>
      <c r="C22" s="366"/>
      <c r="D22" s="366"/>
      <c r="E22" s="366"/>
      <c r="F22" s="366"/>
      <c r="G22" s="366"/>
      <c r="H22" s="366"/>
      <c r="I22" s="366"/>
      <c r="J22" s="366"/>
      <c r="K22" s="366"/>
      <c r="L22" s="366"/>
      <c r="M22" s="366"/>
      <c r="N22" s="366"/>
      <c r="O22" s="366"/>
    </row>
    <row r="23" spans="1:15" x14ac:dyDescent="0.25">
      <c r="A23" s="366"/>
      <c r="B23" s="366"/>
      <c r="C23" s="366"/>
      <c r="D23" s="366"/>
      <c r="E23" s="366"/>
      <c r="F23" s="366"/>
      <c r="G23" s="366"/>
      <c r="H23" s="366"/>
      <c r="I23" s="366"/>
      <c r="J23" s="366"/>
      <c r="K23" s="366"/>
      <c r="L23" s="366"/>
      <c r="M23" s="366"/>
      <c r="N23" s="366"/>
      <c r="O23" s="366"/>
    </row>
    <row r="24" spans="1:15" x14ac:dyDescent="0.25">
      <c r="A24" s="366"/>
      <c r="B24" s="366"/>
      <c r="C24" s="366"/>
      <c r="D24" s="366"/>
      <c r="E24" s="366"/>
      <c r="F24" s="366"/>
      <c r="G24" s="366"/>
      <c r="H24" s="366"/>
      <c r="I24" s="366"/>
      <c r="J24" s="366"/>
      <c r="K24" s="366"/>
      <c r="L24" s="366"/>
      <c r="M24" s="366"/>
      <c r="N24" s="366"/>
      <c r="O24" s="366"/>
    </row>
    <row r="25" spans="1:15" x14ac:dyDescent="0.25">
      <c r="A25" s="366"/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  <c r="N25" s="366"/>
      <c r="O25" s="366"/>
    </row>
    <row r="26" spans="1:15" x14ac:dyDescent="0.25">
      <c r="A26" s="366"/>
      <c r="B26" s="366"/>
      <c r="C26" s="366"/>
      <c r="D26" s="366"/>
      <c r="E26" s="366"/>
      <c r="F26" s="366"/>
      <c r="G26" s="366"/>
      <c r="H26" s="366"/>
      <c r="I26" s="366"/>
      <c r="J26" s="366"/>
      <c r="K26" s="366"/>
      <c r="L26" s="366"/>
      <c r="M26" s="366"/>
      <c r="N26" s="366"/>
      <c r="O26" s="366"/>
    </row>
    <row r="27" spans="1:15" x14ac:dyDescent="0.25">
      <c r="A27" s="366"/>
      <c r="B27" s="366"/>
      <c r="C27" s="366"/>
      <c r="D27" s="366"/>
      <c r="E27" s="366"/>
      <c r="F27" s="366"/>
      <c r="G27" s="366"/>
      <c r="H27" s="366"/>
      <c r="I27" s="366"/>
      <c r="J27" s="366"/>
      <c r="K27" s="366"/>
      <c r="L27" s="366"/>
      <c r="M27" s="366"/>
      <c r="N27" s="366"/>
      <c r="O27" s="366"/>
    </row>
    <row r="28" spans="1:15" x14ac:dyDescent="0.25">
      <c r="A28" s="366"/>
      <c r="B28" s="366"/>
      <c r="C28" s="366"/>
      <c r="D28" s="366"/>
      <c r="E28" s="366"/>
      <c r="F28" s="366"/>
      <c r="G28" s="366"/>
      <c r="H28" s="366"/>
      <c r="I28" s="366"/>
      <c r="J28" s="366"/>
      <c r="K28" s="366"/>
      <c r="L28" s="366"/>
      <c r="M28" s="366"/>
      <c r="N28" s="366"/>
      <c r="O28" s="366"/>
    </row>
    <row r="29" spans="1:15" x14ac:dyDescent="0.25">
      <c r="A29" s="366"/>
      <c r="B29" s="366"/>
      <c r="C29" s="366"/>
      <c r="D29" s="366"/>
      <c r="E29" s="366"/>
      <c r="F29" s="366"/>
      <c r="G29" s="366"/>
      <c r="H29" s="366"/>
      <c r="I29" s="366"/>
      <c r="J29" s="366"/>
      <c r="K29" s="366"/>
      <c r="L29" s="366"/>
      <c r="M29" s="366"/>
      <c r="N29" s="366"/>
      <c r="O29" s="366"/>
    </row>
    <row r="30" spans="1:15" x14ac:dyDescent="0.25">
      <c r="A30" s="366"/>
      <c r="B30" s="366"/>
      <c r="C30" s="366"/>
      <c r="D30" s="366"/>
      <c r="E30" s="366"/>
      <c r="F30" s="366"/>
      <c r="G30" s="366"/>
      <c r="H30" s="366"/>
      <c r="I30" s="366"/>
      <c r="J30" s="366"/>
      <c r="K30" s="366"/>
      <c r="L30" s="366"/>
      <c r="M30" s="366"/>
      <c r="N30" s="366"/>
      <c r="O30" s="366"/>
    </row>
    <row r="31" spans="1:15" x14ac:dyDescent="0.25">
      <c r="A31" s="366"/>
      <c r="B31" s="366"/>
      <c r="C31" s="366"/>
      <c r="D31" s="366"/>
      <c r="E31" s="366"/>
      <c r="F31" s="366"/>
      <c r="G31" s="366"/>
      <c r="H31" s="366"/>
      <c r="I31" s="366"/>
      <c r="J31" s="366"/>
      <c r="K31" s="366"/>
      <c r="L31" s="366"/>
      <c r="M31" s="366"/>
      <c r="N31" s="366"/>
      <c r="O31" s="366"/>
    </row>
    <row r="32" spans="1:15" x14ac:dyDescent="0.25">
      <c r="A32" s="366"/>
      <c r="B32" s="366"/>
      <c r="C32" s="366"/>
      <c r="D32" s="366"/>
      <c r="E32" s="366"/>
      <c r="F32" s="366"/>
      <c r="G32" s="366"/>
      <c r="H32" s="366"/>
      <c r="I32" s="366"/>
      <c r="J32" s="366"/>
      <c r="K32" s="366"/>
      <c r="L32" s="366"/>
      <c r="M32" s="366"/>
      <c r="N32" s="366"/>
      <c r="O32" s="366"/>
    </row>
    <row r="33" spans="1:15" x14ac:dyDescent="0.25">
      <c r="A33" s="366"/>
      <c r="B33" s="366"/>
      <c r="C33" s="366"/>
      <c r="D33" s="366"/>
      <c r="E33" s="366"/>
      <c r="F33" s="366"/>
      <c r="G33" s="366"/>
      <c r="H33" s="366"/>
      <c r="I33" s="366"/>
      <c r="J33" s="366"/>
      <c r="K33" s="366"/>
      <c r="L33" s="366"/>
      <c r="M33" s="366"/>
      <c r="N33" s="366"/>
      <c r="O33" s="366"/>
    </row>
    <row r="34" spans="1:15" x14ac:dyDescent="0.25">
      <c r="A34" s="366"/>
      <c r="B34" s="366"/>
      <c r="C34" s="366"/>
      <c r="D34" s="366"/>
      <c r="E34" s="366"/>
      <c r="F34" s="366"/>
      <c r="G34" s="366"/>
      <c r="H34" s="366"/>
      <c r="I34" s="366"/>
      <c r="J34" s="366"/>
      <c r="K34" s="366"/>
      <c r="L34" s="366"/>
      <c r="M34" s="366"/>
      <c r="N34" s="366"/>
      <c r="O34" s="366"/>
    </row>
    <row r="35" spans="1:15" x14ac:dyDescent="0.25">
      <c r="A35" s="366"/>
      <c r="B35" s="366"/>
      <c r="C35" s="366"/>
      <c r="D35" s="366"/>
      <c r="E35" s="366"/>
      <c r="F35" s="366"/>
      <c r="G35" s="366"/>
      <c r="H35" s="366"/>
      <c r="I35" s="366"/>
      <c r="J35" s="366"/>
      <c r="K35" s="366"/>
      <c r="L35" s="366"/>
      <c r="M35" s="366"/>
      <c r="N35" s="366"/>
      <c r="O35" s="366"/>
    </row>
  </sheetData>
  <mergeCells count="2">
    <mergeCell ref="A1:O2"/>
    <mergeCell ref="A3:O3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7109375" defaultRowHeight="15" x14ac:dyDescent="0.25"/>
  <cols>
    <col min="1" max="1" width="10.7109375" style="266"/>
    <col min="2" max="14" width="10.7109375" style="264"/>
    <col min="15" max="15" width="10.7109375" style="275"/>
    <col min="16" max="26" width="10.7109375" style="264"/>
    <col min="27" max="29" width="10.7109375" style="265"/>
    <col min="30" max="30" width="10.7109375" style="264"/>
    <col min="31" max="31" width="10.7109375" style="265"/>
    <col min="32" max="33" width="10.7109375" style="264"/>
    <col min="34" max="16384" width="10.71093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>
        <f>LBC!$B$78</f>
        <v>0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#N/A</v>
      </c>
      <c r="J8" s="268" t="e">
        <f>+VLOOKUP('Autres sources3'!$A$8,'Coef Feuillus divers'!$G$2:$AA$228,10,FALSE)</f>
        <v>#N/A</v>
      </c>
      <c r="K8" s="268" t="e">
        <f>+VLOOKUP('Autres sources3'!$A$8,'Coef Feuillus divers'!$G$2:$AA$228,11,FALSE)</f>
        <v>#N/A</v>
      </c>
      <c r="L8" s="268" t="e">
        <f>+VLOOKUP('Autres sources3'!$A$8,'Coef Feuillus divers'!$G$2:$AA$228,12,FALSE)</f>
        <v>#N/A</v>
      </c>
      <c r="M8" s="274" t="e">
        <f>+I8*C8</f>
        <v>#N/A</v>
      </c>
      <c r="N8" s="274">
        <f>+IF(D8="av",0,E8*I8)</f>
        <v>0</v>
      </c>
      <c r="O8" s="277" t="e">
        <f>+VLOOKUP(A8,'Coef Feuillus divers'!$G$2:$AA$228,21,FALSE)</f>
        <v>#N/A</v>
      </c>
      <c r="P8" s="274" t="e">
        <f>+M8*O8</f>
        <v>#N/A</v>
      </c>
      <c r="Q8" s="274" t="e">
        <f>EXP(-1.0587+0.8836*LN(P8)+0.284)</f>
        <v>#N/A</v>
      </c>
      <c r="R8" s="274" t="e">
        <f>+Q8+P8</f>
        <v>#N/A</v>
      </c>
      <c r="S8" s="274" t="str">
        <f>+_xlfn.CONCAT(A8,B8,D8)</f>
        <v>012av</v>
      </c>
      <c r="T8" s="274" t="e">
        <f>+R8*0.475*44/12</f>
        <v>#N/A</v>
      </c>
    </row>
    <row r="9" spans="1:20" x14ac:dyDescent="0.25">
      <c r="A9" s="268">
        <f>LBC!$B$78</f>
        <v>0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#N/A</v>
      </c>
      <c r="J9" s="268" t="e">
        <f>+VLOOKUP('Autres sources3'!$A$8,'Coef Feuillus divers'!$G$2:$AA$228,10,FALSE)</f>
        <v>#N/A</v>
      </c>
      <c r="K9" s="268" t="e">
        <f>+VLOOKUP('Autres sources3'!$A$8,'Coef Feuillus divers'!$G$2:$AA$228,11,FALSE)</f>
        <v>#N/A</v>
      </c>
      <c r="L9" s="268" t="e">
        <f>+VLOOKUP('Autres sources3'!$A$8,'Coef Feuillus divers'!$G$2:$AA$228,12,FALSE)</f>
        <v>#N/A</v>
      </c>
      <c r="M9" s="274" t="e">
        <f t="shared" ref="M9:M25" si="0">+I9*C9</f>
        <v>#N/A</v>
      </c>
      <c r="N9" s="274" t="e">
        <f t="shared" ref="N9:N25" si="1">+IF(D9="av",0,E9*I9)</f>
        <v>#N/A</v>
      </c>
      <c r="O9" s="277" t="e">
        <f>+VLOOKUP(A9,'Coef Feuillus divers'!$G$2:$AA$228,21,FALSE)</f>
        <v>#N/A</v>
      </c>
      <c r="P9" s="274" t="e">
        <f t="shared" ref="P9:P25" si="2">+M9*O9</f>
        <v>#N/A</v>
      </c>
      <c r="Q9" s="274" t="e">
        <f t="shared" ref="Q9:Q25" si="3">EXP(-1.0587+0.8836*LN(P9)+0.284)</f>
        <v>#N/A</v>
      </c>
      <c r="R9" s="274" t="e">
        <f t="shared" ref="R9:R25" si="4">+Q9+P9</f>
        <v>#N/A</v>
      </c>
      <c r="S9" s="274" t="str">
        <f t="shared" ref="S9:S25" si="5">+_xlfn.CONCAT(A9,B9,D9)</f>
        <v>012ap</v>
      </c>
      <c r="T9" s="274" t="e">
        <f t="shared" ref="T9:T25" si="6">+R9*0.475*44/12</f>
        <v>#N/A</v>
      </c>
    </row>
    <row r="10" spans="1:20" x14ac:dyDescent="0.25">
      <c r="A10" s="268">
        <f>LBC!$B$78</f>
        <v>0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#N/A</v>
      </c>
      <c r="J10" s="268" t="e">
        <f>+VLOOKUP('Autres sources3'!$A$8,'Coef Feuillus divers'!$G$2:$AA$228,10,FALSE)</f>
        <v>#N/A</v>
      </c>
      <c r="K10" s="268" t="e">
        <f>+VLOOKUP('Autres sources3'!$A$8,'Coef Feuillus divers'!$G$2:$AA$228,11,FALSE)</f>
        <v>#N/A</v>
      </c>
      <c r="L10" s="268" t="e">
        <f>+VLOOKUP('Autres sources3'!$A$8,'Coef Feuillus divers'!$G$2:$AA$228,12,FALSE)</f>
        <v>#N/A</v>
      </c>
      <c r="M10" s="274" t="e">
        <f t="shared" si="0"/>
        <v>#N/A</v>
      </c>
      <c r="N10" s="274">
        <f t="shared" si="1"/>
        <v>0</v>
      </c>
      <c r="O10" s="277" t="e">
        <f>+VLOOKUP(A10,'Coef Feuillus divers'!$G$2:$AA$228,21,FALSE)</f>
        <v>#N/A</v>
      </c>
      <c r="P10" s="274" t="e">
        <f t="shared" si="2"/>
        <v>#N/A</v>
      </c>
      <c r="Q10" s="274" t="e">
        <f t="shared" si="3"/>
        <v>#N/A</v>
      </c>
      <c r="R10" s="274" t="e">
        <f t="shared" si="4"/>
        <v>#N/A</v>
      </c>
      <c r="S10" s="274" t="str">
        <f t="shared" si="5"/>
        <v>016av</v>
      </c>
      <c r="T10" s="274" t="e">
        <f t="shared" si="6"/>
        <v>#N/A</v>
      </c>
    </row>
    <row r="11" spans="1:20" x14ac:dyDescent="0.25">
      <c r="A11" s="268">
        <f>LBC!$B$78</f>
        <v>0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#N/A</v>
      </c>
      <c r="J11" s="268" t="e">
        <f>+VLOOKUP('Autres sources3'!$A$8,'Coef Feuillus divers'!$G$2:$AA$228,10,FALSE)</f>
        <v>#N/A</v>
      </c>
      <c r="K11" s="268" t="e">
        <f>+VLOOKUP('Autres sources3'!$A$8,'Coef Feuillus divers'!$G$2:$AA$228,11,FALSE)</f>
        <v>#N/A</v>
      </c>
      <c r="L11" s="268" t="e">
        <f>+VLOOKUP('Autres sources3'!$A$8,'Coef Feuillus divers'!$G$2:$AA$228,12,FALSE)</f>
        <v>#N/A</v>
      </c>
      <c r="M11" s="274" t="e">
        <f t="shared" si="0"/>
        <v>#N/A</v>
      </c>
      <c r="N11" s="274" t="e">
        <f t="shared" si="1"/>
        <v>#N/A</v>
      </c>
      <c r="O11" s="277" t="e">
        <f>+VLOOKUP(A11,'Coef Feuillus divers'!$G$2:$AA$228,21,FALSE)</f>
        <v>#N/A</v>
      </c>
      <c r="P11" s="274" t="e">
        <f t="shared" si="2"/>
        <v>#N/A</v>
      </c>
      <c r="Q11" s="274" t="e">
        <f t="shared" si="3"/>
        <v>#N/A</v>
      </c>
      <c r="R11" s="274" t="e">
        <f t="shared" si="4"/>
        <v>#N/A</v>
      </c>
      <c r="S11" s="274" t="str">
        <f t="shared" si="5"/>
        <v>016ap</v>
      </c>
      <c r="T11" s="274" t="e">
        <f t="shared" si="6"/>
        <v>#N/A</v>
      </c>
    </row>
    <row r="12" spans="1:20" x14ac:dyDescent="0.25">
      <c r="A12" s="268">
        <f>LBC!$B$78</f>
        <v>0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#N/A</v>
      </c>
      <c r="J12" s="268" t="e">
        <f>+VLOOKUP('Autres sources3'!$A$8,'Coef Feuillus divers'!$G$2:$AA$228,10,FALSE)</f>
        <v>#N/A</v>
      </c>
      <c r="K12" s="268" t="e">
        <f>+VLOOKUP('Autres sources3'!$A$8,'Coef Feuillus divers'!$G$2:$AA$228,11,FALSE)</f>
        <v>#N/A</v>
      </c>
      <c r="L12" s="268" t="e">
        <f>+VLOOKUP('Autres sources3'!$A$8,'Coef Feuillus divers'!$G$2:$AA$228,12,FALSE)</f>
        <v>#N/A</v>
      </c>
      <c r="M12" s="274" t="e">
        <f t="shared" si="0"/>
        <v>#N/A</v>
      </c>
      <c r="N12" s="274">
        <f t="shared" si="1"/>
        <v>0</v>
      </c>
      <c r="O12" s="277" t="e">
        <f>+VLOOKUP(A12,'Coef Feuillus divers'!$G$2:$AA$228,21,FALSE)</f>
        <v>#N/A</v>
      </c>
      <c r="P12" s="274" t="e">
        <f t="shared" si="2"/>
        <v>#N/A</v>
      </c>
      <c r="Q12" s="274" t="e">
        <f t="shared" si="3"/>
        <v>#N/A</v>
      </c>
      <c r="R12" s="274" t="e">
        <f t="shared" si="4"/>
        <v>#N/A</v>
      </c>
      <c r="S12" s="274" t="str">
        <f t="shared" si="5"/>
        <v>020av</v>
      </c>
      <c r="T12" s="274" t="e">
        <f t="shared" si="6"/>
        <v>#N/A</v>
      </c>
    </row>
    <row r="13" spans="1:20" x14ac:dyDescent="0.25">
      <c r="A13" s="268">
        <f>LBC!$B$78</f>
        <v>0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#N/A</v>
      </c>
      <c r="J13" s="268" t="e">
        <f>+VLOOKUP('Autres sources3'!$A$8,'Coef Feuillus divers'!$G$2:$AA$228,10,FALSE)</f>
        <v>#N/A</v>
      </c>
      <c r="K13" s="268" t="e">
        <f>+VLOOKUP('Autres sources3'!$A$8,'Coef Feuillus divers'!$G$2:$AA$228,11,FALSE)</f>
        <v>#N/A</v>
      </c>
      <c r="L13" s="268" t="e">
        <f>+VLOOKUP('Autres sources3'!$A$8,'Coef Feuillus divers'!$G$2:$AA$228,12,FALSE)</f>
        <v>#N/A</v>
      </c>
      <c r="M13" s="274" t="e">
        <f t="shared" si="0"/>
        <v>#N/A</v>
      </c>
      <c r="N13" s="274" t="e">
        <f t="shared" si="1"/>
        <v>#N/A</v>
      </c>
      <c r="O13" s="277" t="e">
        <f>+VLOOKUP(A13,'Coef Feuillus divers'!$G$2:$AA$228,21,FALSE)</f>
        <v>#N/A</v>
      </c>
      <c r="P13" s="274" t="e">
        <f t="shared" si="2"/>
        <v>#N/A</v>
      </c>
      <c r="Q13" s="274" t="e">
        <f t="shared" si="3"/>
        <v>#N/A</v>
      </c>
      <c r="R13" s="274" t="e">
        <f t="shared" si="4"/>
        <v>#N/A</v>
      </c>
      <c r="S13" s="274" t="str">
        <f t="shared" si="5"/>
        <v>020ap</v>
      </c>
      <c r="T13" s="274" t="e">
        <f t="shared" si="6"/>
        <v>#N/A</v>
      </c>
    </row>
    <row r="14" spans="1:20" x14ac:dyDescent="0.25">
      <c r="A14" s="268">
        <f>LBC!$B$78</f>
        <v>0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#N/A</v>
      </c>
      <c r="J14" s="268" t="e">
        <f>+VLOOKUP('Autres sources3'!$A$8,'Coef Feuillus divers'!$G$2:$AA$228,10,FALSE)</f>
        <v>#N/A</v>
      </c>
      <c r="K14" s="268" t="e">
        <f>+VLOOKUP('Autres sources3'!$A$8,'Coef Feuillus divers'!$G$2:$AA$228,11,FALSE)</f>
        <v>#N/A</v>
      </c>
      <c r="L14" s="268" t="e">
        <f>+VLOOKUP('Autres sources3'!$A$8,'Coef Feuillus divers'!$G$2:$AA$228,12,FALSE)</f>
        <v>#N/A</v>
      </c>
      <c r="M14" s="274" t="e">
        <f t="shared" si="0"/>
        <v>#N/A</v>
      </c>
      <c r="N14" s="274">
        <f t="shared" si="1"/>
        <v>0</v>
      </c>
      <c r="O14" s="277" t="e">
        <f>+VLOOKUP(A14,'Coef Feuillus divers'!$G$2:$AA$228,21,FALSE)</f>
        <v>#N/A</v>
      </c>
      <c r="P14" s="274" t="e">
        <f t="shared" si="2"/>
        <v>#N/A</v>
      </c>
      <c r="Q14" s="274" t="e">
        <f t="shared" si="3"/>
        <v>#N/A</v>
      </c>
      <c r="R14" s="274" t="e">
        <f t="shared" si="4"/>
        <v>#N/A</v>
      </c>
      <c r="S14" s="274" t="str">
        <f t="shared" si="5"/>
        <v>025av</v>
      </c>
      <c r="T14" s="274" t="e">
        <f t="shared" si="6"/>
        <v>#N/A</v>
      </c>
    </row>
    <row r="15" spans="1:20" x14ac:dyDescent="0.25">
      <c r="A15" s="268">
        <f>LBC!$B$78</f>
        <v>0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#N/A</v>
      </c>
      <c r="J15" s="268" t="e">
        <f>+VLOOKUP('Autres sources3'!$A$8,'Coef Feuillus divers'!$G$2:$AA$228,10,FALSE)</f>
        <v>#N/A</v>
      </c>
      <c r="K15" s="268" t="e">
        <f>+VLOOKUP('Autres sources3'!$A$8,'Coef Feuillus divers'!$G$2:$AA$228,11,FALSE)</f>
        <v>#N/A</v>
      </c>
      <c r="L15" s="268" t="e">
        <f>+VLOOKUP('Autres sources3'!$A$8,'Coef Feuillus divers'!$G$2:$AA$228,12,FALSE)</f>
        <v>#N/A</v>
      </c>
      <c r="M15" s="274" t="e">
        <f t="shared" si="0"/>
        <v>#N/A</v>
      </c>
      <c r="N15" s="274" t="e">
        <f t="shared" si="1"/>
        <v>#N/A</v>
      </c>
      <c r="O15" s="277" t="e">
        <f>+VLOOKUP(A15,'Coef Feuillus divers'!$G$2:$AA$228,21,FALSE)</f>
        <v>#N/A</v>
      </c>
      <c r="P15" s="274" t="e">
        <f t="shared" si="2"/>
        <v>#N/A</v>
      </c>
      <c r="Q15" s="274" t="e">
        <f t="shared" si="3"/>
        <v>#N/A</v>
      </c>
      <c r="R15" s="274" t="e">
        <f t="shared" si="4"/>
        <v>#N/A</v>
      </c>
      <c r="S15" s="274" t="str">
        <f t="shared" si="5"/>
        <v>025ap</v>
      </c>
      <c r="T15" s="274" t="e">
        <f t="shared" si="6"/>
        <v>#N/A</v>
      </c>
    </row>
    <row r="16" spans="1:20" x14ac:dyDescent="0.25">
      <c r="A16" s="268">
        <f>LBC!$B$78</f>
        <v>0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#N/A</v>
      </c>
      <c r="J16" s="268" t="e">
        <f>+VLOOKUP('Autres sources3'!$A$8,'Coef Feuillus divers'!$G$2:$AA$228,10,FALSE)</f>
        <v>#N/A</v>
      </c>
      <c r="K16" s="268" t="e">
        <f>+VLOOKUP('Autres sources3'!$A$8,'Coef Feuillus divers'!$G$2:$AA$228,11,FALSE)</f>
        <v>#N/A</v>
      </c>
      <c r="L16" s="268" t="e">
        <f>+VLOOKUP('Autres sources3'!$A$8,'Coef Feuillus divers'!$G$2:$AA$228,12,FALSE)</f>
        <v>#N/A</v>
      </c>
      <c r="M16" s="274" t="e">
        <f t="shared" si="0"/>
        <v>#N/A</v>
      </c>
      <c r="N16" s="274">
        <f t="shared" si="1"/>
        <v>0</v>
      </c>
      <c r="O16" s="277" t="e">
        <f>+VLOOKUP(A16,'Coef Feuillus divers'!$G$2:$AA$228,21,FALSE)</f>
        <v>#N/A</v>
      </c>
      <c r="P16" s="274" t="e">
        <f t="shared" si="2"/>
        <v>#N/A</v>
      </c>
      <c r="Q16" s="274" t="e">
        <f t="shared" si="3"/>
        <v>#N/A</v>
      </c>
      <c r="R16" s="274" t="e">
        <f t="shared" si="4"/>
        <v>#N/A</v>
      </c>
      <c r="S16" s="274" t="str">
        <f t="shared" si="5"/>
        <v>030av</v>
      </c>
      <c r="T16" s="274" t="e">
        <f t="shared" si="6"/>
        <v>#N/A</v>
      </c>
    </row>
    <row r="17" spans="1:20" x14ac:dyDescent="0.25">
      <c r="A17" s="268">
        <f>LBC!$B$78</f>
        <v>0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#N/A</v>
      </c>
      <c r="J17" s="268" t="e">
        <f>+VLOOKUP('Autres sources3'!$A$8,'Coef Feuillus divers'!$G$2:$AA$228,10,FALSE)</f>
        <v>#N/A</v>
      </c>
      <c r="K17" s="268" t="e">
        <f>+VLOOKUP('Autres sources3'!$A$8,'Coef Feuillus divers'!$G$2:$AA$228,11,FALSE)</f>
        <v>#N/A</v>
      </c>
      <c r="L17" s="268" t="e">
        <f>+VLOOKUP('Autres sources3'!$A$8,'Coef Feuillus divers'!$G$2:$AA$228,12,FALSE)</f>
        <v>#N/A</v>
      </c>
      <c r="M17" s="274" t="e">
        <f t="shared" si="0"/>
        <v>#N/A</v>
      </c>
      <c r="N17" s="274" t="e">
        <f t="shared" si="1"/>
        <v>#N/A</v>
      </c>
      <c r="O17" s="277" t="e">
        <f>+VLOOKUP(A17,'Coef Feuillus divers'!$G$2:$AA$228,21,FALSE)</f>
        <v>#N/A</v>
      </c>
      <c r="P17" s="274" t="e">
        <f t="shared" si="2"/>
        <v>#N/A</v>
      </c>
      <c r="Q17" s="274" t="e">
        <f t="shared" si="3"/>
        <v>#N/A</v>
      </c>
      <c r="R17" s="274" t="e">
        <f t="shared" si="4"/>
        <v>#N/A</v>
      </c>
      <c r="S17" s="274" t="str">
        <f t="shared" si="5"/>
        <v>030ap</v>
      </c>
      <c r="T17" s="274" t="e">
        <f t="shared" si="6"/>
        <v>#N/A</v>
      </c>
    </row>
    <row r="18" spans="1:20" x14ac:dyDescent="0.25">
      <c r="A18" s="268">
        <f>LBC!$B$78</f>
        <v>0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#N/A</v>
      </c>
      <c r="J18" s="268" t="e">
        <f>+VLOOKUP('Autres sources3'!$A$8,'Coef Feuillus divers'!$G$2:$AA$228,10,FALSE)</f>
        <v>#N/A</v>
      </c>
      <c r="K18" s="268" t="e">
        <f>+VLOOKUP('Autres sources3'!$A$8,'Coef Feuillus divers'!$G$2:$AA$228,11,FALSE)</f>
        <v>#N/A</v>
      </c>
      <c r="L18" s="268" t="e">
        <f>+VLOOKUP('Autres sources3'!$A$8,'Coef Feuillus divers'!$G$2:$AA$228,12,FALSE)</f>
        <v>#N/A</v>
      </c>
      <c r="M18" s="274" t="e">
        <f t="shared" si="0"/>
        <v>#N/A</v>
      </c>
      <c r="N18" s="274">
        <f t="shared" si="1"/>
        <v>0</v>
      </c>
      <c r="O18" s="277" t="e">
        <f>+VLOOKUP(A18,'Coef Feuillus divers'!$G$2:$AA$228,21,FALSE)</f>
        <v>#N/A</v>
      </c>
      <c r="P18" s="274" t="e">
        <f t="shared" si="2"/>
        <v>#N/A</v>
      </c>
      <c r="Q18" s="274" t="e">
        <f t="shared" si="3"/>
        <v>#N/A</v>
      </c>
      <c r="R18" s="274" t="e">
        <f t="shared" si="4"/>
        <v>#N/A</v>
      </c>
      <c r="S18" s="274" t="str">
        <f t="shared" si="5"/>
        <v>036av</v>
      </c>
      <c r="T18" s="274" t="e">
        <f t="shared" si="6"/>
        <v>#N/A</v>
      </c>
    </row>
    <row r="19" spans="1:20" x14ac:dyDescent="0.25">
      <c r="A19" s="268">
        <f>LBC!$B$78</f>
        <v>0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#N/A</v>
      </c>
      <c r="J19" s="268" t="e">
        <f>+VLOOKUP('Autres sources3'!$A$8,'Coef Feuillus divers'!$G$2:$AA$228,10,FALSE)</f>
        <v>#N/A</v>
      </c>
      <c r="K19" s="268" t="e">
        <f>+VLOOKUP('Autres sources3'!$A$8,'Coef Feuillus divers'!$G$2:$AA$228,11,FALSE)</f>
        <v>#N/A</v>
      </c>
      <c r="L19" s="268" t="e">
        <f>+VLOOKUP('Autres sources3'!$A$8,'Coef Feuillus divers'!$G$2:$AA$228,12,FALSE)</f>
        <v>#N/A</v>
      </c>
      <c r="M19" s="274" t="e">
        <f t="shared" si="0"/>
        <v>#N/A</v>
      </c>
      <c r="N19" s="274" t="e">
        <f t="shared" si="1"/>
        <v>#N/A</v>
      </c>
      <c r="O19" s="277" t="e">
        <f>+VLOOKUP(A19,'Coef Feuillus divers'!$G$2:$AA$228,21,FALSE)</f>
        <v>#N/A</v>
      </c>
      <c r="P19" s="274" t="e">
        <f t="shared" si="2"/>
        <v>#N/A</v>
      </c>
      <c r="Q19" s="274" t="e">
        <f t="shared" si="3"/>
        <v>#N/A</v>
      </c>
      <c r="R19" s="274" t="e">
        <f t="shared" si="4"/>
        <v>#N/A</v>
      </c>
      <c r="S19" s="274" t="str">
        <f t="shared" si="5"/>
        <v>036ap</v>
      </c>
      <c r="T19" s="274" t="e">
        <f t="shared" si="6"/>
        <v>#N/A</v>
      </c>
    </row>
    <row r="20" spans="1:20" x14ac:dyDescent="0.25">
      <c r="A20" s="268">
        <f>LBC!$B$78</f>
        <v>0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#N/A</v>
      </c>
      <c r="J20" s="268" t="e">
        <f>+VLOOKUP('Autres sources3'!$A$8,'Coef Feuillus divers'!$G$2:$AA$228,10,FALSE)</f>
        <v>#N/A</v>
      </c>
      <c r="K20" s="268" t="e">
        <f>+VLOOKUP('Autres sources3'!$A$8,'Coef Feuillus divers'!$G$2:$AA$228,11,FALSE)</f>
        <v>#N/A</v>
      </c>
      <c r="L20" s="268" t="e">
        <f>+VLOOKUP('Autres sources3'!$A$8,'Coef Feuillus divers'!$G$2:$AA$228,12,FALSE)</f>
        <v>#N/A</v>
      </c>
      <c r="M20" s="274" t="e">
        <f t="shared" si="0"/>
        <v>#N/A</v>
      </c>
      <c r="N20" s="274">
        <f t="shared" si="1"/>
        <v>0</v>
      </c>
      <c r="O20" s="277" t="e">
        <f>+VLOOKUP(A20,'Coef Feuillus divers'!$G$2:$AA$228,21,FALSE)</f>
        <v>#N/A</v>
      </c>
      <c r="P20" s="274" t="e">
        <f t="shared" si="2"/>
        <v>#N/A</v>
      </c>
      <c r="Q20" s="274" t="e">
        <f t="shared" si="3"/>
        <v>#N/A</v>
      </c>
      <c r="R20" s="274" t="e">
        <f t="shared" si="4"/>
        <v>#N/A</v>
      </c>
      <c r="S20" s="274" t="str">
        <f t="shared" si="5"/>
        <v>043av</v>
      </c>
      <c r="T20" s="274" t="e">
        <f t="shared" si="6"/>
        <v>#N/A</v>
      </c>
    </row>
    <row r="21" spans="1:20" x14ac:dyDescent="0.25">
      <c r="A21" s="268">
        <f>LBC!$B$78</f>
        <v>0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#N/A</v>
      </c>
      <c r="J21" s="268" t="e">
        <f>+VLOOKUP('Autres sources3'!$A$8,'Coef Feuillus divers'!$G$2:$AA$228,10,FALSE)</f>
        <v>#N/A</v>
      </c>
      <c r="K21" s="268" t="e">
        <f>+VLOOKUP('Autres sources3'!$A$8,'Coef Feuillus divers'!$G$2:$AA$228,11,FALSE)</f>
        <v>#N/A</v>
      </c>
      <c r="L21" s="268" t="e">
        <f>+VLOOKUP('Autres sources3'!$A$8,'Coef Feuillus divers'!$G$2:$AA$228,12,FALSE)</f>
        <v>#N/A</v>
      </c>
      <c r="M21" s="274" t="e">
        <f t="shared" si="0"/>
        <v>#N/A</v>
      </c>
      <c r="N21" s="274" t="e">
        <f t="shared" si="1"/>
        <v>#N/A</v>
      </c>
      <c r="O21" s="277" t="e">
        <f>+VLOOKUP(A21,'Coef Feuillus divers'!$G$2:$AA$228,21,FALSE)</f>
        <v>#N/A</v>
      </c>
      <c r="P21" s="274" t="e">
        <f t="shared" si="2"/>
        <v>#N/A</v>
      </c>
      <c r="Q21" s="274" t="e">
        <f t="shared" si="3"/>
        <v>#N/A</v>
      </c>
      <c r="R21" s="274" t="e">
        <f t="shared" si="4"/>
        <v>#N/A</v>
      </c>
      <c r="S21" s="274" t="str">
        <f t="shared" si="5"/>
        <v>043ap</v>
      </c>
      <c r="T21" s="274" t="e">
        <f t="shared" si="6"/>
        <v>#N/A</v>
      </c>
    </row>
    <row r="22" spans="1:20" x14ac:dyDescent="0.25">
      <c r="A22" s="268">
        <f>LBC!$B$78</f>
        <v>0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#N/A</v>
      </c>
      <c r="J22" s="268" t="e">
        <f>+VLOOKUP('Autres sources3'!$A$8,'Coef Feuillus divers'!$G$2:$AA$228,10,FALSE)</f>
        <v>#N/A</v>
      </c>
      <c r="K22" s="268" t="e">
        <f>+VLOOKUP('Autres sources3'!$A$8,'Coef Feuillus divers'!$G$2:$AA$228,11,FALSE)</f>
        <v>#N/A</v>
      </c>
      <c r="L22" s="268" t="e">
        <f>+VLOOKUP('Autres sources3'!$A$8,'Coef Feuillus divers'!$G$2:$AA$228,12,FALSE)</f>
        <v>#N/A</v>
      </c>
      <c r="M22" s="274" t="e">
        <f t="shared" si="0"/>
        <v>#N/A</v>
      </c>
      <c r="N22" s="274">
        <f t="shared" si="1"/>
        <v>0</v>
      </c>
      <c r="O22" s="277" t="e">
        <f>+VLOOKUP(A22,'Coef Feuillus divers'!$G$2:$AA$228,21,FALSE)</f>
        <v>#N/A</v>
      </c>
      <c r="P22" s="274" t="e">
        <f t="shared" si="2"/>
        <v>#N/A</v>
      </c>
      <c r="Q22" s="274" t="e">
        <f t="shared" si="3"/>
        <v>#N/A</v>
      </c>
      <c r="R22" s="274" t="e">
        <f t="shared" si="4"/>
        <v>#N/A</v>
      </c>
      <c r="S22" s="274" t="str">
        <f t="shared" si="5"/>
        <v>050av</v>
      </c>
      <c r="T22" s="274" t="e">
        <f t="shared" si="6"/>
        <v>#N/A</v>
      </c>
    </row>
    <row r="23" spans="1:20" x14ac:dyDescent="0.25">
      <c r="A23" s="268">
        <f>LBC!$B$78</f>
        <v>0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#N/A</v>
      </c>
      <c r="J23" s="268" t="e">
        <f>+VLOOKUP('Autres sources3'!$A$8,'Coef Feuillus divers'!$G$2:$AA$228,10,FALSE)</f>
        <v>#N/A</v>
      </c>
      <c r="K23" s="268" t="e">
        <f>+VLOOKUP('Autres sources3'!$A$8,'Coef Feuillus divers'!$G$2:$AA$228,11,FALSE)</f>
        <v>#N/A</v>
      </c>
      <c r="L23" s="268" t="e">
        <f>+VLOOKUP('Autres sources3'!$A$8,'Coef Feuillus divers'!$G$2:$AA$228,12,FALSE)</f>
        <v>#N/A</v>
      </c>
      <c r="M23" s="274" t="e">
        <f t="shared" si="0"/>
        <v>#N/A</v>
      </c>
      <c r="N23" s="274" t="e">
        <f t="shared" si="1"/>
        <v>#N/A</v>
      </c>
      <c r="O23" s="277" t="e">
        <f>+VLOOKUP(A23,'Coef Feuillus divers'!$G$2:$AA$228,21,FALSE)</f>
        <v>#N/A</v>
      </c>
      <c r="P23" s="274" t="e">
        <f t="shared" si="2"/>
        <v>#N/A</v>
      </c>
      <c r="Q23" s="274" t="e">
        <f t="shared" si="3"/>
        <v>#N/A</v>
      </c>
      <c r="R23" s="274" t="e">
        <f t="shared" si="4"/>
        <v>#N/A</v>
      </c>
      <c r="S23" s="274" t="str">
        <f t="shared" si="5"/>
        <v>050ap</v>
      </c>
      <c r="T23" s="274" t="e">
        <f t="shared" si="6"/>
        <v>#N/A</v>
      </c>
    </row>
    <row r="24" spans="1:20" x14ac:dyDescent="0.25">
      <c r="A24" s="268">
        <f>LBC!$B$78</f>
        <v>0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#N/A</v>
      </c>
      <c r="J24" s="268" t="e">
        <f>+VLOOKUP('Autres sources3'!$A$8,'Coef Feuillus divers'!$G$2:$AA$228,10,FALSE)</f>
        <v>#N/A</v>
      </c>
      <c r="K24" s="268" t="e">
        <f>+VLOOKUP('Autres sources3'!$A$8,'Coef Feuillus divers'!$G$2:$AA$228,11,FALSE)</f>
        <v>#N/A</v>
      </c>
      <c r="L24" s="268" t="e">
        <f>+VLOOKUP('Autres sources3'!$A$8,'Coef Feuillus divers'!$G$2:$AA$228,12,FALSE)</f>
        <v>#N/A</v>
      </c>
      <c r="M24" s="274" t="e">
        <f t="shared" si="0"/>
        <v>#N/A</v>
      </c>
      <c r="N24" s="274">
        <f t="shared" si="1"/>
        <v>0</v>
      </c>
      <c r="O24" s="277" t="e">
        <f>+VLOOKUP(A24,'Coef Feuillus divers'!$G$2:$AA$228,21,FALSE)</f>
        <v>#N/A</v>
      </c>
      <c r="P24" s="274" t="e">
        <f t="shared" si="2"/>
        <v>#N/A</v>
      </c>
      <c r="Q24" s="274" t="e">
        <f t="shared" si="3"/>
        <v>#N/A</v>
      </c>
      <c r="R24" s="274" t="e">
        <f t="shared" si="4"/>
        <v>#N/A</v>
      </c>
      <c r="S24" s="274" t="str">
        <f t="shared" si="5"/>
        <v>060av</v>
      </c>
      <c r="T24" s="274" t="e">
        <f t="shared" si="6"/>
        <v>#N/A</v>
      </c>
    </row>
    <row r="25" spans="1:20" x14ac:dyDescent="0.25">
      <c r="A25" s="268">
        <f>LBC!$B$78</f>
        <v>0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#N/A</v>
      </c>
      <c r="J25" s="268" t="e">
        <f>+VLOOKUP('Autres sources3'!$A$8,'Coef Feuillus divers'!$G$2:$AA$228,10,FALSE)</f>
        <v>#N/A</v>
      </c>
      <c r="K25" s="268" t="e">
        <f>+VLOOKUP('Autres sources3'!$A$8,'Coef Feuillus divers'!$G$2:$AA$228,11,FALSE)</f>
        <v>#N/A</v>
      </c>
      <c r="L25" s="268" t="e">
        <f>+VLOOKUP('Autres sources3'!$A$8,'Coef Feuillus divers'!$G$2:$AA$228,12,FALSE)</f>
        <v>#N/A</v>
      </c>
      <c r="M25" s="274" t="e">
        <f t="shared" si="0"/>
        <v>#N/A</v>
      </c>
      <c r="N25" s="274" t="e">
        <f t="shared" si="1"/>
        <v>#N/A</v>
      </c>
      <c r="O25" s="277" t="e">
        <f>+VLOOKUP(A25,'Coef Feuillus divers'!$G$2:$AA$228,21,FALSE)</f>
        <v>#N/A</v>
      </c>
      <c r="P25" s="274" t="e">
        <f t="shared" si="2"/>
        <v>#N/A</v>
      </c>
      <c r="Q25" s="274" t="e">
        <f t="shared" si="3"/>
        <v>#N/A</v>
      </c>
      <c r="R25" s="274" t="e">
        <f t="shared" si="4"/>
        <v>#N/A</v>
      </c>
      <c r="S25" s="274" t="str">
        <f t="shared" si="5"/>
        <v>060ap</v>
      </c>
      <c r="T25" s="274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</sheetPr>
  <dimension ref="A3:AG25"/>
  <sheetViews>
    <sheetView showGridLines="0" zoomScale="85" zoomScaleNormal="85" workbookViewId="0">
      <selection activeCell="A9" sqref="A9"/>
    </sheetView>
  </sheetViews>
  <sheetFormatPr baseColWidth="10" defaultColWidth="10.7109375" defaultRowHeight="15" x14ac:dyDescent="0.25"/>
  <cols>
    <col min="1" max="1" width="10.7109375" style="266"/>
    <col min="2" max="14" width="10.7109375" style="264"/>
    <col min="15" max="15" width="10.7109375" style="275"/>
    <col min="16" max="26" width="10.7109375" style="264"/>
    <col min="27" max="29" width="10.7109375" style="265"/>
    <col min="30" max="30" width="10.7109375" style="264"/>
    <col min="31" max="31" width="10.7109375" style="265"/>
    <col min="32" max="33" width="10.7109375" style="264"/>
    <col min="34" max="16384" width="10.71093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e">
        <f>LBC!#REF!</f>
        <v>#REF!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 t="e">
        <f>+(H8*G8^2)/(4*$K$3*(1-(1.3/H8))^2)*(J8+K8*SQRT(G8)/H8+L8*H8/G8)</f>
        <v>#REF!</v>
      </c>
      <c r="J8" s="268" t="e">
        <f>+VLOOKUP('Autres sources4'!$A$8,'Coef Feuillus divers'!$G$2:$AA$228,10,FALSE)</f>
        <v>#REF!</v>
      </c>
      <c r="K8" s="268" t="e">
        <f>+VLOOKUP('Autres sources4'!$A$8,'Coef Feuillus divers'!$G$2:$AA$228,11,FALSE)</f>
        <v>#REF!</v>
      </c>
      <c r="L8" s="268" t="e">
        <f>+VLOOKUP('Autres sources4'!$A$8,'Coef Feuillus divers'!$G$2:$AA$228,12,FALSE)</f>
        <v>#REF!</v>
      </c>
      <c r="M8" s="274" t="e">
        <f>+I8*C8</f>
        <v>#REF!</v>
      </c>
      <c r="N8" s="274">
        <f>+IF(D8="av",0,E8*I8)</f>
        <v>0</v>
      </c>
      <c r="O8" s="277" t="e">
        <f>+VLOOKUP(A8,'Coef Feuillus divers'!$G$2:$AA$228,21,FALSE)</f>
        <v>#REF!</v>
      </c>
      <c r="P8" s="274" t="e">
        <f>+M8*O8</f>
        <v>#REF!</v>
      </c>
      <c r="Q8" s="274" t="e">
        <f>EXP(-1.0587+0.8836*LN(P8)+0.284)</f>
        <v>#REF!</v>
      </c>
      <c r="R8" s="274" t="e">
        <f>+Q8+P8</f>
        <v>#REF!</v>
      </c>
      <c r="S8" s="274" t="e">
        <f>+_xlfn.CONCAT(A8,B8,D8)</f>
        <v>#REF!</v>
      </c>
      <c r="T8" s="274" t="e">
        <f>+R8*0.475*44/12</f>
        <v>#REF!</v>
      </c>
    </row>
    <row r="9" spans="1:20" x14ac:dyDescent="0.25">
      <c r="A9" s="268" t="e">
        <f>LBC!#REF!</f>
        <v>#REF!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 t="e">
        <f>+(H9*G9^2)/(4*$K$3*(1-(1.3/H9))^2)*(J9+K9*SQRT(G9)/H9+L9*H9/G9)</f>
        <v>#REF!</v>
      </c>
      <c r="J9" s="268" t="e">
        <f>+VLOOKUP('Autres sources4'!$A$8,'Coef Feuillus divers'!$G$2:$AA$228,10,FALSE)</f>
        <v>#REF!</v>
      </c>
      <c r="K9" s="268" t="e">
        <f>+VLOOKUP('Autres sources4'!$A$8,'Coef Feuillus divers'!$G$2:$AA$228,11,FALSE)</f>
        <v>#REF!</v>
      </c>
      <c r="L9" s="268" t="e">
        <f>+VLOOKUP('Autres sources4'!$A$8,'Coef Feuillus divers'!$G$2:$AA$228,12,FALSE)</f>
        <v>#REF!</v>
      </c>
      <c r="M9" s="274" t="e">
        <f t="shared" ref="M9:M25" si="0">+I9*C9</f>
        <v>#REF!</v>
      </c>
      <c r="N9" s="274" t="e">
        <f t="shared" ref="N9:N25" si="1">+IF(D9="av",0,E9*I9)</f>
        <v>#REF!</v>
      </c>
      <c r="O9" s="277" t="e">
        <f>+VLOOKUP(A9,'Coef Feuillus divers'!$G$2:$AA$228,21,FALSE)</f>
        <v>#REF!</v>
      </c>
      <c r="P9" s="274" t="e">
        <f t="shared" ref="P9:P25" si="2">+M9*O9</f>
        <v>#REF!</v>
      </c>
      <c r="Q9" s="274" t="e">
        <f t="shared" ref="Q9:Q25" si="3">EXP(-1.0587+0.8836*LN(P9)+0.284)</f>
        <v>#REF!</v>
      </c>
      <c r="R9" s="274" t="e">
        <f t="shared" ref="R9:R25" si="4">+Q9+P9</f>
        <v>#REF!</v>
      </c>
      <c r="S9" s="274" t="e">
        <f t="shared" ref="S9:S25" si="5">+_xlfn.CONCAT(A9,B9,D9)</f>
        <v>#REF!</v>
      </c>
      <c r="T9" s="274" t="e">
        <f t="shared" ref="T9:T25" si="6">+R9*0.475*44/12</f>
        <v>#REF!</v>
      </c>
    </row>
    <row r="10" spans="1:20" x14ac:dyDescent="0.25">
      <c r="A10" s="268" t="e">
        <f>LBC!#REF!</f>
        <v>#REF!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 t="e">
        <f t="shared" ref="I10:I25" si="7">+(H10*G10^2)/(4*$K$3*(1-(1.3/H10))^2)*(J10+K10*SQRT(G10)/H10+L10*H10/G10)</f>
        <v>#REF!</v>
      </c>
      <c r="J10" s="268" t="e">
        <f>+VLOOKUP('Autres sources4'!$A$8,'Coef Feuillus divers'!$G$2:$AA$228,10,FALSE)</f>
        <v>#REF!</v>
      </c>
      <c r="K10" s="268" t="e">
        <f>+VLOOKUP('Autres sources4'!$A$8,'Coef Feuillus divers'!$G$2:$AA$228,11,FALSE)</f>
        <v>#REF!</v>
      </c>
      <c r="L10" s="268" t="e">
        <f>+VLOOKUP('Autres sources4'!$A$8,'Coef Feuillus divers'!$G$2:$AA$228,12,FALSE)</f>
        <v>#REF!</v>
      </c>
      <c r="M10" s="274" t="e">
        <f t="shared" si="0"/>
        <v>#REF!</v>
      </c>
      <c r="N10" s="274">
        <f t="shared" si="1"/>
        <v>0</v>
      </c>
      <c r="O10" s="277" t="e">
        <f>+VLOOKUP(A10,'Coef Feuillus divers'!$G$2:$AA$228,21,FALSE)</f>
        <v>#REF!</v>
      </c>
      <c r="P10" s="274" t="e">
        <f t="shared" si="2"/>
        <v>#REF!</v>
      </c>
      <c r="Q10" s="274" t="e">
        <f t="shared" si="3"/>
        <v>#REF!</v>
      </c>
      <c r="R10" s="274" t="e">
        <f t="shared" si="4"/>
        <v>#REF!</v>
      </c>
      <c r="S10" s="274" t="e">
        <f t="shared" si="5"/>
        <v>#REF!</v>
      </c>
      <c r="T10" s="274" t="e">
        <f t="shared" si="6"/>
        <v>#REF!</v>
      </c>
    </row>
    <row r="11" spans="1:20" x14ac:dyDescent="0.25">
      <c r="A11" s="268" t="e">
        <f>LBC!#REF!</f>
        <v>#REF!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 t="e">
        <f t="shared" si="7"/>
        <v>#REF!</v>
      </c>
      <c r="J11" s="268" t="e">
        <f>+VLOOKUP('Autres sources4'!$A$8,'Coef Feuillus divers'!$G$2:$AA$228,10,FALSE)</f>
        <v>#REF!</v>
      </c>
      <c r="K11" s="268" t="e">
        <f>+VLOOKUP('Autres sources4'!$A$8,'Coef Feuillus divers'!$G$2:$AA$228,11,FALSE)</f>
        <v>#REF!</v>
      </c>
      <c r="L11" s="268" t="e">
        <f>+VLOOKUP('Autres sources4'!$A$8,'Coef Feuillus divers'!$G$2:$AA$228,12,FALSE)</f>
        <v>#REF!</v>
      </c>
      <c r="M11" s="274" t="e">
        <f t="shared" si="0"/>
        <v>#REF!</v>
      </c>
      <c r="N11" s="274" t="e">
        <f t="shared" si="1"/>
        <v>#REF!</v>
      </c>
      <c r="O11" s="277" t="e">
        <f>+VLOOKUP(A11,'Coef Feuillus divers'!$G$2:$AA$228,21,FALSE)</f>
        <v>#REF!</v>
      </c>
      <c r="P11" s="274" t="e">
        <f t="shared" si="2"/>
        <v>#REF!</v>
      </c>
      <c r="Q11" s="274" t="e">
        <f t="shared" si="3"/>
        <v>#REF!</v>
      </c>
      <c r="R11" s="274" t="e">
        <f t="shared" si="4"/>
        <v>#REF!</v>
      </c>
      <c r="S11" s="274" t="e">
        <f t="shared" si="5"/>
        <v>#REF!</v>
      </c>
      <c r="T11" s="274" t="e">
        <f t="shared" si="6"/>
        <v>#REF!</v>
      </c>
    </row>
    <row r="12" spans="1:20" x14ac:dyDescent="0.25">
      <c r="A12" s="268" t="e">
        <f>LBC!#REF!</f>
        <v>#REF!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 t="e">
        <f t="shared" si="7"/>
        <v>#REF!</v>
      </c>
      <c r="J12" s="268" t="e">
        <f>+VLOOKUP('Autres sources4'!$A$8,'Coef Feuillus divers'!$G$2:$AA$228,10,FALSE)</f>
        <v>#REF!</v>
      </c>
      <c r="K12" s="268" t="e">
        <f>+VLOOKUP('Autres sources4'!$A$8,'Coef Feuillus divers'!$G$2:$AA$228,11,FALSE)</f>
        <v>#REF!</v>
      </c>
      <c r="L12" s="268" t="e">
        <f>+VLOOKUP('Autres sources4'!$A$8,'Coef Feuillus divers'!$G$2:$AA$228,12,FALSE)</f>
        <v>#REF!</v>
      </c>
      <c r="M12" s="274" t="e">
        <f t="shared" si="0"/>
        <v>#REF!</v>
      </c>
      <c r="N12" s="274">
        <f t="shared" si="1"/>
        <v>0</v>
      </c>
      <c r="O12" s="277" t="e">
        <f>+VLOOKUP(A12,'Coef Feuillus divers'!$G$2:$AA$228,21,FALSE)</f>
        <v>#REF!</v>
      </c>
      <c r="P12" s="274" t="e">
        <f t="shared" si="2"/>
        <v>#REF!</v>
      </c>
      <c r="Q12" s="274" t="e">
        <f t="shared" si="3"/>
        <v>#REF!</v>
      </c>
      <c r="R12" s="274" t="e">
        <f t="shared" si="4"/>
        <v>#REF!</v>
      </c>
      <c r="S12" s="274" t="e">
        <f t="shared" si="5"/>
        <v>#REF!</v>
      </c>
      <c r="T12" s="274" t="e">
        <f t="shared" si="6"/>
        <v>#REF!</v>
      </c>
    </row>
    <row r="13" spans="1:20" x14ac:dyDescent="0.25">
      <c r="A13" s="268" t="e">
        <f>LBC!#REF!</f>
        <v>#REF!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 t="e">
        <f t="shared" si="7"/>
        <v>#REF!</v>
      </c>
      <c r="J13" s="268" t="e">
        <f>+VLOOKUP('Autres sources4'!$A$8,'Coef Feuillus divers'!$G$2:$AA$228,10,FALSE)</f>
        <v>#REF!</v>
      </c>
      <c r="K13" s="268" t="e">
        <f>+VLOOKUP('Autres sources4'!$A$8,'Coef Feuillus divers'!$G$2:$AA$228,11,FALSE)</f>
        <v>#REF!</v>
      </c>
      <c r="L13" s="268" t="e">
        <f>+VLOOKUP('Autres sources4'!$A$8,'Coef Feuillus divers'!$G$2:$AA$228,12,FALSE)</f>
        <v>#REF!</v>
      </c>
      <c r="M13" s="274" t="e">
        <f t="shared" si="0"/>
        <v>#REF!</v>
      </c>
      <c r="N13" s="274" t="e">
        <f t="shared" si="1"/>
        <v>#REF!</v>
      </c>
      <c r="O13" s="277" t="e">
        <f>+VLOOKUP(A13,'Coef Feuillus divers'!$G$2:$AA$228,21,FALSE)</f>
        <v>#REF!</v>
      </c>
      <c r="P13" s="274" t="e">
        <f t="shared" si="2"/>
        <v>#REF!</v>
      </c>
      <c r="Q13" s="274" t="e">
        <f t="shared" si="3"/>
        <v>#REF!</v>
      </c>
      <c r="R13" s="274" t="e">
        <f t="shared" si="4"/>
        <v>#REF!</v>
      </c>
      <c r="S13" s="274" t="e">
        <f t="shared" si="5"/>
        <v>#REF!</v>
      </c>
      <c r="T13" s="274" t="e">
        <f t="shared" si="6"/>
        <v>#REF!</v>
      </c>
    </row>
    <row r="14" spans="1:20" x14ac:dyDescent="0.25">
      <c r="A14" s="268" t="e">
        <f>LBC!#REF!</f>
        <v>#REF!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 t="e">
        <f t="shared" si="7"/>
        <v>#REF!</v>
      </c>
      <c r="J14" s="268" t="e">
        <f>+VLOOKUP('Autres sources4'!$A$8,'Coef Feuillus divers'!$G$2:$AA$228,10,FALSE)</f>
        <v>#REF!</v>
      </c>
      <c r="K14" s="268" t="e">
        <f>+VLOOKUP('Autres sources4'!$A$8,'Coef Feuillus divers'!$G$2:$AA$228,11,FALSE)</f>
        <v>#REF!</v>
      </c>
      <c r="L14" s="268" t="e">
        <f>+VLOOKUP('Autres sources4'!$A$8,'Coef Feuillus divers'!$G$2:$AA$228,12,FALSE)</f>
        <v>#REF!</v>
      </c>
      <c r="M14" s="274" t="e">
        <f t="shared" si="0"/>
        <v>#REF!</v>
      </c>
      <c r="N14" s="274">
        <f t="shared" si="1"/>
        <v>0</v>
      </c>
      <c r="O14" s="277" t="e">
        <f>+VLOOKUP(A14,'Coef Feuillus divers'!$G$2:$AA$228,21,FALSE)</f>
        <v>#REF!</v>
      </c>
      <c r="P14" s="274" t="e">
        <f t="shared" si="2"/>
        <v>#REF!</v>
      </c>
      <c r="Q14" s="274" t="e">
        <f t="shared" si="3"/>
        <v>#REF!</v>
      </c>
      <c r="R14" s="274" t="e">
        <f t="shared" si="4"/>
        <v>#REF!</v>
      </c>
      <c r="S14" s="274" t="e">
        <f t="shared" si="5"/>
        <v>#REF!</v>
      </c>
      <c r="T14" s="274" t="e">
        <f t="shared" si="6"/>
        <v>#REF!</v>
      </c>
    </row>
    <row r="15" spans="1:20" x14ac:dyDescent="0.25">
      <c r="A15" s="268" t="e">
        <f>LBC!#REF!</f>
        <v>#REF!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 t="e">
        <f t="shared" si="7"/>
        <v>#REF!</v>
      </c>
      <c r="J15" s="268" t="e">
        <f>+VLOOKUP('Autres sources4'!$A$8,'Coef Feuillus divers'!$G$2:$AA$228,10,FALSE)</f>
        <v>#REF!</v>
      </c>
      <c r="K15" s="268" t="e">
        <f>+VLOOKUP('Autres sources4'!$A$8,'Coef Feuillus divers'!$G$2:$AA$228,11,FALSE)</f>
        <v>#REF!</v>
      </c>
      <c r="L15" s="268" t="e">
        <f>+VLOOKUP('Autres sources4'!$A$8,'Coef Feuillus divers'!$G$2:$AA$228,12,FALSE)</f>
        <v>#REF!</v>
      </c>
      <c r="M15" s="274" t="e">
        <f t="shared" si="0"/>
        <v>#REF!</v>
      </c>
      <c r="N15" s="274" t="e">
        <f t="shared" si="1"/>
        <v>#REF!</v>
      </c>
      <c r="O15" s="277" t="e">
        <f>+VLOOKUP(A15,'Coef Feuillus divers'!$G$2:$AA$228,21,FALSE)</f>
        <v>#REF!</v>
      </c>
      <c r="P15" s="274" t="e">
        <f t="shared" si="2"/>
        <v>#REF!</v>
      </c>
      <c r="Q15" s="274" t="e">
        <f t="shared" si="3"/>
        <v>#REF!</v>
      </c>
      <c r="R15" s="274" t="e">
        <f t="shared" si="4"/>
        <v>#REF!</v>
      </c>
      <c r="S15" s="274" t="e">
        <f t="shared" si="5"/>
        <v>#REF!</v>
      </c>
      <c r="T15" s="274" t="e">
        <f t="shared" si="6"/>
        <v>#REF!</v>
      </c>
    </row>
    <row r="16" spans="1:20" x14ac:dyDescent="0.25">
      <c r="A16" s="268" t="e">
        <f>LBC!#REF!</f>
        <v>#REF!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 t="e">
        <f t="shared" si="7"/>
        <v>#REF!</v>
      </c>
      <c r="J16" s="268" t="e">
        <f>+VLOOKUP('Autres sources4'!$A$8,'Coef Feuillus divers'!$G$2:$AA$228,10,FALSE)</f>
        <v>#REF!</v>
      </c>
      <c r="K16" s="268" t="e">
        <f>+VLOOKUP('Autres sources4'!$A$8,'Coef Feuillus divers'!$G$2:$AA$228,11,FALSE)</f>
        <v>#REF!</v>
      </c>
      <c r="L16" s="268" t="e">
        <f>+VLOOKUP('Autres sources4'!$A$8,'Coef Feuillus divers'!$G$2:$AA$228,12,FALSE)</f>
        <v>#REF!</v>
      </c>
      <c r="M16" s="274" t="e">
        <f t="shared" si="0"/>
        <v>#REF!</v>
      </c>
      <c r="N16" s="274">
        <f t="shared" si="1"/>
        <v>0</v>
      </c>
      <c r="O16" s="277" t="e">
        <f>+VLOOKUP(A16,'Coef Feuillus divers'!$G$2:$AA$228,21,FALSE)</f>
        <v>#REF!</v>
      </c>
      <c r="P16" s="274" t="e">
        <f t="shared" si="2"/>
        <v>#REF!</v>
      </c>
      <c r="Q16" s="274" t="e">
        <f t="shared" si="3"/>
        <v>#REF!</v>
      </c>
      <c r="R16" s="274" t="e">
        <f t="shared" si="4"/>
        <v>#REF!</v>
      </c>
      <c r="S16" s="274" t="e">
        <f t="shared" si="5"/>
        <v>#REF!</v>
      </c>
      <c r="T16" s="274" t="e">
        <f t="shared" si="6"/>
        <v>#REF!</v>
      </c>
    </row>
    <row r="17" spans="1:20" x14ac:dyDescent="0.25">
      <c r="A17" s="268" t="e">
        <f>LBC!#REF!</f>
        <v>#REF!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 t="e">
        <f t="shared" si="7"/>
        <v>#REF!</v>
      </c>
      <c r="J17" s="268" t="e">
        <f>+VLOOKUP('Autres sources4'!$A$8,'Coef Feuillus divers'!$G$2:$AA$228,10,FALSE)</f>
        <v>#REF!</v>
      </c>
      <c r="K17" s="268" t="e">
        <f>+VLOOKUP('Autres sources4'!$A$8,'Coef Feuillus divers'!$G$2:$AA$228,11,FALSE)</f>
        <v>#REF!</v>
      </c>
      <c r="L17" s="268" t="e">
        <f>+VLOOKUP('Autres sources4'!$A$8,'Coef Feuillus divers'!$G$2:$AA$228,12,FALSE)</f>
        <v>#REF!</v>
      </c>
      <c r="M17" s="274" t="e">
        <f t="shared" si="0"/>
        <v>#REF!</v>
      </c>
      <c r="N17" s="274" t="e">
        <f t="shared" si="1"/>
        <v>#REF!</v>
      </c>
      <c r="O17" s="277" t="e">
        <f>+VLOOKUP(A17,'Coef Feuillus divers'!$G$2:$AA$228,21,FALSE)</f>
        <v>#REF!</v>
      </c>
      <c r="P17" s="274" t="e">
        <f t="shared" si="2"/>
        <v>#REF!</v>
      </c>
      <c r="Q17" s="274" t="e">
        <f t="shared" si="3"/>
        <v>#REF!</v>
      </c>
      <c r="R17" s="274" t="e">
        <f t="shared" si="4"/>
        <v>#REF!</v>
      </c>
      <c r="S17" s="274" t="e">
        <f t="shared" si="5"/>
        <v>#REF!</v>
      </c>
      <c r="T17" s="274" t="e">
        <f t="shared" si="6"/>
        <v>#REF!</v>
      </c>
    </row>
    <row r="18" spans="1:20" x14ac:dyDescent="0.25">
      <c r="A18" s="268" t="e">
        <f>LBC!#REF!</f>
        <v>#REF!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 t="e">
        <f t="shared" si="7"/>
        <v>#REF!</v>
      </c>
      <c r="J18" s="268" t="e">
        <f>+VLOOKUP('Autres sources4'!$A$8,'Coef Feuillus divers'!$G$2:$AA$228,10,FALSE)</f>
        <v>#REF!</v>
      </c>
      <c r="K18" s="268" t="e">
        <f>+VLOOKUP('Autres sources4'!$A$8,'Coef Feuillus divers'!$G$2:$AA$228,11,FALSE)</f>
        <v>#REF!</v>
      </c>
      <c r="L18" s="268" t="e">
        <f>+VLOOKUP('Autres sources4'!$A$8,'Coef Feuillus divers'!$G$2:$AA$228,12,FALSE)</f>
        <v>#REF!</v>
      </c>
      <c r="M18" s="274" t="e">
        <f t="shared" si="0"/>
        <v>#REF!</v>
      </c>
      <c r="N18" s="274">
        <f t="shared" si="1"/>
        <v>0</v>
      </c>
      <c r="O18" s="277" t="e">
        <f>+VLOOKUP(A18,'Coef Feuillus divers'!$G$2:$AA$228,21,FALSE)</f>
        <v>#REF!</v>
      </c>
      <c r="P18" s="274" t="e">
        <f t="shared" si="2"/>
        <v>#REF!</v>
      </c>
      <c r="Q18" s="274" t="e">
        <f t="shared" si="3"/>
        <v>#REF!</v>
      </c>
      <c r="R18" s="274" t="e">
        <f t="shared" si="4"/>
        <v>#REF!</v>
      </c>
      <c r="S18" s="274" t="e">
        <f t="shared" si="5"/>
        <v>#REF!</v>
      </c>
      <c r="T18" s="274" t="e">
        <f t="shared" si="6"/>
        <v>#REF!</v>
      </c>
    </row>
    <row r="19" spans="1:20" x14ac:dyDescent="0.25">
      <c r="A19" s="268" t="e">
        <f>LBC!#REF!</f>
        <v>#REF!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 t="e">
        <f t="shared" si="7"/>
        <v>#REF!</v>
      </c>
      <c r="J19" s="268" t="e">
        <f>+VLOOKUP('Autres sources4'!$A$8,'Coef Feuillus divers'!$G$2:$AA$228,10,FALSE)</f>
        <v>#REF!</v>
      </c>
      <c r="K19" s="268" t="e">
        <f>+VLOOKUP('Autres sources4'!$A$8,'Coef Feuillus divers'!$G$2:$AA$228,11,FALSE)</f>
        <v>#REF!</v>
      </c>
      <c r="L19" s="268" t="e">
        <f>+VLOOKUP('Autres sources4'!$A$8,'Coef Feuillus divers'!$G$2:$AA$228,12,FALSE)</f>
        <v>#REF!</v>
      </c>
      <c r="M19" s="274" t="e">
        <f t="shared" si="0"/>
        <v>#REF!</v>
      </c>
      <c r="N19" s="274" t="e">
        <f t="shared" si="1"/>
        <v>#REF!</v>
      </c>
      <c r="O19" s="277" t="e">
        <f>+VLOOKUP(A19,'Coef Feuillus divers'!$G$2:$AA$228,21,FALSE)</f>
        <v>#REF!</v>
      </c>
      <c r="P19" s="274" t="e">
        <f t="shared" si="2"/>
        <v>#REF!</v>
      </c>
      <c r="Q19" s="274" t="e">
        <f t="shared" si="3"/>
        <v>#REF!</v>
      </c>
      <c r="R19" s="274" t="e">
        <f t="shared" si="4"/>
        <v>#REF!</v>
      </c>
      <c r="S19" s="274" t="e">
        <f t="shared" si="5"/>
        <v>#REF!</v>
      </c>
      <c r="T19" s="274" t="e">
        <f t="shared" si="6"/>
        <v>#REF!</v>
      </c>
    </row>
    <row r="20" spans="1:20" x14ac:dyDescent="0.25">
      <c r="A20" s="268" t="e">
        <f>LBC!#REF!</f>
        <v>#REF!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 t="e">
        <f t="shared" si="7"/>
        <v>#REF!</v>
      </c>
      <c r="J20" s="268" t="e">
        <f>+VLOOKUP('Autres sources4'!$A$8,'Coef Feuillus divers'!$G$2:$AA$228,10,FALSE)</f>
        <v>#REF!</v>
      </c>
      <c r="K20" s="268" t="e">
        <f>+VLOOKUP('Autres sources4'!$A$8,'Coef Feuillus divers'!$G$2:$AA$228,11,FALSE)</f>
        <v>#REF!</v>
      </c>
      <c r="L20" s="268" t="e">
        <f>+VLOOKUP('Autres sources4'!$A$8,'Coef Feuillus divers'!$G$2:$AA$228,12,FALSE)</f>
        <v>#REF!</v>
      </c>
      <c r="M20" s="274" t="e">
        <f t="shared" si="0"/>
        <v>#REF!</v>
      </c>
      <c r="N20" s="274">
        <f t="shared" si="1"/>
        <v>0</v>
      </c>
      <c r="O20" s="277" t="e">
        <f>+VLOOKUP(A20,'Coef Feuillus divers'!$G$2:$AA$228,21,FALSE)</f>
        <v>#REF!</v>
      </c>
      <c r="P20" s="274" t="e">
        <f t="shared" si="2"/>
        <v>#REF!</v>
      </c>
      <c r="Q20" s="274" t="e">
        <f t="shared" si="3"/>
        <v>#REF!</v>
      </c>
      <c r="R20" s="274" t="e">
        <f t="shared" si="4"/>
        <v>#REF!</v>
      </c>
      <c r="S20" s="274" t="e">
        <f t="shared" si="5"/>
        <v>#REF!</v>
      </c>
      <c r="T20" s="274" t="e">
        <f t="shared" si="6"/>
        <v>#REF!</v>
      </c>
    </row>
    <row r="21" spans="1:20" x14ac:dyDescent="0.25">
      <c r="A21" s="268" t="e">
        <f>LBC!#REF!</f>
        <v>#REF!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 t="e">
        <f t="shared" si="7"/>
        <v>#REF!</v>
      </c>
      <c r="J21" s="268" t="e">
        <f>+VLOOKUP('Autres sources4'!$A$8,'Coef Feuillus divers'!$G$2:$AA$228,10,FALSE)</f>
        <v>#REF!</v>
      </c>
      <c r="K21" s="268" t="e">
        <f>+VLOOKUP('Autres sources4'!$A$8,'Coef Feuillus divers'!$G$2:$AA$228,11,FALSE)</f>
        <v>#REF!</v>
      </c>
      <c r="L21" s="268" t="e">
        <f>+VLOOKUP('Autres sources4'!$A$8,'Coef Feuillus divers'!$G$2:$AA$228,12,FALSE)</f>
        <v>#REF!</v>
      </c>
      <c r="M21" s="274" t="e">
        <f t="shared" si="0"/>
        <v>#REF!</v>
      </c>
      <c r="N21" s="274" t="e">
        <f t="shared" si="1"/>
        <v>#REF!</v>
      </c>
      <c r="O21" s="277" t="e">
        <f>+VLOOKUP(A21,'Coef Feuillus divers'!$G$2:$AA$228,21,FALSE)</f>
        <v>#REF!</v>
      </c>
      <c r="P21" s="274" t="e">
        <f t="shared" si="2"/>
        <v>#REF!</v>
      </c>
      <c r="Q21" s="274" t="e">
        <f t="shared" si="3"/>
        <v>#REF!</v>
      </c>
      <c r="R21" s="274" t="e">
        <f t="shared" si="4"/>
        <v>#REF!</v>
      </c>
      <c r="S21" s="274" t="e">
        <f t="shared" si="5"/>
        <v>#REF!</v>
      </c>
      <c r="T21" s="274" t="e">
        <f t="shared" si="6"/>
        <v>#REF!</v>
      </c>
    </row>
    <row r="22" spans="1:20" x14ac:dyDescent="0.25">
      <c r="A22" s="268" t="e">
        <f>LBC!#REF!</f>
        <v>#REF!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 t="e">
        <f t="shared" si="7"/>
        <v>#REF!</v>
      </c>
      <c r="J22" s="268" t="e">
        <f>+VLOOKUP('Autres sources4'!$A$8,'Coef Feuillus divers'!$G$2:$AA$228,10,FALSE)</f>
        <v>#REF!</v>
      </c>
      <c r="K22" s="268" t="e">
        <f>+VLOOKUP('Autres sources4'!$A$8,'Coef Feuillus divers'!$G$2:$AA$228,11,FALSE)</f>
        <v>#REF!</v>
      </c>
      <c r="L22" s="268" t="e">
        <f>+VLOOKUP('Autres sources4'!$A$8,'Coef Feuillus divers'!$G$2:$AA$228,12,FALSE)</f>
        <v>#REF!</v>
      </c>
      <c r="M22" s="274" t="e">
        <f t="shared" si="0"/>
        <v>#REF!</v>
      </c>
      <c r="N22" s="274">
        <f t="shared" si="1"/>
        <v>0</v>
      </c>
      <c r="O22" s="277" t="e">
        <f>+VLOOKUP(A22,'Coef Feuillus divers'!$G$2:$AA$228,21,FALSE)</f>
        <v>#REF!</v>
      </c>
      <c r="P22" s="274" t="e">
        <f t="shared" si="2"/>
        <v>#REF!</v>
      </c>
      <c r="Q22" s="274" t="e">
        <f t="shared" si="3"/>
        <v>#REF!</v>
      </c>
      <c r="R22" s="274" t="e">
        <f t="shared" si="4"/>
        <v>#REF!</v>
      </c>
      <c r="S22" s="274" t="e">
        <f t="shared" si="5"/>
        <v>#REF!</v>
      </c>
      <c r="T22" s="274" t="e">
        <f t="shared" si="6"/>
        <v>#REF!</v>
      </c>
    </row>
    <row r="23" spans="1:20" x14ac:dyDescent="0.25">
      <c r="A23" s="268" t="e">
        <f>LBC!#REF!</f>
        <v>#REF!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 t="e">
        <f t="shared" si="7"/>
        <v>#REF!</v>
      </c>
      <c r="J23" s="268" t="e">
        <f>+VLOOKUP('Autres sources4'!$A$8,'Coef Feuillus divers'!$G$2:$AA$228,10,FALSE)</f>
        <v>#REF!</v>
      </c>
      <c r="K23" s="268" t="e">
        <f>+VLOOKUP('Autres sources4'!$A$8,'Coef Feuillus divers'!$G$2:$AA$228,11,FALSE)</f>
        <v>#REF!</v>
      </c>
      <c r="L23" s="268" t="e">
        <f>+VLOOKUP('Autres sources4'!$A$8,'Coef Feuillus divers'!$G$2:$AA$228,12,FALSE)</f>
        <v>#REF!</v>
      </c>
      <c r="M23" s="274" t="e">
        <f t="shared" si="0"/>
        <v>#REF!</v>
      </c>
      <c r="N23" s="274" t="e">
        <f t="shared" si="1"/>
        <v>#REF!</v>
      </c>
      <c r="O23" s="277" t="e">
        <f>+VLOOKUP(A23,'Coef Feuillus divers'!$G$2:$AA$228,21,FALSE)</f>
        <v>#REF!</v>
      </c>
      <c r="P23" s="274" t="e">
        <f t="shared" si="2"/>
        <v>#REF!</v>
      </c>
      <c r="Q23" s="274" t="e">
        <f t="shared" si="3"/>
        <v>#REF!</v>
      </c>
      <c r="R23" s="274" t="e">
        <f t="shared" si="4"/>
        <v>#REF!</v>
      </c>
      <c r="S23" s="274" t="e">
        <f t="shared" si="5"/>
        <v>#REF!</v>
      </c>
      <c r="T23" s="274" t="e">
        <f t="shared" si="6"/>
        <v>#REF!</v>
      </c>
    </row>
    <row r="24" spans="1:20" x14ac:dyDescent="0.25">
      <c r="A24" s="268" t="e">
        <f>LBC!#REF!</f>
        <v>#REF!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 t="e">
        <f t="shared" si="7"/>
        <v>#REF!</v>
      </c>
      <c r="J24" s="268" t="e">
        <f>+VLOOKUP('Autres sources4'!$A$8,'Coef Feuillus divers'!$G$2:$AA$228,10,FALSE)</f>
        <v>#REF!</v>
      </c>
      <c r="K24" s="268" t="e">
        <f>+VLOOKUP('Autres sources4'!$A$8,'Coef Feuillus divers'!$G$2:$AA$228,11,FALSE)</f>
        <v>#REF!</v>
      </c>
      <c r="L24" s="268" t="e">
        <f>+VLOOKUP('Autres sources4'!$A$8,'Coef Feuillus divers'!$G$2:$AA$228,12,FALSE)</f>
        <v>#REF!</v>
      </c>
      <c r="M24" s="274" t="e">
        <f t="shared" si="0"/>
        <v>#REF!</v>
      </c>
      <c r="N24" s="274">
        <f t="shared" si="1"/>
        <v>0</v>
      </c>
      <c r="O24" s="277" t="e">
        <f>+VLOOKUP(A24,'Coef Feuillus divers'!$G$2:$AA$228,21,FALSE)</f>
        <v>#REF!</v>
      </c>
      <c r="P24" s="274" t="e">
        <f t="shared" si="2"/>
        <v>#REF!</v>
      </c>
      <c r="Q24" s="274" t="e">
        <f t="shared" si="3"/>
        <v>#REF!</v>
      </c>
      <c r="R24" s="274" t="e">
        <f t="shared" si="4"/>
        <v>#REF!</v>
      </c>
      <c r="S24" s="274" t="e">
        <f t="shared" si="5"/>
        <v>#REF!</v>
      </c>
      <c r="T24" s="274" t="e">
        <f t="shared" si="6"/>
        <v>#REF!</v>
      </c>
    </row>
    <row r="25" spans="1:20" x14ac:dyDescent="0.25">
      <c r="A25" s="268" t="e">
        <f>LBC!#REF!</f>
        <v>#REF!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 t="e">
        <f t="shared" si="7"/>
        <v>#REF!</v>
      </c>
      <c r="J25" s="268" t="e">
        <f>+VLOOKUP('Autres sources4'!$A$8,'Coef Feuillus divers'!$G$2:$AA$228,10,FALSE)</f>
        <v>#REF!</v>
      </c>
      <c r="K25" s="268" t="e">
        <f>+VLOOKUP('Autres sources4'!$A$8,'Coef Feuillus divers'!$G$2:$AA$228,11,FALSE)</f>
        <v>#REF!</v>
      </c>
      <c r="L25" s="268" t="e">
        <f>+VLOOKUP('Autres sources4'!$A$8,'Coef Feuillus divers'!$G$2:$AA$228,12,FALSE)</f>
        <v>#REF!</v>
      </c>
      <c r="M25" s="274" t="e">
        <f t="shared" si="0"/>
        <v>#REF!</v>
      </c>
      <c r="N25" s="274" t="e">
        <f t="shared" si="1"/>
        <v>#REF!</v>
      </c>
      <c r="O25" s="277" t="e">
        <f>+VLOOKUP(A25,'Coef Feuillus divers'!$G$2:$AA$228,21,FALSE)</f>
        <v>#REF!</v>
      </c>
      <c r="P25" s="274" t="e">
        <f t="shared" si="2"/>
        <v>#REF!</v>
      </c>
      <c r="Q25" s="274" t="e">
        <f t="shared" si="3"/>
        <v>#REF!</v>
      </c>
      <c r="R25" s="274" t="e">
        <f t="shared" si="4"/>
        <v>#REF!</v>
      </c>
      <c r="S25" s="274" t="e">
        <f t="shared" si="5"/>
        <v>#REF!</v>
      </c>
      <c r="T25" s="274" t="e">
        <f t="shared" si="6"/>
        <v>#REF!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89"/>
  <sheetViews>
    <sheetView showGridLines="0" workbookViewId="0">
      <selection activeCell="G9" sqref="G9"/>
    </sheetView>
  </sheetViews>
  <sheetFormatPr baseColWidth="10" defaultRowHeight="15" x14ac:dyDescent="0.25"/>
  <cols>
    <col min="1" max="1" width="21.42578125" bestFit="1" customWidth="1"/>
    <col min="2" max="3" width="16" customWidth="1"/>
    <col min="4" max="7" width="11.7109375" customWidth="1"/>
  </cols>
  <sheetData>
    <row r="1" spans="1:7" x14ac:dyDescent="0.25">
      <c r="A1" s="114" t="s">
        <v>391</v>
      </c>
      <c r="B1" s="114" t="s">
        <v>396</v>
      </c>
      <c r="C1" s="114" t="s">
        <v>397</v>
      </c>
    </row>
    <row r="2" spans="1:7" x14ac:dyDescent="0.25">
      <c r="A2" s="100" t="s">
        <v>392</v>
      </c>
      <c r="B2" s="116">
        <f>+D39</f>
        <v>14.37596070154024</v>
      </c>
      <c r="C2" s="116">
        <f>+AVERAGE(D9:D89)</f>
        <v>18.925297099781581</v>
      </c>
    </row>
    <row r="3" spans="1:7" x14ac:dyDescent="0.25">
      <c r="A3" s="100" t="s">
        <v>393</v>
      </c>
      <c r="B3" s="116">
        <f>+E39</f>
        <v>19.510232380661751</v>
      </c>
      <c r="C3" s="116">
        <f>+AVERAGE(E9:E89)</f>
        <v>25.684331778275016</v>
      </c>
    </row>
    <row r="4" spans="1:7" x14ac:dyDescent="0.25">
      <c r="A4" s="100" t="s">
        <v>394</v>
      </c>
      <c r="B4" s="116">
        <f>+F39</f>
        <v>28.75192140308048</v>
      </c>
      <c r="C4" s="116">
        <f>+AVERAGE(F9:F89)</f>
        <v>37.850594199563162</v>
      </c>
    </row>
    <row r="5" spans="1:7" x14ac:dyDescent="0.25">
      <c r="A5" s="100" t="s">
        <v>395</v>
      </c>
      <c r="B5" s="116">
        <f>+G39</f>
        <v>39.020464761323503</v>
      </c>
      <c r="C5" s="116">
        <f>+AVERAGE(G9:G89)</f>
        <v>51.368663556550032</v>
      </c>
    </row>
    <row r="8" spans="1:7" s="112" customFormat="1" ht="30" x14ac:dyDescent="0.25">
      <c r="A8" s="113" t="s">
        <v>390</v>
      </c>
      <c r="B8" s="113" t="s">
        <v>398</v>
      </c>
      <c r="C8" s="113" t="s">
        <v>399</v>
      </c>
      <c r="D8" s="113" t="s">
        <v>400</v>
      </c>
      <c r="E8" s="113" t="s">
        <v>401</v>
      </c>
      <c r="F8" s="113" t="s">
        <v>402</v>
      </c>
      <c r="G8" s="113" t="s">
        <v>403</v>
      </c>
    </row>
    <row r="9" spans="1:7" x14ac:dyDescent="0.25">
      <c r="A9" s="115">
        <v>0</v>
      </c>
      <c r="B9" s="115">
        <v>0</v>
      </c>
      <c r="C9" s="82">
        <v>0</v>
      </c>
      <c r="D9" s="82">
        <f>+(B9+C9)*0.475*44/12*0.5*0.42</f>
        <v>0</v>
      </c>
      <c r="E9" s="82">
        <f>+(C9+B9)*0.475*44/12*0.5*0.57</f>
        <v>0</v>
      </c>
      <c r="F9" s="82">
        <f>+(B9+C9)*0.475*44/12*0.42</f>
        <v>0</v>
      </c>
      <c r="G9" s="82">
        <f>+(C9+B9)*0.475*44/12*0.57</f>
        <v>0</v>
      </c>
    </row>
    <row r="10" spans="1:7" x14ac:dyDescent="0.25">
      <c r="A10" s="115">
        <v>1</v>
      </c>
      <c r="B10" s="115">
        <v>1</v>
      </c>
      <c r="C10" s="82">
        <f t="shared" ref="C10:C73" si="0">+EXP(-1.0587+0.8836*LN(B10)+0.284)</f>
        <v>0.46084201286700899</v>
      </c>
      <c r="D10" s="82">
        <f>+(B10+C10)*0.475*44/12*0.5*0.42</f>
        <v>0.5343029662061084</v>
      </c>
      <c r="E10" s="82">
        <f>+(C10+B10)*0.475*44/12*0.5*0.57</f>
        <v>0.72512545413686136</v>
      </c>
      <c r="F10" s="82">
        <f>+(B10+C10)*0.475*44/12*0.42</f>
        <v>1.0686059324122168</v>
      </c>
      <c r="G10" s="82">
        <f>+(C10+B10)*0.475*44/12*0.57</f>
        <v>1.4502509082737227</v>
      </c>
    </row>
    <row r="11" spans="1:7" x14ac:dyDescent="0.25">
      <c r="A11" s="115">
        <v>2</v>
      </c>
      <c r="B11" s="115">
        <v>2</v>
      </c>
      <c r="C11" s="82">
        <f t="shared" si="0"/>
        <v>0.85024124573298709</v>
      </c>
      <c r="D11" s="82">
        <f t="shared" ref="D11:D74" si="1">+(B11+C11)*0.475*44/12*0.5*0.42</f>
        <v>1.0424757356268399</v>
      </c>
      <c r="E11" s="82">
        <f t="shared" ref="E11:E74" si="2">+(C11+B11)*0.475*44/12*0.5*0.57</f>
        <v>1.4147884983507113</v>
      </c>
      <c r="F11" s="82">
        <f t="shared" ref="F11:F74" si="3">+(B11+C11)*0.475*44/12*0.42</f>
        <v>2.0849514712536799</v>
      </c>
      <c r="G11" s="82">
        <f t="shared" ref="G11:G74" si="4">+(C11+B11)*0.475*44/12*0.57</f>
        <v>2.8295769967014226</v>
      </c>
    </row>
    <row r="12" spans="1:7" x14ac:dyDescent="0.25">
      <c r="A12" s="115">
        <v>3</v>
      </c>
      <c r="B12" s="115">
        <v>3</v>
      </c>
      <c r="C12" s="82">
        <f t="shared" si="0"/>
        <v>1.2165680468618498</v>
      </c>
      <c r="D12" s="82">
        <f t="shared" si="1"/>
        <v>1.5422097631397216</v>
      </c>
      <c r="E12" s="82">
        <f t="shared" si="2"/>
        <v>2.0929989642610507</v>
      </c>
      <c r="F12" s="82">
        <f t="shared" si="3"/>
        <v>3.0844195262794432</v>
      </c>
      <c r="G12" s="82">
        <f t="shared" si="4"/>
        <v>4.1859979285221014</v>
      </c>
    </row>
    <row r="13" spans="1:7" x14ac:dyDescent="0.25">
      <c r="A13" s="115">
        <v>4</v>
      </c>
      <c r="B13" s="115">
        <v>4</v>
      </c>
      <c r="C13" s="82">
        <f t="shared" si="0"/>
        <v>1.5686724642316869</v>
      </c>
      <c r="D13" s="82">
        <f t="shared" si="1"/>
        <v>2.0367419537927396</v>
      </c>
      <c r="E13" s="82">
        <f t="shared" si="2"/>
        <v>2.7641497944330036</v>
      </c>
      <c r="F13" s="82">
        <f t="shared" si="3"/>
        <v>4.0734839075854792</v>
      </c>
      <c r="G13" s="82">
        <f t="shared" si="4"/>
        <v>5.5282995888660071</v>
      </c>
    </row>
    <row r="14" spans="1:7" x14ac:dyDescent="0.25">
      <c r="A14" s="115">
        <v>5</v>
      </c>
      <c r="B14" s="115">
        <v>5</v>
      </c>
      <c r="C14" s="82">
        <f t="shared" si="0"/>
        <v>1.910565629709926</v>
      </c>
      <c r="D14" s="82">
        <f t="shared" si="1"/>
        <v>2.5275393790664054</v>
      </c>
      <c r="E14" s="82">
        <f t="shared" si="2"/>
        <v>3.430232014447264</v>
      </c>
      <c r="F14" s="82">
        <f t="shared" si="3"/>
        <v>5.0550787581328107</v>
      </c>
      <c r="G14" s="82">
        <f t="shared" si="4"/>
        <v>6.860464028894528</v>
      </c>
    </row>
    <row r="15" spans="1:7" x14ac:dyDescent="0.25">
      <c r="A15" s="115">
        <v>6</v>
      </c>
      <c r="B15" s="115">
        <v>6</v>
      </c>
      <c r="C15" s="82">
        <f t="shared" si="0"/>
        <v>2.2445356603831801</v>
      </c>
      <c r="D15" s="82">
        <f t="shared" si="1"/>
        <v>3.0154389177851475</v>
      </c>
      <c r="E15" s="82">
        <f t="shared" si="2"/>
        <v>4.0923813884226998</v>
      </c>
      <c r="F15" s="82">
        <f t="shared" si="3"/>
        <v>6.030877835570295</v>
      </c>
      <c r="G15" s="82">
        <f t="shared" si="4"/>
        <v>8.1847627768453997</v>
      </c>
    </row>
    <row r="16" spans="1:7" x14ac:dyDescent="0.25">
      <c r="A16" s="115">
        <v>7</v>
      </c>
      <c r="B16" s="115">
        <v>7</v>
      </c>
      <c r="C16" s="82">
        <f t="shared" si="0"/>
        <v>2.5720576168658531</v>
      </c>
      <c r="D16" s="82">
        <f t="shared" si="1"/>
        <v>3.5009800733686856</v>
      </c>
      <c r="E16" s="82">
        <f t="shared" si="2"/>
        <v>4.7513300995717875</v>
      </c>
      <c r="F16" s="82">
        <f t="shared" si="3"/>
        <v>7.0019601467373711</v>
      </c>
      <c r="G16" s="82">
        <f t="shared" si="4"/>
        <v>9.5026601991435751</v>
      </c>
    </row>
    <row r="17" spans="1:7" x14ac:dyDescent="0.25">
      <c r="A17" s="115">
        <v>8</v>
      </c>
      <c r="B17" s="115">
        <v>8</v>
      </c>
      <c r="C17" s="82">
        <f t="shared" si="0"/>
        <v>2.8941589371112335</v>
      </c>
      <c r="D17" s="82">
        <f t="shared" si="1"/>
        <v>3.9845386312484337</v>
      </c>
      <c r="E17" s="82">
        <f t="shared" si="2"/>
        <v>5.4075881424085877</v>
      </c>
      <c r="F17" s="82">
        <f t="shared" si="3"/>
        <v>7.9690772624968673</v>
      </c>
      <c r="G17" s="82">
        <f t="shared" si="4"/>
        <v>10.815176284817175</v>
      </c>
    </row>
    <row r="18" spans="1:7" x14ac:dyDescent="0.25">
      <c r="A18" s="115">
        <v>9</v>
      </c>
      <c r="B18" s="115">
        <v>9</v>
      </c>
      <c r="C18" s="82">
        <f t="shared" si="0"/>
        <v>3.2115948010850506</v>
      </c>
      <c r="D18" s="82">
        <f t="shared" si="1"/>
        <v>4.4663907984968567</v>
      </c>
      <c r="E18" s="82">
        <f t="shared" si="2"/>
        <v>6.0615303693885911</v>
      </c>
      <c r="F18" s="82">
        <f t="shared" si="3"/>
        <v>8.9327815969937134</v>
      </c>
      <c r="G18" s="82">
        <f t="shared" si="4"/>
        <v>12.123060738777182</v>
      </c>
    </row>
    <row r="19" spans="1:7" x14ac:dyDescent="0.25">
      <c r="A19" s="115">
        <v>10</v>
      </c>
      <c r="B19" s="115">
        <v>10</v>
      </c>
      <c r="C19" s="82">
        <f t="shared" si="0"/>
        <v>3.5249427259315063</v>
      </c>
      <c r="D19" s="82">
        <f t="shared" si="1"/>
        <v>4.9467478020094484</v>
      </c>
      <c r="E19" s="82">
        <f t="shared" si="2"/>
        <v>6.7134434455842502</v>
      </c>
      <c r="F19" s="82">
        <f t="shared" si="3"/>
        <v>9.8934956040188968</v>
      </c>
      <c r="G19" s="82">
        <f t="shared" si="4"/>
        <v>13.4268868911685</v>
      </c>
    </row>
    <row r="20" spans="1:7" x14ac:dyDescent="0.25">
      <c r="A20" s="115">
        <v>11</v>
      </c>
      <c r="B20" s="115">
        <v>11</v>
      </c>
      <c r="C20" s="82">
        <f t="shared" si="0"/>
        <v>3.8346580414912395</v>
      </c>
      <c r="D20" s="82">
        <f t="shared" si="1"/>
        <v>5.4257761786754202</v>
      </c>
      <c r="E20" s="82">
        <f t="shared" si="2"/>
        <v>7.3635533853452131</v>
      </c>
      <c r="F20" s="82">
        <f t="shared" si="3"/>
        <v>10.85155235735084</v>
      </c>
      <c r="G20" s="82">
        <f t="shared" si="4"/>
        <v>14.727106770690426</v>
      </c>
    </row>
    <row r="21" spans="1:7" x14ac:dyDescent="0.25">
      <c r="A21" s="115">
        <v>12</v>
      </c>
      <c r="B21" s="115">
        <v>12</v>
      </c>
      <c r="C21" s="82">
        <f t="shared" si="0"/>
        <v>4.1411085419571725</v>
      </c>
      <c r="D21" s="82">
        <f t="shared" si="1"/>
        <v>5.9036104492208361</v>
      </c>
      <c r="E21" s="82">
        <f t="shared" si="2"/>
        <v>8.0120427525139917</v>
      </c>
      <c r="F21" s="82">
        <f t="shared" si="3"/>
        <v>11.807220898441672</v>
      </c>
      <c r="G21" s="82">
        <f t="shared" si="4"/>
        <v>16.024085505027983</v>
      </c>
    </row>
    <row r="22" spans="1:7" x14ac:dyDescent="0.25">
      <c r="A22" s="115">
        <v>13</v>
      </c>
      <c r="B22" s="115">
        <v>13</v>
      </c>
      <c r="C22" s="82">
        <f t="shared" si="0"/>
        <v>4.4445972269606235</v>
      </c>
      <c r="D22" s="82">
        <f t="shared" si="1"/>
        <v>6.3803614357608476</v>
      </c>
      <c r="E22" s="82">
        <f t="shared" si="2"/>
        <v>8.6590619485325782</v>
      </c>
      <c r="F22" s="82">
        <f t="shared" si="3"/>
        <v>12.760722871521695</v>
      </c>
      <c r="G22" s="82">
        <f t="shared" si="4"/>
        <v>17.318123897065156</v>
      </c>
    </row>
    <row r="23" spans="1:7" x14ac:dyDescent="0.25">
      <c r="A23" s="115">
        <v>14</v>
      </c>
      <c r="B23" s="115">
        <v>14</v>
      </c>
      <c r="C23" s="82">
        <f t="shared" si="0"/>
        <v>4.7453778327544383</v>
      </c>
      <c r="D23" s="82">
        <f t="shared" si="1"/>
        <v>6.8561219423299358</v>
      </c>
      <c r="E23" s="82">
        <f t="shared" si="2"/>
        <v>9.3047369217334843</v>
      </c>
      <c r="F23" s="82">
        <f t="shared" si="3"/>
        <v>13.712243884659872</v>
      </c>
      <c r="G23" s="82">
        <f t="shared" si="4"/>
        <v>18.609473843466969</v>
      </c>
    </row>
    <row r="24" spans="1:7" x14ac:dyDescent="0.25">
      <c r="A24" s="115">
        <v>15</v>
      </c>
      <c r="B24" s="115">
        <v>15</v>
      </c>
      <c r="C24" s="82">
        <f t="shared" si="0"/>
        <v>5.0436657935706641</v>
      </c>
      <c r="D24" s="82">
        <f t="shared" si="1"/>
        <v>7.3309707639984696</v>
      </c>
      <c r="E24" s="82">
        <f t="shared" si="2"/>
        <v>9.9491746082836361</v>
      </c>
      <c r="F24" s="82">
        <f t="shared" si="3"/>
        <v>14.661941527996939</v>
      </c>
      <c r="G24" s="82">
        <f t="shared" si="4"/>
        <v>19.898349216567272</v>
      </c>
    </row>
    <row r="25" spans="1:7" x14ac:dyDescent="0.25">
      <c r="A25" s="115">
        <v>16</v>
      </c>
      <c r="B25" s="115">
        <v>16</v>
      </c>
      <c r="C25" s="82">
        <f t="shared" si="0"/>
        <v>5.3396461939958551</v>
      </c>
      <c r="D25" s="82">
        <f t="shared" si="1"/>
        <v>7.8049755954539837</v>
      </c>
      <c r="E25" s="82">
        <f t="shared" si="2"/>
        <v>10.592466879544691</v>
      </c>
      <c r="F25" s="82">
        <f t="shared" si="3"/>
        <v>15.609951190907967</v>
      </c>
      <c r="G25" s="82">
        <f t="shared" si="4"/>
        <v>21.184933759089382</v>
      </c>
    </row>
    <row r="26" spans="1:7" x14ac:dyDescent="0.25">
      <c r="A26" s="115">
        <v>17</v>
      </c>
      <c r="B26" s="115">
        <v>17</v>
      </c>
      <c r="C26" s="82">
        <f t="shared" si="0"/>
        <v>5.6334796754164351</v>
      </c>
      <c r="D26" s="82">
        <f t="shared" si="1"/>
        <v>8.2781951912835616</v>
      </c>
      <c r="E26" s="82">
        <f t="shared" si="2"/>
        <v>11.234693473884832</v>
      </c>
      <c r="F26" s="82">
        <f t="shared" si="3"/>
        <v>16.556390382567123</v>
      </c>
      <c r="G26" s="82">
        <f t="shared" si="4"/>
        <v>22.469386947769664</v>
      </c>
    </row>
    <row r="27" spans="1:7" x14ac:dyDescent="0.25">
      <c r="A27" s="115">
        <v>18</v>
      </c>
      <c r="B27" s="115">
        <v>18</v>
      </c>
      <c r="C27" s="82">
        <f t="shared" si="0"/>
        <v>5.9253069126146487</v>
      </c>
      <c r="D27" s="82">
        <f t="shared" si="1"/>
        <v>8.7506810032888058</v>
      </c>
      <c r="E27" s="82">
        <f t="shared" si="2"/>
        <v>11.875924218749093</v>
      </c>
      <c r="F27" s="82">
        <f t="shared" si="3"/>
        <v>17.501362006577612</v>
      </c>
      <c r="G27" s="82">
        <f t="shared" si="4"/>
        <v>23.751848437498186</v>
      </c>
    </row>
    <row r="28" spans="1:7" x14ac:dyDescent="0.25">
      <c r="A28" s="115">
        <v>19</v>
      </c>
      <c r="B28" s="115">
        <v>19</v>
      </c>
      <c r="C28" s="82">
        <f t="shared" si="0"/>
        <v>6.215252067045455</v>
      </c>
      <c r="D28" s="82">
        <f t="shared" si="1"/>
        <v>9.2224784435218741</v>
      </c>
      <c r="E28" s="82">
        <f t="shared" si="2"/>
        <v>12.516220744779686</v>
      </c>
      <c r="F28" s="82">
        <f t="shared" si="3"/>
        <v>18.444956887043748</v>
      </c>
      <c r="G28" s="82">
        <f t="shared" si="4"/>
        <v>25.032441489559371</v>
      </c>
    </row>
    <row r="29" spans="1:7" x14ac:dyDescent="0.25">
      <c r="A29" s="115">
        <v>20</v>
      </c>
      <c r="B29" s="115">
        <v>20</v>
      </c>
      <c r="C29" s="82">
        <f t="shared" si="0"/>
        <v>6.5034254923678825</v>
      </c>
      <c r="D29" s="82">
        <f t="shared" si="1"/>
        <v>9.6936278738335524</v>
      </c>
      <c r="E29" s="82">
        <f t="shared" si="2"/>
        <v>13.155637828774106</v>
      </c>
      <c r="F29" s="82">
        <f t="shared" si="3"/>
        <v>19.387255747667105</v>
      </c>
      <c r="G29" s="82">
        <f t="shared" si="4"/>
        <v>26.311275657548212</v>
      </c>
    </row>
    <row r="30" spans="1:7" x14ac:dyDescent="0.25">
      <c r="A30" s="115">
        <v>21</v>
      </c>
      <c r="B30" s="115">
        <v>21</v>
      </c>
      <c r="C30" s="82">
        <f t="shared" si="0"/>
        <v>6.7899258834928169</v>
      </c>
      <c r="D30" s="82">
        <f t="shared" si="1"/>
        <v>10.164165391887497</v>
      </c>
      <c r="E30" s="82">
        <f t="shared" si="2"/>
        <v>13.794224460418745</v>
      </c>
      <c r="F30" s="82">
        <f t="shared" si="3"/>
        <v>20.328330783774994</v>
      </c>
      <c r="G30" s="82">
        <f t="shared" si="4"/>
        <v>27.588448920837489</v>
      </c>
    </row>
    <row r="31" spans="1:7" x14ac:dyDescent="0.25">
      <c r="A31" s="115">
        <v>22</v>
      </c>
      <c r="B31" s="115">
        <v>22</v>
      </c>
      <c r="C31" s="82">
        <f t="shared" si="0"/>
        <v>7.074842004690268</v>
      </c>
      <c r="D31" s="82">
        <f t="shared" si="1"/>
        <v>10.634123463215465</v>
      </c>
      <c r="E31" s="82">
        <f t="shared" si="2"/>
        <v>14.432024700078129</v>
      </c>
      <c r="F31" s="82">
        <f t="shared" si="3"/>
        <v>21.26824692643093</v>
      </c>
      <c r="G31" s="82">
        <f t="shared" si="4"/>
        <v>28.864049400156258</v>
      </c>
    </row>
    <row r="32" spans="1:7" x14ac:dyDescent="0.25">
      <c r="A32" s="115">
        <v>23</v>
      </c>
      <c r="B32" s="115">
        <v>23</v>
      </c>
      <c r="C32" s="82">
        <f t="shared" si="0"/>
        <v>7.3582540946135815</v>
      </c>
      <c r="D32" s="82">
        <f t="shared" si="1"/>
        <v>11.103531435104916</v>
      </c>
      <c r="E32" s="82">
        <f t="shared" si="2"/>
        <v>15.069078376213813</v>
      </c>
      <c r="F32" s="82">
        <f t="shared" si="3"/>
        <v>22.207062870209832</v>
      </c>
      <c r="G32" s="82">
        <f t="shared" si="4"/>
        <v>30.138156752427626</v>
      </c>
    </row>
    <row r="33" spans="1:7" x14ac:dyDescent="0.25">
      <c r="A33" s="115">
        <v>24</v>
      </c>
      <c r="B33" s="115">
        <v>24</v>
      </c>
      <c r="C33" s="82">
        <f t="shared" si="0"/>
        <v>7.6402350200767444</v>
      </c>
      <c r="D33" s="82">
        <f t="shared" si="1"/>
        <v>11.572415958593067</v>
      </c>
      <c r="E33" s="82">
        <f t="shared" si="2"/>
        <v>15.705421658090591</v>
      </c>
      <c r="F33" s="82">
        <f t="shared" si="3"/>
        <v>23.144831917186135</v>
      </c>
      <c r="G33" s="82">
        <f t="shared" si="4"/>
        <v>31.410843316181182</v>
      </c>
    </row>
    <row r="34" spans="1:7" x14ac:dyDescent="0.25">
      <c r="A34" s="115">
        <v>25</v>
      </c>
      <c r="B34" s="115">
        <v>25</v>
      </c>
      <c r="C34" s="82">
        <f t="shared" si="0"/>
        <v>7.9208512321169113</v>
      </c>
      <c r="D34" s="82">
        <f t="shared" si="1"/>
        <v>12.04080133814676</v>
      </c>
      <c r="E34" s="82">
        <f t="shared" si="2"/>
        <v>16.34108753034203</v>
      </c>
      <c r="F34" s="82">
        <f t="shared" si="3"/>
        <v>24.081602676293521</v>
      </c>
      <c r="G34" s="82">
        <f t="shared" si="4"/>
        <v>32.68217506068406</v>
      </c>
    </row>
    <row r="35" spans="1:7" x14ac:dyDescent="0.25">
      <c r="A35" s="115">
        <v>26</v>
      </c>
      <c r="B35" s="115">
        <v>26</v>
      </c>
      <c r="C35" s="82">
        <f t="shared" si="0"/>
        <v>8.2001635647809952</v>
      </c>
      <c r="D35" s="82">
        <f t="shared" si="1"/>
        <v>12.508709823818648</v>
      </c>
      <c r="E35" s="82">
        <f t="shared" si="2"/>
        <v>16.976106189468165</v>
      </c>
      <c r="F35" s="82">
        <f t="shared" si="3"/>
        <v>25.017419647637297</v>
      </c>
      <c r="G35" s="82">
        <f t="shared" si="4"/>
        <v>33.952212378936331</v>
      </c>
    </row>
    <row r="36" spans="1:7" x14ac:dyDescent="0.25">
      <c r="A36" s="115">
        <v>27</v>
      </c>
      <c r="B36" s="115">
        <v>27</v>
      </c>
      <c r="C36" s="82">
        <f t="shared" si="0"/>
        <v>8.4782279075654454</v>
      </c>
      <c r="D36" s="82">
        <f t="shared" si="1"/>
        <v>12.976161857192062</v>
      </c>
      <c r="E36" s="82">
        <f t="shared" si="2"/>
        <v>17.610505377617798</v>
      </c>
      <c r="F36" s="82">
        <f t="shared" si="3"/>
        <v>25.952323714384125</v>
      </c>
      <c r="G36" s="82">
        <f t="shared" si="4"/>
        <v>35.221010755235596</v>
      </c>
    </row>
    <row r="37" spans="1:7" x14ac:dyDescent="0.25">
      <c r="A37" s="115">
        <v>28</v>
      </c>
      <c r="B37" s="115">
        <v>28</v>
      </c>
      <c r="C37" s="82">
        <f t="shared" si="0"/>
        <v>8.7550957754348371</v>
      </c>
      <c r="D37" s="82">
        <f t="shared" si="1"/>
        <v>13.443176279865289</v>
      </c>
      <c r="E37" s="82">
        <f t="shared" si="2"/>
        <v>18.244310665531465</v>
      </c>
      <c r="F37" s="82">
        <f t="shared" si="3"/>
        <v>26.886352559730579</v>
      </c>
      <c r="G37" s="82">
        <f t="shared" si="4"/>
        <v>36.48862133106293</v>
      </c>
    </row>
    <row r="38" spans="1:7" x14ac:dyDescent="0.25">
      <c r="A38" s="115">
        <v>29</v>
      </c>
      <c r="B38" s="115">
        <v>29</v>
      </c>
      <c r="C38" s="82">
        <f t="shared" si="0"/>
        <v>9.0308147951208984</v>
      </c>
      <c r="D38" s="82">
        <f t="shared" si="1"/>
        <v>13.909770511315466</v>
      </c>
      <c r="E38" s="82">
        <f t="shared" si="2"/>
        <v>18.877545693928134</v>
      </c>
      <c r="F38" s="82">
        <f t="shared" si="3"/>
        <v>27.819541022630933</v>
      </c>
      <c r="G38" s="82">
        <f t="shared" si="4"/>
        <v>37.755091387856268</v>
      </c>
    </row>
    <row r="39" spans="1:7" x14ac:dyDescent="0.25">
      <c r="A39" s="117">
        <v>30</v>
      </c>
      <c r="B39" s="117">
        <v>30</v>
      </c>
      <c r="C39" s="118">
        <f t="shared" si="0"/>
        <v>9.305429122461355</v>
      </c>
      <c r="D39" s="118">
        <f t="shared" si="1"/>
        <v>14.37596070154024</v>
      </c>
      <c r="E39" s="118">
        <f t="shared" si="2"/>
        <v>19.510232380661751</v>
      </c>
      <c r="F39" s="118">
        <f t="shared" si="3"/>
        <v>28.75192140308048</v>
      </c>
      <c r="G39" s="118">
        <f t="shared" si="4"/>
        <v>39.020464761323503</v>
      </c>
    </row>
    <row r="40" spans="1:7" x14ac:dyDescent="0.25">
      <c r="A40" s="115">
        <v>31</v>
      </c>
      <c r="B40" s="115">
        <v>31</v>
      </c>
      <c r="C40" s="82">
        <f t="shared" si="0"/>
        <v>9.5789798025304425</v>
      </c>
      <c r="D40" s="82">
        <f t="shared" si="1"/>
        <v>14.841761862775508</v>
      </c>
      <c r="E40" s="82">
        <f t="shared" si="2"/>
        <v>20.142391099481046</v>
      </c>
      <c r="F40" s="82">
        <f t="shared" si="3"/>
        <v>29.683523725551016</v>
      </c>
      <c r="G40" s="82">
        <f t="shared" si="4"/>
        <v>40.284782198962091</v>
      </c>
    </row>
    <row r="41" spans="1:7" x14ac:dyDescent="0.25">
      <c r="A41" s="115">
        <v>32</v>
      </c>
      <c r="B41" s="115">
        <v>32</v>
      </c>
      <c r="C41" s="82">
        <f t="shared" si="0"/>
        <v>9.8515050819956382</v>
      </c>
      <c r="D41" s="82">
        <f t="shared" si="1"/>
        <v>15.307187983739906</v>
      </c>
      <c r="E41" s="82">
        <f t="shared" si="2"/>
        <v>20.774040835075585</v>
      </c>
      <c r="F41" s="82">
        <f t="shared" si="3"/>
        <v>30.614375967479813</v>
      </c>
      <c r="G41" s="82">
        <f t="shared" si="4"/>
        <v>41.54808167015117</v>
      </c>
    </row>
    <row r="42" spans="1:7" x14ac:dyDescent="0.25">
      <c r="A42" s="115">
        <v>33</v>
      </c>
      <c r="B42" s="115">
        <v>33</v>
      </c>
      <c r="C42" s="82">
        <f t="shared" si="0"/>
        <v>10.12304068133292</v>
      </c>
      <c r="D42" s="82">
        <f t="shared" si="1"/>
        <v>15.772252129197515</v>
      </c>
      <c r="E42" s="82">
        <f t="shared" si="2"/>
        <v>21.405199318196626</v>
      </c>
      <c r="F42" s="82">
        <f t="shared" si="3"/>
        <v>31.54450425839503</v>
      </c>
      <c r="G42" s="82">
        <f t="shared" si="4"/>
        <v>42.810398636393252</v>
      </c>
    </row>
    <row r="43" spans="1:7" x14ac:dyDescent="0.25">
      <c r="A43" s="115">
        <v>34</v>
      </c>
      <c r="B43" s="115">
        <v>34</v>
      </c>
      <c r="C43" s="82">
        <f t="shared" si="0"/>
        <v>10.393620033119227</v>
      </c>
      <c r="D43" s="82">
        <f t="shared" si="1"/>
        <v>16.236966527113356</v>
      </c>
      <c r="E43" s="82">
        <f t="shared" si="2"/>
        <v>22.035883143939554</v>
      </c>
      <c r="F43" s="82">
        <f t="shared" si="3"/>
        <v>32.473933054226713</v>
      </c>
      <c r="G43" s="82">
        <f t="shared" si="4"/>
        <v>44.071766287879107</v>
      </c>
    </row>
    <row r="44" spans="1:7" x14ac:dyDescent="0.25">
      <c r="A44" s="115">
        <v>35</v>
      </c>
      <c r="B44" s="115">
        <v>35</v>
      </c>
      <c r="C44" s="82">
        <f t="shared" si="0"/>
        <v>10.66327449150266</v>
      </c>
      <c r="D44" s="82">
        <f t="shared" si="1"/>
        <v>16.701342645267101</v>
      </c>
      <c r="E44" s="82">
        <f t="shared" si="2"/>
        <v>22.666107875719632</v>
      </c>
      <c r="F44" s="82">
        <f t="shared" si="3"/>
        <v>33.402685290534201</v>
      </c>
      <c r="G44" s="82">
        <f t="shared" si="4"/>
        <v>45.332215751439264</v>
      </c>
    </row>
    <row r="45" spans="1:7" x14ac:dyDescent="0.25">
      <c r="A45" s="115">
        <v>36</v>
      </c>
      <c r="B45" s="115">
        <v>36</v>
      </c>
      <c r="C45" s="82">
        <f t="shared" si="0"/>
        <v>10.932033517060477</v>
      </c>
      <c r="D45" s="82">
        <f t="shared" si="1"/>
        <v>17.165391258864869</v>
      </c>
      <c r="E45" s="82">
        <f t="shared" si="2"/>
        <v>23.295888137030893</v>
      </c>
      <c r="F45" s="82">
        <f t="shared" si="3"/>
        <v>34.330782517729737</v>
      </c>
      <c r="G45" s="82">
        <f t="shared" si="4"/>
        <v>46.591776274061786</v>
      </c>
    </row>
    <row r="46" spans="1:7" x14ac:dyDescent="0.25">
      <c r="A46" s="115">
        <v>37</v>
      </c>
      <c r="B46" s="115">
        <v>37</v>
      </c>
      <c r="C46" s="82">
        <f t="shared" si="0"/>
        <v>11.199924840539731</v>
      </c>
      <c r="D46" s="82">
        <f t="shared" si="1"/>
        <v>17.629122510427404</v>
      </c>
      <c r="E46" s="82">
        <f t="shared" si="2"/>
        <v>23.925237692722902</v>
      </c>
      <c r="F46" s="82">
        <f t="shared" si="3"/>
        <v>35.258245020854808</v>
      </c>
      <c r="G46" s="82">
        <f t="shared" si="4"/>
        <v>47.850475385445804</v>
      </c>
    </row>
    <row r="47" spans="1:7" x14ac:dyDescent="0.25">
      <c r="A47" s="115">
        <v>38</v>
      </c>
      <c r="B47" s="115">
        <v>38</v>
      </c>
      <c r="C47" s="82">
        <f t="shared" si="0"/>
        <v>11.466974608398505</v>
      </c>
      <c r="D47" s="82">
        <f t="shared" si="1"/>
        <v>18.092545963021749</v>
      </c>
      <c r="E47" s="82">
        <f t="shared" si="2"/>
        <v>24.554169521243804</v>
      </c>
      <c r="F47" s="82">
        <f t="shared" si="3"/>
        <v>36.185091926043498</v>
      </c>
      <c r="G47" s="82">
        <f t="shared" si="4"/>
        <v>49.108339042487607</v>
      </c>
    </row>
    <row r="48" spans="1:7" x14ac:dyDescent="0.25">
      <c r="A48" s="115">
        <v>39</v>
      </c>
      <c r="B48" s="115">
        <v>39</v>
      </c>
      <c r="C48" s="82">
        <f t="shared" si="0"/>
        <v>11.733207512596055</v>
      </c>
      <c r="D48" s="82">
        <f t="shared" si="1"/>
        <v>18.555670647732004</v>
      </c>
      <c r="E48" s="82">
        <f t="shared" si="2"/>
        <v>25.182695879064863</v>
      </c>
      <c r="F48" s="82">
        <f t="shared" si="3"/>
        <v>37.111341295464008</v>
      </c>
      <c r="G48" s="82">
        <f t="shared" si="4"/>
        <v>50.365391758129725</v>
      </c>
    </row>
    <row r="49" spans="1:7" x14ac:dyDescent="0.25">
      <c r="A49" s="115">
        <v>40</v>
      </c>
      <c r="B49" s="115">
        <v>40</v>
      </c>
      <c r="C49" s="82">
        <f t="shared" si="0"/>
        <v>11.998646906696514</v>
      </c>
      <c r="D49" s="82">
        <f t="shared" si="1"/>
        <v>19.018505106124248</v>
      </c>
      <c r="E49" s="82">
        <f t="shared" si="2"/>
        <v>25.810828358311479</v>
      </c>
      <c r="F49" s="82">
        <f t="shared" si="3"/>
        <v>38.037010212248497</v>
      </c>
      <c r="G49" s="82">
        <f t="shared" si="4"/>
        <v>51.621656716622958</v>
      </c>
    </row>
    <row r="50" spans="1:7" x14ac:dyDescent="0.25">
      <c r="A50" s="115">
        <v>41</v>
      </c>
      <c r="B50" s="115">
        <v>41</v>
      </c>
      <c r="C50" s="82">
        <f t="shared" si="0"/>
        <v>12.263314910035469</v>
      </c>
      <c r="D50" s="82">
        <f t="shared" si="1"/>
        <v>19.481057428345469</v>
      </c>
      <c r="E50" s="82">
        <f t="shared" si="2"/>
        <v>26.43857793846885</v>
      </c>
      <c r="F50" s="82">
        <f t="shared" si="3"/>
        <v>38.962114856690938</v>
      </c>
      <c r="G50" s="82">
        <f t="shared" si="4"/>
        <v>52.877155876937699</v>
      </c>
    </row>
    <row r="51" spans="1:7" x14ac:dyDescent="0.25">
      <c r="A51" s="115">
        <v>42</v>
      </c>
      <c r="B51" s="115">
        <v>42</v>
      </c>
      <c r="C51" s="82">
        <f t="shared" si="0"/>
        <v>12.527232501437741</v>
      </c>
      <c r="D51" s="82">
        <f t="shared" si="1"/>
        <v>19.943335287400853</v>
      </c>
      <c r="E51" s="82">
        <f t="shared" si="2"/>
        <v>27.065955032901158</v>
      </c>
      <c r="F51" s="82">
        <f t="shared" si="3"/>
        <v>39.886670574801705</v>
      </c>
      <c r="G51" s="82">
        <f t="shared" si="4"/>
        <v>54.131910065802316</v>
      </c>
    </row>
    <row r="52" spans="1:7" x14ac:dyDescent="0.25">
      <c r="A52" s="115">
        <v>43</v>
      </c>
      <c r="B52" s="115">
        <v>43</v>
      </c>
      <c r="C52" s="82">
        <f t="shared" si="0"/>
        <v>12.790419603758325</v>
      </c>
      <c r="D52" s="82">
        <f t="shared" si="1"/>
        <v>20.405345970074606</v>
      </c>
      <c r="E52" s="82">
        <f t="shared" si="2"/>
        <v>27.692969530815535</v>
      </c>
      <c r="F52" s="82">
        <f t="shared" si="3"/>
        <v>40.810691940149212</v>
      </c>
      <c r="G52" s="82">
        <f t="shared" si="4"/>
        <v>55.385939061631071</v>
      </c>
    </row>
    <row r="53" spans="1:7" x14ac:dyDescent="0.25">
      <c r="A53" s="115">
        <v>44</v>
      </c>
      <c r="B53" s="115">
        <v>44</v>
      </c>
      <c r="C53" s="82">
        <f t="shared" si="0"/>
        <v>13.05289516033737</v>
      </c>
      <c r="D53" s="82">
        <f t="shared" si="1"/>
        <v>20.867096404893392</v>
      </c>
      <c r="E53" s="82">
        <f t="shared" si="2"/>
        <v>28.319630835212461</v>
      </c>
      <c r="F53" s="82">
        <f t="shared" si="3"/>
        <v>41.734192809786784</v>
      </c>
      <c r="G53" s="82">
        <f t="shared" si="4"/>
        <v>56.639261670424922</v>
      </c>
    </row>
    <row r="54" spans="1:7" x14ac:dyDescent="0.25">
      <c r="A54" s="115">
        <v>45</v>
      </c>
      <c r="B54" s="115">
        <v>45</v>
      </c>
      <c r="C54" s="82">
        <f t="shared" si="0"/>
        <v>13.314677204308875</v>
      </c>
      <c r="D54" s="82">
        <f t="shared" si="1"/>
        <v>21.32859318747597</v>
      </c>
      <c r="E54" s="82">
        <f t="shared" si="2"/>
        <v>28.945947897288818</v>
      </c>
      <c r="F54" s="82">
        <f t="shared" si="3"/>
        <v>42.657186374951941</v>
      </c>
      <c r="G54" s="82">
        <f t="shared" si="4"/>
        <v>57.891895794577636</v>
      </c>
    </row>
    <row r="55" spans="1:7" x14ac:dyDescent="0.25">
      <c r="A55" s="115">
        <v>46</v>
      </c>
      <c r="B55" s="115">
        <v>46</v>
      </c>
      <c r="C55" s="82">
        <f t="shared" si="0"/>
        <v>13.575782921574818</v>
      </c>
      <c r="D55" s="82">
        <f t="shared" si="1"/>
        <v>21.789842603565987</v>
      </c>
      <c r="E55" s="82">
        <f t="shared" si="2"/>
        <v>29.571929247696694</v>
      </c>
      <c r="F55" s="82">
        <f t="shared" si="3"/>
        <v>43.579685207131973</v>
      </c>
      <c r="G55" s="82">
        <f t="shared" si="4"/>
        <v>59.143858495393388</v>
      </c>
    </row>
    <row r="56" spans="1:7" x14ac:dyDescent="0.25">
      <c r="A56" s="115">
        <v>47</v>
      </c>
      <c r="B56" s="115">
        <v>47</v>
      </c>
      <c r="C56" s="82">
        <f t="shared" si="0"/>
        <v>13.836228708148882</v>
      </c>
      <c r="D56" s="82">
        <f t="shared" si="1"/>
        <v>22.250850650005454</v>
      </c>
      <c r="E56" s="82">
        <f t="shared" si="2"/>
        <v>30.1975830250074</v>
      </c>
      <c r="F56" s="82">
        <f t="shared" si="3"/>
        <v>44.501701300010907</v>
      </c>
      <c r="G56" s="82">
        <f t="shared" si="4"/>
        <v>60.395166050014801</v>
      </c>
    </row>
    <row r="57" spans="1:7" x14ac:dyDescent="0.25">
      <c r="A57" s="115">
        <v>48</v>
      </c>
      <c r="B57" s="115">
        <v>48</v>
      </c>
      <c r="C57" s="82">
        <f t="shared" si="0"/>
        <v>14.096030222482103</v>
      </c>
      <c r="D57" s="82">
        <f t="shared" si="1"/>
        <v>22.711623053872827</v>
      </c>
      <c r="E57" s="82">
        <f t="shared" si="2"/>
        <v>30.822917001684548</v>
      </c>
      <c r="F57" s="82">
        <f t="shared" si="3"/>
        <v>45.423246107745655</v>
      </c>
      <c r="G57" s="82">
        <f t="shared" si="4"/>
        <v>61.645834003369096</v>
      </c>
    </row>
    <row r="58" spans="1:7" x14ac:dyDescent="0.25">
      <c r="A58" s="115">
        <v>49</v>
      </c>
      <c r="B58" s="115">
        <v>49</v>
      </c>
      <c r="C58" s="82">
        <f t="shared" si="0"/>
        <v>14.355202433304973</v>
      </c>
      <c r="D58" s="82">
        <f t="shared" si="1"/>
        <v>23.172165289981294</v>
      </c>
      <c r="E58" s="82">
        <f t="shared" si="2"/>
        <v>31.447938607831755</v>
      </c>
      <c r="F58" s="82">
        <f t="shared" si="3"/>
        <v>46.344330579962588</v>
      </c>
      <c r="G58" s="82">
        <f t="shared" si="4"/>
        <v>62.895877215663511</v>
      </c>
    </row>
    <row r="59" spans="1:7" x14ac:dyDescent="0.25">
      <c r="A59" s="115">
        <v>50</v>
      </c>
      <c r="B59" s="115">
        <v>50</v>
      </c>
      <c r="C59" s="82">
        <f t="shared" si="0"/>
        <v>14.613759663453791</v>
      </c>
      <c r="D59" s="82">
        <f t="shared" si="1"/>
        <v>23.632482596908226</v>
      </c>
      <c r="E59" s="82">
        <f t="shared" si="2"/>
        <v>32.072654952946877</v>
      </c>
      <c r="F59" s="82">
        <f t="shared" si="3"/>
        <v>47.264965193816451</v>
      </c>
      <c r="G59" s="82">
        <f t="shared" si="4"/>
        <v>64.145309905893754</v>
      </c>
    </row>
    <row r="60" spans="1:7" x14ac:dyDescent="0.25">
      <c r="A60" s="115">
        <v>51</v>
      </c>
      <c r="B60" s="115">
        <v>51</v>
      </c>
      <c r="C60" s="82">
        <f t="shared" si="0"/>
        <v>14.871715630091872</v>
      </c>
      <c r="D60" s="82">
        <f t="shared" si="1"/>
        <v>24.092579991706103</v>
      </c>
      <c r="E60" s="82">
        <f t="shared" si="2"/>
        <v>32.697072845886851</v>
      </c>
      <c r="F60" s="82">
        <f t="shared" si="3"/>
        <v>48.185159983412206</v>
      </c>
      <c r="G60" s="82">
        <f t="shared" si="4"/>
        <v>65.394145691773701</v>
      </c>
    </row>
    <row r="61" spans="1:7" x14ac:dyDescent="0.25">
      <c r="A61" s="115">
        <v>52</v>
      </c>
      <c r="B61" s="115">
        <v>52</v>
      </c>
      <c r="C61" s="82">
        <f t="shared" si="0"/>
        <v>15.129083481686983</v>
      </c>
      <c r="D61" s="82">
        <f t="shared" si="1"/>
        <v>24.552462283427012</v>
      </c>
      <c r="E61" s="82">
        <f t="shared" si="2"/>
        <v>33.321198813222374</v>
      </c>
      <c r="F61" s="82">
        <f t="shared" si="3"/>
        <v>49.104924566854024</v>
      </c>
      <c r="G61" s="82">
        <f t="shared" si="4"/>
        <v>66.642397626444748</v>
      </c>
    </row>
    <row r="62" spans="1:7" x14ac:dyDescent="0.25">
      <c r="A62" s="115">
        <v>53</v>
      </c>
      <c r="B62" s="115">
        <v>53</v>
      </c>
      <c r="C62" s="82">
        <f t="shared" si="0"/>
        <v>15.385875832063984</v>
      </c>
      <c r="D62" s="82">
        <f t="shared" si="1"/>
        <v>25.012134085577397</v>
      </c>
      <c r="E62" s="82">
        <f t="shared" si="2"/>
        <v>33.945039116140755</v>
      </c>
      <c r="F62" s="82">
        <f t="shared" si="3"/>
        <v>50.024268171154795</v>
      </c>
      <c r="G62" s="82">
        <f t="shared" si="4"/>
        <v>67.89007823228151</v>
      </c>
    </row>
    <row r="63" spans="1:7" x14ac:dyDescent="0.25">
      <c r="A63" s="115">
        <v>54</v>
      </c>
      <c r="B63" s="115">
        <v>54</v>
      </c>
      <c r="C63" s="82">
        <f t="shared" si="0"/>
        <v>15.642104791814804</v>
      </c>
      <c r="D63" s="82">
        <f t="shared" si="1"/>
        <v>25.471599827606266</v>
      </c>
      <c r="E63" s="82">
        <f t="shared" si="2"/>
        <v>34.568599766037075</v>
      </c>
      <c r="F63" s="82">
        <f t="shared" si="3"/>
        <v>50.943199655212531</v>
      </c>
      <c r="G63" s="82">
        <f t="shared" si="4"/>
        <v>69.137199532074149</v>
      </c>
    </row>
    <row r="64" spans="1:7" x14ac:dyDescent="0.25">
      <c r="A64" s="115">
        <v>55</v>
      </c>
      <c r="B64" s="115">
        <v>55</v>
      </c>
      <c r="C64" s="82">
        <f t="shared" si="0"/>
        <v>15.897781997315866</v>
      </c>
      <c r="D64" s="82">
        <f t="shared" si="1"/>
        <v>25.930863765518275</v>
      </c>
      <c r="E64" s="82">
        <f t="shared" si="2"/>
        <v>35.191886538917657</v>
      </c>
      <c r="F64" s="82">
        <f t="shared" si="3"/>
        <v>51.86172753103655</v>
      </c>
      <c r="G64" s="82">
        <f t="shared" si="4"/>
        <v>70.383773077835315</v>
      </c>
    </row>
    <row r="65" spans="1:7" x14ac:dyDescent="0.25">
      <c r="A65" s="115">
        <v>56</v>
      </c>
      <c r="B65" s="115">
        <v>56</v>
      </c>
      <c r="C65" s="82">
        <f t="shared" si="0"/>
        <v>16.152918637575532</v>
      </c>
      <c r="D65" s="82">
        <f t="shared" si="1"/>
        <v>26.389929991693251</v>
      </c>
      <c r="E65" s="82">
        <f t="shared" si="2"/>
        <v>35.814904988726553</v>
      </c>
      <c r="F65" s="82">
        <f t="shared" si="3"/>
        <v>52.779859983386501</v>
      </c>
      <c r="G65" s="82">
        <f t="shared" si="4"/>
        <v>71.629809977453107</v>
      </c>
    </row>
    <row r="66" spans="1:7" x14ac:dyDescent="0.25">
      <c r="A66" s="115">
        <v>57</v>
      </c>
      <c r="B66" s="115">
        <v>57</v>
      </c>
      <c r="C66" s="82">
        <f t="shared" si="0"/>
        <v>16.407525479109513</v>
      </c>
      <c r="D66" s="82">
        <f t="shared" si="1"/>
        <v>26.848802443984297</v>
      </c>
      <c r="E66" s="82">
        <f t="shared" si="2"/>
        <v>36.437660459692971</v>
      </c>
      <c r="F66" s="82">
        <f t="shared" si="3"/>
        <v>53.697604887968595</v>
      </c>
      <c r="G66" s="82">
        <f t="shared" si="4"/>
        <v>72.875320919385942</v>
      </c>
    </row>
    <row r="67" spans="1:7" x14ac:dyDescent="0.25">
      <c r="A67" s="115">
        <v>58</v>
      </c>
      <c r="B67" s="115">
        <v>58</v>
      </c>
      <c r="C67" s="82">
        <f t="shared" si="0"/>
        <v>16.66161288902131</v>
      </c>
      <c r="D67" s="82">
        <f t="shared" si="1"/>
        <v>27.307484914159541</v>
      </c>
      <c r="E67" s="82">
        <f t="shared" si="2"/>
        <v>37.060158097787948</v>
      </c>
      <c r="F67" s="82">
        <f t="shared" si="3"/>
        <v>54.614969828319083</v>
      </c>
      <c r="G67" s="82">
        <f t="shared" si="4"/>
        <v>74.120316195575896</v>
      </c>
    </row>
    <row r="68" spans="1:7" x14ac:dyDescent="0.25">
      <c r="A68" s="115">
        <v>59</v>
      </c>
      <c r="B68" s="115">
        <v>59</v>
      </c>
      <c r="C68" s="82">
        <f t="shared" si="0"/>
        <v>16.915190856445701</v>
      </c>
      <c r="D68" s="82">
        <f t="shared" si="1"/>
        <v>27.765981055745012</v>
      </c>
      <c r="E68" s="82">
        <f t="shared" si="2"/>
        <v>37.682402861368232</v>
      </c>
      <c r="F68" s="82">
        <f t="shared" si="3"/>
        <v>55.531962111490024</v>
      </c>
      <c r="G68" s="82">
        <f t="shared" si="4"/>
        <v>75.364805722736463</v>
      </c>
    </row>
    <row r="69" spans="1:7" x14ac:dyDescent="0.25">
      <c r="A69" s="115">
        <v>60</v>
      </c>
      <c r="B69" s="115">
        <v>60</v>
      </c>
      <c r="C69" s="82">
        <f t="shared" si="0"/>
        <v>17.168269012497309</v>
      </c>
      <c r="D69" s="82">
        <f t="shared" si="1"/>
        <v>28.224294391320893</v>
      </c>
      <c r="E69" s="82">
        <f t="shared" si="2"/>
        <v>38.304399531078353</v>
      </c>
      <c r="F69" s="82">
        <f t="shared" si="3"/>
        <v>56.448588782641785</v>
      </c>
      <c r="G69" s="82">
        <f t="shared" si="4"/>
        <v>76.608799062156706</v>
      </c>
    </row>
    <row r="70" spans="1:7" x14ac:dyDescent="0.25">
      <c r="A70" s="115">
        <v>61</v>
      </c>
      <c r="B70" s="115">
        <v>61</v>
      </c>
      <c r="C70" s="82">
        <f t="shared" si="0"/>
        <v>17.420856648851601</v>
      </c>
      <c r="D70" s="82">
        <f t="shared" si="1"/>
        <v>28.682428319317474</v>
      </c>
      <c r="E70" s="82">
        <f t="shared" si="2"/>
        <v>38.926152719073713</v>
      </c>
      <c r="F70" s="82">
        <f t="shared" si="3"/>
        <v>57.364856638634947</v>
      </c>
      <c r="G70" s="82">
        <f t="shared" si="4"/>
        <v>77.852305438147425</v>
      </c>
    </row>
    <row r="71" spans="1:7" x14ac:dyDescent="0.25">
      <c r="A71" s="115">
        <v>62</v>
      </c>
      <c r="B71" s="115">
        <v>62</v>
      </c>
      <c r="C71" s="82">
        <f t="shared" si="0"/>
        <v>17.672962735072836</v>
      </c>
      <c r="D71" s="82">
        <f t="shared" si="1"/>
        <v>29.140386120352893</v>
      </c>
      <c r="E71" s="82">
        <f t="shared" si="2"/>
        <v>39.547666877621779</v>
      </c>
      <c r="F71" s="82">
        <f t="shared" si="3"/>
        <v>58.280772240705787</v>
      </c>
      <c r="G71" s="82">
        <f t="shared" si="4"/>
        <v>79.095333755243558</v>
      </c>
    </row>
    <row r="72" spans="1:7" x14ac:dyDescent="0.25">
      <c r="A72" s="115">
        <v>63</v>
      </c>
      <c r="B72" s="115">
        <v>63</v>
      </c>
      <c r="C72" s="82">
        <f t="shared" si="0"/>
        <v>17.924595934792478</v>
      </c>
      <c r="D72" s="82">
        <f t="shared" si="1"/>
        <v>29.598170963150348</v>
      </c>
      <c r="E72" s="82">
        <f t="shared" si="2"/>
        <v>40.168946307132614</v>
      </c>
      <c r="F72" s="82">
        <f t="shared" si="3"/>
        <v>59.196341926300697</v>
      </c>
      <c r="G72" s="82">
        <f t="shared" si="4"/>
        <v>80.337892614265229</v>
      </c>
    </row>
    <row r="73" spans="1:7" x14ac:dyDescent="0.25">
      <c r="A73" s="115">
        <v>64</v>
      </c>
      <c r="B73" s="115">
        <v>64</v>
      </c>
      <c r="C73" s="82">
        <f t="shared" si="0"/>
        <v>18.175764620831206</v>
      </c>
      <c r="D73" s="82">
        <f t="shared" si="1"/>
        <v>30.055785910069012</v>
      </c>
      <c r="E73" s="82">
        <f t="shared" si="2"/>
        <v>40.78999516366509</v>
      </c>
      <c r="F73" s="82">
        <f t="shared" si="3"/>
        <v>60.111571820138025</v>
      </c>
      <c r="G73" s="82">
        <f t="shared" si="4"/>
        <v>81.579990327330179</v>
      </c>
    </row>
    <row r="74" spans="1:7" x14ac:dyDescent="0.25">
      <c r="A74" s="115">
        <v>65</v>
      </c>
      <c r="B74" s="115">
        <v>65</v>
      </c>
      <c r="C74" s="82">
        <f t="shared" ref="C74:C89" si="5">+EXP(-1.0587+0.8836*LN(B74)+0.284)</f>
        <v>18.42647688934899</v>
      </c>
      <c r="D74" s="82">
        <f t="shared" si="1"/>
        <v>30.51323392227939</v>
      </c>
      <c r="E74" s="82">
        <f t="shared" si="2"/>
        <v>41.410817465950601</v>
      </c>
      <c r="F74" s="82">
        <f t="shared" si="3"/>
        <v>61.02646784455878</v>
      </c>
      <c r="G74" s="82">
        <f t="shared" si="4"/>
        <v>82.821634931901201</v>
      </c>
    </row>
    <row r="75" spans="1:7" x14ac:dyDescent="0.25">
      <c r="A75" s="115">
        <v>66</v>
      </c>
      <c r="B75" s="115">
        <v>66</v>
      </c>
      <c r="C75" s="82">
        <f t="shared" si="5"/>
        <v>18.67674057309971</v>
      </c>
      <c r="D75" s="82">
        <f t="shared" ref="D75:D89" si="6">+(B75+C75)*0.475*44/12*0.5*0.42</f>
        <v>30.970517864611214</v>
      </c>
      <c r="E75" s="82">
        <f t="shared" ref="E75:E89" si="7">+(C75+B75)*0.475*44/12*0.5*0.57</f>
        <v>42.031417101972359</v>
      </c>
      <c r="F75" s="82">
        <f t="shared" ref="F75:F89" si="8">+(B75+C75)*0.475*44/12*0.42</f>
        <v>61.941035729222428</v>
      </c>
      <c r="G75" s="82">
        <f t="shared" ref="G75:G89" si="9">+(C75+B75)*0.475*44/12*0.57</f>
        <v>84.062834203944718</v>
      </c>
    </row>
    <row r="76" spans="1:7" x14ac:dyDescent="0.25">
      <c r="A76" s="115">
        <v>67</v>
      </c>
      <c r="B76" s="115">
        <v>67</v>
      </c>
      <c r="C76" s="82">
        <f t="shared" si="5"/>
        <v>18.926563253859626</v>
      </c>
      <c r="D76" s="82">
        <f t="shared" si="6"/>
        <v>31.427640510099152</v>
      </c>
      <c r="E76" s="82">
        <f t="shared" si="7"/>
        <v>42.651797835134566</v>
      </c>
      <c r="F76" s="82">
        <f t="shared" si="8"/>
        <v>62.855281020198305</v>
      </c>
      <c r="G76" s="82">
        <f t="shared" si="9"/>
        <v>85.303595670269132</v>
      </c>
    </row>
    <row r="77" spans="1:7" x14ac:dyDescent="0.25">
      <c r="A77" s="115">
        <v>68</v>
      </c>
      <c r="B77" s="115">
        <v>68</v>
      </c>
      <c r="C77" s="82">
        <f t="shared" si="5"/>
        <v>19.175952274092793</v>
      </c>
      <c r="D77" s="82">
        <f t="shared" si="6"/>
        <v>31.884604544249438</v>
      </c>
      <c r="E77" s="82">
        <f t="shared" si="7"/>
        <v>43.271963310052804</v>
      </c>
      <c r="F77" s="82">
        <f t="shared" si="8"/>
        <v>63.769209088498876</v>
      </c>
      <c r="G77" s="82">
        <f t="shared" si="9"/>
        <v>86.543926620105609</v>
      </c>
    </row>
    <row r="78" spans="1:7" x14ac:dyDescent="0.25">
      <c r="A78" s="115">
        <v>69</v>
      </c>
      <c r="B78" s="115">
        <v>69</v>
      </c>
      <c r="C78" s="82">
        <f t="shared" si="5"/>
        <v>19.424914747910783</v>
      </c>
      <c r="D78" s="82">
        <f t="shared" si="6"/>
        <v>32.341412569048359</v>
      </c>
      <c r="E78" s="82">
        <f t="shared" si="7"/>
        <v>43.891917057994206</v>
      </c>
      <c r="F78" s="82">
        <f t="shared" si="8"/>
        <v>64.682825138096717</v>
      </c>
      <c r="G78" s="82">
        <f t="shared" si="9"/>
        <v>87.783834115988412</v>
      </c>
    </row>
    <row r="79" spans="1:7" x14ac:dyDescent="0.25">
      <c r="A79" s="115">
        <v>70</v>
      </c>
      <c r="B79" s="115">
        <v>70</v>
      </c>
      <c r="C79" s="82">
        <f t="shared" si="5"/>
        <v>19.673457571379032</v>
      </c>
      <c r="D79" s="82">
        <f t="shared" si="6"/>
        <v>32.798067106731885</v>
      </c>
      <c r="E79" s="82">
        <f t="shared" si="7"/>
        <v>44.511662501993264</v>
      </c>
      <c r="F79" s="82">
        <f t="shared" si="8"/>
        <v>65.59613421346377</v>
      </c>
      <c r="G79" s="82">
        <f t="shared" si="9"/>
        <v>89.023325003986528</v>
      </c>
    </row>
    <row r="80" spans="1:7" x14ac:dyDescent="0.25">
      <c r="A80" s="115">
        <v>71</v>
      </c>
      <c r="B80" s="115">
        <v>71</v>
      </c>
      <c r="C80" s="82">
        <f t="shared" si="5"/>
        <v>19.921587432217475</v>
      </c>
      <c r="D80" s="82">
        <f t="shared" si="6"/>
        <v>33.254570603333541</v>
      </c>
      <c r="E80" s="82">
        <f t="shared" si="7"/>
        <v>45.131202961666951</v>
      </c>
      <c r="F80" s="82">
        <f t="shared" si="8"/>
        <v>66.509141206667081</v>
      </c>
      <c r="G80" s="82">
        <f t="shared" si="9"/>
        <v>90.262405923333901</v>
      </c>
    </row>
    <row r="81" spans="1:7" x14ac:dyDescent="0.25">
      <c r="A81" s="115">
        <v>72</v>
      </c>
      <c r="B81" s="115">
        <v>72</v>
      </c>
      <c r="C81" s="82">
        <f t="shared" si="5"/>
        <v>20.16931081893917</v>
      </c>
      <c r="D81" s="82">
        <f t="shared" si="6"/>
        <v>33.710925432026997</v>
      </c>
      <c r="E81" s="82">
        <f t="shared" si="7"/>
        <v>45.750541657750922</v>
      </c>
      <c r="F81" s="82">
        <f t="shared" si="8"/>
        <v>67.421850864053994</v>
      </c>
      <c r="G81" s="82">
        <f t="shared" si="9"/>
        <v>91.501083315501845</v>
      </c>
    </row>
    <row r="82" spans="1:7" x14ac:dyDescent="0.25">
      <c r="A82" s="115">
        <v>73</v>
      </c>
      <c r="B82" s="115">
        <v>73</v>
      </c>
      <c r="C82" s="82">
        <f t="shared" si="5"/>
        <v>20.416634029466753</v>
      </c>
      <c r="D82" s="82">
        <f t="shared" si="6"/>
        <v>34.167133896277456</v>
      </c>
      <c r="E82" s="82">
        <f t="shared" si="7"/>
        <v>46.369681716376547</v>
      </c>
      <c r="F82" s="82">
        <f t="shared" si="8"/>
        <v>68.334267792554911</v>
      </c>
      <c r="G82" s="82">
        <f t="shared" si="9"/>
        <v>92.739363432753095</v>
      </c>
    </row>
    <row r="83" spans="1:7" x14ac:dyDescent="0.25">
      <c r="A83" s="115">
        <v>74</v>
      </c>
      <c r="B83" s="115">
        <v>74</v>
      </c>
      <c r="C83" s="82">
        <f t="shared" si="5"/>
        <v>20.663563179263345</v>
      </c>
      <c r="D83" s="82">
        <f t="shared" si="6"/>
        <v>34.623198232815568</v>
      </c>
      <c r="E83" s="82">
        <f t="shared" si="7"/>
        <v>46.988626173106837</v>
      </c>
      <c r="F83" s="82">
        <f t="shared" si="8"/>
        <v>69.246396465631136</v>
      </c>
      <c r="G83" s="82">
        <f t="shared" si="9"/>
        <v>93.977252346213675</v>
      </c>
    </row>
    <row r="84" spans="1:7" x14ac:dyDescent="0.25">
      <c r="A84" s="115">
        <v>75</v>
      </c>
      <c r="B84" s="115">
        <v>75</v>
      </c>
      <c r="C84" s="82">
        <f t="shared" si="5"/>
        <v>20.910104209011433</v>
      </c>
      <c r="D84" s="82">
        <f t="shared" si="6"/>
        <v>35.079120614445934</v>
      </c>
      <c r="E84" s="82">
        <f t="shared" si="7"/>
        <v>47.607377976748047</v>
      </c>
      <c r="F84" s="82">
        <f t="shared" si="8"/>
        <v>70.158241228891868</v>
      </c>
      <c r="G84" s="82">
        <f t="shared" si="9"/>
        <v>95.214755953496095</v>
      </c>
    </row>
    <row r="85" spans="1:7" x14ac:dyDescent="0.25">
      <c r="A85" s="115">
        <v>76</v>
      </c>
      <c r="B85" s="115">
        <v>76</v>
      </c>
      <c r="C85" s="82">
        <f t="shared" si="5"/>
        <v>21.15626289187065</v>
      </c>
      <c r="D85" s="82">
        <f t="shared" si="6"/>
        <v>35.534903152701688</v>
      </c>
      <c r="E85" s="82">
        <f t="shared" si="7"/>
        <v>48.225939992952284</v>
      </c>
      <c r="F85" s="82">
        <f t="shared" si="8"/>
        <v>71.069806305403375</v>
      </c>
      <c r="G85" s="82">
        <f t="shared" si="9"/>
        <v>96.451879985904569</v>
      </c>
    </row>
    <row r="86" spans="1:7" x14ac:dyDescent="0.25">
      <c r="A86" s="115">
        <v>77</v>
      </c>
      <c r="B86" s="115">
        <v>77</v>
      </c>
      <c r="C86" s="82">
        <f t="shared" si="5"/>
        <v>21.402044840342526</v>
      </c>
      <c r="D86" s="82">
        <f t="shared" si="6"/>
        <v>35.990547900355267</v>
      </c>
      <c r="E86" s="82">
        <f t="shared" si="7"/>
        <v>48.844315007625006</v>
      </c>
      <c r="F86" s="82">
        <f t="shared" si="8"/>
        <v>71.981095800710534</v>
      </c>
      <c r="G86" s="82">
        <f t="shared" si="9"/>
        <v>97.688630015250013</v>
      </c>
    </row>
    <row r="87" spans="1:7" x14ac:dyDescent="0.25">
      <c r="A87" s="115">
        <v>78</v>
      </c>
      <c r="B87" s="115">
        <v>78</v>
      </c>
      <c r="C87" s="82">
        <f t="shared" si="5"/>
        <v>21.647455512768612</v>
      </c>
      <c r="D87" s="82">
        <f t="shared" si="6"/>
        <v>36.44605685379512</v>
      </c>
      <c r="E87" s="82">
        <f t="shared" si="7"/>
        <v>49.462505730150518</v>
      </c>
      <c r="F87" s="82">
        <f t="shared" si="8"/>
        <v>72.892113707590241</v>
      </c>
      <c r="G87" s="82">
        <f t="shared" si="9"/>
        <v>98.925011460301036</v>
      </c>
    </row>
    <row r="88" spans="1:7" x14ac:dyDescent="0.25">
      <c r="A88" s="115">
        <v>79</v>
      </c>
      <c r="B88" s="115">
        <v>79</v>
      </c>
      <c r="C88" s="82">
        <f t="shared" si="5"/>
        <v>21.892500219485843</v>
      </c>
      <c r="D88" s="82">
        <f t="shared" si="6"/>
        <v>36.901431955276934</v>
      </c>
      <c r="E88" s="82">
        <f t="shared" si="7"/>
        <v>50.080514796447268</v>
      </c>
      <c r="F88" s="82">
        <f t="shared" si="8"/>
        <v>73.802863910553867</v>
      </c>
      <c r="G88" s="82">
        <f t="shared" si="9"/>
        <v>100.16102959289454</v>
      </c>
    </row>
    <row r="89" spans="1:7" x14ac:dyDescent="0.25">
      <c r="A89" s="115">
        <v>80</v>
      </c>
      <c r="B89" s="115">
        <v>80</v>
      </c>
      <c r="C89" s="82">
        <f t="shared" si="5"/>
        <v>22.137184128661332</v>
      </c>
      <c r="D89" s="82">
        <f t="shared" si="6"/>
        <v>37.356675095057874</v>
      </c>
      <c r="E89" s="82">
        <f t="shared" si="7"/>
        <v>50.698344771864257</v>
      </c>
      <c r="F89" s="82">
        <f t="shared" si="8"/>
        <v>74.713350190115747</v>
      </c>
      <c r="G89" s="82">
        <f t="shared" si="9"/>
        <v>101.39668954372851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228"/>
  <sheetViews>
    <sheetView workbookViewId="0">
      <selection activeCell="AA1" sqref="AA1:AA1048576"/>
    </sheetView>
  </sheetViews>
  <sheetFormatPr baseColWidth="10" defaultRowHeight="15" x14ac:dyDescent="0.25"/>
  <cols>
    <col min="7" max="7" width="32.7109375" customWidth="1"/>
  </cols>
  <sheetData>
    <row r="1" spans="1:27" x14ac:dyDescent="0.25">
      <c r="A1" s="136" t="s">
        <v>1362</v>
      </c>
      <c r="B1" s="258" t="s">
        <v>1363</v>
      </c>
      <c r="C1" s="258" t="s">
        <v>1364</v>
      </c>
      <c r="D1" s="258" t="s">
        <v>1365</v>
      </c>
      <c r="E1" s="259" t="s">
        <v>1366</v>
      </c>
      <c r="F1" s="259" t="s">
        <v>1367</v>
      </c>
      <c r="G1" s="259" t="s">
        <v>1368</v>
      </c>
      <c r="H1" s="259" t="s">
        <v>1369</v>
      </c>
      <c r="I1" s="259" t="s">
        <v>1370</v>
      </c>
      <c r="J1" s="259" t="s">
        <v>1371</v>
      </c>
      <c r="K1" s="259" t="s">
        <v>1372</v>
      </c>
      <c r="L1" s="259" t="s">
        <v>1373</v>
      </c>
      <c r="M1" s="259" t="s">
        <v>1374</v>
      </c>
      <c r="N1" s="259" t="s">
        <v>1375</v>
      </c>
      <c r="O1" s="260" t="s">
        <v>1376</v>
      </c>
      <c r="P1" s="258" t="s">
        <v>1377</v>
      </c>
      <c r="Q1" s="258" t="s">
        <v>1378</v>
      </c>
      <c r="R1" s="258" t="s">
        <v>1379</v>
      </c>
      <c r="S1" s="259" t="s">
        <v>1380</v>
      </c>
      <c r="T1" s="258" t="s">
        <v>1381</v>
      </c>
      <c r="U1" s="258" t="s">
        <v>1382</v>
      </c>
      <c r="V1" s="258" t="s">
        <v>1383</v>
      </c>
      <c r="W1" s="258" t="s">
        <v>1384</v>
      </c>
      <c r="X1" s="258" t="s">
        <v>1385</v>
      </c>
      <c r="Y1" s="258" t="s">
        <v>1386</v>
      </c>
      <c r="Z1" s="259" t="s">
        <v>1387</v>
      </c>
      <c r="AA1" s="259" t="s">
        <v>1388</v>
      </c>
    </row>
    <row r="2" spans="1:27" x14ac:dyDescent="0.25">
      <c r="A2" s="136">
        <v>1</v>
      </c>
      <c r="B2" s="171" t="s">
        <v>711</v>
      </c>
      <c r="C2" s="171" t="s">
        <v>712</v>
      </c>
      <c r="D2" s="171" t="s">
        <v>435</v>
      </c>
      <c r="E2" s="172">
        <v>159</v>
      </c>
      <c r="F2" s="172">
        <v>568</v>
      </c>
      <c r="G2" s="172" t="s">
        <v>131</v>
      </c>
      <c r="H2" s="172">
        <v>116216</v>
      </c>
      <c r="I2" s="172" t="s">
        <v>713</v>
      </c>
      <c r="J2" s="172">
        <v>4797</v>
      </c>
      <c r="K2" s="173">
        <v>64</v>
      </c>
      <c r="L2" s="173" t="s">
        <v>8</v>
      </c>
      <c r="M2" s="173" t="s">
        <v>714</v>
      </c>
      <c r="N2" s="172">
        <v>428</v>
      </c>
      <c r="O2" s="174">
        <v>0.44666169372806502</v>
      </c>
      <c r="P2" s="172">
        <v>0.235014406668826</v>
      </c>
      <c r="Q2" s="172">
        <v>1.7559231923802499</v>
      </c>
      <c r="R2" s="172">
        <v>3.8935302974583289E-3</v>
      </c>
      <c r="S2" s="175">
        <v>15144</v>
      </c>
      <c r="T2" s="175">
        <v>0.7107437030491297</v>
      </c>
      <c r="U2" s="175">
        <v>0.18144349997639</v>
      </c>
      <c r="V2" s="175">
        <v>-3.0694272452292801</v>
      </c>
      <c r="W2" s="175">
        <v>0.100534597565308</v>
      </c>
      <c r="X2" s="172">
        <v>2.9490980000000002</v>
      </c>
      <c r="Y2" s="172">
        <v>4.0176899999999988E-2</v>
      </c>
      <c r="Z2" s="176">
        <v>0.45333333333333337</v>
      </c>
      <c r="AA2" s="176">
        <v>0.43</v>
      </c>
    </row>
    <row r="3" spans="1:27" x14ac:dyDescent="0.25">
      <c r="A3" s="136">
        <v>2</v>
      </c>
      <c r="B3" s="177" t="s">
        <v>711</v>
      </c>
      <c r="C3" s="177" t="s">
        <v>712</v>
      </c>
      <c r="D3" s="177"/>
      <c r="E3" s="172">
        <v>163</v>
      </c>
      <c r="F3" s="172">
        <v>516</v>
      </c>
      <c r="G3" s="172" t="s">
        <v>715</v>
      </c>
      <c r="H3" s="172">
        <v>93570</v>
      </c>
      <c r="I3" s="172" t="s">
        <v>716</v>
      </c>
      <c r="J3" s="172">
        <v>4798</v>
      </c>
      <c r="K3" s="173" t="s">
        <v>717</v>
      </c>
      <c r="L3" s="173" t="s">
        <v>718</v>
      </c>
      <c r="M3" s="173" t="s">
        <v>719</v>
      </c>
      <c r="N3" s="178"/>
      <c r="O3" s="179">
        <v>0.49608570000000002</v>
      </c>
      <c r="P3" s="178">
        <v>0.35638887800000002</v>
      </c>
      <c r="Q3" s="178">
        <v>1.7559231923802501</v>
      </c>
      <c r="R3" s="178">
        <v>1.73453652052958E-3</v>
      </c>
      <c r="S3" s="146"/>
      <c r="T3" s="146">
        <v>0.83890902321327565</v>
      </c>
      <c r="U3" s="146">
        <v>0.15456500000000001</v>
      </c>
      <c r="V3" s="146">
        <v>-3.624676</v>
      </c>
      <c r="W3" s="146">
        <v>7.7122999999999997E-2</v>
      </c>
      <c r="X3" s="144">
        <v>2.9490980000000002</v>
      </c>
      <c r="Y3" s="178">
        <v>4.0176899999999988E-2</v>
      </c>
      <c r="Z3" s="176">
        <v>0.43111111111111117</v>
      </c>
      <c r="AA3" s="176">
        <v>0.38999999999999996</v>
      </c>
    </row>
    <row r="4" spans="1:27" x14ac:dyDescent="0.25">
      <c r="A4" s="136">
        <v>3</v>
      </c>
      <c r="B4" s="177" t="s">
        <v>711</v>
      </c>
      <c r="C4" s="177" t="s">
        <v>712</v>
      </c>
      <c r="D4" s="177"/>
      <c r="E4" s="172">
        <v>165</v>
      </c>
      <c r="F4" s="172">
        <v>514</v>
      </c>
      <c r="G4" s="172" t="s">
        <v>720</v>
      </c>
      <c r="H4" s="172">
        <v>125811</v>
      </c>
      <c r="I4" s="172" t="s">
        <v>721</v>
      </c>
      <c r="J4" s="172">
        <v>4825</v>
      </c>
      <c r="K4" s="173" t="s">
        <v>722</v>
      </c>
      <c r="L4" s="173" t="s">
        <v>723</v>
      </c>
      <c r="M4" s="173" t="s">
        <v>724</v>
      </c>
      <c r="N4" s="178"/>
      <c r="O4" s="179">
        <v>0.49608570000000002</v>
      </c>
      <c r="P4" s="178">
        <v>0.35638887800000002</v>
      </c>
      <c r="Q4" s="178">
        <v>1.7559231923802501</v>
      </c>
      <c r="R4" s="178">
        <v>1.73453652052958E-3</v>
      </c>
      <c r="S4" s="146"/>
      <c r="T4" s="146">
        <v>0.83890902321327565</v>
      </c>
      <c r="U4" s="146">
        <v>0.15456500000000001</v>
      </c>
      <c r="V4" s="146">
        <v>-3.624676</v>
      </c>
      <c r="W4" s="146">
        <v>7.7122999999999997E-2</v>
      </c>
      <c r="X4" s="144">
        <v>2.9490980000000002</v>
      </c>
      <c r="Y4" s="178">
        <v>4.0176899999999988E-2</v>
      </c>
      <c r="Z4" s="176">
        <v>0.43111111111111117</v>
      </c>
      <c r="AA4" s="176">
        <v>0.38999999999999996</v>
      </c>
    </row>
    <row r="5" spans="1:27" x14ac:dyDescent="0.25">
      <c r="A5" s="136">
        <v>4</v>
      </c>
      <c r="B5" s="177" t="s">
        <v>711</v>
      </c>
      <c r="C5" s="177" t="s">
        <v>712</v>
      </c>
      <c r="D5" s="177"/>
      <c r="E5" s="172">
        <v>166</v>
      </c>
      <c r="F5" s="172">
        <v>157</v>
      </c>
      <c r="G5" s="172" t="s">
        <v>725</v>
      </c>
      <c r="H5" s="172"/>
      <c r="I5" s="172"/>
      <c r="J5" s="172">
        <v>4900</v>
      </c>
      <c r="K5" s="173" t="s">
        <v>726</v>
      </c>
      <c r="L5" s="173"/>
      <c r="M5" s="173"/>
      <c r="N5" s="178"/>
      <c r="O5" s="179">
        <v>0.49608570000000002</v>
      </c>
      <c r="P5" s="178">
        <v>0.35638887800000002</v>
      </c>
      <c r="Q5" s="178">
        <v>1.7559231923802501</v>
      </c>
      <c r="R5" s="178">
        <v>1.73453652052958E-3</v>
      </c>
      <c r="S5" s="146"/>
      <c r="T5" s="146">
        <v>0.83890902321327565</v>
      </c>
      <c r="U5" s="146">
        <v>0.15456500000000001</v>
      </c>
      <c r="V5" s="146">
        <v>-3.624676</v>
      </c>
      <c r="W5" s="146">
        <v>7.7122999999999997E-2</v>
      </c>
      <c r="X5" s="144">
        <v>2.9490980000000002</v>
      </c>
      <c r="Y5" s="178">
        <v>4.0176899999999988E-2</v>
      </c>
      <c r="Z5" s="176">
        <v>0.43111111111111117</v>
      </c>
      <c r="AA5" s="176">
        <v>0.38999999999999996</v>
      </c>
    </row>
    <row r="6" spans="1:27" x14ac:dyDescent="0.25">
      <c r="A6" s="136">
        <v>5</v>
      </c>
      <c r="B6" s="180" t="s">
        <v>711</v>
      </c>
      <c r="C6" s="180" t="s">
        <v>712</v>
      </c>
      <c r="D6" s="180" t="s">
        <v>435</v>
      </c>
      <c r="E6" s="172">
        <v>168</v>
      </c>
      <c r="F6" s="172">
        <v>503</v>
      </c>
      <c r="G6" s="172" t="s">
        <v>727</v>
      </c>
      <c r="H6" s="172">
        <v>93471</v>
      </c>
      <c r="I6" s="172" t="s">
        <v>728</v>
      </c>
      <c r="J6" s="172">
        <v>4828</v>
      </c>
      <c r="K6" s="173" t="s">
        <v>729</v>
      </c>
      <c r="L6" s="173" t="s">
        <v>730</v>
      </c>
      <c r="M6" s="173" t="s">
        <v>731</v>
      </c>
      <c r="N6" s="178"/>
      <c r="O6" s="179">
        <v>0.49608570000000002</v>
      </c>
      <c r="P6" s="178">
        <v>0.35638887800000002</v>
      </c>
      <c r="Q6" s="178">
        <v>1.7559231923802501</v>
      </c>
      <c r="R6" s="178">
        <v>1.73453652052958E-3</v>
      </c>
      <c r="S6" s="146"/>
      <c r="T6" s="146">
        <v>0.83890902321327565</v>
      </c>
      <c r="U6" s="146">
        <v>0.15456500000000001</v>
      </c>
      <c r="V6" s="146">
        <v>-3.624676</v>
      </c>
      <c r="W6" s="146">
        <v>7.7122999999999997E-2</v>
      </c>
      <c r="X6" s="144">
        <v>2.9490980000000002</v>
      </c>
      <c r="Y6" s="178">
        <v>4.0176899999999988E-2</v>
      </c>
      <c r="Z6" s="176">
        <v>0.46</v>
      </c>
      <c r="AA6" s="176">
        <v>0.36</v>
      </c>
    </row>
    <row r="7" spans="1:27" x14ac:dyDescent="0.25">
      <c r="A7" s="136">
        <v>6</v>
      </c>
      <c r="B7" s="177" t="s">
        <v>711</v>
      </c>
      <c r="C7" s="177" t="s">
        <v>712</v>
      </c>
      <c r="D7" s="177"/>
      <c r="E7" s="172">
        <v>169</v>
      </c>
      <c r="F7" s="172">
        <v>517</v>
      </c>
      <c r="G7" s="172" t="s">
        <v>732</v>
      </c>
      <c r="H7" s="172">
        <v>90411</v>
      </c>
      <c r="I7" s="172" t="s">
        <v>733</v>
      </c>
      <c r="J7" s="172">
        <v>4806</v>
      </c>
      <c r="K7" s="173" t="s">
        <v>734</v>
      </c>
      <c r="L7" s="173" t="s">
        <v>735</v>
      </c>
      <c r="M7" s="173" t="s">
        <v>736</v>
      </c>
      <c r="N7" s="178"/>
      <c r="O7" s="179">
        <v>0.49608570000000002</v>
      </c>
      <c r="P7" s="178">
        <v>0.35638887800000002</v>
      </c>
      <c r="Q7" s="178">
        <v>1.7559231923802501</v>
      </c>
      <c r="R7" s="178">
        <v>1.73453652052958E-3</v>
      </c>
      <c r="S7" s="146"/>
      <c r="T7" s="146">
        <v>0.83890902321327565</v>
      </c>
      <c r="U7" s="146">
        <v>0.15456500000000001</v>
      </c>
      <c r="V7" s="146">
        <v>-3.624676</v>
      </c>
      <c r="W7" s="146">
        <v>7.7122999999999997E-2</v>
      </c>
      <c r="X7" s="144">
        <v>2.9490980000000002</v>
      </c>
      <c r="Y7" s="178">
        <v>4.0176899999999988E-2</v>
      </c>
      <c r="Z7" s="176">
        <v>0.43111111111111117</v>
      </c>
      <c r="AA7" s="176">
        <v>0.38999999999999996</v>
      </c>
    </row>
    <row r="8" spans="1:27" x14ac:dyDescent="0.25">
      <c r="A8" s="136">
        <v>7</v>
      </c>
      <c r="B8" s="177" t="s">
        <v>711</v>
      </c>
      <c r="C8" s="177" t="s">
        <v>712</v>
      </c>
      <c r="D8" s="177"/>
      <c r="E8" s="172">
        <v>170</v>
      </c>
      <c r="F8" s="172">
        <v>515</v>
      </c>
      <c r="G8" s="172" t="s">
        <v>737</v>
      </c>
      <c r="H8" s="172">
        <v>93585</v>
      </c>
      <c r="I8" s="172" t="s">
        <v>738</v>
      </c>
      <c r="J8" s="172">
        <v>4787</v>
      </c>
      <c r="K8" s="173" t="s">
        <v>739</v>
      </c>
      <c r="L8" s="173" t="s">
        <v>740</v>
      </c>
      <c r="M8" s="173" t="s">
        <v>741</v>
      </c>
      <c r="N8" s="178"/>
      <c r="O8" s="179">
        <v>0.49608570000000002</v>
      </c>
      <c r="P8" s="178">
        <v>0.35638887800000002</v>
      </c>
      <c r="Q8" s="178">
        <v>1.7559231923802501</v>
      </c>
      <c r="R8" s="178">
        <v>1.73453652052958E-3</v>
      </c>
      <c r="S8" s="146"/>
      <c r="T8" s="146">
        <v>0.83890902321327565</v>
      </c>
      <c r="U8" s="146">
        <v>0.15456500000000001</v>
      </c>
      <c r="V8" s="146">
        <v>-3.624676</v>
      </c>
      <c r="W8" s="146">
        <v>7.7122999999999997E-2</v>
      </c>
      <c r="X8" s="144">
        <v>2.9490980000000002</v>
      </c>
      <c r="Y8" s="178">
        <v>4.0176899999999988E-2</v>
      </c>
      <c r="Z8" s="176">
        <v>0.43111111111111117</v>
      </c>
      <c r="AA8" s="176">
        <v>0.38999999999999996</v>
      </c>
    </row>
    <row r="9" spans="1:27" x14ac:dyDescent="0.25">
      <c r="A9" s="136">
        <v>8</v>
      </c>
      <c r="B9" s="177" t="s">
        <v>711</v>
      </c>
      <c r="C9" s="177" t="s">
        <v>712</v>
      </c>
      <c r="D9" s="177"/>
      <c r="E9" s="172">
        <v>175</v>
      </c>
      <c r="F9" s="172">
        <v>1832</v>
      </c>
      <c r="G9" s="172" t="s">
        <v>742</v>
      </c>
      <c r="H9" s="172">
        <v>122788</v>
      </c>
      <c r="I9" s="172" t="s">
        <v>743</v>
      </c>
      <c r="J9" s="172">
        <v>4824</v>
      </c>
      <c r="K9" s="173" t="s">
        <v>744</v>
      </c>
      <c r="L9" s="173" t="s">
        <v>745</v>
      </c>
      <c r="M9" s="173" t="s">
        <v>746</v>
      </c>
      <c r="N9" s="178"/>
      <c r="O9" s="179">
        <v>0.49608570000000002</v>
      </c>
      <c r="P9" s="178">
        <v>0.35638887800000002</v>
      </c>
      <c r="Q9" s="178">
        <v>1.7559231923802501</v>
      </c>
      <c r="R9" s="178">
        <v>1.73453652052958E-3</v>
      </c>
      <c r="S9" s="146"/>
      <c r="T9" s="146">
        <v>0.83890902321327565</v>
      </c>
      <c r="U9" s="146">
        <v>0.15456500000000001</v>
      </c>
      <c r="V9" s="146">
        <v>-3.624676</v>
      </c>
      <c r="W9" s="146">
        <v>7.7122999999999997E-2</v>
      </c>
      <c r="X9" s="144">
        <v>2.9490980000000002</v>
      </c>
      <c r="Y9" s="178">
        <v>4.0176899999999988E-2</v>
      </c>
      <c r="Z9" s="176">
        <v>0.43111111111111117</v>
      </c>
      <c r="AA9" s="176">
        <v>0.38999999999999996</v>
      </c>
    </row>
    <row r="10" spans="1:27" x14ac:dyDescent="0.25">
      <c r="A10" s="136">
        <v>9</v>
      </c>
      <c r="B10" s="180" t="s">
        <v>711</v>
      </c>
      <c r="C10" s="180" t="s">
        <v>712</v>
      </c>
      <c r="D10" s="180" t="s">
        <v>435</v>
      </c>
      <c r="E10" s="172">
        <v>177</v>
      </c>
      <c r="F10" s="172">
        <v>1834</v>
      </c>
      <c r="G10" s="172" t="s">
        <v>747</v>
      </c>
      <c r="H10" s="172">
        <v>122785</v>
      </c>
      <c r="I10" s="172" t="s">
        <v>748</v>
      </c>
      <c r="J10" s="172">
        <v>4823</v>
      </c>
      <c r="K10" s="173" t="s">
        <v>749</v>
      </c>
      <c r="L10" s="173" t="s">
        <v>750</v>
      </c>
      <c r="M10" s="173" t="s">
        <v>751</v>
      </c>
      <c r="N10" s="178"/>
      <c r="O10" s="179">
        <v>0.49608570000000002</v>
      </c>
      <c r="P10" s="178">
        <v>0.35638887800000002</v>
      </c>
      <c r="Q10" s="178">
        <v>1.7559231923802501</v>
      </c>
      <c r="R10" s="178">
        <v>1.73453652052958E-3</v>
      </c>
      <c r="S10" s="146"/>
      <c r="T10" s="146">
        <v>0.83890902321327565</v>
      </c>
      <c r="U10" s="146">
        <v>0.15456500000000001</v>
      </c>
      <c r="V10" s="146">
        <v>-3.624676</v>
      </c>
      <c r="W10" s="146">
        <v>7.7122999999999997E-2</v>
      </c>
      <c r="X10" s="144">
        <v>2.9490980000000002</v>
      </c>
      <c r="Y10" s="178">
        <v>4.0176899999999988E-2</v>
      </c>
      <c r="Z10" s="176">
        <v>0.38</v>
      </c>
      <c r="AA10" s="176">
        <v>0.38</v>
      </c>
    </row>
    <row r="11" spans="1:27" x14ac:dyDescent="0.25">
      <c r="A11" s="136">
        <v>10</v>
      </c>
      <c r="B11" s="181" t="s">
        <v>711</v>
      </c>
      <c r="C11" s="181" t="s">
        <v>712</v>
      </c>
      <c r="D11" s="181" t="s">
        <v>611</v>
      </c>
      <c r="E11" s="172"/>
      <c r="F11" s="172"/>
      <c r="G11" s="172" t="s">
        <v>752</v>
      </c>
      <c r="H11" s="172"/>
      <c r="I11" s="172" t="s">
        <v>753</v>
      </c>
      <c r="J11" s="172"/>
      <c r="K11" s="173"/>
      <c r="L11" s="173"/>
      <c r="M11" s="173"/>
      <c r="N11" s="178"/>
      <c r="O11" s="179">
        <v>0.49608570000000002</v>
      </c>
      <c r="P11" s="178">
        <v>0.35638887800000002</v>
      </c>
      <c r="Q11" s="178">
        <v>1.7559231923802501</v>
      </c>
      <c r="R11" s="178">
        <v>1.73453652052958E-3</v>
      </c>
      <c r="S11" s="146"/>
      <c r="T11" s="146">
        <v>0.83890902321327565</v>
      </c>
      <c r="U11" s="146">
        <v>0.15456500000000001</v>
      </c>
      <c r="V11" s="146">
        <v>-3.624676</v>
      </c>
      <c r="W11" s="146">
        <v>7.7122999999999997E-2</v>
      </c>
      <c r="X11" s="144">
        <v>2.9490980000000002</v>
      </c>
      <c r="Y11" s="178">
        <v>4.0176899999999988E-2</v>
      </c>
      <c r="Z11" s="176">
        <v>0.43111111111111117</v>
      </c>
      <c r="AA11" s="176">
        <v>0.38999999999999996</v>
      </c>
    </row>
    <row r="12" spans="1:27" x14ac:dyDescent="0.25">
      <c r="A12" s="136">
        <v>11</v>
      </c>
      <c r="B12" s="182" t="s">
        <v>711</v>
      </c>
      <c r="C12" s="182" t="s">
        <v>754</v>
      </c>
      <c r="D12" s="182" t="s">
        <v>435</v>
      </c>
      <c r="E12" s="183">
        <v>161</v>
      </c>
      <c r="F12" s="183">
        <v>518</v>
      </c>
      <c r="G12" s="183" t="s">
        <v>755</v>
      </c>
      <c r="H12" s="183">
        <v>93590</v>
      </c>
      <c r="I12" s="183" t="s">
        <v>756</v>
      </c>
      <c r="J12" s="183">
        <v>1317</v>
      </c>
      <c r="K12" s="184">
        <v>66</v>
      </c>
      <c r="L12" s="184" t="s">
        <v>757</v>
      </c>
      <c r="M12" s="184" t="s">
        <v>758</v>
      </c>
      <c r="N12" s="178"/>
      <c r="O12" s="179">
        <v>0.49608570000000002</v>
      </c>
      <c r="P12" s="178">
        <v>0.35638887800000002</v>
      </c>
      <c r="Q12" s="178">
        <v>1.7559231923802501</v>
      </c>
      <c r="R12" s="178">
        <v>1.73453652052958E-3</v>
      </c>
      <c r="S12" s="144"/>
      <c r="T12" s="146">
        <v>0.83890902321327565</v>
      </c>
      <c r="U12" s="146">
        <v>7.1251034341434108E-2</v>
      </c>
      <c r="V12" s="146">
        <v>-3.624676</v>
      </c>
      <c r="W12" s="146">
        <v>4.6598784483310299E-2</v>
      </c>
      <c r="X12" s="144">
        <v>2.9490980000000002</v>
      </c>
      <c r="Y12" s="178">
        <v>4.0176899999999988E-2</v>
      </c>
      <c r="Z12" s="185">
        <v>0.38</v>
      </c>
      <c r="AA12" s="185">
        <v>0.37</v>
      </c>
    </row>
    <row r="13" spans="1:27" x14ac:dyDescent="0.25">
      <c r="A13" s="136">
        <v>12</v>
      </c>
      <c r="B13" s="186" t="s">
        <v>711</v>
      </c>
      <c r="C13" s="186" t="s">
        <v>754</v>
      </c>
      <c r="D13" s="186"/>
      <c r="E13" s="183">
        <v>182</v>
      </c>
      <c r="F13" s="183">
        <v>794</v>
      </c>
      <c r="G13" s="183" t="s">
        <v>759</v>
      </c>
      <c r="H13" s="183">
        <v>104419</v>
      </c>
      <c r="I13" s="183" t="s">
        <v>760</v>
      </c>
      <c r="J13" s="183">
        <v>2316</v>
      </c>
      <c r="K13" s="184">
        <v>69</v>
      </c>
      <c r="L13" s="184" t="s">
        <v>761</v>
      </c>
      <c r="M13" s="184" t="s">
        <v>762</v>
      </c>
      <c r="N13" s="178"/>
      <c r="O13" s="179">
        <v>0.49608570000000002</v>
      </c>
      <c r="P13" s="178">
        <v>0.35638887800000002</v>
      </c>
      <c r="Q13" s="178">
        <v>1.7559231923802501</v>
      </c>
      <c r="R13" s="178">
        <v>1.73453652052958E-3</v>
      </c>
      <c r="S13" s="144"/>
      <c r="T13" s="146">
        <v>0.83890902321327565</v>
      </c>
      <c r="U13" s="146">
        <v>7.1251034341434108E-2</v>
      </c>
      <c r="V13" s="146">
        <v>-3.624676</v>
      </c>
      <c r="W13" s="146">
        <v>4.6598784483310299E-2</v>
      </c>
      <c r="X13" s="144">
        <v>2.9490980000000002</v>
      </c>
      <c r="Y13" s="178">
        <v>4.0176899999999988E-2</v>
      </c>
      <c r="Z13" s="148">
        <v>0.38</v>
      </c>
      <c r="AA13" s="148">
        <v>0.41000000000000003</v>
      </c>
    </row>
    <row r="14" spans="1:27" x14ac:dyDescent="0.25">
      <c r="A14" s="136">
        <v>13</v>
      </c>
      <c r="B14" s="186" t="s">
        <v>711</v>
      </c>
      <c r="C14" s="186" t="s">
        <v>754</v>
      </c>
      <c r="D14" s="186"/>
      <c r="E14" s="183">
        <v>183</v>
      </c>
      <c r="F14" s="183">
        <v>788</v>
      </c>
      <c r="G14" s="183" t="s">
        <v>763</v>
      </c>
      <c r="H14" s="183">
        <v>136969</v>
      </c>
      <c r="I14" s="183" t="s">
        <v>764</v>
      </c>
      <c r="J14" s="183">
        <v>2312</v>
      </c>
      <c r="K14" s="184" t="s">
        <v>765</v>
      </c>
      <c r="L14" s="184" t="s">
        <v>766</v>
      </c>
      <c r="M14" s="184" t="s">
        <v>767</v>
      </c>
      <c r="N14" s="178"/>
      <c r="O14" s="179">
        <v>0.49608570000000002</v>
      </c>
      <c r="P14" s="178">
        <v>0.35638887800000002</v>
      </c>
      <c r="Q14" s="178">
        <v>1.7559231923802501</v>
      </c>
      <c r="R14" s="178">
        <v>1.73453652052958E-3</v>
      </c>
      <c r="S14" s="144"/>
      <c r="T14" s="146">
        <v>0.83890902321327565</v>
      </c>
      <c r="U14" s="146">
        <v>7.1251034341434108E-2</v>
      </c>
      <c r="V14" s="146">
        <v>-3.624676</v>
      </c>
      <c r="W14" s="146">
        <v>4.6598784483310299E-2</v>
      </c>
      <c r="X14" s="144">
        <v>2.9490980000000002</v>
      </c>
      <c r="Y14" s="178">
        <v>4.0176899999999988E-2</v>
      </c>
      <c r="Z14" s="148">
        <v>0.38</v>
      </c>
      <c r="AA14" s="148">
        <v>0.41000000000000003</v>
      </c>
    </row>
    <row r="15" spans="1:27" x14ac:dyDescent="0.25">
      <c r="A15" s="136">
        <v>14</v>
      </c>
      <c r="B15" s="186" t="s">
        <v>711</v>
      </c>
      <c r="C15" s="186" t="s">
        <v>754</v>
      </c>
      <c r="D15" s="186"/>
      <c r="E15" s="183">
        <v>184</v>
      </c>
      <c r="F15" s="183">
        <v>792</v>
      </c>
      <c r="G15" s="183" t="s">
        <v>768</v>
      </c>
      <c r="H15" s="183">
        <v>104409</v>
      </c>
      <c r="I15" s="183" t="s">
        <v>769</v>
      </c>
      <c r="J15" s="183">
        <v>2313</v>
      </c>
      <c r="K15" s="184" t="s">
        <v>770</v>
      </c>
      <c r="L15" s="184" t="s">
        <v>771</v>
      </c>
      <c r="M15" s="184" t="s">
        <v>772</v>
      </c>
      <c r="N15" s="178"/>
      <c r="O15" s="179">
        <v>0.49608570000000002</v>
      </c>
      <c r="P15" s="178">
        <v>0.35638887800000002</v>
      </c>
      <c r="Q15" s="178">
        <v>1.7559231923802501</v>
      </c>
      <c r="R15" s="178">
        <v>1.73453652052958E-3</v>
      </c>
      <c r="S15" s="144"/>
      <c r="T15" s="146">
        <v>0.83890902321327565</v>
      </c>
      <c r="U15" s="146">
        <v>7.1251034341434108E-2</v>
      </c>
      <c r="V15" s="146">
        <v>-3.624676</v>
      </c>
      <c r="W15" s="146">
        <v>4.6598784483310299E-2</v>
      </c>
      <c r="X15" s="144">
        <v>2.9490980000000002</v>
      </c>
      <c r="Y15" s="178">
        <v>4.0176899999999988E-2</v>
      </c>
      <c r="Z15" s="148">
        <v>0.38</v>
      </c>
      <c r="AA15" s="148">
        <v>0.41000000000000003</v>
      </c>
    </row>
    <row r="16" spans="1:27" x14ac:dyDescent="0.25">
      <c r="A16" s="136">
        <v>15</v>
      </c>
      <c r="B16" s="187" t="s">
        <v>711</v>
      </c>
      <c r="C16" s="187" t="s">
        <v>754</v>
      </c>
      <c r="D16" s="187" t="s">
        <v>611</v>
      </c>
      <c r="E16" s="183"/>
      <c r="F16" s="183"/>
      <c r="G16" s="183" t="s">
        <v>773</v>
      </c>
      <c r="H16" s="183"/>
      <c r="I16" s="183" t="s">
        <v>774</v>
      </c>
      <c r="J16" s="183"/>
      <c r="K16" s="184"/>
      <c r="L16" s="184"/>
      <c r="M16" s="184"/>
      <c r="N16" s="178"/>
      <c r="O16" s="179">
        <v>0.49608570000000002</v>
      </c>
      <c r="P16" s="178">
        <v>0.35638887800000002</v>
      </c>
      <c r="Q16" s="178">
        <v>1.7559231923802501</v>
      </c>
      <c r="R16" s="178">
        <v>1.73453652052958E-3</v>
      </c>
      <c r="S16" s="144"/>
      <c r="T16" s="146">
        <v>0.83890902321327565</v>
      </c>
      <c r="U16" s="146">
        <v>7.1251034341434108E-2</v>
      </c>
      <c r="V16" s="146">
        <v>-3.624676</v>
      </c>
      <c r="W16" s="146">
        <v>4.6598784483310299E-2</v>
      </c>
      <c r="X16" s="144">
        <v>2.9490980000000002</v>
      </c>
      <c r="Y16" s="178">
        <v>4.0176899999999988E-2</v>
      </c>
      <c r="Z16" s="148">
        <v>0.38</v>
      </c>
      <c r="AA16" s="148">
        <v>0.41000000000000003</v>
      </c>
    </row>
    <row r="17" spans="1:27" x14ac:dyDescent="0.25">
      <c r="A17" s="136">
        <v>16</v>
      </c>
      <c r="B17" s="188" t="s">
        <v>711</v>
      </c>
      <c r="C17" s="188" t="s">
        <v>754</v>
      </c>
      <c r="D17" s="188" t="s">
        <v>435</v>
      </c>
      <c r="E17" s="183"/>
      <c r="F17" s="183"/>
      <c r="G17" s="189" t="s">
        <v>775</v>
      </c>
      <c r="H17" s="183">
        <v>130222</v>
      </c>
      <c r="I17" s="189" t="s">
        <v>776</v>
      </c>
      <c r="J17" s="183"/>
      <c r="K17" s="184"/>
      <c r="L17" s="184" t="s">
        <v>777</v>
      </c>
      <c r="M17" s="184" t="s">
        <v>778</v>
      </c>
      <c r="N17" s="178"/>
      <c r="O17" s="179">
        <v>0.49608570000000002</v>
      </c>
      <c r="P17" s="178">
        <v>0.35638887800000002</v>
      </c>
      <c r="Q17" s="190">
        <v>1.7559231923802501</v>
      </c>
      <c r="R17" s="178">
        <v>1.73453652052958E-3</v>
      </c>
      <c r="S17" s="146"/>
      <c r="T17" s="146">
        <v>0.83890902321327565</v>
      </c>
      <c r="U17" s="146">
        <v>7.1251034341434108E-2</v>
      </c>
      <c r="V17" s="146">
        <v>-3.624676</v>
      </c>
      <c r="W17" s="146">
        <v>4.6598784483310299E-2</v>
      </c>
      <c r="X17" s="144">
        <v>2.9490980000000002</v>
      </c>
      <c r="Y17" s="178">
        <v>4.0176899999999988E-2</v>
      </c>
      <c r="Z17" s="148">
        <v>0.38</v>
      </c>
      <c r="AA17" s="191">
        <v>0.45</v>
      </c>
    </row>
    <row r="18" spans="1:27" x14ac:dyDescent="0.25">
      <c r="A18" s="136">
        <v>17</v>
      </c>
      <c r="B18" s="187" t="s">
        <v>711</v>
      </c>
      <c r="C18" s="187" t="s">
        <v>754</v>
      </c>
      <c r="D18" s="187" t="s">
        <v>615</v>
      </c>
      <c r="E18" s="183"/>
      <c r="F18" s="183"/>
      <c r="G18" s="183" t="s">
        <v>779</v>
      </c>
      <c r="H18" s="183">
        <v>191364</v>
      </c>
      <c r="I18" s="183" t="s">
        <v>780</v>
      </c>
      <c r="J18" s="183"/>
      <c r="K18" s="184"/>
      <c r="L18" s="184"/>
      <c r="M18" s="184"/>
      <c r="N18" s="178"/>
      <c r="O18" s="179">
        <v>0.49608570000000002</v>
      </c>
      <c r="P18" s="178">
        <v>0.35638887800000002</v>
      </c>
      <c r="Q18" s="178">
        <v>1.7559231923802501</v>
      </c>
      <c r="R18" s="178">
        <v>1.73453652052958E-3</v>
      </c>
      <c r="S18" s="192">
        <v>52</v>
      </c>
      <c r="T18" s="192">
        <v>0.84723007496408576</v>
      </c>
      <c r="U18" s="192">
        <v>7.5178756440452091E-2</v>
      </c>
      <c r="V18" s="192">
        <v>-3.8118780274880599</v>
      </c>
      <c r="W18" s="192">
        <v>4.8180529975253503E-2</v>
      </c>
      <c r="X18" s="144">
        <v>2.9490980000000002</v>
      </c>
      <c r="Y18" s="178">
        <v>4.0176899999999988E-2</v>
      </c>
      <c r="Z18" s="148">
        <v>0.38</v>
      </c>
      <c r="AA18" s="148">
        <v>0.41000000000000003</v>
      </c>
    </row>
    <row r="19" spans="1:27" x14ac:dyDescent="0.25">
      <c r="A19" s="136">
        <v>18</v>
      </c>
      <c r="B19" s="187" t="s">
        <v>711</v>
      </c>
      <c r="C19" s="187" t="s">
        <v>754</v>
      </c>
      <c r="D19" s="187"/>
      <c r="E19" s="183"/>
      <c r="F19" s="183"/>
      <c r="G19" s="183" t="s">
        <v>781</v>
      </c>
      <c r="H19" s="183"/>
      <c r="I19" s="183" t="s">
        <v>781</v>
      </c>
      <c r="J19" s="183"/>
      <c r="K19" s="184"/>
      <c r="L19" s="184" t="s">
        <v>782</v>
      </c>
      <c r="M19" s="184"/>
      <c r="N19" s="178"/>
      <c r="O19" s="179">
        <v>0.49608570000000002</v>
      </c>
      <c r="P19" s="178">
        <v>0.35638887800000002</v>
      </c>
      <c r="Q19" s="178">
        <v>1.7559231923802501</v>
      </c>
      <c r="R19" s="178">
        <v>1.73453652052958E-3</v>
      </c>
      <c r="S19" s="192">
        <v>433</v>
      </c>
      <c r="T19" s="192">
        <v>0.73795889296197981</v>
      </c>
      <c r="U19" s="192">
        <v>7.128278247442911E-2</v>
      </c>
      <c r="V19" s="192">
        <v>-2.4646754691699999</v>
      </c>
      <c r="W19" s="192">
        <v>4.4620522713425204E-2</v>
      </c>
      <c r="X19" s="144">
        <v>2.9490980000000002</v>
      </c>
      <c r="Y19" s="178">
        <v>4.0176899999999988E-2</v>
      </c>
      <c r="Z19" s="148">
        <v>0.38</v>
      </c>
      <c r="AA19" s="148">
        <v>0.41000000000000003</v>
      </c>
    </row>
    <row r="20" spans="1:27" x14ac:dyDescent="0.25">
      <c r="A20" s="136">
        <v>19</v>
      </c>
      <c r="B20" s="193" t="s">
        <v>711</v>
      </c>
      <c r="C20" s="193" t="s">
        <v>783</v>
      </c>
      <c r="D20" s="193" t="s">
        <v>435</v>
      </c>
      <c r="E20" s="194">
        <v>156</v>
      </c>
      <c r="F20" s="194">
        <v>1729</v>
      </c>
      <c r="G20" s="194" t="s">
        <v>221</v>
      </c>
      <c r="H20" s="194">
        <v>130692</v>
      </c>
      <c r="I20" s="194" t="s">
        <v>784</v>
      </c>
      <c r="J20" s="194">
        <v>1</v>
      </c>
      <c r="K20" s="195">
        <v>61</v>
      </c>
      <c r="L20" s="195" t="s">
        <v>785</v>
      </c>
      <c r="M20" s="195" t="s">
        <v>786</v>
      </c>
      <c r="N20" s="194">
        <v>1688</v>
      </c>
      <c r="O20" s="196">
        <v>0.52022966444296204</v>
      </c>
      <c r="P20" s="194">
        <v>0.39789782897042197</v>
      </c>
      <c r="Q20" s="194">
        <v>1.7559231923802499</v>
      </c>
      <c r="R20" s="194">
        <v>1.67846493354806E-3</v>
      </c>
      <c r="S20" s="197">
        <v>88610</v>
      </c>
      <c r="T20" s="197">
        <v>0.88412082279526061</v>
      </c>
      <c r="U20" s="197">
        <v>5.6713843228780092E-2</v>
      </c>
      <c r="V20" s="197">
        <v>-4.0307876685203601</v>
      </c>
      <c r="W20" s="197">
        <v>3.2434276212649008E-2</v>
      </c>
      <c r="X20" s="194">
        <v>2.9490980000000002</v>
      </c>
      <c r="Y20" s="194">
        <v>4.0176899999999988E-2</v>
      </c>
      <c r="Z20" s="198">
        <v>0.35300999999999999</v>
      </c>
      <c r="AA20" s="198">
        <v>0.38</v>
      </c>
    </row>
    <row r="21" spans="1:27" x14ac:dyDescent="0.25">
      <c r="A21" s="136">
        <v>20</v>
      </c>
      <c r="B21" s="193" t="s">
        <v>711</v>
      </c>
      <c r="C21" s="193" t="s">
        <v>783</v>
      </c>
      <c r="D21" s="193" t="s">
        <v>435</v>
      </c>
      <c r="E21" s="194">
        <v>157</v>
      </c>
      <c r="F21" s="194">
        <v>602</v>
      </c>
      <c r="G21" s="194" t="s">
        <v>787</v>
      </c>
      <c r="H21" s="194">
        <v>138781</v>
      </c>
      <c r="I21" s="194" t="s">
        <v>788</v>
      </c>
      <c r="J21" s="194">
        <v>3256</v>
      </c>
      <c r="K21" s="195">
        <v>62</v>
      </c>
      <c r="L21" s="195" t="s">
        <v>182</v>
      </c>
      <c r="M21" s="195" t="s">
        <v>789</v>
      </c>
      <c r="N21" s="194">
        <v>404</v>
      </c>
      <c r="O21" s="196">
        <v>0.48602986519277602</v>
      </c>
      <c r="P21" s="194">
        <v>0.30342317438037902</v>
      </c>
      <c r="Q21" s="194">
        <v>1.7559231923802499</v>
      </c>
      <c r="R21" s="194">
        <v>3.8966335250498847E-3</v>
      </c>
      <c r="S21" s="197">
        <v>85188</v>
      </c>
      <c r="T21" s="197">
        <v>0.80828163953619669</v>
      </c>
      <c r="U21" s="197">
        <v>8.9018304116432106E-2</v>
      </c>
      <c r="V21" s="197">
        <v>-3.3962618812620402</v>
      </c>
      <c r="W21" s="197">
        <v>4.7329175919294905E-2</v>
      </c>
      <c r="X21" s="194">
        <v>2.9490980000000002</v>
      </c>
      <c r="Y21" s="194">
        <v>4.0176899999999988E-2</v>
      </c>
      <c r="Z21" s="198">
        <v>0.37023</v>
      </c>
      <c r="AA21" s="198">
        <v>0.37</v>
      </c>
    </row>
    <row r="22" spans="1:27" x14ac:dyDescent="0.25">
      <c r="A22" s="136">
        <v>21</v>
      </c>
      <c r="B22" s="199" t="s">
        <v>711</v>
      </c>
      <c r="C22" s="199" t="s">
        <v>783</v>
      </c>
      <c r="D22" s="200" t="s">
        <v>435</v>
      </c>
      <c r="E22" s="194">
        <v>188</v>
      </c>
      <c r="F22" s="194">
        <v>1723</v>
      </c>
      <c r="G22" s="194" t="s">
        <v>790</v>
      </c>
      <c r="H22" s="194">
        <v>79345</v>
      </c>
      <c r="I22" s="194" t="s">
        <v>791</v>
      </c>
      <c r="J22" s="194">
        <v>4799</v>
      </c>
      <c r="K22" s="195">
        <v>71</v>
      </c>
      <c r="L22" s="195" t="s">
        <v>792</v>
      </c>
      <c r="M22" s="195" t="s">
        <v>793</v>
      </c>
      <c r="N22" s="194">
        <v>47</v>
      </c>
      <c r="O22" s="196">
        <v>0.53250582393337997</v>
      </c>
      <c r="P22" s="194">
        <v>0.37495832544058699</v>
      </c>
      <c r="Q22" s="194">
        <v>1.7559231923802499</v>
      </c>
      <c r="R22" s="194">
        <v>2.2320541954419697E-3</v>
      </c>
      <c r="S22" s="197">
        <v>252</v>
      </c>
      <c r="T22" s="197">
        <v>0.76029070600760473</v>
      </c>
      <c r="U22" s="197">
        <v>9.7030734021207099E-2</v>
      </c>
      <c r="V22" s="197">
        <v>-3.8723592896577701</v>
      </c>
      <c r="W22" s="197">
        <v>5.8293034258853807E-2</v>
      </c>
      <c r="X22" s="194">
        <v>2.9490980000000002</v>
      </c>
      <c r="Y22" s="194">
        <v>4.0176899999999988E-2</v>
      </c>
      <c r="Z22" s="148">
        <v>0.36212285714285714</v>
      </c>
      <c r="AA22" s="198">
        <v>0.35</v>
      </c>
    </row>
    <row r="23" spans="1:27" x14ac:dyDescent="0.25">
      <c r="A23" s="136">
        <v>22</v>
      </c>
      <c r="B23" s="199" t="s">
        <v>711</v>
      </c>
      <c r="C23" s="199" t="s">
        <v>783</v>
      </c>
      <c r="D23" s="200" t="s">
        <v>435</v>
      </c>
      <c r="E23" s="194">
        <v>191</v>
      </c>
      <c r="F23" s="194">
        <v>603</v>
      </c>
      <c r="G23" s="194" t="s">
        <v>794</v>
      </c>
      <c r="H23" s="194">
        <v>113444</v>
      </c>
      <c r="I23" s="194" t="s">
        <v>795</v>
      </c>
      <c r="J23" s="194">
        <v>4802</v>
      </c>
      <c r="K23" s="195">
        <v>73</v>
      </c>
      <c r="L23" s="195" t="s">
        <v>796</v>
      </c>
      <c r="M23" s="195" t="s">
        <v>797</v>
      </c>
      <c r="N23" s="194">
        <v>12</v>
      </c>
      <c r="O23" s="196">
        <v>0.49413068751096401</v>
      </c>
      <c r="P23" s="194">
        <v>0.35056416089638404</v>
      </c>
      <c r="Q23" s="194">
        <v>1.7559231923802499</v>
      </c>
      <c r="R23" s="194">
        <v>1.7292259223598999E-3</v>
      </c>
      <c r="S23" s="197">
        <v>2305</v>
      </c>
      <c r="T23" s="197">
        <v>0.58310969155546166</v>
      </c>
      <c r="U23" s="197">
        <v>0.1909795187241741</v>
      </c>
      <c r="V23" s="197">
        <v>-3.6950478361090502</v>
      </c>
      <c r="W23" s="197">
        <v>0.12679286317797878</v>
      </c>
      <c r="X23" s="194">
        <v>2.9490980000000002</v>
      </c>
      <c r="Y23" s="194">
        <v>4.0176899999999988E-2</v>
      </c>
      <c r="Z23" s="198">
        <v>0.36162</v>
      </c>
      <c r="AA23" s="198">
        <v>0.36</v>
      </c>
    </row>
    <row r="24" spans="1:27" x14ac:dyDescent="0.25">
      <c r="A24" s="136">
        <v>23</v>
      </c>
      <c r="B24" s="201" t="s">
        <v>711</v>
      </c>
      <c r="C24" s="201" t="s">
        <v>783</v>
      </c>
      <c r="D24" s="201"/>
      <c r="E24" s="194">
        <v>171</v>
      </c>
      <c r="F24" s="194">
        <v>605</v>
      </c>
      <c r="G24" s="194" t="s">
        <v>798</v>
      </c>
      <c r="H24" s="194">
        <v>113439</v>
      </c>
      <c r="I24" s="194" t="s">
        <v>799</v>
      </c>
      <c r="J24" s="194">
        <v>4803</v>
      </c>
      <c r="K24" s="195" t="s">
        <v>800</v>
      </c>
      <c r="L24" s="195"/>
      <c r="M24" s="195"/>
      <c r="N24" s="190"/>
      <c r="O24" s="179">
        <v>0.49608570000000002</v>
      </c>
      <c r="P24" s="178">
        <v>0.35638887800000002</v>
      </c>
      <c r="Q24" s="178">
        <v>1.7559231923802501</v>
      </c>
      <c r="R24" s="178">
        <v>1.73453652052958E-3</v>
      </c>
      <c r="S24" s="146"/>
      <c r="T24" s="146">
        <v>0.83890902321327565</v>
      </c>
      <c r="U24" s="146">
        <v>7.8517767686096113E-2</v>
      </c>
      <c r="V24" s="146">
        <v>-3.624676</v>
      </c>
      <c r="W24" s="146">
        <v>3.5381712098484799E-2</v>
      </c>
      <c r="X24" s="144">
        <v>2.9490980000000002</v>
      </c>
      <c r="Y24" s="178">
        <v>4.0176899999999988E-2</v>
      </c>
      <c r="Z24" s="198">
        <v>0.36212285714285714</v>
      </c>
      <c r="AA24" s="198">
        <v>0.36000000000000004</v>
      </c>
    </row>
    <row r="25" spans="1:27" x14ac:dyDescent="0.25">
      <c r="A25" s="136">
        <v>24</v>
      </c>
      <c r="B25" s="199" t="s">
        <v>711</v>
      </c>
      <c r="C25" s="201" t="s">
        <v>783</v>
      </c>
      <c r="D25" s="201"/>
      <c r="E25" s="194">
        <v>174</v>
      </c>
      <c r="F25" s="194">
        <v>1726</v>
      </c>
      <c r="G25" s="194" t="s">
        <v>801</v>
      </c>
      <c r="H25" s="194">
        <v>79327</v>
      </c>
      <c r="I25" s="194" t="s">
        <v>802</v>
      </c>
      <c r="J25" s="194">
        <v>4810</v>
      </c>
      <c r="K25" s="195" t="s">
        <v>803</v>
      </c>
      <c r="L25" s="195" t="s">
        <v>804</v>
      </c>
      <c r="M25" s="195" t="s">
        <v>805</v>
      </c>
      <c r="N25" s="178"/>
      <c r="O25" s="179">
        <v>0.49608570000000002</v>
      </c>
      <c r="P25" s="178">
        <v>0.35954963246839106</v>
      </c>
      <c r="Q25" s="178">
        <v>1.7559231923802499</v>
      </c>
      <c r="R25" s="178">
        <v>3.04477888629251E-3</v>
      </c>
      <c r="S25" s="146"/>
      <c r="T25" s="146">
        <v>0.83890902321327565</v>
      </c>
      <c r="U25" s="146">
        <v>7.8517767686096113E-2</v>
      </c>
      <c r="V25" s="146">
        <v>-3.624676</v>
      </c>
      <c r="W25" s="146">
        <v>3.5381712098484799E-2</v>
      </c>
      <c r="X25" s="144">
        <v>2.9490980000000002</v>
      </c>
      <c r="Y25" s="178">
        <v>4.0176899999999988E-2</v>
      </c>
      <c r="Z25" s="198">
        <v>0.37</v>
      </c>
      <c r="AA25" s="198">
        <v>0.37</v>
      </c>
    </row>
    <row r="26" spans="1:27" x14ac:dyDescent="0.25">
      <c r="A26" s="136">
        <v>25</v>
      </c>
      <c r="B26" s="199" t="s">
        <v>711</v>
      </c>
      <c r="C26" s="201" t="s">
        <v>783</v>
      </c>
      <c r="D26" s="201"/>
      <c r="E26" s="194">
        <v>176</v>
      </c>
      <c r="F26" s="194">
        <v>1722</v>
      </c>
      <c r="G26" s="194" t="s">
        <v>806</v>
      </c>
      <c r="H26" s="194"/>
      <c r="I26" s="194"/>
      <c r="J26" s="194">
        <v>4811</v>
      </c>
      <c r="K26" s="195" t="s">
        <v>807</v>
      </c>
      <c r="L26" s="195" t="s">
        <v>808</v>
      </c>
      <c r="M26" s="195" t="s">
        <v>809</v>
      </c>
      <c r="N26" s="190"/>
      <c r="O26" s="179">
        <v>0.49608570000000002</v>
      </c>
      <c r="P26" s="178">
        <v>0.35638887800000002</v>
      </c>
      <c r="Q26" s="178">
        <v>1.7559231923802501</v>
      </c>
      <c r="R26" s="178">
        <v>1.73453652052958E-3</v>
      </c>
      <c r="S26" s="146"/>
      <c r="T26" s="146">
        <v>0.83890902321327565</v>
      </c>
      <c r="U26" s="146">
        <v>7.8517767686096113E-2</v>
      </c>
      <c r="V26" s="146">
        <v>-3.624676</v>
      </c>
      <c r="W26" s="146">
        <v>3.5381712098484799E-2</v>
      </c>
      <c r="X26" s="144">
        <v>2.9490980000000002</v>
      </c>
      <c r="Y26" s="178">
        <v>4.0176899999999988E-2</v>
      </c>
      <c r="Z26" s="198">
        <v>0.36212285714285714</v>
      </c>
      <c r="AA26" s="198">
        <v>0.36000000000000004</v>
      </c>
    </row>
    <row r="27" spans="1:27" x14ac:dyDescent="0.25">
      <c r="A27" s="136">
        <v>26</v>
      </c>
      <c r="B27" s="199" t="s">
        <v>711</v>
      </c>
      <c r="C27" s="201" t="s">
        <v>783</v>
      </c>
      <c r="D27" s="201"/>
      <c r="E27" s="194">
        <v>178</v>
      </c>
      <c r="F27" s="194">
        <v>1932</v>
      </c>
      <c r="G27" s="194" t="s">
        <v>810</v>
      </c>
      <c r="H27" s="194">
        <v>126449</v>
      </c>
      <c r="I27" s="194" t="s">
        <v>811</v>
      </c>
      <c r="J27" s="194">
        <v>4401</v>
      </c>
      <c r="K27" s="195" t="s">
        <v>812</v>
      </c>
      <c r="L27" s="195"/>
      <c r="M27" s="195"/>
      <c r="N27" s="190"/>
      <c r="O27" s="179">
        <v>0.49608570000000002</v>
      </c>
      <c r="P27" s="178">
        <v>0.35638887800000002</v>
      </c>
      <c r="Q27" s="178">
        <v>1.7559231923802501</v>
      </c>
      <c r="R27" s="178">
        <v>1.73453652052958E-3</v>
      </c>
      <c r="S27" s="146"/>
      <c r="T27" s="146">
        <v>0.83890902321327565</v>
      </c>
      <c r="U27" s="146">
        <v>7.8517767686096113E-2</v>
      </c>
      <c r="V27" s="146">
        <v>-3.624676</v>
      </c>
      <c r="W27" s="146">
        <v>3.5381712098484799E-2</v>
      </c>
      <c r="X27" s="144">
        <v>2.9490980000000002</v>
      </c>
      <c r="Y27" s="178">
        <v>4.0176899999999988E-2</v>
      </c>
      <c r="Z27" s="198">
        <v>0.36212285714285714</v>
      </c>
      <c r="AA27" s="198">
        <v>0.36000000000000004</v>
      </c>
    </row>
    <row r="28" spans="1:27" x14ac:dyDescent="0.25">
      <c r="A28" s="136">
        <v>27</v>
      </c>
      <c r="B28" s="199" t="s">
        <v>711</v>
      </c>
      <c r="C28" s="199" t="s">
        <v>783</v>
      </c>
      <c r="D28" s="200" t="s">
        <v>435</v>
      </c>
      <c r="E28" s="194">
        <v>179</v>
      </c>
      <c r="F28" s="194">
        <v>1933</v>
      </c>
      <c r="G28" s="194" t="s">
        <v>813</v>
      </c>
      <c r="H28" s="194">
        <v>126451</v>
      </c>
      <c r="I28" s="194" t="s">
        <v>814</v>
      </c>
      <c r="J28" s="194">
        <v>4805</v>
      </c>
      <c r="K28" s="195" t="s">
        <v>815</v>
      </c>
      <c r="L28" s="195" t="s">
        <v>816</v>
      </c>
      <c r="M28" s="195" t="s">
        <v>817</v>
      </c>
      <c r="N28" s="190"/>
      <c r="O28" s="202">
        <v>0.49608570000000002</v>
      </c>
      <c r="P28" s="190">
        <v>0.35638887800000002</v>
      </c>
      <c r="Q28" s="190">
        <v>1.7559231923802501</v>
      </c>
      <c r="R28" s="190">
        <v>1.73453652052958E-3</v>
      </c>
      <c r="S28" s="144"/>
      <c r="T28" s="144">
        <v>0.83890902321327565</v>
      </c>
      <c r="U28" s="144">
        <v>7.8517767686096113E-2</v>
      </c>
      <c r="V28" s="144">
        <v>-3.624676</v>
      </c>
      <c r="W28" s="144">
        <v>3.5381712098484799E-2</v>
      </c>
      <c r="X28" s="144">
        <v>2.9490980000000002</v>
      </c>
      <c r="Y28" s="190">
        <v>4.0176899999999988E-2</v>
      </c>
      <c r="Z28" s="198">
        <v>0.31</v>
      </c>
      <c r="AA28" s="198">
        <v>0.31</v>
      </c>
    </row>
    <row r="29" spans="1:27" x14ac:dyDescent="0.25">
      <c r="A29" s="136">
        <v>28</v>
      </c>
      <c r="B29" s="199" t="s">
        <v>711</v>
      </c>
      <c r="C29" s="199" t="s">
        <v>783</v>
      </c>
      <c r="D29" s="200" t="s">
        <v>435</v>
      </c>
      <c r="E29" s="194">
        <v>180</v>
      </c>
      <c r="F29" s="194">
        <v>1973</v>
      </c>
      <c r="G29" s="194" t="s">
        <v>818</v>
      </c>
      <c r="H29" s="194">
        <v>127896</v>
      </c>
      <c r="I29" s="194" t="s">
        <v>819</v>
      </c>
      <c r="J29" s="194">
        <v>4826</v>
      </c>
      <c r="K29" s="195" t="s">
        <v>820</v>
      </c>
      <c r="L29" s="195" t="s">
        <v>821</v>
      </c>
      <c r="M29" s="195" t="s">
        <v>822</v>
      </c>
      <c r="N29" s="190"/>
      <c r="O29" s="202">
        <v>0.49608570000000002</v>
      </c>
      <c r="P29" s="190">
        <v>0.35638887800000002</v>
      </c>
      <c r="Q29" s="190">
        <v>1.7559231923802501</v>
      </c>
      <c r="R29" s="190">
        <v>1.73453652052958E-3</v>
      </c>
      <c r="S29" s="144"/>
      <c r="T29" s="144">
        <v>0.83890902321327565</v>
      </c>
      <c r="U29" s="144">
        <v>7.8517767686096113E-2</v>
      </c>
      <c r="V29" s="144">
        <v>-3.624676</v>
      </c>
      <c r="W29" s="144">
        <v>3.5381712098484799E-2</v>
      </c>
      <c r="X29" s="144">
        <v>2.9490980000000002</v>
      </c>
      <c r="Y29" s="190">
        <v>4.0176899999999988E-2</v>
      </c>
      <c r="Z29" s="198">
        <v>0.42</v>
      </c>
      <c r="AA29" s="198">
        <v>0.39</v>
      </c>
    </row>
    <row r="30" spans="1:27" x14ac:dyDescent="0.25">
      <c r="A30" s="136">
        <v>29</v>
      </c>
      <c r="B30" s="201" t="s">
        <v>711</v>
      </c>
      <c r="C30" s="201" t="s">
        <v>783</v>
      </c>
      <c r="D30" s="201"/>
      <c r="E30" s="194">
        <v>181</v>
      </c>
      <c r="F30" s="194">
        <v>1972</v>
      </c>
      <c r="G30" s="194" t="s">
        <v>823</v>
      </c>
      <c r="H30" s="194">
        <v>159899</v>
      </c>
      <c r="I30" s="194" t="s">
        <v>824</v>
      </c>
      <c r="J30" s="194">
        <v>4894</v>
      </c>
      <c r="K30" s="195" t="s">
        <v>825</v>
      </c>
      <c r="L30" s="195"/>
      <c r="M30" s="195"/>
      <c r="N30" s="190"/>
      <c r="O30" s="179">
        <v>0.49608570000000002</v>
      </c>
      <c r="P30" s="178">
        <v>0.35638887800000002</v>
      </c>
      <c r="Q30" s="178">
        <v>1.7559231923802501</v>
      </c>
      <c r="R30" s="178">
        <v>1.73453652052958E-3</v>
      </c>
      <c r="S30" s="146"/>
      <c r="T30" s="146">
        <v>0.83890902321327565</v>
      </c>
      <c r="U30" s="146">
        <v>7.8517767686096113E-2</v>
      </c>
      <c r="V30" s="146">
        <v>-3.624676</v>
      </c>
      <c r="W30" s="146">
        <v>3.5381712098484799E-2</v>
      </c>
      <c r="X30" s="144">
        <v>2.9490980000000002</v>
      </c>
      <c r="Y30" s="178">
        <v>4.0176899999999988E-2</v>
      </c>
      <c r="Z30" s="198">
        <v>0.36212285714285714</v>
      </c>
      <c r="AA30" s="198">
        <v>0.36000000000000004</v>
      </c>
    </row>
    <row r="31" spans="1:27" x14ac:dyDescent="0.25">
      <c r="A31" s="136">
        <v>30</v>
      </c>
      <c r="B31" s="201" t="s">
        <v>711</v>
      </c>
      <c r="C31" s="201" t="s">
        <v>783</v>
      </c>
      <c r="D31" s="201"/>
      <c r="E31" s="194">
        <v>185</v>
      </c>
      <c r="F31" s="194">
        <v>1724</v>
      </c>
      <c r="G31" s="194" t="s">
        <v>826</v>
      </c>
      <c r="H31" s="194">
        <v>130694</v>
      </c>
      <c r="I31" s="194" t="s">
        <v>827</v>
      </c>
      <c r="J31" s="194">
        <v>4809</v>
      </c>
      <c r="K31" s="195" t="s">
        <v>828</v>
      </c>
      <c r="L31" s="195" t="s">
        <v>792</v>
      </c>
      <c r="M31" s="195" t="s">
        <v>793</v>
      </c>
      <c r="N31" s="190"/>
      <c r="O31" s="179">
        <v>0.49608570000000002</v>
      </c>
      <c r="P31" s="178">
        <v>0.35638887800000002</v>
      </c>
      <c r="Q31" s="178">
        <v>1.7559231923802501</v>
      </c>
      <c r="R31" s="178">
        <v>1.73453652052958E-3</v>
      </c>
      <c r="S31" s="146"/>
      <c r="T31" s="146">
        <v>0.83890902321327565</v>
      </c>
      <c r="U31" s="146">
        <v>7.8517767686096113E-2</v>
      </c>
      <c r="V31" s="146">
        <v>-3.624676</v>
      </c>
      <c r="W31" s="146">
        <v>3.5381712098484799E-2</v>
      </c>
      <c r="X31" s="144">
        <v>2.9490980000000002</v>
      </c>
      <c r="Y31" s="178">
        <v>4.0176899999999988E-2</v>
      </c>
      <c r="Z31" s="198">
        <v>0.36212285714285714</v>
      </c>
      <c r="AA31" s="198">
        <v>0.36000000000000004</v>
      </c>
    </row>
    <row r="32" spans="1:27" x14ac:dyDescent="0.25">
      <c r="A32" s="136">
        <v>31</v>
      </c>
      <c r="B32" s="201" t="s">
        <v>711</v>
      </c>
      <c r="C32" s="201" t="s">
        <v>783</v>
      </c>
      <c r="D32" s="201"/>
      <c r="E32" s="194">
        <v>186</v>
      </c>
      <c r="F32" s="194">
        <v>1721</v>
      </c>
      <c r="G32" s="194" t="s">
        <v>829</v>
      </c>
      <c r="H32" s="194">
        <v>79325</v>
      </c>
      <c r="I32" s="194" t="s">
        <v>830</v>
      </c>
      <c r="J32" s="194">
        <v>4807</v>
      </c>
      <c r="K32" s="195" t="s">
        <v>831</v>
      </c>
      <c r="L32" s="195" t="s">
        <v>832</v>
      </c>
      <c r="M32" s="195" t="s">
        <v>833</v>
      </c>
      <c r="N32" s="190"/>
      <c r="O32" s="179">
        <v>0.49608570000000002</v>
      </c>
      <c r="P32" s="178">
        <v>0.35638887800000002</v>
      </c>
      <c r="Q32" s="178">
        <v>1.7559231923802501</v>
      </c>
      <c r="R32" s="178">
        <v>1.73453652052958E-3</v>
      </c>
      <c r="S32" s="146"/>
      <c r="T32" s="146">
        <v>0.83890902321327565</v>
      </c>
      <c r="U32" s="146">
        <v>7.8517767686096113E-2</v>
      </c>
      <c r="V32" s="146">
        <v>-3.624676</v>
      </c>
      <c r="W32" s="146">
        <v>3.5381712098484799E-2</v>
      </c>
      <c r="X32" s="144">
        <v>2.9490980000000002</v>
      </c>
      <c r="Y32" s="178">
        <v>4.0176899999999988E-2</v>
      </c>
      <c r="Z32" s="198">
        <v>0.36212285714285714</v>
      </c>
      <c r="AA32" s="198">
        <v>0.36000000000000004</v>
      </c>
    </row>
    <row r="33" spans="1:27" x14ac:dyDescent="0.25">
      <c r="A33" s="136">
        <v>32</v>
      </c>
      <c r="B33" s="201" t="s">
        <v>711</v>
      </c>
      <c r="C33" s="201" t="s">
        <v>783</v>
      </c>
      <c r="D33" s="201"/>
      <c r="E33" s="194">
        <v>187</v>
      </c>
      <c r="F33" s="194">
        <v>1720</v>
      </c>
      <c r="G33" s="194" t="s">
        <v>834</v>
      </c>
      <c r="H33" s="194">
        <v>79349</v>
      </c>
      <c r="I33" s="194" t="s">
        <v>835</v>
      </c>
      <c r="J33" s="194">
        <v>4800</v>
      </c>
      <c r="K33" s="195" t="s">
        <v>836</v>
      </c>
      <c r="L33" s="195" t="s">
        <v>837</v>
      </c>
      <c r="M33" s="195" t="s">
        <v>838</v>
      </c>
      <c r="N33" s="190"/>
      <c r="O33" s="179">
        <v>0.49608570000000002</v>
      </c>
      <c r="P33" s="178">
        <v>0.35638887800000002</v>
      </c>
      <c r="Q33" s="178">
        <v>1.7559231923802501</v>
      </c>
      <c r="R33" s="178">
        <v>1.73453652052958E-3</v>
      </c>
      <c r="S33" s="146"/>
      <c r="T33" s="146">
        <v>0.83890902321327565</v>
      </c>
      <c r="U33" s="146">
        <v>7.8517767686096113E-2</v>
      </c>
      <c r="V33" s="146">
        <v>-3.624676</v>
      </c>
      <c r="W33" s="146">
        <v>3.5381712098484799E-2</v>
      </c>
      <c r="X33" s="144">
        <v>2.9490980000000002</v>
      </c>
      <c r="Y33" s="178">
        <v>4.0176899999999988E-2</v>
      </c>
      <c r="Z33" s="198">
        <v>0.36212285714285714</v>
      </c>
      <c r="AA33" s="198">
        <v>0.36000000000000004</v>
      </c>
    </row>
    <row r="34" spans="1:27" x14ac:dyDescent="0.25">
      <c r="A34" s="136">
        <v>33</v>
      </c>
      <c r="B34" s="201" t="s">
        <v>711</v>
      </c>
      <c r="C34" s="201" t="s">
        <v>783</v>
      </c>
      <c r="D34" s="201"/>
      <c r="E34" s="194">
        <v>189</v>
      </c>
      <c r="F34" s="194">
        <v>1728</v>
      </c>
      <c r="G34" s="194" t="s">
        <v>839</v>
      </c>
      <c r="H34" s="194">
        <v>79350</v>
      </c>
      <c r="I34" s="194" t="s">
        <v>840</v>
      </c>
      <c r="J34" s="194">
        <v>4896</v>
      </c>
      <c r="K34" s="195" t="s">
        <v>841</v>
      </c>
      <c r="L34" s="195" t="s">
        <v>842</v>
      </c>
      <c r="M34" s="195" t="s">
        <v>843</v>
      </c>
      <c r="N34" s="190"/>
      <c r="O34" s="179">
        <v>0.49608570000000002</v>
      </c>
      <c r="P34" s="178">
        <v>0.35638887800000002</v>
      </c>
      <c r="Q34" s="178">
        <v>1.7559231923802501</v>
      </c>
      <c r="R34" s="178">
        <v>1.73453652052958E-3</v>
      </c>
      <c r="S34" s="146"/>
      <c r="T34" s="146">
        <v>0.83890902321327565</v>
      </c>
      <c r="U34" s="146">
        <v>7.8517767686096113E-2</v>
      </c>
      <c r="V34" s="146">
        <v>-3.624676</v>
      </c>
      <c r="W34" s="146">
        <v>3.5381712098484799E-2</v>
      </c>
      <c r="X34" s="144">
        <v>2.9490980000000002</v>
      </c>
      <c r="Y34" s="178">
        <v>4.0176899999999988E-2</v>
      </c>
      <c r="Z34" s="198">
        <v>0.36212285714285714</v>
      </c>
      <c r="AA34" s="198">
        <v>0.36000000000000004</v>
      </c>
    </row>
    <row r="35" spans="1:27" x14ac:dyDescent="0.25">
      <c r="A35" s="136">
        <v>34</v>
      </c>
      <c r="B35" s="199" t="s">
        <v>711</v>
      </c>
      <c r="C35" s="199" t="s">
        <v>783</v>
      </c>
      <c r="D35" s="200" t="s">
        <v>435</v>
      </c>
      <c r="E35" s="194">
        <v>190</v>
      </c>
      <c r="F35" s="194">
        <v>1725</v>
      </c>
      <c r="G35" s="194" t="s">
        <v>844</v>
      </c>
      <c r="H35" s="194">
        <v>79333</v>
      </c>
      <c r="I35" s="194" t="s">
        <v>845</v>
      </c>
      <c r="J35" s="194">
        <v>4801</v>
      </c>
      <c r="K35" s="195" t="s">
        <v>846</v>
      </c>
      <c r="L35" s="195" t="s">
        <v>847</v>
      </c>
      <c r="M35" s="195" t="s">
        <v>848</v>
      </c>
      <c r="N35" s="194">
        <v>35</v>
      </c>
      <c r="O35" s="196">
        <v>0.528606624646631</v>
      </c>
      <c r="P35" s="194">
        <v>0.35954963246839106</v>
      </c>
      <c r="Q35" s="194">
        <v>1.7559231923802499</v>
      </c>
      <c r="R35" s="194">
        <v>3.04477888629251E-3</v>
      </c>
      <c r="S35" s="197">
        <v>1272</v>
      </c>
      <c r="T35" s="197">
        <v>0.57388711294467276</v>
      </c>
      <c r="U35" s="197">
        <v>0.14746449752606311</v>
      </c>
      <c r="V35" s="197">
        <v>-3.0326278359686998</v>
      </c>
      <c r="W35" s="197">
        <v>9.2752091224602803E-2</v>
      </c>
      <c r="X35" s="194">
        <v>2.9490980000000002</v>
      </c>
      <c r="Y35" s="194">
        <v>4.0176899999999988E-2</v>
      </c>
      <c r="Z35" s="198">
        <v>0.35</v>
      </c>
      <c r="AA35" s="198">
        <v>0.35</v>
      </c>
    </row>
    <row r="36" spans="1:27" x14ac:dyDescent="0.25">
      <c r="A36" s="136">
        <v>35</v>
      </c>
      <c r="B36" s="199" t="s">
        <v>711</v>
      </c>
      <c r="C36" s="199" t="s">
        <v>783</v>
      </c>
      <c r="D36" s="199" t="s">
        <v>611</v>
      </c>
      <c r="E36" s="194"/>
      <c r="F36" s="194"/>
      <c r="G36" s="194" t="s">
        <v>849</v>
      </c>
      <c r="H36" s="194"/>
      <c r="I36" s="194" t="s">
        <v>850</v>
      </c>
      <c r="J36" s="194"/>
      <c r="K36" s="195"/>
      <c r="L36" s="195"/>
      <c r="M36" s="195"/>
      <c r="N36" s="190"/>
      <c r="O36" s="179">
        <v>0.49608570000000002</v>
      </c>
      <c r="P36" s="178">
        <v>0.35638887800000002</v>
      </c>
      <c r="Q36" s="178">
        <v>1.7559231923802501</v>
      </c>
      <c r="R36" s="178">
        <v>1.73453652052958E-3</v>
      </c>
      <c r="S36" s="146"/>
      <c r="T36" s="146">
        <v>0.83890902321327565</v>
      </c>
      <c r="U36" s="146">
        <v>7.8517767686096113E-2</v>
      </c>
      <c r="V36" s="146">
        <v>-3.624676</v>
      </c>
      <c r="W36" s="146">
        <v>3.5381712098484799E-2</v>
      </c>
      <c r="X36" s="144">
        <v>2.9490980000000002</v>
      </c>
      <c r="Y36" s="178">
        <v>4.0176899999999988E-2</v>
      </c>
      <c r="Z36" s="198">
        <v>0.36212285714285714</v>
      </c>
      <c r="AA36" s="198">
        <v>0.36000000000000004</v>
      </c>
    </row>
    <row r="37" spans="1:27" x14ac:dyDescent="0.25">
      <c r="A37" s="136">
        <v>36</v>
      </c>
      <c r="B37" s="203" t="s">
        <v>851</v>
      </c>
      <c r="C37" s="203" t="s">
        <v>852</v>
      </c>
      <c r="D37" s="203" t="s">
        <v>435</v>
      </c>
      <c r="E37" s="204">
        <v>150</v>
      </c>
      <c r="F37" s="204">
        <v>1453</v>
      </c>
      <c r="G37" s="204" t="s">
        <v>853</v>
      </c>
      <c r="H37" s="204">
        <v>113702</v>
      </c>
      <c r="I37" s="204" t="s">
        <v>854</v>
      </c>
      <c r="J37" s="204">
        <v>3282</v>
      </c>
      <c r="K37" s="205">
        <v>56</v>
      </c>
      <c r="L37" s="205" t="s">
        <v>855</v>
      </c>
      <c r="M37" s="205" t="s">
        <v>856</v>
      </c>
      <c r="N37" s="204">
        <v>42</v>
      </c>
      <c r="O37" s="206">
        <v>0.48542189157191801</v>
      </c>
      <c r="P37" s="204">
        <v>0.35628304785251602</v>
      </c>
      <c r="Q37" s="204">
        <v>1.7559231923802499</v>
      </c>
      <c r="R37" s="204">
        <v>1.09325354472966E-3</v>
      </c>
      <c r="S37" s="207">
        <v>512</v>
      </c>
      <c r="T37" s="207">
        <v>0.97230309571355278</v>
      </c>
      <c r="U37" s="207">
        <v>7.0902760654839483E-2</v>
      </c>
      <c r="V37" s="207">
        <v>-4.8633328287457296</v>
      </c>
      <c r="W37" s="207">
        <v>3.7346153974961209E-2</v>
      </c>
      <c r="X37" s="204">
        <v>2.92310201</v>
      </c>
      <c r="Y37" s="204">
        <v>4.0176899999999988E-2</v>
      </c>
      <c r="Z37" s="208">
        <v>0.34</v>
      </c>
      <c r="AA37" s="208">
        <v>0.34</v>
      </c>
    </row>
    <row r="38" spans="1:27" x14ac:dyDescent="0.25">
      <c r="A38" s="136">
        <v>37</v>
      </c>
      <c r="B38" s="203" t="s">
        <v>851</v>
      </c>
      <c r="C38" s="203" t="s">
        <v>852</v>
      </c>
      <c r="D38" s="203" t="s">
        <v>435</v>
      </c>
      <c r="E38" s="204">
        <v>154</v>
      </c>
      <c r="F38" s="204">
        <v>1439</v>
      </c>
      <c r="G38" s="204" t="s">
        <v>368</v>
      </c>
      <c r="H38" s="204">
        <v>113651</v>
      </c>
      <c r="I38" s="204" t="s">
        <v>857</v>
      </c>
      <c r="J38" s="204">
        <v>3275</v>
      </c>
      <c r="K38" s="205">
        <v>59</v>
      </c>
      <c r="L38" s="205" t="s">
        <v>858</v>
      </c>
      <c r="M38" s="205" t="s">
        <v>859</v>
      </c>
      <c r="N38" s="178"/>
      <c r="O38" s="179">
        <v>0.49608570000000002</v>
      </c>
      <c r="P38" s="178">
        <v>0.33229573185501998</v>
      </c>
      <c r="Q38" s="178">
        <v>1.7559231923802499</v>
      </c>
      <c r="R38" s="178">
        <v>2.0586090419193099E-3</v>
      </c>
      <c r="S38" s="207">
        <v>654</v>
      </c>
      <c r="T38" s="207">
        <v>0.89064654191559067</v>
      </c>
      <c r="U38" s="207">
        <v>4.8042041509617509E-2</v>
      </c>
      <c r="V38" s="207">
        <v>-2.90389571593041</v>
      </c>
      <c r="W38" s="207">
        <v>4.4282993550781025E-3</v>
      </c>
      <c r="X38" s="144">
        <v>2.92310201</v>
      </c>
      <c r="Y38" s="178">
        <v>4.0176899999999988E-2</v>
      </c>
      <c r="Z38" s="148">
        <v>0.42588750000000003</v>
      </c>
      <c r="AA38" s="208">
        <v>0.39</v>
      </c>
    </row>
    <row r="39" spans="1:27" x14ac:dyDescent="0.25">
      <c r="A39" s="136">
        <v>38</v>
      </c>
      <c r="B39" s="203" t="s">
        <v>851</v>
      </c>
      <c r="C39" s="203" t="s">
        <v>852</v>
      </c>
      <c r="D39" s="203" t="s">
        <v>435</v>
      </c>
      <c r="E39" s="204">
        <v>158</v>
      </c>
      <c r="F39" s="204">
        <v>1178</v>
      </c>
      <c r="G39" s="204" t="s">
        <v>312</v>
      </c>
      <c r="H39" s="204">
        <v>137099</v>
      </c>
      <c r="I39" s="204" t="s">
        <v>860</v>
      </c>
      <c r="J39" s="204">
        <v>2384</v>
      </c>
      <c r="K39" s="205">
        <v>63</v>
      </c>
      <c r="L39" s="205" t="s">
        <v>861</v>
      </c>
      <c r="M39" s="205" t="s">
        <v>862</v>
      </c>
      <c r="N39" s="204">
        <v>163</v>
      </c>
      <c r="O39" s="206">
        <v>0.48763803297952102</v>
      </c>
      <c r="P39" s="204">
        <v>0.37657507443642796</v>
      </c>
      <c r="Q39" s="204">
        <v>1.7559231923802499</v>
      </c>
      <c r="R39" s="204">
        <v>1.0701629622487099E-3</v>
      </c>
      <c r="S39" s="207">
        <v>14271</v>
      </c>
      <c r="T39" s="207">
        <v>0.83717390745271669</v>
      </c>
      <c r="U39" s="207">
        <v>6.5209180545684489E-2</v>
      </c>
      <c r="V39" s="207">
        <v>-4.2746558066789699</v>
      </c>
      <c r="W39" s="207">
        <v>6.5935950865682297E-2</v>
      </c>
      <c r="X39" s="204">
        <v>2.92310201</v>
      </c>
      <c r="Y39" s="204">
        <v>4.0176899999999988E-2</v>
      </c>
      <c r="Z39" s="208">
        <v>0.47355000000000003</v>
      </c>
      <c r="AA39" s="208">
        <v>0.48</v>
      </c>
    </row>
    <row r="40" spans="1:27" x14ac:dyDescent="0.25">
      <c r="A40" s="136">
        <v>39</v>
      </c>
      <c r="B40" s="203" t="s">
        <v>851</v>
      </c>
      <c r="C40" s="203" t="s">
        <v>852</v>
      </c>
      <c r="D40" s="203" t="s">
        <v>435</v>
      </c>
      <c r="E40" s="204">
        <v>160</v>
      </c>
      <c r="F40" s="204">
        <v>334</v>
      </c>
      <c r="G40" s="204" t="s">
        <v>308</v>
      </c>
      <c r="H40" s="204">
        <v>89452</v>
      </c>
      <c r="I40" s="204" t="s">
        <v>863</v>
      </c>
      <c r="J40" s="204">
        <v>4789</v>
      </c>
      <c r="K40" s="205">
        <v>65</v>
      </c>
      <c r="L40" s="205" t="s">
        <v>864</v>
      </c>
      <c r="M40" s="205" t="s">
        <v>865</v>
      </c>
      <c r="N40" s="204"/>
      <c r="O40" s="206">
        <v>0.48280465755605501</v>
      </c>
      <c r="P40" s="204">
        <v>0.34020119723589398</v>
      </c>
      <c r="Q40" s="204">
        <v>1.7559231923802499</v>
      </c>
      <c r="R40" s="204">
        <v>2.1991032346915396E-3</v>
      </c>
      <c r="S40" s="146"/>
      <c r="T40" s="207">
        <v>0.9190256565563748</v>
      </c>
      <c r="U40" s="207">
        <v>6.7043229460999484E-2</v>
      </c>
      <c r="V40" s="207">
        <v>-4.1001812370710802</v>
      </c>
      <c r="W40" s="207">
        <v>2.3713715040314103E-2</v>
      </c>
      <c r="X40" s="204">
        <v>2.92310201</v>
      </c>
      <c r="Y40" s="204">
        <v>4.0176899999999988E-2</v>
      </c>
      <c r="Z40" s="208">
        <v>0.44</v>
      </c>
      <c r="AA40" s="208">
        <v>0.46</v>
      </c>
    </row>
    <row r="41" spans="1:27" x14ac:dyDescent="0.25">
      <c r="A41" s="136">
        <v>40</v>
      </c>
      <c r="B41" s="203" t="s">
        <v>851</v>
      </c>
      <c r="C41" s="203" t="s">
        <v>852</v>
      </c>
      <c r="D41" s="203" t="s">
        <v>435</v>
      </c>
      <c r="E41" s="204">
        <v>194</v>
      </c>
      <c r="F41" s="204">
        <v>336</v>
      </c>
      <c r="G41" s="204" t="s">
        <v>866</v>
      </c>
      <c r="H41" s="204">
        <v>89455</v>
      </c>
      <c r="I41" s="204" t="s">
        <v>867</v>
      </c>
      <c r="J41" s="204">
        <v>4791</v>
      </c>
      <c r="K41" s="205">
        <v>76</v>
      </c>
      <c r="L41" s="205" t="s">
        <v>868</v>
      </c>
      <c r="M41" s="205" t="s">
        <v>869</v>
      </c>
      <c r="N41" s="204"/>
      <c r="O41" s="206">
        <v>0.48280465755605501</v>
      </c>
      <c r="P41" s="204">
        <v>0.34020119723589398</v>
      </c>
      <c r="Q41" s="204">
        <v>1.7559231923802499</v>
      </c>
      <c r="R41" s="204">
        <v>2.1991032346915396E-3</v>
      </c>
      <c r="S41" s="146"/>
      <c r="T41" s="207">
        <v>0.9190256565563748</v>
      </c>
      <c r="U41" s="207">
        <v>6.7043229460999484E-2</v>
      </c>
      <c r="V41" s="207">
        <v>-4.1001812370710802</v>
      </c>
      <c r="W41" s="207">
        <v>2.3713715040314103E-2</v>
      </c>
      <c r="X41" s="204">
        <v>2.92310201</v>
      </c>
      <c r="Y41" s="204">
        <v>4.0176899999999988E-2</v>
      </c>
      <c r="Z41" s="148">
        <v>0.42588750000000003</v>
      </c>
      <c r="AA41" s="208">
        <v>0.49</v>
      </c>
    </row>
    <row r="42" spans="1:27" x14ac:dyDescent="0.25">
      <c r="A42" s="136">
        <v>41</v>
      </c>
      <c r="B42" s="209" t="s">
        <v>851</v>
      </c>
      <c r="C42" s="209" t="s">
        <v>852</v>
      </c>
      <c r="D42" s="209"/>
      <c r="E42" s="204">
        <v>164</v>
      </c>
      <c r="F42" s="204">
        <v>333</v>
      </c>
      <c r="G42" s="204" t="s">
        <v>870</v>
      </c>
      <c r="H42" s="204">
        <v>89453</v>
      </c>
      <c r="I42" s="204" t="s">
        <v>871</v>
      </c>
      <c r="J42" s="204">
        <v>4790</v>
      </c>
      <c r="K42" s="205" t="s">
        <v>872</v>
      </c>
      <c r="L42" s="205" t="s">
        <v>873</v>
      </c>
      <c r="M42" s="205" t="s">
        <v>874</v>
      </c>
      <c r="N42" s="204">
        <v>142</v>
      </c>
      <c r="O42" s="206">
        <v>0.48280465755605501</v>
      </c>
      <c r="P42" s="204">
        <v>0.34020119723589398</v>
      </c>
      <c r="Q42" s="204">
        <v>1.7559231923802499</v>
      </c>
      <c r="R42" s="204">
        <v>2.1991032346915396E-3</v>
      </c>
      <c r="S42" s="204">
        <v>466</v>
      </c>
      <c r="T42" s="207">
        <v>0.9190256565563748</v>
      </c>
      <c r="U42" s="207">
        <v>6.7043229460999484E-2</v>
      </c>
      <c r="V42" s="207">
        <v>-4.1001812370710802</v>
      </c>
      <c r="W42" s="207">
        <v>2.3713715040314103E-2</v>
      </c>
      <c r="X42" s="204">
        <v>2.92310201</v>
      </c>
      <c r="Y42" s="204">
        <v>4.0176899999999988E-2</v>
      </c>
      <c r="Z42" s="148">
        <v>0.42588750000000003</v>
      </c>
      <c r="AA42" s="148">
        <v>0.42999999999999994</v>
      </c>
    </row>
    <row r="43" spans="1:27" x14ac:dyDescent="0.25">
      <c r="A43" s="136">
        <v>42</v>
      </c>
      <c r="B43" s="209" t="s">
        <v>851</v>
      </c>
      <c r="C43" s="209" t="s">
        <v>852</v>
      </c>
      <c r="D43" s="209"/>
      <c r="E43" s="204">
        <v>167</v>
      </c>
      <c r="F43" s="204">
        <v>335</v>
      </c>
      <c r="G43" s="204" t="s">
        <v>875</v>
      </c>
      <c r="H43" s="204">
        <v>89454</v>
      </c>
      <c r="I43" s="204" t="s">
        <v>876</v>
      </c>
      <c r="J43" s="204">
        <v>4792</v>
      </c>
      <c r="K43" s="205" t="s">
        <v>877</v>
      </c>
      <c r="L43" s="205" t="s">
        <v>878</v>
      </c>
      <c r="M43" s="205" t="s">
        <v>879</v>
      </c>
      <c r="N43" s="204">
        <v>142</v>
      </c>
      <c r="O43" s="206">
        <v>0.48280465755605501</v>
      </c>
      <c r="P43" s="204">
        <v>0.34020119723589398</v>
      </c>
      <c r="Q43" s="204">
        <v>1.7559231923802499</v>
      </c>
      <c r="R43" s="204">
        <v>2.1991032346915396E-3</v>
      </c>
      <c r="S43" s="204">
        <v>466</v>
      </c>
      <c r="T43" s="207">
        <v>0.9190256565563748</v>
      </c>
      <c r="U43" s="207">
        <v>6.7043229460999484E-2</v>
      </c>
      <c r="V43" s="207">
        <v>-4.1001812370710802</v>
      </c>
      <c r="W43" s="207">
        <v>2.3713715040314103E-2</v>
      </c>
      <c r="X43" s="204">
        <v>2.92310201</v>
      </c>
      <c r="Y43" s="204">
        <v>4.0176899999999988E-2</v>
      </c>
      <c r="Z43" s="148">
        <v>0.42588750000000003</v>
      </c>
      <c r="AA43" s="148">
        <v>0.42999999999999994</v>
      </c>
    </row>
    <row r="44" spans="1:27" x14ac:dyDescent="0.25">
      <c r="A44" s="136">
        <v>43</v>
      </c>
      <c r="B44" s="210" t="s">
        <v>851</v>
      </c>
      <c r="C44" s="210" t="s">
        <v>852</v>
      </c>
      <c r="D44" s="210" t="s">
        <v>435</v>
      </c>
      <c r="E44" s="204">
        <v>192</v>
      </c>
      <c r="F44" s="204">
        <v>1180</v>
      </c>
      <c r="G44" s="204" t="s">
        <v>880</v>
      </c>
      <c r="H44" s="204">
        <v>105050</v>
      </c>
      <c r="I44" s="204" t="s">
        <v>881</v>
      </c>
      <c r="J44" s="204">
        <v>4897</v>
      </c>
      <c r="K44" s="205" t="s">
        <v>882</v>
      </c>
      <c r="L44" s="205" t="s">
        <v>883</v>
      </c>
      <c r="M44" s="205" t="s">
        <v>884</v>
      </c>
      <c r="N44" s="178"/>
      <c r="O44" s="179">
        <v>0.49608570000000002</v>
      </c>
      <c r="P44" s="178">
        <v>0.37657507443642796</v>
      </c>
      <c r="Q44" s="178">
        <v>1.7559231923802499</v>
      </c>
      <c r="R44" s="178">
        <v>1.0701629622487099E-3</v>
      </c>
      <c r="S44" s="146"/>
      <c r="T44" s="146">
        <v>0.83890902321327565</v>
      </c>
      <c r="U44" s="146">
        <v>7.3610528578312504E-2</v>
      </c>
      <c r="V44" s="146">
        <v>-3.624676</v>
      </c>
      <c r="W44" s="146">
        <v>4.06376575279613E-2</v>
      </c>
      <c r="X44" s="144">
        <v>2.92310201</v>
      </c>
      <c r="Y44" s="178">
        <v>4.0176899999999988E-2</v>
      </c>
      <c r="Z44" s="208">
        <v>0.45</v>
      </c>
      <c r="AA44" s="208">
        <v>0.42</v>
      </c>
    </row>
    <row r="45" spans="1:27" x14ac:dyDescent="0.25">
      <c r="A45" s="136">
        <v>44</v>
      </c>
      <c r="B45" s="211" t="s">
        <v>851</v>
      </c>
      <c r="C45" s="211" t="s">
        <v>852</v>
      </c>
      <c r="D45" s="211"/>
      <c r="E45" s="204">
        <v>193</v>
      </c>
      <c r="F45" s="204">
        <v>1179</v>
      </c>
      <c r="G45" s="204" t="s">
        <v>885</v>
      </c>
      <c r="H45" s="204">
        <v>105044</v>
      </c>
      <c r="I45" s="204" t="s">
        <v>886</v>
      </c>
      <c r="J45" s="204">
        <v>4804</v>
      </c>
      <c r="K45" s="205" t="s">
        <v>887</v>
      </c>
      <c r="L45" s="205" t="s">
        <v>888</v>
      </c>
      <c r="M45" s="205" t="s">
        <v>889</v>
      </c>
      <c r="N45" s="178"/>
      <c r="O45" s="179">
        <v>0.49608570000000002</v>
      </c>
      <c r="P45" s="178">
        <v>0.37657507443642796</v>
      </c>
      <c r="Q45" s="178">
        <v>1.7559231923802499</v>
      </c>
      <c r="R45" s="178">
        <v>1.0701629622487099E-3</v>
      </c>
      <c r="S45" s="207">
        <v>1331</v>
      </c>
      <c r="T45" s="207">
        <v>0.72816458305029674</v>
      </c>
      <c r="U45" s="207">
        <v>0.12133469759945249</v>
      </c>
      <c r="V45" s="207">
        <v>-3.9925620083130502</v>
      </c>
      <c r="W45" s="207">
        <v>8.4750379670239295E-2</v>
      </c>
      <c r="X45" s="144">
        <v>2.92310201</v>
      </c>
      <c r="Y45" s="178">
        <v>4.0176899999999988E-2</v>
      </c>
      <c r="Z45" s="148">
        <v>0.42588750000000003</v>
      </c>
      <c r="AA45" s="148">
        <v>0.42999999999999994</v>
      </c>
    </row>
    <row r="46" spans="1:27" x14ac:dyDescent="0.25">
      <c r="A46" s="136">
        <v>45</v>
      </c>
      <c r="B46" s="211" t="s">
        <v>851</v>
      </c>
      <c r="C46" s="211" t="s">
        <v>852</v>
      </c>
      <c r="D46" s="211" t="s">
        <v>611</v>
      </c>
      <c r="E46" s="204"/>
      <c r="F46" s="204"/>
      <c r="G46" s="204" t="s">
        <v>890</v>
      </c>
      <c r="H46" s="204"/>
      <c r="I46" s="204" t="s">
        <v>891</v>
      </c>
      <c r="J46" s="204"/>
      <c r="K46" s="205"/>
      <c r="L46" s="205"/>
      <c r="M46" s="205"/>
      <c r="N46" s="178"/>
      <c r="O46" s="179">
        <v>0.49608570000000002</v>
      </c>
      <c r="P46" s="178">
        <v>0.35638887800000002</v>
      </c>
      <c r="Q46" s="178">
        <v>1.7559231923802501</v>
      </c>
      <c r="R46" s="178">
        <v>1.73453652052958E-3</v>
      </c>
      <c r="S46" s="146"/>
      <c r="T46" s="146">
        <v>0.83890902321327565</v>
      </c>
      <c r="U46" s="146">
        <v>7.3610528578312504E-2</v>
      </c>
      <c r="V46" s="146">
        <v>-3.624676</v>
      </c>
      <c r="W46" s="146">
        <v>4.06376575279613E-2</v>
      </c>
      <c r="X46" s="144">
        <v>2.92310201</v>
      </c>
      <c r="Y46" s="178">
        <v>4.0176899999999988E-2</v>
      </c>
      <c r="Z46" s="208">
        <v>0.42588750000000003</v>
      </c>
      <c r="AA46" s="208">
        <v>0.42999999999999994</v>
      </c>
    </row>
    <row r="47" spans="1:27" x14ac:dyDescent="0.25">
      <c r="A47" s="136">
        <v>46</v>
      </c>
      <c r="B47" s="211" t="s">
        <v>851</v>
      </c>
      <c r="C47" s="211" t="s">
        <v>852</v>
      </c>
      <c r="D47" s="211" t="s">
        <v>615</v>
      </c>
      <c r="E47" s="204"/>
      <c r="F47" s="204"/>
      <c r="G47" s="204" t="s">
        <v>892</v>
      </c>
      <c r="H47" s="204">
        <v>717738</v>
      </c>
      <c r="I47" s="204" t="s">
        <v>893</v>
      </c>
      <c r="J47" s="204"/>
      <c r="K47" s="205"/>
      <c r="L47" s="205" t="s">
        <v>894</v>
      </c>
      <c r="M47" s="205"/>
      <c r="N47" s="204">
        <v>142</v>
      </c>
      <c r="O47" s="206">
        <v>0.48280465755605501</v>
      </c>
      <c r="P47" s="204">
        <v>0.34020119723589398</v>
      </c>
      <c r="Q47" s="204">
        <v>1.7559231923802499</v>
      </c>
      <c r="R47" s="204">
        <v>2.1991032346915396E-3</v>
      </c>
      <c r="S47" s="204">
        <v>466</v>
      </c>
      <c r="T47" s="207">
        <v>0.9190256565563748</v>
      </c>
      <c r="U47" s="207">
        <v>6.7043229460999484E-2</v>
      </c>
      <c r="V47" s="207">
        <v>-4.1001812370710802</v>
      </c>
      <c r="W47" s="207">
        <v>2.3713715040314103E-2</v>
      </c>
      <c r="X47" s="204">
        <v>2.92310201</v>
      </c>
      <c r="Y47" s="204">
        <v>4.0176899999999988E-2</v>
      </c>
      <c r="Z47" s="148">
        <v>0.42588750000000003</v>
      </c>
      <c r="AA47" s="148">
        <v>0.42999999999999994</v>
      </c>
    </row>
    <row r="48" spans="1:27" x14ac:dyDescent="0.25">
      <c r="A48" s="136">
        <v>47</v>
      </c>
      <c r="B48" s="212" t="s">
        <v>851</v>
      </c>
      <c r="C48" s="212" t="s">
        <v>895</v>
      </c>
      <c r="D48" s="212" t="s">
        <v>435</v>
      </c>
      <c r="E48" s="213">
        <v>143</v>
      </c>
      <c r="F48" s="213">
        <v>1447</v>
      </c>
      <c r="G48" s="213" t="s">
        <v>896</v>
      </c>
      <c r="H48" s="213">
        <v>138850</v>
      </c>
      <c r="I48" s="213" t="s">
        <v>897</v>
      </c>
      <c r="J48" s="213">
        <v>3279</v>
      </c>
      <c r="K48" s="214">
        <v>51</v>
      </c>
      <c r="L48" s="214" t="s">
        <v>898</v>
      </c>
      <c r="M48" s="214" t="s">
        <v>899</v>
      </c>
      <c r="N48" s="213">
        <v>1533</v>
      </c>
      <c r="O48" s="215">
        <v>0.48861331725940998</v>
      </c>
      <c r="P48" s="213">
        <v>0.39581474168040104</v>
      </c>
      <c r="Q48" s="213">
        <v>1.7559231923802499</v>
      </c>
      <c r="R48" s="213">
        <v>-1.8621679399248099E-3</v>
      </c>
      <c r="S48" s="216">
        <v>68458</v>
      </c>
      <c r="T48" s="216">
        <v>1.0737443519434666</v>
      </c>
      <c r="U48" s="216">
        <v>5.705950267765951E-2</v>
      </c>
      <c r="V48" s="216">
        <v>-6.3058750306300704</v>
      </c>
      <c r="W48" s="216">
        <v>8.5216474383058904E-2</v>
      </c>
      <c r="X48" s="144">
        <v>2.92310201</v>
      </c>
      <c r="Y48" s="178">
        <v>4.0176899999999988E-2</v>
      </c>
      <c r="Z48" s="217">
        <v>0.41414099999999998</v>
      </c>
      <c r="AA48" s="217">
        <v>0.46</v>
      </c>
    </row>
    <row r="49" spans="1:27" x14ac:dyDescent="0.25">
      <c r="A49" s="136">
        <v>48</v>
      </c>
      <c r="B49" s="212" t="s">
        <v>851</v>
      </c>
      <c r="C49" s="212" t="s">
        <v>895</v>
      </c>
      <c r="D49" s="212" t="s">
        <v>435</v>
      </c>
      <c r="E49" s="213">
        <v>144</v>
      </c>
      <c r="F49" s="213">
        <v>1451</v>
      </c>
      <c r="G49" s="213" t="s">
        <v>387</v>
      </c>
      <c r="H49" s="213">
        <v>113703</v>
      </c>
      <c r="I49" s="213" t="s">
        <v>900</v>
      </c>
      <c r="J49" s="213">
        <v>3281</v>
      </c>
      <c r="K49" s="214">
        <v>52</v>
      </c>
      <c r="L49" s="214" t="s">
        <v>901</v>
      </c>
      <c r="M49" s="214" t="s">
        <v>902</v>
      </c>
      <c r="N49" s="213">
        <v>1958</v>
      </c>
      <c r="O49" s="215">
        <v>0.47263870955824899</v>
      </c>
      <c r="P49" s="213">
        <v>0.37160635116038004</v>
      </c>
      <c r="Q49" s="213">
        <v>1.7559231923802499</v>
      </c>
      <c r="R49" s="213">
        <v>6.3503722466881976E-4</v>
      </c>
      <c r="S49" s="216">
        <v>114943</v>
      </c>
      <c r="T49" s="216">
        <v>0.84501097374903766</v>
      </c>
      <c r="U49" s="216">
        <v>5.9077046075818498E-2</v>
      </c>
      <c r="V49" s="216">
        <v>-3.00829100424416</v>
      </c>
      <c r="W49" s="216">
        <v>3.3006622149112402E-2</v>
      </c>
      <c r="X49" s="144">
        <v>2.92310201</v>
      </c>
      <c r="Y49" s="178">
        <v>4.0176899999999988E-2</v>
      </c>
      <c r="Z49" s="217">
        <v>0.42188999999999999</v>
      </c>
      <c r="AA49" s="217">
        <v>0.44</v>
      </c>
    </row>
    <row r="50" spans="1:27" x14ac:dyDescent="0.25">
      <c r="A50" s="136">
        <v>49</v>
      </c>
      <c r="B50" s="218" t="s">
        <v>851</v>
      </c>
      <c r="C50" s="218" t="s">
        <v>895</v>
      </c>
      <c r="D50" s="218" t="s">
        <v>435</v>
      </c>
      <c r="E50" s="213">
        <v>148</v>
      </c>
      <c r="F50" s="213">
        <v>1449</v>
      </c>
      <c r="G50" s="213" t="s">
        <v>371</v>
      </c>
      <c r="H50" s="213">
        <v>138843</v>
      </c>
      <c r="I50" s="213" t="s">
        <v>903</v>
      </c>
      <c r="J50" s="213">
        <v>4793</v>
      </c>
      <c r="K50" s="214">
        <v>54</v>
      </c>
      <c r="L50" s="214" t="s">
        <v>904</v>
      </c>
      <c r="M50" s="214" t="s">
        <v>905</v>
      </c>
      <c r="N50" s="213">
        <v>240</v>
      </c>
      <c r="O50" s="215">
        <v>0.49804628685806501</v>
      </c>
      <c r="P50" s="213">
        <v>0.30480604226972702</v>
      </c>
      <c r="Q50" s="213">
        <v>1.7559231923802499</v>
      </c>
      <c r="R50" s="213">
        <v>3.4876967694971073E-3</v>
      </c>
      <c r="S50" s="216">
        <v>25289</v>
      </c>
      <c r="T50" s="216">
        <v>0.98486601438092269</v>
      </c>
      <c r="U50" s="216">
        <v>5.2745195930098493E-2</v>
      </c>
      <c r="V50" s="216">
        <v>-3.3896425814092099</v>
      </c>
      <c r="W50" s="216">
        <v>-3.6810146175364003E-3</v>
      </c>
      <c r="X50" s="144">
        <v>2.92310201</v>
      </c>
      <c r="Y50" s="178">
        <v>4.0176899999999988E-2</v>
      </c>
      <c r="Z50" s="217">
        <v>0.41414099999999998</v>
      </c>
      <c r="AA50" s="217">
        <v>0.49</v>
      </c>
    </row>
    <row r="51" spans="1:27" x14ac:dyDescent="0.25">
      <c r="A51" s="136">
        <v>50</v>
      </c>
      <c r="B51" s="219" t="s">
        <v>851</v>
      </c>
      <c r="C51" s="219" t="s">
        <v>895</v>
      </c>
      <c r="D51" s="219"/>
      <c r="E51" s="213">
        <v>149</v>
      </c>
      <c r="F51" s="213">
        <v>1450</v>
      </c>
      <c r="G51" s="213" t="s">
        <v>906</v>
      </c>
      <c r="H51" s="213">
        <v>113690</v>
      </c>
      <c r="I51" s="213" t="s">
        <v>907</v>
      </c>
      <c r="J51" s="213">
        <v>3280</v>
      </c>
      <c r="K51" s="214">
        <v>55</v>
      </c>
      <c r="L51" s="214" t="s">
        <v>908</v>
      </c>
      <c r="M51" s="214" t="s">
        <v>899</v>
      </c>
      <c r="N51" s="178"/>
      <c r="O51" s="179">
        <v>0.49608570000000002</v>
      </c>
      <c r="P51" s="178">
        <v>0.33229573185501998</v>
      </c>
      <c r="Q51" s="178">
        <v>1.7559231923802499</v>
      </c>
      <c r="R51" s="178">
        <v>2.0586090419193099E-3</v>
      </c>
      <c r="S51" s="216">
        <v>344</v>
      </c>
      <c r="T51" s="216">
        <v>1.0535217541428807</v>
      </c>
      <c r="U51" s="216">
        <v>3.7524752835802491E-2</v>
      </c>
      <c r="V51" s="216">
        <v>-3.5056204485109101</v>
      </c>
      <c r="W51" s="216">
        <v>-1.9488758048934962E-2</v>
      </c>
      <c r="X51" s="144">
        <v>2.92310201</v>
      </c>
      <c r="Y51" s="178">
        <v>4.0176899999999988E-2</v>
      </c>
      <c r="Z51" s="148">
        <v>0.42403440000000003</v>
      </c>
      <c r="AA51" s="148">
        <v>0.45033333333333331</v>
      </c>
    </row>
    <row r="52" spans="1:27" x14ac:dyDescent="0.25">
      <c r="A52" s="136">
        <v>51</v>
      </c>
      <c r="B52" s="218" t="s">
        <v>851</v>
      </c>
      <c r="C52" s="218" t="s">
        <v>895</v>
      </c>
      <c r="D52" s="218" t="s">
        <v>435</v>
      </c>
      <c r="E52" s="213">
        <v>153</v>
      </c>
      <c r="F52" s="213">
        <v>1437</v>
      </c>
      <c r="G52" s="213" t="s">
        <v>369</v>
      </c>
      <c r="H52" s="213">
        <v>138840</v>
      </c>
      <c r="I52" s="213" t="s">
        <v>909</v>
      </c>
      <c r="J52" s="213">
        <v>3278</v>
      </c>
      <c r="K52" s="214">
        <v>58</v>
      </c>
      <c r="L52" s="214" t="s">
        <v>910</v>
      </c>
      <c r="M52" s="214" t="s">
        <v>911</v>
      </c>
      <c r="N52" s="213">
        <v>257</v>
      </c>
      <c r="O52" s="215">
        <v>0.54135548699862301</v>
      </c>
      <c r="P52" s="213">
        <v>0.44257462564922395</v>
      </c>
      <c r="Q52" s="213">
        <v>1.7559231923802499</v>
      </c>
      <c r="R52" s="213">
        <v>-5.0918961644049994E-4</v>
      </c>
      <c r="S52" s="216">
        <v>8504</v>
      </c>
      <c r="T52" s="216">
        <v>0.81705585196930275</v>
      </c>
      <c r="U52" s="216">
        <v>6.0731765212269487E-2</v>
      </c>
      <c r="V52" s="216">
        <v>-3.17723720885339</v>
      </c>
      <c r="W52" s="216">
        <v>3.2211694530870902E-2</v>
      </c>
      <c r="X52" s="144">
        <v>2.92310201</v>
      </c>
      <c r="Y52" s="178">
        <v>4.0176899999999988E-2</v>
      </c>
      <c r="Z52" s="217">
        <v>0.41</v>
      </c>
      <c r="AA52" s="217">
        <v>0.44</v>
      </c>
    </row>
    <row r="53" spans="1:27" x14ac:dyDescent="0.25">
      <c r="A53" s="136">
        <v>52</v>
      </c>
      <c r="B53" s="218" t="s">
        <v>851</v>
      </c>
      <c r="C53" s="218" t="s">
        <v>895</v>
      </c>
      <c r="D53" s="218" t="s">
        <v>435</v>
      </c>
      <c r="E53" s="213">
        <v>155</v>
      </c>
      <c r="F53" s="213">
        <v>1448</v>
      </c>
      <c r="G53" s="213" t="s">
        <v>912</v>
      </c>
      <c r="H53" s="213">
        <v>113682</v>
      </c>
      <c r="I53" s="213" t="s">
        <v>913</v>
      </c>
      <c r="J53" s="213">
        <v>4893</v>
      </c>
      <c r="K53" s="214">
        <v>60</v>
      </c>
      <c r="L53" s="214" t="s">
        <v>914</v>
      </c>
      <c r="M53" s="214" t="s">
        <v>915</v>
      </c>
      <c r="N53" s="213">
        <v>3</v>
      </c>
      <c r="O53" s="215">
        <v>0.55033672792083399</v>
      </c>
      <c r="P53" s="213">
        <v>0.43241278023062996</v>
      </c>
      <c r="Q53" s="213">
        <v>1.7559231923802499</v>
      </c>
      <c r="R53" s="213">
        <v>1.15205770350111E-3</v>
      </c>
      <c r="S53" s="216">
        <v>7</v>
      </c>
      <c r="T53" s="216">
        <v>0.74484431086615577</v>
      </c>
      <c r="U53" s="216">
        <v>0.10878989325161649</v>
      </c>
      <c r="V53" s="216">
        <v>-3.6136610862837002</v>
      </c>
      <c r="W53" s="216">
        <v>6.7587036111609905E-2</v>
      </c>
      <c r="X53" s="144">
        <v>2.92310201</v>
      </c>
      <c r="Y53" s="178">
        <v>4.0176899999999988E-2</v>
      </c>
      <c r="Z53" s="148">
        <v>0.42403440000000003</v>
      </c>
      <c r="AA53" s="217">
        <v>0.42199999999999999</v>
      </c>
    </row>
    <row r="54" spans="1:27" x14ac:dyDescent="0.25">
      <c r="A54" s="136">
        <v>53</v>
      </c>
      <c r="B54" s="220" t="s">
        <v>851</v>
      </c>
      <c r="C54" s="220" t="s">
        <v>895</v>
      </c>
      <c r="D54" s="220"/>
      <c r="E54" s="213">
        <v>195</v>
      </c>
      <c r="F54" s="213">
        <v>1452</v>
      </c>
      <c r="G54" s="213" t="s">
        <v>916</v>
      </c>
      <c r="H54" s="213">
        <v>446381</v>
      </c>
      <c r="I54" s="213" t="s">
        <v>916</v>
      </c>
      <c r="J54" s="213">
        <v>4895</v>
      </c>
      <c r="K54" s="214">
        <v>77</v>
      </c>
      <c r="L54" s="214" t="s">
        <v>917</v>
      </c>
      <c r="M54" s="214" t="s">
        <v>918</v>
      </c>
      <c r="N54" s="178"/>
      <c r="O54" s="179">
        <v>0.49608570000000002</v>
      </c>
      <c r="P54" s="178">
        <v>0.35638887800000002</v>
      </c>
      <c r="Q54" s="178">
        <v>1.7559231923802501</v>
      </c>
      <c r="R54" s="178">
        <v>1.73453652052958E-3</v>
      </c>
      <c r="S54" s="146"/>
      <c r="T54" s="146">
        <v>0.83890902321327565</v>
      </c>
      <c r="U54" s="146">
        <v>8.3953784296990505E-2</v>
      </c>
      <c r="V54" s="146">
        <v>-3.624676</v>
      </c>
      <c r="W54" s="146">
        <v>4.90156131891029E-2</v>
      </c>
      <c r="X54" s="144">
        <v>2.92310201</v>
      </c>
      <c r="Y54" s="178">
        <v>4.0176899999999988E-2</v>
      </c>
      <c r="Z54" s="217">
        <v>0.42403440000000003</v>
      </c>
      <c r="AA54" s="217">
        <v>0.45033333333333331</v>
      </c>
    </row>
    <row r="55" spans="1:27" x14ac:dyDescent="0.25">
      <c r="A55" s="136">
        <v>54</v>
      </c>
      <c r="B55" s="220" t="s">
        <v>851</v>
      </c>
      <c r="C55" s="220" t="s">
        <v>895</v>
      </c>
      <c r="D55" s="220"/>
      <c r="E55" s="213">
        <v>145</v>
      </c>
      <c r="F55" s="213">
        <v>1445</v>
      </c>
      <c r="G55" s="213" t="s">
        <v>919</v>
      </c>
      <c r="H55" s="213">
        <v>613561</v>
      </c>
      <c r="I55" s="213" t="s">
        <v>920</v>
      </c>
      <c r="J55" s="213">
        <v>4794</v>
      </c>
      <c r="K55" s="214" t="s">
        <v>921</v>
      </c>
      <c r="L55" s="214" t="s">
        <v>922</v>
      </c>
      <c r="M55" s="214" t="s">
        <v>905</v>
      </c>
      <c r="N55" s="213">
        <v>338</v>
      </c>
      <c r="O55" s="215">
        <v>0.45529813506272998</v>
      </c>
      <c r="P55" s="213">
        <v>0.30566795674853303</v>
      </c>
      <c r="Q55" s="213">
        <v>1.7559231923802499</v>
      </c>
      <c r="R55" s="213">
        <v>2.7874758831679981E-3</v>
      </c>
      <c r="S55" s="216">
        <v>7541</v>
      </c>
      <c r="T55" s="216">
        <v>1.1098580553698456</v>
      </c>
      <c r="U55" s="216">
        <v>3.753540989026749E-2</v>
      </c>
      <c r="V55" s="216">
        <v>-3.7221348036349502</v>
      </c>
      <c r="W55" s="216">
        <v>-2.7694948448686713E-2</v>
      </c>
      <c r="X55" s="144">
        <v>2.92310201</v>
      </c>
      <c r="Y55" s="178">
        <v>4.0176899999999988E-2</v>
      </c>
      <c r="Z55" s="148">
        <v>0.42403440000000003</v>
      </c>
      <c r="AA55" s="148">
        <v>0.45033333333333331</v>
      </c>
    </row>
    <row r="56" spans="1:27" x14ac:dyDescent="0.25">
      <c r="A56" s="136">
        <v>55</v>
      </c>
      <c r="B56" s="221" t="s">
        <v>851</v>
      </c>
      <c r="C56" s="221" t="s">
        <v>895</v>
      </c>
      <c r="D56" s="221"/>
      <c r="E56" s="213">
        <v>146</v>
      </c>
      <c r="F56" s="213">
        <v>1446</v>
      </c>
      <c r="G56" s="213" t="s">
        <v>923</v>
      </c>
      <c r="H56" s="213">
        <v>613563</v>
      </c>
      <c r="I56" s="213" t="s">
        <v>924</v>
      </c>
      <c r="J56" s="213">
        <v>3277</v>
      </c>
      <c r="K56" s="214" t="s">
        <v>925</v>
      </c>
      <c r="L56" s="214" t="s">
        <v>926</v>
      </c>
      <c r="M56" s="214" t="s">
        <v>905</v>
      </c>
      <c r="N56" s="213">
        <v>338</v>
      </c>
      <c r="O56" s="215">
        <v>0.45529813506272998</v>
      </c>
      <c r="P56" s="213">
        <v>0.30566795674853303</v>
      </c>
      <c r="Q56" s="213">
        <v>1.7559231923802499</v>
      </c>
      <c r="R56" s="213">
        <v>2.7874758831679981E-3</v>
      </c>
      <c r="S56" s="216">
        <v>7541</v>
      </c>
      <c r="T56" s="216">
        <v>1.1098580553698456</v>
      </c>
      <c r="U56" s="216">
        <v>3.753540989026749E-2</v>
      </c>
      <c r="V56" s="216">
        <v>-3.7221348036349502</v>
      </c>
      <c r="W56" s="216">
        <v>-2.7694948448686713E-2</v>
      </c>
      <c r="X56" s="144">
        <v>2.92310201</v>
      </c>
      <c r="Y56" s="178">
        <v>4.0176899999999988E-2</v>
      </c>
      <c r="Z56" s="148">
        <v>0.42403440000000003</v>
      </c>
      <c r="AA56" s="148">
        <v>0.45033333333333331</v>
      </c>
    </row>
    <row r="57" spans="1:27" x14ac:dyDescent="0.25">
      <c r="A57" s="136">
        <v>56</v>
      </c>
      <c r="B57" s="220" t="s">
        <v>851</v>
      </c>
      <c r="C57" s="220" t="s">
        <v>895</v>
      </c>
      <c r="D57" s="220"/>
      <c r="E57" s="213">
        <v>147</v>
      </c>
      <c r="F57" s="213">
        <v>1443</v>
      </c>
      <c r="G57" s="213" t="s">
        <v>927</v>
      </c>
      <c r="H57" s="213">
        <v>138844</v>
      </c>
      <c r="I57" s="213" t="s">
        <v>928</v>
      </c>
      <c r="J57" s="213">
        <v>4795</v>
      </c>
      <c r="K57" s="214" t="s">
        <v>929</v>
      </c>
      <c r="L57" s="214" t="s">
        <v>930</v>
      </c>
      <c r="M57" s="214" t="s">
        <v>905</v>
      </c>
      <c r="N57" s="213">
        <v>240</v>
      </c>
      <c r="O57" s="215">
        <v>0.49804628685806501</v>
      </c>
      <c r="P57" s="213">
        <v>0.30480604226972702</v>
      </c>
      <c r="Q57" s="213">
        <v>1.7559231923802499</v>
      </c>
      <c r="R57" s="213">
        <v>3.4876967694971073E-3</v>
      </c>
      <c r="S57" s="216">
        <v>25289</v>
      </c>
      <c r="T57" s="216">
        <v>0.98486601438092269</v>
      </c>
      <c r="U57" s="216">
        <v>5.2745195930098493E-2</v>
      </c>
      <c r="V57" s="216">
        <v>-3.3896425814092099</v>
      </c>
      <c r="W57" s="216">
        <v>-3.6810146175364003E-3</v>
      </c>
      <c r="X57" s="144">
        <v>2.92310201</v>
      </c>
      <c r="Y57" s="178">
        <v>4.0176899999999988E-2</v>
      </c>
      <c r="Z57" s="217">
        <v>0.41414099999999998</v>
      </c>
      <c r="AA57" s="217">
        <v>0.49</v>
      </c>
    </row>
    <row r="58" spans="1:27" x14ac:dyDescent="0.25">
      <c r="A58" s="136">
        <v>57</v>
      </c>
      <c r="B58" s="212" t="s">
        <v>851</v>
      </c>
      <c r="C58" s="212" t="s">
        <v>895</v>
      </c>
      <c r="D58" s="212" t="s">
        <v>435</v>
      </c>
      <c r="E58" s="213">
        <v>151</v>
      </c>
      <c r="F58" s="213">
        <v>1440</v>
      </c>
      <c r="G58" s="213" t="s">
        <v>367</v>
      </c>
      <c r="H58" s="213">
        <v>113665</v>
      </c>
      <c r="I58" s="213" t="s">
        <v>931</v>
      </c>
      <c r="J58" s="213">
        <v>3276</v>
      </c>
      <c r="K58" s="214" t="s">
        <v>932</v>
      </c>
      <c r="L58" s="214" t="s">
        <v>933</v>
      </c>
      <c r="M58" s="214" t="s">
        <v>934</v>
      </c>
      <c r="N58" s="213">
        <v>134</v>
      </c>
      <c r="O58" s="215">
        <v>0.52219565313552097</v>
      </c>
      <c r="P58" s="213">
        <v>0.40322490860754495</v>
      </c>
      <c r="Q58" s="213">
        <v>1.7559231923802499</v>
      </c>
      <c r="R58" s="213">
        <v>7.0391404902464972E-4</v>
      </c>
      <c r="S58" s="213">
        <v>7800</v>
      </c>
      <c r="T58" s="216">
        <v>0.80533212214302075</v>
      </c>
      <c r="U58" s="216">
        <v>3.3226269981110501E-2</v>
      </c>
      <c r="V58" s="216">
        <v>-2.69769784408401</v>
      </c>
      <c r="W58" s="216">
        <v>1.0816264371206401E-2</v>
      </c>
      <c r="X58" s="144">
        <v>2.92310201</v>
      </c>
      <c r="Y58" s="178">
        <v>4.0176899999999988E-2</v>
      </c>
      <c r="Z58" s="217">
        <v>0.46</v>
      </c>
      <c r="AA58" s="217">
        <v>0.45</v>
      </c>
    </row>
    <row r="59" spans="1:27" x14ac:dyDescent="0.25">
      <c r="A59" s="136">
        <v>58</v>
      </c>
      <c r="B59" s="220" t="s">
        <v>851</v>
      </c>
      <c r="C59" s="220" t="s">
        <v>895</v>
      </c>
      <c r="D59" s="220"/>
      <c r="E59" s="213">
        <v>152</v>
      </c>
      <c r="F59" s="213">
        <v>1438</v>
      </c>
      <c r="G59" s="213" t="s">
        <v>935</v>
      </c>
      <c r="H59" s="213">
        <v>162291</v>
      </c>
      <c r="I59" s="213" t="s">
        <v>936</v>
      </c>
      <c r="J59" s="213">
        <v>4808</v>
      </c>
      <c r="K59" s="214" t="s">
        <v>937</v>
      </c>
      <c r="L59" s="214" t="s">
        <v>938</v>
      </c>
      <c r="M59" s="214" t="s">
        <v>939</v>
      </c>
      <c r="N59" s="213">
        <v>134</v>
      </c>
      <c r="O59" s="215">
        <v>0.52219565313552097</v>
      </c>
      <c r="P59" s="213">
        <v>0.40322490860754495</v>
      </c>
      <c r="Q59" s="213">
        <v>1.7559231923802499</v>
      </c>
      <c r="R59" s="213">
        <v>7.0391404902464972E-4</v>
      </c>
      <c r="S59" s="213">
        <v>7800</v>
      </c>
      <c r="T59" s="216">
        <v>0.80533212214302075</v>
      </c>
      <c r="U59" s="216">
        <v>3.3226269981110501E-2</v>
      </c>
      <c r="V59" s="216">
        <v>-2.69769784408401</v>
      </c>
      <c r="W59" s="216">
        <v>1.0816264371206401E-2</v>
      </c>
      <c r="X59" s="144">
        <v>2.92310201</v>
      </c>
      <c r="Y59" s="178">
        <v>4.0176899999999988E-2</v>
      </c>
      <c r="Z59" s="217">
        <v>0.46</v>
      </c>
      <c r="AA59" s="217">
        <v>0.45</v>
      </c>
    </row>
    <row r="60" spans="1:27" x14ac:dyDescent="0.25">
      <c r="A60" s="136">
        <v>59</v>
      </c>
      <c r="B60" s="220" t="s">
        <v>851</v>
      </c>
      <c r="C60" s="220" t="s">
        <v>895</v>
      </c>
      <c r="D60" s="220"/>
      <c r="E60" s="213">
        <v>172</v>
      </c>
      <c r="F60" s="213">
        <v>1442</v>
      </c>
      <c r="G60" s="213" t="s">
        <v>940</v>
      </c>
      <c r="H60" s="213">
        <v>458773</v>
      </c>
      <c r="I60" s="213" t="s">
        <v>941</v>
      </c>
      <c r="J60" s="213">
        <v>4814</v>
      </c>
      <c r="K60" s="214" t="s">
        <v>942</v>
      </c>
      <c r="L60" s="214" t="s">
        <v>943</v>
      </c>
      <c r="M60" s="214" t="s">
        <v>944</v>
      </c>
      <c r="N60" s="178"/>
      <c r="O60" s="179">
        <v>0.49608570000000002</v>
      </c>
      <c r="P60" s="178">
        <v>0.35638887800000002</v>
      </c>
      <c r="Q60" s="178">
        <v>1.7559231923802501</v>
      </c>
      <c r="R60" s="178">
        <v>1.73453652052958E-3</v>
      </c>
      <c r="S60" s="146"/>
      <c r="T60" s="146">
        <v>0.83890902321327565</v>
      </c>
      <c r="U60" s="146">
        <v>8.3953784296990505E-2</v>
      </c>
      <c r="V60" s="146">
        <v>-3.624676</v>
      </c>
      <c r="W60" s="146">
        <v>4.90156131891029E-2</v>
      </c>
      <c r="X60" s="144">
        <v>2.92310201</v>
      </c>
      <c r="Y60" s="178">
        <v>4.0176899999999988E-2</v>
      </c>
      <c r="Z60" s="217">
        <v>0.42403440000000003</v>
      </c>
      <c r="AA60" s="217">
        <v>0.45033333333333331</v>
      </c>
    </row>
    <row r="61" spans="1:27" x14ac:dyDescent="0.25">
      <c r="A61" s="136">
        <v>60</v>
      </c>
      <c r="B61" s="220" t="s">
        <v>851</v>
      </c>
      <c r="C61" s="220" t="s">
        <v>895</v>
      </c>
      <c r="D61" s="220"/>
      <c r="E61" s="213">
        <v>173</v>
      </c>
      <c r="F61" s="213">
        <v>1441</v>
      </c>
      <c r="G61" s="213" t="s">
        <v>945</v>
      </c>
      <c r="H61" s="213">
        <v>113696</v>
      </c>
      <c r="I61" s="213" t="s">
        <v>946</v>
      </c>
      <c r="J61" s="213">
        <v>4796</v>
      </c>
      <c r="K61" s="214" t="s">
        <v>947</v>
      </c>
      <c r="L61" s="214" t="s">
        <v>948</v>
      </c>
      <c r="M61" s="214" t="s">
        <v>949</v>
      </c>
      <c r="N61" s="178"/>
      <c r="O61" s="179">
        <v>0.49608570000000002</v>
      </c>
      <c r="P61" s="178">
        <v>0.35638887800000002</v>
      </c>
      <c r="Q61" s="178">
        <v>1.7559231923802501</v>
      </c>
      <c r="R61" s="178">
        <v>1.73453652052958E-3</v>
      </c>
      <c r="S61" s="146"/>
      <c r="T61" s="146">
        <v>0.83890902321327565</v>
      </c>
      <c r="U61" s="146">
        <v>8.3953784296990505E-2</v>
      </c>
      <c r="V61" s="146">
        <v>-3.624676</v>
      </c>
      <c r="W61" s="146">
        <v>4.90156131891029E-2</v>
      </c>
      <c r="X61" s="144">
        <v>2.92310201</v>
      </c>
      <c r="Y61" s="178">
        <v>4.0176899999999988E-2</v>
      </c>
      <c r="Z61" s="217">
        <v>0.42403440000000003</v>
      </c>
      <c r="AA61" s="217">
        <v>0.45033333333333331</v>
      </c>
    </row>
    <row r="62" spans="1:27" x14ac:dyDescent="0.25">
      <c r="A62" s="136">
        <v>61</v>
      </c>
      <c r="B62" s="221" t="s">
        <v>851</v>
      </c>
      <c r="C62" s="221" t="s">
        <v>895</v>
      </c>
      <c r="D62" s="221" t="s">
        <v>611</v>
      </c>
      <c r="E62" s="213"/>
      <c r="F62" s="213"/>
      <c r="G62" s="213" t="s">
        <v>950</v>
      </c>
      <c r="H62" s="213"/>
      <c r="I62" s="213" t="s">
        <v>951</v>
      </c>
      <c r="J62" s="213"/>
      <c r="K62" s="214"/>
      <c r="L62" s="214"/>
      <c r="M62" s="214"/>
      <c r="N62" s="178"/>
      <c r="O62" s="179">
        <v>0.49608570000000002</v>
      </c>
      <c r="P62" s="178">
        <v>0.35638887800000002</v>
      </c>
      <c r="Q62" s="178">
        <v>1.7559231923802501</v>
      </c>
      <c r="R62" s="178">
        <v>1.73453652052958E-3</v>
      </c>
      <c r="S62" s="146"/>
      <c r="T62" s="146">
        <v>0.83890902321327565</v>
      </c>
      <c r="U62" s="146">
        <v>8.3953784296990505E-2</v>
      </c>
      <c r="V62" s="146">
        <v>-3.624676</v>
      </c>
      <c r="W62" s="146">
        <v>4.90156131891029E-2</v>
      </c>
      <c r="X62" s="144">
        <v>2.92310201</v>
      </c>
      <c r="Y62" s="178">
        <v>4.0176899999999988E-2</v>
      </c>
      <c r="Z62" s="217">
        <v>0.42403440000000003</v>
      </c>
      <c r="AA62" s="217">
        <v>0.45033333333333331</v>
      </c>
    </row>
    <row r="63" spans="1:27" x14ac:dyDescent="0.25">
      <c r="A63" s="136">
        <v>62</v>
      </c>
      <c r="B63" s="221" t="s">
        <v>851</v>
      </c>
      <c r="C63" s="221" t="s">
        <v>895</v>
      </c>
      <c r="D63" s="221"/>
      <c r="E63" s="213"/>
      <c r="F63" s="213"/>
      <c r="G63" s="213" t="s">
        <v>952</v>
      </c>
      <c r="H63" s="213">
        <v>789303</v>
      </c>
      <c r="I63" s="213" t="s">
        <v>953</v>
      </c>
      <c r="J63" s="213"/>
      <c r="K63" s="214"/>
      <c r="L63" s="214" t="s">
        <v>954</v>
      </c>
      <c r="M63" s="214"/>
      <c r="N63" s="213">
        <v>7</v>
      </c>
      <c r="O63" s="215">
        <v>0.46775983942745297</v>
      </c>
      <c r="P63" s="213">
        <v>0.33212982406235203</v>
      </c>
      <c r="Q63" s="213">
        <v>1.7559231923802499</v>
      </c>
      <c r="R63" s="213">
        <v>1.9310167135428299E-3</v>
      </c>
      <c r="S63" s="146"/>
      <c r="T63" s="146">
        <v>0.83890902321327565</v>
      </c>
      <c r="U63" s="146">
        <v>8.3953784296990505E-2</v>
      </c>
      <c r="V63" s="146">
        <v>-3.624676</v>
      </c>
      <c r="W63" s="146">
        <v>4.90156131891029E-2</v>
      </c>
      <c r="X63" s="144">
        <v>2.92310201</v>
      </c>
      <c r="Y63" s="178">
        <v>4.0176899999999988E-2</v>
      </c>
      <c r="Z63" s="148">
        <v>0.42403440000000003</v>
      </c>
      <c r="AA63" s="148">
        <v>0.45033333333333331</v>
      </c>
    </row>
    <row r="64" spans="1:27" x14ac:dyDescent="0.25">
      <c r="A64" s="136">
        <v>63</v>
      </c>
      <c r="B64" s="221" t="s">
        <v>851</v>
      </c>
      <c r="C64" s="221" t="s">
        <v>895</v>
      </c>
      <c r="D64" s="221" t="s">
        <v>615</v>
      </c>
      <c r="E64" s="213"/>
      <c r="F64" s="213"/>
      <c r="G64" s="213" t="s">
        <v>955</v>
      </c>
      <c r="H64" s="213">
        <v>196293</v>
      </c>
      <c r="I64" s="213" t="s">
        <v>956</v>
      </c>
      <c r="J64" s="213"/>
      <c r="K64" s="214"/>
      <c r="L64" s="214" t="s">
        <v>957</v>
      </c>
      <c r="M64" s="214" t="s">
        <v>958</v>
      </c>
      <c r="N64" s="213">
        <v>2</v>
      </c>
      <c r="O64" s="215">
        <v>0.48359148314845302</v>
      </c>
      <c r="P64" s="213">
        <v>0.33229573185501998</v>
      </c>
      <c r="Q64" s="213">
        <v>1.7559231923802499</v>
      </c>
      <c r="R64" s="213">
        <v>2.0586090419193099E-3</v>
      </c>
      <c r="S64" s="146"/>
      <c r="T64" s="146">
        <v>0.83890902321327565</v>
      </c>
      <c r="U64" s="146">
        <v>8.3953784296990505E-2</v>
      </c>
      <c r="V64" s="146">
        <v>-3.624676</v>
      </c>
      <c r="W64" s="146">
        <v>4.90156131891029E-2</v>
      </c>
      <c r="X64" s="144">
        <v>2.92310201</v>
      </c>
      <c r="Y64" s="178">
        <v>4.0176899999999988E-2</v>
      </c>
      <c r="Z64" s="148">
        <v>0.42403440000000003</v>
      </c>
      <c r="AA64" s="148">
        <v>0.45033333333333331</v>
      </c>
    </row>
    <row r="65" spans="1:27" x14ac:dyDescent="0.25">
      <c r="A65" s="136">
        <v>64</v>
      </c>
      <c r="B65" s="222" t="s">
        <v>959</v>
      </c>
      <c r="C65" s="222" t="s">
        <v>960</v>
      </c>
      <c r="D65" s="222" t="s">
        <v>435</v>
      </c>
      <c r="E65" s="223">
        <v>99</v>
      </c>
      <c r="F65" s="223">
        <v>459</v>
      </c>
      <c r="G65" s="223" t="s">
        <v>961</v>
      </c>
      <c r="H65" s="223">
        <v>92497</v>
      </c>
      <c r="I65" s="223" t="s">
        <v>962</v>
      </c>
      <c r="J65" s="223">
        <v>1219</v>
      </c>
      <c r="K65" s="224">
        <v>39</v>
      </c>
      <c r="L65" s="224" t="s">
        <v>963</v>
      </c>
      <c r="M65" s="224" t="s">
        <v>964</v>
      </c>
      <c r="N65" s="141"/>
      <c r="O65" s="142">
        <v>0.49608570000000002</v>
      </c>
      <c r="P65" s="141">
        <v>0.52196460300000003</v>
      </c>
      <c r="Q65" s="141">
        <v>0.66106715155860996</v>
      </c>
      <c r="R65" s="141">
        <v>-1.6572449999999999E-3</v>
      </c>
      <c r="S65" s="225">
        <v>5</v>
      </c>
      <c r="T65" s="225">
        <v>0.74335115746939495</v>
      </c>
      <c r="U65" s="225">
        <v>0.11538688123697569</v>
      </c>
      <c r="V65" s="225">
        <v>-3.9010930798770902</v>
      </c>
      <c r="W65" s="225">
        <v>8.3474548617928676E-2</v>
      </c>
      <c r="X65" s="144">
        <v>2.5334992000000001</v>
      </c>
      <c r="Y65" s="141">
        <v>0.20005829999999999</v>
      </c>
      <c r="Z65" s="226">
        <v>0.68018999999999996</v>
      </c>
      <c r="AA65" s="226">
        <v>0.74</v>
      </c>
    </row>
    <row r="66" spans="1:27" x14ac:dyDescent="0.25">
      <c r="A66" s="136">
        <v>65</v>
      </c>
      <c r="B66" s="222" t="s">
        <v>959</v>
      </c>
      <c r="C66" s="222" t="s">
        <v>960</v>
      </c>
      <c r="D66" s="222" t="s">
        <v>435</v>
      </c>
      <c r="E66" s="223">
        <v>18</v>
      </c>
      <c r="F66" s="223">
        <v>631</v>
      </c>
      <c r="G66" s="223" t="s">
        <v>965</v>
      </c>
      <c r="H66" s="223">
        <v>79779</v>
      </c>
      <c r="I66" s="223" t="s">
        <v>966</v>
      </c>
      <c r="J66" s="223">
        <v>9</v>
      </c>
      <c r="K66" s="224" t="s">
        <v>967</v>
      </c>
      <c r="L66" s="224" t="s">
        <v>968</v>
      </c>
      <c r="M66" s="224" t="s">
        <v>969</v>
      </c>
      <c r="N66" s="141"/>
      <c r="O66" s="142">
        <v>0.49608570000000002</v>
      </c>
      <c r="P66" s="141">
        <v>0.52196460300000003</v>
      </c>
      <c r="Q66" s="141">
        <v>0.66106715155860996</v>
      </c>
      <c r="R66" s="141">
        <v>-1.6572449999999999E-3</v>
      </c>
      <c r="S66" s="146"/>
      <c r="T66" s="225">
        <v>0.79751119507667401</v>
      </c>
      <c r="U66" s="225">
        <v>9.3592357813797683E-2</v>
      </c>
      <c r="V66" s="225">
        <v>-3.7381957712661902</v>
      </c>
      <c r="W66" s="225">
        <v>5.9478399552348779E-2</v>
      </c>
      <c r="X66" s="144">
        <v>2.5334992000000001</v>
      </c>
      <c r="Y66" s="141">
        <v>0.20005829999999999</v>
      </c>
      <c r="Z66" s="226">
        <v>0.50800000000000001</v>
      </c>
      <c r="AA66" s="226">
        <v>0.55000000000000004</v>
      </c>
    </row>
    <row r="67" spans="1:27" x14ac:dyDescent="0.25">
      <c r="A67" s="136">
        <v>66</v>
      </c>
      <c r="B67" s="222" t="s">
        <v>959</v>
      </c>
      <c r="C67" s="222" t="s">
        <v>960</v>
      </c>
      <c r="D67" s="222" t="s">
        <v>435</v>
      </c>
      <c r="E67" s="223">
        <v>19</v>
      </c>
      <c r="F67" s="223">
        <v>632</v>
      </c>
      <c r="G67" s="223" t="s">
        <v>970</v>
      </c>
      <c r="H67" s="223">
        <v>79783</v>
      </c>
      <c r="I67" s="223" t="s">
        <v>971</v>
      </c>
      <c r="J67" s="223">
        <v>10</v>
      </c>
      <c r="K67" s="224" t="s">
        <v>972</v>
      </c>
      <c r="L67" s="224" t="s">
        <v>973</v>
      </c>
      <c r="M67" s="224" t="s">
        <v>974</v>
      </c>
      <c r="N67" s="223">
        <v>5</v>
      </c>
      <c r="O67" s="227">
        <v>0.486053761587938</v>
      </c>
      <c r="P67" s="223">
        <v>0.50203569212072596</v>
      </c>
      <c r="Q67" s="223">
        <v>0.66106715155860996</v>
      </c>
      <c r="R67" s="223">
        <v>-1.57520221886989E-3</v>
      </c>
      <c r="S67" s="146"/>
      <c r="T67" s="225">
        <v>0.79751119507667401</v>
      </c>
      <c r="U67" s="225">
        <v>9.3592357813797683E-2</v>
      </c>
      <c r="V67" s="225">
        <v>-3.7381957712661902</v>
      </c>
      <c r="W67" s="225">
        <v>5.9478399552348779E-2</v>
      </c>
      <c r="X67" s="223">
        <v>2.5334992000000001</v>
      </c>
      <c r="Y67" s="223">
        <v>0.20005829999999999</v>
      </c>
      <c r="Z67" s="226">
        <v>0.51</v>
      </c>
      <c r="AA67" s="226">
        <v>0.5</v>
      </c>
    </row>
    <row r="68" spans="1:27" x14ac:dyDescent="0.25">
      <c r="A68" s="136">
        <v>67</v>
      </c>
      <c r="B68" s="222" t="s">
        <v>959</v>
      </c>
      <c r="C68" s="222" t="s">
        <v>960</v>
      </c>
      <c r="D68" s="222" t="s">
        <v>435</v>
      </c>
      <c r="E68" s="223">
        <v>31</v>
      </c>
      <c r="F68" s="223">
        <v>627</v>
      </c>
      <c r="G68" s="223" t="s">
        <v>975</v>
      </c>
      <c r="H68" s="223">
        <v>79734</v>
      </c>
      <c r="I68" s="223" t="s">
        <v>976</v>
      </c>
      <c r="J68" s="223">
        <v>5</v>
      </c>
      <c r="K68" s="224" t="s">
        <v>977</v>
      </c>
      <c r="L68" s="224" t="s">
        <v>978</v>
      </c>
      <c r="M68" s="224" t="s">
        <v>979</v>
      </c>
      <c r="N68" s="223">
        <v>2</v>
      </c>
      <c r="O68" s="227">
        <v>0.50865833998370003</v>
      </c>
      <c r="P68" s="223">
        <v>0.53351841286952895</v>
      </c>
      <c r="Q68" s="223">
        <v>0.66106715155860996</v>
      </c>
      <c r="R68" s="223">
        <v>-1.6309232411533499E-3</v>
      </c>
      <c r="S68" s="146"/>
      <c r="T68" s="225">
        <v>0.79751119507667401</v>
      </c>
      <c r="U68" s="225">
        <v>9.3592357813797683E-2</v>
      </c>
      <c r="V68" s="225">
        <v>-3.7381957712661902</v>
      </c>
      <c r="W68" s="225">
        <v>5.9478399552348779E-2</v>
      </c>
      <c r="X68" s="223">
        <v>2.5334992000000001</v>
      </c>
      <c r="Y68" s="223">
        <v>0.20005829999999999</v>
      </c>
      <c r="Z68" s="228">
        <v>0.52520999999999995</v>
      </c>
      <c r="AA68" s="228">
        <v>0.54</v>
      </c>
    </row>
    <row r="69" spans="1:27" x14ac:dyDescent="0.25">
      <c r="A69" s="136">
        <v>68</v>
      </c>
      <c r="B69" s="229" t="s">
        <v>959</v>
      </c>
      <c r="C69" s="229" t="s">
        <v>960</v>
      </c>
      <c r="D69" s="229"/>
      <c r="E69" s="223">
        <v>32</v>
      </c>
      <c r="F69" s="223">
        <v>628</v>
      </c>
      <c r="G69" s="223" t="s">
        <v>980</v>
      </c>
      <c r="H69" s="223">
        <v>79763</v>
      </c>
      <c r="I69" s="223" t="s">
        <v>981</v>
      </c>
      <c r="J69" s="223">
        <v>6</v>
      </c>
      <c r="K69" s="224" t="s">
        <v>982</v>
      </c>
      <c r="L69" s="224" t="s">
        <v>983</v>
      </c>
      <c r="M69" s="224" t="s">
        <v>984</v>
      </c>
      <c r="N69" s="141"/>
      <c r="O69" s="142">
        <v>0.49608570000000002</v>
      </c>
      <c r="P69" s="141">
        <v>0.52196460300000003</v>
      </c>
      <c r="Q69" s="141">
        <v>0.66106715155860996</v>
      </c>
      <c r="R69" s="141">
        <v>-1.6572449999999999E-3</v>
      </c>
      <c r="S69" s="225">
        <v>18159</v>
      </c>
      <c r="T69" s="225">
        <v>0.79751119507667401</v>
      </c>
      <c r="U69" s="225">
        <v>9.3592357813797683E-2</v>
      </c>
      <c r="V69" s="225">
        <v>-3.7381957712661902</v>
      </c>
      <c r="W69" s="225">
        <v>5.9478399552348779E-2</v>
      </c>
      <c r="X69" s="144">
        <v>2.5334992000000001</v>
      </c>
      <c r="Y69" s="141">
        <v>0.20005829999999999</v>
      </c>
      <c r="Z69" s="148">
        <v>0.55584999999999996</v>
      </c>
      <c r="AA69" s="148">
        <v>0.58250000000000002</v>
      </c>
    </row>
    <row r="70" spans="1:27" x14ac:dyDescent="0.25">
      <c r="A70" s="136">
        <v>69</v>
      </c>
      <c r="B70" s="229" t="s">
        <v>959</v>
      </c>
      <c r="C70" s="229" t="s">
        <v>960</v>
      </c>
      <c r="D70" s="229"/>
      <c r="E70" s="223">
        <v>33</v>
      </c>
      <c r="F70" s="223">
        <v>626</v>
      </c>
      <c r="G70" s="223" t="s">
        <v>985</v>
      </c>
      <c r="H70" s="223">
        <v>130715</v>
      </c>
      <c r="I70" s="223" t="s">
        <v>986</v>
      </c>
      <c r="J70" s="223">
        <v>8</v>
      </c>
      <c r="K70" s="224" t="s">
        <v>987</v>
      </c>
      <c r="L70" s="224" t="s">
        <v>988</v>
      </c>
      <c r="M70" s="224" t="s">
        <v>989</v>
      </c>
      <c r="N70" s="141"/>
      <c r="O70" s="142">
        <v>0.49608570000000002</v>
      </c>
      <c r="P70" s="141">
        <v>0.52196460300000003</v>
      </c>
      <c r="Q70" s="141">
        <v>0.66106715155860996</v>
      </c>
      <c r="R70" s="141">
        <v>-1.6572449999999999E-3</v>
      </c>
      <c r="S70" s="225">
        <v>18159</v>
      </c>
      <c r="T70" s="225">
        <v>0.79751119507667401</v>
      </c>
      <c r="U70" s="225">
        <v>9.3592357813797683E-2</v>
      </c>
      <c r="V70" s="225">
        <v>-3.7381957712661902</v>
      </c>
      <c r="W70" s="225">
        <v>5.9478399552348779E-2</v>
      </c>
      <c r="X70" s="144">
        <v>2.5334992000000001</v>
      </c>
      <c r="Y70" s="141">
        <v>0.20005829999999999</v>
      </c>
      <c r="Z70" s="148">
        <v>0.55584999999999996</v>
      </c>
      <c r="AA70" s="148">
        <v>0.58250000000000002</v>
      </c>
    </row>
    <row r="71" spans="1:27" x14ac:dyDescent="0.25">
      <c r="A71" s="136">
        <v>70</v>
      </c>
      <c r="B71" s="229" t="s">
        <v>959</v>
      </c>
      <c r="C71" s="229" t="s">
        <v>960</v>
      </c>
      <c r="D71" s="229"/>
      <c r="E71" s="223">
        <v>77</v>
      </c>
      <c r="F71" s="223">
        <v>630</v>
      </c>
      <c r="G71" s="223" t="s">
        <v>990</v>
      </c>
      <c r="H71" s="223">
        <v>79766</v>
      </c>
      <c r="I71" s="223" t="s">
        <v>991</v>
      </c>
      <c r="J71" s="223">
        <v>7</v>
      </c>
      <c r="K71" s="224" t="s">
        <v>992</v>
      </c>
      <c r="L71" s="224" t="s">
        <v>993</v>
      </c>
      <c r="M71" s="224" t="s">
        <v>994</v>
      </c>
      <c r="N71" s="141"/>
      <c r="O71" s="142">
        <v>0.49608570000000002</v>
      </c>
      <c r="P71" s="141">
        <v>0.52196460300000003</v>
      </c>
      <c r="Q71" s="141">
        <v>0.66106715155860996</v>
      </c>
      <c r="R71" s="141">
        <v>-1.6572449999999999E-3</v>
      </c>
      <c r="S71" s="225">
        <v>18159</v>
      </c>
      <c r="T71" s="225">
        <v>0.79751119507667401</v>
      </c>
      <c r="U71" s="225">
        <v>9.3592357813797683E-2</v>
      </c>
      <c r="V71" s="225">
        <v>-3.7381957712661902</v>
      </c>
      <c r="W71" s="225">
        <v>5.9478399552348779E-2</v>
      </c>
      <c r="X71" s="144">
        <v>2.5334992000000001</v>
      </c>
      <c r="Y71" s="141">
        <v>0.20005829999999999</v>
      </c>
      <c r="Z71" s="148">
        <v>0.55584999999999996</v>
      </c>
      <c r="AA71" s="148">
        <v>0.58250000000000002</v>
      </c>
    </row>
    <row r="72" spans="1:27" x14ac:dyDescent="0.25">
      <c r="A72" s="136">
        <v>71</v>
      </c>
      <c r="B72" s="229" t="s">
        <v>959</v>
      </c>
      <c r="C72" s="229" t="s">
        <v>960</v>
      </c>
      <c r="D72" s="229"/>
      <c r="E72" s="223">
        <v>114</v>
      </c>
      <c r="F72" s="223">
        <v>749</v>
      </c>
      <c r="G72" s="223" t="s">
        <v>995</v>
      </c>
      <c r="H72" s="223">
        <v>609982</v>
      </c>
      <c r="I72" s="223" t="s">
        <v>996</v>
      </c>
      <c r="J72" s="223">
        <v>1738</v>
      </c>
      <c r="K72" s="224" t="s">
        <v>997</v>
      </c>
      <c r="L72" s="224" t="s">
        <v>998</v>
      </c>
      <c r="M72" s="224" t="s">
        <v>999</v>
      </c>
      <c r="N72" s="141"/>
      <c r="O72" s="142">
        <v>0.49608570000000002</v>
      </c>
      <c r="P72" s="141">
        <v>0.52196460300000003</v>
      </c>
      <c r="Q72" s="141">
        <v>0.66106715155860996</v>
      </c>
      <c r="R72" s="141">
        <v>-1.6572449999999999E-3</v>
      </c>
      <c r="S72" s="146"/>
      <c r="T72" s="146">
        <v>0.757382</v>
      </c>
      <c r="U72" s="146">
        <v>0.1024863525000487</v>
      </c>
      <c r="V72" s="146">
        <v>-3.624676</v>
      </c>
      <c r="W72" s="146">
        <v>6.7228474802671079E-2</v>
      </c>
      <c r="X72" s="144">
        <v>2.5334992000000001</v>
      </c>
      <c r="Y72" s="141">
        <v>0.20005829999999999</v>
      </c>
      <c r="Z72" s="226">
        <v>0.55584999999999996</v>
      </c>
      <c r="AA72" s="226">
        <v>0.58250000000000002</v>
      </c>
    </row>
    <row r="73" spans="1:27" x14ac:dyDescent="0.25">
      <c r="A73" s="136">
        <v>72</v>
      </c>
      <c r="B73" s="229" t="s">
        <v>959</v>
      </c>
      <c r="C73" s="229" t="s">
        <v>960</v>
      </c>
      <c r="D73" s="229"/>
      <c r="E73" s="223">
        <v>117</v>
      </c>
      <c r="F73" s="223">
        <v>890</v>
      </c>
      <c r="G73" s="223" t="s">
        <v>1000</v>
      </c>
      <c r="H73" s="223">
        <v>103514</v>
      </c>
      <c r="I73" s="223" t="s">
        <v>1001</v>
      </c>
      <c r="J73" s="223">
        <v>2214</v>
      </c>
      <c r="K73" s="224" t="s">
        <v>1002</v>
      </c>
      <c r="L73" s="224" t="s">
        <v>1003</v>
      </c>
      <c r="M73" s="224" t="s">
        <v>1004</v>
      </c>
      <c r="N73" s="141"/>
      <c r="O73" s="142">
        <v>0.49608570000000002</v>
      </c>
      <c r="P73" s="141">
        <v>0.52196460300000003</v>
      </c>
      <c r="Q73" s="141">
        <v>0.66106715155860996</v>
      </c>
      <c r="R73" s="141">
        <v>-1.6572449999999999E-3</v>
      </c>
      <c r="S73" s="146"/>
      <c r="T73" s="146">
        <v>0.757382</v>
      </c>
      <c r="U73" s="146">
        <v>0.1024863525000487</v>
      </c>
      <c r="V73" s="146">
        <v>-3.624676</v>
      </c>
      <c r="W73" s="146">
        <v>6.7228474802671079E-2</v>
      </c>
      <c r="X73" s="144">
        <v>2.5334992000000001</v>
      </c>
      <c r="Y73" s="141">
        <v>0.20005829999999999</v>
      </c>
      <c r="Z73" s="226">
        <v>0.55584999999999996</v>
      </c>
      <c r="AA73" s="226">
        <v>0.58250000000000002</v>
      </c>
    </row>
    <row r="74" spans="1:27" x14ac:dyDescent="0.25">
      <c r="A74" s="136">
        <v>73</v>
      </c>
      <c r="B74" s="230" t="s">
        <v>959</v>
      </c>
      <c r="C74" s="230" t="s">
        <v>960</v>
      </c>
      <c r="D74" s="230" t="s">
        <v>615</v>
      </c>
      <c r="E74" s="223"/>
      <c r="F74" s="223"/>
      <c r="G74" s="223" t="s">
        <v>1005</v>
      </c>
      <c r="H74" s="223">
        <v>188731</v>
      </c>
      <c r="I74" s="223" t="s">
        <v>1006</v>
      </c>
      <c r="J74" s="223"/>
      <c r="K74" s="224"/>
      <c r="L74" s="224"/>
      <c r="M74" s="224"/>
      <c r="N74" s="141"/>
      <c r="O74" s="142">
        <v>0.49608570000000002</v>
      </c>
      <c r="P74" s="141">
        <v>0.52196460300000003</v>
      </c>
      <c r="Q74" s="141">
        <v>0.66106715155860996</v>
      </c>
      <c r="R74" s="141">
        <v>-1.6572449999999999E-3</v>
      </c>
      <c r="S74" s="225">
        <v>18159</v>
      </c>
      <c r="T74" s="225">
        <v>0.79751119507667401</v>
      </c>
      <c r="U74" s="225">
        <v>9.3592357813797683E-2</v>
      </c>
      <c r="V74" s="225">
        <v>-3.7381957712661902</v>
      </c>
      <c r="W74" s="225">
        <v>5.9478399552348779E-2</v>
      </c>
      <c r="X74" s="144">
        <v>2.5334992000000001</v>
      </c>
      <c r="Y74" s="141">
        <v>0.20005829999999999</v>
      </c>
      <c r="Z74" s="148">
        <v>0.55584999999999996</v>
      </c>
      <c r="AA74" s="148">
        <v>0.58250000000000002</v>
      </c>
    </row>
    <row r="75" spans="1:27" x14ac:dyDescent="0.25">
      <c r="A75" s="136">
        <v>74</v>
      </c>
      <c r="B75" s="230" t="s">
        <v>959</v>
      </c>
      <c r="C75" s="230" t="s">
        <v>960</v>
      </c>
      <c r="D75" s="230" t="s">
        <v>611</v>
      </c>
      <c r="E75" s="223"/>
      <c r="F75" s="223"/>
      <c r="G75" s="223" t="s">
        <v>1007</v>
      </c>
      <c r="H75" s="223"/>
      <c r="I75" s="223" t="s">
        <v>1008</v>
      </c>
      <c r="J75" s="223"/>
      <c r="K75" s="224"/>
      <c r="L75" s="224"/>
      <c r="M75" s="224"/>
      <c r="N75" s="141"/>
      <c r="O75" s="142">
        <v>0.49608570000000002</v>
      </c>
      <c r="P75" s="141">
        <v>0.52196460300000003</v>
      </c>
      <c r="Q75" s="141">
        <v>0.66106715155860996</v>
      </c>
      <c r="R75" s="141">
        <v>-1.6572449999999999E-3</v>
      </c>
      <c r="S75" s="146"/>
      <c r="T75" s="146">
        <v>0.757382</v>
      </c>
      <c r="U75" s="146">
        <v>0.1024863525000487</v>
      </c>
      <c r="V75" s="146">
        <v>-3.624676</v>
      </c>
      <c r="W75" s="146">
        <v>6.7228474802671079E-2</v>
      </c>
      <c r="X75" s="144">
        <v>2.5334992000000001</v>
      </c>
      <c r="Y75" s="141">
        <v>0.20005829999999999</v>
      </c>
      <c r="Z75" s="226">
        <v>0.55584999999999996</v>
      </c>
      <c r="AA75" s="226">
        <v>0.58250000000000002</v>
      </c>
    </row>
    <row r="76" spans="1:27" x14ac:dyDescent="0.25">
      <c r="A76" s="136">
        <v>75</v>
      </c>
      <c r="B76" s="231" t="s">
        <v>959</v>
      </c>
      <c r="C76" s="231" t="s">
        <v>1009</v>
      </c>
      <c r="D76" s="231"/>
      <c r="E76" s="124">
        <v>70</v>
      </c>
      <c r="F76" s="124">
        <v>1284</v>
      </c>
      <c r="G76" s="124" t="s">
        <v>1010</v>
      </c>
      <c r="H76" s="124">
        <v>154447</v>
      </c>
      <c r="I76" s="124" t="s">
        <v>1011</v>
      </c>
      <c r="J76" s="124">
        <v>2947</v>
      </c>
      <c r="K76" s="232">
        <v>28</v>
      </c>
      <c r="L76" s="232" t="s">
        <v>1012</v>
      </c>
      <c r="M76" s="232" t="s">
        <v>1013</v>
      </c>
      <c r="N76" s="141"/>
      <c r="O76" s="142">
        <v>0.49608570000000002</v>
      </c>
      <c r="P76" s="141">
        <v>0.52196460300000003</v>
      </c>
      <c r="Q76" s="141">
        <v>0.66106715155860996</v>
      </c>
      <c r="R76" s="141">
        <v>-1.6572449999999999E-3</v>
      </c>
      <c r="S76" s="233">
        <v>33</v>
      </c>
      <c r="T76" s="233">
        <v>0.781651768639403</v>
      </c>
      <c r="U76" s="233">
        <v>7.0657264274980397E-2</v>
      </c>
      <c r="V76" s="233">
        <v>-2.4671448990927898</v>
      </c>
      <c r="W76" s="233">
        <v>2.5348496314184385E-2</v>
      </c>
      <c r="X76" s="144">
        <v>2.5334992000000001</v>
      </c>
      <c r="Y76" s="141">
        <v>0.20005829999999999</v>
      </c>
      <c r="Z76" s="148">
        <v>0.54067799999999999</v>
      </c>
      <c r="AA76" s="148">
        <v>0.54600000000000004</v>
      </c>
    </row>
    <row r="77" spans="1:27" x14ac:dyDescent="0.25">
      <c r="A77" s="136">
        <v>76</v>
      </c>
      <c r="B77" s="234" t="s">
        <v>959</v>
      </c>
      <c r="C77" s="234" t="s">
        <v>1009</v>
      </c>
      <c r="D77" s="234" t="s">
        <v>435</v>
      </c>
      <c r="E77" s="124">
        <v>101</v>
      </c>
      <c r="F77" s="124">
        <v>59</v>
      </c>
      <c r="G77" s="124" t="s">
        <v>1014</v>
      </c>
      <c r="H77" s="124">
        <v>124346</v>
      </c>
      <c r="I77" s="124" t="s">
        <v>1015</v>
      </c>
      <c r="J77" s="124">
        <v>4222</v>
      </c>
      <c r="K77" s="232">
        <v>41</v>
      </c>
      <c r="L77" s="232" t="s">
        <v>1016</v>
      </c>
      <c r="M77" s="232" t="s">
        <v>1017</v>
      </c>
      <c r="N77" s="141"/>
      <c r="O77" s="142">
        <v>0.49608570000000002</v>
      </c>
      <c r="P77" s="141">
        <v>0.52196460300000003</v>
      </c>
      <c r="Q77" s="141">
        <v>0.66106715155860996</v>
      </c>
      <c r="R77" s="141">
        <v>-1.6572449999999999E-3</v>
      </c>
      <c r="S77" s="146"/>
      <c r="T77" s="146">
        <v>0.757382</v>
      </c>
      <c r="U77" s="146">
        <v>0.1090653688389214</v>
      </c>
      <c r="V77" s="146">
        <v>-3.624676</v>
      </c>
      <c r="W77" s="146">
        <v>6.7228474802671079E-2</v>
      </c>
      <c r="X77" s="144">
        <v>2.5334992000000001</v>
      </c>
      <c r="Y77" s="141">
        <v>0.20005829999999999</v>
      </c>
      <c r="Z77" s="235">
        <v>0.61131000000000002</v>
      </c>
      <c r="AA77" s="235">
        <v>0.62</v>
      </c>
    </row>
    <row r="78" spans="1:27" x14ac:dyDescent="0.25">
      <c r="A78" s="136">
        <v>77</v>
      </c>
      <c r="B78" s="236" t="s">
        <v>959</v>
      </c>
      <c r="C78" s="236" t="s">
        <v>1009</v>
      </c>
      <c r="D78" s="236"/>
      <c r="E78" s="124">
        <v>102</v>
      </c>
      <c r="F78" s="124">
        <v>1975</v>
      </c>
      <c r="G78" s="124" t="s">
        <v>1018</v>
      </c>
      <c r="H78" s="124">
        <v>106365</v>
      </c>
      <c r="I78" s="124" t="s">
        <v>1019</v>
      </c>
      <c r="J78" s="124">
        <v>2558</v>
      </c>
      <c r="K78" s="232">
        <v>42</v>
      </c>
      <c r="L78" s="232" t="s">
        <v>1020</v>
      </c>
      <c r="M78" s="232" t="s">
        <v>1021</v>
      </c>
      <c r="N78" s="141"/>
      <c r="O78" s="142">
        <v>0.49608570000000002</v>
      </c>
      <c r="P78" s="141">
        <v>0.52196460300000003</v>
      </c>
      <c r="Q78" s="141">
        <v>0.66106715155860996</v>
      </c>
      <c r="R78" s="141">
        <v>-1.6572449999999999E-3</v>
      </c>
      <c r="S78" s="146"/>
      <c r="T78" s="146">
        <v>0.757382</v>
      </c>
      <c r="U78" s="146">
        <v>0.1090653688389214</v>
      </c>
      <c r="V78" s="146">
        <v>-3.624676</v>
      </c>
      <c r="W78" s="146">
        <v>6.7228474802671079E-2</v>
      </c>
      <c r="X78" s="144">
        <v>2.5334992000000001</v>
      </c>
      <c r="Y78" s="141">
        <v>0.20005829999999999</v>
      </c>
      <c r="Z78" s="148">
        <v>0.54067799999999999</v>
      </c>
      <c r="AA78" s="148">
        <v>0.54600000000000004</v>
      </c>
    </row>
    <row r="79" spans="1:27" x14ac:dyDescent="0.25">
      <c r="A79" s="136">
        <v>78</v>
      </c>
      <c r="B79" s="237" t="s">
        <v>959</v>
      </c>
      <c r="C79" s="237" t="s">
        <v>1009</v>
      </c>
      <c r="D79" s="237"/>
      <c r="E79" s="124">
        <v>34</v>
      </c>
      <c r="F79" s="124">
        <v>374</v>
      </c>
      <c r="G79" s="124" t="s">
        <v>1022</v>
      </c>
      <c r="H79" s="124">
        <v>116054</v>
      </c>
      <c r="I79" s="124" t="s">
        <v>1023</v>
      </c>
      <c r="J79" s="124">
        <v>3502</v>
      </c>
      <c r="K79" s="232" t="s">
        <v>1024</v>
      </c>
      <c r="L79" s="232" t="s">
        <v>1025</v>
      </c>
      <c r="M79" s="232" t="s">
        <v>1026</v>
      </c>
      <c r="N79" s="141"/>
      <c r="O79" s="142">
        <v>0.49608570000000002</v>
      </c>
      <c r="P79" s="141">
        <v>0.52196460300000003</v>
      </c>
      <c r="Q79" s="141">
        <v>0.66106715155860996</v>
      </c>
      <c r="R79" s="141">
        <v>-1.6572449999999999E-3</v>
      </c>
      <c r="S79" s="146"/>
      <c r="T79" s="146">
        <v>0.757382</v>
      </c>
      <c r="U79" s="146">
        <v>0.1090653688389214</v>
      </c>
      <c r="V79" s="146">
        <v>-3.624676</v>
      </c>
      <c r="W79" s="146">
        <v>6.7228474802671079E-2</v>
      </c>
      <c r="X79" s="144">
        <v>2.5334992000000001</v>
      </c>
      <c r="Y79" s="141">
        <v>0.20005829999999999</v>
      </c>
      <c r="Z79" s="235">
        <v>0.47355000000000003</v>
      </c>
      <c r="AA79" s="235">
        <v>0.56999999999999995</v>
      </c>
    </row>
    <row r="80" spans="1:27" x14ac:dyDescent="0.25">
      <c r="A80" s="136">
        <v>79</v>
      </c>
      <c r="B80" s="237" t="s">
        <v>959</v>
      </c>
      <c r="C80" s="237" t="s">
        <v>1009</v>
      </c>
      <c r="D80" s="237"/>
      <c r="E80" s="124">
        <v>35</v>
      </c>
      <c r="F80" s="124">
        <v>375</v>
      </c>
      <c r="G80" s="124" t="s">
        <v>1027</v>
      </c>
      <c r="H80" s="124">
        <v>116109</v>
      </c>
      <c r="I80" s="124" t="s">
        <v>1028</v>
      </c>
      <c r="J80" s="124">
        <v>3508</v>
      </c>
      <c r="K80" s="232" t="s">
        <v>1029</v>
      </c>
      <c r="L80" s="232" t="s">
        <v>1030</v>
      </c>
      <c r="M80" s="232" t="s">
        <v>1031</v>
      </c>
      <c r="N80" s="141"/>
      <c r="O80" s="142">
        <v>0.49608570000000002</v>
      </c>
      <c r="P80" s="141">
        <v>0.52196460300000003</v>
      </c>
      <c r="Q80" s="141">
        <v>0.66106715155860996</v>
      </c>
      <c r="R80" s="141">
        <v>-1.6572449999999999E-3</v>
      </c>
      <c r="S80" s="146"/>
      <c r="T80" s="146">
        <v>0.757382</v>
      </c>
      <c r="U80" s="146">
        <v>0.1090653688389214</v>
      </c>
      <c r="V80" s="146">
        <v>-3.624676</v>
      </c>
      <c r="W80" s="146">
        <v>6.7228474802671079E-2</v>
      </c>
      <c r="X80" s="144">
        <v>2.5334992000000001</v>
      </c>
      <c r="Y80" s="141">
        <v>0.20005829999999999</v>
      </c>
      <c r="Z80" s="235">
        <v>0.47355000000000003</v>
      </c>
      <c r="AA80" s="235">
        <v>0.56999999999999995</v>
      </c>
    </row>
    <row r="81" spans="1:27" x14ac:dyDescent="0.25">
      <c r="A81" s="136">
        <v>80</v>
      </c>
      <c r="B81" s="234" t="s">
        <v>959</v>
      </c>
      <c r="C81" s="234" t="s">
        <v>1009</v>
      </c>
      <c r="D81" s="234" t="s">
        <v>435</v>
      </c>
      <c r="E81" s="124">
        <v>36</v>
      </c>
      <c r="F81" s="124">
        <v>1196</v>
      </c>
      <c r="G81" s="124" t="s">
        <v>1032</v>
      </c>
      <c r="H81" s="124">
        <v>116043</v>
      </c>
      <c r="I81" s="124" t="s">
        <v>1033</v>
      </c>
      <c r="J81" s="124">
        <v>3499</v>
      </c>
      <c r="K81" s="232" t="s">
        <v>1034</v>
      </c>
      <c r="L81" s="232" t="s">
        <v>1035</v>
      </c>
      <c r="M81" s="232" t="s">
        <v>1036</v>
      </c>
      <c r="N81" s="124">
        <v>1</v>
      </c>
      <c r="O81" s="238">
        <v>0.49667710592460301</v>
      </c>
      <c r="P81" s="124">
        <v>0.52140632510686802</v>
      </c>
      <c r="Q81" s="124">
        <v>0.66106715155860996</v>
      </c>
      <c r="R81" s="124">
        <v>-1.6669234071863301E-3</v>
      </c>
      <c r="S81" s="233">
        <v>7398</v>
      </c>
      <c r="T81" s="233">
        <v>0.88283511326750796</v>
      </c>
      <c r="U81" s="233">
        <v>7.2724284753124396E-2</v>
      </c>
      <c r="V81" s="233">
        <v>-3.9465447312733302</v>
      </c>
      <c r="W81" s="233">
        <v>4.3135937660938484E-2</v>
      </c>
      <c r="X81" s="124">
        <v>2.5334992000000001</v>
      </c>
      <c r="Y81" s="124">
        <v>0.20005829999999999</v>
      </c>
      <c r="Z81" s="148">
        <v>0.54067799999999999</v>
      </c>
      <c r="AA81" s="148">
        <v>0.54600000000000004</v>
      </c>
    </row>
    <row r="82" spans="1:27" x14ac:dyDescent="0.25">
      <c r="A82" s="136">
        <v>81</v>
      </c>
      <c r="B82" s="237" t="s">
        <v>959</v>
      </c>
      <c r="C82" s="237" t="s">
        <v>1009</v>
      </c>
      <c r="D82" s="237"/>
      <c r="E82" s="124">
        <v>37</v>
      </c>
      <c r="F82" s="124">
        <v>378</v>
      </c>
      <c r="G82" s="124" t="s">
        <v>1037</v>
      </c>
      <c r="H82" s="124">
        <v>116137</v>
      </c>
      <c r="I82" s="124" t="s">
        <v>1038</v>
      </c>
      <c r="J82" s="124">
        <v>3511</v>
      </c>
      <c r="K82" s="232" t="s">
        <v>1039</v>
      </c>
      <c r="L82" s="232" t="s">
        <v>1040</v>
      </c>
      <c r="M82" s="232" t="s">
        <v>1041</v>
      </c>
      <c r="N82" s="141"/>
      <c r="O82" s="142">
        <v>0.49608570000000002</v>
      </c>
      <c r="P82" s="141">
        <v>0.52196460300000003</v>
      </c>
      <c r="Q82" s="141">
        <v>0.66106715155860996</v>
      </c>
      <c r="R82" s="141">
        <v>-1.6572449999999999E-3</v>
      </c>
      <c r="S82" s="146"/>
      <c r="T82" s="146">
        <v>0.757382</v>
      </c>
      <c r="U82" s="146">
        <v>0.1090653688389214</v>
      </c>
      <c r="V82" s="146">
        <v>-3.624676</v>
      </c>
      <c r="W82" s="146">
        <v>6.7228474802671079E-2</v>
      </c>
      <c r="X82" s="144">
        <v>2.5334992000000001</v>
      </c>
      <c r="Y82" s="141">
        <v>0.20005829999999999</v>
      </c>
      <c r="Z82" s="235">
        <v>0.47355000000000003</v>
      </c>
      <c r="AA82" s="235">
        <v>0.56999999999999995</v>
      </c>
    </row>
    <row r="83" spans="1:27" x14ac:dyDescent="0.25">
      <c r="A83" s="136">
        <v>82</v>
      </c>
      <c r="B83" s="237" t="s">
        <v>959</v>
      </c>
      <c r="C83" s="237" t="s">
        <v>1009</v>
      </c>
      <c r="D83" s="237"/>
      <c r="E83" s="124">
        <v>38</v>
      </c>
      <c r="F83" s="124">
        <v>61</v>
      </c>
      <c r="G83" s="124" t="s">
        <v>1042</v>
      </c>
      <c r="H83" s="124">
        <v>116068</v>
      </c>
      <c r="I83" s="124" t="s">
        <v>1043</v>
      </c>
      <c r="J83" s="124">
        <v>3497</v>
      </c>
      <c r="K83" s="232" t="s">
        <v>1044</v>
      </c>
      <c r="L83" s="232" t="s">
        <v>1045</v>
      </c>
      <c r="M83" s="232" t="s">
        <v>1046</v>
      </c>
      <c r="N83" s="141"/>
      <c r="O83" s="142">
        <v>0.49608570000000002</v>
      </c>
      <c r="P83" s="141">
        <v>0.52196460300000003</v>
      </c>
      <c r="Q83" s="141">
        <v>0.66106715155860996</v>
      </c>
      <c r="R83" s="141">
        <v>-1.6572449999999999E-3</v>
      </c>
      <c r="S83" s="146"/>
      <c r="T83" s="146">
        <v>0.757382</v>
      </c>
      <c r="U83" s="146">
        <v>0.1090653688389214</v>
      </c>
      <c r="V83" s="146">
        <v>-3.624676</v>
      </c>
      <c r="W83" s="146">
        <v>6.7228474802671079E-2</v>
      </c>
      <c r="X83" s="144">
        <v>2.5334992000000001</v>
      </c>
      <c r="Y83" s="141">
        <v>0.20005829999999999</v>
      </c>
      <c r="Z83" s="235">
        <v>0.47355000000000003</v>
      </c>
      <c r="AA83" s="235">
        <v>0.56999999999999995</v>
      </c>
    </row>
    <row r="84" spans="1:27" x14ac:dyDescent="0.25">
      <c r="A84" s="136">
        <v>83</v>
      </c>
      <c r="B84" s="237" t="s">
        <v>959</v>
      </c>
      <c r="C84" s="237" t="s">
        <v>1009</v>
      </c>
      <c r="D84" s="237"/>
      <c r="E84" s="124">
        <v>39</v>
      </c>
      <c r="F84" s="124">
        <v>55</v>
      </c>
      <c r="G84" s="124" t="s">
        <v>1047</v>
      </c>
      <c r="H84" s="124">
        <v>124306</v>
      </c>
      <c r="I84" s="124" t="s">
        <v>1048</v>
      </c>
      <c r="J84" s="124">
        <v>4214</v>
      </c>
      <c r="K84" s="232" t="s">
        <v>1049</v>
      </c>
      <c r="L84" s="232" t="s">
        <v>1050</v>
      </c>
      <c r="M84" s="232" t="s">
        <v>1051</v>
      </c>
      <c r="N84" s="141"/>
      <c r="O84" s="142">
        <v>0.49608570000000002</v>
      </c>
      <c r="P84" s="141">
        <v>0.52196460300000003</v>
      </c>
      <c r="Q84" s="141">
        <v>0.66106715155860996</v>
      </c>
      <c r="R84" s="141">
        <v>-1.6572449999999999E-3</v>
      </c>
      <c r="S84" s="146"/>
      <c r="T84" s="146">
        <v>0.757382</v>
      </c>
      <c r="U84" s="146">
        <v>0.1090653688389214</v>
      </c>
      <c r="V84" s="146">
        <v>-3.624676</v>
      </c>
      <c r="W84" s="146">
        <v>6.7228474802671079E-2</v>
      </c>
      <c r="X84" s="144">
        <v>2.5334992000000001</v>
      </c>
      <c r="Y84" s="141">
        <v>0.20005829999999999</v>
      </c>
      <c r="Z84" s="235">
        <v>0.61131000000000002</v>
      </c>
      <c r="AA84" s="235">
        <v>0.62</v>
      </c>
    </row>
    <row r="85" spans="1:27" x14ac:dyDescent="0.25">
      <c r="A85" s="136">
        <v>84</v>
      </c>
      <c r="B85" s="237" t="s">
        <v>959</v>
      </c>
      <c r="C85" s="237" t="s">
        <v>1009</v>
      </c>
      <c r="D85" s="237"/>
      <c r="E85" s="124">
        <v>40</v>
      </c>
      <c r="F85" s="124">
        <v>56</v>
      </c>
      <c r="G85" s="124" t="s">
        <v>1052</v>
      </c>
      <c r="H85" s="124">
        <v>124325</v>
      </c>
      <c r="I85" s="124" t="s">
        <v>1053</v>
      </c>
      <c r="J85" s="124">
        <v>4219</v>
      </c>
      <c r="K85" s="232" t="s">
        <v>1054</v>
      </c>
      <c r="L85" s="232" t="s">
        <v>1055</v>
      </c>
      <c r="M85" s="232" t="s">
        <v>1056</v>
      </c>
      <c r="N85" s="141"/>
      <c r="O85" s="142">
        <v>0.49608570000000002</v>
      </c>
      <c r="P85" s="141">
        <v>0.52196460300000003</v>
      </c>
      <c r="Q85" s="141">
        <v>0.66106715155860996</v>
      </c>
      <c r="R85" s="141">
        <v>-1.6572449999999999E-3</v>
      </c>
      <c r="S85" s="146"/>
      <c r="T85" s="146">
        <v>0.757382</v>
      </c>
      <c r="U85" s="146">
        <v>0.1090653688389214</v>
      </c>
      <c r="V85" s="146">
        <v>-3.624676</v>
      </c>
      <c r="W85" s="146">
        <v>6.7228474802671079E-2</v>
      </c>
      <c r="X85" s="144">
        <v>2.5334992000000001</v>
      </c>
      <c r="Y85" s="141">
        <v>0.20005829999999999</v>
      </c>
      <c r="Z85" s="235">
        <v>0.61131000000000002</v>
      </c>
      <c r="AA85" s="235">
        <v>0.62</v>
      </c>
    </row>
    <row r="86" spans="1:27" x14ac:dyDescent="0.25">
      <c r="A86" s="136">
        <v>85</v>
      </c>
      <c r="B86" s="237" t="s">
        <v>959</v>
      </c>
      <c r="C86" s="237" t="s">
        <v>1009</v>
      </c>
      <c r="D86" s="237"/>
      <c r="E86" s="124">
        <v>41</v>
      </c>
      <c r="F86" s="124">
        <v>57</v>
      </c>
      <c r="G86" s="124" t="s">
        <v>1057</v>
      </c>
      <c r="H86" s="124">
        <v>124329</v>
      </c>
      <c r="I86" s="124" t="s">
        <v>1058</v>
      </c>
      <c r="J86" s="124">
        <v>4220</v>
      </c>
      <c r="K86" s="232" t="s">
        <v>1059</v>
      </c>
      <c r="L86" s="232" t="s">
        <v>1060</v>
      </c>
      <c r="M86" s="232" t="s">
        <v>1061</v>
      </c>
      <c r="N86" s="141"/>
      <c r="O86" s="142">
        <v>0.49608570000000002</v>
      </c>
      <c r="P86" s="141">
        <v>0.52196460300000003</v>
      </c>
      <c r="Q86" s="141">
        <v>0.66106715155860996</v>
      </c>
      <c r="R86" s="141">
        <v>-1.6572449999999999E-3</v>
      </c>
      <c r="S86" s="146"/>
      <c r="T86" s="146">
        <v>0.757382</v>
      </c>
      <c r="U86" s="146">
        <v>0.1090653688389214</v>
      </c>
      <c r="V86" s="146">
        <v>-3.624676</v>
      </c>
      <c r="W86" s="146">
        <v>6.7228474802671079E-2</v>
      </c>
      <c r="X86" s="144">
        <v>2.5334992000000001</v>
      </c>
      <c r="Y86" s="141">
        <v>0.20005829999999999</v>
      </c>
      <c r="Z86" s="235">
        <v>0.61131000000000002</v>
      </c>
      <c r="AA86" s="235">
        <v>0.62</v>
      </c>
    </row>
    <row r="87" spans="1:27" x14ac:dyDescent="0.25">
      <c r="A87" s="136">
        <v>86</v>
      </c>
      <c r="B87" s="237" t="s">
        <v>959</v>
      </c>
      <c r="C87" s="237" t="s">
        <v>1009</v>
      </c>
      <c r="D87" s="237"/>
      <c r="E87" s="124">
        <v>42</v>
      </c>
      <c r="F87" s="124">
        <v>456</v>
      </c>
      <c r="G87" s="124" t="s">
        <v>1062</v>
      </c>
      <c r="H87" s="124">
        <v>124319</v>
      </c>
      <c r="I87" s="124" t="s">
        <v>1063</v>
      </c>
      <c r="J87" s="124">
        <v>4217</v>
      </c>
      <c r="K87" s="232" t="s">
        <v>1064</v>
      </c>
      <c r="L87" s="232" t="s">
        <v>1065</v>
      </c>
      <c r="M87" s="232" t="s">
        <v>1066</v>
      </c>
      <c r="N87" s="141"/>
      <c r="O87" s="142">
        <v>0.49608570000000002</v>
      </c>
      <c r="P87" s="141">
        <v>0.52196460300000003</v>
      </c>
      <c r="Q87" s="141">
        <v>0.66106715155860996</v>
      </c>
      <c r="R87" s="141">
        <v>-1.6572449999999999E-3</v>
      </c>
      <c r="S87" s="146"/>
      <c r="T87" s="146">
        <v>0.757382</v>
      </c>
      <c r="U87" s="146">
        <v>0.1090653688389214</v>
      </c>
      <c r="V87" s="146">
        <v>-3.624676</v>
      </c>
      <c r="W87" s="146">
        <v>6.7228474802671079E-2</v>
      </c>
      <c r="X87" s="144">
        <v>2.5334992000000001</v>
      </c>
      <c r="Y87" s="141">
        <v>0.20005829999999999</v>
      </c>
      <c r="Z87" s="235">
        <v>0.61131000000000002</v>
      </c>
      <c r="AA87" s="235">
        <v>0.62</v>
      </c>
    </row>
    <row r="88" spans="1:27" x14ac:dyDescent="0.25">
      <c r="A88" s="136">
        <v>87</v>
      </c>
      <c r="B88" s="237" t="s">
        <v>959</v>
      </c>
      <c r="C88" s="237" t="s">
        <v>1009</v>
      </c>
      <c r="D88" s="237"/>
      <c r="E88" s="124">
        <v>44</v>
      </c>
      <c r="F88" s="124">
        <v>1481</v>
      </c>
      <c r="G88" s="124" t="s">
        <v>1067</v>
      </c>
      <c r="H88" s="124">
        <v>116610</v>
      </c>
      <c r="I88" s="124" t="s">
        <v>1068</v>
      </c>
      <c r="J88" s="124">
        <v>3289</v>
      </c>
      <c r="K88" s="232" t="s">
        <v>1069</v>
      </c>
      <c r="L88" s="232" t="s">
        <v>1070</v>
      </c>
      <c r="M88" s="232" t="s">
        <v>1071</v>
      </c>
      <c r="N88" s="141"/>
      <c r="O88" s="142">
        <v>0.49608570000000002</v>
      </c>
      <c r="P88" s="141">
        <v>0.52196460300000003</v>
      </c>
      <c r="Q88" s="141">
        <v>0.66106715155860996</v>
      </c>
      <c r="R88" s="141">
        <v>-1.6572449999999999E-3</v>
      </c>
      <c r="S88" s="233">
        <v>7544</v>
      </c>
      <c r="T88" s="233">
        <v>0.76722830665911801</v>
      </c>
      <c r="U88" s="233">
        <v>0.10074191441951269</v>
      </c>
      <c r="V88" s="233">
        <v>-3.3651101905376901</v>
      </c>
      <c r="W88" s="233">
        <v>6.1350030702654282E-2</v>
      </c>
      <c r="X88" s="144">
        <v>2.5334992000000001</v>
      </c>
      <c r="Y88" s="141">
        <v>0.20005829999999999</v>
      </c>
      <c r="Z88" s="148">
        <v>0.54067799999999999</v>
      </c>
      <c r="AA88" s="148">
        <v>0.54600000000000004</v>
      </c>
    </row>
    <row r="89" spans="1:27" x14ac:dyDescent="0.25">
      <c r="A89" s="136">
        <v>88</v>
      </c>
      <c r="B89" s="237" t="s">
        <v>959</v>
      </c>
      <c r="C89" s="237" t="s">
        <v>1009</v>
      </c>
      <c r="D89" s="237"/>
      <c r="E89" s="124">
        <v>45</v>
      </c>
      <c r="F89" s="124">
        <v>1483</v>
      </c>
      <c r="G89" s="124" t="s">
        <v>1072</v>
      </c>
      <c r="H89" s="124">
        <v>116600</v>
      </c>
      <c r="I89" s="124" t="s">
        <v>1073</v>
      </c>
      <c r="J89" s="124">
        <v>3290</v>
      </c>
      <c r="K89" s="232" t="s">
        <v>1074</v>
      </c>
      <c r="L89" s="232" t="s">
        <v>1075</v>
      </c>
      <c r="M89" s="232" t="s">
        <v>1076</v>
      </c>
      <c r="N89" s="141"/>
      <c r="O89" s="142">
        <v>0.49608570000000002</v>
      </c>
      <c r="P89" s="141">
        <v>0.52196460300000003</v>
      </c>
      <c r="Q89" s="141">
        <v>0.66106715155860996</v>
      </c>
      <c r="R89" s="141">
        <v>-1.6572449999999999E-3</v>
      </c>
      <c r="S89" s="233">
        <v>7544</v>
      </c>
      <c r="T89" s="233">
        <v>0.76722830665911801</v>
      </c>
      <c r="U89" s="233">
        <v>0.10074191441951269</v>
      </c>
      <c r="V89" s="233">
        <v>-3.3651101905376901</v>
      </c>
      <c r="W89" s="233">
        <v>6.1350030702654282E-2</v>
      </c>
      <c r="X89" s="144">
        <v>2.5334992000000001</v>
      </c>
      <c r="Y89" s="141">
        <v>0.20005829999999999</v>
      </c>
      <c r="Z89" s="148">
        <v>0.54067799999999999</v>
      </c>
      <c r="AA89" s="148">
        <v>0.54600000000000004</v>
      </c>
    </row>
    <row r="90" spans="1:27" x14ac:dyDescent="0.25">
      <c r="A90" s="136">
        <v>89</v>
      </c>
      <c r="B90" s="237" t="s">
        <v>959</v>
      </c>
      <c r="C90" s="237" t="s">
        <v>1009</v>
      </c>
      <c r="D90" s="237"/>
      <c r="E90" s="124">
        <v>46</v>
      </c>
      <c r="F90" s="124">
        <v>1577</v>
      </c>
      <c r="G90" s="124" t="s">
        <v>1077</v>
      </c>
      <c r="H90" s="124">
        <v>116067</v>
      </c>
      <c r="I90" s="124" t="s">
        <v>1078</v>
      </c>
      <c r="J90" s="124">
        <v>3503</v>
      </c>
      <c r="K90" s="232" t="s">
        <v>1079</v>
      </c>
      <c r="L90" s="232" t="s">
        <v>1080</v>
      </c>
      <c r="M90" s="232" t="s">
        <v>1081</v>
      </c>
      <c r="N90" s="141"/>
      <c r="O90" s="142">
        <v>0.49608570000000002</v>
      </c>
      <c r="P90" s="141">
        <v>0.52196460300000003</v>
      </c>
      <c r="Q90" s="141">
        <v>0.66106715155860996</v>
      </c>
      <c r="R90" s="141">
        <v>-1.6572449999999999E-3</v>
      </c>
      <c r="S90" s="146"/>
      <c r="T90" s="146">
        <v>0.757382</v>
      </c>
      <c r="U90" s="146">
        <v>0.1090653688389214</v>
      </c>
      <c r="V90" s="146">
        <v>-3.624676</v>
      </c>
      <c r="W90" s="146">
        <v>6.7228474802671079E-2</v>
      </c>
      <c r="X90" s="144">
        <v>2.5334992000000001</v>
      </c>
      <c r="Y90" s="141">
        <v>0.20005829999999999</v>
      </c>
      <c r="Z90" s="235">
        <v>0.47355000000000003</v>
      </c>
      <c r="AA90" s="235">
        <v>0.56999999999999995</v>
      </c>
    </row>
    <row r="91" spans="1:27" x14ac:dyDescent="0.25">
      <c r="A91" s="136">
        <v>90</v>
      </c>
      <c r="B91" s="237" t="s">
        <v>959</v>
      </c>
      <c r="C91" s="237" t="s">
        <v>1009</v>
      </c>
      <c r="D91" s="237"/>
      <c r="E91" s="124">
        <v>47</v>
      </c>
      <c r="F91" s="124">
        <v>1482</v>
      </c>
      <c r="G91" s="124" t="s">
        <v>1082</v>
      </c>
      <c r="H91" s="124">
        <v>116576</v>
      </c>
      <c r="I91" s="124" t="s">
        <v>1083</v>
      </c>
      <c r="J91" s="124">
        <v>4832</v>
      </c>
      <c r="K91" s="232" t="s">
        <v>1084</v>
      </c>
      <c r="L91" s="232"/>
      <c r="M91" s="232"/>
      <c r="N91" s="141"/>
      <c r="O91" s="142">
        <v>0.49608570000000002</v>
      </c>
      <c r="P91" s="141">
        <v>0.52196460300000003</v>
      </c>
      <c r="Q91" s="141">
        <v>0.66106715155860996</v>
      </c>
      <c r="R91" s="141">
        <v>-1.6572449999999999E-3</v>
      </c>
      <c r="S91" s="233">
        <v>7544</v>
      </c>
      <c r="T91" s="233">
        <v>0.76722830665911801</v>
      </c>
      <c r="U91" s="233">
        <v>0.10074191441951269</v>
      </c>
      <c r="V91" s="233">
        <v>-3.3651101905376901</v>
      </c>
      <c r="W91" s="233">
        <v>6.1350030702654282E-2</v>
      </c>
      <c r="X91" s="144">
        <v>2.5334992000000001</v>
      </c>
      <c r="Y91" s="141">
        <v>0.20005829999999999</v>
      </c>
      <c r="Z91" s="148">
        <v>0.54067799999999999</v>
      </c>
      <c r="AA91" s="148">
        <v>0.54600000000000004</v>
      </c>
    </row>
    <row r="92" spans="1:27" x14ac:dyDescent="0.25">
      <c r="A92" s="136">
        <v>91</v>
      </c>
      <c r="B92" s="237" t="s">
        <v>959</v>
      </c>
      <c r="C92" s="237" t="s">
        <v>1009</v>
      </c>
      <c r="D92" s="237"/>
      <c r="E92" s="124">
        <v>48</v>
      </c>
      <c r="F92" s="124">
        <v>1518</v>
      </c>
      <c r="G92" s="124" t="s">
        <v>1085</v>
      </c>
      <c r="H92" s="124">
        <v>107217</v>
      </c>
      <c r="I92" s="124" t="s">
        <v>1086</v>
      </c>
      <c r="J92" s="124">
        <v>3291</v>
      </c>
      <c r="K92" s="232" t="s">
        <v>1087</v>
      </c>
      <c r="L92" s="232" t="s">
        <v>1088</v>
      </c>
      <c r="M92" s="232" t="s">
        <v>1089</v>
      </c>
      <c r="N92" s="141"/>
      <c r="O92" s="142">
        <v>0.49608570000000002</v>
      </c>
      <c r="P92" s="141">
        <v>0.52196460300000003</v>
      </c>
      <c r="Q92" s="141">
        <v>0.66106715155860996</v>
      </c>
      <c r="R92" s="141">
        <v>-1.6572449999999999E-3</v>
      </c>
      <c r="S92" s="233">
        <v>7544</v>
      </c>
      <c r="T92" s="233">
        <v>0.76722830665911801</v>
      </c>
      <c r="U92" s="233">
        <v>0.10074191441951269</v>
      </c>
      <c r="V92" s="233">
        <v>-3.3651101905376901</v>
      </c>
      <c r="W92" s="233">
        <v>6.1350030702654282E-2</v>
      </c>
      <c r="X92" s="144">
        <v>2.5334992000000001</v>
      </c>
      <c r="Y92" s="141">
        <v>0.20005829999999999</v>
      </c>
      <c r="Z92" s="148">
        <v>0.54067799999999999</v>
      </c>
      <c r="AA92" s="148">
        <v>0.54600000000000004</v>
      </c>
    </row>
    <row r="93" spans="1:27" x14ac:dyDescent="0.25">
      <c r="A93" s="136">
        <v>92</v>
      </c>
      <c r="B93" s="237" t="s">
        <v>959</v>
      </c>
      <c r="C93" s="237" t="s">
        <v>1009</v>
      </c>
      <c r="D93" s="237"/>
      <c r="E93" s="124">
        <v>49</v>
      </c>
      <c r="F93" s="124">
        <v>1878</v>
      </c>
      <c r="G93" s="124" t="s">
        <v>1090</v>
      </c>
      <c r="H93" s="124">
        <v>611482</v>
      </c>
      <c r="I93" s="124" t="s">
        <v>1091</v>
      </c>
      <c r="J93" s="124">
        <v>4218</v>
      </c>
      <c r="K93" s="232" t="s">
        <v>1092</v>
      </c>
      <c r="L93" s="232"/>
      <c r="M93" s="232"/>
      <c r="N93" s="141"/>
      <c r="O93" s="142">
        <v>0.49608570000000002</v>
      </c>
      <c r="P93" s="141">
        <v>0.52196460300000003</v>
      </c>
      <c r="Q93" s="141">
        <v>0.66106715155860996</v>
      </c>
      <c r="R93" s="141">
        <v>-1.6572449999999999E-3</v>
      </c>
      <c r="S93" s="146"/>
      <c r="T93" s="146">
        <v>0.757382</v>
      </c>
      <c r="U93" s="146">
        <v>0.1090653688389214</v>
      </c>
      <c r="V93" s="146">
        <v>-3.624676</v>
      </c>
      <c r="W93" s="146">
        <v>6.7228474802671079E-2</v>
      </c>
      <c r="X93" s="144">
        <v>2.5334992000000001</v>
      </c>
      <c r="Y93" s="141">
        <v>0.20005829999999999</v>
      </c>
      <c r="Z93" s="235">
        <v>0.61131000000000002</v>
      </c>
      <c r="AA93" s="235">
        <v>0.62</v>
      </c>
    </row>
    <row r="94" spans="1:27" x14ac:dyDescent="0.25">
      <c r="A94" s="136">
        <v>93</v>
      </c>
      <c r="B94" s="234" t="s">
        <v>959</v>
      </c>
      <c r="C94" s="234" t="s">
        <v>1009</v>
      </c>
      <c r="D94" s="234" t="s">
        <v>435</v>
      </c>
      <c r="E94" s="124">
        <v>50</v>
      </c>
      <c r="F94" s="124">
        <v>1879</v>
      </c>
      <c r="G94" s="124" t="s">
        <v>1093</v>
      </c>
      <c r="H94" s="124">
        <v>141317</v>
      </c>
      <c r="I94" s="124" t="s">
        <v>1094</v>
      </c>
      <c r="J94" s="124">
        <v>4215</v>
      </c>
      <c r="K94" s="232" t="s">
        <v>1095</v>
      </c>
      <c r="L94" s="232" t="s">
        <v>1096</v>
      </c>
      <c r="M94" s="232" t="s">
        <v>1097</v>
      </c>
      <c r="N94" s="141"/>
      <c r="O94" s="142">
        <v>0.49608570000000002</v>
      </c>
      <c r="P94" s="141">
        <v>0.52196460300000003</v>
      </c>
      <c r="Q94" s="141">
        <v>0.66106715155860996</v>
      </c>
      <c r="R94" s="141">
        <v>-1.6572449999999999E-3</v>
      </c>
      <c r="S94" s="146"/>
      <c r="T94" s="146">
        <v>0.757382</v>
      </c>
      <c r="U94" s="146">
        <v>0.1090653688389214</v>
      </c>
      <c r="V94" s="146">
        <v>-3.624676</v>
      </c>
      <c r="W94" s="146">
        <v>6.7228474802671079E-2</v>
      </c>
      <c r="X94" s="144">
        <v>2.5334992000000001</v>
      </c>
      <c r="Y94" s="141">
        <v>0.20005829999999999</v>
      </c>
      <c r="Z94" s="235">
        <v>0.62853000000000003</v>
      </c>
      <c r="AA94" s="235">
        <v>0.56999999999999995</v>
      </c>
    </row>
    <row r="95" spans="1:27" x14ac:dyDescent="0.25">
      <c r="A95" s="136">
        <v>94</v>
      </c>
      <c r="B95" s="237" t="s">
        <v>959</v>
      </c>
      <c r="C95" s="237" t="s">
        <v>1009</v>
      </c>
      <c r="D95" s="237"/>
      <c r="E95" s="124">
        <v>51</v>
      </c>
      <c r="F95" s="124">
        <v>1880</v>
      </c>
      <c r="G95" s="124" t="s">
        <v>1098</v>
      </c>
      <c r="H95" s="124">
        <v>124362</v>
      </c>
      <c r="I95" s="124" t="s">
        <v>1099</v>
      </c>
      <c r="J95" s="124">
        <v>4221</v>
      </c>
      <c r="K95" s="232" t="s">
        <v>1100</v>
      </c>
      <c r="L95" s="232"/>
      <c r="M95" s="232"/>
      <c r="N95" s="141"/>
      <c r="O95" s="142">
        <v>0.49608570000000002</v>
      </c>
      <c r="P95" s="141">
        <v>0.52196460300000003</v>
      </c>
      <c r="Q95" s="141">
        <v>0.66106715155860996</v>
      </c>
      <c r="R95" s="141">
        <v>-1.6572449999999999E-3</v>
      </c>
      <c r="S95" s="146"/>
      <c r="T95" s="146">
        <v>0.757382</v>
      </c>
      <c r="U95" s="146">
        <v>0.1090653688389214</v>
      </c>
      <c r="V95" s="146">
        <v>-3.624676</v>
      </c>
      <c r="W95" s="146">
        <v>6.7228474802671079E-2</v>
      </c>
      <c r="X95" s="144">
        <v>2.5334992000000001</v>
      </c>
      <c r="Y95" s="141">
        <v>0.20005829999999999</v>
      </c>
      <c r="Z95" s="235">
        <v>0.61131000000000002</v>
      </c>
      <c r="AA95" s="235">
        <v>0.62</v>
      </c>
    </row>
    <row r="96" spans="1:27" x14ac:dyDescent="0.25">
      <c r="A96" s="136">
        <v>95</v>
      </c>
      <c r="B96" s="237" t="s">
        <v>959</v>
      </c>
      <c r="C96" s="237" t="s">
        <v>1009</v>
      </c>
      <c r="D96" s="237"/>
      <c r="E96" s="124">
        <v>65</v>
      </c>
      <c r="F96" s="124">
        <v>1472</v>
      </c>
      <c r="G96" s="124" t="s">
        <v>1101</v>
      </c>
      <c r="H96" s="124">
        <v>114024</v>
      </c>
      <c r="I96" s="124" t="s">
        <v>1102</v>
      </c>
      <c r="J96" s="124">
        <v>3323</v>
      </c>
      <c r="K96" s="232" t="s">
        <v>1103</v>
      </c>
      <c r="L96" s="232" t="s">
        <v>1104</v>
      </c>
      <c r="M96" s="232" t="s">
        <v>1105</v>
      </c>
      <c r="N96" s="141"/>
      <c r="O96" s="142">
        <v>0.49608570000000002</v>
      </c>
      <c r="P96" s="141">
        <v>0.52196460300000003</v>
      </c>
      <c r="Q96" s="141">
        <v>0.66106715155860996</v>
      </c>
      <c r="R96" s="141">
        <v>-1.6572449999999999E-3</v>
      </c>
      <c r="S96" s="233">
        <v>45</v>
      </c>
      <c r="T96" s="233">
        <v>0.82409148159783097</v>
      </c>
      <c r="U96" s="233">
        <v>6.00595302746934E-2</v>
      </c>
      <c r="V96" s="233">
        <v>-3.0446943701773099</v>
      </c>
      <c r="W96" s="233">
        <v>2.1095635856132978E-2</v>
      </c>
      <c r="X96" s="144">
        <v>2.5334992000000001</v>
      </c>
      <c r="Y96" s="141">
        <v>0.20005829999999999</v>
      </c>
      <c r="Z96" s="148">
        <v>0.54067799999999999</v>
      </c>
      <c r="AA96" s="148">
        <v>0.54600000000000004</v>
      </c>
    </row>
    <row r="97" spans="1:27" x14ac:dyDescent="0.25">
      <c r="A97" s="136">
        <v>96</v>
      </c>
      <c r="B97" s="237" t="s">
        <v>959</v>
      </c>
      <c r="C97" s="237" t="s">
        <v>1009</v>
      </c>
      <c r="D97" s="237"/>
      <c r="E97" s="124">
        <v>66</v>
      </c>
      <c r="F97" s="124">
        <v>1473</v>
      </c>
      <c r="G97" s="124" t="s">
        <v>1106</v>
      </c>
      <c r="H97" s="124">
        <v>114024</v>
      </c>
      <c r="I97" s="124" t="s">
        <v>1102</v>
      </c>
      <c r="J97" s="124">
        <v>3324</v>
      </c>
      <c r="K97" s="232" t="s">
        <v>1107</v>
      </c>
      <c r="L97" s="232" t="s">
        <v>1108</v>
      </c>
      <c r="M97" s="232" t="s">
        <v>1109</v>
      </c>
      <c r="N97" s="141"/>
      <c r="O97" s="142">
        <v>0.49608570000000002</v>
      </c>
      <c r="P97" s="141">
        <v>0.52196460300000003</v>
      </c>
      <c r="Q97" s="141">
        <v>0.66106715155860996</v>
      </c>
      <c r="R97" s="141">
        <v>-1.6572449999999999E-3</v>
      </c>
      <c r="S97" s="146"/>
      <c r="T97" s="146">
        <v>0.757382</v>
      </c>
      <c r="U97" s="146">
        <v>0.1090653688389214</v>
      </c>
      <c r="V97" s="146">
        <v>-3.624676</v>
      </c>
      <c r="W97" s="146">
        <v>6.7228474802671079E-2</v>
      </c>
      <c r="X97" s="144">
        <v>2.5334992000000001</v>
      </c>
      <c r="Y97" s="141">
        <v>0.20005829999999999</v>
      </c>
      <c r="Z97" s="235">
        <v>0.48</v>
      </c>
      <c r="AA97" s="235">
        <v>0.44</v>
      </c>
    </row>
    <row r="98" spans="1:27" x14ac:dyDescent="0.25">
      <c r="A98" s="136">
        <v>97</v>
      </c>
      <c r="B98" s="237" t="s">
        <v>959</v>
      </c>
      <c r="C98" s="237" t="s">
        <v>1009</v>
      </c>
      <c r="D98" s="237"/>
      <c r="E98" s="124">
        <v>67</v>
      </c>
      <c r="F98" s="124">
        <v>1474</v>
      </c>
      <c r="G98" s="124" t="s">
        <v>1110</v>
      </c>
      <c r="H98" s="124">
        <v>114028</v>
      </c>
      <c r="I98" s="124" t="s">
        <v>1111</v>
      </c>
      <c r="J98" s="124">
        <v>3325</v>
      </c>
      <c r="K98" s="232" t="s">
        <v>1112</v>
      </c>
      <c r="L98" s="232" t="s">
        <v>1113</v>
      </c>
      <c r="M98" s="232" t="s">
        <v>1114</v>
      </c>
      <c r="N98" s="141"/>
      <c r="O98" s="142">
        <v>0.49608570000000002</v>
      </c>
      <c r="P98" s="141">
        <v>0.52196460300000003</v>
      </c>
      <c r="Q98" s="141">
        <v>0.66106715155860996</v>
      </c>
      <c r="R98" s="141">
        <v>-1.6572449999999999E-3</v>
      </c>
      <c r="S98" s="146"/>
      <c r="T98" s="146">
        <v>0.757382</v>
      </c>
      <c r="U98" s="146">
        <v>0.1090653688389214</v>
      </c>
      <c r="V98" s="146">
        <v>-3.624676</v>
      </c>
      <c r="W98" s="146">
        <v>6.7228474802671079E-2</v>
      </c>
      <c r="X98" s="144">
        <v>2.5334992000000001</v>
      </c>
      <c r="Y98" s="141">
        <v>0.20005829999999999</v>
      </c>
      <c r="Z98" s="235">
        <v>0.48</v>
      </c>
      <c r="AA98" s="235">
        <v>0.44</v>
      </c>
    </row>
    <row r="99" spans="1:27" x14ac:dyDescent="0.25">
      <c r="A99" s="136">
        <v>98</v>
      </c>
      <c r="B99" s="239" t="s">
        <v>959</v>
      </c>
      <c r="C99" s="239" t="s">
        <v>1009</v>
      </c>
      <c r="D99" s="239" t="s">
        <v>435</v>
      </c>
      <c r="E99" s="124">
        <v>68</v>
      </c>
      <c r="F99" s="124">
        <v>1273</v>
      </c>
      <c r="G99" s="124" t="s">
        <v>1115</v>
      </c>
      <c r="H99" s="124">
        <v>104076</v>
      </c>
      <c r="I99" s="124" t="s">
        <v>1116</v>
      </c>
      <c r="J99" s="124">
        <v>2278</v>
      </c>
      <c r="K99" s="232" t="s">
        <v>1117</v>
      </c>
      <c r="L99" s="232" t="s">
        <v>1118</v>
      </c>
      <c r="M99" s="232" t="s">
        <v>1119</v>
      </c>
      <c r="N99" s="141"/>
      <c r="O99" s="142">
        <v>0.49608570000000002</v>
      </c>
      <c r="P99" s="141">
        <v>0.52140632510686802</v>
      </c>
      <c r="Q99" s="141">
        <v>0.66106715155860996</v>
      </c>
      <c r="R99" s="141">
        <v>-1.6669234071863301E-3</v>
      </c>
      <c r="S99" s="233">
        <v>26</v>
      </c>
      <c r="T99" s="233">
        <v>0.73483829363943898</v>
      </c>
      <c r="U99" s="233">
        <v>0.10792782218000438</v>
      </c>
      <c r="V99" s="233">
        <v>-3.1111368076055399</v>
      </c>
      <c r="W99" s="233">
        <v>5.2994992454764078E-2</v>
      </c>
      <c r="X99" s="144">
        <v>2.5334992000000001</v>
      </c>
      <c r="Y99" s="141">
        <v>0.20005829999999999</v>
      </c>
      <c r="Z99" s="235">
        <v>0.51</v>
      </c>
      <c r="AA99" s="235">
        <v>0.53</v>
      </c>
    </row>
    <row r="100" spans="1:27" x14ac:dyDescent="0.25">
      <c r="A100" s="136">
        <v>99</v>
      </c>
      <c r="B100" s="239" t="s">
        <v>959</v>
      </c>
      <c r="C100" s="239" t="s">
        <v>1009</v>
      </c>
      <c r="D100" s="239" t="s">
        <v>435</v>
      </c>
      <c r="E100" s="124">
        <v>69</v>
      </c>
      <c r="F100" s="124">
        <v>1275</v>
      </c>
      <c r="G100" s="124" t="s">
        <v>1120</v>
      </c>
      <c r="H100" s="124">
        <v>104074</v>
      </c>
      <c r="I100" s="124" t="s">
        <v>1121</v>
      </c>
      <c r="J100" s="124">
        <v>4812</v>
      </c>
      <c r="K100" s="232" t="s">
        <v>1122</v>
      </c>
      <c r="L100" s="232" t="s">
        <v>1123</v>
      </c>
      <c r="M100" s="232" t="s">
        <v>1124</v>
      </c>
      <c r="N100" s="141"/>
      <c r="O100" s="142">
        <v>0.49608570000000002</v>
      </c>
      <c r="P100" s="141">
        <v>0.52140632510686802</v>
      </c>
      <c r="Q100" s="141">
        <v>0.66106715155860996</v>
      </c>
      <c r="R100" s="141">
        <v>-1.6669234071863301E-3</v>
      </c>
      <c r="S100" s="233">
        <v>26</v>
      </c>
      <c r="T100" s="233">
        <v>0.73483829363943898</v>
      </c>
      <c r="U100" s="233">
        <v>0.10792782218000438</v>
      </c>
      <c r="V100" s="233">
        <v>-3.1111368076055399</v>
      </c>
      <c r="W100" s="233">
        <v>5.2994992454764078E-2</v>
      </c>
      <c r="X100" s="144">
        <v>2.5334992000000001</v>
      </c>
      <c r="Y100" s="141">
        <v>0.20005829999999999</v>
      </c>
      <c r="Z100" s="235">
        <v>0.51</v>
      </c>
      <c r="AA100" s="235">
        <v>0.53</v>
      </c>
    </row>
    <row r="101" spans="1:27" x14ac:dyDescent="0.25">
      <c r="A101" s="136">
        <v>100</v>
      </c>
      <c r="B101" s="237" t="s">
        <v>959</v>
      </c>
      <c r="C101" s="237" t="s">
        <v>1009</v>
      </c>
      <c r="D101" s="237"/>
      <c r="E101" s="124">
        <v>84</v>
      </c>
      <c r="F101" s="124">
        <v>1364</v>
      </c>
      <c r="G101" s="124" t="s">
        <v>1125</v>
      </c>
      <c r="H101" s="124">
        <v>112560</v>
      </c>
      <c r="I101" s="124" t="s">
        <v>1126</v>
      </c>
      <c r="J101" s="124">
        <v>3142</v>
      </c>
      <c r="K101" s="232" t="s">
        <v>1127</v>
      </c>
      <c r="L101" s="232"/>
      <c r="M101" s="232"/>
      <c r="N101" s="141"/>
      <c r="O101" s="142">
        <v>0.49608570000000002</v>
      </c>
      <c r="P101" s="141">
        <v>0.52196460300000003</v>
      </c>
      <c r="Q101" s="141">
        <v>0.66106715155860996</v>
      </c>
      <c r="R101" s="141">
        <v>-1.6572449999999999E-3</v>
      </c>
      <c r="S101" s="146"/>
      <c r="T101" s="146">
        <v>0.757382</v>
      </c>
      <c r="U101" s="146">
        <v>0.1090653688389214</v>
      </c>
      <c r="V101" s="146">
        <v>-3.624676</v>
      </c>
      <c r="W101" s="146">
        <v>6.7228474802671079E-2</v>
      </c>
      <c r="X101" s="144">
        <v>2.5334992000000001</v>
      </c>
      <c r="Y101" s="141">
        <v>0.20005829999999999</v>
      </c>
      <c r="Z101" s="235">
        <v>0.54067799999999999</v>
      </c>
      <c r="AA101" s="235">
        <v>0.54600000000000004</v>
      </c>
    </row>
    <row r="102" spans="1:27" x14ac:dyDescent="0.25">
      <c r="A102" s="136">
        <v>101</v>
      </c>
      <c r="B102" s="237" t="s">
        <v>959</v>
      </c>
      <c r="C102" s="237" t="s">
        <v>1009</v>
      </c>
      <c r="D102" s="237"/>
      <c r="E102" s="124">
        <v>106</v>
      </c>
      <c r="F102" s="124">
        <v>203</v>
      </c>
      <c r="G102" s="124" t="s">
        <v>1128</v>
      </c>
      <c r="H102" s="124">
        <v>134702</v>
      </c>
      <c r="I102" s="124" t="s">
        <v>1129</v>
      </c>
      <c r="J102" s="124">
        <v>3613</v>
      </c>
      <c r="K102" s="232" t="s">
        <v>1130</v>
      </c>
      <c r="L102" s="232" t="s">
        <v>1131</v>
      </c>
      <c r="M102" s="232" t="s">
        <v>1132</v>
      </c>
      <c r="N102" s="141"/>
      <c r="O102" s="142">
        <v>0.49608570000000002</v>
      </c>
      <c r="P102" s="141">
        <v>0.52196460300000003</v>
      </c>
      <c r="Q102" s="141">
        <v>0.66106715155860996</v>
      </c>
      <c r="R102" s="141">
        <v>-1.6572449999999999E-3</v>
      </c>
      <c r="S102" s="146"/>
      <c r="T102" s="146">
        <v>0.757382</v>
      </c>
      <c r="U102" s="146">
        <v>0.1090653688389214</v>
      </c>
      <c r="V102" s="146">
        <v>-3.624676</v>
      </c>
      <c r="W102" s="146">
        <v>6.7228474802671079E-2</v>
      </c>
      <c r="X102" s="144">
        <v>2.5334992000000001</v>
      </c>
      <c r="Y102" s="141">
        <v>0.20005829999999999</v>
      </c>
      <c r="Z102" s="235">
        <v>0.54067799999999999</v>
      </c>
      <c r="AA102" s="235">
        <v>0.54600000000000004</v>
      </c>
    </row>
    <row r="103" spans="1:27" x14ac:dyDescent="0.25">
      <c r="A103" s="136">
        <v>102</v>
      </c>
      <c r="B103" s="237" t="s">
        <v>959</v>
      </c>
      <c r="C103" s="237" t="s">
        <v>1009</v>
      </c>
      <c r="D103" s="237"/>
      <c r="E103" s="124">
        <v>108</v>
      </c>
      <c r="F103" s="124">
        <v>446</v>
      </c>
      <c r="G103" s="124" t="s">
        <v>1133</v>
      </c>
      <c r="H103" s="124">
        <v>93734</v>
      </c>
      <c r="I103" s="124" t="s">
        <v>1134</v>
      </c>
      <c r="J103" s="124">
        <v>1332</v>
      </c>
      <c r="K103" s="232" t="s">
        <v>1135</v>
      </c>
      <c r="L103" s="232"/>
      <c r="M103" s="232"/>
      <c r="N103" s="141"/>
      <c r="O103" s="142">
        <v>0.49608570000000002</v>
      </c>
      <c r="P103" s="141">
        <v>0.52196460300000003</v>
      </c>
      <c r="Q103" s="141">
        <v>0.66106715155860996</v>
      </c>
      <c r="R103" s="141">
        <v>-1.6572449999999999E-3</v>
      </c>
      <c r="S103" s="146"/>
      <c r="T103" s="146">
        <v>0.757382</v>
      </c>
      <c r="U103" s="146">
        <v>0.1090653688389214</v>
      </c>
      <c r="V103" s="146">
        <v>-3.624676</v>
      </c>
      <c r="W103" s="146">
        <v>6.7228474802671079E-2</v>
      </c>
      <c r="X103" s="144">
        <v>2.5334992000000001</v>
      </c>
      <c r="Y103" s="141">
        <v>0.20005829999999999</v>
      </c>
      <c r="Z103" s="235">
        <v>0.54067799999999999</v>
      </c>
      <c r="AA103" s="235">
        <v>0.54600000000000004</v>
      </c>
    </row>
    <row r="104" spans="1:27" x14ac:dyDescent="0.25">
      <c r="A104" s="136">
        <v>103</v>
      </c>
      <c r="B104" s="237" t="s">
        <v>959</v>
      </c>
      <c r="C104" s="237" t="s">
        <v>1009</v>
      </c>
      <c r="D104" s="237"/>
      <c r="E104" s="124">
        <v>109</v>
      </c>
      <c r="F104" s="124">
        <v>1298</v>
      </c>
      <c r="G104" s="124" t="s">
        <v>1136</v>
      </c>
      <c r="H104" s="124">
        <v>91803</v>
      </c>
      <c r="I104" s="124" t="s">
        <v>1137</v>
      </c>
      <c r="J104" s="124">
        <v>1157</v>
      </c>
      <c r="K104" s="232" t="s">
        <v>1138</v>
      </c>
      <c r="L104" s="232"/>
      <c r="M104" s="232"/>
      <c r="N104" s="141"/>
      <c r="O104" s="142">
        <v>0.49608570000000002</v>
      </c>
      <c r="P104" s="141">
        <v>0.52196460300000003</v>
      </c>
      <c r="Q104" s="141">
        <v>0.66106715155860996</v>
      </c>
      <c r="R104" s="141">
        <v>-1.6572449999999999E-3</v>
      </c>
      <c r="S104" s="146"/>
      <c r="T104" s="146">
        <v>0.757382</v>
      </c>
      <c r="U104" s="146">
        <v>0.1090653688389214</v>
      </c>
      <c r="V104" s="146">
        <v>-3.624676</v>
      </c>
      <c r="W104" s="146">
        <v>6.7228474802671079E-2</v>
      </c>
      <c r="X104" s="144">
        <v>2.5334992000000001</v>
      </c>
      <c r="Y104" s="141">
        <v>0.20005829999999999</v>
      </c>
      <c r="Z104" s="235">
        <v>0.54067799999999999</v>
      </c>
      <c r="AA104" s="235">
        <v>0.54600000000000004</v>
      </c>
    </row>
    <row r="105" spans="1:27" x14ac:dyDescent="0.25">
      <c r="A105" s="136">
        <v>104</v>
      </c>
      <c r="B105" s="237" t="s">
        <v>959</v>
      </c>
      <c r="C105" s="237" t="s">
        <v>1009</v>
      </c>
      <c r="D105" s="237"/>
      <c r="E105" s="124">
        <v>110</v>
      </c>
      <c r="F105" s="124">
        <v>2034</v>
      </c>
      <c r="G105" s="124" t="s">
        <v>1139</v>
      </c>
      <c r="H105" s="124">
        <v>91811</v>
      </c>
      <c r="I105" s="124" t="s">
        <v>1140</v>
      </c>
      <c r="J105" s="124">
        <v>1158</v>
      </c>
      <c r="K105" s="232" t="s">
        <v>1141</v>
      </c>
      <c r="L105" s="232"/>
      <c r="M105" s="232"/>
      <c r="N105" s="141"/>
      <c r="O105" s="142">
        <v>0.49608570000000002</v>
      </c>
      <c r="P105" s="141">
        <v>0.52196460300000003</v>
      </c>
      <c r="Q105" s="141">
        <v>0.66106715155860996</v>
      </c>
      <c r="R105" s="141">
        <v>-1.6572449999999999E-3</v>
      </c>
      <c r="S105" s="146"/>
      <c r="T105" s="146">
        <v>0.757382</v>
      </c>
      <c r="U105" s="146">
        <v>0.1090653688389214</v>
      </c>
      <c r="V105" s="146">
        <v>-3.624676</v>
      </c>
      <c r="W105" s="146">
        <v>6.7228474802671079E-2</v>
      </c>
      <c r="X105" s="144">
        <v>2.5334992000000001</v>
      </c>
      <c r="Y105" s="141">
        <v>0.20005829999999999</v>
      </c>
      <c r="Z105" s="235">
        <v>0.54067799999999999</v>
      </c>
      <c r="AA105" s="235">
        <v>0.54600000000000004</v>
      </c>
    </row>
    <row r="106" spans="1:27" x14ac:dyDescent="0.25">
      <c r="A106" s="136">
        <v>105</v>
      </c>
      <c r="B106" s="237" t="s">
        <v>959</v>
      </c>
      <c r="C106" s="237" t="s">
        <v>1009</v>
      </c>
      <c r="D106" s="237"/>
      <c r="E106" s="124">
        <v>111</v>
      </c>
      <c r="F106" s="124">
        <v>2035</v>
      </c>
      <c r="G106" s="124" t="s">
        <v>1142</v>
      </c>
      <c r="H106" s="124">
        <v>91812</v>
      </c>
      <c r="I106" s="124" t="s">
        <v>1143</v>
      </c>
      <c r="J106" s="124">
        <v>1159</v>
      </c>
      <c r="K106" s="232" t="s">
        <v>1144</v>
      </c>
      <c r="L106" s="232"/>
      <c r="M106" s="232"/>
      <c r="N106" s="141"/>
      <c r="O106" s="142">
        <v>0.49608570000000002</v>
      </c>
      <c r="P106" s="141">
        <v>0.52196460300000003</v>
      </c>
      <c r="Q106" s="141">
        <v>0.66106715155860996</v>
      </c>
      <c r="R106" s="141">
        <v>-1.6572449999999999E-3</v>
      </c>
      <c r="S106" s="146"/>
      <c r="T106" s="146">
        <v>0.757382</v>
      </c>
      <c r="U106" s="146">
        <v>0.1090653688389214</v>
      </c>
      <c r="V106" s="146">
        <v>-3.624676</v>
      </c>
      <c r="W106" s="146">
        <v>6.7228474802671079E-2</v>
      </c>
      <c r="X106" s="144">
        <v>2.5334992000000001</v>
      </c>
      <c r="Y106" s="141">
        <v>0.20005829999999999</v>
      </c>
      <c r="Z106" s="235">
        <v>0.54067799999999999</v>
      </c>
      <c r="AA106" s="235">
        <v>0.54600000000000004</v>
      </c>
    </row>
    <row r="107" spans="1:27" x14ac:dyDescent="0.25">
      <c r="A107" s="136">
        <v>106</v>
      </c>
      <c r="B107" s="237" t="s">
        <v>959</v>
      </c>
      <c r="C107" s="237" t="s">
        <v>1009</v>
      </c>
      <c r="D107" s="237"/>
      <c r="E107" s="124">
        <v>112</v>
      </c>
      <c r="F107" s="124">
        <v>2036</v>
      </c>
      <c r="G107" s="124" t="s">
        <v>1145</v>
      </c>
      <c r="H107" s="124">
        <v>90234</v>
      </c>
      <c r="I107" s="124" t="s">
        <v>1146</v>
      </c>
      <c r="J107" s="124">
        <v>1039</v>
      </c>
      <c r="K107" s="232" t="s">
        <v>1147</v>
      </c>
      <c r="L107" s="232" t="s">
        <v>1148</v>
      </c>
      <c r="M107" s="232" t="s">
        <v>506</v>
      </c>
      <c r="N107" s="141"/>
      <c r="O107" s="142">
        <v>0.49608570000000002</v>
      </c>
      <c r="P107" s="141">
        <v>0.52196460300000003</v>
      </c>
      <c r="Q107" s="141">
        <v>0.66106715155860996</v>
      </c>
      <c r="R107" s="141">
        <v>-1.6572449999999999E-3</v>
      </c>
      <c r="S107" s="146"/>
      <c r="T107" s="146">
        <v>0.757382</v>
      </c>
      <c r="U107" s="146">
        <v>0.1090653688389214</v>
      </c>
      <c r="V107" s="146">
        <v>-3.624676</v>
      </c>
      <c r="W107" s="146">
        <v>6.7228474802671079E-2</v>
      </c>
      <c r="X107" s="144">
        <v>2.5334992000000001</v>
      </c>
      <c r="Y107" s="141">
        <v>0.20005829999999999</v>
      </c>
      <c r="Z107" s="235">
        <v>0.54067799999999999</v>
      </c>
      <c r="AA107" s="235">
        <v>0.54600000000000004</v>
      </c>
    </row>
    <row r="108" spans="1:27" x14ac:dyDescent="0.25">
      <c r="A108" s="136">
        <v>107</v>
      </c>
      <c r="B108" s="237" t="s">
        <v>959</v>
      </c>
      <c r="C108" s="237" t="s">
        <v>1009</v>
      </c>
      <c r="D108" s="237"/>
      <c r="E108" s="124">
        <v>115</v>
      </c>
      <c r="F108" s="124">
        <v>714</v>
      </c>
      <c r="G108" s="124" t="s">
        <v>1149</v>
      </c>
      <c r="H108" s="124">
        <v>113142</v>
      </c>
      <c r="I108" s="124" t="s">
        <v>1150</v>
      </c>
      <c r="J108" s="124">
        <v>3217</v>
      </c>
      <c r="K108" s="232" t="s">
        <v>1151</v>
      </c>
      <c r="L108" s="232" t="s">
        <v>1152</v>
      </c>
      <c r="M108" s="232" t="s">
        <v>1153</v>
      </c>
      <c r="N108" s="141"/>
      <c r="O108" s="142">
        <v>0.49608570000000002</v>
      </c>
      <c r="P108" s="141">
        <v>0.52196460300000003</v>
      </c>
      <c r="Q108" s="141">
        <v>0.66106715155860996</v>
      </c>
      <c r="R108" s="141">
        <v>-1.6572449999999999E-3</v>
      </c>
      <c r="S108" s="146"/>
      <c r="T108" s="146">
        <v>0.757382</v>
      </c>
      <c r="U108" s="146">
        <v>0.1090653688389214</v>
      </c>
      <c r="V108" s="146">
        <v>-3.624676</v>
      </c>
      <c r="W108" s="146">
        <v>6.7228474802671079E-2</v>
      </c>
      <c r="X108" s="144">
        <v>2.5334992000000001</v>
      </c>
      <c r="Y108" s="141">
        <v>0.20005829999999999</v>
      </c>
      <c r="Z108" s="235">
        <v>0.54067799999999999</v>
      </c>
      <c r="AA108" s="235">
        <v>0.54600000000000004</v>
      </c>
    </row>
    <row r="109" spans="1:27" x14ac:dyDescent="0.25">
      <c r="A109" s="136">
        <v>108</v>
      </c>
      <c r="B109" s="237" t="s">
        <v>959</v>
      </c>
      <c r="C109" s="237" t="s">
        <v>1009</v>
      </c>
      <c r="D109" s="237"/>
      <c r="E109" s="124">
        <v>116</v>
      </c>
      <c r="F109" s="124">
        <v>715</v>
      </c>
      <c r="G109" s="124" t="s">
        <v>1154</v>
      </c>
      <c r="H109" s="124">
        <v>113148</v>
      </c>
      <c r="I109" s="124" t="s">
        <v>1155</v>
      </c>
      <c r="J109" s="124">
        <v>3218</v>
      </c>
      <c r="K109" s="232" t="s">
        <v>1156</v>
      </c>
      <c r="L109" s="232" t="s">
        <v>1157</v>
      </c>
      <c r="M109" s="232" t="s">
        <v>1158</v>
      </c>
      <c r="N109" s="141"/>
      <c r="O109" s="142">
        <v>0.49608570000000002</v>
      </c>
      <c r="P109" s="141">
        <v>0.52196460300000003</v>
      </c>
      <c r="Q109" s="141">
        <v>0.66106715155860996</v>
      </c>
      <c r="R109" s="141">
        <v>-1.6572449999999999E-3</v>
      </c>
      <c r="S109" s="146"/>
      <c r="T109" s="146">
        <v>0.757382</v>
      </c>
      <c r="U109" s="146">
        <v>0.1090653688389214</v>
      </c>
      <c r="V109" s="146">
        <v>-3.624676</v>
      </c>
      <c r="W109" s="146">
        <v>6.7228474802671079E-2</v>
      </c>
      <c r="X109" s="144">
        <v>2.5334992000000001</v>
      </c>
      <c r="Y109" s="141">
        <v>0.20005829999999999</v>
      </c>
      <c r="Z109" s="235">
        <v>0.54067799999999999</v>
      </c>
      <c r="AA109" s="235">
        <v>0.54600000000000004</v>
      </c>
    </row>
    <row r="110" spans="1:27" x14ac:dyDescent="0.25">
      <c r="A110" s="136">
        <v>109</v>
      </c>
      <c r="B110" s="237" t="s">
        <v>959</v>
      </c>
      <c r="C110" s="237" t="s">
        <v>1009</v>
      </c>
      <c r="D110" s="237"/>
      <c r="E110" s="124">
        <v>118</v>
      </c>
      <c r="F110" s="124">
        <v>976</v>
      </c>
      <c r="G110" s="124" t="s">
        <v>1159</v>
      </c>
      <c r="H110" s="124">
        <v>95047</v>
      </c>
      <c r="I110" s="124" t="s">
        <v>1160</v>
      </c>
      <c r="J110" s="124">
        <v>1455</v>
      </c>
      <c r="K110" s="232" t="s">
        <v>1161</v>
      </c>
      <c r="L110" s="232"/>
      <c r="M110" s="232"/>
      <c r="N110" s="141"/>
      <c r="O110" s="142">
        <v>0.49608570000000002</v>
      </c>
      <c r="P110" s="141">
        <v>0.52196460300000003</v>
      </c>
      <c r="Q110" s="141">
        <v>0.66106715155860996</v>
      </c>
      <c r="R110" s="141">
        <v>-1.6572449999999999E-3</v>
      </c>
      <c r="S110" s="146"/>
      <c r="T110" s="146">
        <v>0.757382</v>
      </c>
      <c r="U110" s="146">
        <v>0.1090653688389214</v>
      </c>
      <c r="V110" s="146">
        <v>-3.624676</v>
      </c>
      <c r="W110" s="146">
        <v>6.7228474802671079E-2</v>
      </c>
      <c r="X110" s="144">
        <v>2.5334992000000001</v>
      </c>
      <c r="Y110" s="141">
        <v>0.20005829999999999</v>
      </c>
      <c r="Z110" s="235">
        <v>0.54067799999999999</v>
      </c>
      <c r="AA110" s="235">
        <v>0.54600000000000004</v>
      </c>
    </row>
    <row r="111" spans="1:27" x14ac:dyDescent="0.25">
      <c r="A111" s="136">
        <v>110</v>
      </c>
      <c r="B111" s="237" t="s">
        <v>959</v>
      </c>
      <c r="C111" s="237" t="s">
        <v>1009</v>
      </c>
      <c r="D111" s="237"/>
      <c r="E111" s="124">
        <v>119</v>
      </c>
      <c r="F111" s="124">
        <v>1045</v>
      </c>
      <c r="G111" s="124" t="s">
        <v>1162</v>
      </c>
      <c r="H111" s="124">
        <v>105295</v>
      </c>
      <c r="I111" s="124" t="s">
        <v>1163</v>
      </c>
      <c r="J111" s="124">
        <v>2425</v>
      </c>
      <c r="K111" s="232" t="s">
        <v>1164</v>
      </c>
      <c r="L111" s="232"/>
      <c r="M111" s="232"/>
      <c r="N111" s="141"/>
      <c r="O111" s="142">
        <v>0.49608570000000002</v>
      </c>
      <c r="P111" s="141">
        <v>0.52196460300000003</v>
      </c>
      <c r="Q111" s="141">
        <v>0.66106715155860996</v>
      </c>
      <c r="R111" s="141">
        <v>-1.6572449999999999E-3</v>
      </c>
      <c r="S111" s="146"/>
      <c r="T111" s="146">
        <v>0.757382</v>
      </c>
      <c r="U111" s="146">
        <v>0.1090653688389214</v>
      </c>
      <c r="V111" s="146">
        <v>-3.624676</v>
      </c>
      <c r="W111" s="146">
        <v>6.7228474802671079E-2</v>
      </c>
      <c r="X111" s="144">
        <v>2.5334992000000001</v>
      </c>
      <c r="Y111" s="141">
        <v>0.20005829999999999</v>
      </c>
      <c r="Z111" s="235">
        <v>0.54067799999999999</v>
      </c>
      <c r="AA111" s="235">
        <v>0.54600000000000004</v>
      </c>
    </row>
    <row r="112" spans="1:27" x14ac:dyDescent="0.25">
      <c r="A112" s="136">
        <v>111</v>
      </c>
      <c r="B112" s="231" t="s">
        <v>959</v>
      </c>
      <c r="C112" s="231" t="s">
        <v>1009</v>
      </c>
      <c r="D112" s="231"/>
      <c r="E112" s="124">
        <v>123</v>
      </c>
      <c r="F112" s="124">
        <v>1283</v>
      </c>
      <c r="G112" s="124" t="s">
        <v>1165</v>
      </c>
      <c r="H112" s="124">
        <v>95831</v>
      </c>
      <c r="I112" s="124" t="s">
        <v>1166</v>
      </c>
      <c r="J112" s="124">
        <v>1520</v>
      </c>
      <c r="K112" s="232" t="s">
        <v>1167</v>
      </c>
      <c r="L112" s="232"/>
      <c r="M112" s="232"/>
      <c r="N112" s="141"/>
      <c r="O112" s="142">
        <v>0.49608570000000002</v>
      </c>
      <c r="P112" s="141">
        <v>0.52196460300000003</v>
      </c>
      <c r="Q112" s="141">
        <v>0.66106715155860996</v>
      </c>
      <c r="R112" s="141">
        <v>-1.6572449999999999E-3</v>
      </c>
      <c r="S112" s="146"/>
      <c r="T112" s="146">
        <v>0.757382</v>
      </c>
      <c r="U112" s="146">
        <v>0.1090653688389214</v>
      </c>
      <c r="V112" s="146">
        <v>-3.624676</v>
      </c>
      <c r="W112" s="146">
        <v>6.7228474802671079E-2</v>
      </c>
      <c r="X112" s="144">
        <v>2.5334992000000001</v>
      </c>
      <c r="Y112" s="141">
        <v>0.20005829999999999</v>
      </c>
      <c r="Z112" s="235">
        <v>0.54067799999999999</v>
      </c>
      <c r="AA112" s="235">
        <v>0.54600000000000004</v>
      </c>
    </row>
    <row r="113" spans="1:27" x14ac:dyDescent="0.25">
      <c r="A113" s="136">
        <v>112</v>
      </c>
      <c r="B113" s="231" t="s">
        <v>959</v>
      </c>
      <c r="C113" s="231" t="s">
        <v>1009</v>
      </c>
      <c r="D113" s="231"/>
      <c r="E113" s="124">
        <v>124</v>
      </c>
      <c r="F113" s="124">
        <v>1299</v>
      </c>
      <c r="G113" s="124" t="s">
        <v>1168</v>
      </c>
      <c r="H113" s="124">
        <v>107130</v>
      </c>
      <c r="I113" s="124" t="s">
        <v>1169</v>
      </c>
      <c r="J113" s="124">
        <v>4432</v>
      </c>
      <c r="K113" s="232" t="s">
        <v>1170</v>
      </c>
      <c r="L113" s="232"/>
      <c r="M113" s="232"/>
      <c r="N113" s="141"/>
      <c r="O113" s="142">
        <v>0.49608570000000002</v>
      </c>
      <c r="P113" s="141">
        <v>0.52196460300000003</v>
      </c>
      <c r="Q113" s="141">
        <v>0.66106715155860996</v>
      </c>
      <c r="R113" s="141">
        <v>-1.6572449999999999E-3</v>
      </c>
      <c r="S113" s="146"/>
      <c r="T113" s="146">
        <v>0.757382</v>
      </c>
      <c r="U113" s="146">
        <v>0.1090653688389214</v>
      </c>
      <c r="V113" s="146">
        <v>-3.624676</v>
      </c>
      <c r="W113" s="146">
        <v>6.7228474802671079E-2</v>
      </c>
      <c r="X113" s="144">
        <v>2.5334992000000001</v>
      </c>
      <c r="Y113" s="141">
        <v>0.20005829999999999</v>
      </c>
      <c r="Z113" s="235">
        <v>0.54067799999999999</v>
      </c>
      <c r="AA113" s="235">
        <v>0.54600000000000004</v>
      </c>
    </row>
    <row r="114" spans="1:27" x14ac:dyDescent="0.25">
      <c r="A114" s="136">
        <v>113</v>
      </c>
      <c r="B114" s="231" t="s">
        <v>959</v>
      </c>
      <c r="C114" s="231" t="s">
        <v>1009</v>
      </c>
      <c r="D114" s="231"/>
      <c r="E114" s="124">
        <v>125</v>
      </c>
      <c r="F114" s="124">
        <v>2</v>
      </c>
      <c r="G114" s="124" t="s">
        <v>1171</v>
      </c>
      <c r="H114" s="124">
        <v>116041</v>
      </c>
      <c r="I114" s="124" t="s">
        <v>1172</v>
      </c>
      <c r="J114" s="124">
        <v>3498</v>
      </c>
      <c r="K114" s="232" t="s">
        <v>1173</v>
      </c>
      <c r="L114" s="232"/>
      <c r="M114" s="232"/>
      <c r="N114" s="141"/>
      <c r="O114" s="142">
        <v>0.49608570000000002</v>
      </c>
      <c r="P114" s="141">
        <v>0.52196460300000003</v>
      </c>
      <c r="Q114" s="141">
        <v>0.66106715155860996</v>
      </c>
      <c r="R114" s="141">
        <v>-1.6572449999999999E-3</v>
      </c>
      <c r="S114" s="146"/>
      <c r="T114" s="146">
        <v>0.757382</v>
      </c>
      <c r="U114" s="146">
        <v>0.1090653688389214</v>
      </c>
      <c r="V114" s="146">
        <v>-3.624676</v>
      </c>
      <c r="W114" s="146">
        <v>6.7228474802671079E-2</v>
      </c>
      <c r="X114" s="144">
        <v>2.5334992000000001</v>
      </c>
      <c r="Y114" s="141">
        <v>0.20005829999999999</v>
      </c>
      <c r="Z114" s="235">
        <v>0.47355000000000003</v>
      </c>
      <c r="AA114" s="235">
        <v>0.56999999999999995</v>
      </c>
    </row>
    <row r="115" spans="1:27" x14ac:dyDescent="0.25">
      <c r="A115" s="136">
        <v>114</v>
      </c>
      <c r="B115" s="231" t="s">
        <v>959</v>
      </c>
      <c r="C115" s="231" t="s">
        <v>1009</v>
      </c>
      <c r="D115" s="231"/>
      <c r="E115" s="124">
        <v>126</v>
      </c>
      <c r="F115" s="124">
        <v>1576</v>
      </c>
      <c r="G115" s="124" t="s">
        <v>1174</v>
      </c>
      <c r="H115" s="124">
        <v>116050</v>
      </c>
      <c r="I115" s="124" t="s">
        <v>1175</v>
      </c>
      <c r="J115" s="124">
        <v>3500</v>
      </c>
      <c r="K115" s="232" t="s">
        <v>1176</v>
      </c>
      <c r="L115" s="232"/>
      <c r="M115" s="232"/>
      <c r="N115" s="141"/>
      <c r="O115" s="142">
        <v>0.49608570000000002</v>
      </c>
      <c r="P115" s="141">
        <v>0.52196460300000003</v>
      </c>
      <c r="Q115" s="141">
        <v>0.66106715155860996</v>
      </c>
      <c r="R115" s="141">
        <v>-1.6572449999999999E-3</v>
      </c>
      <c r="S115" s="146"/>
      <c r="T115" s="146">
        <v>0.757382</v>
      </c>
      <c r="U115" s="146">
        <v>0.1090653688389214</v>
      </c>
      <c r="V115" s="146">
        <v>-3.624676</v>
      </c>
      <c r="W115" s="146">
        <v>6.7228474802671079E-2</v>
      </c>
      <c r="X115" s="144">
        <v>2.5334992000000001</v>
      </c>
      <c r="Y115" s="141">
        <v>0.20005829999999999</v>
      </c>
      <c r="Z115" s="235">
        <v>0.47355000000000003</v>
      </c>
      <c r="AA115" s="235">
        <v>0.56999999999999995</v>
      </c>
    </row>
    <row r="116" spans="1:27" x14ac:dyDescent="0.25">
      <c r="A116" s="136">
        <v>115</v>
      </c>
      <c r="B116" s="231" t="s">
        <v>959</v>
      </c>
      <c r="C116" s="231" t="s">
        <v>1009</v>
      </c>
      <c r="D116" s="231"/>
      <c r="E116" s="124">
        <v>127</v>
      </c>
      <c r="F116" s="124">
        <v>1574</v>
      </c>
      <c r="G116" s="124" t="s">
        <v>1177</v>
      </c>
      <c r="H116" s="124">
        <v>116053</v>
      </c>
      <c r="I116" s="124" t="s">
        <v>1178</v>
      </c>
      <c r="J116" s="124">
        <v>3501</v>
      </c>
      <c r="K116" s="232" t="s">
        <v>1179</v>
      </c>
      <c r="L116" s="232" t="s">
        <v>1025</v>
      </c>
      <c r="M116" s="232" t="s">
        <v>1026</v>
      </c>
      <c r="N116" s="141"/>
      <c r="O116" s="142">
        <v>0.49608570000000002</v>
      </c>
      <c r="P116" s="141">
        <v>0.52196460300000003</v>
      </c>
      <c r="Q116" s="141">
        <v>0.66106715155860996</v>
      </c>
      <c r="R116" s="141">
        <v>-1.6572449999999999E-3</v>
      </c>
      <c r="S116" s="146"/>
      <c r="T116" s="146">
        <v>0.757382</v>
      </c>
      <c r="U116" s="146">
        <v>0.1090653688389214</v>
      </c>
      <c r="V116" s="146">
        <v>-3.624676</v>
      </c>
      <c r="W116" s="146">
        <v>6.7228474802671079E-2</v>
      </c>
      <c r="X116" s="144">
        <v>2.5334992000000001</v>
      </c>
      <c r="Y116" s="141">
        <v>0.20005829999999999</v>
      </c>
      <c r="Z116" s="235">
        <v>0.47355000000000003</v>
      </c>
      <c r="AA116" s="235">
        <v>0.56999999999999995</v>
      </c>
    </row>
    <row r="117" spans="1:27" x14ac:dyDescent="0.25">
      <c r="A117" s="136">
        <v>116</v>
      </c>
      <c r="B117" s="231" t="s">
        <v>959</v>
      </c>
      <c r="C117" s="231" t="s">
        <v>1009</v>
      </c>
      <c r="D117" s="231"/>
      <c r="E117" s="124">
        <v>128</v>
      </c>
      <c r="F117" s="124">
        <v>1457</v>
      </c>
      <c r="G117" s="124" t="s">
        <v>1180</v>
      </c>
      <c r="H117" s="124">
        <v>113744</v>
      </c>
      <c r="I117" s="124" t="s">
        <v>1181</v>
      </c>
      <c r="J117" s="124">
        <v>3293</v>
      </c>
      <c r="K117" s="232" t="s">
        <v>1182</v>
      </c>
      <c r="L117" s="232" t="s">
        <v>1183</v>
      </c>
      <c r="M117" s="232" t="s">
        <v>1184</v>
      </c>
      <c r="N117" s="141"/>
      <c r="O117" s="142">
        <v>0.49608570000000002</v>
      </c>
      <c r="P117" s="141">
        <v>0.52196460300000003</v>
      </c>
      <c r="Q117" s="141">
        <v>0.66106715155860996</v>
      </c>
      <c r="R117" s="141">
        <v>-1.6572449999999999E-3</v>
      </c>
      <c r="S117" s="146"/>
      <c r="T117" s="146">
        <v>0.757382</v>
      </c>
      <c r="U117" s="146">
        <v>0.1090653688389214</v>
      </c>
      <c r="V117" s="146">
        <v>-3.624676</v>
      </c>
      <c r="W117" s="146">
        <v>6.7228474802671079E-2</v>
      </c>
      <c r="X117" s="144">
        <v>2.5334992000000001</v>
      </c>
      <c r="Y117" s="141">
        <v>0.20005829999999999</v>
      </c>
      <c r="Z117" s="235">
        <v>0.54067799999999999</v>
      </c>
      <c r="AA117" s="235">
        <v>0.54600000000000004</v>
      </c>
    </row>
    <row r="118" spans="1:27" x14ac:dyDescent="0.25">
      <c r="A118" s="136">
        <v>117</v>
      </c>
      <c r="B118" s="231" t="s">
        <v>959</v>
      </c>
      <c r="C118" s="231" t="s">
        <v>1009</v>
      </c>
      <c r="D118" s="231"/>
      <c r="E118" s="124">
        <v>129</v>
      </c>
      <c r="F118" s="124">
        <v>376</v>
      </c>
      <c r="G118" s="124" t="s">
        <v>1185</v>
      </c>
      <c r="H118" s="124">
        <v>116096</v>
      </c>
      <c r="I118" s="124" t="s">
        <v>1186</v>
      </c>
      <c r="J118" s="124">
        <v>3506</v>
      </c>
      <c r="K118" s="232" t="s">
        <v>1187</v>
      </c>
      <c r="L118" s="232" t="s">
        <v>1188</v>
      </c>
      <c r="M118" s="232" t="s">
        <v>1189</v>
      </c>
      <c r="N118" s="141"/>
      <c r="O118" s="142">
        <v>0.49608570000000002</v>
      </c>
      <c r="P118" s="141">
        <v>0.52196460300000003</v>
      </c>
      <c r="Q118" s="141">
        <v>0.66106715155860996</v>
      </c>
      <c r="R118" s="141">
        <v>-1.6572449999999999E-3</v>
      </c>
      <c r="S118" s="146"/>
      <c r="T118" s="146">
        <v>0.757382</v>
      </c>
      <c r="U118" s="146">
        <v>0.1090653688389214</v>
      </c>
      <c r="V118" s="146">
        <v>-3.624676</v>
      </c>
      <c r="W118" s="146">
        <v>6.7228474802671079E-2</v>
      </c>
      <c r="X118" s="144">
        <v>2.5334992000000001</v>
      </c>
      <c r="Y118" s="141">
        <v>0.20005829999999999</v>
      </c>
      <c r="Z118" s="235">
        <v>0.47355000000000003</v>
      </c>
      <c r="AA118" s="235">
        <v>0.56999999999999995</v>
      </c>
    </row>
    <row r="119" spans="1:27" x14ac:dyDescent="0.25">
      <c r="A119" s="136">
        <v>118</v>
      </c>
      <c r="B119" s="231" t="s">
        <v>959</v>
      </c>
      <c r="C119" s="231" t="s">
        <v>1009</v>
      </c>
      <c r="D119" s="231"/>
      <c r="E119" s="124">
        <v>130</v>
      </c>
      <c r="F119" s="124">
        <v>1485</v>
      </c>
      <c r="G119" s="124" t="s">
        <v>1190</v>
      </c>
      <c r="H119" s="124">
        <v>116594</v>
      </c>
      <c r="I119" s="124" t="s">
        <v>1191</v>
      </c>
      <c r="J119" s="124">
        <v>3292</v>
      </c>
      <c r="K119" s="232" t="s">
        <v>1192</v>
      </c>
      <c r="L119" s="232"/>
      <c r="M119" s="232"/>
      <c r="N119" s="141"/>
      <c r="O119" s="142">
        <v>0.49608570000000002</v>
      </c>
      <c r="P119" s="141">
        <v>0.52196460300000003</v>
      </c>
      <c r="Q119" s="141">
        <v>0.66106715155860996</v>
      </c>
      <c r="R119" s="141">
        <v>-1.6572449999999999E-3</v>
      </c>
      <c r="S119" s="233">
        <v>7544</v>
      </c>
      <c r="T119" s="233">
        <v>0.76722830665911801</v>
      </c>
      <c r="U119" s="233">
        <v>0.10074191441951269</v>
      </c>
      <c r="V119" s="233">
        <v>-3.3651101905376901</v>
      </c>
      <c r="W119" s="233">
        <v>6.1350030702654282E-2</v>
      </c>
      <c r="X119" s="144">
        <v>2.5334992000000001</v>
      </c>
      <c r="Y119" s="141">
        <v>0.20005829999999999</v>
      </c>
      <c r="Z119" s="148">
        <v>0.54067799999999999</v>
      </c>
      <c r="AA119" s="148">
        <v>0.54600000000000004</v>
      </c>
    </row>
    <row r="120" spans="1:27" x14ac:dyDescent="0.25">
      <c r="A120" s="136">
        <v>119</v>
      </c>
      <c r="B120" s="231" t="s">
        <v>959</v>
      </c>
      <c r="C120" s="231" t="s">
        <v>1009</v>
      </c>
      <c r="D120" s="231"/>
      <c r="E120" s="124">
        <v>131</v>
      </c>
      <c r="F120" s="124">
        <v>1575</v>
      </c>
      <c r="G120" s="124" t="s">
        <v>1193</v>
      </c>
      <c r="H120" s="124">
        <v>116142</v>
      </c>
      <c r="I120" s="124" t="s">
        <v>1194</v>
      </c>
      <c r="J120" s="124">
        <v>3512</v>
      </c>
      <c r="K120" s="232" t="s">
        <v>1195</v>
      </c>
      <c r="L120" s="232" t="s">
        <v>1196</v>
      </c>
      <c r="M120" s="232" t="s">
        <v>1197</v>
      </c>
      <c r="N120" s="141"/>
      <c r="O120" s="142">
        <v>0.49608570000000002</v>
      </c>
      <c r="P120" s="141">
        <v>0.52196460300000003</v>
      </c>
      <c r="Q120" s="141">
        <v>0.66106715155860996</v>
      </c>
      <c r="R120" s="141">
        <v>-1.6572449999999999E-3</v>
      </c>
      <c r="S120" s="146"/>
      <c r="T120" s="146">
        <v>0.757382</v>
      </c>
      <c r="U120" s="146">
        <v>0.1090653688389214</v>
      </c>
      <c r="V120" s="146">
        <v>-3.624676</v>
      </c>
      <c r="W120" s="146">
        <v>6.7228474802671079E-2</v>
      </c>
      <c r="X120" s="144">
        <v>2.5334992000000001</v>
      </c>
      <c r="Y120" s="141">
        <v>0.20005829999999999</v>
      </c>
      <c r="Z120" s="235">
        <v>0.47355000000000003</v>
      </c>
      <c r="AA120" s="235">
        <v>0.56999999999999995</v>
      </c>
    </row>
    <row r="121" spans="1:27" x14ac:dyDescent="0.25">
      <c r="A121" s="136">
        <v>120</v>
      </c>
      <c r="B121" s="231" t="s">
        <v>959</v>
      </c>
      <c r="C121" s="231" t="s">
        <v>1009</v>
      </c>
      <c r="D121" s="231"/>
      <c r="E121" s="124">
        <v>132</v>
      </c>
      <c r="F121" s="124">
        <v>1458</v>
      </c>
      <c r="G121" s="124" t="s">
        <v>1198</v>
      </c>
      <c r="H121" s="124">
        <v>113748</v>
      </c>
      <c r="I121" s="124" t="s">
        <v>1199</v>
      </c>
      <c r="J121" s="124">
        <v>3294</v>
      </c>
      <c r="K121" s="232" t="s">
        <v>1200</v>
      </c>
      <c r="L121" s="232" t="s">
        <v>1201</v>
      </c>
      <c r="M121" s="232" t="s">
        <v>1202</v>
      </c>
      <c r="N121" s="141"/>
      <c r="O121" s="142">
        <v>0.49608570000000002</v>
      </c>
      <c r="P121" s="141">
        <v>0.52196460300000003</v>
      </c>
      <c r="Q121" s="141">
        <v>0.66106715155860996</v>
      </c>
      <c r="R121" s="141">
        <v>-1.6572449999999999E-3</v>
      </c>
      <c r="S121" s="146"/>
      <c r="T121" s="146">
        <v>0.757382</v>
      </c>
      <c r="U121" s="146">
        <v>0.1090653688389214</v>
      </c>
      <c r="V121" s="146">
        <v>-3.624676</v>
      </c>
      <c r="W121" s="146">
        <v>6.7228474802671079E-2</v>
      </c>
      <c r="X121" s="144">
        <v>2.5334992000000001</v>
      </c>
      <c r="Y121" s="141">
        <v>0.20005829999999999</v>
      </c>
      <c r="Z121" s="235">
        <v>0.54067799999999999</v>
      </c>
      <c r="AA121" s="235">
        <v>0.54600000000000004</v>
      </c>
    </row>
    <row r="122" spans="1:27" x14ac:dyDescent="0.25">
      <c r="A122" s="136">
        <v>121</v>
      </c>
      <c r="B122" s="231" t="s">
        <v>959</v>
      </c>
      <c r="C122" s="231" t="s">
        <v>1009</v>
      </c>
      <c r="D122" s="231"/>
      <c r="E122" s="124">
        <v>133</v>
      </c>
      <c r="F122" s="124">
        <v>1266</v>
      </c>
      <c r="G122" s="124" t="s">
        <v>1203</v>
      </c>
      <c r="H122" s="124">
        <v>117526</v>
      </c>
      <c r="I122" s="124" t="s">
        <v>1204</v>
      </c>
      <c r="J122" s="124">
        <v>3610</v>
      </c>
      <c r="K122" s="232" t="s">
        <v>1205</v>
      </c>
      <c r="L122" s="232" t="s">
        <v>1206</v>
      </c>
      <c r="M122" s="232" t="s">
        <v>1207</v>
      </c>
      <c r="N122" s="141"/>
      <c r="O122" s="142">
        <v>0.49608570000000002</v>
      </c>
      <c r="P122" s="141">
        <v>0.52196460300000003</v>
      </c>
      <c r="Q122" s="141">
        <v>0.66106715155860996</v>
      </c>
      <c r="R122" s="141">
        <v>-1.6572449999999999E-3</v>
      </c>
      <c r="S122" s="146"/>
      <c r="T122" s="146">
        <v>0.757382</v>
      </c>
      <c r="U122" s="146">
        <v>0.1090653688389214</v>
      </c>
      <c r="V122" s="146">
        <v>-3.624676</v>
      </c>
      <c r="W122" s="146">
        <v>6.7228474802671079E-2</v>
      </c>
      <c r="X122" s="144">
        <v>2.5334992000000001</v>
      </c>
      <c r="Y122" s="141">
        <v>0.20005829999999999</v>
      </c>
      <c r="Z122" s="235">
        <v>0.54067799999999999</v>
      </c>
      <c r="AA122" s="235">
        <v>0.54600000000000004</v>
      </c>
    </row>
    <row r="123" spans="1:27" x14ac:dyDescent="0.25">
      <c r="A123" s="136">
        <v>122</v>
      </c>
      <c r="B123" s="231" t="s">
        <v>959</v>
      </c>
      <c r="C123" s="231" t="s">
        <v>1009</v>
      </c>
      <c r="D123" s="231"/>
      <c r="E123" s="124">
        <v>134</v>
      </c>
      <c r="F123" s="124">
        <v>1269</v>
      </c>
      <c r="G123" s="124" t="s">
        <v>1208</v>
      </c>
      <c r="H123" s="124">
        <v>117530</v>
      </c>
      <c r="I123" s="124" t="s">
        <v>1209</v>
      </c>
      <c r="J123" s="124">
        <v>3612</v>
      </c>
      <c r="K123" s="232" t="s">
        <v>1210</v>
      </c>
      <c r="L123" s="232" t="s">
        <v>1211</v>
      </c>
      <c r="M123" s="232" t="s">
        <v>1212</v>
      </c>
      <c r="N123" s="141"/>
      <c r="O123" s="142">
        <v>0.49608570000000002</v>
      </c>
      <c r="P123" s="141">
        <v>0.52196460300000003</v>
      </c>
      <c r="Q123" s="141">
        <v>0.66106715155860996</v>
      </c>
      <c r="R123" s="141">
        <v>-1.6572449999999999E-3</v>
      </c>
      <c r="S123" s="146"/>
      <c r="T123" s="146">
        <v>0.757382</v>
      </c>
      <c r="U123" s="146">
        <v>0.1090653688389214</v>
      </c>
      <c r="V123" s="146">
        <v>-3.624676</v>
      </c>
      <c r="W123" s="146">
        <v>6.7228474802671079E-2</v>
      </c>
      <c r="X123" s="144">
        <v>2.5334992000000001</v>
      </c>
      <c r="Y123" s="141">
        <v>0.20005829999999999</v>
      </c>
      <c r="Z123" s="235">
        <v>0.54067799999999999</v>
      </c>
      <c r="AA123" s="235">
        <v>0.54600000000000004</v>
      </c>
    </row>
    <row r="124" spans="1:27" x14ac:dyDescent="0.25">
      <c r="A124" s="136">
        <v>123</v>
      </c>
      <c r="B124" s="231" t="s">
        <v>959</v>
      </c>
      <c r="C124" s="231" t="s">
        <v>1009</v>
      </c>
      <c r="D124" s="231"/>
      <c r="E124" s="124">
        <v>135</v>
      </c>
      <c r="F124" s="124">
        <v>1267</v>
      </c>
      <c r="G124" s="124" t="s">
        <v>1213</v>
      </c>
      <c r="H124" s="124">
        <v>117528</v>
      </c>
      <c r="I124" s="124" t="s">
        <v>1214</v>
      </c>
      <c r="J124" s="124">
        <v>3611</v>
      </c>
      <c r="K124" s="232" t="s">
        <v>1215</v>
      </c>
      <c r="L124" s="232" t="s">
        <v>1216</v>
      </c>
      <c r="M124" s="232" t="s">
        <v>1217</v>
      </c>
      <c r="N124" s="141"/>
      <c r="O124" s="142">
        <v>0.49608570000000002</v>
      </c>
      <c r="P124" s="141">
        <v>0.52196460300000003</v>
      </c>
      <c r="Q124" s="141">
        <v>0.66106715155860996</v>
      </c>
      <c r="R124" s="141">
        <v>-1.6572449999999999E-3</v>
      </c>
      <c r="S124" s="146"/>
      <c r="T124" s="146">
        <v>0.757382</v>
      </c>
      <c r="U124" s="146">
        <v>0.1090653688389214</v>
      </c>
      <c r="V124" s="146">
        <v>-3.624676</v>
      </c>
      <c r="W124" s="146">
        <v>6.7228474802671079E-2</v>
      </c>
      <c r="X124" s="144">
        <v>2.5334992000000001</v>
      </c>
      <c r="Y124" s="141">
        <v>0.20005829999999999</v>
      </c>
      <c r="Z124" s="235">
        <v>0.54067799999999999</v>
      </c>
      <c r="AA124" s="235">
        <v>0.54600000000000004</v>
      </c>
    </row>
    <row r="125" spans="1:27" x14ac:dyDescent="0.25">
      <c r="A125" s="136">
        <v>124</v>
      </c>
      <c r="B125" s="231" t="s">
        <v>959</v>
      </c>
      <c r="C125" s="231" t="s">
        <v>1009</v>
      </c>
      <c r="D125" s="231" t="s">
        <v>611</v>
      </c>
      <c r="E125" s="124"/>
      <c r="F125" s="124"/>
      <c r="G125" s="124" t="s">
        <v>1218</v>
      </c>
      <c r="H125" s="124"/>
      <c r="I125" s="124" t="s">
        <v>1219</v>
      </c>
      <c r="J125" s="124"/>
      <c r="K125" s="232"/>
      <c r="L125" s="232"/>
      <c r="M125" s="232"/>
      <c r="N125" s="141"/>
      <c r="O125" s="142">
        <v>0.49608570000000002</v>
      </c>
      <c r="P125" s="141">
        <v>0.52196460300000003</v>
      </c>
      <c r="Q125" s="141">
        <v>0.66106715155860996</v>
      </c>
      <c r="R125" s="141">
        <v>-1.6572449999999999E-3</v>
      </c>
      <c r="S125" s="146"/>
      <c r="T125" s="146">
        <v>0.757382</v>
      </c>
      <c r="U125" s="146">
        <v>0.1090653688389214</v>
      </c>
      <c r="V125" s="146">
        <v>-3.624676</v>
      </c>
      <c r="W125" s="146">
        <v>6.7228474802671079E-2</v>
      </c>
      <c r="X125" s="144">
        <v>2.5334992000000001</v>
      </c>
      <c r="Y125" s="141">
        <v>0.20005829999999999</v>
      </c>
      <c r="Z125" s="235">
        <v>0.54067799999999999</v>
      </c>
      <c r="AA125" s="235">
        <v>0.54600000000000004</v>
      </c>
    </row>
    <row r="126" spans="1:27" x14ac:dyDescent="0.25">
      <c r="A126" s="136">
        <v>125</v>
      </c>
      <c r="B126" s="231" t="s">
        <v>959</v>
      </c>
      <c r="C126" s="231" t="s">
        <v>1009</v>
      </c>
      <c r="D126" s="231"/>
      <c r="E126" s="124"/>
      <c r="F126" s="124"/>
      <c r="G126" s="124" t="s">
        <v>1220</v>
      </c>
      <c r="H126" s="124"/>
      <c r="I126" s="124" t="s">
        <v>1220</v>
      </c>
      <c r="J126" s="124"/>
      <c r="K126" s="232"/>
      <c r="L126" s="232" t="s">
        <v>1221</v>
      </c>
      <c r="M126" s="232"/>
      <c r="N126" s="141"/>
      <c r="O126" s="142">
        <v>0.49608570000000002</v>
      </c>
      <c r="P126" s="141">
        <v>0.52196460300000003</v>
      </c>
      <c r="Q126" s="141">
        <v>0.66106715155860996</v>
      </c>
      <c r="R126" s="141">
        <v>-1.6572449999999999E-3</v>
      </c>
      <c r="S126" s="233">
        <v>7544</v>
      </c>
      <c r="T126" s="233">
        <v>0.76722830665911801</v>
      </c>
      <c r="U126" s="233">
        <v>0.10074191441951269</v>
      </c>
      <c r="V126" s="233">
        <v>-3.3651101905376901</v>
      </c>
      <c r="W126" s="233">
        <v>6.1350030702654282E-2</v>
      </c>
      <c r="X126" s="144">
        <v>2.5334992000000001</v>
      </c>
      <c r="Y126" s="141">
        <v>0.20005829999999999</v>
      </c>
      <c r="Z126" s="148">
        <v>0.54067799999999999</v>
      </c>
      <c r="AA126" s="148">
        <v>0.54600000000000004</v>
      </c>
    </row>
    <row r="127" spans="1:27" x14ac:dyDescent="0.25">
      <c r="A127" s="136">
        <v>126</v>
      </c>
      <c r="B127" s="231" t="s">
        <v>959</v>
      </c>
      <c r="C127" s="231" t="s">
        <v>1009</v>
      </c>
      <c r="D127" s="231" t="s">
        <v>615</v>
      </c>
      <c r="E127" s="124"/>
      <c r="F127" s="124"/>
      <c r="G127" s="124" t="s">
        <v>1222</v>
      </c>
      <c r="H127" s="124">
        <v>196366</v>
      </c>
      <c r="I127" s="124" t="s">
        <v>1223</v>
      </c>
      <c r="J127" s="124"/>
      <c r="K127" s="232"/>
      <c r="L127" s="232"/>
      <c r="M127" s="232"/>
      <c r="N127" s="141"/>
      <c r="O127" s="142">
        <v>0.49608570000000002</v>
      </c>
      <c r="P127" s="141">
        <v>0.52196460300000003</v>
      </c>
      <c r="Q127" s="141">
        <v>0.66106715155860996</v>
      </c>
      <c r="R127" s="141">
        <v>-1.6572449999999999E-3</v>
      </c>
      <c r="S127" s="146"/>
      <c r="T127" s="146">
        <v>0.757382</v>
      </c>
      <c r="U127" s="146">
        <v>0.1090653688389214</v>
      </c>
      <c r="V127" s="146">
        <v>-3.624676</v>
      </c>
      <c r="W127" s="146">
        <v>6.7228474802671079E-2</v>
      </c>
      <c r="X127" s="144">
        <v>2.5334992000000001</v>
      </c>
      <c r="Y127" s="141">
        <v>0.20005829999999999</v>
      </c>
      <c r="Z127" s="235">
        <v>0.48</v>
      </c>
      <c r="AA127" s="235">
        <v>0.44</v>
      </c>
    </row>
    <row r="128" spans="1:27" x14ac:dyDescent="0.25">
      <c r="A128" s="136">
        <v>127</v>
      </c>
      <c r="B128" s="231" t="s">
        <v>959</v>
      </c>
      <c r="C128" s="231" t="s">
        <v>1009</v>
      </c>
      <c r="D128" s="231" t="s">
        <v>615</v>
      </c>
      <c r="E128" s="124"/>
      <c r="F128" s="124"/>
      <c r="G128" s="124" t="s">
        <v>1224</v>
      </c>
      <c r="H128" s="124">
        <v>196709</v>
      </c>
      <c r="I128" s="124" t="s">
        <v>1225</v>
      </c>
      <c r="J128" s="124"/>
      <c r="K128" s="232"/>
      <c r="L128" s="232"/>
      <c r="M128" s="232"/>
      <c r="N128" s="141"/>
      <c r="O128" s="142">
        <v>0.49608570000000002</v>
      </c>
      <c r="P128" s="141">
        <v>0.52196460300000003</v>
      </c>
      <c r="Q128" s="141">
        <v>0.66106715155860996</v>
      </c>
      <c r="R128" s="141">
        <v>-1.6572449999999999E-3</v>
      </c>
      <c r="S128" s="146"/>
      <c r="T128" s="146">
        <v>0.757382</v>
      </c>
      <c r="U128" s="146">
        <v>0.1090653688389214</v>
      </c>
      <c r="V128" s="146">
        <v>-3.624676</v>
      </c>
      <c r="W128" s="146">
        <v>6.7228474802671079E-2</v>
      </c>
      <c r="X128" s="144">
        <v>2.5334992000000001</v>
      </c>
      <c r="Y128" s="141">
        <v>0.20005829999999999</v>
      </c>
      <c r="Z128" s="235">
        <v>0.47355000000000003</v>
      </c>
      <c r="AA128" s="235">
        <v>0.56999999999999995</v>
      </c>
    </row>
    <row r="129" spans="1:27" x14ac:dyDescent="0.25">
      <c r="A129" s="136">
        <v>128</v>
      </c>
      <c r="B129" s="240" t="s">
        <v>959</v>
      </c>
      <c r="C129" s="240" t="s">
        <v>1226</v>
      </c>
      <c r="D129" s="240" t="s">
        <v>435</v>
      </c>
      <c r="E129" s="241">
        <v>9</v>
      </c>
      <c r="F129" s="241">
        <v>883</v>
      </c>
      <c r="G129" s="241" t="s">
        <v>1227</v>
      </c>
      <c r="H129" s="241">
        <v>97947</v>
      </c>
      <c r="I129" s="241" t="s">
        <v>1228</v>
      </c>
      <c r="J129" s="241">
        <v>1742</v>
      </c>
      <c r="K129" s="242" t="s">
        <v>1229</v>
      </c>
      <c r="L129" s="242" t="s">
        <v>427</v>
      </c>
      <c r="M129" s="242" t="s">
        <v>1230</v>
      </c>
      <c r="N129" s="241">
        <v>2302</v>
      </c>
      <c r="O129" s="243">
        <v>0.51549119123982401</v>
      </c>
      <c r="P129" s="241">
        <v>0.541865065300283</v>
      </c>
      <c r="Q129" s="241">
        <v>0.66106715155860996</v>
      </c>
      <c r="R129" s="241">
        <v>-1.50112793605189E-3</v>
      </c>
      <c r="S129" s="244">
        <v>114986</v>
      </c>
      <c r="T129" s="244">
        <v>0.87721488928806501</v>
      </c>
      <c r="U129" s="244">
        <v>6.4878910576182197E-2</v>
      </c>
      <c r="V129" s="244">
        <v>-4.11764226261164</v>
      </c>
      <c r="W129" s="244">
        <v>2.2980889363960581E-2</v>
      </c>
      <c r="X129" s="241">
        <v>2.5334992000000001</v>
      </c>
      <c r="Y129" s="241">
        <v>0.20005829999999999</v>
      </c>
      <c r="Z129" s="245">
        <v>0.58548</v>
      </c>
      <c r="AA129" s="245">
        <v>0.55000000000000004</v>
      </c>
    </row>
    <row r="130" spans="1:27" x14ac:dyDescent="0.25">
      <c r="A130" s="136">
        <v>129</v>
      </c>
      <c r="B130" s="240" t="s">
        <v>959</v>
      </c>
      <c r="C130" s="240" t="s">
        <v>1226</v>
      </c>
      <c r="D130" s="240" t="s">
        <v>435</v>
      </c>
      <c r="E130" s="241">
        <v>11</v>
      </c>
      <c r="F130" s="241">
        <v>381</v>
      </c>
      <c r="G130" s="241" t="s">
        <v>1231</v>
      </c>
      <c r="H130" s="241">
        <v>89200</v>
      </c>
      <c r="I130" s="241" t="s">
        <v>1232</v>
      </c>
      <c r="J130" s="241">
        <v>946</v>
      </c>
      <c r="K130" s="242">
        <v>11</v>
      </c>
      <c r="L130" s="242" t="s">
        <v>1233</v>
      </c>
      <c r="M130" s="242" t="s">
        <v>1234</v>
      </c>
      <c r="N130" s="241">
        <v>79</v>
      </c>
      <c r="O130" s="243">
        <v>0.50291801729855001</v>
      </c>
      <c r="P130" s="241">
        <v>0.53321079428884999</v>
      </c>
      <c r="Q130" s="241">
        <v>0.66106715155860996</v>
      </c>
      <c r="R130" s="241">
        <v>-1.4979620205753199E-3</v>
      </c>
      <c r="S130" s="244">
        <v>64906</v>
      </c>
      <c r="T130" s="244">
        <v>0.72118900316333701</v>
      </c>
      <c r="U130" s="244">
        <v>0.13226680001412919</v>
      </c>
      <c r="V130" s="244">
        <v>-3.9389980242995999</v>
      </c>
      <c r="W130" s="244">
        <v>8.057531077574738E-2</v>
      </c>
      <c r="X130" s="241">
        <v>2.5334992000000001</v>
      </c>
      <c r="Y130" s="241">
        <v>0.20005829999999999</v>
      </c>
      <c r="Z130" s="246">
        <v>0.68018999999999996</v>
      </c>
      <c r="AA130" s="246">
        <v>0.61</v>
      </c>
    </row>
    <row r="131" spans="1:27" x14ac:dyDescent="0.25">
      <c r="A131" s="136">
        <v>130</v>
      </c>
      <c r="B131" s="247" t="s">
        <v>959</v>
      </c>
      <c r="C131" s="247" t="s">
        <v>1226</v>
      </c>
      <c r="D131" s="247"/>
      <c r="E131" s="241">
        <v>90</v>
      </c>
      <c r="F131" s="241">
        <v>382</v>
      </c>
      <c r="G131" s="241" t="s">
        <v>1235</v>
      </c>
      <c r="H131" s="241">
        <v>111837</v>
      </c>
      <c r="I131" s="241" t="s">
        <v>1236</v>
      </c>
      <c r="J131" s="241">
        <v>3081</v>
      </c>
      <c r="K131" s="242">
        <v>32</v>
      </c>
      <c r="L131" s="242" t="s">
        <v>1237</v>
      </c>
      <c r="M131" s="242" t="s">
        <v>1238</v>
      </c>
      <c r="N131" s="141"/>
      <c r="O131" s="142">
        <v>0.49608570000000002</v>
      </c>
      <c r="P131" s="141">
        <v>0.52196460300000003</v>
      </c>
      <c r="Q131" s="141">
        <v>0.66106715155860996</v>
      </c>
      <c r="R131" s="141">
        <v>-1.6572449999999999E-3</v>
      </c>
      <c r="S131" s="244">
        <v>220</v>
      </c>
      <c r="T131" s="244">
        <v>0.56752061470749104</v>
      </c>
      <c r="U131" s="244">
        <v>0.17124731562390619</v>
      </c>
      <c r="V131" s="244">
        <v>-4.4359994724847898</v>
      </c>
      <c r="W131" s="244">
        <v>0.15626715095234509</v>
      </c>
      <c r="X131" s="144">
        <v>2.5334992000000001</v>
      </c>
      <c r="Y131" s="141">
        <v>0.20005829999999999</v>
      </c>
      <c r="Z131" s="148">
        <v>0.59409000000000001</v>
      </c>
      <c r="AA131" s="148">
        <v>0.57500000000000007</v>
      </c>
    </row>
    <row r="132" spans="1:27" x14ac:dyDescent="0.25">
      <c r="A132" s="136">
        <v>131</v>
      </c>
      <c r="B132" s="240" t="s">
        <v>959</v>
      </c>
      <c r="C132" s="240" t="s">
        <v>1226</v>
      </c>
      <c r="D132" s="240" t="s">
        <v>435</v>
      </c>
      <c r="E132" s="241">
        <v>162</v>
      </c>
      <c r="F132" s="241">
        <v>908</v>
      </c>
      <c r="G132" s="241" t="s">
        <v>1239</v>
      </c>
      <c r="H132" s="241">
        <v>125816</v>
      </c>
      <c r="I132" s="241" t="s">
        <v>1240</v>
      </c>
      <c r="J132" s="241">
        <v>4345</v>
      </c>
      <c r="K132" s="242">
        <v>67</v>
      </c>
      <c r="L132" s="242" t="s">
        <v>1241</v>
      </c>
      <c r="M132" s="242" t="s">
        <v>1242</v>
      </c>
      <c r="N132" s="178"/>
      <c r="O132" s="179"/>
      <c r="P132" s="178">
        <v>0.35638887800000002</v>
      </c>
      <c r="Q132" s="178">
        <v>1.7559231923802501</v>
      </c>
      <c r="R132" s="178">
        <v>1.73453652052958E-3</v>
      </c>
      <c r="S132" s="244">
        <v>102</v>
      </c>
      <c r="T132" s="244">
        <v>0.86177164728894873</v>
      </c>
      <c r="U132" s="244">
        <v>8.1727860783047196E-2</v>
      </c>
      <c r="V132" s="244">
        <v>-3.8704808315833499</v>
      </c>
      <c r="W132" s="244">
        <v>6.9500682088916285E-2</v>
      </c>
      <c r="X132" s="144">
        <v>2.5334992000000001</v>
      </c>
      <c r="Y132" s="178">
        <v>4.0176899999999988E-2</v>
      </c>
      <c r="Z132" s="245">
        <v>0.55103999999999997</v>
      </c>
      <c r="AA132" s="245">
        <v>0.57999999999999996</v>
      </c>
    </row>
    <row r="133" spans="1:27" x14ac:dyDescent="0.25">
      <c r="A133" s="136">
        <v>132</v>
      </c>
      <c r="B133" s="240" t="s">
        <v>959</v>
      </c>
      <c r="C133" s="240" t="s">
        <v>1226</v>
      </c>
      <c r="D133" s="240" t="s">
        <v>435</v>
      </c>
      <c r="E133" s="241">
        <v>21</v>
      </c>
      <c r="F133" s="241">
        <v>734</v>
      </c>
      <c r="G133" s="241" t="s">
        <v>1243</v>
      </c>
      <c r="H133" s="241">
        <v>98921</v>
      </c>
      <c r="I133" s="241" t="s">
        <v>1244</v>
      </c>
      <c r="J133" s="241">
        <v>1803</v>
      </c>
      <c r="K133" s="242" t="s">
        <v>1245</v>
      </c>
      <c r="L133" s="242" t="s">
        <v>1246</v>
      </c>
      <c r="M133" s="242" t="s">
        <v>1247</v>
      </c>
      <c r="N133" s="241">
        <v>161</v>
      </c>
      <c r="O133" s="243">
        <v>0.49691250464666997</v>
      </c>
      <c r="P133" s="241">
        <v>0.50863698855877704</v>
      </c>
      <c r="Q133" s="241">
        <v>0.66106715155860996</v>
      </c>
      <c r="R133" s="241">
        <v>-9.6578744392821598E-4</v>
      </c>
      <c r="S133" s="244">
        <v>23175</v>
      </c>
      <c r="T133" s="244">
        <v>0.85750835964271699</v>
      </c>
      <c r="U133" s="244">
        <v>6.8994509273813204E-2</v>
      </c>
      <c r="V133" s="244">
        <v>-3.3892984424306198</v>
      </c>
      <c r="W133" s="244">
        <v>3.0031075239210579E-2</v>
      </c>
      <c r="X133" s="241">
        <v>2.5334992000000001</v>
      </c>
      <c r="Y133" s="241">
        <v>0.20005829999999999</v>
      </c>
      <c r="Z133" s="245">
        <v>0.55964999999999998</v>
      </c>
      <c r="AA133" s="245">
        <v>0.56000000000000005</v>
      </c>
    </row>
    <row r="134" spans="1:27" x14ac:dyDescent="0.25">
      <c r="A134" s="136">
        <v>133</v>
      </c>
      <c r="B134" s="247" t="s">
        <v>959</v>
      </c>
      <c r="C134" s="247" t="s">
        <v>1226</v>
      </c>
      <c r="D134" s="247"/>
      <c r="E134" s="241">
        <v>22</v>
      </c>
      <c r="F134" s="241">
        <v>733</v>
      </c>
      <c r="G134" s="241" t="s">
        <v>1248</v>
      </c>
      <c r="H134" s="241">
        <v>134718</v>
      </c>
      <c r="I134" s="241" t="s">
        <v>1249</v>
      </c>
      <c r="J134" s="241">
        <v>1804</v>
      </c>
      <c r="K134" s="242" t="s">
        <v>1250</v>
      </c>
      <c r="L134" s="242" t="s">
        <v>1251</v>
      </c>
      <c r="M134" s="242" t="s">
        <v>1252</v>
      </c>
      <c r="N134" s="141"/>
      <c r="O134" s="142">
        <v>0.49608570000000002</v>
      </c>
      <c r="P134" s="141">
        <v>0.52196460300000003</v>
      </c>
      <c r="Q134" s="141">
        <v>0.66106715155860996</v>
      </c>
      <c r="R134" s="141">
        <v>-1.6572449999999999E-3</v>
      </c>
      <c r="S134" s="146"/>
      <c r="T134" s="146">
        <v>0.757382</v>
      </c>
      <c r="U134" s="146">
        <v>9.78063268893552E-2</v>
      </c>
      <c r="V134" s="146">
        <v>-3.624676</v>
      </c>
      <c r="W134" s="146">
        <v>6.7228474802671079E-2</v>
      </c>
      <c r="X134" s="144">
        <v>2.7994634</v>
      </c>
      <c r="Y134" s="141">
        <v>0.20005829999999999</v>
      </c>
      <c r="Z134" s="245">
        <v>0.59409000000000001</v>
      </c>
      <c r="AA134" s="245">
        <v>0.57500000000000007</v>
      </c>
    </row>
    <row r="135" spans="1:27" x14ac:dyDescent="0.25">
      <c r="A135" s="136">
        <v>134</v>
      </c>
      <c r="B135" s="247" t="s">
        <v>959</v>
      </c>
      <c r="C135" s="247" t="s">
        <v>1226</v>
      </c>
      <c r="D135" s="247"/>
      <c r="E135" s="241">
        <v>23</v>
      </c>
      <c r="F135" s="241">
        <v>736</v>
      </c>
      <c r="G135" s="241" t="s">
        <v>1253</v>
      </c>
      <c r="H135" s="241">
        <v>134708</v>
      </c>
      <c r="I135" s="241" t="s">
        <v>1254</v>
      </c>
      <c r="J135" s="241">
        <v>1805</v>
      </c>
      <c r="K135" s="242" t="s">
        <v>1255</v>
      </c>
      <c r="L135" s="242" t="s">
        <v>1256</v>
      </c>
      <c r="M135" s="242" t="s">
        <v>1257</v>
      </c>
      <c r="N135" s="141"/>
      <c r="O135" s="142">
        <v>0.49608570000000002</v>
      </c>
      <c r="P135" s="141">
        <v>0.52196460300000003</v>
      </c>
      <c r="Q135" s="141">
        <v>0.66106715155860996</v>
      </c>
      <c r="R135" s="141">
        <v>-1.6572449999999999E-3</v>
      </c>
      <c r="S135" s="146"/>
      <c r="T135" s="146">
        <v>0.757382</v>
      </c>
      <c r="U135" s="146">
        <v>9.78063268893552E-2</v>
      </c>
      <c r="V135" s="146">
        <v>-3.624676</v>
      </c>
      <c r="W135" s="146">
        <v>6.7228474802671079E-2</v>
      </c>
      <c r="X135" s="144">
        <v>2.7994634</v>
      </c>
      <c r="Y135" s="141">
        <v>0.20005829999999999</v>
      </c>
      <c r="Z135" s="245">
        <v>0.59409000000000001</v>
      </c>
      <c r="AA135" s="245">
        <v>0.57500000000000007</v>
      </c>
    </row>
    <row r="136" spans="1:27" x14ac:dyDescent="0.25">
      <c r="A136" s="136">
        <v>135</v>
      </c>
      <c r="B136" s="247" t="s">
        <v>959</v>
      </c>
      <c r="C136" s="247" t="s">
        <v>1226</v>
      </c>
      <c r="D136" s="247"/>
      <c r="E136" s="241">
        <v>78</v>
      </c>
      <c r="F136" s="241">
        <v>735</v>
      </c>
      <c r="G136" s="241" t="s">
        <v>1258</v>
      </c>
      <c r="H136" s="241">
        <v>98909</v>
      </c>
      <c r="I136" s="241" t="s">
        <v>1259</v>
      </c>
      <c r="J136" s="241">
        <v>1802</v>
      </c>
      <c r="K136" s="242" t="s">
        <v>1260</v>
      </c>
      <c r="L136" s="242"/>
      <c r="M136" s="242"/>
      <c r="N136" s="141"/>
      <c r="O136" s="142">
        <v>0.49608570000000002</v>
      </c>
      <c r="P136" s="141">
        <v>0.52196460300000003</v>
      </c>
      <c r="Q136" s="141">
        <v>0.66106715155860996</v>
      </c>
      <c r="R136" s="141">
        <v>-1.6572449999999999E-3</v>
      </c>
      <c r="S136" s="146"/>
      <c r="T136" s="146">
        <v>0.757382</v>
      </c>
      <c r="U136" s="146">
        <v>9.78063268893552E-2</v>
      </c>
      <c r="V136" s="146">
        <v>-3.624676</v>
      </c>
      <c r="W136" s="146">
        <v>6.7228474802671079E-2</v>
      </c>
      <c r="X136" s="144">
        <v>2.7994634</v>
      </c>
      <c r="Y136" s="141">
        <v>0.20005829999999999</v>
      </c>
      <c r="Z136" s="245">
        <v>0.59409000000000001</v>
      </c>
      <c r="AA136" s="245">
        <v>0.57500000000000007</v>
      </c>
    </row>
    <row r="137" spans="1:27" x14ac:dyDescent="0.25">
      <c r="A137" s="136">
        <v>136</v>
      </c>
      <c r="B137" s="248" t="s">
        <v>959</v>
      </c>
      <c r="C137" s="248" t="s">
        <v>1226</v>
      </c>
      <c r="D137" s="248" t="s">
        <v>611</v>
      </c>
      <c r="E137" s="241"/>
      <c r="F137" s="241"/>
      <c r="G137" s="241" t="s">
        <v>1261</v>
      </c>
      <c r="H137" s="241"/>
      <c r="I137" s="241" t="s">
        <v>1262</v>
      </c>
      <c r="J137" s="241"/>
      <c r="K137" s="242"/>
      <c r="L137" s="242"/>
      <c r="M137" s="242"/>
      <c r="N137" s="141"/>
      <c r="O137" s="142">
        <v>0.49608570000000002</v>
      </c>
      <c r="P137" s="141">
        <v>0.52196460300000003</v>
      </c>
      <c r="Q137" s="141">
        <v>0.66106715155860996</v>
      </c>
      <c r="R137" s="141">
        <v>-1.6572449999999999E-3</v>
      </c>
      <c r="S137" s="146"/>
      <c r="T137" s="146">
        <v>0.757382</v>
      </c>
      <c r="U137" s="146">
        <v>9.78063268893552E-2</v>
      </c>
      <c r="V137" s="146">
        <v>-3.624676</v>
      </c>
      <c r="W137" s="146">
        <v>6.7228474802671079E-2</v>
      </c>
      <c r="X137" s="144">
        <v>2.7994634</v>
      </c>
      <c r="Y137" s="141">
        <v>0.20005829999999999</v>
      </c>
      <c r="Z137" s="245">
        <v>0.59409000000000001</v>
      </c>
      <c r="AA137" s="245">
        <v>0.57500000000000007</v>
      </c>
    </row>
    <row r="138" spans="1:27" x14ac:dyDescent="0.25">
      <c r="A138" s="136">
        <v>137</v>
      </c>
      <c r="B138" s="249" t="s">
        <v>433</v>
      </c>
      <c r="C138" s="249" t="s">
        <v>1263</v>
      </c>
      <c r="D138" s="249" t="s">
        <v>435</v>
      </c>
      <c r="E138" s="250">
        <v>89</v>
      </c>
      <c r="F138" s="250">
        <v>1271</v>
      </c>
      <c r="G138" s="250" t="s">
        <v>1264</v>
      </c>
      <c r="H138" s="250">
        <v>92606</v>
      </c>
      <c r="I138" s="250" t="s">
        <v>1265</v>
      </c>
      <c r="J138" s="250">
        <v>1244</v>
      </c>
      <c r="K138" s="251">
        <v>31</v>
      </c>
      <c r="L138" s="251" t="s">
        <v>1266</v>
      </c>
      <c r="M138" s="251" t="s">
        <v>1267</v>
      </c>
      <c r="N138" s="141"/>
      <c r="O138" s="142">
        <v>0.49608570000000002</v>
      </c>
      <c r="P138" s="141">
        <v>0.52196460300000003</v>
      </c>
      <c r="Q138" s="141">
        <v>0.66106715155860996</v>
      </c>
      <c r="R138" s="141">
        <v>-1.6572449999999999E-3</v>
      </c>
      <c r="S138" s="252">
        <v>4079</v>
      </c>
      <c r="T138" s="252">
        <v>0.520578791339665</v>
      </c>
      <c r="U138" s="252">
        <v>0.29377494495462275</v>
      </c>
      <c r="V138" s="252">
        <v>-6.2984374501501401</v>
      </c>
      <c r="W138" s="252">
        <v>0.21281730953316808</v>
      </c>
      <c r="X138" s="144">
        <v>2.7994634</v>
      </c>
      <c r="Y138" s="141">
        <v>0.20005829999999999</v>
      </c>
      <c r="Z138" s="148">
        <v>0.53552</v>
      </c>
      <c r="AA138" s="148">
        <v>0.52750000000000008</v>
      </c>
    </row>
    <row r="139" spans="1:27" x14ac:dyDescent="0.25">
      <c r="A139" s="136">
        <v>138</v>
      </c>
      <c r="B139" s="253" t="s">
        <v>433</v>
      </c>
      <c r="C139" s="253" t="s">
        <v>1263</v>
      </c>
      <c r="D139" s="253" t="s">
        <v>435</v>
      </c>
      <c r="E139" s="250">
        <v>95</v>
      </c>
      <c r="F139" s="250">
        <v>644</v>
      </c>
      <c r="G139" s="250" t="s">
        <v>1268</v>
      </c>
      <c r="H139" s="250">
        <v>192361</v>
      </c>
      <c r="I139" s="250" t="s">
        <v>1269</v>
      </c>
      <c r="J139" s="250">
        <v>8703</v>
      </c>
      <c r="K139" s="251">
        <v>36</v>
      </c>
      <c r="L139" s="251" t="s">
        <v>1270</v>
      </c>
      <c r="M139" s="251" t="s">
        <v>1271</v>
      </c>
      <c r="N139" s="141"/>
      <c r="O139" s="142">
        <v>0.49608570000000002</v>
      </c>
      <c r="P139" s="141">
        <v>0.52196460300000003</v>
      </c>
      <c r="Q139" s="141">
        <v>0.66106715155860996</v>
      </c>
      <c r="R139" s="141">
        <v>-1.6572449999999999E-3</v>
      </c>
      <c r="S139" s="252">
        <v>62</v>
      </c>
      <c r="T139" s="252">
        <v>0.59277434714522004</v>
      </c>
      <c r="U139" s="252">
        <v>0.12029190412995269</v>
      </c>
      <c r="V139" s="252">
        <v>-2.50239308961741</v>
      </c>
      <c r="W139" s="252">
        <v>7.9473824710472485E-2</v>
      </c>
      <c r="X139" s="144">
        <v>2.7994634</v>
      </c>
      <c r="Y139" s="141">
        <v>0.20005829999999999</v>
      </c>
      <c r="Z139" s="254">
        <v>0.52</v>
      </c>
      <c r="AA139" s="254">
        <v>0.54500000000000004</v>
      </c>
    </row>
    <row r="140" spans="1:27" x14ac:dyDescent="0.25">
      <c r="A140" s="136">
        <v>139</v>
      </c>
      <c r="B140" s="255" t="s">
        <v>433</v>
      </c>
      <c r="C140" s="255" t="s">
        <v>1263</v>
      </c>
      <c r="D140" s="255"/>
      <c r="E140" s="250">
        <v>24</v>
      </c>
      <c r="F140" s="250">
        <v>1311</v>
      </c>
      <c r="G140" s="250" t="s">
        <v>1272</v>
      </c>
      <c r="H140" s="250">
        <v>142031</v>
      </c>
      <c r="I140" s="250" t="s">
        <v>1273</v>
      </c>
      <c r="J140" s="250">
        <v>4562</v>
      </c>
      <c r="K140" s="251" t="s">
        <v>1274</v>
      </c>
      <c r="L140" s="251" t="s">
        <v>1275</v>
      </c>
      <c r="M140" s="251" t="s">
        <v>1276</v>
      </c>
      <c r="N140" s="141"/>
      <c r="O140" s="142">
        <v>0.49608570000000002</v>
      </c>
      <c r="P140" s="141">
        <v>0.52196460300000003</v>
      </c>
      <c r="Q140" s="141">
        <v>0.66106715155860996</v>
      </c>
      <c r="R140" s="141">
        <v>-1.6572449999999999E-3</v>
      </c>
      <c r="S140" s="252">
        <v>8045</v>
      </c>
      <c r="T140" s="252">
        <v>0.77755983231648595</v>
      </c>
      <c r="U140" s="252">
        <v>9.5334526279824694E-2</v>
      </c>
      <c r="V140" s="252">
        <v>-3.6204398225211598</v>
      </c>
      <c r="W140" s="252">
        <v>6.5579519766875288E-2</v>
      </c>
      <c r="X140" s="144">
        <v>2.7994634</v>
      </c>
      <c r="Y140" s="141">
        <v>0.20005829999999999</v>
      </c>
      <c r="Z140" s="254">
        <v>0.55103999999999997</v>
      </c>
      <c r="AA140" s="254">
        <v>0.51</v>
      </c>
    </row>
    <row r="141" spans="1:27" x14ac:dyDescent="0.25">
      <c r="A141" s="136">
        <v>140</v>
      </c>
      <c r="B141" s="255" t="s">
        <v>433</v>
      </c>
      <c r="C141" s="255" t="s">
        <v>1263</v>
      </c>
      <c r="D141" s="255"/>
      <c r="E141" s="250">
        <v>25</v>
      </c>
      <c r="F141" s="250">
        <v>1314</v>
      </c>
      <c r="G141" s="250" t="s">
        <v>1277</v>
      </c>
      <c r="H141" s="250">
        <v>128171</v>
      </c>
      <c r="I141" s="250" t="s">
        <v>1278</v>
      </c>
      <c r="J141" s="250">
        <v>4563</v>
      </c>
      <c r="K141" s="251" t="s">
        <v>1279</v>
      </c>
      <c r="L141" s="251" t="s">
        <v>1280</v>
      </c>
      <c r="M141" s="251" t="s">
        <v>1281</v>
      </c>
      <c r="N141" s="141"/>
      <c r="O141" s="142">
        <v>0.49608570000000002</v>
      </c>
      <c r="P141" s="141">
        <v>0.52196460300000003</v>
      </c>
      <c r="Q141" s="141">
        <v>0.66106715155860996</v>
      </c>
      <c r="R141" s="141">
        <v>-1.6572449999999999E-3</v>
      </c>
      <c r="S141" s="252">
        <v>8045</v>
      </c>
      <c r="T141" s="252">
        <v>0.77755983231648595</v>
      </c>
      <c r="U141" s="252">
        <v>9.5334526279824694E-2</v>
      </c>
      <c r="V141" s="252">
        <v>-3.6204398225211598</v>
      </c>
      <c r="W141" s="252">
        <v>6.5579519766875288E-2</v>
      </c>
      <c r="X141" s="144">
        <v>2.7994634</v>
      </c>
      <c r="Y141" s="141">
        <v>0.20005829999999999</v>
      </c>
      <c r="Z141" s="254">
        <v>0.55103999999999997</v>
      </c>
      <c r="AA141" s="254">
        <v>0.51</v>
      </c>
    </row>
    <row r="142" spans="1:27" x14ac:dyDescent="0.25">
      <c r="A142" s="136">
        <v>141</v>
      </c>
      <c r="B142" s="255" t="s">
        <v>433</v>
      </c>
      <c r="C142" s="255" t="s">
        <v>1263</v>
      </c>
      <c r="D142" s="255"/>
      <c r="E142" s="250">
        <v>26</v>
      </c>
      <c r="F142" s="250">
        <v>1312</v>
      </c>
      <c r="G142" s="250" t="s">
        <v>1282</v>
      </c>
      <c r="H142" s="250">
        <v>142029</v>
      </c>
      <c r="I142" s="250" t="s">
        <v>1283</v>
      </c>
      <c r="J142" s="250">
        <v>4564</v>
      </c>
      <c r="K142" s="251" t="s">
        <v>1284</v>
      </c>
      <c r="L142" s="251" t="s">
        <v>1285</v>
      </c>
      <c r="M142" s="251" t="s">
        <v>1286</v>
      </c>
      <c r="N142" s="141"/>
      <c r="O142" s="142">
        <v>0.49608570000000002</v>
      </c>
      <c r="P142" s="141">
        <v>0.52196460300000003</v>
      </c>
      <c r="Q142" s="141">
        <v>0.66106715155860996</v>
      </c>
      <c r="R142" s="141">
        <v>-1.6572449999999999E-3</v>
      </c>
      <c r="S142" s="252">
        <v>8045</v>
      </c>
      <c r="T142" s="252">
        <v>0.77755983231648595</v>
      </c>
      <c r="U142" s="252">
        <v>9.5334526279824694E-2</v>
      </c>
      <c r="V142" s="252">
        <v>-3.6204398225211598</v>
      </c>
      <c r="W142" s="252">
        <v>6.5579519766875288E-2</v>
      </c>
      <c r="X142" s="144">
        <v>2.7994634</v>
      </c>
      <c r="Y142" s="141">
        <v>0.20005829999999999</v>
      </c>
      <c r="Z142" s="254">
        <v>0.55103999999999997</v>
      </c>
      <c r="AA142" s="254">
        <v>0.51</v>
      </c>
    </row>
    <row r="143" spans="1:27" x14ac:dyDescent="0.25">
      <c r="A143" s="136">
        <v>142</v>
      </c>
      <c r="B143" s="255" t="s">
        <v>433</v>
      </c>
      <c r="C143" s="255" t="s">
        <v>1263</v>
      </c>
      <c r="D143" s="255"/>
      <c r="E143" s="250">
        <v>113</v>
      </c>
      <c r="F143" s="250">
        <v>224</v>
      </c>
      <c r="G143" s="250" t="s">
        <v>1287</v>
      </c>
      <c r="H143" s="250">
        <v>96659</v>
      </c>
      <c r="I143" s="250" t="s">
        <v>1288</v>
      </c>
      <c r="J143" s="250">
        <v>1582</v>
      </c>
      <c r="K143" s="251" t="s">
        <v>1289</v>
      </c>
      <c r="L143" s="251" t="s">
        <v>1290</v>
      </c>
      <c r="M143" s="251" t="s">
        <v>1291</v>
      </c>
      <c r="N143" s="141"/>
      <c r="O143" s="142">
        <v>0.49608570000000002</v>
      </c>
      <c r="P143" s="141">
        <v>0.52196460300000003</v>
      </c>
      <c r="Q143" s="141">
        <v>0.66106715155860996</v>
      </c>
      <c r="R143" s="141">
        <v>-1.6572449999999999E-3</v>
      </c>
      <c r="S143" s="146"/>
      <c r="T143" s="146">
        <v>0.757382</v>
      </c>
      <c r="U143" s="146">
        <v>0.11570540193728371</v>
      </c>
      <c r="V143" s="146">
        <v>-3.624676</v>
      </c>
      <c r="W143" s="146">
        <v>6.7228474802671079E-2</v>
      </c>
      <c r="X143" s="144">
        <v>2.7994634</v>
      </c>
      <c r="Y143" s="141">
        <v>0.20005829999999999</v>
      </c>
      <c r="Z143" s="254">
        <v>0.53552</v>
      </c>
      <c r="AA143" s="254">
        <v>0.52750000000000008</v>
      </c>
    </row>
    <row r="144" spans="1:27" x14ac:dyDescent="0.25">
      <c r="A144" s="136">
        <v>143</v>
      </c>
      <c r="B144" s="256" t="s">
        <v>433</v>
      </c>
      <c r="C144" s="256" t="s">
        <v>1263</v>
      </c>
      <c r="D144" s="256"/>
      <c r="E144" s="250">
        <v>137</v>
      </c>
      <c r="F144" s="250">
        <v>1908</v>
      </c>
      <c r="G144" s="250" t="s">
        <v>1292</v>
      </c>
      <c r="H144" s="250">
        <v>120717</v>
      </c>
      <c r="I144" s="250" t="s">
        <v>1293</v>
      </c>
      <c r="J144" s="250">
        <v>3815</v>
      </c>
      <c r="K144" s="251" t="s">
        <v>1294</v>
      </c>
      <c r="L144" s="251" t="s">
        <v>1295</v>
      </c>
      <c r="M144" s="251" t="s">
        <v>1296</v>
      </c>
      <c r="N144" s="141"/>
      <c r="O144" s="142">
        <v>0.49608570000000002</v>
      </c>
      <c r="P144" s="141">
        <v>0.52196460300000003</v>
      </c>
      <c r="Q144" s="141">
        <v>0.66106715155860996</v>
      </c>
      <c r="R144" s="141">
        <v>-1.6572449999999999E-3</v>
      </c>
      <c r="S144" s="146"/>
      <c r="T144" s="146">
        <v>0.757382</v>
      </c>
      <c r="U144" s="146">
        <v>0.11570540193728371</v>
      </c>
      <c r="V144" s="146">
        <v>-3.624676</v>
      </c>
      <c r="W144" s="146">
        <v>6.7228474802671079E-2</v>
      </c>
      <c r="X144" s="144">
        <v>2.7994634</v>
      </c>
      <c r="Y144" s="141">
        <v>0.20005829999999999</v>
      </c>
      <c r="Z144" s="254">
        <v>0.53552</v>
      </c>
      <c r="AA144" s="254">
        <v>0.52750000000000008</v>
      </c>
    </row>
    <row r="145" spans="1:27" x14ac:dyDescent="0.25">
      <c r="A145" s="136">
        <v>144</v>
      </c>
      <c r="B145" s="256" t="s">
        <v>433</v>
      </c>
      <c r="C145" s="256" t="s">
        <v>1263</v>
      </c>
      <c r="D145" s="256"/>
      <c r="E145" s="250">
        <v>138</v>
      </c>
      <c r="F145" s="250">
        <v>1907</v>
      </c>
      <c r="G145" s="250" t="s">
        <v>1297</v>
      </c>
      <c r="H145" s="250">
        <v>120720</v>
      </c>
      <c r="I145" s="250" t="s">
        <v>1298</v>
      </c>
      <c r="J145" s="250">
        <v>3816</v>
      </c>
      <c r="K145" s="251" t="s">
        <v>1299</v>
      </c>
      <c r="L145" s="251" t="s">
        <v>1300</v>
      </c>
      <c r="M145" s="251" t="s">
        <v>1301</v>
      </c>
      <c r="N145" s="141"/>
      <c r="O145" s="142">
        <v>0.49608570000000002</v>
      </c>
      <c r="P145" s="141">
        <v>0.52196460300000003</v>
      </c>
      <c r="Q145" s="141">
        <v>0.66106715155860996</v>
      </c>
      <c r="R145" s="141">
        <v>-1.6572449999999999E-3</v>
      </c>
      <c r="S145" s="146"/>
      <c r="T145" s="146">
        <v>0.757382</v>
      </c>
      <c r="U145" s="146">
        <v>0.11570540193728371</v>
      </c>
      <c r="V145" s="146">
        <v>-3.624676</v>
      </c>
      <c r="W145" s="146">
        <v>6.7228474802671079E-2</v>
      </c>
      <c r="X145" s="144">
        <v>2.7994634</v>
      </c>
      <c r="Y145" s="141">
        <v>0.20005829999999999</v>
      </c>
      <c r="Z145" s="254">
        <v>0.53552</v>
      </c>
      <c r="AA145" s="254">
        <v>0.52750000000000008</v>
      </c>
    </row>
    <row r="146" spans="1:27" x14ac:dyDescent="0.25">
      <c r="A146" s="136">
        <v>145</v>
      </c>
      <c r="B146" s="256" t="s">
        <v>433</v>
      </c>
      <c r="C146" s="256" t="s">
        <v>1263</v>
      </c>
      <c r="D146" s="256" t="s">
        <v>611</v>
      </c>
      <c r="E146" s="250"/>
      <c r="F146" s="250"/>
      <c r="G146" s="250" t="s">
        <v>1302</v>
      </c>
      <c r="H146" s="250"/>
      <c r="I146" s="250" t="s">
        <v>1303</v>
      </c>
      <c r="J146" s="250"/>
      <c r="K146" s="251"/>
      <c r="L146" s="251"/>
      <c r="M146" s="251"/>
      <c r="N146" s="141"/>
      <c r="O146" s="142">
        <v>0.49608570000000002</v>
      </c>
      <c r="P146" s="141">
        <v>0.52196460300000003</v>
      </c>
      <c r="Q146" s="141">
        <v>0.66106715155860996</v>
      </c>
      <c r="R146" s="141">
        <v>-1.6572449999999999E-3</v>
      </c>
      <c r="S146" s="146"/>
      <c r="T146" s="146">
        <v>0.757382</v>
      </c>
      <c r="U146" s="146">
        <v>0.11570540193728371</v>
      </c>
      <c r="V146" s="146">
        <v>-3.624676</v>
      </c>
      <c r="W146" s="146">
        <v>6.7228474802671079E-2</v>
      </c>
      <c r="X146" s="144">
        <v>2.7994634</v>
      </c>
      <c r="Y146" s="141">
        <v>0.20005829999999999</v>
      </c>
      <c r="Z146" s="254">
        <v>0.53552</v>
      </c>
      <c r="AA146" s="254">
        <v>0.52750000000000008</v>
      </c>
    </row>
    <row r="147" spans="1:27" x14ac:dyDescent="0.25">
      <c r="A147" s="136">
        <v>146</v>
      </c>
      <c r="B147" s="253" t="s">
        <v>433</v>
      </c>
      <c r="C147" s="253" t="s">
        <v>1263</v>
      </c>
      <c r="D147" s="253" t="s">
        <v>435</v>
      </c>
      <c r="E147" s="250"/>
      <c r="F147" s="250"/>
      <c r="G147" s="250" t="s">
        <v>1304</v>
      </c>
      <c r="H147" s="250">
        <v>198789</v>
      </c>
      <c r="I147" s="257" t="s">
        <v>1305</v>
      </c>
      <c r="J147" s="250"/>
      <c r="K147" s="251"/>
      <c r="L147" s="251" t="s">
        <v>1306</v>
      </c>
      <c r="M147" s="251"/>
      <c r="N147" s="141"/>
      <c r="O147" s="142">
        <v>0.49608570000000002</v>
      </c>
      <c r="P147" s="141">
        <v>0.52196460300000003</v>
      </c>
      <c r="Q147" s="141">
        <v>0.66106715155860996</v>
      </c>
      <c r="R147" s="141">
        <v>-1.6572449999999999E-3</v>
      </c>
      <c r="S147" s="252">
        <v>8045</v>
      </c>
      <c r="T147" s="252">
        <v>0.77755983231648595</v>
      </c>
      <c r="U147" s="252">
        <v>9.5334526279824694E-2</v>
      </c>
      <c r="V147" s="252">
        <v>-3.6204398225211598</v>
      </c>
      <c r="W147" s="252">
        <v>6.5579519766875288E-2</v>
      </c>
      <c r="X147" s="144">
        <v>2.7994634</v>
      </c>
      <c r="Y147" s="141">
        <v>0.20005829999999999</v>
      </c>
      <c r="Z147" s="254">
        <v>0.55103999999999997</v>
      </c>
      <c r="AA147" s="254">
        <v>0.51</v>
      </c>
    </row>
    <row r="148" spans="1:27" x14ac:dyDescent="0.25">
      <c r="A148" s="136">
        <v>147</v>
      </c>
      <c r="B148" s="154" t="s">
        <v>433</v>
      </c>
      <c r="C148" s="154" t="s">
        <v>434</v>
      </c>
      <c r="D148" s="154" t="s">
        <v>435</v>
      </c>
      <c r="E148" s="139">
        <v>17</v>
      </c>
      <c r="F148" s="139">
        <v>1653</v>
      </c>
      <c r="G148" s="139" t="s">
        <v>1307</v>
      </c>
      <c r="H148" s="139">
        <v>117860</v>
      </c>
      <c r="I148" s="139" t="s">
        <v>1308</v>
      </c>
      <c r="J148" s="139">
        <v>3647</v>
      </c>
      <c r="K148" s="140">
        <v>14</v>
      </c>
      <c r="L148" s="140" t="s">
        <v>1309</v>
      </c>
      <c r="M148" s="140" t="s">
        <v>1310</v>
      </c>
      <c r="N148" s="141"/>
      <c r="O148" s="142">
        <v>0.49608570000000002</v>
      </c>
      <c r="P148" s="141">
        <v>0.52196460300000003</v>
      </c>
      <c r="Q148" s="141">
        <v>0.66106715155860996</v>
      </c>
      <c r="R148" s="141">
        <v>-1.6572449999999999E-3</v>
      </c>
      <c r="S148" s="143">
        <v>11736</v>
      </c>
      <c r="T148" s="143">
        <v>0.76016517251027804</v>
      </c>
      <c r="U148" s="143">
        <v>0.100519248008636</v>
      </c>
      <c r="V148" s="143">
        <v>-4.0263449576626202</v>
      </c>
      <c r="W148" s="143">
        <v>8.420615313205268E-2</v>
      </c>
      <c r="X148" s="144">
        <v>2.7994634</v>
      </c>
      <c r="Y148" s="141">
        <v>0.20005829999999999</v>
      </c>
      <c r="Z148" s="145">
        <v>0.66</v>
      </c>
      <c r="AA148" s="145">
        <v>0.57999999999999996</v>
      </c>
    </row>
    <row r="149" spans="1:27" x14ac:dyDescent="0.25">
      <c r="A149" s="136">
        <v>148</v>
      </c>
      <c r="B149" s="149" t="s">
        <v>433</v>
      </c>
      <c r="C149" s="149" t="s">
        <v>434</v>
      </c>
      <c r="D149" s="149" t="s">
        <v>435</v>
      </c>
      <c r="E149" s="139">
        <v>27</v>
      </c>
      <c r="F149" s="139">
        <v>1404</v>
      </c>
      <c r="G149" s="139" t="s">
        <v>1311</v>
      </c>
      <c r="H149" s="139"/>
      <c r="I149" s="139"/>
      <c r="J149" s="139">
        <v>4898</v>
      </c>
      <c r="K149" s="140">
        <v>19</v>
      </c>
      <c r="L149" s="140" t="s">
        <v>1312</v>
      </c>
      <c r="M149" s="140" t="s">
        <v>1313</v>
      </c>
      <c r="N149" s="141"/>
      <c r="O149" s="142">
        <v>0.49608570000000002</v>
      </c>
      <c r="P149" s="141">
        <v>0.52196460300000003</v>
      </c>
      <c r="Q149" s="141">
        <v>0.66106715155860996</v>
      </c>
      <c r="R149" s="141">
        <v>-1.6572449999999999E-3</v>
      </c>
      <c r="S149" s="143">
        <v>577</v>
      </c>
      <c r="T149" s="143">
        <v>0.81469589866345804</v>
      </c>
      <c r="U149" s="143">
        <v>3.4659390317150998E-2</v>
      </c>
      <c r="V149" s="143">
        <v>-3.6847888343061399</v>
      </c>
      <c r="W149" s="143">
        <v>3.8637538712879081E-2</v>
      </c>
      <c r="X149" s="144">
        <v>2.7994634</v>
      </c>
      <c r="Y149" s="141">
        <v>0.20005829999999999</v>
      </c>
      <c r="Z149" s="150">
        <v>0.31</v>
      </c>
      <c r="AA149" s="150">
        <v>0.37</v>
      </c>
    </row>
    <row r="150" spans="1:27" x14ac:dyDescent="0.25">
      <c r="A150" s="136">
        <v>149</v>
      </c>
      <c r="B150" s="154" t="s">
        <v>433</v>
      </c>
      <c r="C150" s="154" t="s">
        <v>434</v>
      </c>
      <c r="D150" s="154" t="s">
        <v>435</v>
      </c>
      <c r="E150" s="139">
        <v>52</v>
      </c>
      <c r="F150" s="139">
        <v>1964</v>
      </c>
      <c r="G150" s="139" t="s">
        <v>1314</v>
      </c>
      <c r="H150" s="139">
        <v>115156</v>
      </c>
      <c r="I150" s="139" t="s">
        <v>1315</v>
      </c>
      <c r="J150" s="139">
        <v>3407</v>
      </c>
      <c r="K150" s="140">
        <v>24</v>
      </c>
      <c r="L150" s="140" t="s">
        <v>1316</v>
      </c>
      <c r="M150" s="140" t="s">
        <v>1317</v>
      </c>
      <c r="N150" s="141"/>
      <c r="O150" s="142">
        <v>0.49608570000000002</v>
      </c>
      <c r="P150" s="141">
        <v>0.52196460300000003</v>
      </c>
      <c r="Q150" s="141">
        <v>0.66106715155860996</v>
      </c>
      <c r="R150" s="141">
        <v>-1.6572449999999999E-3</v>
      </c>
      <c r="S150" s="143">
        <v>15282</v>
      </c>
      <c r="T150" s="143">
        <v>0.7677587123088</v>
      </c>
      <c r="U150" s="143">
        <v>0.11362143273767698</v>
      </c>
      <c r="V150" s="143">
        <v>-4.3470896245206099</v>
      </c>
      <c r="W150" s="143">
        <v>8.9034515744948875E-2</v>
      </c>
      <c r="X150" s="144">
        <v>2.7994634</v>
      </c>
      <c r="Y150" s="141">
        <v>0.20005829999999999</v>
      </c>
      <c r="Z150" s="145">
        <v>0.38745000000000002</v>
      </c>
      <c r="AA150" s="145">
        <v>0.38</v>
      </c>
    </row>
    <row r="151" spans="1:27" x14ac:dyDescent="0.25">
      <c r="A151" s="136">
        <v>150</v>
      </c>
      <c r="B151" s="151" t="s">
        <v>433</v>
      </c>
      <c r="C151" s="151" t="s">
        <v>434</v>
      </c>
      <c r="D151" s="151"/>
      <c r="E151" s="139">
        <v>96</v>
      </c>
      <c r="F151" s="139">
        <v>156</v>
      </c>
      <c r="G151" s="139" t="s">
        <v>330</v>
      </c>
      <c r="H151" s="139">
        <v>131226</v>
      </c>
      <c r="I151" s="139" t="s">
        <v>1318</v>
      </c>
      <c r="J151" s="139">
        <v>160</v>
      </c>
      <c r="K151" s="140">
        <v>37</v>
      </c>
      <c r="L151" s="140" t="s">
        <v>1319</v>
      </c>
      <c r="M151" s="140" t="s">
        <v>1320</v>
      </c>
      <c r="N151" s="141"/>
      <c r="O151" s="142">
        <v>0.49608570000000002</v>
      </c>
      <c r="P151" s="141">
        <v>0.52196460300000003</v>
      </c>
      <c r="Q151" s="141">
        <v>0.66106715155860996</v>
      </c>
      <c r="R151" s="141">
        <v>-1.6572449999999999E-3</v>
      </c>
      <c r="S151" s="143">
        <v>46</v>
      </c>
      <c r="T151" s="143">
        <v>0.56744256601112997</v>
      </c>
      <c r="U151" s="143">
        <v>0.17281567934921599</v>
      </c>
      <c r="V151" s="143">
        <v>-3.9756211060978801</v>
      </c>
      <c r="W151" s="143">
        <v>0.13766447525154307</v>
      </c>
      <c r="X151" s="144">
        <v>2.7994634</v>
      </c>
      <c r="Y151" s="141">
        <v>0.20005829999999999</v>
      </c>
      <c r="Z151" s="148">
        <v>0.42708374999999998</v>
      </c>
      <c r="AA151" s="148">
        <v>0.42312500000000003</v>
      </c>
    </row>
    <row r="152" spans="1:27" x14ac:dyDescent="0.25">
      <c r="A152" s="136">
        <v>151</v>
      </c>
      <c r="B152" s="151" t="s">
        <v>433</v>
      </c>
      <c r="C152" s="151" t="s">
        <v>434</v>
      </c>
      <c r="D152" s="151"/>
      <c r="E152" s="139">
        <v>100</v>
      </c>
      <c r="F152" s="139">
        <v>96</v>
      </c>
      <c r="G152" s="139" t="s">
        <v>1321</v>
      </c>
      <c r="H152" s="139">
        <v>83481</v>
      </c>
      <c r="I152" s="139" t="s">
        <v>1322</v>
      </c>
      <c r="J152" s="139">
        <v>352</v>
      </c>
      <c r="K152" s="140">
        <v>40</v>
      </c>
      <c r="L152" s="140" t="s">
        <v>1323</v>
      </c>
      <c r="M152" s="140" t="s">
        <v>1324</v>
      </c>
      <c r="N152" s="141"/>
      <c r="O152" s="142">
        <v>0.49608570000000002</v>
      </c>
      <c r="P152" s="141">
        <v>0.52196460300000003</v>
      </c>
      <c r="Q152" s="141">
        <v>0.66106715155860996</v>
      </c>
      <c r="R152" s="141">
        <v>-1.6572449999999999E-3</v>
      </c>
      <c r="S152" s="146"/>
      <c r="T152" s="146">
        <v>0.757382</v>
      </c>
      <c r="U152" s="146">
        <v>8.9023092301607001E-2</v>
      </c>
      <c r="V152" s="146">
        <v>-3.624676</v>
      </c>
      <c r="W152" s="146">
        <v>6.7228474802671079E-2</v>
      </c>
      <c r="X152" s="144">
        <v>2.7994634</v>
      </c>
      <c r="Y152" s="141">
        <v>0.20005829999999999</v>
      </c>
      <c r="Z152" s="148">
        <v>0.42708374999999998</v>
      </c>
      <c r="AA152" s="148">
        <v>0.42312500000000003</v>
      </c>
    </row>
    <row r="153" spans="1:27" x14ac:dyDescent="0.25">
      <c r="A153" s="136">
        <v>152</v>
      </c>
      <c r="B153" s="147" t="s">
        <v>433</v>
      </c>
      <c r="C153" s="147" t="s">
        <v>434</v>
      </c>
      <c r="D153" s="147"/>
      <c r="E153" s="139">
        <v>56</v>
      </c>
      <c r="F153" s="139">
        <v>1746</v>
      </c>
      <c r="G153" s="139" t="s">
        <v>1325</v>
      </c>
      <c r="H153" s="139">
        <v>120246</v>
      </c>
      <c r="I153" s="139" t="s">
        <v>1326</v>
      </c>
      <c r="J153" s="139">
        <v>3798</v>
      </c>
      <c r="K153" s="140" t="s">
        <v>1327</v>
      </c>
      <c r="L153" s="140" t="s">
        <v>1328</v>
      </c>
      <c r="M153" s="140" t="s">
        <v>1329</v>
      </c>
      <c r="N153" s="141"/>
      <c r="O153" s="142">
        <v>0.49608570000000002</v>
      </c>
      <c r="P153" s="141">
        <v>0.52196460300000003</v>
      </c>
      <c r="Q153" s="141">
        <v>0.66106715155860996</v>
      </c>
      <c r="R153" s="141">
        <v>-1.6572449999999999E-3</v>
      </c>
      <c r="S153" s="143">
        <v>8556</v>
      </c>
      <c r="T153" s="143">
        <v>0.66067096035320905</v>
      </c>
      <c r="U153" s="143">
        <v>0.12853331502211102</v>
      </c>
      <c r="V153" s="143">
        <v>-3.6504090323060301</v>
      </c>
      <c r="W153" s="143">
        <v>0.10285501387252508</v>
      </c>
      <c r="X153" s="144">
        <v>2.7994634</v>
      </c>
      <c r="Y153" s="141">
        <v>0.20005829999999999</v>
      </c>
      <c r="Z153" s="145">
        <v>0.32</v>
      </c>
      <c r="AA153" s="145">
        <v>0.37</v>
      </c>
    </row>
    <row r="154" spans="1:27" x14ac:dyDescent="0.25">
      <c r="A154" s="136">
        <v>153</v>
      </c>
      <c r="B154" s="147" t="s">
        <v>433</v>
      </c>
      <c r="C154" s="147" t="s">
        <v>434</v>
      </c>
      <c r="D154" s="147"/>
      <c r="E154" s="139">
        <v>57</v>
      </c>
      <c r="F154" s="139">
        <v>1743</v>
      </c>
      <c r="G154" s="139" t="s">
        <v>1330</v>
      </c>
      <c r="H154" s="139">
        <v>120163</v>
      </c>
      <c r="I154" s="139" t="s">
        <v>1331</v>
      </c>
      <c r="J154" s="139">
        <v>3790</v>
      </c>
      <c r="K154" s="140" t="s">
        <v>1332</v>
      </c>
      <c r="L154" s="140" t="s">
        <v>1333</v>
      </c>
      <c r="M154" s="140" t="s">
        <v>1334</v>
      </c>
      <c r="N154" s="141"/>
      <c r="O154" s="142">
        <v>0.49608570000000002</v>
      </c>
      <c r="P154" s="141">
        <v>0.52196460300000003</v>
      </c>
      <c r="Q154" s="141">
        <v>0.66106715155860996</v>
      </c>
      <c r="R154" s="141">
        <v>-1.6572449999999999E-3</v>
      </c>
      <c r="S154" s="143">
        <v>8556</v>
      </c>
      <c r="T154" s="143">
        <v>0.66067096035320905</v>
      </c>
      <c r="U154" s="143">
        <v>0.12853331502211102</v>
      </c>
      <c r="V154" s="143">
        <v>-3.6504090323060301</v>
      </c>
      <c r="W154" s="143">
        <v>0.10285501387252508</v>
      </c>
      <c r="X154" s="144">
        <v>2.7994634</v>
      </c>
      <c r="Y154" s="141">
        <v>0.20005829999999999</v>
      </c>
      <c r="Z154" s="145">
        <v>0.32</v>
      </c>
      <c r="AA154" s="145">
        <v>0.37</v>
      </c>
    </row>
    <row r="155" spans="1:27" x14ac:dyDescent="0.25">
      <c r="A155" s="136">
        <v>154</v>
      </c>
      <c r="B155" s="138" t="s">
        <v>433</v>
      </c>
      <c r="C155" s="138" t="s">
        <v>434</v>
      </c>
      <c r="D155" s="138"/>
      <c r="E155" s="139">
        <v>12</v>
      </c>
      <c r="F155" s="139">
        <v>201</v>
      </c>
      <c r="G155" s="139" t="s">
        <v>1335</v>
      </c>
      <c r="H155" s="139">
        <v>85904</v>
      </c>
      <c r="I155" s="139" t="s">
        <v>1336</v>
      </c>
      <c r="J155" s="139">
        <v>599</v>
      </c>
      <c r="K155" s="140" t="s">
        <v>1337</v>
      </c>
      <c r="L155" s="140" t="s">
        <v>1338</v>
      </c>
      <c r="M155" s="140" t="s">
        <v>1339</v>
      </c>
      <c r="N155" s="139">
        <v>16</v>
      </c>
      <c r="O155" s="153">
        <v>0.47213569993541898</v>
      </c>
      <c r="P155" s="139">
        <v>0.49335246997405202</v>
      </c>
      <c r="Q155" s="139">
        <v>0.66106715155860996</v>
      </c>
      <c r="R155" s="139">
        <v>-1.58540708791217E-3</v>
      </c>
      <c r="S155" s="139">
        <v>37549</v>
      </c>
      <c r="T155" s="143">
        <v>0.70973388267623805</v>
      </c>
      <c r="U155" s="143">
        <v>0.12596588350028298</v>
      </c>
      <c r="V155" s="143">
        <v>-4.2978465261248298</v>
      </c>
      <c r="W155" s="143">
        <v>0.10620186714031808</v>
      </c>
      <c r="X155" s="139">
        <v>2.7994634</v>
      </c>
      <c r="Y155" s="139">
        <v>0.20005829999999999</v>
      </c>
      <c r="Z155" s="145">
        <v>0.52520999999999995</v>
      </c>
      <c r="AA155" s="145">
        <v>0.5</v>
      </c>
    </row>
    <row r="156" spans="1:27" x14ac:dyDescent="0.25">
      <c r="A156" s="136">
        <v>155</v>
      </c>
      <c r="B156" s="138" t="s">
        <v>433</v>
      </c>
      <c r="C156" s="138" t="s">
        <v>434</v>
      </c>
      <c r="D156" s="138"/>
      <c r="E156" s="139">
        <v>13</v>
      </c>
      <c r="F156" s="139">
        <v>202</v>
      </c>
      <c r="G156" s="139" t="s">
        <v>1340</v>
      </c>
      <c r="H156" s="139">
        <v>85903</v>
      </c>
      <c r="I156" s="139" t="s">
        <v>1341</v>
      </c>
      <c r="J156" s="139">
        <v>600</v>
      </c>
      <c r="K156" s="140" t="s">
        <v>1342</v>
      </c>
      <c r="L156" s="140" t="s">
        <v>1343</v>
      </c>
      <c r="M156" s="140" t="s">
        <v>1344</v>
      </c>
      <c r="N156" s="139">
        <v>16</v>
      </c>
      <c r="O156" s="153">
        <v>0.47213569993541898</v>
      </c>
      <c r="P156" s="139">
        <v>0.49335246997405202</v>
      </c>
      <c r="Q156" s="139">
        <v>0.66106715155860996</v>
      </c>
      <c r="R156" s="139">
        <v>-1.58540708791217E-3</v>
      </c>
      <c r="S156" s="139">
        <v>37549</v>
      </c>
      <c r="T156" s="143">
        <v>0.70973388267623805</v>
      </c>
      <c r="U156" s="143">
        <v>0.12596588350028298</v>
      </c>
      <c r="V156" s="143">
        <v>-4.2978465261248298</v>
      </c>
      <c r="W156" s="143">
        <v>0.10620186714031808</v>
      </c>
      <c r="X156" s="139">
        <v>2.7994634</v>
      </c>
      <c r="Y156" s="139">
        <v>0.20005829999999999</v>
      </c>
      <c r="Z156" s="145">
        <v>0.52520999999999995</v>
      </c>
      <c r="AA156" s="145">
        <v>0.5</v>
      </c>
    </row>
    <row r="157" spans="1:27" x14ac:dyDescent="0.25">
      <c r="A157" s="136">
        <v>156</v>
      </c>
      <c r="B157" s="138" t="s">
        <v>433</v>
      </c>
      <c r="C157" s="138" t="s">
        <v>434</v>
      </c>
      <c r="D157" s="138"/>
      <c r="E157" s="139">
        <v>14</v>
      </c>
      <c r="F157" s="139">
        <v>152</v>
      </c>
      <c r="G157" s="139" t="s">
        <v>1345</v>
      </c>
      <c r="H157" s="139">
        <v>81570</v>
      </c>
      <c r="I157" s="139" t="s">
        <v>1346</v>
      </c>
      <c r="J157" s="139">
        <v>159</v>
      </c>
      <c r="K157" s="140" t="s">
        <v>1347</v>
      </c>
      <c r="L157" s="140" t="s">
        <v>1348</v>
      </c>
      <c r="M157" s="140" t="s">
        <v>1349</v>
      </c>
      <c r="N157" s="141"/>
      <c r="O157" s="142">
        <v>0.49608570000000002</v>
      </c>
      <c r="P157" s="141">
        <v>0.52196460300000003</v>
      </c>
      <c r="Q157" s="141">
        <v>0.66106715155860996</v>
      </c>
      <c r="R157" s="141">
        <v>-1.6572449999999999E-3</v>
      </c>
      <c r="S157" s="146"/>
      <c r="T157" s="146">
        <v>0.757382</v>
      </c>
      <c r="U157" s="146">
        <v>8.9023092301607001E-2</v>
      </c>
      <c r="V157" s="146">
        <v>-3.624676</v>
      </c>
      <c r="W157" s="146">
        <v>6.7228474802671079E-2</v>
      </c>
      <c r="X157" s="144">
        <v>2.7994634</v>
      </c>
      <c r="Y157" s="141">
        <v>0.20005829999999999</v>
      </c>
      <c r="Z157" s="145">
        <v>0.43911</v>
      </c>
      <c r="AA157" s="145">
        <v>0.43</v>
      </c>
    </row>
    <row r="158" spans="1:27" x14ac:dyDescent="0.25">
      <c r="A158" s="136">
        <v>157</v>
      </c>
      <c r="B158" s="138" t="s">
        <v>433</v>
      </c>
      <c r="C158" s="138" t="s">
        <v>434</v>
      </c>
      <c r="D158" s="138"/>
      <c r="E158" s="139">
        <v>15</v>
      </c>
      <c r="F158" s="139">
        <v>153</v>
      </c>
      <c r="G158" s="139" t="s">
        <v>1350</v>
      </c>
      <c r="H158" s="139">
        <v>81567</v>
      </c>
      <c r="I158" s="139" t="s">
        <v>1351</v>
      </c>
      <c r="J158" s="139">
        <v>157</v>
      </c>
      <c r="K158" s="140" t="s">
        <v>1352</v>
      </c>
      <c r="L158" s="140" t="s">
        <v>1353</v>
      </c>
      <c r="M158" s="140" t="s">
        <v>1354</v>
      </c>
      <c r="N158" s="141"/>
      <c r="O158" s="142">
        <v>0.49608570000000002</v>
      </c>
      <c r="P158" s="141">
        <v>0.52196460300000003</v>
      </c>
      <c r="Q158" s="141">
        <v>0.66106715155860996</v>
      </c>
      <c r="R158" s="141">
        <v>-1.6572449999999999E-3</v>
      </c>
      <c r="S158" s="146"/>
      <c r="T158" s="146">
        <v>0.757382</v>
      </c>
      <c r="U158" s="146">
        <v>8.9023092301607001E-2</v>
      </c>
      <c r="V158" s="146">
        <v>-3.624676</v>
      </c>
      <c r="W158" s="146">
        <v>6.7228474802671079E-2</v>
      </c>
      <c r="X158" s="144">
        <v>2.7994634</v>
      </c>
      <c r="Y158" s="141">
        <v>0.20005829999999999</v>
      </c>
      <c r="Z158" s="145">
        <v>0.43911</v>
      </c>
      <c r="AA158" s="145">
        <v>0.43</v>
      </c>
    </row>
    <row r="159" spans="1:27" x14ac:dyDescent="0.25">
      <c r="A159" s="136">
        <v>158</v>
      </c>
      <c r="B159" s="154" t="s">
        <v>433</v>
      </c>
      <c r="C159" s="154" t="s">
        <v>434</v>
      </c>
      <c r="D159" s="154" t="s">
        <v>435</v>
      </c>
      <c r="E159" s="139">
        <v>16</v>
      </c>
      <c r="F159" s="139">
        <v>155</v>
      </c>
      <c r="G159" s="139" t="s">
        <v>1355</v>
      </c>
      <c r="H159" s="139">
        <v>81569</v>
      </c>
      <c r="I159" s="139" t="s">
        <v>1356</v>
      </c>
      <c r="J159" s="139">
        <v>158</v>
      </c>
      <c r="K159" s="140" t="s">
        <v>1357</v>
      </c>
      <c r="L159" s="140" t="s">
        <v>1358</v>
      </c>
      <c r="M159" s="140" t="s">
        <v>1359</v>
      </c>
      <c r="N159" s="141"/>
      <c r="O159" s="142">
        <v>0.49608570000000002</v>
      </c>
      <c r="P159" s="141">
        <v>0.52196460300000003</v>
      </c>
      <c r="Q159" s="141">
        <v>0.66106715155860996</v>
      </c>
      <c r="R159" s="141">
        <v>-1.6572449999999999E-3</v>
      </c>
      <c r="S159" s="143">
        <v>12258</v>
      </c>
      <c r="T159" s="143">
        <v>0.68931378872198601</v>
      </c>
      <c r="U159" s="143">
        <v>0.11148082344147299</v>
      </c>
      <c r="V159" s="143">
        <v>-3.4487698962187601</v>
      </c>
      <c r="W159" s="143">
        <v>9.2604453076577081E-2</v>
      </c>
      <c r="X159" s="144">
        <v>2.7994634</v>
      </c>
      <c r="Y159" s="141">
        <v>0.20005829999999999</v>
      </c>
      <c r="Z159" s="148">
        <v>0.42708374999999998</v>
      </c>
      <c r="AA159" s="148">
        <v>0.42312500000000003</v>
      </c>
    </row>
    <row r="160" spans="1:27" x14ac:dyDescent="0.25">
      <c r="A160" s="136"/>
      <c r="B160" s="154"/>
      <c r="C160" s="138" t="s">
        <v>434</v>
      </c>
      <c r="D160" s="154"/>
      <c r="E160" s="139"/>
      <c r="F160" s="139"/>
      <c r="G160" s="139" t="s">
        <v>1360</v>
      </c>
      <c r="H160" s="139"/>
      <c r="I160" s="139"/>
      <c r="J160" s="139"/>
      <c r="K160" s="140" t="s">
        <v>1361</v>
      </c>
      <c r="L160" s="140"/>
      <c r="M160" s="140"/>
      <c r="N160" s="141"/>
      <c r="O160" s="142"/>
      <c r="P160" s="141"/>
      <c r="Q160" s="141"/>
      <c r="R160" s="141"/>
      <c r="S160" s="143"/>
      <c r="T160" s="143"/>
      <c r="U160" s="143"/>
      <c r="V160" s="143"/>
      <c r="W160" s="143"/>
      <c r="X160" s="144"/>
      <c r="Y160" s="141"/>
      <c r="Z160" s="148"/>
      <c r="AA160" s="148"/>
    </row>
    <row r="161" spans="1:27" x14ac:dyDescent="0.25">
      <c r="A161" s="136">
        <v>159</v>
      </c>
      <c r="B161" s="138" t="s">
        <v>433</v>
      </c>
      <c r="C161" s="138" t="s">
        <v>434</v>
      </c>
      <c r="D161" s="138" t="s">
        <v>435</v>
      </c>
      <c r="E161" s="139">
        <v>29</v>
      </c>
      <c r="F161" s="139">
        <v>1938</v>
      </c>
      <c r="G161" s="139" t="s">
        <v>436</v>
      </c>
      <c r="H161" s="139">
        <v>126628</v>
      </c>
      <c r="I161" s="139" t="s">
        <v>437</v>
      </c>
      <c r="J161" s="139">
        <v>4415</v>
      </c>
      <c r="K161" s="140" t="s">
        <v>438</v>
      </c>
      <c r="L161" s="140" t="s">
        <v>439</v>
      </c>
      <c r="M161" s="140" t="s">
        <v>440</v>
      </c>
      <c r="N161" s="141"/>
      <c r="O161" s="142">
        <v>0.49608570000000002</v>
      </c>
      <c r="P161" s="141">
        <v>0.52196460300000003</v>
      </c>
      <c r="Q161" s="141">
        <v>0.66106715155860996</v>
      </c>
      <c r="R161" s="141">
        <v>-1.6572449999999999E-3</v>
      </c>
      <c r="S161" s="143">
        <v>8398</v>
      </c>
      <c r="T161" s="143">
        <v>0.85731635910327997</v>
      </c>
      <c r="U161" s="143">
        <v>8.6766642226222004E-2</v>
      </c>
      <c r="V161" s="143">
        <v>-4.3423796273494197</v>
      </c>
      <c r="W161" s="143">
        <v>5.5331760334129176E-2</v>
      </c>
      <c r="X161" s="144">
        <v>2.7994634</v>
      </c>
      <c r="Y161" s="141">
        <v>0.20005829999999999</v>
      </c>
      <c r="Z161" s="145">
        <v>0.42188999999999999</v>
      </c>
      <c r="AA161" s="145">
        <v>0.41499999999999998</v>
      </c>
    </row>
    <row r="162" spans="1:27" x14ac:dyDescent="0.25">
      <c r="A162" s="136">
        <v>160</v>
      </c>
      <c r="B162" s="138" t="s">
        <v>433</v>
      </c>
      <c r="C162" s="138" t="s">
        <v>434</v>
      </c>
      <c r="D162" s="138"/>
      <c r="E162" s="139">
        <v>30</v>
      </c>
      <c r="F162" s="139">
        <v>1940</v>
      </c>
      <c r="G162" s="139" t="s">
        <v>441</v>
      </c>
      <c r="H162" s="139">
        <v>161014</v>
      </c>
      <c r="I162" s="139" t="s">
        <v>442</v>
      </c>
      <c r="J162" s="139">
        <v>4419</v>
      </c>
      <c r="K162" s="140" t="s">
        <v>443</v>
      </c>
      <c r="L162" s="140"/>
      <c r="M162" s="140"/>
      <c r="N162" s="141"/>
      <c r="O162" s="142">
        <v>0.49608570000000002</v>
      </c>
      <c r="P162" s="141">
        <v>0.52196460300000003</v>
      </c>
      <c r="Q162" s="141">
        <v>0.66106715155860996</v>
      </c>
      <c r="R162" s="141">
        <v>-1.6572449999999999E-3</v>
      </c>
      <c r="S162" s="143">
        <v>8398</v>
      </c>
      <c r="T162" s="143">
        <v>0.85731635910327997</v>
      </c>
      <c r="U162" s="143">
        <v>8.6766642226222004E-2</v>
      </c>
      <c r="V162" s="143">
        <v>-4.3423796273494197</v>
      </c>
      <c r="W162" s="143">
        <v>5.5331760334129176E-2</v>
      </c>
      <c r="X162" s="144">
        <v>2.7994634</v>
      </c>
      <c r="Y162" s="141">
        <v>0.20005829999999999</v>
      </c>
      <c r="Z162" s="145">
        <v>0.42188999999999999</v>
      </c>
      <c r="AA162" s="145">
        <v>0.41499999999999998</v>
      </c>
    </row>
    <row r="163" spans="1:27" x14ac:dyDescent="0.25">
      <c r="A163" s="136">
        <v>161</v>
      </c>
      <c r="B163" s="138" t="s">
        <v>433</v>
      </c>
      <c r="C163" s="138" t="s">
        <v>434</v>
      </c>
      <c r="D163" s="138"/>
      <c r="E163" s="139">
        <v>43</v>
      </c>
      <c r="F163" s="139">
        <v>713</v>
      </c>
      <c r="G163" s="139" t="s">
        <v>444</v>
      </c>
      <c r="H163" s="139">
        <v>98653</v>
      </c>
      <c r="I163" s="139" t="s">
        <v>445</v>
      </c>
      <c r="J163" s="139">
        <v>1783</v>
      </c>
      <c r="K163" s="140" t="s">
        <v>446</v>
      </c>
      <c r="L163" s="140" t="s">
        <v>447</v>
      </c>
      <c r="M163" s="140" t="s">
        <v>448</v>
      </c>
      <c r="N163" s="141"/>
      <c r="O163" s="142">
        <v>0.49608570000000002</v>
      </c>
      <c r="P163" s="141">
        <v>0.52196460300000003</v>
      </c>
      <c r="Q163" s="141">
        <v>0.66106715155860996</v>
      </c>
      <c r="R163" s="141">
        <v>-1.6572449999999999E-3</v>
      </c>
      <c r="S163" s="146"/>
      <c r="T163" s="146">
        <v>0.757382</v>
      </c>
      <c r="U163" s="146">
        <v>8.9023092301607001E-2</v>
      </c>
      <c r="V163" s="146">
        <v>-3.624676</v>
      </c>
      <c r="W163" s="146">
        <v>6.7228474802671079E-2</v>
      </c>
      <c r="X163" s="144">
        <v>2.7994634</v>
      </c>
      <c r="Y163" s="141">
        <v>0.20005829999999999</v>
      </c>
      <c r="Z163" s="145">
        <v>0.42708374999999998</v>
      </c>
      <c r="AA163" s="145">
        <v>0.42312500000000003</v>
      </c>
    </row>
    <row r="164" spans="1:27" x14ac:dyDescent="0.25">
      <c r="A164" s="136">
        <v>162</v>
      </c>
      <c r="B164" s="147" t="s">
        <v>433</v>
      </c>
      <c r="C164" s="147" t="s">
        <v>434</v>
      </c>
      <c r="D164" s="147"/>
      <c r="E164" s="139">
        <v>53</v>
      </c>
      <c r="F164" s="139">
        <v>1747</v>
      </c>
      <c r="G164" s="139" t="s">
        <v>449</v>
      </c>
      <c r="H164" s="139">
        <v>119915</v>
      </c>
      <c r="I164" s="139" t="s">
        <v>450</v>
      </c>
      <c r="J164" s="139">
        <v>3770</v>
      </c>
      <c r="K164" s="140" t="s">
        <v>451</v>
      </c>
      <c r="L164" s="140" t="s">
        <v>452</v>
      </c>
      <c r="M164" s="140" t="s">
        <v>453</v>
      </c>
      <c r="N164" s="141"/>
      <c r="O164" s="142">
        <v>0.49608570000000002</v>
      </c>
      <c r="P164" s="141">
        <v>0.52196460300000003</v>
      </c>
      <c r="Q164" s="141">
        <v>0.66106715155860996</v>
      </c>
      <c r="R164" s="141">
        <v>-1.6572449999999999E-3</v>
      </c>
      <c r="S164" s="143">
        <v>8556</v>
      </c>
      <c r="T164" s="143">
        <v>0.66067096035320905</v>
      </c>
      <c r="U164" s="143">
        <v>0.12853331502211102</v>
      </c>
      <c r="V164" s="143">
        <v>-3.6504090323060301</v>
      </c>
      <c r="W164" s="143">
        <v>0.10285501387252508</v>
      </c>
      <c r="X164" s="144">
        <v>2.7994634</v>
      </c>
      <c r="Y164" s="141">
        <v>0.20005829999999999</v>
      </c>
      <c r="Z164" s="145">
        <v>0.32</v>
      </c>
      <c r="AA164" s="145">
        <v>0.37</v>
      </c>
    </row>
    <row r="165" spans="1:27" x14ac:dyDescent="0.25">
      <c r="A165" s="136">
        <v>163</v>
      </c>
      <c r="B165" s="147" t="s">
        <v>433</v>
      </c>
      <c r="C165" s="147" t="s">
        <v>434</v>
      </c>
      <c r="D165" s="147"/>
      <c r="E165" s="139">
        <v>54</v>
      </c>
      <c r="F165" s="139">
        <v>1749</v>
      </c>
      <c r="G165" s="139" t="s">
        <v>454</v>
      </c>
      <c r="H165" s="139">
        <v>119991</v>
      </c>
      <c r="I165" s="139" t="s">
        <v>455</v>
      </c>
      <c r="J165" s="139">
        <v>3774</v>
      </c>
      <c r="K165" s="140" t="s">
        <v>456</v>
      </c>
      <c r="L165" s="140" t="s">
        <v>457</v>
      </c>
      <c r="M165" s="140" t="s">
        <v>458</v>
      </c>
      <c r="N165" s="141"/>
      <c r="O165" s="142">
        <v>0.49608570000000002</v>
      </c>
      <c r="P165" s="141">
        <v>0.52196460300000003</v>
      </c>
      <c r="Q165" s="141">
        <v>0.66106715155860996</v>
      </c>
      <c r="R165" s="141">
        <v>-1.6572449999999999E-3</v>
      </c>
      <c r="S165" s="143">
        <v>8556</v>
      </c>
      <c r="T165" s="143">
        <v>0.66067096035320905</v>
      </c>
      <c r="U165" s="143">
        <v>0.12853331502211102</v>
      </c>
      <c r="V165" s="143">
        <v>-3.6504090323060301</v>
      </c>
      <c r="W165" s="143">
        <v>0.10285501387252508</v>
      </c>
      <c r="X165" s="144">
        <v>2.7994634</v>
      </c>
      <c r="Y165" s="141">
        <v>0.20005829999999999</v>
      </c>
      <c r="Z165" s="145">
        <v>0.32</v>
      </c>
      <c r="AA165" s="145">
        <v>0.37</v>
      </c>
    </row>
    <row r="166" spans="1:27" x14ac:dyDescent="0.25">
      <c r="A166" s="136">
        <v>164</v>
      </c>
      <c r="B166" s="147" t="s">
        <v>433</v>
      </c>
      <c r="C166" s="147" t="s">
        <v>434</v>
      </c>
      <c r="D166" s="147"/>
      <c r="E166" s="139">
        <v>55</v>
      </c>
      <c r="F166" s="139">
        <v>1752</v>
      </c>
      <c r="G166" s="139" t="s">
        <v>459</v>
      </c>
      <c r="H166" s="139">
        <v>140449</v>
      </c>
      <c r="I166" s="139" t="s">
        <v>460</v>
      </c>
      <c r="J166" s="139">
        <v>3784</v>
      </c>
      <c r="K166" s="140" t="s">
        <v>461</v>
      </c>
      <c r="L166" s="140" t="s">
        <v>462</v>
      </c>
      <c r="M166" s="140" t="s">
        <v>463</v>
      </c>
      <c r="N166" s="141"/>
      <c r="O166" s="142">
        <v>0.49608570000000002</v>
      </c>
      <c r="P166" s="141">
        <v>0.52196460300000003</v>
      </c>
      <c r="Q166" s="141">
        <v>0.66106715155860996</v>
      </c>
      <c r="R166" s="141">
        <v>-1.6572449999999999E-3</v>
      </c>
      <c r="S166" s="143">
        <v>8556</v>
      </c>
      <c r="T166" s="143">
        <v>0.66067096035320905</v>
      </c>
      <c r="U166" s="143">
        <v>0.12853331502211102</v>
      </c>
      <c r="V166" s="143">
        <v>-3.6504090323060301</v>
      </c>
      <c r="W166" s="143">
        <v>0.10285501387252508</v>
      </c>
      <c r="X166" s="144">
        <v>2.7994634</v>
      </c>
      <c r="Y166" s="141">
        <v>0.20005829999999999</v>
      </c>
      <c r="Z166" s="145">
        <v>0.32</v>
      </c>
      <c r="AA166" s="145">
        <v>0.37</v>
      </c>
    </row>
    <row r="167" spans="1:27" x14ac:dyDescent="0.25">
      <c r="A167" s="136">
        <v>165</v>
      </c>
      <c r="B167" s="147" t="s">
        <v>433</v>
      </c>
      <c r="C167" s="147" t="s">
        <v>434</v>
      </c>
      <c r="D167" s="147"/>
      <c r="E167" s="139">
        <v>58</v>
      </c>
      <c r="F167" s="139">
        <v>1753</v>
      </c>
      <c r="G167" s="139" t="s">
        <v>464</v>
      </c>
      <c r="H167" s="139">
        <v>120009</v>
      </c>
      <c r="I167" s="139" t="s">
        <v>465</v>
      </c>
      <c r="J167" s="139">
        <v>3776</v>
      </c>
      <c r="K167" s="140" t="s">
        <v>466</v>
      </c>
      <c r="L167" s="140" t="s">
        <v>467</v>
      </c>
      <c r="M167" s="140" t="s">
        <v>468</v>
      </c>
      <c r="N167" s="141"/>
      <c r="O167" s="142">
        <v>0.49608570000000002</v>
      </c>
      <c r="P167" s="141">
        <v>0.52196460300000003</v>
      </c>
      <c r="Q167" s="141">
        <v>0.66106715155860996</v>
      </c>
      <c r="R167" s="141">
        <v>-1.6572449999999999E-3</v>
      </c>
      <c r="S167" s="143">
        <v>8556</v>
      </c>
      <c r="T167" s="143">
        <v>0.66067096035320905</v>
      </c>
      <c r="U167" s="143">
        <v>0.12853331502211102</v>
      </c>
      <c r="V167" s="143">
        <v>-3.6504090323060301</v>
      </c>
      <c r="W167" s="143">
        <v>0.10285501387252508</v>
      </c>
      <c r="X167" s="144">
        <v>2.7994634</v>
      </c>
      <c r="Y167" s="141">
        <v>0.20005829999999999</v>
      </c>
      <c r="Z167" s="145">
        <v>0.32</v>
      </c>
      <c r="AA167" s="145">
        <v>0.37</v>
      </c>
    </row>
    <row r="168" spans="1:27" x14ac:dyDescent="0.25">
      <c r="A168" s="136">
        <v>166</v>
      </c>
      <c r="B168" s="147" t="s">
        <v>433</v>
      </c>
      <c r="C168" s="147" t="s">
        <v>434</v>
      </c>
      <c r="D168" s="147"/>
      <c r="E168" s="139">
        <v>59</v>
      </c>
      <c r="F168" s="139">
        <v>1748</v>
      </c>
      <c r="G168" s="139" t="s">
        <v>469</v>
      </c>
      <c r="H168" s="139">
        <v>120040</v>
      </c>
      <c r="I168" s="139" t="s">
        <v>470</v>
      </c>
      <c r="J168" s="139">
        <v>3778</v>
      </c>
      <c r="K168" s="140" t="s">
        <v>471</v>
      </c>
      <c r="L168" s="140" t="s">
        <v>472</v>
      </c>
      <c r="M168" s="140" t="s">
        <v>473</v>
      </c>
      <c r="N168" s="141"/>
      <c r="O168" s="142">
        <v>0.49608570000000002</v>
      </c>
      <c r="P168" s="141">
        <v>0.52196460300000003</v>
      </c>
      <c r="Q168" s="141">
        <v>0.66106715155860996</v>
      </c>
      <c r="R168" s="141">
        <v>-1.6572449999999999E-3</v>
      </c>
      <c r="S168" s="143">
        <v>8556</v>
      </c>
      <c r="T168" s="143">
        <v>0.66067096035320905</v>
      </c>
      <c r="U168" s="143">
        <v>0.12853331502211102</v>
      </c>
      <c r="V168" s="143">
        <v>-3.6504090323060301</v>
      </c>
      <c r="W168" s="143">
        <v>0.10285501387252508</v>
      </c>
      <c r="X168" s="144">
        <v>2.7994634</v>
      </c>
      <c r="Y168" s="141">
        <v>0.20005829999999999</v>
      </c>
      <c r="Z168" s="145">
        <v>0.32</v>
      </c>
      <c r="AA168" s="145">
        <v>0.37</v>
      </c>
    </row>
    <row r="169" spans="1:27" x14ac:dyDescent="0.25">
      <c r="A169" s="136">
        <v>167</v>
      </c>
      <c r="B169" s="147" t="s">
        <v>433</v>
      </c>
      <c r="C169" s="147" t="s">
        <v>434</v>
      </c>
      <c r="D169" s="147"/>
      <c r="E169" s="139">
        <v>60</v>
      </c>
      <c r="F169" s="139">
        <v>1756</v>
      </c>
      <c r="G169" s="139" t="s">
        <v>474</v>
      </c>
      <c r="H169" s="139">
        <v>119977</v>
      </c>
      <c r="I169" s="139" t="s">
        <v>475</v>
      </c>
      <c r="J169" s="139">
        <v>3773</v>
      </c>
      <c r="K169" s="140" t="s">
        <v>476</v>
      </c>
      <c r="L169" s="140" t="s">
        <v>477</v>
      </c>
      <c r="M169" s="140" t="s">
        <v>478</v>
      </c>
      <c r="N169" s="141"/>
      <c r="O169" s="142">
        <v>0.49608570000000002</v>
      </c>
      <c r="P169" s="141">
        <v>0.52196460300000003</v>
      </c>
      <c r="Q169" s="141">
        <v>0.66106715155860996</v>
      </c>
      <c r="R169" s="141">
        <v>-1.6572449999999999E-3</v>
      </c>
      <c r="S169" s="143">
        <v>8556</v>
      </c>
      <c r="T169" s="143">
        <v>0.66067096035320905</v>
      </c>
      <c r="U169" s="143">
        <v>0.12853331502211102</v>
      </c>
      <c r="V169" s="143">
        <v>-3.6504090323060301</v>
      </c>
      <c r="W169" s="143">
        <v>0.10285501387252508</v>
      </c>
      <c r="X169" s="144">
        <v>2.7994634</v>
      </c>
      <c r="Y169" s="141">
        <v>0.20005829999999999</v>
      </c>
      <c r="Z169" s="145">
        <v>0.32</v>
      </c>
      <c r="AA169" s="145">
        <v>0.37</v>
      </c>
    </row>
    <row r="170" spans="1:27" x14ac:dyDescent="0.25">
      <c r="A170" s="136">
        <v>168</v>
      </c>
      <c r="B170" s="147" t="s">
        <v>433</v>
      </c>
      <c r="C170" s="147" t="s">
        <v>434</v>
      </c>
      <c r="D170" s="147"/>
      <c r="E170" s="139">
        <v>61</v>
      </c>
      <c r="F170" s="139">
        <v>1758</v>
      </c>
      <c r="G170" s="139" t="s">
        <v>479</v>
      </c>
      <c r="H170" s="139">
        <v>120161</v>
      </c>
      <c r="I170" s="139" t="s">
        <v>480</v>
      </c>
      <c r="J170" s="139">
        <v>3789</v>
      </c>
      <c r="K170" s="140" t="s">
        <v>481</v>
      </c>
      <c r="L170" s="140"/>
      <c r="M170" s="140"/>
      <c r="N170" s="141"/>
      <c r="O170" s="142">
        <v>0.49608570000000002</v>
      </c>
      <c r="P170" s="141">
        <v>0.52196460300000003</v>
      </c>
      <c r="Q170" s="141">
        <v>0.66106715155860996</v>
      </c>
      <c r="R170" s="141">
        <v>-1.6572449999999999E-3</v>
      </c>
      <c r="S170" s="143">
        <v>8556</v>
      </c>
      <c r="T170" s="143">
        <v>0.66067096035320905</v>
      </c>
      <c r="U170" s="143">
        <v>0.12853331502211102</v>
      </c>
      <c r="V170" s="143">
        <v>-3.6504090323060301</v>
      </c>
      <c r="W170" s="143">
        <v>0.10285501387252508</v>
      </c>
      <c r="X170" s="144">
        <v>2.7994634</v>
      </c>
      <c r="Y170" s="141">
        <v>0.20005829999999999</v>
      </c>
      <c r="Z170" s="145">
        <v>0.32</v>
      </c>
      <c r="AA170" s="145">
        <v>0.37</v>
      </c>
    </row>
    <row r="171" spans="1:27" x14ac:dyDescent="0.25">
      <c r="A171" s="136">
        <v>169</v>
      </c>
      <c r="B171" s="147" t="s">
        <v>433</v>
      </c>
      <c r="C171" s="147" t="s">
        <v>434</v>
      </c>
      <c r="D171" s="147"/>
      <c r="E171" s="139">
        <v>62</v>
      </c>
      <c r="F171" s="139">
        <v>1762</v>
      </c>
      <c r="G171" s="139" t="s">
        <v>482</v>
      </c>
      <c r="H171" s="139">
        <v>119948</v>
      </c>
      <c r="I171" s="139" t="s">
        <v>483</v>
      </c>
      <c r="J171" s="139">
        <v>4833</v>
      </c>
      <c r="K171" s="140" t="s">
        <v>484</v>
      </c>
      <c r="L171" s="140" t="s">
        <v>485</v>
      </c>
      <c r="M171" s="140" t="s">
        <v>486</v>
      </c>
      <c r="N171" s="141"/>
      <c r="O171" s="142">
        <v>0.49608570000000002</v>
      </c>
      <c r="P171" s="141">
        <v>0.52196460300000003</v>
      </c>
      <c r="Q171" s="141">
        <v>0.66106715155860996</v>
      </c>
      <c r="R171" s="141">
        <v>-1.6572449999999999E-3</v>
      </c>
      <c r="S171" s="143">
        <v>8556</v>
      </c>
      <c r="T171" s="143">
        <v>0.66067096035320905</v>
      </c>
      <c r="U171" s="143">
        <v>0.12853331502211102</v>
      </c>
      <c r="V171" s="143">
        <v>-3.6504090323060301</v>
      </c>
      <c r="W171" s="143">
        <v>0.10285501387252508</v>
      </c>
      <c r="X171" s="144">
        <v>2.7994634</v>
      </c>
      <c r="Y171" s="141">
        <v>0.20005829999999999</v>
      </c>
      <c r="Z171" s="145">
        <v>0.32</v>
      </c>
      <c r="AA171" s="145">
        <v>0.37</v>
      </c>
    </row>
    <row r="172" spans="1:27" x14ac:dyDescent="0.25">
      <c r="A172" s="136">
        <v>170</v>
      </c>
      <c r="B172" s="147" t="s">
        <v>433</v>
      </c>
      <c r="C172" s="147" t="s">
        <v>434</v>
      </c>
      <c r="D172" s="147"/>
      <c r="E172" s="139">
        <v>63</v>
      </c>
      <c r="F172" s="139">
        <v>1751</v>
      </c>
      <c r="G172" s="139" t="s">
        <v>487</v>
      </c>
      <c r="H172" s="139">
        <v>120260</v>
      </c>
      <c r="I172" s="139" t="s">
        <v>488</v>
      </c>
      <c r="J172" s="139">
        <v>3799</v>
      </c>
      <c r="K172" s="140" t="s">
        <v>489</v>
      </c>
      <c r="L172" s="140" t="s">
        <v>490</v>
      </c>
      <c r="M172" s="140" t="s">
        <v>491</v>
      </c>
      <c r="N172" s="141"/>
      <c r="O172" s="142">
        <v>0.49608570000000002</v>
      </c>
      <c r="P172" s="141">
        <v>0.52196460300000003</v>
      </c>
      <c r="Q172" s="141">
        <v>0.66106715155860996</v>
      </c>
      <c r="R172" s="141">
        <v>-1.6572449999999999E-3</v>
      </c>
      <c r="S172" s="143">
        <v>8556</v>
      </c>
      <c r="T172" s="143">
        <v>0.66067096035320905</v>
      </c>
      <c r="U172" s="143">
        <v>0.12853331502211102</v>
      </c>
      <c r="V172" s="143">
        <v>-3.6504090323060301</v>
      </c>
      <c r="W172" s="143">
        <v>0.10285501387252508</v>
      </c>
      <c r="X172" s="144">
        <v>2.7994634</v>
      </c>
      <c r="Y172" s="141">
        <v>0.20005829999999999</v>
      </c>
      <c r="Z172" s="145">
        <v>0.32</v>
      </c>
      <c r="AA172" s="145">
        <v>0.37</v>
      </c>
    </row>
    <row r="173" spans="1:27" x14ac:dyDescent="0.25">
      <c r="A173" s="136">
        <v>171</v>
      </c>
      <c r="B173" s="147" t="s">
        <v>433</v>
      </c>
      <c r="C173" s="147" t="s">
        <v>434</v>
      </c>
      <c r="D173" s="147"/>
      <c r="E173" s="139">
        <v>64</v>
      </c>
      <c r="F173" s="139">
        <v>1761</v>
      </c>
      <c r="G173" s="139" t="s">
        <v>492</v>
      </c>
      <c r="H173" s="139">
        <v>120512</v>
      </c>
      <c r="I173" s="139" t="s">
        <v>493</v>
      </c>
      <c r="J173" s="139">
        <v>3797</v>
      </c>
      <c r="K173" s="140" t="s">
        <v>494</v>
      </c>
      <c r="L173" s="140"/>
      <c r="M173" s="140"/>
      <c r="N173" s="141"/>
      <c r="O173" s="142">
        <v>0.49608570000000002</v>
      </c>
      <c r="P173" s="141">
        <v>0.52196460300000003</v>
      </c>
      <c r="Q173" s="141">
        <v>0.66106715155860996</v>
      </c>
      <c r="R173" s="141">
        <v>-1.6572449999999999E-3</v>
      </c>
      <c r="S173" s="143">
        <v>8556</v>
      </c>
      <c r="T173" s="143">
        <v>0.66067096035320905</v>
      </c>
      <c r="U173" s="143">
        <v>0.12853331502211102</v>
      </c>
      <c r="V173" s="143">
        <v>-3.6504090323060301</v>
      </c>
      <c r="W173" s="143">
        <v>0.10285501387252508</v>
      </c>
      <c r="X173" s="144">
        <v>2.7994634</v>
      </c>
      <c r="Y173" s="141">
        <v>0.20005829999999999</v>
      </c>
      <c r="Z173" s="145">
        <v>0.32</v>
      </c>
      <c r="AA173" s="145">
        <v>0.37</v>
      </c>
    </row>
    <row r="174" spans="1:27" x14ac:dyDescent="0.25">
      <c r="A174" s="136">
        <v>172</v>
      </c>
      <c r="B174" s="138" t="s">
        <v>433</v>
      </c>
      <c r="C174" s="138" t="s">
        <v>434</v>
      </c>
      <c r="D174" s="138"/>
      <c r="E174" s="139">
        <v>71</v>
      </c>
      <c r="F174" s="139">
        <v>158</v>
      </c>
      <c r="G174" s="139" t="s">
        <v>495</v>
      </c>
      <c r="H174" s="139"/>
      <c r="I174" s="139"/>
      <c r="J174" s="139">
        <v>4899</v>
      </c>
      <c r="K174" s="140" t="s">
        <v>496</v>
      </c>
      <c r="L174" s="140"/>
      <c r="M174" s="140"/>
      <c r="N174" s="141"/>
      <c r="O174" s="142">
        <v>0.49608570000000002</v>
      </c>
      <c r="P174" s="141">
        <v>0.52196460300000003</v>
      </c>
      <c r="Q174" s="141">
        <v>0.66106715155860996</v>
      </c>
      <c r="R174" s="141">
        <v>-1.6572449999999999E-3</v>
      </c>
      <c r="S174" s="146"/>
      <c r="T174" s="146">
        <v>0.757382</v>
      </c>
      <c r="U174" s="146">
        <v>8.9023092301607001E-2</v>
      </c>
      <c r="V174" s="146">
        <v>-3.624676</v>
      </c>
      <c r="W174" s="146">
        <v>6.7228474802671079E-2</v>
      </c>
      <c r="X174" s="144">
        <v>2.7994634</v>
      </c>
      <c r="Y174" s="141">
        <v>0.20005829999999999</v>
      </c>
      <c r="Z174" s="145">
        <v>0.42708374999999998</v>
      </c>
      <c r="AA174" s="145">
        <v>0.42312500000000003</v>
      </c>
    </row>
    <row r="175" spans="1:27" x14ac:dyDescent="0.25">
      <c r="A175" s="136">
        <v>173</v>
      </c>
      <c r="B175" s="138" t="s">
        <v>433</v>
      </c>
      <c r="C175" s="138" t="s">
        <v>434</v>
      </c>
      <c r="D175" s="138"/>
      <c r="E175" s="139">
        <v>72</v>
      </c>
      <c r="F175" s="139">
        <v>36</v>
      </c>
      <c r="G175" s="139" t="s">
        <v>497</v>
      </c>
      <c r="H175" s="139">
        <v>80824</v>
      </c>
      <c r="I175" s="139" t="s">
        <v>498</v>
      </c>
      <c r="J175" s="139">
        <v>84</v>
      </c>
      <c r="K175" s="140" t="s">
        <v>499</v>
      </c>
      <c r="L175" s="140" t="s">
        <v>500</v>
      </c>
      <c r="M175" s="140" t="s">
        <v>501</v>
      </c>
      <c r="N175" s="141"/>
      <c r="O175" s="142">
        <v>0.49608570000000002</v>
      </c>
      <c r="P175" s="141">
        <v>0.52196460300000003</v>
      </c>
      <c r="Q175" s="141">
        <v>0.66106715155860996</v>
      </c>
      <c r="R175" s="141">
        <v>-1.6572449999999999E-3</v>
      </c>
      <c r="S175" s="146"/>
      <c r="T175" s="146">
        <v>0.757382</v>
      </c>
      <c r="U175" s="146">
        <v>8.9023092301607001E-2</v>
      </c>
      <c r="V175" s="146">
        <v>-3.624676</v>
      </c>
      <c r="W175" s="146">
        <v>6.7228474802671079E-2</v>
      </c>
      <c r="X175" s="144">
        <v>2.7994634</v>
      </c>
      <c r="Y175" s="141">
        <v>0.20005829999999999</v>
      </c>
      <c r="Z175" s="145">
        <v>0.42708374999999998</v>
      </c>
      <c r="AA175" s="145">
        <v>0.42312500000000003</v>
      </c>
    </row>
    <row r="176" spans="1:27" x14ac:dyDescent="0.25">
      <c r="A176" s="136">
        <v>174</v>
      </c>
      <c r="B176" s="138" t="s">
        <v>433</v>
      </c>
      <c r="C176" s="138" t="s">
        <v>434</v>
      </c>
      <c r="D176" s="138"/>
      <c r="E176" s="139">
        <v>73</v>
      </c>
      <c r="F176" s="139">
        <v>327</v>
      </c>
      <c r="G176" s="139" t="s">
        <v>502</v>
      </c>
      <c r="H176" s="139">
        <v>447038</v>
      </c>
      <c r="I176" s="139" t="s">
        <v>503</v>
      </c>
      <c r="J176" s="139">
        <v>1034</v>
      </c>
      <c r="K176" s="140" t="s">
        <v>504</v>
      </c>
      <c r="L176" s="140" t="s">
        <v>505</v>
      </c>
      <c r="M176" s="140" t="s">
        <v>506</v>
      </c>
      <c r="N176" s="141"/>
      <c r="O176" s="142">
        <v>0.49608570000000002</v>
      </c>
      <c r="P176" s="141">
        <v>0.52196460300000003</v>
      </c>
      <c r="Q176" s="141">
        <v>0.66106715155860996</v>
      </c>
      <c r="R176" s="141">
        <v>-1.6572449999999999E-3</v>
      </c>
      <c r="S176" s="146"/>
      <c r="T176" s="146">
        <v>0.757382</v>
      </c>
      <c r="U176" s="146">
        <v>8.9023092301607001E-2</v>
      </c>
      <c r="V176" s="146">
        <v>-3.624676</v>
      </c>
      <c r="W176" s="146">
        <v>6.7228474802671079E-2</v>
      </c>
      <c r="X176" s="144">
        <v>2.7994634</v>
      </c>
      <c r="Y176" s="141">
        <v>0.20005829999999999</v>
      </c>
      <c r="Z176" s="145">
        <v>0.42708374999999998</v>
      </c>
      <c r="AA176" s="145">
        <v>0.42312500000000003</v>
      </c>
    </row>
    <row r="177" spans="1:27" x14ac:dyDescent="0.25">
      <c r="A177" s="136">
        <v>175</v>
      </c>
      <c r="B177" s="138" t="s">
        <v>433</v>
      </c>
      <c r="C177" s="138" t="s">
        <v>434</v>
      </c>
      <c r="D177" s="138"/>
      <c r="E177" s="139">
        <v>76</v>
      </c>
      <c r="F177" s="139">
        <v>331</v>
      </c>
      <c r="G177" s="139" t="s">
        <v>507</v>
      </c>
      <c r="H177" s="139">
        <v>89323</v>
      </c>
      <c r="I177" s="139" t="s">
        <v>508</v>
      </c>
      <c r="J177" s="139">
        <v>956</v>
      </c>
      <c r="K177" s="140" t="s">
        <v>509</v>
      </c>
      <c r="L177" s="140"/>
      <c r="M177" s="140"/>
      <c r="N177" s="141"/>
      <c r="O177" s="142">
        <v>0.49608570000000002</v>
      </c>
      <c r="P177" s="141">
        <v>0.52196460300000003</v>
      </c>
      <c r="Q177" s="141">
        <v>0.66106715155860996</v>
      </c>
      <c r="R177" s="141">
        <v>-1.6572449999999999E-3</v>
      </c>
      <c r="S177" s="146"/>
      <c r="T177" s="146">
        <v>0.757382</v>
      </c>
      <c r="U177" s="146">
        <v>8.9023092301607001E-2</v>
      </c>
      <c r="V177" s="146">
        <v>-3.624676</v>
      </c>
      <c r="W177" s="146">
        <v>6.7228474802671079E-2</v>
      </c>
      <c r="X177" s="144">
        <v>2.7994634</v>
      </c>
      <c r="Y177" s="141">
        <v>0.20005829999999999</v>
      </c>
      <c r="Z177" s="145">
        <v>0.42708374999999998</v>
      </c>
      <c r="AA177" s="145">
        <v>0.42312500000000003</v>
      </c>
    </row>
    <row r="178" spans="1:27" x14ac:dyDescent="0.25">
      <c r="A178" s="136">
        <v>176</v>
      </c>
      <c r="B178" s="138" t="s">
        <v>433</v>
      </c>
      <c r="C178" s="138" t="s">
        <v>434</v>
      </c>
      <c r="D178" s="138"/>
      <c r="E178" s="139">
        <v>79</v>
      </c>
      <c r="F178" s="139">
        <v>717</v>
      </c>
      <c r="G178" s="139" t="s">
        <v>510</v>
      </c>
      <c r="H178" s="139">
        <v>89308</v>
      </c>
      <c r="I178" s="139" t="s">
        <v>511</v>
      </c>
      <c r="J178" s="139">
        <v>4835</v>
      </c>
      <c r="K178" s="140" t="s">
        <v>512</v>
      </c>
      <c r="L178" s="140" t="s">
        <v>513</v>
      </c>
      <c r="M178" s="140" t="s">
        <v>514</v>
      </c>
      <c r="N178" s="141"/>
      <c r="O178" s="142">
        <v>0.49608570000000002</v>
      </c>
      <c r="P178" s="141">
        <v>0.52196460300000003</v>
      </c>
      <c r="Q178" s="141">
        <v>0.66106715155860996</v>
      </c>
      <c r="R178" s="141">
        <v>-1.6572449999999999E-3</v>
      </c>
      <c r="S178" s="146"/>
      <c r="T178" s="146">
        <v>0.757382</v>
      </c>
      <c r="U178" s="146">
        <v>8.9023092301607001E-2</v>
      </c>
      <c r="V178" s="146">
        <v>-3.624676</v>
      </c>
      <c r="W178" s="146">
        <v>6.7228474802671079E-2</v>
      </c>
      <c r="X178" s="144">
        <v>2.7994634</v>
      </c>
      <c r="Y178" s="141">
        <v>0.20005829999999999</v>
      </c>
      <c r="Z178" s="145">
        <v>0.42708374999999998</v>
      </c>
      <c r="AA178" s="145">
        <v>0.42312500000000003</v>
      </c>
    </row>
    <row r="179" spans="1:27" x14ac:dyDescent="0.25">
      <c r="A179" s="136">
        <v>177</v>
      </c>
      <c r="B179" s="138" t="s">
        <v>433</v>
      </c>
      <c r="C179" s="138" t="s">
        <v>434</v>
      </c>
      <c r="D179" s="138"/>
      <c r="E179" s="139">
        <v>80</v>
      </c>
      <c r="F179" s="139">
        <v>1111</v>
      </c>
      <c r="G179" s="139" t="s">
        <v>515</v>
      </c>
      <c r="H179" s="139">
        <v>106361</v>
      </c>
      <c r="I179" s="139" t="s">
        <v>516</v>
      </c>
      <c r="J179" s="139">
        <v>4813</v>
      </c>
      <c r="K179" s="140" t="s">
        <v>517</v>
      </c>
      <c r="L179" s="140" t="s">
        <v>518</v>
      </c>
      <c r="M179" s="140" t="s">
        <v>519</v>
      </c>
      <c r="N179" s="141"/>
      <c r="O179" s="142">
        <v>0.49608570000000002</v>
      </c>
      <c r="P179" s="141">
        <v>0.52196460300000003</v>
      </c>
      <c r="Q179" s="141">
        <v>0.66106715155860996</v>
      </c>
      <c r="R179" s="141">
        <v>-1.6572449999999999E-3</v>
      </c>
      <c r="S179" s="146"/>
      <c r="T179" s="146">
        <v>0.757382</v>
      </c>
      <c r="U179" s="146">
        <v>8.9023092301607001E-2</v>
      </c>
      <c r="V179" s="146">
        <v>-3.624676</v>
      </c>
      <c r="W179" s="146">
        <v>6.7228474802671079E-2</v>
      </c>
      <c r="X179" s="144">
        <v>2.7994634</v>
      </c>
      <c r="Y179" s="141">
        <v>0.20005829999999999</v>
      </c>
      <c r="Z179" s="145">
        <v>0.42708374999999998</v>
      </c>
      <c r="AA179" s="145">
        <v>0.42312500000000003</v>
      </c>
    </row>
    <row r="180" spans="1:27" x14ac:dyDescent="0.25">
      <c r="A180" s="136">
        <v>178</v>
      </c>
      <c r="B180" s="138" t="s">
        <v>433</v>
      </c>
      <c r="C180" s="138" t="s">
        <v>434</v>
      </c>
      <c r="D180" s="138"/>
      <c r="E180" s="139">
        <v>81</v>
      </c>
      <c r="F180" s="139">
        <v>1167</v>
      </c>
      <c r="G180" s="139" t="s">
        <v>520</v>
      </c>
      <c r="H180" s="139">
        <v>80334</v>
      </c>
      <c r="I180" s="139" t="s">
        <v>521</v>
      </c>
      <c r="J180" s="139">
        <v>54</v>
      </c>
      <c r="K180" s="140" t="s">
        <v>522</v>
      </c>
      <c r="L180" s="140" t="s">
        <v>523</v>
      </c>
      <c r="M180" s="140" t="s">
        <v>524</v>
      </c>
      <c r="N180" s="141"/>
      <c r="O180" s="142">
        <v>0.49608570000000002</v>
      </c>
      <c r="P180" s="141">
        <v>0.52196460300000003</v>
      </c>
      <c r="Q180" s="141">
        <v>0.66106715155860996</v>
      </c>
      <c r="R180" s="141">
        <v>-1.6572449999999999E-3</v>
      </c>
      <c r="S180" s="146"/>
      <c r="T180" s="146">
        <v>0.757382</v>
      </c>
      <c r="U180" s="146">
        <v>8.9023092301607001E-2</v>
      </c>
      <c r="V180" s="146">
        <v>-3.624676</v>
      </c>
      <c r="W180" s="146">
        <v>6.7228474802671079E-2</v>
      </c>
      <c r="X180" s="144">
        <v>2.7994634</v>
      </c>
      <c r="Y180" s="141">
        <v>0.20005829999999999</v>
      </c>
      <c r="Z180" s="145">
        <v>0.42708374999999998</v>
      </c>
      <c r="AA180" s="145">
        <v>0.42312500000000003</v>
      </c>
    </row>
    <row r="181" spans="1:27" x14ac:dyDescent="0.25">
      <c r="A181" s="136">
        <v>179</v>
      </c>
      <c r="B181" s="147" t="s">
        <v>433</v>
      </c>
      <c r="C181" s="147" t="s">
        <v>434</v>
      </c>
      <c r="D181" s="147"/>
      <c r="E181" s="139">
        <v>82</v>
      </c>
      <c r="F181" s="139">
        <v>1209</v>
      </c>
      <c r="G181" s="139" t="s">
        <v>525</v>
      </c>
      <c r="H181" s="139">
        <v>79693</v>
      </c>
      <c r="I181" s="139" t="s">
        <v>526</v>
      </c>
      <c r="J181" s="139">
        <v>4</v>
      </c>
      <c r="K181" s="140" t="s">
        <v>527</v>
      </c>
      <c r="L181" s="140" t="s">
        <v>528</v>
      </c>
      <c r="M181" s="140" t="s">
        <v>529</v>
      </c>
      <c r="N181" s="141"/>
      <c r="O181" s="142">
        <v>0.49608570000000002</v>
      </c>
      <c r="P181" s="141">
        <v>0.52196460300000003</v>
      </c>
      <c r="Q181" s="141">
        <v>0.66106715155860996</v>
      </c>
      <c r="R181" s="141">
        <v>-1.6572449999999999E-3</v>
      </c>
      <c r="S181" s="146"/>
      <c r="T181" s="146">
        <v>0.757382</v>
      </c>
      <c r="U181" s="146">
        <v>8.9023092301607001E-2</v>
      </c>
      <c r="V181" s="146">
        <v>-3.624676</v>
      </c>
      <c r="W181" s="146">
        <v>6.7228474802671079E-2</v>
      </c>
      <c r="X181" s="144">
        <v>2.7994634</v>
      </c>
      <c r="Y181" s="141">
        <v>0.20005829999999999</v>
      </c>
      <c r="Z181" s="145">
        <v>0.42708374999999998</v>
      </c>
      <c r="AA181" s="145">
        <v>0.42312500000000003</v>
      </c>
    </row>
    <row r="182" spans="1:27" x14ac:dyDescent="0.25">
      <c r="A182" s="136">
        <v>180</v>
      </c>
      <c r="B182" s="147" t="s">
        <v>433</v>
      </c>
      <c r="C182" s="147" t="s">
        <v>434</v>
      </c>
      <c r="D182" s="147"/>
      <c r="E182" s="139">
        <v>83</v>
      </c>
      <c r="F182" s="139">
        <v>1471</v>
      </c>
      <c r="G182" s="139" t="s">
        <v>530</v>
      </c>
      <c r="H182" s="139">
        <v>95048</v>
      </c>
      <c r="I182" s="139" t="s">
        <v>531</v>
      </c>
      <c r="J182" s="139">
        <v>1456</v>
      </c>
      <c r="K182" s="140" t="s">
        <v>532</v>
      </c>
      <c r="L182" s="140"/>
      <c r="M182" s="140"/>
      <c r="N182" s="141"/>
      <c r="O182" s="142">
        <v>0.49608570000000002</v>
      </c>
      <c r="P182" s="141">
        <v>0.52196460300000003</v>
      </c>
      <c r="Q182" s="141">
        <v>0.66106715155860996</v>
      </c>
      <c r="R182" s="141">
        <v>-1.6572449999999999E-3</v>
      </c>
      <c r="S182" s="146"/>
      <c r="T182" s="146">
        <v>0.757382</v>
      </c>
      <c r="U182" s="146">
        <v>8.9023092301607001E-2</v>
      </c>
      <c r="V182" s="146">
        <v>-3.624676</v>
      </c>
      <c r="W182" s="146">
        <v>6.7228474802671079E-2</v>
      </c>
      <c r="X182" s="144">
        <v>2.7994634</v>
      </c>
      <c r="Y182" s="141">
        <v>0.20005829999999999</v>
      </c>
      <c r="Z182" s="145">
        <v>0.42708374999999998</v>
      </c>
      <c r="AA182" s="145">
        <v>0.42312500000000003</v>
      </c>
    </row>
    <row r="183" spans="1:27" x14ac:dyDescent="0.25">
      <c r="A183" s="136">
        <v>181</v>
      </c>
      <c r="B183" s="138" t="s">
        <v>433</v>
      </c>
      <c r="C183" s="138" t="s">
        <v>434</v>
      </c>
      <c r="D183" s="138"/>
      <c r="E183" s="139">
        <v>85</v>
      </c>
      <c r="F183" s="139">
        <v>1459</v>
      </c>
      <c r="G183" s="139" t="s">
        <v>533</v>
      </c>
      <c r="H183" s="139">
        <v>113750</v>
      </c>
      <c r="I183" s="139" t="s">
        <v>534</v>
      </c>
      <c r="J183" s="139">
        <v>3295</v>
      </c>
      <c r="K183" s="140" t="s">
        <v>535</v>
      </c>
      <c r="L183" s="140" t="s">
        <v>536</v>
      </c>
      <c r="M183" s="140" t="s">
        <v>537</v>
      </c>
      <c r="N183" s="141"/>
      <c r="O183" s="142">
        <v>0.49608570000000002</v>
      </c>
      <c r="P183" s="141">
        <v>0.52196460300000003</v>
      </c>
      <c r="Q183" s="141">
        <v>0.66106715155860996</v>
      </c>
      <c r="R183" s="141">
        <v>-1.6572449999999999E-3</v>
      </c>
      <c r="S183" s="146"/>
      <c r="T183" s="146">
        <v>0.757382</v>
      </c>
      <c r="U183" s="146">
        <v>8.9023092301607001E-2</v>
      </c>
      <c r="V183" s="146">
        <v>-3.624676</v>
      </c>
      <c r="W183" s="146">
        <v>6.7228474802671079E-2</v>
      </c>
      <c r="X183" s="144">
        <v>2.7994634</v>
      </c>
      <c r="Y183" s="141">
        <v>0.20005829999999999</v>
      </c>
      <c r="Z183" s="145">
        <v>0.42708374999999998</v>
      </c>
      <c r="AA183" s="145">
        <v>0.42312500000000003</v>
      </c>
    </row>
    <row r="184" spans="1:27" x14ac:dyDescent="0.25">
      <c r="A184" s="136">
        <v>182</v>
      </c>
      <c r="B184" s="138" t="s">
        <v>433</v>
      </c>
      <c r="C184" s="138" t="s">
        <v>434</v>
      </c>
      <c r="D184" s="138"/>
      <c r="E184" s="139">
        <v>86</v>
      </c>
      <c r="F184" s="139">
        <v>1939</v>
      </c>
      <c r="G184" s="139" t="s">
        <v>538</v>
      </c>
      <c r="H184" s="139">
        <v>160932</v>
      </c>
      <c r="I184" s="139" t="s">
        <v>539</v>
      </c>
      <c r="J184" s="139">
        <v>4414</v>
      </c>
      <c r="K184" s="140" t="s">
        <v>540</v>
      </c>
      <c r="L184" s="140"/>
      <c r="M184" s="140"/>
      <c r="N184" s="141"/>
      <c r="O184" s="142">
        <v>0.49608570000000002</v>
      </c>
      <c r="P184" s="141">
        <v>0.52196460300000003</v>
      </c>
      <c r="Q184" s="141">
        <v>0.66106715155860996</v>
      </c>
      <c r="R184" s="141">
        <v>-1.6572449999999999E-3</v>
      </c>
      <c r="S184" s="143">
        <v>8398</v>
      </c>
      <c r="T184" s="143">
        <v>0.85731635910327997</v>
      </c>
      <c r="U184" s="143">
        <v>8.6766642226222004E-2</v>
      </c>
      <c r="V184" s="143">
        <v>-4.3423796273494197</v>
      </c>
      <c r="W184" s="143">
        <v>5.5331760334129176E-2</v>
      </c>
      <c r="X184" s="144">
        <v>2.7994634</v>
      </c>
      <c r="Y184" s="141">
        <v>0.20005829999999999</v>
      </c>
      <c r="Z184" s="145">
        <v>0.42188999999999999</v>
      </c>
      <c r="AA184" s="145">
        <v>0.41499999999999998</v>
      </c>
    </row>
    <row r="185" spans="1:27" x14ac:dyDescent="0.25">
      <c r="A185" s="136">
        <v>183</v>
      </c>
      <c r="B185" s="138" t="s">
        <v>433</v>
      </c>
      <c r="C185" s="138" t="s">
        <v>434</v>
      </c>
      <c r="D185" s="138"/>
      <c r="E185" s="139">
        <v>87</v>
      </c>
      <c r="F185" s="139">
        <v>2033</v>
      </c>
      <c r="G185" s="139" t="s">
        <v>541</v>
      </c>
      <c r="H185" s="139">
        <v>126662</v>
      </c>
      <c r="I185" s="139" t="s">
        <v>542</v>
      </c>
      <c r="J185" s="139">
        <v>4418</v>
      </c>
      <c r="K185" s="140" t="s">
        <v>543</v>
      </c>
      <c r="L185" s="140" t="s">
        <v>544</v>
      </c>
      <c r="M185" s="140" t="s">
        <v>545</v>
      </c>
      <c r="N185" s="141"/>
      <c r="O185" s="142">
        <v>0.49608570000000002</v>
      </c>
      <c r="P185" s="141">
        <v>0.52196460300000003</v>
      </c>
      <c r="Q185" s="141">
        <v>0.66106715155860996</v>
      </c>
      <c r="R185" s="141">
        <v>-1.6572449999999999E-3</v>
      </c>
      <c r="S185" s="143">
        <v>8398</v>
      </c>
      <c r="T185" s="143">
        <v>0.85731635910327997</v>
      </c>
      <c r="U185" s="143">
        <v>8.6766642226222004E-2</v>
      </c>
      <c r="V185" s="143">
        <v>-4.3423796273494197</v>
      </c>
      <c r="W185" s="143">
        <v>5.5331760334129176E-2</v>
      </c>
      <c r="X185" s="144">
        <v>2.7994634</v>
      </c>
      <c r="Y185" s="141">
        <v>0.20005829999999999</v>
      </c>
      <c r="Z185" s="145">
        <v>0.42188999999999999</v>
      </c>
      <c r="AA185" s="145">
        <v>0.41499999999999998</v>
      </c>
    </row>
    <row r="186" spans="1:27" x14ac:dyDescent="0.25">
      <c r="A186" s="136">
        <v>184</v>
      </c>
      <c r="B186" s="138" t="s">
        <v>433</v>
      </c>
      <c r="C186" s="138" t="s">
        <v>434</v>
      </c>
      <c r="D186" s="138"/>
      <c r="E186" s="139">
        <v>88</v>
      </c>
      <c r="F186" s="139">
        <v>1942</v>
      </c>
      <c r="G186" s="139" t="s">
        <v>546</v>
      </c>
      <c r="H186" s="139">
        <v>126667</v>
      </c>
      <c r="I186" s="139" t="s">
        <v>547</v>
      </c>
      <c r="J186" s="139">
        <v>4416</v>
      </c>
      <c r="K186" s="140" t="s">
        <v>548</v>
      </c>
      <c r="L186" s="140"/>
      <c r="M186" s="140"/>
      <c r="N186" s="141"/>
      <c r="O186" s="142">
        <v>0.49608570000000002</v>
      </c>
      <c r="P186" s="141">
        <v>0.52196460300000003</v>
      </c>
      <c r="Q186" s="141">
        <v>0.66106715155860996</v>
      </c>
      <c r="R186" s="141">
        <v>-1.6572449999999999E-3</v>
      </c>
      <c r="S186" s="143">
        <v>8398</v>
      </c>
      <c r="T186" s="143">
        <v>0.85731635910327997</v>
      </c>
      <c r="U186" s="143">
        <v>8.6766642226222004E-2</v>
      </c>
      <c r="V186" s="143">
        <v>-4.3423796273494197</v>
      </c>
      <c r="W186" s="143">
        <v>5.5331760334129176E-2</v>
      </c>
      <c r="X186" s="144">
        <v>2.7994634</v>
      </c>
      <c r="Y186" s="141">
        <v>0.20005829999999999</v>
      </c>
      <c r="Z186" s="145">
        <v>0.42188999999999999</v>
      </c>
      <c r="AA186" s="145">
        <v>0.41499999999999998</v>
      </c>
    </row>
    <row r="187" spans="1:27" x14ac:dyDescent="0.25">
      <c r="A187" s="136">
        <v>185</v>
      </c>
      <c r="B187" s="138" t="s">
        <v>433</v>
      </c>
      <c r="C187" s="138" t="s">
        <v>434</v>
      </c>
      <c r="D187" s="138"/>
      <c r="E187" s="139">
        <v>91</v>
      </c>
      <c r="F187" s="139">
        <v>1406</v>
      </c>
      <c r="G187" s="139" t="s">
        <v>549</v>
      </c>
      <c r="H187" s="139">
        <v>115110</v>
      </c>
      <c r="I187" s="139" t="s">
        <v>550</v>
      </c>
      <c r="J187" s="139">
        <v>3403</v>
      </c>
      <c r="K187" s="140" t="s">
        <v>551</v>
      </c>
      <c r="L187" s="140" t="s">
        <v>552</v>
      </c>
      <c r="M187" s="140" t="s">
        <v>553</v>
      </c>
      <c r="N187" s="141"/>
      <c r="O187" s="142">
        <v>0.49608570000000002</v>
      </c>
      <c r="P187" s="141">
        <v>0.52196460300000003</v>
      </c>
      <c r="Q187" s="141">
        <v>0.66106715155860996</v>
      </c>
      <c r="R187" s="141">
        <v>-1.6572449999999999E-3</v>
      </c>
      <c r="S187" s="143">
        <v>577</v>
      </c>
      <c r="T187" s="143">
        <v>0.81469589866345804</v>
      </c>
      <c r="U187" s="143">
        <v>3.4659390317150998E-2</v>
      </c>
      <c r="V187" s="143">
        <v>-3.6847888343061399</v>
      </c>
      <c r="W187" s="143">
        <v>3.8637538712879081E-2</v>
      </c>
      <c r="X187" s="144">
        <v>2.7994634</v>
      </c>
      <c r="Y187" s="141">
        <v>0.20005829999999999</v>
      </c>
      <c r="Z187" s="148">
        <v>0.42708374999999998</v>
      </c>
      <c r="AA187" s="148">
        <v>0.42312500000000003</v>
      </c>
    </row>
    <row r="188" spans="1:27" x14ac:dyDescent="0.25">
      <c r="A188" s="136">
        <v>186</v>
      </c>
      <c r="B188" s="138" t="s">
        <v>433</v>
      </c>
      <c r="C188" s="138" t="s">
        <v>434</v>
      </c>
      <c r="D188" s="138"/>
      <c r="E188" s="139">
        <v>92</v>
      </c>
      <c r="F188" s="139">
        <v>1408</v>
      </c>
      <c r="G188" s="139" t="s">
        <v>554</v>
      </c>
      <c r="H188" s="139">
        <v>115168</v>
      </c>
      <c r="I188" s="139" t="s">
        <v>555</v>
      </c>
      <c r="J188" s="139">
        <v>3405</v>
      </c>
      <c r="K188" s="140" t="s">
        <v>556</v>
      </c>
      <c r="L188" s="140" t="s">
        <v>557</v>
      </c>
      <c r="M188" s="140" t="s">
        <v>558</v>
      </c>
      <c r="N188" s="141"/>
      <c r="O188" s="142">
        <v>0.49608570000000002</v>
      </c>
      <c r="P188" s="141">
        <v>0.52196460300000003</v>
      </c>
      <c r="Q188" s="141">
        <v>0.66106715155860996</v>
      </c>
      <c r="R188" s="141">
        <v>-1.6572449999999999E-3</v>
      </c>
      <c r="S188" s="143">
        <v>577</v>
      </c>
      <c r="T188" s="143">
        <v>0.81469589866345804</v>
      </c>
      <c r="U188" s="143">
        <v>3.4659390317150998E-2</v>
      </c>
      <c r="V188" s="143">
        <v>-3.6847888343061399</v>
      </c>
      <c r="W188" s="143">
        <v>3.8637538712879081E-2</v>
      </c>
      <c r="X188" s="144">
        <v>2.7994634</v>
      </c>
      <c r="Y188" s="141">
        <v>0.20005829999999999</v>
      </c>
      <c r="Z188" s="148">
        <v>0.42708374999999998</v>
      </c>
      <c r="AA188" s="148">
        <v>0.42312500000000003</v>
      </c>
    </row>
    <row r="189" spans="1:27" x14ac:dyDescent="0.25">
      <c r="A189" s="136">
        <v>187</v>
      </c>
      <c r="B189" s="149" t="s">
        <v>433</v>
      </c>
      <c r="C189" s="149" t="s">
        <v>434</v>
      </c>
      <c r="D189" s="149" t="s">
        <v>435</v>
      </c>
      <c r="E189" s="139">
        <v>93</v>
      </c>
      <c r="F189" s="139">
        <v>1411</v>
      </c>
      <c r="G189" s="139" t="s">
        <v>559</v>
      </c>
      <c r="H189" s="139">
        <v>115145</v>
      </c>
      <c r="I189" s="139" t="s">
        <v>560</v>
      </c>
      <c r="J189" s="139">
        <v>3406</v>
      </c>
      <c r="K189" s="140" t="s">
        <v>561</v>
      </c>
      <c r="L189" s="140" t="s">
        <v>562</v>
      </c>
      <c r="M189" s="140" t="s">
        <v>563</v>
      </c>
      <c r="N189" s="141"/>
      <c r="O189" s="142">
        <v>0.49608570000000002</v>
      </c>
      <c r="P189" s="141">
        <v>0.52196460300000003</v>
      </c>
      <c r="Q189" s="141">
        <v>0.66106715155860996</v>
      </c>
      <c r="R189" s="141">
        <v>-1.6572449999999999E-3</v>
      </c>
      <c r="S189" s="143">
        <v>2206</v>
      </c>
      <c r="T189" s="143">
        <v>0.68822412699410096</v>
      </c>
      <c r="U189" s="143">
        <v>6.5447196267932981E-2</v>
      </c>
      <c r="V189" s="143">
        <v>-2.19838322356371</v>
      </c>
      <c r="W189" s="143">
        <v>6.043135580992838E-2</v>
      </c>
      <c r="X189" s="144">
        <v>2.7994634</v>
      </c>
      <c r="Y189" s="141">
        <v>0.20005829999999999</v>
      </c>
      <c r="Z189" s="150">
        <v>0.35300999999999999</v>
      </c>
      <c r="AA189" s="150">
        <v>0.34</v>
      </c>
    </row>
    <row r="190" spans="1:27" x14ac:dyDescent="0.25">
      <c r="A190" s="136">
        <v>188</v>
      </c>
      <c r="B190" s="138" t="s">
        <v>433</v>
      </c>
      <c r="C190" s="138" t="s">
        <v>434</v>
      </c>
      <c r="D190" s="138"/>
      <c r="E190" s="139">
        <v>97</v>
      </c>
      <c r="F190" s="139">
        <v>530</v>
      </c>
      <c r="G190" s="139" t="s">
        <v>564</v>
      </c>
      <c r="H190" s="139">
        <v>104715</v>
      </c>
      <c r="I190" s="139" t="s">
        <v>565</v>
      </c>
      <c r="J190" s="139">
        <v>2358</v>
      </c>
      <c r="K190" s="140" t="s">
        <v>566</v>
      </c>
      <c r="L190" s="140" t="s">
        <v>567</v>
      </c>
      <c r="M190" s="140" t="s">
        <v>568</v>
      </c>
      <c r="N190" s="141"/>
      <c r="O190" s="142">
        <v>0.49608570000000002</v>
      </c>
      <c r="P190" s="141">
        <v>0.52196460300000003</v>
      </c>
      <c r="Q190" s="141">
        <v>0.66106715155860996</v>
      </c>
      <c r="R190" s="141">
        <v>-1.6572449999999999E-3</v>
      </c>
      <c r="S190" s="146"/>
      <c r="T190" s="146">
        <v>0.757382</v>
      </c>
      <c r="U190" s="146">
        <v>8.9023092301607001E-2</v>
      </c>
      <c r="V190" s="146">
        <v>-3.624676</v>
      </c>
      <c r="W190" s="146">
        <v>6.7228474802671079E-2</v>
      </c>
      <c r="X190" s="144">
        <v>2.7994634</v>
      </c>
      <c r="Y190" s="141">
        <v>0.20005829999999999</v>
      </c>
      <c r="Z190" s="145">
        <v>0.42708374999999998</v>
      </c>
      <c r="AA190" s="145">
        <v>0.42312500000000003</v>
      </c>
    </row>
    <row r="191" spans="1:27" x14ac:dyDescent="0.25">
      <c r="A191" s="136">
        <v>189</v>
      </c>
      <c r="B191" s="151" t="s">
        <v>433</v>
      </c>
      <c r="C191" s="151" t="s">
        <v>434</v>
      </c>
      <c r="D191" s="151"/>
      <c r="E191" s="139">
        <v>98</v>
      </c>
      <c r="F191" s="139">
        <v>526</v>
      </c>
      <c r="G191" s="139" t="s">
        <v>569</v>
      </c>
      <c r="H191" s="139">
        <v>137048</v>
      </c>
      <c r="I191" s="139" t="s">
        <v>570</v>
      </c>
      <c r="J191" s="139">
        <v>2357</v>
      </c>
      <c r="K191" s="140" t="s">
        <v>571</v>
      </c>
      <c r="L191" s="140" t="s">
        <v>572</v>
      </c>
      <c r="M191" s="140" t="s">
        <v>573</v>
      </c>
      <c r="N191" s="141"/>
      <c r="O191" s="142">
        <v>0.49608570000000002</v>
      </c>
      <c r="P191" s="141">
        <v>0.52196460300000003</v>
      </c>
      <c r="Q191" s="141">
        <v>0.66106715155860996</v>
      </c>
      <c r="R191" s="141">
        <v>-1.6572449999999999E-3</v>
      </c>
      <c r="S191" s="143">
        <v>93</v>
      </c>
      <c r="T191" s="143">
        <v>0.53463816811609999</v>
      </c>
      <c r="U191" s="143">
        <v>0.18672780245639198</v>
      </c>
      <c r="V191" s="143">
        <v>-4.41534883171422</v>
      </c>
      <c r="W191" s="143">
        <v>0.16269330236931009</v>
      </c>
      <c r="X191" s="144">
        <v>2.7994634</v>
      </c>
      <c r="Y191" s="141">
        <v>0.20005829999999999</v>
      </c>
      <c r="Z191" s="148">
        <v>0.42708374999999998</v>
      </c>
      <c r="AA191" s="148">
        <v>0.42312500000000003</v>
      </c>
    </row>
    <row r="192" spans="1:27" x14ac:dyDescent="0.25">
      <c r="A192" s="136">
        <v>190</v>
      </c>
      <c r="B192" s="138" t="s">
        <v>433</v>
      </c>
      <c r="C192" s="138" t="s">
        <v>434</v>
      </c>
      <c r="D192" s="138"/>
      <c r="E192" s="139">
        <v>103</v>
      </c>
      <c r="F192" s="139">
        <v>148</v>
      </c>
      <c r="G192" s="139" t="s">
        <v>574</v>
      </c>
      <c r="H192" s="139">
        <v>92824</v>
      </c>
      <c r="I192" s="139" t="s">
        <v>575</v>
      </c>
      <c r="J192" s="139">
        <v>1258</v>
      </c>
      <c r="K192" s="140" t="s">
        <v>576</v>
      </c>
      <c r="L192" s="140"/>
      <c r="M192" s="140"/>
      <c r="N192" s="141"/>
      <c r="O192" s="142">
        <v>0.49608570000000002</v>
      </c>
      <c r="P192" s="141">
        <v>0.52196460300000003</v>
      </c>
      <c r="Q192" s="141">
        <v>0.66106715155860996</v>
      </c>
      <c r="R192" s="141">
        <v>-1.6572449999999999E-3</v>
      </c>
      <c r="S192" s="146"/>
      <c r="T192" s="146">
        <v>0.757382</v>
      </c>
      <c r="U192" s="146">
        <v>8.9023092301607001E-2</v>
      </c>
      <c r="V192" s="146">
        <v>-3.624676</v>
      </c>
      <c r="W192" s="146">
        <v>6.7228474802671079E-2</v>
      </c>
      <c r="X192" s="144">
        <v>2.7994634</v>
      </c>
      <c r="Y192" s="141">
        <v>0.20005829999999999</v>
      </c>
      <c r="Z192" s="145">
        <v>0.42708374999999998</v>
      </c>
      <c r="AA192" s="145">
        <v>0.42312500000000003</v>
      </c>
    </row>
    <row r="193" spans="1:27" x14ac:dyDescent="0.25">
      <c r="A193" s="136">
        <v>191</v>
      </c>
      <c r="B193" s="138" t="s">
        <v>433</v>
      </c>
      <c r="C193" s="138" t="s">
        <v>434</v>
      </c>
      <c r="D193" s="138"/>
      <c r="E193" s="139">
        <v>104</v>
      </c>
      <c r="F193" s="139">
        <v>149</v>
      </c>
      <c r="G193" s="139" t="s">
        <v>577</v>
      </c>
      <c r="H193" s="139">
        <v>92864</v>
      </c>
      <c r="I193" s="139" t="s">
        <v>578</v>
      </c>
      <c r="J193" s="139">
        <v>1261</v>
      </c>
      <c r="K193" s="140" t="s">
        <v>579</v>
      </c>
      <c r="L193" s="140" t="s">
        <v>580</v>
      </c>
      <c r="M193" s="140" t="s">
        <v>581</v>
      </c>
      <c r="N193" s="141"/>
      <c r="O193" s="142">
        <v>0.49608570000000002</v>
      </c>
      <c r="P193" s="141">
        <v>0.52196460300000003</v>
      </c>
      <c r="Q193" s="141">
        <v>0.66106715155860996</v>
      </c>
      <c r="R193" s="141">
        <v>-1.6572449999999999E-3</v>
      </c>
      <c r="S193" s="146"/>
      <c r="T193" s="146">
        <v>0.757382</v>
      </c>
      <c r="U193" s="146">
        <v>8.9023092301607001E-2</v>
      </c>
      <c r="V193" s="146">
        <v>-3.624676</v>
      </c>
      <c r="W193" s="146">
        <v>6.7228474802671079E-2</v>
      </c>
      <c r="X193" s="144">
        <v>2.7994634</v>
      </c>
      <c r="Y193" s="141">
        <v>0.20005829999999999</v>
      </c>
      <c r="Z193" s="145">
        <v>0.42708374999999998</v>
      </c>
      <c r="AA193" s="145">
        <v>0.42312500000000003</v>
      </c>
    </row>
    <row r="194" spans="1:27" x14ac:dyDescent="0.25">
      <c r="A194" s="136">
        <v>192</v>
      </c>
      <c r="B194" s="138" t="s">
        <v>433</v>
      </c>
      <c r="C194" s="138" t="s">
        <v>434</v>
      </c>
      <c r="D194" s="138"/>
      <c r="E194" s="139">
        <v>105</v>
      </c>
      <c r="F194" s="139">
        <v>151</v>
      </c>
      <c r="G194" s="139" t="s">
        <v>582</v>
      </c>
      <c r="H194" s="139">
        <v>92876</v>
      </c>
      <c r="I194" s="139" t="s">
        <v>583</v>
      </c>
      <c r="J194" s="139">
        <v>1260</v>
      </c>
      <c r="K194" s="140" t="s">
        <v>584</v>
      </c>
      <c r="L194" s="140" t="s">
        <v>585</v>
      </c>
      <c r="M194" s="140" t="s">
        <v>586</v>
      </c>
      <c r="N194" s="141"/>
      <c r="O194" s="142">
        <v>0.49608570000000002</v>
      </c>
      <c r="P194" s="141">
        <v>0.52196460300000003</v>
      </c>
      <c r="Q194" s="141">
        <v>0.66106715155860996</v>
      </c>
      <c r="R194" s="141">
        <v>-1.6572449999999999E-3</v>
      </c>
      <c r="S194" s="146"/>
      <c r="T194" s="146">
        <v>0.757382</v>
      </c>
      <c r="U194" s="146">
        <v>8.9023092301607001E-2</v>
      </c>
      <c r="V194" s="146">
        <v>-3.624676</v>
      </c>
      <c r="W194" s="146">
        <v>6.7228474802671079E-2</v>
      </c>
      <c r="X194" s="144">
        <v>2.7994634</v>
      </c>
      <c r="Y194" s="141">
        <v>0.20005829999999999</v>
      </c>
      <c r="Z194" s="145">
        <v>0.42708374999999998</v>
      </c>
      <c r="AA194" s="145">
        <v>0.42312500000000003</v>
      </c>
    </row>
    <row r="195" spans="1:27" x14ac:dyDescent="0.25">
      <c r="A195" s="136">
        <v>193</v>
      </c>
      <c r="B195" s="138" t="s">
        <v>433</v>
      </c>
      <c r="C195" s="138" t="s">
        <v>434</v>
      </c>
      <c r="D195" s="138"/>
      <c r="E195" s="139">
        <v>107</v>
      </c>
      <c r="F195" s="139">
        <v>248</v>
      </c>
      <c r="G195" s="139" t="s">
        <v>587</v>
      </c>
      <c r="H195" s="139">
        <v>87143</v>
      </c>
      <c r="I195" s="139" t="s">
        <v>588</v>
      </c>
      <c r="J195" s="139">
        <v>716</v>
      </c>
      <c r="K195" s="140" t="s">
        <v>589</v>
      </c>
      <c r="L195" s="140" t="s">
        <v>590</v>
      </c>
      <c r="M195" s="140" t="s">
        <v>591</v>
      </c>
      <c r="N195" s="141"/>
      <c r="O195" s="142">
        <v>0.49608570000000002</v>
      </c>
      <c r="P195" s="141">
        <v>0.52196460300000003</v>
      </c>
      <c r="Q195" s="141">
        <v>0.66106715155860996</v>
      </c>
      <c r="R195" s="141">
        <v>-1.6572449999999999E-3</v>
      </c>
      <c r="S195" s="146"/>
      <c r="T195" s="146">
        <v>0.757382</v>
      </c>
      <c r="U195" s="146">
        <v>8.9023092301607001E-2</v>
      </c>
      <c r="V195" s="146">
        <v>-3.624676</v>
      </c>
      <c r="W195" s="146">
        <v>6.7228474802671079E-2</v>
      </c>
      <c r="X195" s="144">
        <v>2.7994634</v>
      </c>
      <c r="Y195" s="141">
        <v>0.20005829999999999</v>
      </c>
      <c r="Z195" s="145">
        <v>0.42708374999999998</v>
      </c>
      <c r="AA195" s="145">
        <v>0.42312500000000003</v>
      </c>
    </row>
    <row r="196" spans="1:27" x14ac:dyDescent="0.25">
      <c r="A196" s="136">
        <v>194</v>
      </c>
      <c r="B196" s="147" t="s">
        <v>433</v>
      </c>
      <c r="C196" s="147" t="s">
        <v>434</v>
      </c>
      <c r="D196" s="147"/>
      <c r="E196" s="139">
        <v>136</v>
      </c>
      <c r="F196" s="139">
        <v>1905</v>
      </c>
      <c r="G196" s="139" t="s">
        <v>592</v>
      </c>
      <c r="H196" s="139">
        <v>117723</v>
      </c>
      <c r="I196" s="139" t="s">
        <v>593</v>
      </c>
      <c r="J196" s="139">
        <v>3633</v>
      </c>
      <c r="K196" s="140" t="s">
        <v>594</v>
      </c>
      <c r="L196" s="140"/>
      <c r="M196" s="140"/>
      <c r="N196" s="141"/>
      <c r="O196" s="142">
        <v>0.49608570000000002</v>
      </c>
      <c r="P196" s="141">
        <v>0.52196460300000003</v>
      </c>
      <c r="Q196" s="141">
        <v>0.66106715155860996</v>
      </c>
      <c r="R196" s="141">
        <v>-1.6572449999999999E-3</v>
      </c>
      <c r="S196" s="146"/>
      <c r="T196" s="146">
        <v>0.757382</v>
      </c>
      <c r="U196" s="146">
        <v>8.9023092301607001E-2</v>
      </c>
      <c r="V196" s="146">
        <v>-3.624676</v>
      </c>
      <c r="W196" s="146">
        <v>6.7228474802671079E-2</v>
      </c>
      <c r="X196" s="144">
        <v>2.7994634</v>
      </c>
      <c r="Y196" s="141">
        <v>0.20005829999999999</v>
      </c>
      <c r="Z196" s="145">
        <v>0.42708374999999998</v>
      </c>
      <c r="AA196" s="145">
        <v>0.42312500000000003</v>
      </c>
    </row>
    <row r="197" spans="1:27" x14ac:dyDescent="0.25">
      <c r="A197" s="136">
        <v>195</v>
      </c>
      <c r="B197" s="147" t="s">
        <v>433</v>
      </c>
      <c r="C197" s="147" t="s">
        <v>434</v>
      </c>
      <c r="D197" s="147"/>
      <c r="E197" s="139">
        <v>139</v>
      </c>
      <c r="F197" s="139">
        <v>1918</v>
      </c>
      <c r="G197" s="139" t="s">
        <v>595</v>
      </c>
      <c r="H197" s="139">
        <v>125426</v>
      </c>
      <c r="I197" s="139" t="s">
        <v>596</v>
      </c>
      <c r="J197" s="139">
        <v>4337</v>
      </c>
      <c r="K197" s="140" t="s">
        <v>597</v>
      </c>
      <c r="L197" s="140" t="s">
        <v>598</v>
      </c>
      <c r="M197" s="140" t="s">
        <v>599</v>
      </c>
      <c r="N197" s="141"/>
      <c r="O197" s="142">
        <v>0.49608570000000002</v>
      </c>
      <c r="P197" s="141">
        <v>0.52196460300000003</v>
      </c>
      <c r="Q197" s="141">
        <v>0.66106715155860996</v>
      </c>
      <c r="R197" s="141">
        <v>-1.6572449999999999E-3</v>
      </c>
      <c r="S197" s="146"/>
      <c r="T197" s="146">
        <v>0.757382</v>
      </c>
      <c r="U197" s="146">
        <v>8.9023092301607001E-2</v>
      </c>
      <c r="V197" s="146">
        <v>-3.624676</v>
      </c>
      <c r="W197" s="146">
        <v>6.7228474802671079E-2</v>
      </c>
      <c r="X197" s="144">
        <v>2.7994634</v>
      </c>
      <c r="Y197" s="141">
        <v>0.20005829999999999</v>
      </c>
      <c r="Z197" s="145">
        <v>0.42708374999999998</v>
      </c>
      <c r="AA197" s="145">
        <v>0.42312500000000003</v>
      </c>
    </row>
    <row r="198" spans="1:27" x14ac:dyDescent="0.25">
      <c r="A198" s="136">
        <v>196</v>
      </c>
      <c r="B198" s="147" t="s">
        <v>433</v>
      </c>
      <c r="C198" s="147" t="s">
        <v>434</v>
      </c>
      <c r="D198" s="147"/>
      <c r="E198" s="139">
        <v>140</v>
      </c>
      <c r="F198" s="139">
        <v>1917</v>
      </c>
      <c r="G198" s="139" t="s">
        <v>600</v>
      </c>
      <c r="H198" s="139">
        <v>125412</v>
      </c>
      <c r="I198" s="139" t="s">
        <v>601</v>
      </c>
      <c r="J198" s="139">
        <v>4336</v>
      </c>
      <c r="K198" s="140" t="s">
        <v>602</v>
      </c>
      <c r="L198" s="140"/>
      <c r="M198" s="140"/>
      <c r="N198" s="141"/>
      <c r="O198" s="142">
        <v>0.49608570000000002</v>
      </c>
      <c r="P198" s="141">
        <v>0.52196460300000003</v>
      </c>
      <c r="Q198" s="141">
        <v>0.66106715155860996</v>
      </c>
      <c r="R198" s="141">
        <v>-1.6572449999999999E-3</v>
      </c>
      <c r="S198" s="146"/>
      <c r="T198" s="146">
        <v>0.757382</v>
      </c>
      <c r="U198" s="146">
        <v>8.9023092301607001E-2</v>
      </c>
      <c r="V198" s="146">
        <v>-3.624676</v>
      </c>
      <c r="W198" s="146">
        <v>6.7228474802671079E-2</v>
      </c>
      <c r="X198" s="144">
        <v>2.7994634</v>
      </c>
      <c r="Y198" s="141">
        <v>0.20005829999999999</v>
      </c>
      <c r="Z198" s="145">
        <v>0.42708374999999998</v>
      </c>
      <c r="AA198" s="145">
        <v>0.42312500000000003</v>
      </c>
    </row>
    <row r="199" spans="1:27" x14ac:dyDescent="0.25">
      <c r="A199" s="136">
        <v>197</v>
      </c>
      <c r="B199" s="151" t="s">
        <v>433</v>
      </c>
      <c r="C199" s="151" t="s">
        <v>434</v>
      </c>
      <c r="D199" s="151"/>
      <c r="E199" s="139">
        <v>141</v>
      </c>
      <c r="F199" s="139">
        <v>1918</v>
      </c>
      <c r="G199" s="139" t="s">
        <v>595</v>
      </c>
      <c r="H199" s="139">
        <v>125426</v>
      </c>
      <c r="I199" s="139" t="s">
        <v>596</v>
      </c>
      <c r="J199" s="139">
        <v>4338</v>
      </c>
      <c r="K199" s="140" t="s">
        <v>603</v>
      </c>
      <c r="L199" s="140" t="s">
        <v>598</v>
      </c>
      <c r="M199" s="140" t="s">
        <v>599</v>
      </c>
      <c r="N199" s="141"/>
      <c r="O199" s="142">
        <v>0.49608570000000002</v>
      </c>
      <c r="P199" s="141">
        <v>0.52196460300000003</v>
      </c>
      <c r="Q199" s="141">
        <v>0.66106715155860996</v>
      </c>
      <c r="R199" s="141">
        <v>-1.6572449999999999E-3</v>
      </c>
      <c r="S199" s="143">
        <v>5</v>
      </c>
      <c r="T199" s="143">
        <v>0.77436482293182796</v>
      </c>
      <c r="U199" s="143">
        <v>8.0097690988867001E-2</v>
      </c>
      <c r="V199" s="143">
        <v>-3.4997801714194501</v>
      </c>
      <c r="W199" s="143">
        <v>5.8482100769572484E-2</v>
      </c>
      <c r="X199" s="144">
        <v>2.7994634</v>
      </c>
      <c r="Y199" s="141">
        <v>0.20005829999999999</v>
      </c>
      <c r="Z199" s="148">
        <v>0.42708374999999998</v>
      </c>
      <c r="AA199" s="148">
        <v>0.42312500000000003</v>
      </c>
    </row>
    <row r="200" spans="1:27" x14ac:dyDescent="0.25">
      <c r="A200" s="136">
        <v>198</v>
      </c>
      <c r="B200" s="147" t="s">
        <v>433</v>
      </c>
      <c r="C200" s="147" t="s">
        <v>434</v>
      </c>
      <c r="D200" s="147"/>
      <c r="E200" s="139">
        <v>142</v>
      </c>
      <c r="F200" s="139">
        <v>1988</v>
      </c>
      <c r="G200" s="139" t="s">
        <v>604</v>
      </c>
      <c r="H200" s="139">
        <v>160246</v>
      </c>
      <c r="I200" s="139" t="s">
        <v>605</v>
      </c>
      <c r="J200" s="139">
        <v>3634</v>
      </c>
      <c r="K200" s="140" t="s">
        <v>606</v>
      </c>
      <c r="L200" s="140"/>
      <c r="M200" s="140"/>
      <c r="N200" s="141"/>
      <c r="O200" s="142">
        <v>0.49608570000000002</v>
      </c>
      <c r="P200" s="141">
        <v>0.52196460300000003</v>
      </c>
      <c r="Q200" s="141">
        <v>0.66106715155860996</v>
      </c>
      <c r="R200" s="141">
        <v>-1.6572449999999999E-3</v>
      </c>
      <c r="S200" s="146"/>
      <c r="T200" s="146">
        <v>0.757382</v>
      </c>
      <c r="U200" s="146">
        <v>8.9023092301607001E-2</v>
      </c>
      <c r="V200" s="146">
        <v>-3.624676</v>
      </c>
      <c r="W200" s="146">
        <v>6.7228474802671079E-2</v>
      </c>
      <c r="X200" s="144">
        <v>2.7994634</v>
      </c>
      <c r="Y200" s="141">
        <v>0.20005829999999999</v>
      </c>
      <c r="Z200" s="145">
        <v>0.42708374999999998</v>
      </c>
      <c r="AA200" s="145">
        <v>0.42312500000000003</v>
      </c>
    </row>
    <row r="201" spans="1:27" x14ac:dyDescent="0.25">
      <c r="A201" s="136">
        <v>199</v>
      </c>
      <c r="B201" s="149" t="s">
        <v>433</v>
      </c>
      <c r="C201" s="149" t="s">
        <v>434</v>
      </c>
      <c r="D201" s="149" t="s">
        <v>435</v>
      </c>
      <c r="E201" s="139"/>
      <c r="F201" s="139"/>
      <c r="G201" s="139" t="s">
        <v>607</v>
      </c>
      <c r="H201" s="139">
        <v>188987</v>
      </c>
      <c r="I201" s="152" t="s">
        <v>608</v>
      </c>
      <c r="J201" s="139"/>
      <c r="K201" s="140"/>
      <c r="L201" s="140"/>
      <c r="M201" s="140"/>
      <c r="N201" s="141"/>
      <c r="O201" s="142">
        <v>0.49608570000000002</v>
      </c>
      <c r="P201" s="141">
        <v>0.52196460300000003</v>
      </c>
      <c r="Q201" s="141">
        <v>0.66106715155860996</v>
      </c>
      <c r="R201" s="141">
        <v>-1.6572449999999999E-3</v>
      </c>
      <c r="S201" s="146"/>
      <c r="T201" s="146">
        <v>0.757382</v>
      </c>
      <c r="U201" s="146">
        <v>8.9023092301607001E-2</v>
      </c>
      <c r="V201" s="146">
        <v>-3.624676</v>
      </c>
      <c r="W201" s="146">
        <v>6.7228474802671079E-2</v>
      </c>
      <c r="X201" s="144">
        <v>2.7994634</v>
      </c>
      <c r="Y201" s="141">
        <v>0.20005829999999999</v>
      </c>
      <c r="Z201" s="145">
        <v>0.43911</v>
      </c>
      <c r="AA201" s="145">
        <v>0.43</v>
      </c>
    </row>
    <row r="202" spans="1:27" x14ac:dyDescent="0.25">
      <c r="A202" s="136">
        <v>200</v>
      </c>
      <c r="B202" s="149" t="s">
        <v>433</v>
      </c>
      <c r="C202" s="149" t="s">
        <v>434</v>
      </c>
      <c r="D202" s="149" t="s">
        <v>435</v>
      </c>
      <c r="E202" s="139"/>
      <c r="F202" s="139"/>
      <c r="G202" s="139" t="s">
        <v>609</v>
      </c>
      <c r="H202" s="139">
        <v>189857</v>
      </c>
      <c r="I202" s="152" t="s">
        <v>610</v>
      </c>
      <c r="J202" s="139"/>
      <c r="K202" s="140"/>
      <c r="L202" s="140"/>
      <c r="M202" s="140"/>
      <c r="N202" s="139">
        <v>16</v>
      </c>
      <c r="O202" s="153">
        <v>0.47213569993541898</v>
      </c>
      <c r="P202" s="139">
        <v>0.49335246997405202</v>
      </c>
      <c r="Q202" s="139">
        <v>0.66106715155860996</v>
      </c>
      <c r="R202" s="139">
        <v>-1.58540708791217E-3</v>
      </c>
      <c r="S202" s="139">
        <v>37549</v>
      </c>
      <c r="T202" s="143">
        <v>0.70973388267623805</v>
      </c>
      <c r="U202" s="143">
        <v>0.12596588350028298</v>
      </c>
      <c r="V202" s="143">
        <v>-4.2978465261248298</v>
      </c>
      <c r="W202" s="143">
        <v>0.10620186714031808</v>
      </c>
      <c r="X202" s="139">
        <v>2.7994634</v>
      </c>
      <c r="Y202" s="139">
        <v>0.20005829999999999</v>
      </c>
      <c r="Z202" s="145">
        <v>0.52520999999999995</v>
      </c>
      <c r="AA202" s="145">
        <v>0.5</v>
      </c>
    </row>
    <row r="203" spans="1:27" x14ac:dyDescent="0.25">
      <c r="A203" s="136">
        <v>201</v>
      </c>
      <c r="B203" s="147" t="s">
        <v>433</v>
      </c>
      <c r="C203" s="147" t="s">
        <v>434</v>
      </c>
      <c r="D203" s="147" t="s">
        <v>611</v>
      </c>
      <c r="E203" s="139"/>
      <c r="F203" s="139"/>
      <c r="G203" s="139" t="s">
        <v>612</v>
      </c>
      <c r="H203" s="139"/>
      <c r="I203" s="139" t="s">
        <v>613</v>
      </c>
      <c r="J203" s="139"/>
      <c r="K203" s="140"/>
      <c r="L203" s="140"/>
      <c r="M203" s="140"/>
      <c r="N203" s="141"/>
      <c r="O203" s="142">
        <v>0.49608570000000002</v>
      </c>
      <c r="P203" s="141">
        <v>0.52196460300000003</v>
      </c>
      <c r="Q203" s="141">
        <v>0.66106715155860996</v>
      </c>
      <c r="R203" s="141">
        <v>-1.6572449999999999E-3</v>
      </c>
      <c r="S203" s="146"/>
      <c r="T203" s="146">
        <v>0.757382</v>
      </c>
      <c r="U203" s="146">
        <v>8.9023092301607001E-2</v>
      </c>
      <c r="V203" s="146">
        <v>-3.624676</v>
      </c>
      <c r="W203" s="146">
        <v>6.7228474802671079E-2</v>
      </c>
      <c r="X203" s="144">
        <v>2.7994634</v>
      </c>
      <c r="Y203" s="141">
        <v>0.20005829999999999</v>
      </c>
      <c r="Z203" s="145">
        <v>0.42708374999999998</v>
      </c>
      <c r="AA203" s="145">
        <v>0.42312500000000003</v>
      </c>
    </row>
    <row r="204" spans="1:27" x14ac:dyDescent="0.25">
      <c r="A204" s="136">
        <v>202</v>
      </c>
      <c r="B204" s="147" t="s">
        <v>433</v>
      </c>
      <c r="C204" s="147" t="s">
        <v>434</v>
      </c>
      <c r="D204" s="147"/>
      <c r="E204" s="139"/>
      <c r="F204" s="139"/>
      <c r="G204" s="139" t="s">
        <v>614</v>
      </c>
      <c r="H204" s="139"/>
      <c r="I204" s="139" t="s">
        <v>614</v>
      </c>
      <c r="J204" s="139"/>
      <c r="K204" s="140"/>
      <c r="L204" s="140"/>
      <c r="M204" s="140"/>
      <c r="N204" s="141"/>
      <c r="O204" s="142">
        <v>0.49608570000000002</v>
      </c>
      <c r="P204" s="141">
        <v>0.52196460300000003</v>
      </c>
      <c r="Q204" s="141">
        <v>0.66106715155860996</v>
      </c>
      <c r="R204" s="141">
        <v>-1.6572449999999999E-3</v>
      </c>
      <c r="S204" s="143">
        <v>164</v>
      </c>
      <c r="T204" s="143">
        <v>0.796706841193079</v>
      </c>
      <c r="U204" s="143">
        <v>5.4717818937213988E-2</v>
      </c>
      <c r="V204" s="143">
        <v>-2.68352905495518</v>
      </c>
      <c r="W204" s="143">
        <v>2.5241417081536682E-2</v>
      </c>
      <c r="X204" s="144">
        <v>2.7994634</v>
      </c>
      <c r="Y204" s="141">
        <v>0.20005829999999999</v>
      </c>
      <c r="Z204" s="148">
        <v>0.42708374999999998</v>
      </c>
      <c r="AA204" s="148">
        <v>0.42312500000000003</v>
      </c>
    </row>
    <row r="205" spans="1:27" x14ac:dyDescent="0.25">
      <c r="A205" s="136">
        <v>203</v>
      </c>
      <c r="B205" s="147" t="s">
        <v>433</v>
      </c>
      <c r="C205" s="147" t="s">
        <v>434</v>
      </c>
      <c r="D205" s="147" t="s">
        <v>615</v>
      </c>
      <c r="E205" s="139"/>
      <c r="F205" s="139"/>
      <c r="G205" s="139" t="s">
        <v>616</v>
      </c>
      <c r="H205" s="139">
        <v>193767</v>
      </c>
      <c r="I205" s="139" t="s">
        <v>617</v>
      </c>
      <c r="J205" s="139"/>
      <c r="K205" s="140"/>
      <c r="L205" s="140" t="s">
        <v>618</v>
      </c>
      <c r="M205" s="140" t="s">
        <v>619</v>
      </c>
      <c r="N205" s="141"/>
      <c r="O205" s="142">
        <v>0.49608570000000002</v>
      </c>
      <c r="P205" s="141">
        <v>0.52196460300000003</v>
      </c>
      <c r="Q205" s="141">
        <v>0.66106715155860996</v>
      </c>
      <c r="R205" s="141">
        <v>-1.6572449999999999E-3</v>
      </c>
      <c r="S205" s="146"/>
      <c r="T205" s="146">
        <v>0.757382</v>
      </c>
      <c r="U205" s="146">
        <v>8.9023092301607001E-2</v>
      </c>
      <c r="V205" s="146">
        <v>-3.624676</v>
      </c>
      <c r="W205" s="146">
        <v>6.7228474802671079E-2</v>
      </c>
      <c r="X205" s="144">
        <v>2.7994634</v>
      </c>
      <c r="Y205" s="141">
        <v>0.20005829999999999</v>
      </c>
      <c r="Z205" s="148">
        <v>0.42708374999999998</v>
      </c>
      <c r="AA205" s="148">
        <v>0.42312500000000003</v>
      </c>
    </row>
    <row r="206" spans="1:27" x14ac:dyDescent="0.25">
      <c r="A206" s="136">
        <v>204</v>
      </c>
      <c r="B206" s="147" t="s">
        <v>433</v>
      </c>
      <c r="C206" s="147" t="s">
        <v>434</v>
      </c>
      <c r="D206" s="147"/>
      <c r="E206" s="139"/>
      <c r="F206" s="139"/>
      <c r="G206" s="139" t="s">
        <v>620</v>
      </c>
      <c r="H206" s="139">
        <v>196579</v>
      </c>
      <c r="I206" s="139" t="s">
        <v>621</v>
      </c>
      <c r="J206" s="139"/>
      <c r="K206" s="140" t="s">
        <v>622</v>
      </c>
      <c r="L206" s="140" t="s">
        <v>623</v>
      </c>
      <c r="M206" s="140"/>
      <c r="N206" s="141"/>
      <c r="O206" s="142">
        <v>0.49608570000000002</v>
      </c>
      <c r="P206" s="141">
        <v>0.52196460300000003</v>
      </c>
      <c r="Q206" s="141">
        <v>0.66106715155860996</v>
      </c>
      <c r="R206" s="141">
        <v>-1.6572449999999999E-3</v>
      </c>
      <c r="S206" s="143">
        <v>577</v>
      </c>
      <c r="T206" s="143">
        <v>0.81469589866345804</v>
      </c>
      <c r="U206" s="143">
        <v>3.4659390317150998E-2</v>
      </c>
      <c r="V206" s="143">
        <v>-3.6847888343061399</v>
      </c>
      <c r="W206" s="143">
        <v>3.8637538712879081E-2</v>
      </c>
      <c r="X206" s="144">
        <v>2.7994634</v>
      </c>
      <c r="Y206" s="141">
        <v>0.20005829999999999</v>
      </c>
      <c r="Z206" s="148">
        <v>0.42708374999999998</v>
      </c>
      <c r="AA206" s="148">
        <v>0.42312500000000003</v>
      </c>
    </row>
    <row r="207" spans="1:27" x14ac:dyDescent="0.25">
      <c r="A207" s="136">
        <v>205</v>
      </c>
      <c r="B207" s="149" t="s">
        <v>433</v>
      </c>
      <c r="C207" s="149" t="s">
        <v>434</v>
      </c>
      <c r="D207" s="149" t="s">
        <v>435</v>
      </c>
      <c r="E207" s="139"/>
      <c r="F207" s="139"/>
      <c r="G207" s="152" t="s">
        <v>624</v>
      </c>
      <c r="H207" s="139">
        <v>197334</v>
      </c>
      <c r="I207" s="152" t="s">
        <v>625</v>
      </c>
      <c r="J207" s="139"/>
      <c r="K207" s="140"/>
      <c r="L207" s="140" t="s">
        <v>626</v>
      </c>
      <c r="M207" s="140"/>
      <c r="N207" s="141"/>
      <c r="O207" s="142">
        <v>0.49608570000000002</v>
      </c>
      <c r="P207" s="141">
        <v>0.52196460300000003</v>
      </c>
      <c r="Q207" s="141">
        <v>0.66106715155860996</v>
      </c>
      <c r="R207" s="141">
        <v>-1.6572449999999999E-3</v>
      </c>
      <c r="S207" s="143">
        <v>8556</v>
      </c>
      <c r="T207" s="143">
        <v>0.66067096035320905</v>
      </c>
      <c r="U207" s="143">
        <v>0.12853331502211102</v>
      </c>
      <c r="V207" s="143">
        <v>-3.6504090323060301</v>
      </c>
      <c r="W207" s="143">
        <v>0.10285501387252508</v>
      </c>
      <c r="X207" s="144">
        <v>2.7994634</v>
      </c>
      <c r="Y207" s="141">
        <v>0.20005829999999999</v>
      </c>
      <c r="Z207" s="145">
        <v>0.32</v>
      </c>
      <c r="AA207" s="145">
        <v>0.37</v>
      </c>
    </row>
    <row r="208" spans="1:27" x14ac:dyDescent="0.25">
      <c r="A208" s="136">
        <v>206</v>
      </c>
      <c r="B208" s="154" t="s">
        <v>433</v>
      </c>
      <c r="C208" s="154" t="s">
        <v>434</v>
      </c>
      <c r="D208" s="154" t="s">
        <v>435</v>
      </c>
      <c r="E208" s="139"/>
      <c r="F208" s="139"/>
      <c r="G208" s="155" t="s">
        <v>627</v>
      </c>
      <c r="H208" s="139">
        <v>198461</v>
      </c>
      <c r="I208" s="155" t="s">
        <v>628</v>
      </c>
      <c r="J208" s="139"/>
      <c r="K208" s="140"/>
      <c r="L208" s="140" t="s">
        <v>629</v>
      </c>
      <c r="M208" s="140"/>
      <c r="N208" s="141"/>
      <c r="O208" s="142">
        <v>0.49608570000000002</v>
      </c>
      <c r="P208" s="141">
        <v>0.52196460300000003</v>
      </c>
      <c r="Q208" s="141">
        <v>0.66106715155860996</v>
      </c>
      <c r="R208" s="141">
        <v>-1.6572449999999999E-3</v>
      </c>
      <c r="S208" s="143">
        <v>8398</v>
      </c>
      <c r="T208" s="143">
        <v>0.85731635910327997</v>
      </c>
      <c r="U208" s="143">
        <v>8.6766642226222004E-2</v>
      </c>
      <c r="V208" s="143">
        <v>-4.3423796273494197</v>
      </c>
      <c r="W208" s="143">
        <v>5.5331760334129176E-2</v>
      </c>
      <c r="X208" s="144">
        <v>2.7994634</v>
      </c>
      <c r="Y208" s="141">
        <v>0.20005829999999999</v>
      </c>
      <c r="Z208" s="145">
        <v>0.42188999999999999</v>
      </c>
      <c r="AA208" s="145">
        <v>0.41499999999999998</v>
      </c>
    </row>
    <row r="209" spans="1:27" x14ac:dyDescent="0.25">
      <c r="A209" s="136">
        <v>207</v>
      </c>
      <c r="B209" s="156" t="s">
        <v>630</v>
      </c>
      <c r="C209" s="156" t="s">
        <v>631</v>
      </c>
      <c r="D209" s="156" t="s">
        <v>435</v>
      </c>
      <c r="E209" s="157">
        <v>3</v>
      </c>
      <c r="F209" s="157">
        <v>394</v>
      </c>
      <c r="G209" s="157" t="s">
        <v>632</v>
      </c>
      <c r="H209" s="157">
        <v>116762</v>
      </c>
      <c r="I209" s="157" t="s">
        <v>633</v>
      </c>
      <c r="J209" s="157">
        <v>3548</v>
      </c>
      <c r="K209" s="158" t="s">
        <v>634</v>
      </c>
      <c r="L209" s="158" t="s">
        <v>635</v>
      </c>
      <c r="M209" s="158" t="s">
        <v>636</v>
      </c>
      <c r="N209" s="157">
        <v>111</v>
      </c>
      <c r="O209" s="159">
        <v>0.47705213831723098</v>
      </c>
      <c r="P209" s="157">
        <v>0.51112289425019497</v>
      </c>
      <c r="Q209" s="157">
        <v>0.66106715155860996</v>
      </c>
      <c r="R209" s="157">
        <v>-1.6647869170515099E-3</v>
      </c>
      <c r="S209" s="157">
        <v>723</v>
      </c>
      <c r="T209" s="160">
        <v>0.83976509053116299</v>
      </c>
      <c r="U209" s="160">
        <v>6.4796099971613397E-2</v>
      </c>
      <c r="V209" s="160">
        <v>-4.0214734848220601</v>
      </c>
      <c r="W209" s="160">
        <v>5.6999216827718885E-2</v>
      </c>
      <c r="X209" s="157">
        <v>2.4096113000000003</v>
      </c>
      <c r="Y209" s="157">
        <v>0.20005829999999999</v>
      </c>
      <c r="Z209" s="161">
        <v>0.56000000000000005</v>
      </c>
      <c r="AA209" s="161">
        <v>0.56000000000000005</v>
      </c>
    </row>
    <row r="210" spans="1:27" x14ac:dyDescent="0.25">
      <c r="A210" s="136">
        <v>208</v>
      </c>
      <c r="B210" s="156" t="s">
        <v>630</v>
      </c>
      <c r="C210" s="156" t="s">
        <v>631</v>
      </c>
      <c r="D210" s="156" t="s">
        <v>435</v>
      </c>
      <c r="E210" s="157">
        <v>5</v>
      </c>
      <c r="F210" s="157">
        <v>397</v>
      </c>
      <c r="G210" s="157" t="s">
        <v>637</v>
      </c>
      <c r="H210" s="157">
        <v>116704</v>
      </c>
      <c r="I210" s="157" t="s">
        <v>638</v>
      </c>
      <c r="J210" s="157">
        <v>3543</v>
      </c>
      <c r="K210" s="158" t="s">
        <v>639</v>
      </c>
      <c r="L210" s="158" t="s">
        <v>640</v>
      </c>
      <c r="M210" s="158" t="s">
        <v>641</v>
      </c>
      <c r="N210" s="141"/>
      <c r="O210" s="142">
        <v>0.49608570000000002</v>
      </c>
      <c r="P210" s="141">
        <v>0.52196460300000003</v>
      </c>
      <c r="Q210" s="141">
        <v>0.66106715155860996</v>
      </c>
      <c r="R210" s="141">
        <v>-1.6572449999999999E-3</v>
      </c>
      <c r="S210" s="160">
        <v>6408</v>
      </c>
      <c r="T210" s="160">
        <v>0.78332000471751595</v>
      </c>
      <c r="U210" s="160">
        <v>7.4261788261033412E-2</v>
      </c>
      <c r="V210" s="160">
        <v>-2.8576942589267</v>
      </c>
      <c r="W210" s="160">
        <v>4.5235260042562182E-2</v>
      </c>
      <c r="X210" s="144">
        <v>2.4096113000000003</v>
      </c>
      <c r="Y210" s="141">
        <v>0.20005829999999999</v>
      </c>
      <c r="Z210" s="161">
        <v>0.82</v>
      </c>
      <c r="AA210" s="161">
        <v>0.73</v>
      </c>
    </row>
    <row r="211" spans="1:27" x14ac:dyDescent="0.25">
      <c r="A211" s="136">
        <v>209</v>
      </c>
      <c r="B211" s="156" t="s">
        <v>630</v>
      </c>
      <c r="C211" s="156" t="s">
        <v>631</v>
      </c>
      <c r="D211" s="156" t="s">
        <v>435</v>
      </c>
      <c r="E211" s="157">
        <v>10</v>
      </c>
      <c r="F211" s="157">
        <v>383</v>
      </c>
      <c r="G211" s="157" t="s">
        <v>642</v>
      </c>
      <c r="H211" s="157">
        <v>89304</v>
      </c>
      <c r="I211" s="157" t="s">
        <v>643</v>
      </c>
      <c r="J211" s="157">
        <v>954</v>
      </c>
      <c r="K211" s="158">
        <v>10</v>
      </c>
      <c r="L211" s="158" t="s">
        <v>644</v>
      </c>
      <c r="M211" s="158" t="s">
        <v>645</v>
      </c>
      <c r="N211" s="141"/>
      <c r="O211" s="142">
        <v>0.49608570000000002</v>
      </c>
      <c r="P211" s="141">
        <v>0.52196460300000003</v>
      </c>
      <c r="Q211" s="141">
        <v>0.66106715155860996</v>
      </c>
      <c r="R211" s="141">
        <v>-1.6572449999999999E-3</v>
      </c>
      <c r="S211" s="160">
        <v>59300</v>
      </c>
      <c r="T211" s="160">
        <v>0.66166834944902098</v>
      </c>
      <c r="U211" s="160">
        <v>0.1031190326368234</v>
      </c>
      <c r="V211" s="160">
        <v>-2.5407335386877299</v>
      </c>
      <c r="W211" s="160">
        <v>8.1687218131612782E-2</v>
      </c>
      <c r="X211" s="144">
        <v>2.4096113000000003</v>
      </c>
      <c r="Y211" s="141">
        <v>0.20005829999999999</v>
      </c>
      <c r="Z211" s="161">
        <v>0.44</v>
      </c>
      <c r="AA211" s="161">
        <v>0.47</v>
      </c>
    </row>
    <row r="212" spans="1:27" x14ac:dyDescent="0.25">
      <c r="A212" s="136">
        <v>210</v>
      </c>
      <c r="B212" s="162" t="s">
        <v>630</v>
      </c>
      <c r="C212" s="162" t="s">
        <v>631</v>
      </c>
      <c r="D212" s="162" t="s">
        <v>611</v>
      </c>
      <c r="E212" s="157"/>
      <c r="F212" s="157"/>
      <c r="G212" s="157" t="s">
        <v>646</v>
      </c>
      <c r="H212" s="157"/>
      <c r="I212" s="157" t="s">
        <v>647</v>
      </c>
      <c r="J212" s="157"/>
      <c r="K212" s="158"/>
      <c r="L212" s="158"/>
      <c r="M212" s="158"/>
      <c r="N212" s="141"/>
      <c r="O212" s="142">
        <v>0.49608570000000002</v>
      </c>
      <c r="P212" s="141">
        <v>0.52196460300000003</v>
      </c>
      <c r="Q212" s="141">
        <v>0.66106715155860996</v>
      </c>
      <c r="R212" s="141">
        <v>-1.6572449999999999E-3</v>
      </c>
      <c r="S212" s="146"/>
      <c r="T212" s="146">
        <v>0.757382</v>
      </c>
      <c r="U212" s="146">
        <v>9.1104119270983414E-2</v>
      </c>
      <c r="V212" s="146">
        <v>-3.624676</v>
      </c>
      <c r="W212" s="146">
        <v>6.7228474802671079E-2</v>
      </c>
      <c r="X212" s="144">
        <v>2.4096113000000003</v>
      </c>
      <c r="Y212" s="141">
        <v>0.20005829999999999</v>
      </c>
      <c r="Z212" s="161">
        <v>0.60666666666666669</v>
      </c>
      <c r="AA212" s="161">
        <v>0.58666666666666667</v>
      </c>
    </row>
    <row r="213" spans="1:27" x14ac:dyDescent="0.25">
      <c r="A213" s="136">
        <v>211</v>
      </c>
      <c r="B213" s="163" t="s">
        <v>630</v>
      </c>
      <c r="C213" s="163" t="s">
        <v>648</v>
      </c>
      <c r="D213" s="163"/>
      <c r="E213" s="164">
        <v>1</v>
      </c>
      <c r="F213" s="164">
        <v>392</v>
      </c>
      <c r="G213" s="164" t="s">
        <v>388</v>
      </c>
      <c r="H213" s="164">
        <v>139596</v>
      </c>
      <c r="I213" s="164" t="s">
        <v>649</v>
      </c>
      <c r="J213" s="164">
        <v>3546</v>
      </c>
      <c r="K213" s="165" t="s">
        <v>650</v>
      </c>
      <c r="L213" s="165" t="s">
        <v>69</v>
      </c>
      <c r="M213" s="165" t="s">
        <v>651</v>
      </c>
      <c r="N213" s="164">
        <v>2079</v>
      </c>
      <c r="O213" s="166">
        <v>0.51202918129707098</v>
      </c>
      <c r="P213" s="164">
        <v>0.56104230804168298</v>
      </c>
      <c r="Q213" s="164">
        <v>0.66106715155860996</v>
      </c>
      <c r="R213" s="164">
        <v>-2.3506074795573801E-3</v>
      </c>
      <c r="S213" s="167">
        <v>114034</v>
      </c>
      <c r="T213" s="167">
        <v>0.89821056360732199</v>
      </c>
      <c r="U213" s="167">
        <v>6.6947004368685115E-2</v>
      </c>
      <c r="V213" s="167">
        <v>-4.0587285540406297</v>
      </c>
      <c r="W213" s="167">
        <v>2.4523428928112184E-2</v>
      </c>
      <c r="X213" s="164">
        <v>2.4096113000000003</v>
      </c>
      <c r="Y213" s="164">
        <v>0.20005829999999999</v>
      </c>
      <c r="Z213" s="168">
        <v>0.55964999999999998</v>
      </c>
      <c r="AA213" s="168">
        <v>0.56999999999999995</v>
      </c>
    </row>
    <row r="214" spans="1:27" x14ac:dyDescent="0.25">
      <c r="A214" s="136">
        <v>212</v>
      </c>
      <c r="B214" s="163" t="s">
        <v>630</v>
      </c>
      <c r="C214" s="163" t="s">
        <v>648</v>
      </c>
      <c r="D214" s="163"/>
      <c r="E214" s="164">
        <v>2</v>
      </c>
      <c r="F214" s="164">
        <v>395</v>
      </c>
      <c r="G214" s="164" t="s">
        <v>389</v>
      </c>
      <c r="H214" s="164">
        <v>139584</v>
      </c>
      <c r="I214" s="164" t="s">
        <v>652</v>
      </c>
      <c r="J214" s="164">
        <v>3549</v>
      </c>
      <c r="K214" s="165" t="s">
        <v>653</v>
      </c>
      <c r="L214" s="165" t="s">
        <v>17</v>
      </c>
      <c r="M214" s="165" t="s">
        <v>654</v>
      </c>
      <c r="N214" s="164">
        <v>2079</v>
      </c>
      <c r="O214" s="166">
        <v>0.51202918129707098</v>
      </c>
      <c r="P214" s="164">
        <v>0.56104230804168298</v>
      </c>
      <c r="Q214" s="164">
        <v>0.66106715155860996</v>
      </c>
      <c r="R214" s="164">
        <v>-2.3506074795573801E-3</v>
      </c>
      <c r="S214" s="167">
        <v>97169</v>
      </c>
      <c r="T214" s="167">
        <v>0.90954561504142795</v>
      </c>
      <c r="U214" s="167">
        <v>6.9981567319617105E-2</v>
      </c>
      <c r="V214" s="167">
        <v>-4.24117035097085</v>
      </c>
      <c r="W214" s="167">
        <v>2.8518728146522981E-2</v>
      </c>
      <c r="X214" s="164">
        <v>2.4096113000000003</v>
      </c>
      <c r="Y214" s="164">
        <v>0.20005829999999999</v>
      </c>
      <c r="Z214" s="168">
        <v>0.55964999999999998</v>
      </c>
      <c r="AA214" s="168">
        <v>0.55000000000000004</v>
      </c>
    </row>
    <row r="215" spans="1:27" x14ac:dyDescent="0.25">
      <c r="A215" s="136">
        <v>213</v>
      </c>
      <c r="B215" s="163" t="s">
        <v>630</v>
      </c>
      <c r="C215" s="163" t="s">
        <v>648</v>
      </c>
      <c r="D215" s="163"/>
      <c r="E215" s="164">
        <v>4</v>
      </c>
      <c r="F215" s="164">
        <v>393</v>
      </c>
      <c r="G215" s="164" t="s">
        <v>655</v>
      </c>
      <c r="H215" s="164">
        <v>116751</v>
      </c>
      <c r="I215" s="164" t="s">
        <v>656</v>
      </c>
      <c r="J215" s="164">
        <v>3544</v>
      </c>
      <c r="K215" s="165" t="s">
        <v>657</v>
      </c>
      <c r="L215" s="165" t="s">
        <v>658</v>
      </c>
      <c r="M215" s="165" t="s">
        <v>659</v>
      </c>
      <c r="N215" s="141"/>
      <c r="O215" s="142">
        <v>0.49608570000000002</v>
      </c>
      <c r="P215" s="141">
        <v>0.52196460300000003</v>
      </c>
      <c r="Q215" s="141">
        <v>0.66106715155860996</v>
      </c>
      <c r="R215" s="141">
        <v>-1.6572449999999999E-3</v>
      </c>
      <c r="S215" s="167">
        <v>36543</v>
      </c>
      <c r="T215" s="167">
        <v>0.77968136916833497</v>
      </c>
      <c r="U215" s="167">
        <v>9.6474361409816106E-2</v>
      </c>
      <c r="V215" s="167">
        <v>-3.2290435458858302</v>
      </c>
      <c r="W215" s="167">
        <v>5.563988286133878E-2</v>
      </c>
      <c r="X215" s="144">
        <v>2.4096113000000003</v>
      </c>
      <c r="Y215" s="141">
        <v>0.20005829999999999</v>
      </c>
      <c r="Z215" s="148">
        <v>0.61732500000000001</v>
      </c>
      <c r="AA215" s="168">
        <v>0.6</v>
      </c>
    </row>
    <row r="216" spans="1:27" x14ac:dyDescent="0.25">
      <c r="A216" s="136">
        <v>214</v>
      </c>
      <c r="B216" s="169" t="s">
        <v>630</v>
      </c>
      <c r="C216" s="169" t="s">
        <v>648</v>
      </c>
      <c r="D216" s="169" t="s">
        <v>435</v>
      </c>
      <c r="E216" s="164">
        <v>6</v>
      </c>
      <c r="F216" s="164">
        <v>396</v>
      </c>
      <c r="G216" s="164" t="s">
        <v>660</v>
      </c>
      <c r="H216" s="164">
        <v>116754</v>
      </c>
      <c r="I216" s="164" t="s">
        <v>661</v>
      </c>
      <c r="J216" s="164">
        <v>3551</v>
      </c>
      <c r="K216" s="165" t="s">
        <v>662</v>
      </c>
      <c r="L216" s="165" t="s">
        <v>663</v>
      </c>
      <c r="M216" s="165" t="s">
        <v>664</v>
      </c>
      <c r="N216" s="141"/>
      <c r="O216" s="142">
        <v>0.49608570000000002</v>
      </c>
      <c r="P216" s="141">
        <v>0.52196460300000003</v>
      </c>
      <c r="Q216" s="141">
        <v>0.66106715155860996</v>
      </c>
      <c r="R216" s="141">
        <v>-1.6572449999999999E-3</v>
      </c>
      <c r="S216" s="167">
        <v>1986</v>
      </c>
      <c r="T216" s="167">
        <v>0.81204214073666603</v>
      </c>
      <c r="U216" s="167">
        <v>7.7551591754385085E-2</v>
      </c>
      <c r="V216" s="167">
        <v>-3.3903178845053001</v>
      </c>
      <c r="W216" s="167">
        <v>4.2167802309813582E-2</v>
      </c>
      <c r="X216" s="144">
        <v>2.4096113000000003</v>
      </c>
      <c r="Y216" s="141">
        <v>0.20005829999999999</v>
      </c>
      <c r="Z216" s="148">
        <v>0.61732500000000001</v>
      </c>
      <c r="AA216" s="168">
        <v>0.84</v>
      </c>
    </row>
    <row r="217" spans="1:27" x14ac:dyDescent="0.25">
      <c r="A217" s="136">
        <v>215</v>
      </c>
      <c r="B217" s="170" t="s">
        <v>630</v>
      </c>
      <c r="C217" s="170" t="s">
        <v>648</v>
      </c>
      <c r="D217" s="170"/>
      <c r="E217" s="164">
        <v>20</v>
      </c>
      <c r="F217" s="164">
        <v>1198</v>
      </c>
      <c r="G217" s="164" t="s">
        <v>665</v>
      </c>
      <c r="H217" s="164">
        <v>89468</v>
      </c>
      <c r="I217" s="164" t="s">
        <v>666</v>
      </c>
      <c r="J217" s="164">
        <v>964</v>
      </c>
      <c r="K217" s="165">
        <v>16</v>
      </c>
      <c r="L217" s="165" t="s">
        <v>667</v>
      </c>
      <c r="M217" s="165" t="s">
        <v>668</v>
      </c>
      <c r="N217" s="141"/>
      <c r="O217" s="142">
        <v>0.49608570000000002</v>
      </c>
      <c r="P217" s="141">
        <v>0.52196460300000003</v>
      </c>
      <c r="Q217" s="141">
        <v>0.66106715155860996</v>
      </c>
      <c r="R217" s="141">
        <v>-1.6572449999999999E-3</v>
      </c>
      <c r="S217" s="146"/>
      <c r="T217" s="146">
        <v>0.757382</v>
      </c>
      <c r="U217" s="146">
        <v>0.1037222157110981</v>
      </c>
      <c r="V217" s="146">
        <v>-3.624676</v>
      </c>
      <c r="W217" s="146">
        <v>6.7228474802671079E-2</v>
      </c>
      <c r="X217" s="144">
        <v>2.4096113000000003</v>
      </c>
      <c r="Y217" s="141">
        <v>0.20005829999999999</v>
      </c>
      <c r="Z217" s="148">
        <v>0.61732500000000001</v>
      </c>
      <c r="AA217" s="148">
        <v>0.64166666666666661</v>
      </c>
    </row>
    <row r="218" spans="1:27" x14ac:dyDescent="0.25">
      <c r="A218" s="136">
        <v>216</v>
      </c>
      <c r="B218" s="169" t="s">
        <v>630</v>
      </c>
      <c r="C218" s="169" t="s">
        <v>648</v>
      </c>
      <c r="D218" s="169" t="s">
        <v>435</v>
      </c>
      <c r="E218" s="164">
        <v>94</v>
      </c>
      <c r="F218" s="164">
        <v>385</v>
      </c>
      <c r="G218" s="164" t="s">
        <v>669</v>
      </c>
      <c r="H218" s="164">
        <v>116670</v>
      </c>
      <c r="I218" s="164" t="s">
        <v>670</v>
      </c>
      <c r="J218" s="164">
        <v>3540</v>
      </c>
      <c r="K218" s="165">
        <v>34</v>
      </c>
      <c r="L218" s="165" t="s">
        <v>671</v>
      </c>
      <c r="M218" s="165" t="s">
        <v>672</v>
      </c>
      <c r="N218" s="141"/>
      <c r="O218" s="142">
        <v>0.49608570000000002</v>
      </c>
      <c r="P218" s="141">
        <v>0.56104230804168298</v>
      </c>
      <c r="Q218" s="141">
        <v>0.66106715155860996</v>
      </c>
      <c r="R218" s="141">
        <v>-2.3506074795573801E-3</v>
      </c>
      <c r="S218" s="164">
        <v>183</v>
      </c>
      <c r="T218" s="167">
        <v>0.81997648598718498</v>
      </c>
      <c r="U218" s="167">
        <v>5.9174352210382107E-2</v>
      </c>
      <c r="V218" s="167">
        <v>-3.67762744626345</v>
      </c>
      <c r="W218" s="167">
        <v>4.0606069746898781E-2</v>
      </c>
      <c r="X218" s="144">
        <v>2.4096113000000003</v>
      </c>
      <c r="Y218" s="141">
        <v>0.20005829999999999</v>
      </c>
      <c r="Z218" s="148">
        <v>0.61732500000000001</v>
      </c>
      <c r="AA218" s="148">
        <v>0.64166666666666661</v>
      </c>
    </row>
    <row r="219" spans="1:27" x14ac:dyDescent="0.25">
      <c r="A219" s="136">
        <v>217</v>
      </c>
      <c r="B219" s="163" t="s">
        <v>630</v>
      </c>
      <c r="C219" s="170" t="s">
        <v>648</v>
      </c>
      <c r="D219" s="170"/>
      <c r="E219" s="164">
        <v>7</v>
      </c>
      <c r="F219" s="164">
        <v>388</v>
      </c>
      <c r="G219" s="164" t="s">
        <v>673</v>
      </c>
      <c r="H219" s="164">
        <v>116677</v>
      </c>
      <c r="I219" s="164" t="s">
        <v>674</v>
      </c>
      <c r="J219" s="164">
        <v>3547</v>
      </c>
      <c r="K219" s="165" t="s">
        <v>675</v>
      </c>
      <c r="L219" s="165"/>
      <c r="M219" s="165"/>
      <c r="N219" s="164">
        <v>2079</v>
      </c>
      <c r="O219" s="166">
        <v>0.51202918129707098</v>
      </c>
      <c r="P219" s="164">
        <v>0.56104230804168298</v>
      </c>
      <c r="Q219" s="164">
        <v>0.66106715155860996</v>
      </c>
      <c r="R219" s="164">
        <v>-2.3506074795573801E-3</v>
      </c>
      <c r="S219" s="146"/>
      <c r="T219" s="146">
        <v>0.757382</v>
      </c>
      <c r="U219" s="146">
        <v>0.1037222157110981</v>
      </c>
      <c r="V219" s="146">
        <v>-3.624676</v>
      </c>
      <c r="W219" s="146">
        <v>6.7228474802671079E-2</v>
      </c>
      <c r="X219" s="164">
        <v>2.4096113000000003</v>
      </c>
      <c r="Y219" s="164">
        <v>0.20005829999999999</v>
      </c>
      <c r="Z219" s="168">
        <v>0.55964999999999998</v>
      </c>
      <c r="AA219" s="148">
        <v>0.56000000000000005</v>
      </c>
    </row>
    <row r="220" spans="1:27" x14ac:dyDescent="0.25">
      <c r="A220" s="136">
        <v>218</v>
      </c>
      <c r="B220" s="169" t="s">
        <v>630</v>
      </c>
      <c r="C220" s="169" t="s">
        <v>648</v>
      </c>
      <c r="D220" s="169" t="s">
        <v>435</v>
      </c>
      <c r="E220" s="164">
        <v>8</v>
      </c>
      <c r="F220" s="164">
        <v>391</v>
      </c>
      <c r="G220" s="164" t="s">
        <v>676</v>
      </c>
      <c r="H220" s="164">
        <v>116774</v>
      </c>
      <c r="I220" s="164" t="s">
        <v>677</v>
      </c>
      <c r="J220" s="164">
        <v>3550</v>
      </c>
      <c r="K220" s="165" t="s">
        <v>678</v>
      </c>
      <c r="L220" s="165" t="s">
        <v>679</v>
      </c>
      <c r="M220" s="165" t="s">
        <v>680</v>
      </c>
      <c r="N220" s="141"/>
      <c r="O220" s="142">
        <v>0.49608570000000002</v>
      </c>
      <c r="P220" s="141">
        <v>0.52196460300000003</v>
      </c>
      <c r="Q220" s="141">
        <v>0.66106715155860996</v>
      </c>
      <c r="R220" s="141">
        <v>-1.6572449999999999E-3</v>
      </c>
      <c r="S220" s="167">
        <v>718</v>
      </c>
      <c r="T220" s="167">
        <v>0.79204926213816795</v>
      </c>
      <c r="U220" s="167">
        <v>5.08075541338441E-2</v>
      </c>
      <c r="V220" s="167">
        <v>-1.8303390973514899</v>
      </c>
      <c r="W220" s="167">
        <v>-5.1948344004546102E-3</v>
      </c>
      <c r="X220" s="144">
        <v>2.4096113000000003</v>
      </c>
      <c r="Y220" s="141">
        <v>0.20005829999999999</v>
      </c>
      <c r="Z220" s="168">
        <v>0.77</v>
      </c>
      <c r="AA220" s="168">
        <v>0.71</v>
      </c>
    </row>
    <row r="221" spans="1:27" x14ac:dyDescent="0.25">
      <c r="A221" s="136">
        <v>219</v>
      </c>
      <c r="B221" s="163" t="s">
        <v>630</v>
      </c>
      <c r="C221" s="163" t="s">
        <v>648</v>
      </c>
      <c r="D221" s="163"/>
      <c r="E221" s="164">
        <v>74</v>
      </c>
      <c r="F221" s="164">
        <v>387</v>
      </c>
      <c r="G221" s="164" t="s">
        <v>681</v>
      </c>
      <c r="H221" s="164">
        <v>159897</v>
      </c>
      <c r="I221" s="164" t="s">
        <v>682</v>
      </c>
      <c r="J221" s="164">
        <v>3542</v>
      </c>
      <c r="K221" s="165" t="s">
        <v>683</v>
      </c>
      <c r="L221" s="165" t="s">
        <v>684</v>
      </c>
      <c r="M221" s="165" t="s">
        <v>685</v>
      </c>
      <c r="N221" s="164">
        <v>2079</v>
      </c>
      <c r="O221" s="166">
        <v>0.51202918129707098</v>
      </c>
      <c r="P221" s="164">
        <v>0.56104230804168298</v>
      </c>
      <c r="Q221" s="164">
        <v>0.66106715155860996</v>
      </c>
      <c r="R221" s="164">
        <v>-2.3506074795573801E-3</v>
      </c>
      <c r="S221" s="146"/>
      <c r="T221" s="146">
        <v>0.757382</v>
      </c>
      <c r="U221" s="146">
        <v>0.1037222157110981</v>
      </c>
      <c r="V221" s="146">
        <v>-3.624676</v>
      </c>
      <c r="W221" s="146">
        <v>6.7228474802671079E-2</v>
      </c>
      <c r="X221" s="164">
        <v>2.4096113000000003</v>
      </c>
      <c r="Y221" s="164">
        <v>0.20005829999999999</v>
      </c>
      <c r="Z221" s="168">
        <v>0.55964999999999998</v>
      </c>
      <c r="AA221" s="148">
        <v>0.56000000000000005</v>
      </c>
    </row>
    <row r="222" spans="1:27" x14ac:dyDescent="0.25">
      <c r="A222" s="136">
        <v>220</v>
      </c>
      <c r="B222" s="169" t="s">
        <v>630</v>
      </c>
      <c r="C222" s="169" t="s">
        <v>648</v>
      </c>
      <c r="D222" s="169" t="s">
        <v>435</v>
      </c>
      <c r="E222" s="164">
        <v>75</v>
      </c>
      <c r="F222" s="164">
        <v>386</v>
      </c>
      <c r="G222" s="164" t="s">
        <v>686</v>
      </c>
      <c r="H222" s="164">
        <v>116740</v>
      </c>
      <c r="I222" s="164" t="s">
        <v>687</v>
      </c>
      <c r="J222" s="164">
        <v>3545</v>
      </c>
      <c r="K222" s="165" t="s">
        <v>688</v>
      </c>
      <c r="L222" s="165" t="s">
        <v>689</v>
      </c>
      <c r="M222" s="165" t="s">
        <v>690</v>
      </c>
      <c r="N222" s="164">
        <v>27</v>
      </c>
      <c r="O222" s="166">
        <v>0.47860843885131099</v>
      </c>
      <c r="P222" s="164">
        <v>0.51345508387185201</v>
      </c>
      <c r="Q222" s="164">
        <v>0.66106715155860996</v>
      </c>
      <c r="R222" s="164">
        <v>-2.13372226924474E-3</v>
      </c>
      <c r="S222" s="146"/>
      <c r="T222" s="146">
        <v>0.757382</v>
      </c>
      <c r="U222" s="146">
        <v>0.1037222157110981</v>
      </c>
      <c r="V222" s="146">
        <v>-3.624676</v>
      </c>
      <c r="W222" s="146">
        <v>6.7228474802671079E-2</v>
      </c>
      <c r="X222" s="164">
        <v>2.4096113000000003</v>
      </c>
      <c r="Y222" s="164">
        <v>0.20005829999999999</v>
      </c>
      <c r="Z222" s="168">
        <v>0.57999999999999996</v>
      </c>
      <c r="AA222" s="168">
        <v>0.57999999999999996</v>
      </c>
    </row>
    <row r="223" spans="1:27" x14ac:dyDescent="0.25">
      <c r="A223" s="136">
        <v>221</v>
      </c>
      <c r="B223" s="170" t="s">
        <v>630</v>
      </c>
      <c r="C223" s="170" t="s">
        <v>648</v>
      </c>
      <c r="D223" s="170"/>
      <c r="E223" s="164">
        <v>120</v>
      </c>
      <c r="F223" s="164">
        <v>1237</v>
      </c>
      <c r="G223" s="164" t="s">
        <v>691</v>
      </c>
      <c r="H223" s="164">
        <v>108810</v>
      </c>
      <c r="I223" s="164" t="s">
        <v>692</v>
      </c>
      <c r="J223" s="164">
        <v>2832</v>
      </c>
      <c r="K223" s="165" t="s">
        <v>693</v>
      </c>
      <c r="L223" s="165" t="s">
        <v>694</v>
      </c>
      <c r="M223" s="165" t="s">
        <v>695</v>
      </c>
      <c r="N223" s="141"/>
      <c r="O223" s="142">
        <v>0.49608570000000002</v>
      </c>
      <c r="P223" s="141">
        <v>0.52196460300000003</v>
      </c>
      <c r="Q223" s="141">
        <v>0.66106715155860996</v>
      </c>
      <c r="R223" s="141">
        <v>-1.6572449999999999E-3</v>
      </c>
      <c r="S223" s="167">
        <v>4</v>
      </c>
      <c r="T223" s="167">
        <v>0.80969374215100498</v>
      </c>
      <c r="U223" s="167">
        <v>7.4428430741464102E-2</v>
      </c>
      <c r="V223" s="167">
        <v>-3.1383375036276102</v>
      </c>
      <c r="W223" s="167">
        <v>3.7258783055734983E-2</v>
      </c>
      <c r="X223" s="144">
        <v>2.4096113000000003</v>
      </c>
      <c r="Y223" s="141">
        <v>0.20005829999999999</v>
      </c>
      <c r="Z223" s="148">
        <v>0.61732500000000001</v>
      </c>
      <c r="AA223" s="148">
        <v>0.64166666666666661</v>
      </c>
    </row>
    <row r="224" spans="1:27" x14ac:dyDescent="0.25">
      <c r="A224" s="136">
        <v>222</v>
      </c>
      <c r="B224" s="163" t="s">
        <v>630</v>
      </c>
      <c r="C224" s="163" t="s">
        <v>648</v>
      </c>
      <c r="D224" s="163"/>
      <c r="E224" s="164">
        <v>121</v>
      </c>
      <c r="F224" s="164">
        <v>1238</v>
      </c>
      <c r="G224" s="164" t="s">
        <v>696</v>
      </c>
      <c r="H224" s="164">
        <v>86817</v>
      </c>
      <c r="I224" s="164" t="s">
        <v>697</v>
      </c>
      <c r="J224" s="164">
        <v>675</v>
      </c>
      <c r="K224" s="165" t="s">
        <v>698</v>
      </c>
      <c r="L224" s="165"/>
      <c r="M224" s="165"/>
      <c r="N224" s="141"/>
      <c r="O224" s="142">
        <v>0.49608570000000002</v>
      </c>
      <c r="P224" s="141">
        <v>0.52196460300000003</v>
      </c>
      <c r="Q224" s="141">
        <v>0.66106715155860996</v>
      </c>
      <c r="R224" s="141">
        <v>-1.6572449999999999E-3</v>
      </c>
      <c r="S224" s="146"/>
      <c r="T224" s="146">
        <v>0.757382</v>
      </c>
      <c r="U224" s="146">
        <v>0.1037222157110981</v>
      </c>
      <c r="V224" s="146">
        <v>-3.624676</v>
      </c>
      <c r="W224" s="146">
        <v>6.7228474802671079E-2</v>
      </c>
      <c r="X224" s="144">
        <v>2.4096113000000003</v>
      </c>
      <c r="Y224" s="141">
        <v>0.20005829999999999</v>
      </c>
      <c r="Z224" s="168">
        <v>0.61732500000000001</v>
      </c>
      <c r="AA224" s="168">
        <v>0.64166666666666661</v>
      </c>
    </row>
    <row r="225" spans="1:27" x14ac:dyDescent="0.25">
      <c r="A225" s="136">
        <v>223</v>
      </c>
      <c r="B225" s="163" t="s">
        <v>630</v>
      </c>
      <c r="C225" s="163" t="s">
        <v>648</v>
      </c>
      <c r="D225" s="163"/>
      <c r="E225" s="164">
        <v>122</v>
      </c>
      <c r="F225" s="164">
        <v>1240</v>
      </c>
      <c r="G225" s="164" t="s">
        <v>699</v>
      </c>
      <c r="H225" s="164">
        <v>108822</v>
      </c>
      <c r="I225" s="164" t="s">
        <v>700</v>
      </c>
      <c r="J225" s="164">
        <v>2833</v>
      </c>
      <c r="K225" s="165" t="s">
        <v>701</v>
      </c>
      <c r="L225" s="165" t="s">
        <v>702</v>
      </c>
      <c r="M225" s="165" t="s">
        <v>703</v>
      </c>
      <c r="N225" s="141"/>
      <c r="O225" s="142">
        <v>0.49608570000000002</v>
      </c>
      <c r="P225" s="141">
        <v>0.52196460300000003</v>
      </c>
      <c r="Q225" s="141">
        <v>0.66106715155860996</v>
      </c>
      <c r="R225" s="141">
        <v>-1.6572449999999999E-3</v>
      </c>
      <c r="S225" s="146"/>
      <c r="T225" s="146">
        <v>0.757382</v>
      </c>
      <c r="U225" s="146">
        <v>0.1037222157110981</v>
      </c>
      <c r="V225" s="146">
        <v>-3.624676</v>
      </c>
      <c r="W225" s="146">
        <v>6.7228474802671079E-2</v>
      </c>
      <c r="X225" s="144">
        <v>2.4096113000000003</v>
      </c>
      <c r="Y225" s="141">
        <v>0.20005829999999999</v>
      </c>
      <c r="Z225" s="148">
        <v>0.61732500000000001</v>
      </c>
      <c r="AA225" s="148">
        <v>0.64166666666666661</v>
      </c>
    </row>
    <row r="226" spans="1:27" x14ac:dyDescent="0.25">
      <c r="A226" s="136">
        <v>224</v>
      </c>
      <c r="B226" s="163" t="s">
        <v>630</v>
      </c>
      <c r="C226" s="163" t="s">
        <v>648</v>
      </c>
      <c r="D226" s="163" t="s">
        <v>611</v>
      </c>
      <c r="E226" s="164"/>
      <c r="F226" s="164"/>
      <c r="G226" s="164" t="s">
        <v>704</v>
      </c>
      <c r="H226" s="164"/>
      <c r="I226" s="164" t="s">
        <v>705</v>
      </c>
      <c r="J226" s="164"/>
      <c r="K226" s="165"/>
      <c r="L226" s="165"/>
      <c r="M226" s="165"/>
      <c r="N226" s="141"/>
      <c r="O226" s="142">
        <v>0.49608570000000002</v>
      </c>
      <c r="P226" s="141">
        <v>0.52196460300000003</v>
      </c>
      <c r="Q226" s="141">
        <v>0.66106715155860996</v>
      </c>
      <c r="R226" s="141">
        <v>-1.6572449999999999E-3</v>
      </c>
      <c r="S226" s="146"/>
      <c r="T226" s="146">
        <v>0.757382</v>
      </c>
      <c r="U226" s="146">
        <v>0.1037222157110981</v>
      </c>
      <c r="V226" s="146">
        <v>-3.624676</v>
      </c>
      <c r="W226" s="146">
        <v>6.7228474802671079E-2</v>
      </c>
      <c r="X226" s="144">
        <v>2.4096113000000003</v>
      </c>
      <c r="Y226" s="141">
        <v>0.20005829999999999</v>
      </c>
      <c r="Z226" s="168">
        <v>0.61732500000000001</v>
      </c>
      <c r="AA226" s="168">
        <v>0.64166666666666661</v>
      </c>
    </row>
    <row r="227" spans="1:27" x14ac:dyDescent="0.25">
      <c r="A227" s="136">
        <v>225</v>
      </c>
      <c r="B227" s="163" t="s">
        <v>630</v>
      </c>
      <c r="C227" s="163" t="s">
        <v>648</v>
      </c>
      <c r="D227" s="163" t="s">
        <v>615</v>
      </c>
      <c r="E227" s="164"/>
      <c r="F227" s="164"/>
      <c r="G227" s="164" t="s">
        <v>706</v>
      </c>
      <c r="H227" s="164">
        <v>194913</v>
      </c>
      <c r="I227" s="164" t="s">
        <v>707</v>
      </c>
      <c r="J227" s="164"/>
      <c r="K227" s="165"/>
      <c r="L227" s="165"/>
      <c r="M227" s="165"/>
      <c r="N227" s="141"/>
      <c r="O227" s="142">
        <v>0.49608570000000002</v>
      </c>
      <c r="P227" s="141">
        <v>0.52196460300000003</v>
      </c>
      <c r="Q227" s="141">
        <v>0.66106715155860996</v>
      </c>
      <c r="R227" s="141">
        <v>-1.6572449999999999E-3</v>
      </c>
      <c r="S227" s="146"/>
      <c r="T227" s="146">
        <v>0.757382</v>
      </c>
      <c r="U227" s="146">
        <v>0.1037222157110981</v>
      </c>
      <c r="V227" s="146">
        <v>-3.624676</v>
      </c>
      <c r="W227" s="146">
        <v>6.7228474802671079E-2</v>
      </c>
      <c r="X227" s="144">
        <v>2.4096113000000003</v>
      </c>
      <c r="Y227" s="141">
        <v>0.20005829999999999</v>
      </c>
      <c r="Z227" s="148">
        <v>0.61732500000000001</v>
      </c>
      <c r="AA227" s="148">
        <v>0.64166666666666661</v>
      </c>
    </row>
    <row r="228" spans="1:27" x14ac:dyDescent="0.25">
      <c r="A228" s="136">
        <v>226</v>
      </c>
      <c r="B228" s="163" t="s">
        <v>630</v>
      </c>
      <c r="C228" s="163" t="s">
        <v>648</v>
      </c>
      <c r="D228" s="163"/>
      <c r="E228" s="164"/>
      <c r="F228" s="164"/>
      <c r="G228" s="164" t="s">
        <v>708</v>
      </c>
      <c r="H228" s="164">
        <v>197006</v>
      </c>
      <c r="I228" s="164" t="s">
        <v>709</v>
      </c>
      <c r="J228" s="164"/>
      <c r="K228" s="165"/>
      <c r="L228" s="165" t="s">
        <v>710</v>
      </c>
      <c r="M228" s="165"/>
      <c r="N228" s="164">
        <v>2079</v>
      </c>
      <c r="O228" s="166">
        <v>0.51202918129707098</v>
      </c>
      <c r="P228" s="164">
        <v>0.56104230804168298</v>
      </c>
      <c r="Q228" s="164">
        <v>0.66106715155860996</v>
      </c>
      <c r="R228" s="164">
        <v>-2.3506074795573801E-3</v>
      </c>
      <c r="S228" s="146"/>
      <c r="T228" s="146">
        <v>0.757382</v>
      </c>
      <c r="U228" s="146">
        <v>0.1037222157110981</v>
      </c>
      <c r="V228" s="146">
        <v>-3.624676</v>
      </c>
      <c r="W228" s="146">
        <v>6.7228474802671079E-2</v>
      </c>
      <c r="X228" s="164">
        <v>2.4096113000000003</v>
      </c>
      <c r="Y228" s="164">
        <v>0.20005829999999999</v>
      </c>
      <c r="Z228" s="168">
        <v>0.55964999999999998</v>
      </c>
      <c r="AA228" s="148">
        <v>0.56000000000000005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8"/>
  <sheetViews>
    <sheetView workbookViewId="0">
      <selection activeCell="C24" sqref="C24"/>
    </sheetView>
  </sheetViews>
  <sheetFormatPr baseColWidth="10" defaultRowHeight="15" x14ac:dyDescent="0.25"/>
  <cols>
    <col min="1" max="1" width="16.42578125" bestFit="1" customWidth="1"/>
    <col min="3" max="3" width="42.28515625" bestFit="1" customWidth="1"/>
  </cols>
  <sheetData>
    <row r="1" spans="1:3" ht="18.75" x14ac:dyDescent="0.3">
      <c r="A1" s="380" t="s">
        <v>48</v>
      </c>
      <c r="B1" s="380"/>
      <c r="C1" s="380"/>
    </row>
    <row r="2" spans="1:3" x14ac:dyDescent="0.25">
      <c r="A2" s="1" t="s">
        <v>128</v>
      </c>
      <c r="B2" s="1" t="s">
        <v>129</v>
      </c>
      <c r="C2" s="1" t="s">
        <v>130</v>
      </c>
    </row>
    <row r="3" spans="1:3" x14ac:dyDescent="0.25">
      <c r="A3" s="1" t="s">
        <v>0</v>
      </c>
      <c r="B3" s="1" t="s">
        <v>8</v>
      </c>
      <c r="C3" s="1" t="s">
        <v>131</v>
      </c>
    </row>
    <row r="4" spans="1:3" x14ac:dyDescent="0.25">
      <c r="A4" s="1" t="s">
        <v>0</v>
      </c>
      <c r="B4" s="1" t="s">
        <v>15</v>
      </c>
      <c r="C4" s="1" t="s">
        <v>132</v>
      </c>
    </row>
    <row r="5" spans="1:3" x14ac:dyDescent="0.25">
      <c r="A5" s="1" t="s">
        <v>0</v>
      </c>
      <c r="B5" s="1" t="s">
        <v>69</v>
      </c>
      <c r="C5" s="1" t="s">
        <v>133</v>
      </c>
    </row>
    <row r="6" spans="1:3" x14ac:dyDescent="0.25">
      <c r="A6" s="1" t="s">
        <v>0</v>
      </c>
      <c r="B6" s="1" t="s">
        <v>17</v>
      </c>
      <c r="C6" s="1" t="s">
        <v>134</v>
      </c>
    </row>
    <row r="7" spans="1:3" x14ac:dyDescent="0.25">
      <c r="A7" s="1" t="s">
        <v>0</v>
      </c>
      <c r="B7" s="1" t="s">
        <v>180</v>
      </c>
      <c r="C7" s="1" t="s">
        <v>179</v>
      </c>
    </row>
    <row r="8" spans="1:3" x14ac:dyDescent="0.25">
      <c r="A8" s="1" t="s">
        <v>29</v>
      </c>
      <c r="B8" s="1" t="s">
        <v>11</v>
      </c>
      <c r="C8" s="1" t="s">
        <v>135</v>
      </c>
    </row>
    <row r="9" spans="1:3" x14ac:dyDescent="0.25">
      <c r="A9" s="1" t="s">
        <v>29</v>
      </c>
      <c r="B9" s="1" t="s">
        <v>21</v>
      </c>
      <c r="C9" s="1" t="s">
        <v>136</v>
      </c>
    </row>
    <row r="10" spans="1:3" x14ac:dyDescent="0.25">
      <c r="A10" s="1" t="s">
        <v>29</v>
      </c>
      <c r="B10" s="1" t="s">
        <v>20</v>
      </c>
      <c r="C10" s="1" t="s">
        <v>137</v>
      </c>
    </row>
    <row r="11" spans="1:3" x14ac:dyDescent="0.25">
      <c r="A11" s="1" t="s">
        <v>29</v>
      </c>
      <c r="B11" s="1" t="s">
        <v>22</v>
      </c>
      <c r="C11" s="1" t="s">
        <v>138</v>
      </c>
    </row>
    <row r="12" spans="1:3" x14ac:dyDescent="0.25">
      <c r="A12" s="1" t="s">
        <v>172</v>
      </c>
      <c r="B12" s="1" t="s">
        <v>171</v>
      </c>
      <c r="C12" s="1" t="s">
        <v>174</v>
      </c>
    </row>
    <row r="13" spans="1:3" x14ac:dyDescent="0.25">
      <c r="A13" s="1" t="s">
        <v>172</v>
      </c>
      <c r="B13" s="1" t="s">
        <v>170</v>
      </c>
      <c r="C13" s="1" t="s">
        <v>175</v>
      </c>
    </row>
    <row r="14" spans="1:3" ht="45" x14ac:dyDescent="0.25">
      <c r="A14" s="1" t="s">
        <v>85</v>
      </c>
      <c r="B14" s="1" t="s">
        <v>50</v>
      </c>
      <c r="C14" s="40" t="s">
        <v>139</v>
      </c>
    </row>
    <row r="15" spans="1:3" ht="45" x14ac:dyDescent="0.25">
      <c r="A15" s="1" t="s">
        <v>85</v>
      </c>
      <c r="B15" s="1" t="s">
        <v>84</v>
      </c>
      <c r="C15" s="40" t="s">
        <v>140</v>
      </c>
    </row>
    <row r="16" spans="1:3" ht="45" x14ac:dyDescent="0.25">
      <c r="A16" s="1" t="s">
        <v>85</v>
      </c>
      <c r="B16" s="1" t="s">
        <v>2</v>
      </c>
      <c r="C16" s="40" t="s">
        <v>149</v>
      </c>
    </row>
    <row r="17" spans="1:3" x14ac:dyDescent="0.25">
      <c r="A17" s="1" t="s">
        <v>51</v>
      </c>
      <c r="B17" s="1" t="s">
        <v>52</v>
      </c>
      <c r="C17" s="1" t="s">
        <v>141</v>
      </c>
    </row>
    <row r="18" spans="1:3" x14ac:dyDescent="0.25">
      <c r="A18" s="1" t="s">
        <v>51</v>
      </c>
      <c r="B18" s="1" t="s">
        <v>53</v>
      </c>
      <c r="C18" s="1" t="s">
        <v>142</v>
      </c>
    </row>
  </sheetData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53"/>
  <sheetViews>
    <sheetView topLeftCell="B28" workbookViewId="0">
      <selection activeCell="C36" sqref="C36"/>
    </sheetView>
  </sheetViews>
  <sheetFormatPr baseColWidth="10" defaultRowHeight="15" x14ac:dyDescent="0.25"/>
  <cols>
    <col min="1" max="1" width="23.5703125" bestFit="1" customWidth="1"/>
    <col min="2" max="2" width="18" bestFit="1" customWidth="1"/>
    <col min="3" max="3" width="97.28515625" bestFit="1" customWidth="1"/>
  </cols>
  <sheetData>
    <row r="1" spans="1:4" ht="19.5" thickBot="1" x14ac:dyDescent="0.35">
      <c r="A1" s="381" t="s">
        <v>24</v>
      </c>
      <c r="B1" s="382"/>
      <c r="C1" s="382"/>
      <c r="D1" s="383"/>
    </row>
    <row r="2" spans="1:4" ht="15.75" thickBot="1" x14ac:dyDescent="0.3">
      <c r="A2" s="43" t="s">
        <v>121</v>
      </c>
      <c r="B2" s="44" t="s">
        <v>25</v>
      </c>
      <c r="C2" s="45" t="s">
        <v>26</v>
      </c>
      <c r="D2" s="46" t="s">
        <v>27</v>
      </c>
    </row>
    <row r="3" spans="1:4" x14ac:dyDescent="0.25">
      <c r="A3" s="47" t="s">
        <v>122</v>
      </c>
      <c r="B3" s="48" t="s">
        <v>54</v>
      </c>
      <c r="C3" s="49" t="s">
        <v>89</v>
      </c>
      <c r="D3" s="50"/>
    </row>
    <row r="4" spans="1:4" x14ac:dyDescent="0.25">
      <c r="A4" s="51"/>
      <c r="B4" s="52" t="s">
        <v>55</v>
      </c>
      <c r="C4" s="53" t="s">
        <v>91</v>
      </c>
      <c r="D4" s="54"/>
    </row>
    <row r="5" spans="1:4" x14ac:dyDescent="0.25">
      <c r="A5" s="51"/>
      <c r="B5" s="52" t="s">
        <v>57</v>
      </c>
      <c r="C5" s="53" t="s">
        <v>92</v>
      </c>
      <c r="D5" s="54"/>
    </row>
    <row r="6" spans="1:4" x14ac:dyDescent="0.25">
      <c r="A6" s="51"/>
      <c r="B6" s="52" t="s">
        <v>86</v>
      </c>
      <c r="C6" s="53" t="s">
        <v>93</v>
      </c>
      <c r="D6" s="54"/>
    </row>
    <row r="7" spans="1:4" ht="15.75" thickBot="1" x14ac:dyDescent="0.3">
      <c r="A7" s="55"/>
      <c r="B7" s="56" t="s">
        <v>58</v>
      </c>
      <c r="C7" s="57" t="s">
        <v>94</v>
      </c>
      <c r="D7" s="58"/>
    </row>
    <row r="8" spans="1:4" x14ac:dyDescent="0.25">
      <c r="A8" s="59" t="s">
        <v>123</v>
      </c>
      <c r="B8" s="26" t="s">
        <v>0</v>
      </c>
      <c r="C8" s="26" t="s">
        <v>28</v>
      </c>
      <c r="D8" s="27"/>
    </row>
    <row r="9" spans="1:4" ht="30" x14ac:dyDescent="0.25">
      <c r="A9" s="60"/>
      <c r="B9" s="14" t="s">
        <v>29</v>
      </c>
      <c r="C9" s="41" t="s">
        <v>32</v>
      </c>
      <c r="D9" s="15"/>
    </row>
    <row r="10" spans="1:4" x14ac:dyDescent="0.25">
      <c r="A10" s="60"/>
      <c r="B10" s="14" t="s">
        <v>30</v>
      </c>
      <c r="C10" s="14" t="s">
        <v>33</v>
      </c>
      <c r="D10" s="15"/>
    </row>
    <row r="11" spans="1:4" x14ac:dyDescent="0.25">
      <c r="A11" s="60"/>
      <c r="B11" s="14" t="s">
        <v>1</v>
      </c>
      <c r="C11" s="14" t="s">
        <v>31</v>
      </c>
      <c r="D11" s="15"/>
    </row>
    <row r="12" spans="1:4" x14ac:dyDescent="0.25">
      <c r="A12" s="60"/>
      <c r="B12" s="14" t="s">
        <v>60</v>
      </c>
      <c r="C12" s="14" t="s">
        <v>95</v>
      </c>
      <c r="D12" s="15" t="s">
        <v>35</v>
      </c>
    </row>
    <row r="13" spans="1:4" x14ac:dyDescent="0.25">
      <c r="A13" s="60"/>
      <c r="B13" s="14" t="s">
        <v>189</v>
      </c>
      <c r="C13" s="14" t="s">
        <v>195</v>
      </c>
      <c r="D13" s="15" t="s">
        <v>38</v>
      </c>
    </row>
    <row r="14" spans="1:4" x14ac:dyDescent="0.25">
      <c r="A14" s="60"/>
      <c r="B14" s="14" t="s">
        <v>150</v>
      </c>
      <c r="C14" s="14" t="s">
        <v>178</v>
      </c>
      <c r="D14" s="15" t="s">
        <v>36</v>
      </c>
    </row>
    <row r="15" spans="1:4" ht="15.75" thickBot="1" x14ac:dyDescent="0.3">
      <c r="A15" s="60"/>
      <c r="B15" s="14" t="s">
        <v>172</v>
      </c>
      <c r="C15" s="14" t="s">
        <v>173</v>
      </c>
      <c r="D15" s="15"/>
    </row>
    <row r="16" spans="1:4" x14ac:dyDescent="0.25">
      <c r="A16" s="61" t="s">
        <v>124</v>
      </c>
      <c r="B16" s="28" t="s">
        <v>71</v>
      </c>
      <c r="C16" s="28" t="s">
        <v>96</v>
      </c>
      <c r="D16" s="29"/>
    </row>
    <row r="17" spans="1:4" x14ac:dyDescent="0.25">
      <c r="A17" s="62"/>
      <c r="B17" s="16" t="s">
        <v>79</v>
      </c>
      <c r="C17" s="16" t="s">
        <v>97</v>
      </c>
      <c r="D17" s="17"/>
    </row>
    <row r="18" spans="1:4" x14ac:dyDescent="0.25">
      <c r="A18" s="62"/>
      <c r="B18" s="16" t="s">
        <v>82</v>
      </c>
      <c r="C18" s="16" t="s">
        <v>98</v>
      </c>
      <c r="D18" s="17"/>
    </row>
    <row r="19" spans="1:4" x14ac:dyDescent="0.25">
      <c r="A19" s="62"/>
      <c r="B19" s="16" t="s">
        <v>85</v>
      </c>
      <c r="C19" s="16" t="s">
        <v>99</v>
      </c>
      <c r="D19" s="17"/>
    </row>
    <row r="20" spans="1:4" x14ac:dyDescent="0.25">
      <c r="A20" s="62"/>
      <c r="B20" s="16" t="s">
        <v>61</v>
      </c>
      <c r="C20" s="16" t="s">
        <v>119</v>
      </c>
      <c r="D20" s="17" t="s">
        <v>101</v>
      </c>
    </row>
    <row r="21" spans="1:4" x14ac:dyDescent="0.25">
      <c r="A21" s="62"/>
      <c r="B21" s="16" t="s">
        <v>59</v>
      </c>
      <c r="C21" s="16" t="s">
        <v>100</v>
      </c>
      <c r="D21" s="17" t="s">
        <v>35</v>
      </c>
    </row>
    <row r="22" spans="1:4" x14ac:dyDescent="0.25">
      <c r="A22" s="62"/>
      <c r="B22" s="16" t="s">
        <v>76</v>
      </c>
      <c r="C22" s="16" t="s">
        <v>102</v>
      </c>
      <c r="D22" s="17" t="s">
        <v>36</v>
      </c>
    </row>
    <row r="23" spans="1:4" x14ac:dyDescent="0.25">
      <c r="A23" s="62"/>
      <c r="B23" s="16" t="s">
        <v>77</v>
      </c>
      <c r="C23" s="16" t="s">
        <v>112</v>
      </c>
      <c r="D23" s="17" t="s">
        <v>118</v>
      </c>
    </row>
    <row r="24" spans="1:4" x14ac:dyDescent="0.25">
      <c r="A24" s="62"/>
      <c r="B24" s="16" t="s">
        <v>70</v>
      </c>
      <c r="C24" s="16" t="s">
        <v>113</v>
      </c>
      <c r="D24" s="17" t="s">
        <v>36</v>
      </c>
    </row>
    <row r="25" spans="1:4" x14ac:dyDescent="0.25">
      <c r="A25" s="62"/>
      <c r="B25" s="16" t="s">
        <v>72</v>
      </c>
      <c r="C25" s="16" t="s">
        <v>114</v>
      </c>
      <c r="D25" s="17" t="s">
        <v>36</v>
      </c>
    </row>
    <row r="26" spans="1:4" x14ac:dyDescent="0.25">
      <c r="A26" s="62"/>
      <c r="B26" s="16" t="s">
        <v>73</v>
      </c>
      <c r="C26" s="16" t="s">
        <v>115</v>
      </c>
      <c r="D26" s="17" t="s">
        <v>36</v>
      </c>
    </row>
    <row r="27" spans="1:4" x14ac:dyDescent="0.25">
      <c r="A27" s="62"/>
      <c r="B27" s="16" t="s">
        <v>74</v>
      </c>
      <c r="C27" s="16" t="s">
        <v>116</v>
      </c>
      <c r="D27" s="17" t="s">
        <v>36</v>
      </c>
    </row>
    <row r="28" spans="1:4" ht="15.75" thickBot="1" x14ac:dyDescent="0.3">
      <c r="A28" s="63"/>
      <c r="B28" s="30" t="s">
        <v>75</v>
      </c>
      <c r="C28" s="30" t="s">
        <v>117</v>
      </c>
      <c r="D28" s="31" t="s">
        <v>36</v>
      </c>
    </row>
    <row r="29" spans="1:4" x14ac:dyDescent="0.25">
      <c r="A29" s="64" t="s">
        <v>125</v>
      </c>
      <c r="B29" s="32" t="s">
        <v>50</v>
      </c>
      <c r="C29" s="32" t="s">
        <v>34</v>
      </c>
      <c r="D29" s="33" t="s">
        <v>101</v>
      </c>
    </row>
    <row r="30" spans="1:4" x14ac:dyDescent="0.25">
      <c r="A30" s="65"/>
      <c r="B30" s="18" t="s">
        <v>51</v>
      </c>
      <c r="C30" s="18" t="s">
        <v>120</v>
      </c>
      <c r="D30" s="19"/>
    </row>
    <row r="31" spans="1:4" x14ac:dyDescent="0.25">
      <c r="A31" s="65"/>
      <c r="B31" s="18" t="s">
        <v>2</v>
      </c>
      <c r="C31" s="18" t="s">
        <v>103</v>
      </c>
      <c r="D31" s="19" t="s">
        <v>35</v>
      </c>
    </row>
    <row r="32" spans="1:4" x14ac:dyDescent="0.25">
      <c r="A32" s="65"/>
      <c r="B32" s="18" t="s">
        <v>4</v>
      </c>
      <c r="C32" s="18" t="s">
        <v>105</v>
      </c>
      <c r="D32" s="19" t="s">
        <v>36</v>
      </c>
    </row>
    <row r="33" spans="1:4" x14ac:dyDescent="0.25">
      <c r="A33" s="65"/>
      <c r="B33" s="18" t="s">
        <v>5</v>
      </c>
      <c r="C33" s="18" t="s">
        <v>104</v>
      </c>
      <c r="D33" s="19" t="s">
        <v>37</v>
      </c>
    </row>
    <row r="34" spans="1:4" x14ac:dyDescent="0.25">
      <c r="A34" s="65"/>
      <c r="B34" s="18" t="s">
        <v>6</v>
      </c>
      <c r="C34" s="18" t="s">
        <v>106</v>
      </c>
      <c r="D34" s="19" t="s">
        <v>38</v>
      </c>
    </row>
    <row r="35" spans="1:4" x14ac:dyDescent="0.25">
      <c r="A35" s="65"/>
      <c r="B35" s="18" t="s">
        <v>7</v>
      </c>
      <c r="C35" s="18" t="s">
        <v>107</v>
      </c>
      <c r="D35" s="19" t="s">
        <v>38</v>
      </c>
    </row>
    <row r="36" spans="1:4" x14ac:dyDescent="0.25">
      <c r="A36" s="65"/>
      <c r="B36" s="18" t="s">
        <v>152</v>
      </c>
      <c r="C36" s="18" t="s">
        <v>154</v>
      </c>
      <c r="D36" s="19" t="s">
        <v>39</v>
      </c>
    </row>
    <row r="37" spans="1:4" x14ac:dyDescent="0.25">
      <c r="A37" s="65"/>
      <c r="B37" s="18" t="s">
        <v>151</v>
      </c>
      <c r="C37" s="18" t="s">
        <v>157</v>
      </c>
      <c r="D37" s="19" t="s">
        <v>39</v>
      </c>
    </row>
    <row r="38" spans="1:4" ht="15.75" thickBot="1" x14ac:dyDescent="0.3">
      <c r="A38" s="66"/>
      <c r="B38" s="34" t="s">
        <v>153</v>
      </c>
      <c r="C38" s="34" t="s">
        <v>108</v>
      </c>
      <c r="D38" s="35" t="s">
        <v>39</v>
      </c>
    </row>
    <row r="39" spans="1:4" x14ac:dyDescent="0.25">
      <c r="A39" s="67" t="s">
        <v>126</v>
      </c>
      <c r="B39" s="36" t="s">
        <v>13</v>
      </c>
      <c r="C39" s="36" t="s">
        <v>109</v>
      </c>
      <c r="D39" s="37" t="s">
        <v>37</v>
      </c>
    </row>
    <row r="40" spans="1:4" x14ac:dyDescent="0.25">
      <c r="A40" s="68"/>
      <c r="B40" s="20" t="s">
        <v>23</v>
      </c>
      <c r="C40" s="20" t="s">
        <v>110</v>
      </c>
      <c r="D40" s="21" t="s">
        <v>39</v>
      </c>
    </row>
    <row r="41" spans="1:4" x14ac:dyDescent="0.25">
      <c r="A41" s="68"/>
      <c r="B41" s="20" t="s">
        <v>14</v>
      </c>
      <c r="C41" s="20" t="s">
        <v>40</v>
      </c>
      <c r="D41" s="21"/>
    </row>
    <row r="42" spans="1:4" x14ac:dyDescent="0.25">
      <c r="A42" s="68"/>
      <c r="B42" s="20" t="s">
        <v>167</v>
      </c>
      <c r="C42" s="20" t="s">
        <v>177</v>
      </c>
      <c r="D42" s="21" t="s">
        <v>176</v>
      </c>
    </row>
    <row r="43" spans="1:4" x14ac:dyDescent="0.25">
      <c r="A43" s="68"/>
      <c r="B43" s="20" t="s">
        <v>164</v>
      </c>
      <c r="C43" s="20"/>
      <c r="D43" s="21"/>
    </row>
    <row r="44" spans="1:4" x14ac:dyDescent="0.25">
      <c r="A44" s="68"/>
      <c r="B44" s="20" t="s">
        <v>165</v>
      </c>
      <c r="C44" s="20"/>
      <c r="D44" s="21"/>
    </row>
    <row r="45" spans="1:4" ht="15.75" thickBot="1" x14ac:dyDescent="0.3">
      <c r="A45" s="69"/>
      <c r="B45" s="38" t="s">
        <v>166</v>
      </c>
      <c r="C45" s="38"/>
      <c r="D45" s="39"/>
    </row>
    <row r="46" spans="1:4" x14ac:dyDescent="0.25">
      <c r="A46" s="70" t="s">
        <v>127</v>
      </c>
      <c r="B46" s="22" t="s">
        <v>161</v>
      </c>
      <c r="C46" s="22" t="s">
        <v>162</v>
      </c>
      <c r="D46" s="23" t="s">
        <v>163</v>
      </c>
    </row>
    <row r="47" spans="1:4" x14ac:dyDescent="0.25">
      <c r="A47" s="72"/>
      <c r="B47" s="22" t="s">
        <v>155</v>
      </c>
      <c r="C47" s="22" t="s">
        <v>160</v>
      </c>
      <c r="D47" s="23" t="s">
        <v>42</v>
      </c>
    </row>
    <row r="48" spans="1:4" x14ac:dyDescent="0.25">
      <c r="A48" s="70"/>
      <c r="B48" s="22" t="s">
        <v>156</v>
      </c>
      <c r="C48" s="22" t="s">
        <v>159</v>
      </c>
      <c r="D48" s="23" t="s">
        <v>42</v>
      </c>
    </row>
    <row r="49" spans="1:4" x14ac:dyDescent="0.25">
      <c r="A49" s="70"/>
      <c r="B49" s="22" t="s">
        <v>41</v>
      </c>
      <c r="C49" s="22" t="s">
        <v>158</v>
      </c>
      <c r="D49" s="23" t="s">
        <v>42</v>
      </c>
    </row>
    <row r="50" spans="1:4" x14ac:dyDescent="0.25">
      <c r="A50" s="70"/>
      <c r="B50" s="22" t="s">
        <v>45</v>
      </c>
      <c r="C50" s="22" t="s">
        <v>111</v>
      </c>
      <c r="D50" s="23" t="s">
        <v>42</v>
      </c>
    </row>
    <row r="51" spans="1:4" x14ac:dyDescent="0.25">
      <c r="A51" s="70"/>
      <c r="B51" s="22" t="s">
        <v>19</v>
      </c>
      <c r="C51" s="22" t="s">
        <v>49</v>
      </c>
      <c r="D51" s="23" t="s">
        <v>42</v>
      </c>
    </row>
    <row r="52" spans="1:4" x14ac:dyDescent="0.25">
      <c r="A52" s="70"/>
      <c r="B52" s="22" t="s">
        <v>43</v>
      </c>
      <c r="C52" s="22" t="s">
        <v>46</v>
      </c>
      <c r="D52" s="23" t="s">
        <v>42</v>
      </c>
    </row>
    <row r="53" spans="1:4" ht="30.75" thickBot="1" x14ac:dyDescent="0.3">
      <c r="A53" s="71"/>
      <c r="B53" s="24" t="s">
        <v>44</v>
      </c>
      <c r="C53" s="42" t="s">
        <v>47</v>
      </c>
      <c r="D53" s="25" t="s">
        <v>42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67"/>
  <sheetViews>
    <sheetView topLeftCell="A37" workbookViewId="0">
      <selection activeCell="C45" sqref="C45"/>
    </sheetView>
  </sheetViews>
  <sheetFormatPr baseColWidth="10" defaultRowHeight="15" x14ac:dyDescent="0.25"/>
  <cols>
    <col min="1" max="2" width="24.42578125" style="77" customWidth="1"/>
  </cols>
  <sheetData>
    <row r="1" spans="1:9" ht="14.65" customHeight="1" thickBot="1" x14ac:dyDescent="0.3">
      <c r="A1" s="102" t="s">
        <v>326</v>
      </c>
      <c r="B1" s="102" t="s">
        <v>327</v>
      </c>
    </row>
    <row r="2" spans="1:9" ht="14.65" customHeight="1" thickBot="1" x14ac:dyDescent="0.3">
      <c r="A2" s="103" t="s">
        <v>328</v>
      </c>
      <c r="B2" s="103">
        <v>0.62</v>
      </c>
    </row>
    <row r="3" spans="1:9" ht="15.75" thickBot="1" x14ac:dyDescent="0.3">
      <c r="A3" s="104" t="s">
        <v>329</v>
      </c>
      <c r="B3" s="104">
        <v>0.64</v>
      </c>
    </row>
    <row r="4" spans="1:9" ht="15.75" thickBot="1" x14ac:dyDescent="0.3">
      <c r="A4" s="103" t="s">
        <v>330</v>
      </c>
      <c r="B4" s="103">
        <v>0.42</v>
      </c>
    </row>
    <row r="5" spans="1:9" ht="15.75" thickBot="1" x14ac:dyDescent="0.3">
      <c r="A5" s="104" t="s">
        <v>331</v>
      </c>
      <c r="B5" s="104">
        <v>0.42</v>
      </c>
      <c r="C5" s="105"/>
    </row>
    <row r="6" spans="1:9" ht="15.75" thickBot="1" x14ac:dyDescent="0.3">
      <c r="A6" s="103" t="s">
        <v>332</v>
      </c>
      <c r="B6" s="103">
        <v>0.52</v>
      </c>
    </row>
    <row r="7" spans="1:9" ht="15.75" thickBot="1" x14ac:dyDescent="0.3">
      <c r="A7" s="104" t="s">
        <v>308</v>
      </c>
      <c r="B7" s="104">
        <v>0.36</v>
      </c>
    </row>
    <row r="8" spans="1:9" ht="15.75" thickBot="1" x14ac:dyDescent="0.3">
      <c r="A8" s="103" t="s">
        <v>333</v>
      </c>
      <c r="B8" s="103">
        <v>0.61</v>
      </c>
    </row>
    <row r="9" spans="1:9" ht="15.75" thickBot="1" x14ac:dyDescent="0.3">
      <c r="A9" s="104" t="s">
        <v>334</v>
      </c>
      <c r="B9" s="104">
        <v>0.66</v>
      </c>
      <c r="I9" s="105"/>
    </row>
    <row r="10" spans="1:9" ht="15.75" thickBot="1" x14ac:dyDescent="0.3">
      <c r="A10" s="103" t="s">
        <v>335</v>
      </c>
      <c r="B10" s="103">
        <v>0.47</v>
      </c>
      <c r="I10" s="105"/>
    </row>
    <row r="11" spans="1:9" ht="15.75" thickBot="1" x14ac:dyDescent="0.3">
      <c r="A11" s="104" t="s">
        <v>336</v>
      </c>
      <c r="B11" s="104">
        <v>0.67</v>
      </c>
    </row>
    <row r="12" spans="1:9" ht="15.75" thickBot="1" x14ac:dyDescent="0.3">
      <c r="A12" s="103" t="s">
        <v>337</v>
      </c>
      <c r="B12" s="103">
        <v>0.7</v>
      </c>
    </row>
    <row r="13" spans="1:9" ht="15.75" thickBot="1" x14ac:dyDescent="0.3">
      <c r="A13" s="104" t="s">
        <v>338</v>
      </c>
      <c r="B13" s="104">
        <v>0.54</v>
      </c>
    </row>
    <row r="14" spans="1:9" ht="15.75" thickBot="1" x14ac:dyDescent="0.3">
      <c r="A14" s="103" t="s">
        <v>339</v>
      </c>
      <c r="B14" s="103">
        <v>0.65</v>
      </c>
    </row>
    <row r="15" spans="1:9" ht="15.75" thickBot="1" x14ac:dyDescent="0.3">
      <c r="A15" s="104" t="s">
        <v>340</v>
      </c>
      <c r="B15" s="104">
        <v>0.56000000000000005</v>
      </c>
    </row>
    <row r="16" spans="1:9" ht="15.75" thickBot="1" x14ac:dyDescent="0.3">
      <c r="A16" s="103" t="s">
        <v>389</v>
      </c>
      <c r="B16" s="103">
        <v>0.57999999999999996</v>
      </c>
    </row>
    <row r="17" spans="1:2" ht="15.75" thickBot="1" x14ac:dyDescent="0.3">
      <c r="A17" s="104" t="s">
        <v>341</v>
      </c>
      <c r="B17" s="104">
        <v>0.64</v>
      </c>
    </row>
    <row r="18" spans="1:2" ht="15.75" thickBot="1" x14ac:dyDescent="0.3">
      <c r="A18" s="103" t="s">
        <v>342</v>
      </c>
      <c r="B18" s="103">
        <v>0.73</v>
      </c>
    </row>
    <row r="19" spans="1:2" ht="15.75" thickBot="1" x14ac:dyDescent="0.3">
      <c r="A19" s="104" t="s">
        <v>343</v>
      </c>
      <c r="B19" s="104">
        <v>0.56000000000000005</v>
      </c>
    </row>
    <row r="20" spans="1:2" ht="15.75" thickBot="1" x14ac:dyDescent="0.3">
      <c r="A20" s="103" t="s">
        <v>344</v>
      </c>
      <c r="B20" s="103">
        <v>0.74</v>
      </c>
    </row>
    <row r="21" spans="1:2" ht="15.75" thickBot="1" x14ac:dyDescent="0.3">
      <c r="A21" s="104" t="s">
        <v>345</v>
      </c>
      <c r="B21" s="104">
        <v>0.4</v>
      </c>
    </row>
    <row r="22" spans="1:2" ht="15.75" thickBot="1" x14ac:dyDescent="0.3">
      <c r="A22" s="103" t="s">
        <v>346</v>
      </c>
      <c r="B22" s="103">
        <v>0.6</v>
      </c>
    </row>
    <row r="23" spans="1:2" ht="15.75" thickBot="1" x14ac:dyDescent="0.3">
      <c r="A23" s="104" t="s">
        <v>347</v>
      </c>
      <c r="B23" s="104">
        <v>0.43</v>
      </c>
    </row>
    <row r="24" spans="1:2" ht="15.75" thickBot="1" x14ac:dyDescent="0.3">
      <c r="A24" s="106" t="s">
        <v>229</v>
      </c>
      <c r="B24" s="103">
        <v>0.37</v>
      </c>
    </row>
    <row r="25" spans="1:2" ht="15.75" thickBot="1" x14ac:dyDescent="0.3">
      <c r="A25" s="104" t="s">
        <v>348</v>
      </c>
      <c r="B25" s="104">
        <v>0.36</v>
      </c>
    </row>
    <row r="26" spans="1:2" ht="15.75" thickBot="1" x14ac:dyDescent="0.3">
      <c r="A26" s="103" t="s">
        <v>349</v>
      </c>
      <c r="B26" s="103">
        <v>0.51</v>
      </c>
    </row>
    <row r="27" spans="1:2" ht="15.75" thickBot="1" x14ac:dyDescent="0.3">
      <c r="A27" s="104" t="s">
        <v>350</v>
      </c>
      <c r="B27" s="104">
        <v>0.56000000000000005</v>
      </c>
    </row>
    <row r="28" spans="1:2" ht="15.75" thickBot="1" x14ac:dyDescent="0.3">
      <c r="A28" s="103" t="s">
        <v>351</v>
      </c>
      <c r="B28" s="103">
        <v>0.56000000000000005</v>
      </c>
    </row>
    <row r="29" spans="1:2" ht="15.75" thickBot="1" x14ac:dyDescent="0.3">
      <c r="A29" s="104" t="s">
        <v>352</v>
      </c>
      <c r="B29" s="104">
        <v>0.48</v>
      </c>
    </row>
    <row r="30" spans="1:2" ht="15.75" thickBot="1" x14ac:dyDescent="0.3">
      <c r="A30" s="103" t="s">
        <v>238</v>
      </c>
      <c r="B30" s="103">
        <v>0.55000000000000004</v>
      </c>
    </row>
    <row r="31" spans="1:2" ht="15.75" thickBot="1" x14ac:dyDescent="0.3">
      <c r="A31" s="104" t="s">
        <v>353</v>
      </c>
      <c r="B31" s="104">
        <v>0.56000000000000005</v>
      </c>
    </row>
    <row r="32" spans="1:2" ht="15.75" thickBot="1" x14ac:dyDescent="0.3">
      <c r="A32" s="103" t="s">
        <v>354</v>
      </c>
      <c r="B32" s="103">
        <v>0.57999999999999996</v>
      </c>
    </row>
    <row r="33" spans="1:2" ht="15.75" thickBot="1" x14ac:dyDescent="0.3">
      <c r="A33" s="104" t="s">
        <v>355</v>
      </c>
      <c r="B33" s="104">
        <v>0.57999999999999996</v>
      </c>
    </row>
    <row r="34" spans="1:2" x14ac:dyDescent="0.25">
      <c r="A34" s="107" t="s">
        <v>356</v>
      </c>
      <c r="B34" s="107">
        <v>0.48</v>
      </c>
    </row>
    <row r="35" spans="1:2" ht="15.75" thickBot="1" x14ac:dyDescent="0.3">
      <c r="A35" s="104" t="s">
        <v>357</v>
      </c>
      <c r="B35" s="104">
        <v>0.42</v>
      </c>
    </row>
    <row r="36" spans="1:2" ht="15.75" thickBot="1" x14ac:dyDescent="0.3">
      <c r="A36" s="103" t="s">
        <v>358</v>
      </c>
      <c r="B36" s="103">
        <v>0.5</v>
      </c>
    </row>
    <row r="37" spans="1:2" ht="15.75" thickBot="1" x14ac:dyDescent="0.3">
      <c r="A37" s="104" t="s">
        <v>359</v>
      </c>
      <c r="B37" s="104">
        <v>0.55000000000000004</v>
      </c>
    </row>
    <row r="38" spans="1:2" ht="15.75" thickBot="1" x14ac:dyDescent="0.3">
      <c r="A38" s="103" t="s">
        <v>360</v>
      </c>
      <c r="B38" s="103">
        <v>0.53</v>
      </c>
    </row>
    <row r="39" spans="1:2" ht="15.75" thickBot="1" x14ac:dyDescent="0.3">
      <c r="A39" s="104" t="s">
        <v>361</v>
      </c>
      <c r="B39" s="104">
        <v>0.52</v>
      </c>
    </row>
    <row r="40" spans="1:2" ht="15.75" thickBot="1" x14ac:dyDescent="0.3">
      <c r="A40" s="103" t="s">
        <v>362</v>
      </c>
      <c r="B40" s="103">
        <v>0.52</v>
      </c>
    </row>
    <row r="41" spans="1:2" ht="15.75" thickBot="1" x14ac:dyDescent="0.3">
      <c r="A41" s="104" t="s">
        <v>363</v>
      </c>
      <c r="B41" s="104">
        <v>0.75</v>
      </c>
    </row>
    <row r="42" spans="1:2" ht="15.75" thickBot="1" x14ac:dyDescent="0.3">
      <c r="A42" s="103" t="s">
        <v>364</v>
      </c>
      <c r="B42" s="103">
        <v>0.52</v>
      </c>
    </row>
    <row r="43" spans="1:2" ht="15.75" thickBot="1" x14ac:dyDescent="0.3">
      <c r="A43" s="104" t="s">
        <v>365</v>
      </c>
      <c r="B43" s="104">
        <v>0.35</v>
      </c>
    </row>
    <row r="44" spans="1:2" ht="15.75" thickBot="1" x14ac:dyDescent="0.3">
      <c r="A44" s="103" t="s">
        <v>366</v>
      </c>
      <c r="B44" s="103">
        <v>0.37</v>
      </c>
    </row>
    <row r="45" spans="1:2" ht="15.75" thickBot="1" x14ac:dyDescent="0.3">
      <c r="A45" s="108" t="s">
        <v>367</v>
      </c>
      <c r="B45" s="108">
        <v>0.45</v>
      </c>
    </row>
    <row r="46" spans="1:2" ht="15.75" thickBot="1" x14ac:dyDescent="0.3">
      <c r="A46" s="103" t="s">
        <v>368</v>
      </c>
      <c r="B46" s="103">
        <v>0.39</v>
      </c>
    </row>
    <row r="47" spans="1:2" ht="15.75" thickBot="1" x14ac:dyDescent="0.3">
      <c r="A47" s="104" t="s">
        <v>369</v>
      </c>
      <c r="B47" s="104">
        <v>0.44</v>
      </c>
    </row>
    <row r="48" spans="1:2" ht="15.75" thickBot="1" x14ac:dyDescent="0.3">
      <c r="A48" s="109" t="s">
        <v>234</v>
      </c>
      <c r="B48" s="103">
        <v>0.46</v>
      </c>
    </row>
    <row r="49" spans="1:2" ht="15.75" thickBot="1" x14ac:dyDescent="0.3">
      <c r="A49" s="109" t="s">
        <v>236</v>
      </c>
      <c r="B49" s="104">
        <v>0.46</v>
      </c>
    </row>
    <row r="50" spans="1:2" ht="15.75" thickBot="1" x14ac:dyDescent="0.3">
      <c r="A50" s="103" t="s">
        <v>370</v>
      </c>
      <c r="B50" s="103">
        <v>0.44</v>
      </c>
    </row>
    <row r="51" spans="1:2" ht="15.75" thickBot="1" x14ac:dyDescent="0.3">
      <c r="A51" s="104" t="s">
        <v>371</v>
      </c>
      <c r="B51" s="104">
        <v>0.46</v>
      </c>
    </row>
    <row r="52" spans="1:2" ht="15.75" thickBot="1" x14ac:dyDescent="0.3">
      <c r="A52" s="103" t="s">
        <v>372</v>
      </c>
      <c r="B52" s="103">
        <v>0.48</v>
      </c>
    </row>
    <row r="53" spans="1:2" ht="15.75" thickBot="1" x14ac:dyDescent="0.3">
      <c r="A53" s="104" t="s">
        <v>373</v>
      </c>
      <c r="B53" s="104">
        <v>0.44</v>
      </c>
    </row>
    <row r="54" spans="1:2" ht="15.75" thickBot="1" x14ac:dyDescent="0.3">
      <c r="A54" s="103" t="s">
        <v>374</v>
      </c>
      <c r="B54" s="103">
        <v>0.34</v>
      </c>
    </row>
    <row r="55" spans="1:2" ht="15.75" thickBot="1" x14ac:dyDescent="0.3">
      <c r="A55" s="104" t="s">
        <v>375</v>
      </c>
      <c r="B55" s="104">
        <v>0.5</v>
      </c>
    </row>
    <row r="56" spans="1:2" ht="15.75" thickBot="1" x14ac:dyDescent="0.3">
      <c r="A56" s="103" t="s">
        <v>376</v>
      </c>
      <c r="B56" s="103">
        <v>0.57999999999999996</v>
      </c>
    </row>
    <row r="57" spans="1:2" ht="15.75" thickBot="1" x14ac:dyDescent="0.3">
      <c r="A57" s="104" t="s">
        <v>377</v>
      </c>
      <c r="B57" s="104">
        <v>0.37</v>
      </c>
    </row>
    <row r="58" spans="1:2" ht="15.75" thickBot="1" x14ac:dyDescent="0.3">
      <c r="A58" s="103" t="s">
        <v>378</v>
      </c>
      <c r="B58" s="103">
        <v>0.37</v>
      </c>
    </row>
    <row r="59" spans="1:2" ht="15.75" thickBot="1" x14ac:dyDescent="0.3">
      <c r="A59" s="104" t="s">
        <v>221</v>
      </c>
      <c r="B59" s="104">
        <v>0.38</v>
      </c>
    </row>
    <row r="60" spans="1:2" ht="15.75" thickBot="1" x14ac:dyDescent="0.3">
      <c r="A60" s="103" t="s">
        <v>379</v>
      </c>
      <c r="B60" s="103">
        <v>0.36</v>
      </c>
    </row>
    <row r="61" spans="1:2" ht="15.75" thickBot="1" x14ac:dyDescent="0.3">
      <c r="A61" s="104" t="s">
        <v>380</v>
      </c>
      <c r="B61" s="104">
        <v>0.37</v>
      </c>
    </row>
    <row r="62" spans="1:2" ht="15.75" thickBot="1" x14ac:dyDescent="0.3">
      <c r="A62" s="103" t="s">
        <v>381</v>
      </c>
      <c r="B62" s="103">
        <v>0.53</v>
      </c>
    </row>
    <row r="63" spans="1:2" ht="15.75" thickBot="1" x14ac:dyDescent="0.3">
      <c r="A63" s="104" t="s">
        <v>382</v>
      </c>
      <c r="B63" s="104">
        <v>0.43</v>
      </c>
    </row>
    <row r="64" spans="1:2" ht="15.75" thickBot="1" x14ac:dyDescent="0.3">
      <c r="A64" s="103" t="s">
        <v>383</v>
      </c>
      <c r="B64" s="103">
        <v>0.38</v>
      </c>
    </row>
    <row r="65" spans="1:2" ht="15.75" thickBot="1" x14ac:dyDescent="0.3">
      <c r="A65" s="104" t="s">
        <v>384</v>
      </c>
      <c r="B65" s="104">
        <v>0.42</v>
      </c>
    </row>
    <row r="66" spans="1:2" ht="15.75" thickBot="1" x14ac:dyDescent="0.3">
      <c r="A66" s="103" t="s">
        <v>385</v>
      </c>
      <c r="B66" s="103">
        <v>0.56999999999999995</v>
      </c>
    </row>
    <row r="67" spans="1:2" ht="15.75" thickBot="1" x14ac:dyDescent="0.3">
      <c r="A67" s="104" t="s">
        <v>386</v>
      </c>
      <c r="B67" s="104">
        <v>0.54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9"/>
  <sheetViews>
    <sheetView showGridLines="0" tabSelected="1" topLeftCell="B88" zoomScale="90" zoomScaleNormal="90" workbookViewId="0">
      <selection activeCell="C96" sqref="C96"/>
    </sheetView>
  </sheetViews>
  <sheetFormatPr baseColWidth="10" defaultRowHeight="15" x14ac:dyDescent="0.25"/>
  <cols>
    <col min="1" max="1" width="30.5703125" customWidth="1"/>
    <col min="2" max="2" width="54.28515625" style="112" bestFit="1" customWidth="1"/>
    <col min="3" max="3" width="13.7109375" style="1" customWidth="1"/>
    <col min="4" max="4" width="74.5703125" style="77" bestFit="1" customWidth="1"/>
    <col min="5" max="7" width="45" customWidth="1"/>
  </cols>
  <sheetData>
    <row r="1" spans="1:7" ht="23.25" x14ac:dyDescent="0.35">
      <c r="B1" s="284" t="s">
        <v>1539</v>
      </c>
    </row>
    <row r="2" spans="1:7" x14ac:dyDescent="0.25">
      <c r="F2" s="327"/>
      <c r="G2" s="327"/>
    </row>
    <row r="3" spans="1:7" x14ac:dyDescent="0.25">
      <c r="B3" s="367" t="s">
        <v>391</v>
      </c>
      <c r="C3" s="368"/>
      <c r="D3" s="99" t="s">
        <v>404</v>
      </c>
      <c r="E3" s="99" t="s">
        <v>408</v>
      </c>
      <c r="F3" s="328"/>
      <c r="G3" s="328"/>
    </row>
    <row r="4" spans="1:7" x14ac:dyDescent="0.25">
      <c r="B4" s="369" t="s">
        <v>394</v>
      </c>
      <c r="C4" s="370"/>
      <c r="D4" s="119">
        <f>+VLOOKUP($B$4,'Sc de ref'!$A$2:$C$5,2,FALSE)</f>
        <v>28.75192140308048</v>
      </c>
      <c r="E4" s="119">
        <f>+VLOOKUP($B$4,'Sc de ref'!$A$2:$C$5,3,FALSE)</f>
        <v>37.850594199563162</v>
      </c>
      <c r="F4" s="329"/>
      <c r="G4" s="329"/>
    </row>
    <row r="6" spans="1:7" ht="23.25" x14ac:dyDescent="0.35">
      <c r="B6" s="284" t="s">
        <v>1424</v>
      </c>
    </row>
    <row r="7" spans="1:7" x14ac:dyDescent="0.25">
      <c r="B7" s="125"/>
      <c r="D7"/>
    </row>
    <row r="8" spans="1:7" x14ac:dyDescent="0.25">
      <c r="B8" s="126" t="s">
        <v>411</v>
      </c>
      <c r="C8" s="79" t="s">
        <v>321</v>
      </c>
      <c r="D8" s="79" t="s">
        <v>322</v>
      </c>
      <c r="E8" s="79" t="s">
        <v>413</v>
      </c>
      <c r="F8" s="79" t="s">
        <v>1452</v>
      </c>
      <c r="G8" s="79" t="s">
        <v>1453</v>
      </c>
    </row>
    <row r="9" spans="1:7" s="1" customFormat="1" x14ac:dyDescent="0.25">
      <c r="A9" s="282" t="s">
        <v>1531</v>
      </c>
      <c r="B9" s="283" t="s">
        <v>1544</v>
      </c>
      <c r="C9" s="81">
        <v>30</v>
      </c>
      <c r="D9" s="81" t="str">
        <f>+CONCATENATE(B9,C9,"_")</f>
        <v>Pin Maritime_F3_Classique_Landes_30_</v>
      </c>
      <c r="E9" s="82">
        <f>+MIN(C24:C25)</f>
        <v>210.95866485929986</v>
      </c>
      <c r="F9" s="82">
        <f>+IF(ISNA(F16),F12,F16)</f>
        <v>59.729333869938571</v>
      </c>
      <c r="G9" s="82">
        <f>+IF(ISNA(G16),G12,G16)</f>
        <v>22.944958493495001</v>
      </c>
    </row>
    <row r="10" spans="1:7" x14ac:dyDescent="0.25">
      <c r="D10"/>
    </row>
    <row r="11" spans="1:7" x14ac:dyDescent="0.25">
      <c r="B11" s="128" t="s">
        <v>416</v>
      </c>
      <c r="C11" s="295"/>
      <c r="D11" s="121"/>
      <c r="E11" s="121"/>
      <c r="F11" s="121" t="s">
        <v>1452</v>
      </c>
      <c r="G11" s="121" t="s">
        <v>1453</v>
      </c>
    </row>
    <row r="12" spans="1:7" x14ac:dyDescent="0.25">
      <c r="B12" s="129" t="s">
        <v>323</v>
      </c>
      <c r="C12" s="122" t="e">
        <f>+VLOOKUP(D9,'BDD-Guides'!$AA$3:$AE$706,3,FALSE)</f>
        <v>#N/A</v>
      </c>
      <c r="D12" s="101" t="s">
        <v>324</v>
      </c>
      <c r="E12" s="101"/>
      <c r="F12" s="101">
        <v>0</v>
      </c>
      <c r="G12" s="101">
        <v>0</v>
      </c>
    </row>
    <row r="13" spans="1:7" x14ac:dyDescent="0.25">
      <c r="B13" s="129" t="s">
        <v>325</v>
      </c>
      <c r="C13" s="122" t="e">
        <f>VLOOKUP(D9,'BDD-Guides'!$AA$3:$AE$706,5,FALSE)</f>
        <v>#N/A</v>
      </c>
      <c r="D13" s="101" t="s">
        <v>324</v>
      </c>
      <c r="E13" s="101"/>
      <c r="F13" s="101"/>
      <c r="G13" s="101"/>
    </row>
    <row r="14" spans="1:7" x14ac:dyDescent="0.25">
      <c r="C14" s="95"/>
    </row>
    <row r="15" spans="1:7" x14ac:dyDescent="0.25">
      <c r="B15" s="128" t="s">
        <v>414</v>
      </c>
      <c r="C15" s="123"/>
      <c r="D15" s="121"/>
      <c r="E15" s="121" t="s">
        <v>412</v>
      </c>
      <c r="F15" s="121" t="s">
        <v>1452</v>
      </c>
      <c r="G15" s="121" t="s">
        <v>1453</v>
      </c>
    </row>
    <row r="16" spans="1:7" x14ac:dyDescent="0.25">
      <c r="B16" s="129" t="s">
        <v>323</v>
      </c>
      <c r="C16" s="122">
        <f>+VLOOKUP(D9,'BDD-Modèles'!$BK$3:$BP$2000,4,FALSE)</f>
        <v>367.52118938512501</v>
      </c>
      <c r="D16" s="101" t="s">
        <v>324</v>
      </c>
      <c r="E16" s="101">
        <f>IF(ISNA(C16),"KO",C16)</f>
        <v>367.52118938512501</v>
      </c>
      <c r="F16" s="101">
        <f>+VLOOKUP(D9,'BDD-Modèles'!$BK$3:$BZ$2000,16,FALSE)</f>
        <v>59.729333869938571</v>
      </c>
      <c r="G16" s="101">
        <f>+VLOOKUP(D9,'BDD-Modèles'!$BK$2:$CO$2000,31,FALSE)</f>
        <v>22.944958493495001</v>
      </c>
    </row>
    <row r="17" spans="1:7" x14ac:dyDescent="0.25">
      <c r="B17" s="129" t="s">
        <v>325</v>
      </c>
      <c r="C17" s="122">
        <f>+VLOOKUP(D9,'BDD-Modèles'!$BK$3:$BP$2000,6,FALSE)</f>
        <v>248.80925905886301</v>
      </c>
      <c r="D17" s="101" t="s">
        <v>324</v>
      </c>
      <c r="E17" s="101">
        <f>IF(ISNA(C17),"KO",C17)</f>
        <v>248.80925905886301</v>
      </c>
      <c r="F17" s="101"/>
      <c r="G17" s="101"/>
    </row>
    <row r="18" spans="1:7" x14ac:dyDescent="0.25">
      <c r="C18" s="95"/>
      <c r="D18" s="78"/>
    </row>
    <row r="19" spans="1:7" x14ac:dyDescent="0.25">
      <c r="B19" s="128" t="s">
        <v>415</v>
      </c>
      <c r="C19" s="123"/>
      <c r="D19" s="121"/>
    </row>
    <row r="20" spans="1:7" x14ac:dyDescent="0.25">
      <c r="B20" s="129" t="s">
        <v>323</v>
      </c>
      <c r="C20" s="122">
        <f>+IF(E16="KO",C12,C16)</f>
        <v>367.52118938512501</v>
      </c>
      <c r="D20" s="101" t="s">
        <v>324</v>
      </c>
    </row>
    <row r="21" spans="1:7" x14ac:dyDescent="0.25">
      <c r="B21" s="129" t="s">
        <v>325</v>
      </c>
      <c r="C21" s="122">
        <f>+IF(E17="KO",C13,C17)</f>
        <v>248.80925905886301</v>
      </c>
      <c r="D21" s="101" t="s">
        <v>324</v>
      </c>
    </row>
    <row r="22" spans="1:7" x14ac:dyDescent="0.25">
      <c r="D22" s="78"/>
    </row>
    <row r="23" spans="1:7" x14ac:dyDescent="0.25">
      <c r="B23" s="132" t="s">
        <v>405</v>
      </c>
      <c r="C23" s="296"/>
      <c r="D23" s="121"/>
    </row>
    <row r="24" spans="1:7" ht="30" x14ac:dyDescent="0.25">
      <c r="B24" s="133" t="s">
        <v>406</v>
      </c>
      <c r="C24" s="297">
        <f>+C20-$D$4</f>
        <v>338.76926798204454</v>
      </c>
      <c r="D24" s="134" t="s">
        <v>324</v>
      </c>
    </row>
    <row r="25" spans="1:7" x14ac:dyDescent="0.25">
      <c r="B25" s="133" t="s">
        <v>407</v>
      </c>
      <c r="C25" s="297">
        <f>+C21-$E$4</f>
        <v>210.95866485929986</v>
      </c>
      <c r="D25" s="134" t="s">
        <v>324</v>
      </c>
    </row>
    <row r="26" spans="1:7" x14ac:dyDescent="0.25">
      <c r="D26"/>
    </row>
    <row r="27" spans="1:7" hidden="1" x14ac:dyDescent="0.25">
      <c r="B27" s="126" t="s">
        <v>411</v>
      </c>
      <c r="C27" s="79" t="s">
        <v>321</v>
      </c>
      <c r="D27" s="79" t="s">
        <v>322</v>
      </c>
      <c r="E27" s="79" t="s">
        <v>413</v>
      </c>
      <c r="F27" s="79" t="s">
        <v>1452</v>
      </c>
      <c r="G27" s="79" t="s">
        <v>1453</v>
      </c>
    </row>
    <row r="28" spans="1:7" hidden="1" x14ac:dyDescent="0.25">
      <c r="A28" s="282" t="s">
        <v>1532</v>
      </c>
      <c r="B28" s="283"/>
      <c r="C28" s="81">
        <v>30</v>
      </c>
      <c r="D28" s="81" t="str">
        <f>+CONCATENATE(B28,C28,"_")</f>
        <v>30_</v>
      </c>
      <c r="E28" s="82" t="e">
        <f>+MIN(C43:C44)</f>
        <v>#N/A</v>
      </c>
      <c r="F28" s="82">
        <f>+IF(ISNA(F35),F31,F35)</f>
        <v>0</v>
      </c>
      <c r="G28" s="82">
        <f>+IF(ISNA(G35),G31,G35)</f>
        <v>0</v>
      </c>
    </row>
    <row r="29" spans="1:7" ht="18.75" hidden="1" customHeight="1" x14ac:dyDescent="0.25">
      <c r="D29"/>
    </row>
    <row r="30" spans="1:7" ht="15" hidden="1" customHeight="1" x14ac:dyDescent="0.25">
      <c r="B30" s="128" t="s">
        <v>416</v>
      </c>
      <c r="C30" s="295"/>
      <c r="D30" s="121"/>
      <c r="E30" s="121"/>
      <c r="F30" s="121" t="s">
        <v>1452</v>
      </c>
      <c r="G30" s="121" t="s">
        <v>1453</v>
      </c>
    </row>
    <row r="31" spans="1:7" ht="18" hidden="1" customHeight="1" x14ac:dyDescent="0.25">
      <c r="B31" s="129" t="s">
        <v>323</v>
      </c>
      <c r="C31" s="122" t="e">
        <f>+VLOOKUP(D28,'BDD-Guides'!$AA$3:$AE$706,3,FALSE)</f>
        <v>#N/A</v>
      </c>
      <c r="D31" s="101" t="s">
        <v>324</v>
      </c>
      <c r="E31" s="101"/>
      <c r="F31" s="101">
        <v>0</v>
      </c>
      <c r="G31" s="101">
        <v>0</v>
      </c>
    </row>
    <row r="32" spans="1:7" ht="17.25" hidden="1" customHeight="1" x14ac:dyDescent="0.25">
      <c r="B32" s="129" t="s">
        <v>325</v>
      </c>
      <c r="C32" s="122" t="e">
        <f>VLOOKUP(D28,'BDD-Guides'!$AA$3:$AE$706,5,FALSE)</f>
        <v>#N/A</v>
      </c>
      <c r="D32" s="101" t="s">
        <v>324</v>
      </c>
      <c r="E32" s="101"/>
      <c r="F32" s="101"/>
      <c r="G32" s="101"/>
    </row>
    <row r="33" spans="2:7" ht="12" hidden="1" customHeight="1" x14ac:dyDescent="0.25">
      <c r="C33" s="95"/>
      <c r="D33" s="352"/>
    </row>
    <row r="34" spans="2:7" ht="15.75" hidden="1" customHeight="1" x14ac:dyDescent="0.25">
      <c r="B34" s="128" t="s">
        <v>414</v>
      </c>
      <c r="C34" s="123"/>
      <c r="D34" s="121"/>
      <c r="E34" s="121" t="s">
        <v>412</v>
      </c>
      <c r="F34" s="121" t="s">
        <v>1452</v>
      </c>
      <c r="G34" s="121" t="s">
        <v>1453</v>
      </c>
    </row>
    <row r="35" spans="2:7" ht="15.75" hidden="1" customHeight="1" x14ac:dyDescent="0.25">
      <c r="B35" s="129" t="s">
        <v>323</v>
      </c>
      <c r="C35" s="122" t="e">
        <f>+VLOOKUP(D28,'BDD-Modèles'!$BK$3:$BP$2000,4,FALSE)</f>
        <v>#N/A</v>
      </c>
      <c r="D35" s="101" t="s">
        <v>324</v>
      </c>
      <c r="E35" s="101" t="str">
        <f>IF(ISNA(C35),"KO",C35)</f>
        <v>KO</v>
      </c>
      <c r="F35" s="101" t="e">
        <f>+VLOOKUP(D28,'BDD-Modèles'!$BK$3:$BZ$1454,16,FALSE)</f>
        <v>#N/A</v>
      </c>
      <c r="G35" s="101" t="e">
        <f>+VLOOKUP(D28,'BDD-Modèles'!$BK$2:$CO$1454,31,FALSE)</f>
        <v>#N/A</v>
      </c>
    </row>
    <row r="36" spans="2:7" ht="14.25" hidden="1" customHeight="1" x14ac:dyDescent="0.25">
      <c r="B36" s="129" t="s">
        <v>325</v>
      </c>
      <c r="C36" s="122" t="e">
        <f>+VLOOKUP(D28,'BDD-Modèles'!$BK$3:$BP$2000,6,FALSE)</f>
        <v>#N/A</v>
      </c>
      <c r="D36" s="101" t="s">
        <v>324</v>
      </c>
      <c r="E36" s="101" t="str">
        <f>IF(ISNA(C36),"KO",C36)</f>
        <v>KO</v>
      </c>
      <c r="F36" s="101"/>
      <c r="G36" s="101"/>
    </row>
    <row r="37" spans="2:7" ht="12.75" hidden="1" customHeight="1" x14ac:dyDescent="0.25">
      <c r="C37" s="95"/>
      <c r="D37" s="352"/>
    </row>
    <row r="38" spans="2:7" ht="15" hidden="1" customHeight="1" x14ac:dyDescent="0.25">
      <c r="B38" s="128" t="s">
        <v>415</v>
      </c>
      <c r="C38" s="123"/>
      <c r="D38" s="121"/>
    </row>
    <row r="39" spans="2:7" ht="17.25" hidden="1" customHeight="1" x14ac:dyDescent="0.25">
      <c r="B39" s="129" t="s">
        <v>323</v>
      </c>
      <c r="C39" s="122" t="e">
        <f>+IF(E35="KO",C31,C35)</f>
        <v>#N/A</v>
      </c>
      <c r="D39" s="101" t="s">
        <v>324</v>
      </c>
    </row>
    <row r="40" spans="2:7" ht="18" hidden="1" customHeight="1" x14ac:dyDescent="0.25">
      <c r="B40" s="129" t="s">
        <v>325</v>
      </c>
      <c r="C40" s="122" t="e">
        <f>+IF(E36="KO",C32,C36)</f>
        <v>#N/A</v>
      </c>
      <c r="D40" s="101" t="s">
        <v>324</v>
      </c>
    </row>
    <row r="41" spans="2:7" ht="25.5" hidden="1" customHeight="1" x14ac:dyDescent="0.25">
      <c r="D41" s="352"/>
    </row>
    <row r="42" spans="2:7" ht="15" hidden="1" customHeight="1" x14ac:dyDescent="0.25">
      <c r="B42" s="132" t="s">
        <v>405</v>
      </c>
      <c r="C42" s="296"/>
      <c r="D42" s="121"/>
    </row>
    <row r="43" spans="2:7" ht="33.75" hidden="1" customHeight="1" x14ac:dyDescent="0.25">
      <c r="B43" s="133" t="s">
        <v>406</v>
      </c>
      <c r="C43" s="297" t="e">
        <f>+C39-$D$4</f>
        <v>#N/A</v>
      </c>
      <c r="D43" s="134" t="s">
        <v>324</v>
      </c>
    </row>
    <row r="44" spans="2:7" ht="18.75" hidden="1" customHeight="1" x14ac:dyDescent="0.25">
      <c r="B44" s="133" t="s">
        <v>407</v>
      </c>
      <c r="C44" s="297" t="e">
        <f>+C40-$E$4</f>
        <v>#N/A</v>
      </c>
      <c r="D44" s="134" t="s">
        <v>324</v>
      </c>
    </row>
    <row r="45" spans="2:7" ht="59.25" customHeight="1" x14ac:dyDescent="0.25">
      <c r="D45"/>
    </row>
    <row r="46" spans="2:7" ht="47.25" customHeight="1" x14ac:dyDescent="0.25">
      <c r="D46"/>
    </row>
    <row r="47" spans="2:7" x14ac:dyDescent="0.25">
      <c r="D47"/>
    </row>
    <row r="48" spans="2:7" hidden="1" x14ac:dyDescent="0.25">
      <c r="B48" s="128" t="s">
        <v>416</v>
      </c>
      <c r="C48" s="295"/>
      <c r="D48" s="121"/>
      <c r="E48" s="121"/>
      <c r="F48" s="121" t="s">
        <v>1452</v>
      </c>
      <c r="G48" s="121" t="s">
        <v>1453</v>
      </c>
    </row>
    <row r="49" spans="2:7" hidden="1" x14ac:dyDescent="0.25">
      <c r="B49" s="129" t="s">
        <v>323</v>
      </c>
      <c r="C49" s="122" t="e">
        <f>+VLOOKUP(#REF!,'BDD-Guides'!$AA$3:$AE$706,3,FALSE)</f>
        <v>#REF!</v>
      </c>
      <c r="D49" s="101" t="s">
        <v>324</v>
      </c>
      <c r="E49" s="101"/>
      <c r="F49" s="101">
        <v>0</v>
      </c>
      <c r="G49" s="101">
        <v>0</v>
      </c>
    </row>
    <row r="50" spans="2:7" hidden="1" x14ac:dyDescent="0.25">
      <c r="B50" s="129" t="s">
        <v>325</v>
      </c>
      <c r="C50" s="122" t="e">
        <f>VLOOKUP(#REF!,'BDD-Guides'!$AA$3:$AE$706,5,FALSE)</f>
        <v>#REF!</v>
      </c>
      <c r="D50" s="101" t="s">
        <v>324</v>
      </c>
      <c r="E50" s="101"/>
      <c r="F50" s="101"/>
      <c r="G50" s="101"/>
    </row>
    <row r="51" spans="2:7" hidden="1" x14ac:dyDescent="0.25">
      <c r="C51" s="95"/>
      <c r="D51" s="361"/>
    </row>
    <row r="52" spans="2:7" hidden="1" x14ac:dyDescent="0.25">
      <c r="B52" s="128" t="s">
        <v>414</v>
      </c>
      <c r="C52" s="123"/>
      <c r="D52" s="121"/>
      <c r="E52" s="121" t="s">
        <v>412</v>
      </c>
      <c r="F52" s="121" t="s">
        <v>1452</v>
      </c>
      <c r="G52" s="121" t="s">
        <v>1453</v>
      </c>
    </row>
    <row r="53" spans="2:7" hidden="1" x14ac:dyDescent="0.25">
      <c r="B53" s="129" t="s">
        <v>323</v>
      </c>
      <c r="C53" s="122" t="e">
        <f>+VLOOKUP(#REF!,'BDD-Modèles'!$BK$3:$BP$2000,4,FALSE)</f>
        <v>#REF!</v>
      </c>
      <c r="D53" s="101" t="s">
        <v>324</v>
      </c>
      <c r="E53" s="101" t="e">
        <f>IF(ISNA(C53),"KO",C53)</f>
        <v>#REF!</v>
      </c>
      <c r="F53" s="101" t="e">
        <f>+VLOOKUP(#REF!,'BDD-Modèles'!$BK$3:$BZ$1454,16,FALSE)</f>
        <v>#REF!</v>
      </c>
      <c r="G53" s="101" t="e">
        <f>+VLOOKUP(#REF!,'BDD-Modèles'!$BK$2:$CO$1454,31,FALSE)</f>
        <v>#REF!</v>
      </c>
    </row>
    <row r="54" spans="2:7" hidden="1" x14ac:dyDescent="0.25">
      <c r="B54" s="129" t="s">
        <v>325</v>
      </c>
      <c r="C54" s="122" t="e">
        <f>+VLOOKUP(#REF!,'BDD-Modèles'!$BK$3:$BP$2000,6,FALSE)</f>
        <v>#REF!</v>
      </c>
      <c r="D54" s="101" t="s">
        <v>324</v>
      </c>
      <c r="E54" s="101" t="e">
        <f>IF(ISNA(C54),"KO",C54)</f>
        <v>#REF!</v>
      </c>
      <c r="F54" s="101"/>
      <c r="G54" s="101"/>
    </row>
    <row r="55" spans="2:7" hidden="1" x14ac:dyDescent="0.25">
      <c r="C55" s="95"/>
      <c r="D55" s="361"/>
    </row>
    <row r="56" spans="2:7" hidden="1" x14ac:dyDescent="0.25">
      <c r="B56" s="128" t="s">
        <v>415</v>
      </c>
      <c r="C56" s="123"/>
      <c r="D56" s="121"/>
    </row>
    <row r="57" spans="2:7" hidden="1" x14ac:dyDescent="0.25">
      <c r="B57" s="129" t="s">
        <v>323</v>
      </c>
      <c r="C57" s="122" t="e">
        <f>+IF(E53="KO",C49,C53)</f>
        <v>#REF!</v>
      </c>
      <c r="D57" s="101" t="s">
        <v>324</v>
      </c>
    </row>
    <row r="58" spans="2:7" hidden="1" x14ac:dyDescent="0.25">
      <c r="B58" s="129" t="s">
        <v>325</v>
      </c>
      <c r="C58" s="122" t="e">
        <f>+IF(E54="KO",C50,C54)</f>
        <v>#REF!</v>
      </c>
      <c r="D58" s="101" t="s">
        <v>324</v>
      </c>
    </row>
    <row r="59" spans="2:7" hidden="1" x14ac:dyDescent="0.25">
      <c r="D59" s="361"/>
    </row>
    <row r="60" spans="2:7" hidden="1" x14ac:dyDescent="0.25">
      <c r="B60" s="132" t="s">
        <v>405</v>
      </c>
      <c r="C60" s="296"/>
      <c r="D60" s="121"/>
    </row>
    <row r="61" spans="2:7" ht="30" hidden="1" x14ac:dyDescent="0.25">
      <c r="B61" s="133" t="s">
        <v>406</v>
      </c>
      <c r="C61" s="297" t="e">
        <f>+C57-$D$4</f>
        <v>#REF!</v>
      </c>
      <c r="D61" s="134" t="s">
        <v>324</v>
      </c>
    </row>
    <row r="62" spans="2:7" hidden="1" x14ac:dyDescent="0.25">
      <c r="B62" s="133" t="s">
        <v>407</v>
      </c>
      <c r="C62" s="297" t="e">
        <f>+C58-$E$4</f>
        <v>#REF!</v>
      </c>
      <c r="D62" s="134" t="s">
        <v>324</v>
      </c>
    </row>
    <row r="63" spans="2:7" hidden="1" x14ac:dyDescent="0.25">
      <c r="D63"/>
    </row>
    <row r="64" spans="2:7" hidden="1" x14ac:dyDescent="0.25">
      <c r="D64"/>
    </row>
    <row r="65" spans="1:7" x14ac:dyDescent="0.25">
      <c r="D65" s="361"/>
    </row>
    <row r="66" spans="1:7" x14ac:dyDescent="0.25">
      <c r="D66" s="361"/>
    </row>
    <row r="67" spans="1:7" x14ac:dyDescent="0.25">
      <c r="D67" s="361"/>
    </row>
    <row r="69" spans="1:7" ht="23.25" x14ac:dyDescent="0.35">
      <c r="B69" s="284" t="s">
        <v>1445</v>
      </c>
    </row>
    <row r="71" spans="1:7" x14ac:dyDescent="0.25">
      <c r="B71" s="79" t="s">
        <v>200</v>
      </c>
      <c r="C71" s="79" t="s">
        <v>321</v>
      </c>
      <c r="D71" s="79" t="s">
        <v>322</v>
      </c>
      <c r="E71" s="79" t="s">
        <v>413</v>
      </c>
      <c r="F71" s="79"/>
      <c r="G71" s="79"/>
    </row>
    <row r="72" spans="1:7" x14ac:dyDescent="0.25">
      <c r="A72" s="282" t="s">
        <v>1535</v>
      </c>
      <c r="B72" s="278" t="s">
        <v>676</v>
      </c>
      <c r="C72" s="81" t="s">
        <v>1409</v>
      </c>
      <c r="D72" s="100" t="str">
        <f>+CONCATENATE(B72,C72)</f>
        <v>Chêne-liège30ap</v>
      </c>
      <c r="E72" s="119">
        <f>+VLOOKUP(D72,'Autre source1'!S7:$T$25,2,FALSE)</f>
        <v>123.91625466888145</v>
      </c>
      <c r="F72" s="119"/>
      <c r="G72" s="119"/>
    </row>
    <row r="73" spans="1:7" x14ac:dyDescent="0.25">
      <c r="A73" s="282"/>
    </row>
    <row r="74" spans="1:7" x14ac:dyDescent="0.25">
      <c r="A74" s="282"/>
      <c r="B74" s="79" t="s">
        <v>200</v>
      </c>
      <c r="C74" s="79" t="s">
        <v>321</v>
      </c>
      <c r="D74" s="79" t="s">
        <v>322</v>
      </c>
      <c r="E74" s="79" t="s">
        <v>413</v>
      </c>
      <c r="F74" s="79"/>
      <c r="G74" s="79"/>
    </row>
    <row r="75" spans="1:7" x14ac:dyDescent="0.25">
      <c r="A75" s="282" t="s">
        <v>1423</v>
      </c>
      <c r="B75" s="278" t="s">
        <v>906</v>
      </c>
      <c r="C75" s="81" t="s">
        <v>1409</v>
      </c>
      <c r="D75" s="100" t="str">
        <f>+CONCATENATE(B75,C75)</f>
        <v>Pin parasol30ap</v>
      </c>
      <c r="E75" s="119">
        <f>+VLOOKUP(D75,'Autres sources2'!S10:$T$25,2,FALSE)</f>
        <v>138.94127301667513</v>
      </c>
      <c r="F75" s="119"/>
      <c r="G75" s="119"/>
    </row>
    <row r="77" spans="1:7" hidden="1" x14ac:dyDescent="0.25">
      <c r="A77" s="282"/>
      <c r="B77" s="79" t="s">
        <v>200</v>
      </c>
      <c r="C77" s="79" t="s">
        <v>321</v>
      </c>
      <c r="D77" s="79" t="s">
        <v>322</v>
      </c>
      <c r="E77" s="79" t="s">
        <v>413</v>
      </c>
      <c r="F77" s="79"/>
      <c r="G77" s="79"/>
    </row>
    <row r="78" spans="1:7" hidden="1" x14ac:dyDescent="0.25">
      <c r="A78" s="282" t="s">
        <v>1537</v>
      </c>
      <c r="B78" s="278"/>
      <c r="C78" s="81" t="s">
        <v>1409</v>
      </c>
      <c r="D78" s="100" t="str">
        <f>+CONCATENATE(B78,C78)</f>
        <v>30ap</v>
      </c>
      <c r="E78" s="119" t="e">
        <f>+VLOOKUP(D78,'Autres sources3'!S13:$T$25,2,FALSE)</f>
        <v>#N/A</v>
      </c>
      <c r="F78" s="119"/>
      <c r="G78" s="119"/>
    </row>
    <row r="81" spans="1:6" ht="23.25" x14ac:dyDescent="0.35">
      <c r="B81" s="284" t="s">
        <v>1444</v>
      </c>
    </row>
    <row r="83" spans="1:6" ht="30" x14ac:dyDescent="0.25">
      <c r="B83" s="285" t="s">
        <v>1425</v>
      </c>
      <c r="C83" s="285" t="s">
        <v>1533</v>
      </c>
      <c r="D83" s="285" t="s">
        <v>1426</v>
      </c>
    </row>
    <row r="84" spans="1:6" x14ac:dyDescent="0.25">
      <c r="B84" s="286" t="s">
        <v>1427</v>
      </c>
      <c r="C84" s="292" t="s">
        <v>1437</v>
      </c>
      <c r="D84" s="287">
        <f>+IF(C84="non",-20%,0%)</f>
        <v>0</v>
      </c>
    </row>
    <row r="85" spans="1:6" x14ac:dyDescent="0.25">
      <c r="B85" s="286" t="s">
        <v>1534</v>
      </c>
      <c r="C85" s="292" t="s">
        <v>1437</v>
      </c>
      <c r="D85" s="287">
        <f>+IF(C85="non",-10%,0%)</f>
        <v>0</v>
      </c>
    </row>
    <row r="86" spans="1:6" ht="30" x14ac:dyDescent="0.25">
      <c r="B86" s="286" t="s">
        <v>1430</v>
      </c>
      <c r="C86" s="285"/>
      <c r="D86" s="287" t="s">
        <v>1431</v>
      </c>
    </row>
    <row r="87" spans="1:6" ht="30" x14ac:dyDescent="0.25">
      <c r="B87" s="288" t="s">
        <v>1432</v>
      </c>
      <c r="C87" s="292" t="s">
        <v>1439</v>
      </c>
      <c r="D87" s="287">
        <f>IF(C87="Fort ou très fort",-15%,IF(C87="Moyen",-10%,IF(OR(C87="Très faible ou faible",C87="Classement non clair par commune"),-5%,0%)))</f>
        <v>-0.15</v>
      </c>
    </row>
    <row r="88" spans="1:6" x14ac:dyDescent="0.25">
      <c r="B88" s="286" t="s">
        <v>1433</v>
      </c>
      <c r="C88" s="285" t="s">
        <v>1434</v>
      </c>
      <c r="D88" s="293">
        <v>-0.1</v>
      </c>
    </row>
    <row r="89" spans="1:6" ht="30" x14ac:dyDescent="0.25">
      <c r="B89"/>
      <c r="C89" s="289" t="s">
        <v>1536</v>
      </c>
      <c r="D89" s="294">
        <f>+(1+D84)*(D85+1)*(1+D87)*(1+D88)</f>
        <v>0.76500000000000001</v>
      </c>
    </row>
    <row r="92" spans="1:6" ht="23.25" x14ac:dyDescent="0.35">
      <c r="B92" s="284" t="s">
        <v>1475</v>
      </c>
    </row>
    <row r="93" spans="1:6" ht="23.25" x14ac:dyDescent="0.35">
      <c r="B93" s="284"/>
      <c r="D93" s="281"/>
    </row>
    <row r="94" spans="1:6" s="112" customFormat="1" ht="45" x14ac:dyDescent="0.25">
      <c r="B94" s="285" t="s">
        <v>1471</v>
      </c>
      <c r="C94" s="285" t="s">
        <v>1472</v>
      </c>
      <c r="D94" s="285" t="s">
        <v>1473</v>
      </c>
      <c r="E94" s="285" t="s">
        <v>1474</v>
      </c>
      <c r="F94" s="363" t="s">
        <v>1538</v>
      </c>
    </row>
    <row r="95" spans="1:6" x14ac:dyDescent="0.25">
      <c r="A95" s="282" t="s">
        <v>896</v>
      </c>
      <c r="B95" s="306">
        <f>+E9+F9+G9</f>
        <v>293.63295722273341</v>
      </c>
      <c r="C95" s="307">
        <f>+B95*$D$89</f>
        <v>224.62921227539107</v>
      </c>
      <c r="D95" s="309">
        <v>33.44</v>
      </c>
      <c r="E95" s="308">
        <f>+C95*D95</f>
        <v>7511.6008584890769</v>
      </c>
      <c r="F95" s="364">
        <f>+D95*B95</f>
        <v>9819.086089528204</v>
      </c>
    </row>
    <row r="96" spans="1:6" x14ac:dyDescent="0.25">
      <c r="A96" s="282" t="s">
        <v>1545</v>
      </c>
      <c r="B96" s="306">
        <f>+E72</f>
        <v>123.91625466888145</v>
      </c>
      <c r="C96" s="307">
        <f t="shared" ref="C96" si="0">+B96*$D$89</f>
        <v>94.795934821694317</v>
      </c>
      <c r="D96" s="309">
        <v>2.4</v>
      </c>
      <c r="E96" s="308">
        <f t="shared" ref="E96:E97" si="1">+C96*D96</f>
        <v>227.51024357206634</v>
      </c>
      <c r="F96" s="364">
        <f t="shared" ref="F96:F97" si="2">+D96*B96</f>
        <v>297.39901120531545</v>
      </c>
    </row>
    <row r="97" spans="1:6" x14ac:dyDescent="0.25">
      <c r="A97" s="282" t="s">
        <v>906</v>
      </c>
      <c r="B97" s="306">
        <f>+E75</f>
        <v>138.94127301667513</v>
      </c>
      <c r="C97" s="307">
        <f>+B97*$D$89</f>
        <v>106.29007385775647</v>
      </c>
      <c r="D97" s="309">
        <v>2</v>
      </c>
      <c r="E97" s="308">
        <f t="shared" si="1"/>
        <v>212.58014771551294</v>
      </c>
      <c r="F97" s="364">
        <f t="shared" si="2"/>
        <v>277.88254603335025</v>
      </c>
    </row>
    <row r="98" spans="1:6" x14ac:dyDescent="0.25">
      <c r="A98" s="358"/>
      <c r="B98" s="359"/>
      <c r="C98" s="360"/>
      <c r="D98" s="362" t="s">
        <v>1515</v>
      </c>
      <c r="E98" s="362">
        <f>+SUM(E95:E97)</f>
        <v>7951.6912497766562</v>
      </c>
      <c r="F98" s="364">
        <f>+SUM(F95:F97)</f>
        <v>10394.36764676687</v>
      </c>
    </row>
    <row r="99" spans="1:6" x14ac:dyDescent="0.25">
      <c r="D99" s="362" t="s">
        <v>1516</v>
      </c>
      <c r="E99" s="362">
        <f>+SUM(E95:E97)/SUM(D95:D97)</f>
        <v>210.13983218225837</v>
      </c>
      <c r="F99" s="364">
        <f>+F98/SUM(D95:D97)</f>
        <v>274.69259108791942</v>
      </c>
    </row>
  </sheetData>
  <mergeCells count="2">
    <mergeCell ref="B3:C3"/>
    <mergeCell ref="B4:C4"/>
  </mergeCells>
  <phoneticPr fontId="21" type="noConversion"/>
  <conditionalFormatting sqref="D8">
    <cfRule type="duplicateValues" dxfId="34" priority="166"/>
  </conditionalFormatting>
  <conditionalFormatting sqref="B3 D3">
    <cfRule type="duplicateValues" dxfId="33" priority="159"/>
  </conditionalFormatting>
  <conditionalFormatting sqref="E3">
    <cfRule type="duplicateValues" dxfId="32" priority="158"/>
  </conditionalFormatting>
  <conditionalFormatting sqref="B8:C8">
    <cfRule type="duplicateValues" dxfId="31" priority="168"/>
  </conditionalFormatting>
  <conditionalFormatting sqref="E8">
    <cfRule type="duplicateValues" dxfId="30" priority="143"/>
  </conditionalFormatting>
  <conditionalFormatting sqref="D71">
    <cfRule type="duplicateValues" dxfId="29" priority="129"/>
  </conditionalFormatting>
  <conditionalFormatting sqref="E71">
    <cfRule type="duplicateValues" dxfId="28" priority="128"/>
  </conditionalFormatting>
  <conditionalFormatting sqref="C71">
    <cfRule type="duplicateValues" dxfId="27" priority="127"/>
  </conditionalFormatting>
  <conditionalFormatting sqref="B71">
    <cfRule type="duplicateValues" dxfId="26" priority="169"/>
  </conditionalFormatting>
  <conditionalFormatting sqref="D74">
    <cfRule type="duplicateValues" dxfId="25" priority="116"/>
  </conditionalFormatting>
  <conditionalFormatting sqref="E74">
    <cfRule type="duplicateValues" dxfId="24" priority="115"/>
  </conditionalFormatting>
  <conditionalFormatting sqref="C74">
    <cfRule type="duplicateValues" dxfId="23" priority="114"/>
  </conditionalFormatting>
  <conditionalFormatting sqref="B74">
    <cfRule type="duplicateValues" dxfId="22" priority="117"/>
  </conditionalFormatting>
  <conditionalFormatting sqref="D77">
    <cfRule type="duplicateValues" dxfId="21" priority="112"/>
  </conditionalFormatting>
  <conditionalFormatting sqref="E77">
    <cfRule type="duplicateValues" dxfId="20" priority="111"/>
  </conditionalFormatting>
  <conditionalFormatting sqref="C77">
    <cfRule type="duplicateValues" dxfId="19" priority="110"/>
  </conditionalFormatting>
  <conditionalFormatting sqref="B77">
    <cfRule type="duplicateValues" dxfId="18" priority="113"/>
  </conditionalFormatting>
  <conditionalFormatting sqref="F3">
    <cfRule type="duplicateValues" dxfId="17" priority="109"/>
  </conditionalFormatting>
  <conditionalFormatting sqref="F8">
    <cfRule type="duplicateValues" dxfId="16" priority="108"/>
  </conditionalFormatting>
  <conditionalFormatting sqref="F71">
    <cfRule type="duplicateValues" dxfId="15" priority="107"/>
  </conditionalFormatting>
  <conditionalFormatting sqref="F74">
    <cfRule type="duplicateValues" dxfId="14" priority="103"/>
  </conditionalFormatting>
  <conditionalFormatting sqref="F77">
    <cfRule type="duplicateValues" dxfId="13" priority="102"/>
  </conditionalFormatting>
  <conditionalFormatting sqref="G3">
    <cfRule type="duplicateValues" dxfId="12" priority="83"/>
  </conditionalFormatting>
  <conditionalFormatting sqref="G8">
    <cfRule type="duplicateValues" dxfId="11" priority="82"/>
  </conditionalFormatting>
  <conditionalFormatting sqref="G71">
    <cfRule type="duplicateValues" dxfId="10" priority="81"/>
  </conditionalFormatting>
  <conditionalFormatting sqref="G74">
    <cfRule type="duplicateValues" dxfId="9" priority="80"/>
  </conditionalFormatting>
  <conditionalFormatting sqref="G77">
    <cfRule type="duplicateValues" dxfId="8" priority="79"/>
  </conditionalFormatting>
  <conditionalFormatting sqref="D27">
    <cfRule type="duplicateValues" dxfId="7" priority="30"/>
  </conditionalFormatting>
  <conditionalFormatting sqref="B27:C27">
    <cfRule type="duplicateValues" dxfId="6" priority="31"/>
  </conditionalFormatting>
  <conditionalFormatting sqref="E27">
    <cfRule type="duplicateValues" dxfId="5" priority="29"/>
  </conditionalFormatting>
  <conditionalFormatting sqref="F27">
    <cfRule type="duplicateValues" dxfId="4" priority="28"/>
  </conditionalFormatting>
  <conditionalFormatting sqref="G27">
    <cfRule type="duplicateValues" dxfId="3" priority="27"/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'Sc de ref'!$A$2:$A$5</xm:f>
          </x14:formula1>
          <xm:sqref>B4</xm:sqref>
        </x14:dataValidation>
        <x14:dataValidation type="list" allowBlank="1" showInputMessage="1" showErrorMessage="1" xr:uid="{00000000-0002-0000-0100-000001000000}">
          <x14:formula1>
            <xm:f>Liste!$C$62:$C$288</xm:f>
          </x14:formula1>
          <xm:sqref>B72 B75 B78</xm:sqref>
        </x14:dataValidation>
        <x14:dataValidation type="list" allowBlank="1" showInputMessage="1" showErrorMessage="1" xr:uid="{00000000-0002-0000-0100-000002000000}">
          <x14:formula1>
            <xm:f>Liste!$C$299:$C$304</xm:f>
          </x14:formula1>
          <xm:sqref>C87</xm:sqref>
        </x14:dataValidation>
        <x14:dataValidation type="list" allowBlank="1" showInputMessage="1" showErrorMessage="1" xr:uid="{00000000-0002-0000-0100-000003000000}">
          <x14:formula1>
            <xm:f>Liste!$C$294:$C$296</xm:f>
          </x14:formula1>
          <xm:sqref>C84:C85</xm:sqref>
        </x14:dataValidation>
        <x14:dataValidation type="list" allowBlank="1" showInputMessage="1" showErrorMessage="1" xr:uid="{00000000-0002-0000-0100-000004000000}">
          <x14:formula1>
            <xm:f>Liste!$G$8:$G$42</xm:f>
          </x14:formula1>
          <xm:sqref>B9 B28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O1716"/>
  <sheetViews>
    <sheetView zoomScale="70" zoomScaleNormal="70" workbookViewId="0">
      <pane ySplit="2" topLeftCell="A1217" activePane="bottomLeft" state="frozen"/>
      <selection activeCell="C1" sqref="C1"/>
      <selection pane="bottomLeft" activeCell="I1592" sqref="I1592"/>
    </sheetView>
  </sheetViews>
  <sheetFormatPr baseColWidth="10" defaultRowHeight="15" x14ac:dyDescent="0.25"/>
  <cols>
    <col min="1" max="1" width="10.7109375" style="4"/>
    <col min="2" max="2" width="12.140625" style="4" customWidth="1"/>
    <col min="3" max="3" width="26.7109375" style="4" bestFit="1" customWidth="1"/>
    <col min="4" max="4" width="29" style="4" bestFit="1" customWidth="1"/>
    <col min="5" max="5" width="65.5703125" style="4" bestFit="1" customWidth="1"/>
    <col min="6" max="6" width="10.7109375" style="4"/>
    <col min="7" max="8" width="10.7109375" style="5"/>
    <col min="9" max="9" width="27.42578125" style="5" bestFit="1" customWidth="1"/>
    <col min="10" max="14" width="10.7109375" style="5"/>
    <col min="15" max="15" width="20.28515625" style="6" bestFit="1" customWidth="1"/>
    <col min="16" max="16" width="30.7109375" style="6" bestFit="1" customWidth="1"/>
    <col min="17" max="17" width="10.7109375" style="6"/>
    <col min="18" max="18" width="22.5703125" style="6" customWidth="1"/>
    <col min="19" max="28" width="10.7109375" style="6"/>
    <col min="29" max="29" width="10.7109375" style="7" customWidth="1"/>
    <col min="30" max="30" width="10.7109375" style="7"/>
    <col min="31" max="31" width="15.5703125" style="7" bestFit="1" customWidth="1"/>
    <col min="32" max="32" width="12.7109375" style="7" bestFit="1" customWidth="1"/>
    <col min="33" max="35" width="12.7109375" style="7" customWidth="1"/>
    <col min="36" max="36" width="15.7109375" style="7" bestFit="1" customWidth="1"/>
    <col min="37" max="38" width="16" style="7" bestFit="1" customWidth="1"/>
    <col min="39" max="44" width="16" style="7" customWidth="1"/>
    <col min="45" max="45" width="9.5703125" style="8" customWidth="1"/>
    <col min="46" max="46" width="10.7109375" style="8"/>
    <col min="47" max="47" width="14.28515625" style="8" bestFit="1" customWidth="1"/>
    <col min="48" max="48" width="12.5703125" style="8" bestFit="1" customWidth="1"/>
    <col min="49" max="49" width="15.42578125" style="8" bestFit="1" customWidth="1"/>
    <col min="50" max="57" width="12.5703125" style="8" customWidth="1"/>
    <col min="58" max="58" width="17.5703125" style="12" bestFit="1" customWidth="1"/>
    <col min="59" max="59" width="12.5703125" style="12" customWidth="1"/>
    <col min="60" max="61" width="10.7109375" style="96"/>
    <col min="62" max="62" width="9.5703125" style="96" customWidth="1"/>
    <col min="63" max="63" width="62.28515625" style="96" customWidth="1"/>
    <col min="64" max="64" width="4.42578125" style="4" customWidth="1"/>
    <col min="65" max="65" width="12.5703125" style="12" customWidth="1"/>
    <col min="66" max="67" width="14.42578125" style="12" bestFit="1" customWidth="1"/>
    <col min="68" max="68" width="18" style="12" bestFit="1" customWidth="1"/>
    <col min="69" max="70" width="15.7109375" style="12" bestFit="1" customWidth="1"/>
    <col min="71" max="71" width="15.7109375" style="12" customWidth="1"/>
    <col min="72" max="72" width="10.7109375" style="298" customWidth="1"/>
    <col min="73" max="73" width="12.28515625" style="298" customWidth="1"/>
    <col min="74" max="74" width="11.5703125" style="300" bestFit="1" customWidth="1"/>
    <col min="75" max="75" width="12.42578125" style="298" bestFit="1" customWidth="1"/>
    <col min="76" max="76" width="25.42578125" style="298" customWidth="1"/>
    <col min="78" max="78" width="10.7109375" style="304"/>
  </cols>
  <sheetData>
    <row r="1" spans="1:93" x14ac:dyDescent="0.25">
      <c r="AV1" s="8">
        <v>0</v>
      </c>
      <c r="CI1" t="s">
        <v>1464</v>
      </c>
      <c r="CJ1">
        <f>+LN(2)/35</f>
        <v>1.980420515885558E-2</v>
      </c>
      <c r="CK1">
        <f>+LN(2)/25</f>
        <v>2.7725887222397813E-2</v>
      </c>
      <c r="CL1">
        <f>+LN(2)/2</f>
        <v>0.34657359027997264</v>
      </c>
    </row>
    <row r="2" spans="1:93" s="112" customFormat="1" ht="75" x14ac:dyDescent="0.25">
      <c r="A2" s="4" t="s">
        <v>54</v>
      </c>
      <c r="B2" s="4" t="s">
        <v>1478</v>
      </c>
      <c r="C2" s="4" t="s">
        <v>55</v>
      </c>
      <c r="D2" s="4" t="s">
        <v>57</v>
      </c>
      <c r="E2" s="4" t="s">
        <v>86</v>
      </c>
      <c r="F2" s="4" t="s">
        <v>58</v>
      </c>
      <c r="G2" s="5" t="s">
        <v>0</v>
      </c>
      <c r="H2" s="5" t="s">
        <v>29</v>
      </c>
      <c r="I2" s="5" t="s">
        <v>30</v>
      </c>
      <c r="J2" s="5" t="s">
        <v>56</v>
      </c>
      <c r="K2" s="5" t="s">
        <v>60</v>
      </c>
      <c r="L2" s="5" t="s">
        <v>189</v>
      </c>
      <c r="M2" s="5" t="s">
        <v>150</v>
      </c>
      <c r="N2" s="5" t="s">
        <v>172</v>
      </c>
      <c r="O2" s="6" t="s">
        <v>71</v>
      </c>
      <c r="P2" s="6" t="s">
        <v>79</v>
      </c>
      <c r="Q2" s="6" t="s">
        <v>82</v>
      </c>
      <c r="R2" s="6" t="s">
        <v>85</v>
      </c>
      <c r="S2" s="6" t="s">
        <v>61</v>
      </c>
      <c r="T2" s="6" t="s">
        <v>59</v>
      </c>
      <c r="U2" s="6" t="s">
        <v>76</v>
      </c>
      <c r="V2" s="6" t="s">
        <v>77</v>
      </c>
      <c r="W2" s="6" t="s">
        <v>70</v>
      </c>
      <c r="X2" s="6" t="s">
        <v>72</v>
      </c>
      <c r="Y2" s="6" t="s">
        <v>73</v>
      </c>
      <c r="Z2" s="6" t="s">
        <v>74</v>
      </c>
      <c r="AA2" s="6" t="s">
        <v>75</v>
      </c>
      <c r="AB2" s="6" t="s">
        <v>187</v>
      </c>
      <c r="AC2" s="7" t="s">
        <v>50</v>
      </c>
      <c r="AD2" s="7" t="s">
        <v>51</v>
      </c>
      <c r="AE2" s="7" t="s">
        <v>2</v>
      </c>
      <c r="AF2" s="7" t="s">
        <v>4</v>
      </c>
      <c r="AG2" s="7" t="s">
        <v>5</v>
      </c>
      <c r="AH2" s="7" t="s">
        <v>6</v>
      </c>
      <c r="AI2" s="7" t="s">
        <v>7</v>
      </c>
      <c r="AJ2" s="7" t="s">
        <v>152</v>
      </c>
      <c r="AK2" s="7" t="s">
        <v>151</v>
      </c>
      <c r="AL2" s="7" t="s">
        <v>153</v>
      </c>
      <c r="AM2" s="7" t="s">
        <v>417</v>
      </c>
      <c r="AN2" s="7" t="s">
        <v>1479</v>
      </c>
      <c r="AO2" s="7" t="s">
        <v>1480</v>
      </c>
      <c r="AP2" s="7" t="s">
        <v>1481</v>
      </c>
      <c r="AQ2" s="7" t="s">
        <v>1482</v>
      </c>
      <c r="AR2" s="7" t="s">
        <v>1483</v>
      </c>
      <c r="AS2" s="8" t="s">
        <v>168</v>
      </c>
      <c r="AT2" s="8" t="s">
        <v>13</v>
      </c>
      <c r="AU2" s="8" t="s">
        <v>1484</v>
      </c>
      <c r="AV2" s="8" t="s">
        <v>23</v>
      </c>
      <c r="AW2" s="8" t="s">
        <v>14</v>
      </c>
      <c r="AX2" s="8" t="s">
        <v>167</v>
      </c>
      <c r="AY2" s="8" t="s">
        <v>1485</v>
      </c>
      <c r="AZ2" s="8" t="s">
        <v>1486</v>
      </c>
      <c r="BA2" s="8" t="s">
        <v>1487</v>
      </c>
      <c r="BB2" s="8" t="s">
        <v>1488</v>
      </c>
      <c r="BC2" s="8" t="s">
        <v>1489</v>
      </c>
      <c r="BD2" s="8" t="s">
        <v>1490</v>
      </c>
      <c r="BE2" s="8" t="s">
        <v>1491</v>
      </c>
      <c r="BF2" s="12" t="s">
        <v>161</v>
      </c>
      <c r="BG2" s="12" t="s">
        <v>155</v>
      </c>
      <c r="BH2" s="301" t="s">
        <v>421</v>
      </c>
      <c r="BI2" s="301" t="s">
        <v>409</v>
      </c>
      <c r="BJ2" s="301" t="s">
        <v>321</v>
      </c>
      <c r="BK2" s="301" t="s">
        <v>1506</v>
      </c>
      <c r="BL2" s="11" t="s">
        <v>1511</v>
      </c>
      <c r="BM2" s="12" t="s">
        <v>156</v>
      </c>
      <c r="BN2" s="12" t="s">
        <v>41</v>
      </c>
      <c r="BO2" s="12" t="s">
        <v>45</v>
      </c>
      <c r="BP2" s="12" t="s">
        <v>19</v>
      </c>
      <c r="BQ2" s="12" t="s">
        <v>1492</v>
      </c>
      <c r="BR2" s="12" t="s">
        <v>43</v>
      </c>
      <c r="BS2" s="12" t="s">
        <v>44</v>
      </c>
      <c r="BT2" s="301" t="s">
        <v>1446</v>
      </c>
      <c r="BU2" s="301" t="s">
        <v>1447</v>
      </c>
      <c r="BV2" s="302" t="s">
        <v>1448</v>
      </c>
      <c r="BW2" s="301" t="s">
        <v>1449</v>
      </c>
      <c r="BX2" s="301" t="s">
        <v>1450</v>
      </c>
      <c r="BY2" s="112" t="s">
        <v>1457</v>
      </c>
      <c r="BZ2" s="303" t="s">
        <v>1451</v>
      </c>
      <c r="CA2" s="112" t="s">
        <v>1454</v>
      </c>
      <c r="CB2" s="112" t="s">
        <v>1455</v>
      </c>
      <c r="CC2" s="112" t="s">
        <v>1456</v>
      </c>
      <c r="CD2" s="112" t="s">
        <v>1458</v>
      </c>
      <c r="CE2" s="112" t="s">
        <v>1460</v>
      </c>
      <c r="CF2" s="112" t="s">
        <v>1459</v>
      </c>
      <c r="CG2" s="112" t="s">
        <v>1461</v>
      </c>
      <c r="CH2" s="112" t="s">
        <v>1462</v>
      </c>
      <c r="CI2" s="112" t="s">
        <v>1463</v>
      </c>
      <c r="CJ2" s="112" t="s">
        <v>1465</v>
      </c>
      <c r="CK2" s="112" t="s">
        <v>1466</v>
      </c>
      <c r="CL2" s="112" t="s">
        <v>1467</v>
      </c>
      <c r="CM2" s="112" t="s">
        <v>1468</v>
      </c>
      <c r="CN2" s="112" t="s">
        <v>1469</v>
      </c>
      <c r="CO2" s="112" t="s">
        <v>1470</v>
      </c>
    </row>
    <row r="3" spans="1:93" ht="14.65" customHeight="1" x14ac:dyDescent="0.25">
      <c r="A3" s="4">
        <v>2020</v>
      </c>
      <c r="C3" s="4" t="s">
        <v>62</v>
      </c>
      <c r="D3" s="4" t="s">
        <v>63</v>
      </c>
      <c r="F3" s="4" t="s">
        <v>90</v>
      </c>
      <c r="G3" s="5" t="s">
        <v>8</v>
      </c>
      <c r="H3" s="5" t="s">
        <v>11</v>
      </c>
      <c r="I3" s="5" t="s">
        <v>12</v>
      </c>
      <c r="J3" s="5" t="s">
        <v>9</v>
      </c>
      <c r="K3" s="5">
        <v>40</v>
      </c>
      <c r="L3" s="5" t="s">
        <v>190</v>
      </c>
      <c r="M3" s="5">
        <v>1666</v>
      </c>
      <c r="N3" s="5" t="s">
        <v>171</v>
      </c>
      <c r="O3" s="6" t="s">
        <v>81</v>
      </c>
      <c r="P3" s="6" t="s">
        <v>83</v>
      </c>
      <c r="S3" s="6">
        <v>17</v>
      </c>
      <c r="T3" s="6">
        <v>15.63</v>
      </c>
      <c r="U3" s="6">
        <v>1600</v>
      </c>
      <c r="V3" s="6">
        <v>27.89</v>
      </c>
      <c r="W3" s="6">
        <v>30</v>
      </c>
      <c r="X3" s="6">
        <v>428</v>
      </c>
      <c r="Y3" s="6">
        <v>863</v>
      </c>
      <c r="Z3" s="6">
        <v>267</v>
      </c>
      <c r="AA3" s="6">
        <v>12</v>
      </c>
      <c r="AB3" s="6">
        <v>0</v>
      </c>
      <c r="AC3" s="7">
        <v>17</v>
      </c>
      <c r="AD3" s="7" t="s">
        <v>52</v>
      </c>
      <c r="AE3" s="7">
        <v>15.63</v>
      </c>
      <c r="AF3" s="7">
        <v>1600</v>
      </c>
      <c r="AG3" s="7">
        <v>27.89</v>
      </c>
      <c r="AH3" s="7">
        <v>14.9</v>
      </c>
      <c r="AI3" s="7">
        <v>22.13</v>
      </c>
      <c r="AJ3" s="9">
        <v>170.86882340448199</v>
      </c>
      <c r="AK3" s="9">
        <v>170.93628820000001</v>
      </c>
      <c r="AL3" s="9">
        <v>207.66902652826701</v>
      </c>
      <c r="AM3" s="9">
        <v>27.894031902211601</v>
      </c>
      <c r="AN3" s="9">
        <v>1.6408254060124501</v>
      </c>
      <c r="AO3" s="9">
        <v>2.76517017913728</v>
      </c>
      <c r="AP3" s="9">
        <v>207.66902652826701</v>
      </c>
      <c r="AQ3" s="9">
        <v>12.2158250898981</v>
      </c>
      <c r="AR3" s="9">
        <v>30.091154954288999</v>
      </c>
      <c r="AS3" s="10"/>
      <c r="AV3" s="10">
        <v>0</v>
      </c>
      <c r="BF3" s="12">
        <v>0.43</v>
      </c>
      <c r="BG3" s="13">
        <v>155.52679512333333</v>
      </c>
      <c r="BH3" s="96" t="str">
        <f>+VLOOKUP(G3,Liste!$A$7:$G$50,3,FALSE)</f>
        <v>Douglas</v>
      </c>
      <c r="BI3" s="96" t="str">
        <f>+VLOOKUP(H3,Liste!$B$7:$G$50,5,FALSE)</f>
        <v>National</v>
      </c>
      <c r="BJ3" s="135">
        <f t="shared" ref="BJ3:BJ66" si="0">+AC3</f>
        <v>17</v>
      </c>
      <c r="BK3" s="135" t="str">
        <f>+_xlfn.CONCAT(BH3,"_",J3,"_",I3,"_",BI3,"_",BJ3,"_")</f>
        <v>Douglas_F1_Entree 17-18m, densité haute_National_17_</v>
      </c>
      <c r="BL3" s="322"/>
      <c r="BM3" s="13">
        <v>42.489291576666659</v>
      </c>
      <c r="BN3" s="13">
        <v>198.01608671245756</v>
      </c>
      <c r="BP3" s="13">
        <v>323.23</v>
      </c>
      <c r="BQ3" s="13">
        <v>27.932233370109</v>
      </c>
      <c r="BT3" s="298" t="str">
        <f>+VLOOKUP(G3,Liste!$A$7:$H$50,8,FALSE)</f>
        <v>Résineux</v>
      </c>
      <c r="BU3" s="298">
        <f>IF(BT3="Résineux",0%,100%)</f>
        <v>0</v>
      </c>
      <c r="BV3" s="300">
        <f>+IF(BT3="Résineux",100%,0%)</f>
        <v>1</v>
      </c>
      <c r="BW3" s="321">
        <v>0</v>
      </c>
      <c r="BX3" s="298">
        <f>+IF(BV3&lt;&gt;0,0.43,0.25)</f>
        <v>0.43</v>
      </c>
      <c r="BY3">
        <f>+IF(BJ3&lt;=30,AV3*BX3,0)</f>
        <v>0</v>
      </c>
      <c r="BZ3" s="304">
        <v>0</v>
      </c>
      <c r="CB3" s="299">
        <v>0.6</v>
      </c>
      <c r="CC3" s="299">
        <v>0.4</v>
      </c>
      <c r="CD3">
        <f>+IF(BJ3&lt;=31,AV3*CA3*0.5,0)</f>
        <v>0</v>
      </c>
      <c r="CE3">
        <f>IF(BJ3&lt;=31,AV3*CB3,0)</f>
        <v>0</v>
      </c>
      <c r="CF3">
        <f>IF(BJ3&lt;=31,AV3*CC3,0)</f>
        <v>0</v>
      </c>
      <c r="CG3">
        <f>CD3*44/12*0.475*BF3</f>
        <v>0</v>
      </c>
      <c r="CH3">
        <f>CE3*44/12*0.475*BF3</f>
        <v>0</v>
      </c>
      <c r="CI3">
        <f>CF3*44/12*0.475*BF3</f>
        <v>0</v>
      </c>
      <c r="CJ3">
        <v>0</v>
      </c>
      <c r="CK3">
        <v>0</v>
      </c>
      <c r="CL3">
        <v>0</v>
      </c>
      <c r="CM3">
        <f>+CJ3+CK3+CL3</f>
        <v>0</v>
      </c>
      <c r="CN3">
        <v>0</v>
      </c>
      <c r="CO3">
        <f t="shared" ref="CO3:CO66" si="1">+IF(BJ3=30,CN3/30,0)</f>
        <v>0</v>
      </c>
    </row>
    <row r="4" spans="1:93" ht="14.65" customHeight="1" x14ac:dyDescent="0.25">
      <c r="A4" s="4">
        <v>2020</v>
      </c>
      <c r="C4" s="4" t="s">
        <v>62</v>
      </c>
      <c r="D4" s="4" t="s">
        <v>63</v>
      </c>
      <c r="F4" s="4" t="s">
        <v>90</v>
      </c>
      <c r="G4" s="5" t="s">
        <v>8</v>
      </c>
      <c r="H4" s="5" t="s">
        <v>11</v>
      </c>
      <c r="I4" s="5" t="s">
        <v>12</v>
      </c>
      <c r="J4" s="5" t="s">
        <v>9</v>
      </c>
      <c r="K4" s="5">
        <v>40</v>
      </c>
      <c r="L4" s="5" t="s">
        <v>190</v>
      </c>
      <c r="M4" s="5">
        <v>1666</v>
      </c>
      <c r="N4" s="5" t="s">
        <v>171</v>
      </c>
      <c r="O4" s="6" t="s">
        <v>81</v>
      </c>
      <c r="P4" s="6" t="s">
        <v>83</v>
      </c>
      <c r="S4" s="6">
        <v>17</v>
      </c>
      <c r="T4" s="6">
        <v>15.63</v>
      </c>
      <c r="U4" s="6">
        <v>1600</v>
      </c>
      <c r="V4" s="6">
        <v>27.89</v>
      </c>
      <c r="W4" s="6">
        <v>30</v>
      </c>
      <c r="X4" s="6">
        <v>428</v>
      </c>
      <c r="Y4" s="6">
        <v>863</v>
      </c>
      <c r="Z4" s="6">
        <v>267</v>
      </c>
      <c r="AA4" s="6">
        <v>12</v>
      </c>
      <c r="AB4" s="6">
        <v>0</v>
      </c>
      <c r="AC4" s="7">
        <v>18</v>
      </c>
      <c r="AD4" s="7" t="s">
        <v>52</v>
      </c>
      <c r="AE4" s="7">
        <v>16.53</v>
      </c>
      <c r="AF4" s="7">
        <v>1599</v>
      </c>
      <c r="AG4" s="7">
        <v>30.66</v>
      </c>
      <c r="AH4" s="7">
        <v>15.62</v>
      </c>
      <c r="AI4" s="7">
        <v>23.26</v>
      </c>
      <c r="AJ4" s="9">
        <v>196.273449563084</v>
      </c>
      <c r="AK4" s="9">
        <v>196.36287770000001</v>
      </c>
      <c r="AL4" s="9">
        <v>237.757500176447</v>
      </c>
      <c r="AM4" s="9">
        <v>30.659202081348901</v>
      </c>
      <c r="AN4" s="9">
        <v>1.70328900451938</v>
      </c>
      <c r="AO4" s="9">
        <v>2.1861340322876801</v>
      </c>
      <c r="AP4" s="9">
        <v>237.76018148255599</v>
      </c>
      <c r="AQ4" s="9">
        <v>13.208898971253101</v>
      </c>
      <c r="AR4" s="9">
        <v>23.472711836958599</v>
      </c>
      <c r="AS4" s="10"/>
      <c r="AV4" s="10">
        <v>0</v>
      </c>
      <c r="BF4" s="12">
        <v>0.43</v>
      </c>
      <c r="BG4" s="13">
        <v>178.06055450333335</v>
      </c>
      <c r="BH4" s="96" t="str">
        <f>+VLOOKUP(G4,Liste!$A$7:$G$50,3,FALSE)</f>
        <v>Douglas</v>
      </c>
      <c r="BI4" s="96" t="str">
        <f>+VLOOKUP(H4,Liste!$B$7:$G$50,5,FALSE)</f>
        <v>National</v>
      </c>
      <c r="BJ4" s="135">
        <f t="shared" si="0"/>
        <v>18</v>
      </c>
      <c r="BK4" s="135" t="str">
        <f t="shared" ref="BK4:BK67" si="2">+_xlfn.CONCAT(BH4,"_",J4,"_",I4,"_",BI4,"_",BJ4,"_")</f>
        <v>Douglas_F1_Entree 17-18m, densité haute_National_18_</v>
      </c>
      <c r="BL4" s="322"/>
      <c r="BM4" s="13">
        <v>47.88528029666665</v>
      </c>
      <c r="BN4" s="13">
        <v>225.94583484158181</v>
      </c>
      <c r="BP4" s="13">
        <v>323.23</v>
      </c>
      <c r="BQ4" s="13">
        <v>21.733151325935001</v>
      </c>
      <c r="BT4" s="298" t="str">
        <f>+VLOOKUP(G4,Liste!$A$7:$H$50,8,FALSE)</f>
        <v>Résineux</v>
      </c>
      <c r="BU4" s="298">
        <f t="shared" ref="BU4:BU67" si="3">IF(BT4="Résineux",0%,100%)</f>
        <v>0</v>
      </c>
      <c r="BV4" s="300">
        <f t="shared" ref="BV4:BV67" si="4">+IF(BT4="Résineux",100%,0%)</f>
        <v>1</v>
      </c>
      <c r="BW4" s="321">
        <v>0</v>
      </c>
      <c r="BX4" s="298">
        <f t="shared" ref="BX4:BX67" si="5">+IF(BV4&lt;&gt;0,0.43,0.25)</f>
        <v>0.43</v>
      </c>
      <c r="BY4">
        <f t="shared" ref="BY4:BY67" si="6">+IF(BJ4&lt;=30,AV4*BX4,0)</f>
        <v>0</v>
      </c>
      <c r="BZ4" s="304">
        <f t="shared" ref="BZ4:BZ67" si="7">+IF(BJ4&gt;=31,0,BY4+BZ3)</f>
        <v>0</v>
      </c>
      <c r="CB4" s="299">
        <v>0.6</v>
      </c>
      <c r="CC4" s="299">
        <v>0.4</v>
      </c>
      <c r="CD4">
        <f t="shared" ref="CD4:CD67" si="8">+IF(BJ4&lt;=31,AV4*CA4*0.5,0)</f>
        <v>0</v>
      </c>
      <c r="CE4">
        <f t="shared" ref="CE4:CE67" si="9">IF(BJ4&lt;=31,AV4*CB4,0)</f>
        <v>0</v>
      </c>
      <c r="CF4">
        <f t="shared" ref="CF4:CF67" si="10">IF(BJ4&lt;=31,AV4*CC4,0)</f>
        <v>0</v>
      </c>
      <c r="CG4">
        <f t="shared" ref="CG4:CG67" si="11">CD4*44/12*0.475*BF4</f>
        <v>0</v>
      </c>
      <c r="CH4">
        <f t="shared" ref="CH4:CH67" si="12">CE4*44/12*0.475*BF4</f>
        <v>0</v>
      </c>
      <c r="CI4">
        <f t="shared" ref="CI4:CI67" si="13">CF4*44/12*0.475*BF4</f>
        <v>0</v>
      </c>
      <c r="CJ4">
        <f t="shared" ref="CJ4:CJ67" si="14">+IF(BJ4&lt;=31,CJ3*EXP(-$CJ$1)+CG3*(1-EXP(-$CJ$1))/$CJ$1,0)</f>
        <v>0</v>
      </c>
      <c r="CK4">
        <f t="shared" ref="CK4:CK67" si="15">+IF(BJ4&lt;=31,CK3*EXP(-$CK$1)+CH3*(1-EXP(-$CK$1))/$CK$1,0)</f>
        <v>0</v>
      </c>
      <c r="CL4">
        <f t="shared" ref="CL4:CL67" si="16">+IF(BJ4&lt;=31,CL3*EXP(-$CL$1)+CI3*(1-EXP(-$CL$1))/$CL$1,0)</f>
        <v>0</v>
      </c>
      <c r="CM4">
        <f t="shared" ref="CM4" si="17">+CJ4+CK4+CL4</f>
        <v>0</v>
      </c>
      <c r="CN4">
        <f t="shared" ref="CN4:CN67" si="18">+IF(BJ4&lt;=31,CM4+CN3,0)</f>
        <v>0</v>
      </c>
      <c r="CO4">
        <f t="shared" si="1"/>
        <v>0</v>
      </c>
    </row>
    <row r="5" spans="1:93" ht="14.65" customHeight="1" x14ac:dyDescent="0.25">
      <c r="A5" s="4">
        <v>2020</v>
      </c>
      <c r="C5" s="4" t="s">
        <v>62</v>
      </c>
      <c r="D5" s="4" t="s">
        <v>63</v>
      </c>
      <c r="F5" s="4" t="s">
        <v>90</v>
      </c>
      <c r="G5" s="5" t="s">
        <v>8</v>
      </c>
      <c r="H5" s="5" t="s">
        <v>11</v>
      </c>
      <c r="I5" s="5" t="s">
        <v>12</v>
      </c>
      <c r="J5" s="5" t="s">
        <v>9</v>
      </c>
      <c r="K5" s="5">
        <v>40</v>
      </c>
      <c r="L5" s="5" t="s">
        <v>190</v>
      </c>
      <c r="M5" s="5">
        <v>1666</v>
      </c>
      <c r="N5" s="5" t="s">
        <v>171</v>
      </c>
      <c r="O5" s="6" t="s">
        <v>81</v>
      </c>
      <c r="P5" s="6" t="s">
        <v>83</v>
      </c>
      <c r="S5" s="6">
        <v>17</v>
      </c>
      <c r="T5" s="6">
        <v>15.63</v>
      </c>
      <c r="U5" s="6">
        <v>1600</v>
      </c>
      <c r="V5" s="6">
        <v>27.89</v>
      </c>
      <c r="W5" s="6">
        <v>30</v>
      </c>
      <c r="X5" s="6">
        <v>428</v>
      </c>
      <c r="Y5" s="6">
        <v>863</v>
      </c>
      <c r="Z5" s="6">
        <v>267</v>
      </c>
      <c r="AA5" s="6">
        <v>12</v>
      </c>
      <c r="AB5" s="6">
        <v>0</v>
      </c>
      <c r="AC5" s="7">
        <v>18</v>
      </c>
      <c r="AD5" s="7" t="s">
        <v>53</v>
      </c>
      <c r="AE5" s="7">
        <v>16.53</v>
      </c>
      <c r="AF5" s="7">
        <v>730</v>
      </c>
      <c r="AG5" s="7">
        <v>18.75</v>
      </c>
      <c r="AH5" s="7">
        <v>18.079999999999998</v>
      </c>
      <c r="AI5" s="7">
        <v>23.26</v>
      </c>
      <c r="AJ5" s="9">
        <v>127.003378035956</v>
      </c>
      <c r="AK5" s="9">
        <v>127.0801743</v>
      </c>
      <c r="AL5" s="9">
        <v>147.685614217264</v>
      </c>
      <c r="AM5" s="9">
        <v>30.659202081348901</v>
      </c>
      <c r="AN5" s="9">
        <v>1.70328900451938</v>
      </c>
      <c r="AO5" s="9">
        <v>2.1861340322876801</v>
      </c>
      <c r="AP5" s="9">
        <v>237.76018148255599</v>
      </c>
      <c r="AQ5" s="9">
        <v>13.208898971253101</v>
      </c>
      <c r="AR5" s="9">
        <v>23.472711836958599</v>
      </c>
      <c r="AS5" s="73">
        <v>869</v>
      </c>
      <c r="AT5" s="8">
        <v>11.91</v>
      </c>
      <c r="AU5" s="10">
        <v>13.209946290098735</v>
      </c>
      <c r="AV5" s="10">
        <v>69.270071527127996</v>
      </c>
      <c r="AW5" s="8">
        <v>0.71</v>
      </c>
      <c r="AX5" s="74">
        <v>7.9712395313150747E-2</v>
      </c>
      <c r="AY5" s="314">
        <f t="shared" ref="AY5:AY47" si="19">IF(AD5="ap",IF(AU5&lt;=45,0,1.80306-(53.52431/AU5)-(1182.78539/(AU5^2))),"")</f>
        <v>0</v>
      </c>
      <c r="AZ5" s="314">
        <f t="shared" ref="AZ5:AZ47" si="20">IF(AD5="ap",IF(AU5&lt;=20,0,(0.76104+(25.23841/AU5)-(764.19392/AU5^2))-AY5),"")</f>
        <v>0</v>
      </c>
      <c r="BA5" s="315">
        <f t="shared" ref="BA5:BA47" si="21">IF(AD5="ap",(1.00532-(0.17086/AU5)-(9.5151/ AU5^2))-(AY5+AZ5),"")</f>
        <v>0.93785885065534613</v>
      </c>
      <c r="BB5" s="10">
        <f t="shared" ref="BB5:BB47" si="22">IF(AD5="ap",(AY5+AZ5)*47.01%*AV5+BA5*AV5*0%,"")</f>
        <v>0</v>
      </c>
      <c r="BC5" s="10">
        <f t="shared" ref="BC5:BC47" si="23">IF(AD5="ap",(AY5+AZ5)*10.36%*AV5+BA5*AV5*54.06%,"")</f>
        <v>35.120376150113124</v>
      </c>
      <c r="BD5" s="10">
        <f t="shared" ref="BD5:BD47" si="24">IF(AD5="ap",(AY5+AZ5)*7.36%*AV5+BA5*AV5*28%,"")</f>
        <v>18.190353906828847</v>
      </c>
      <c r="BE5" s="10">
        <f t="shared" ref="BE5:BE47" si="25">IF(AD5="ap",(AY5+AZ5)*34.59%*AV5+BA5*AV5*5.58%,"")</f>
        <v>3.6250776714323205</v>
      </c>
      <c r="BF5" s="12">
        <v>0.43</v>
      </c>
      <c r="BG5" s="13">
        <v>110.60421789999999</v>
      </c>
      <c r="BH5" s="96" t="str">
        <f>+VLOOKUP(G5,Liste!$A$7:$G$50,3,FALSE)</f>
        <v>Douglas</v>
      </c>
      <c r="BI5" s="96" t="str">
        <f>+VLOOKUP(H5,Liste!$B$7:$G$50,5,FALSE)</f>
        <v>National</v>
      </c>
      <c r="BJ5" s="135">
        <f t="shared" si="0"/>
        <v>18</v>
      </c>
      <c r="BK5" s="135" t="str">
        <f t="shared" si="2"/>
        <v>Douglas_F1_Entree 17-18m, densité haute_National_18_</v>
      </c>
      <c r="BL5" s="322"/>
      <c r="BM5" s="13">
        <v>31.439603500000018</v>
      </c>
      <c r="BN5" s="13">
        <v>142.0438213996274</v>
      </c>
      <c r="BO5" s="13">
        <v>83.902013441954409</v>
      </c>
      <c r="BP5" s="13">
        <v>323.23</v>
      </c>
      <c r="BQ5" s="13">
        <v>21.733151325935001</v>
      </c>
      <c r="BT5" s="298" t="str">
        <f>+VLOOKUP(G5,Liste!$A$7:$H$50,8,FALSE)</f>
        <v>Résineux</v>
      </c>
      <c r="BU5" s="298">
        <f t="shared" si="3"/>
        <v>0</v>
      </c>
      <c r="BV5" s="300">
        <f t="shared" si="4"/>
        <v>1</v>
      </c>
      <c r="BW5" s="321">
        <v>0</v>
      </c>
      <c r="BX5" s="298">
        <f t="shared" si="5"/>
        <v>0.43</v>
      </c>
      <c r="BY5">
        <f t="shared" si="6"/>
        <v>29.786130756665038</v>
      </c>
      <c r="BZ5" s="304">
        <f t="shared" si="7"/>
        <v>29.786130756665038</v>
      </c>
      <c r="CB5" s="299">
        <v>0.6</v>
      </c>
      <c r="CC5" s="299">
        <v>0.4</v>
      </c>
      <c r="CD5">
        <f t="shared" si="8"/>
        <v>0</v>
      </c>
      <c r="CE5">
        <f t="shared" si="9"/>
        <v>41.562042916276795</v>
      </c>
      <c r="CF5">
        <f t="shared" si="10"/>
        <v>27.708028610851201</v>
      </c>
      <c r="CG5">
        <f t="shared" si="11"/>
        <v>0</v>
      </c>
      <c r="CH5">
        <f t="shared" si="12"/>
        <v>31.126506640714958</v>
      </c>
      <c r="CI5">
        <f t="shared" si="13"/>
        <v>20.751004427143307</v>
      </c>
      <c r="CJ5">
        <f t="shared" si="14"/>
        <v>0</v>
      </c>
      <c r="CK5">
        <f t="shared" si="15"/>
        <v>0</v>
      </c>
      <c r="CL5">
        <f t="shared" si="16"/>
        <v>0</v>
      </c>
      <c r="CM5">
        <f t="shared" ref="CM5:CM68" si="26">+CJ5+CK5+CL5</f>
        <v>0</v>
      </c>
      <c r="CN5">
        <f t="shared" si="18"/>
        <v>0</v>
      </c>
      <c r="CO5">
        <f t="shared" si="1"/>
        <v>0</v>
      </c>
    </row>
    <row r="6" spans="1:93" ht="14.65" customHeight="1" x14ac:dyDescent="0.25">
      <c r="A6" s="4">
        <v>2020</v>
      </c>
      <c r="C6" s="4" t="s">
        <v>62</v>
      </c>
      <c r="D6" s="4" t="s">
        <v>63</v>
      </c>
      <c r="F6" s="4" t="s">
        <v>90</v>
      </c>
      <c r="G6" s="5" t="s">
        <v>8</v>
      </c>
      <c r="H6" s="5" t="s">
        <v>11</v>
      </c>
      <c r="I6" s="5" t="s">
        <v>12</v>
      </c>
      <c r="J6" s="5" t="s">
        <v>9</v>
      </c>
      <c r="K6" s="5">
        <v>40</v>
      </c>
      <c r="L6" s="5" t="s">
        <v>190</v>
      </c>
      <c r="M6" s="5">
        <v>1666</v>
      </c>
      <c r="N6" s="5" t="s">
        <v>171</v>
      </c>
      <c r="O6" s="6" t="s">
        <v>81</v>
      </c>
      <c r="P6" s="6" t="s">
        <v>83</v>
      </c>
      <c r="S6" s="6">
        <v>17</v>
      </c>
      <c r="T6" s="6">
        <v>15.63</v>
      </c>
      <c r="U6" s="6">
        <v>1600</v>
      </c>
      <c r="V6" s="6">
        <v>27.89</v>
      </c>
      <c r="W6" s="6">
        <v>30</v>
      </c>
      <c r="X6" s="6">
        <v>428</v>
      </c>
      <c r="Y6" s="6">
        <v>863</v>
      </c>
      <c r="Z6" s="6">
        <v>267</v>
      </c>
      <c r="AA6" s="6">
        <v>12</v>
      </c>
      <c r="AB6" s="6">
        <v>0</v>
      </c>
      <c r="AC6" s="7">
        <v>19</v>
      </c>
      <c r="AD6" s="7" t="s">
        <v>52</v>
      </c>
      <c r="AE6" s="7">
        <v>17.420000000000002</v>
      </c>
      <c r="AF6" s="7">
        <v>730</v>
      </c>
      <c r="AG6" s="7">
        <v>20.93</v>
      </c>
      <c r="AH6" s="7">
        <v>19.11</v>
      </c>
      <c r="AI6" s="7">
        <v>24.48</v>
      </c>
      <c r="AJ6" s="9">
        <v>148.464964498531</v>
      </c>
      <c r="AK6" s="9">
        <v>148.57070849999999</v>
      </c>
      <c r="AL6" s="9">
        <v>171.15832605422301</v>
      </c>
      <c r="AM6" s="9">
        <v>32.845336113636598</v>
      </c>
      <c r="AN6" s="9">
        <v>1.72870190071771</v>
      </c>
      <c r="AO6" s="9">
        <v>2.20090228236108</v>
      </c>
      <c r="AP6" s="9">
        <v>261.23289331951497</v>
      </c>
      <c r="AQ6" s="9">
        <v>13.7490996483955</v>
      </c>
      <c r="AR6" s="9">
        <v>24.944145746535899</v>
      </c>
      <c r="AS6" s="73" t="s">
        <v>169</v>
      </c>
      <c r="AU6" s="10" t="s">
        <v>169</v>
      </c>
      <c r="AV6" s="10">
        <v>0</v>
      </c>
      <c r="AX6" s="74" t="s">
        <v>169</v>
      </c>
      <c r="AY6" s="314" t="str">
        <f t="shared" si="19"/>
        <v/>
      </c>
      <c r="AZ6" s="314" t="str">
        <f t="shared" si="20"/>
        <v/>
      </c>
      <c r="BA6" s="315" t="str">
        <f t="shared" si="21"/>
        <v/>
      </c>
      <c r="BB6" s="10" t="str">
        <f t="shared" si="22"/>
        <v/>
      </c>
      <c r="BC6" s="10" t="str">
        <f t="shared" si="23"/>
        <v/>
      </c>
      <c r="BD6" s="10" t="str">
        <f t="shared" si="24"/>
        <v/>
      </c>
      <c r="BE6" s="10" t="str">
        <f t="shared" si="25"/>
        <v/>
      </c>
      <c r="BF6" s="12">
        <v>0.43</v>
      </c>
      <c r="BG6" s="13">
        <v>128.18332303333332</v>
      </c>
      <c r="BH6" s="96" t="str">
        <f>+VLOOKUP(G6,Liste!$A$7:$G$50,3,FALSE)</f>
        <v>Douglas</v>
      </c>
      <c r="BI6" s="96" t="str">
        <f>+VLOOKUP(H6,Liste!$B$7:$G$50,5,FALSE)</f>
        <v>National</v>
      </c>
      <c r="BJ6" s="135">
        <f t="shared" si="0"/>
        <v>19</v>
      </c>
      <c r="BK6" s="135" t="str">
        <f t="shared" si="2"/>
        <v>Douglas_F1_Entree 17-18m, densité haute_National_19_</v>
      </c>
      <c r="BL6" s="322"/>
      <c r="BM6" s="13">
        <v>35.81626806666668</v>
      </c>
      <c r="BN6" s="13">
        <v>163.9995910933963</v>
      </c>
      <c r="BP6" s="13">
        <v>323.23</v>
      </c>
      <c r="BQ6" s="13">
        <v>23.0481953156701</v>
      </c>
      <c r="BT6" s="298" t="str">
        <f>+VLOOKUP(G6,Liste!$A$7:$H$50,8,FALSE)</f>
        <v>Résineux</v>
      </c>
      <c r="BU6" s="298">
        <f t="shared" si="3"/>
        <v>0</v>
      </c>
      <c r="BV6" s="300">
        <f t="shared" si="4"/>
        <v>1</v>
      </c>
      <c r="BW6" s="321">
        <v>0</v>
      </c>
      <c r="BX6" s="298">
        <f t="shared" si="5"/>
        <v>0.43</v>
      </c>
      <c r="BY6">
        <f t="shared" si="6"/>
        <v>0</v>
      </c>
      <c r="BZ6" s="304">
        <f t="shared" si="7"/>
        <v>29.786130756665038</v>
      </c>
      <c r="CB6" s="299">
        <v>0.6</v>
      </c>
      <c r="CC6" s="299">
        <v>0.4</v>
      </c>
      <c r="CD6">
        <f t="shared" si="8"/>
        <v>0</v>
      </c>
      <c r="CE6">
        <f t="shared" si="9"/>
        <v>0</v>
      </c>
      <c r="CF6">
        <f t="shared" si="10"/>
        <v>0</v>
      </c>
      <c r="CG6">
        <f t="shared" si="11"/>
        <v>0</v>
      </c>
      <c r="CH6">
        <f t="shared" si="12"/>
        <v>0</v>
      </c>
      <c r="CI6">
        <f t="shared" si="13"/>
        <v>0</v>
      </c>
      <c r="CJ6">
        <f t="shared" si="14"/>
        <v>0</v>
      </c>
      <c r="CK6">
        <f t="shared" si="15"/>
        <v>30.698962097580939</v>
      </c>
      <c r="CL6">
        <f t="shared" si="16"/>
        <v>17.536906015742144</v>
      </c>
      <c r="CM6">
        <f t="shared" si="26"/>
        <v>48.235868113323079</v>
      </c>
      <c r="CN6">
        <f t="shared" si="18"/>
        <v>48.235868113323079</v>
      </c>
      <c r="CO6">
        <f t="shared" si="1"/>
        <v>0</v>
      </c>
    </row>
    <row r="7" spans="1:93" ht="14.65" customHeight="1" x14ac:dyDescent="0.25">
      <c r="A7" s="4">
        <v>2020</v>
      </c>
      <c r="C7" s="4" t="s">
        <v>62</v>
      </c>
      <c r="D7" s="4" t="s">
        <v>63</v>
      </c>
      <c r="F7" s="4" t="s">
        <v>90</v>
      </c>
      <c r="G7" s="5" t="s">
        <v>8</v>
      </c>
      <c r="H7" s="5" t="s">
        <v>11</v>
      </c>
      <c r="I7" s="5" t="s">
        <v>12</v>
      </c>
      <c r="J7" s="5" t="s">
        <v>9</v>
      </c>
      <c r="K7" s="5">
        <v>40</v>
      </c>
      <c r="L7" s="5" t="s">
        <v>190</v>
      </c>
      <c r="M7" s="5">
        <v>1666</v>
      </c>
      <c r="N7" s="5" t="s">
        <v>171</v>
      </c>
      <c r="O7" s="6" t="s">
        <v>81</v>
      </c>
      <c r="P7" s="6" t="s">
        <v>83</v>
      </c>
      <c r="S7" s="6">
        <v>17</v>
      </c>
      <c r="T7" s="6">
        <v>15.63</v>
      </c>
      <c r="U7" s="6">
        <v>1600</v>
      </c>
      <c r="V7" s="6">
        <v>27.89</v>
      </c>
      <c r="W7" s="6">
        <v>30</v>
      </c>
      <c r="X7" s="6">
        <v>428</v>
      </c>
      <c r="Y7" s="6">
        <v>863</v>
      </c>
      <c r="Z7" s="6">
        <v>267</v>
      </c>
      <c r="AA7" s="6">
        <v>12</v>
      </c>
      <c r="AB7" s="6">
        <v>0</v>
      </c>
      <c r="AC7" s="7">
        <v>20</v>
      </c>
      <c r="AD7" s="7" t="s">
        <v>52</v>
      </c>
      <c r="AE7" s="7">
        <v>18.3</v>
      </c>
      <c r="AF7" s="7">
        <v>730</v>
      </c>
      <c r="AG7" s="7">
        <v>23.13</v>
      </c>
      <c r="AH7" s="7">
        <v>20.09</v>
      </c>
      <c r="AI7" s="7">
        <v>25.67</v>
      </c>
      <c r="AJ7" s="9">
        <v>170.79472377642301</v>
      </c>
      <c r="AK7" s="9">
        <v>170.95385390000001</v>
      </c>
      <c r="AL7" s="9">
        <v>196.10247180075899</v>
      </c>
      <c r="AM7" s="9">
        <v>35.046238395997598</v>
      </c>
      <c r="AN7" s="9">
        <v>1.75231191979988</v>
      </c>
      <c r="AO7" s="9">
        <v>2.20448251988892</v>
      </c>
      <c r="AP7" s="9">
        <v>286.17703906604999</v>
      </c>
      <c r="AQ7" s="9">
        <v>14.308851953302501</v>
      </c>
      <c r="AR7" s="9">
        <v>26.335262084220101</v>
      </c>
      <c r="AS7" s="73" t="s">
        <v>169</v>
      </c>
      <c r="AU7" s="10" t="s">
        <v>169</v>
      </c>
      <c r="AV7" s="10">
        <v>0</v>
      </c>
      <c r="AX7" s="74" t="s">
        <v>169</v>
      </c>
      <c r="AY7" s="314" t="str">
        <f t="shared" si="19"/>
        <v/>
      </c>
      <c r="AZ7" s="314" t="str">
        <f t="shared" si="20"/>
        <v/>
      </c>
      <c r="BA7" s="315" t="str">
        <f t="shared" si="21"/>
        <v/>
      </c>
      <c r="BB7" s="10" t="str">
        <f t="shared" si="22"/>
        <v/>
      </c>
      <c r="BC7" s="10" t="str">
        <f t="shared" si="23"/>
        <v/>
      </c>
      <c r="BD7" s="10" t="str">
        <f t="shared" si="24"/>
        <v/>
      </c>
      <c r="BE7" s="10" t="str">
        <f t="shared" si="25"/>
        <v/>
      </c>
      <c r="BF7" s="12">
        <v>0.43</v>
      </c>
      <c r="BG7" s="13">
        <v>146.86440952333331</v>
      </c>
      <c r="BH7" s="96" t="str">
        <f>+VLOOKUP(G7,Liste!$A$7:$G$50,3,FALSE)</f>
        <v>Douglas</v>
      </c>
      <c r="BI7" s="96" t="str">
        <f>+VLOOKUP(H7,Liste!$B$7:$G$50,5,FALSE)</f>
        <v>National</v>
      </c>
      <c r="BJ7" s="135">
        <f t="shared" si="0"/>
        <v>20</v>
      </c>
      <c r="BK7" s="135" t="str">
        <f t="shared" si="2"/>
        <v>Douglas_F1_Entree 17-18m, densité haute_National_20_</v>
      </c>
      <c r="BL7" s="322"/>
      <c r="BM7" s="13">
        <v>40.391303676666695</v>
      </c>
      <c r="BN7" s="13">
        <v>187.25571320655726</v>
      </c>
      <c r="BP7" s="13">
        <v>323.23</v>
      </c>
      <c r="BQ7" s="13">
        <v>24.285754484891701</v>
      </c>
      <c r="BT7" s="298" t="str">
        <f>+VLOOKUP(G7,Liste!$A$7:$H$50,8,FALSE)</f>
        <v>Résineux</v>
      </c>
      <c r="BU7" s="298">
        <f t="shared" si="3"/>
        <v>0</v>
      </c>
      <c r="BV7" s="300">
        <f t="shared" si="4"/>
        <v>1</v>
      </c>
      <c r="BW7" s="321">
        <v>0</v>
      </c>
      <c r="BX7" s="298">
        <f t="shared" si="5"/>
        <v>0.43</v>
      </c>
      <c r="BY7">
        <f t="shared" si="6"/>
        <v>0</v>
      </c>
      <c r="BZ7" s="304">
        <f t="shared" si="7"/>
        <v>29.786130756665038</v>
      </c>
      <c r="CB7" s="299">
        <v>0.6</v>
      </c>
      <c r="CC7" s="299">
        <v>0.4</v>
      </c>
      <c r="CD7">
        <f t="shared" si="8"/>
        <v>0</v>
      </c>
      <c r="CE7">
        <f t="shared" si="9"/>
        <v>0</v>
      </c>
      <c r="CF7">
        <f t="shared" si="10"/>
        <v>0</v>
      </c>
      <c r="CG7">
        <f t="shared" si="11"/>
        <v>0</v>
      </c>
      <c r="CH7">
        <f t="shared" si="12"/>
        <v>0</v>
      </c>
      <c r="CI7">
        <f t="shared" si="13"/>
        <v>0</v>
      </c>
      <c r="CJ7">
        <f t="shared" si="14"/>
        <v>0</v>
      </c>
      <c r="CK7">
        <f t="shared" si="15"/>
        <v>29.859497364634336</v>
      </c>
      <c r="CL7">
        <f t="shared" si="16"/>
        <v>12.40046516476243</v>
      </c>
      <c r="CM7">
        <f t="shared" si="26"/>
        <v>42.259962529396766</v>
      </c>
      <c r="CN7">
        <f t="shared" si="18"/>
        <v>90.495830642719852</v>
      </c>
      <c r="CO7">
        <f t="shared" si="1"/>
        <v>0</v>
      </c>
    </row>
    <row r="8" spans="1:93" ht="14.65" customHeight="1" x14ac:dyDescent="0.25">
      <c r="A8" s="4">
        <v>2020</v>
      </c>
      <c r="C8" s="4" t="s">
        <v>62</v>
      </c>
      <c r="D8" s="4" t="s">
        <v>63</v>
      </c>
      <c r="F8" s="4" t="s">
        <v>90</v>
      </c>
      <c r="G8" s="5" t="s">
        <v>8</v>
      </c>
      <c r="H8" s="5" t="s">
        <v>11</v>
      </c>
      <c r="I8" s="5" t="s">
        <v>12</v>
      </c>
      <c r="J8" s="5" t="s">
        <v>9</v>
      </c>
      <c r="K8" s="5">
        <v>40</v>
      </c>
      <c r="L8" s="5" t="s">
        <v>190</v>
      </c>
      <c r="M8" s="5">
        <v>1666</v>
      </c>
      <c r="N8" s="5" t="s">
        <v>171</v>
      </c>
      <c r="O8" s="6" t="s">
        <v>81</v>
      </c>
      <c r="P8" s="6" t="s">
        <v>83</v>
      </c>
      <c r="S8" s="6">
        <v>17</v>
      </c>
      <c r="T8" s="6">
        <v>15.63</v>
      </c>
      <c r="U8" s="6">
        <v>1600</v>
      </c>
      <c r="V8" s="6">
        <v>27.89</v>
      </c>
      <c r="W8" s="6">
        <v>30</v>
      </c>
      <c r="X8" s="6">
        <v>428</v>
      </c>
      <c r="Y8" s="6">
        <v>863</v>
      </c>
      <c r="Z8" s="6">
        <v>267</v>
      </c>
      <c r="AA8" s="6">
        <v>12</v>
      </c>
      <c r="AB8" s="6">
        <v>0</v>
      </c>
      <c r="AC8" s="7">
        <v>21</v>
      </c>
      <c r="AD8" s="7" t="s">
        <v>52</v>
      </c>
      <c r="AE8" s="7">
        <v>19.18</v>
      </c>
      <c r="AF8" s="7">
        <v>730</v>
      </c>
      <c r="AG8" s="7">
        <v>25.34</v>
      </c>
      <c r="AH8" s="7">
        <v>21.02</v>
      </c>
      <c r="AI8" s="7">
        <v>26.82</v>
      </c>
      <c r="AJ8" s="9">
        <v>188.59711612958401</v>
      </c>
      <c r="AK8" s="9">
        <v>188.99487819999999</v>
      </c>
      <c r="AL8" s="9">
        <v>222.437733884979</v>
      </c>
      <c r="AM8" s="9">
        <v>37.250720915886603</v>
      </c>
      <c r="AN8" s="9">
        <v>1.7738438531374501</v>
      </c>
      <c r="AO8" s="9">
        <v>2.1957375904323801</v>
      </c>
      <c r="AP8" s="9">
        <v>312.51230115027101</v>
      </c>
      <c r="AQ8" s="9">
        <v>14.881538150012901</v>
      </c>
      <c r="AR8" s="9">
        <v>27.585897393433701</v>
      </c>
      <c r="AS8" s="73" t="s">
        <v>169</v>
      </c>
      <c r="AU8" s="10" t="s">
        <v>169</v>
      </c>
      <c r="AV8" s="10">
        <v>0</v>
      </c>
      <c r="AX8" s="74" t="s">
        <v>169</v>
      </c>
      <c r="AY8" s="314" t="str">
        <f t="shared" si="19"/>
        <v/>
      </c>
      <c r="AZ8" s="314" t="str">
        <f t="shared" si="20"/>
        <v/>
      </c>
      <c r="BA8" s="315" t="str">
        <f t="shared" si="21"/>
        <v/>
      </c>
      <c r="BB8" s="10" t="str">
        <f t="shared" si="22"/>
        <v/>
      </c>
      <c r="BC8" s="10" t="str">
        <f t="shared" si="23"/>
        <v/>
      </c>
      <c r="BD8" s="10" t="str">
        <f t="shared" si="24"/>
        <v/>
      </c>
      <c r="BE8" s="10" t="str">
        <f t="shared" si="25"/>
        <v/>
      </c>
      <c r="BF8" s="12">
        <v>0.43</v>
      </c>
      <c r="BG8" s="13">
        <v>166.58732621666667</v>
      </c>
      <c r="BH8" s="96" t="str">
        <f>+VLOOKUP(G8,Liste!$A$7:$G$50,3,FALSE)</f>
        <v>Douglas</v>
      </c>
      <c r="BI8" s="96" t="str">
        <f>+VLOOKUP(H8,Liste!$B$7:$G$50,5,FALSE)</f>
        <v>National</v>
      </c>
      <c r="BJ8" s="135">
        <f t="shared" si="0"/>
        <v>21</v>
      </c>
      <c r="BK8" s="135" t="str">
        <f t="shared" si="2"/>
        <v>Douglas_F1_Entree 17-18m, densité haute_National_21_</v>
      </c>
      <c r="BL8" s="322"/>
      <c r="BM8" s="13">
        <v>45.148489883333326</v>
      </c>
      <c r="BN8" s="13">
        <v>211.73581614697821</v>
      </c>
      <c r="BP8" s="13">
        <v>323.23</v>
      </c>
      <c r="BQ8" s="13">
        <v>25.3913083741107</v>
      </c>
      <c r="BT8" s="298" t="str">
        <f>+VLOOKUP(G8,Liste!$A$7:$H$50,8,FALSE)</f>
        <v>Résineux</v>
      </c>
      <c r="BU8" s="298">
        <f t="shared" si="3"/>
        <v>0</v>
      </c>
      <c r="BV8" s="300">
        <f t="shared" si="4"/>
        <v>1</v>
      </c>
      <c r="BW8" s="321">
        <v>0</v>
      </c>
      <c r="BX8" s="298">
        <f t="shared" si="5"/>
        <v>0.43</v>
      </c>
      <c r="BY8">
        <f t="shared" si="6"/>
        <v>0</v>
      </c>
      <c r="BZ8" s="304">
        <f t="shared" si="7"/>
        <v>29.786130756665038</v>
      </c>
      <c r="CB8" s="299">
        <v>0.6</v>
      </c>
      <c r="CC8" s="299">
        <v>0.4</v>
      </c>
      <c r="CD8">
        <f t="shared" si="8"/>
        <v>0</v>
      </c>
      <c r="CE8">
        <f t="shared" si="9"/>
        <v>0</v>
      </c>
      <c r="CF8">
        <f t="shared" si="10"/>
        <v>0</v>
      </c>
      <c r="CG8">
        <f t="shared" si="11"/>
        <v>0</v>
      </c>
      <c r="CH8">
        <f t="shared" si="12"/>
        <v>0</v>
      </c>
      <c r="CI8">
        <f t="shared" si="13"/>
        <v>0</v>
      </c>
      <c r="CJ8">
        <f t="shared" si="14"/>
        <v>0</v>
      </c>
      <c r="CK8">
        <f t="shared" si="15"/>
        <v>29.042987838955689</v>
      </c>
      <c r="CL8">
        <f t="shared" si="16"/>
        <v>8.7684530078710736</v>
      </c>
      <c r="CM8">
        <f t="shared" si="26"/>
        <v>37.811440846826763</v>
      </c>
      <c r="CN8">
        <f t="shared" si="18"/>
        <v>128.30727148954662</v>
      </c>
      <c r="CO8">
        <f t="shared" si="1"/>
        <v>0</v>
      </c>
    </row>
    <row r="9" spans="1:93" ht="14.65" customHeight="1" x14ac:dyDescent="0.25">
      <c r="A9" s="4">
        <v>2020</v>
      </c>
      <c r="C9" s="4" t="s">
        <v>62</v>
      </c>
      <c r="D9" s="4" t="s">
        <v>63</v>
      </c>
      <c r="F9" s="4" t="s">
        <v>90</v>
      </c>
      <c r="G9" s="5" t="s">
        <v>8</v>
      </c>
      <c r="H9" s="5" t="s">
        <v>11</v>
      </c>
      <c r="I9" s="5" t="s">
        <v>12</v>
      </c>
      <c r="J9" s="5" t="s">
        <v>9</v>
      </c>
      <c r="K9" s="5">
        <v>40</v>
      </c>
      <c r="L9" s="5" t="s">
        <v>190</v>
      </c>
      <c r="M9" s="5">
        <v>1666</v>
      </c>
      <c r="N9" s="5" t="s">
        <v>171</v>
      </c>
      <c r="O9" s="6" t="s">
        <v>81</v>
      </c>
      <c r="P9" s="6" t="s">
        <v>83</v>
      </c>
      <c r="S9" s="6">
        <v>17</v>
      </c>
      <c r="T9" s="6">
        <v>15.63</v>
      </c>
      <c r="U9" s="6">
        <v>1600</v>
      </c>
      <c r="V9" s="6">
        <v>27.89</v>
      </c>
      <c r="W9" s="6">
        <v>30</v>
      </c>
      <c r="X9" s="6">
        <v>428</v>
      </c>
      <c r="Y9" s="6">
        <v>863</v>
      </c>
      <c r="Z9" s="6">
        <v>267</v>
      </c>
      <c r="AA9" s="6">
        <v>12</v>
      </c>
      <c r="AB9" s="6">
        <v>0</v>
      </c>
      <c r="AC9" s="7">
        <v>22</v>
      </c>
      <c r="AD9" s="7" t="s">
        <v>52</v>
      </c>
      <c r="AE9" s="7">
        <v>20.05</v>
      </c>
      <c r="AF9" s="7">
        <v>730</v>
      </c>
      <c r="AG9" s="7">
        <v>27.53</v>
      </c>
      <c r="AH9" s="7">
        <v>21.91</v>
      </c>
      <c r="AI9" s="7">
        <v>27.95</v>
      </c>
      <c r="AJ9" s="9">
        <v>208.02638899200701</v>
      </c>
      <c r="AK9" s="9">
        <v>208.706276</v>
      </c>
      <c r="AL9" s="9">
        <v>250.02363127841301</v>
      </c>
      <c r="AM9" s="9">
        <v>39.446458506318898</v>
      </c>
      <c r="AN9" s="9">
        <v>1.79302084119632</v>
      </c>
      <c r="AO9" s="9">
        <v>2.1819611961375802</v>
      </c>
      <c r="AP9" s="9">
        <v>340.09819854370397</v>
      </c>
      <c r="AQ9" s="9">
        <v>15.459009024713801</v>
      </c>
      <c r="AR9" s="9">
        <v>28.912543602350901</v>
      </c>
      <c r="AS9" s="73" t="s">
        <v>169</v>
      </c>
      <c r="AU9" s="10" t="s">
        <v>169</v>
      </c>
      <c r="AV9" s="10">
        <v>0</v>
      </c>
      <c r="AX9" s="74" t="s">
        <v>169</v>
      </c>
      <c r="AY9" s="314" t="str">
        <f t="shared" si="19"/>
        <v/>
      </c>
      <c r="AZ9" s="314" t="str">
        <f t="shared" si="20"/>
        <v/>
      </c>
      <c r="BA9" s="315" t="str">
        <f t="shared" si="21"/>
        <v/>
      </c>
      <c r="BB9" s="10" t="str">
        <f t="shared" si="22"/>
        <v/>
      </c>
      <c r="BC9" s="10" t="str">
        <f t="shared" si="23"/>
        <v/>
      </c>
      <c r="BD9" s="10" t="str">
        <f t="shared" si="24"/>
        <v/>
      </c>
      <c r="BE9" s="10" t="str">
        <f t="shared" si="25"/>
        <v/>
      </c>
      <c r="BF9" s="12">
        <v>0.43</v>
      </c>
      <c r="BG9" s="13">
        <v>187.24686453000001</v>
      </c>
      <c r="BH9" s="96" t="str">
        <f>+VLOOKUP(G9,Liste!$A$7:$G$50,3,FALSE)</f>
        <v>Douglas</v>
      </c>
      <c r="BI9" s="96" t="str">
        <f>+VLOOKUP(H9,Liste!$B$7:$G$50,5,FALSE)</f>
        <v>National</v>
      </c>
      <c r="BJ9" s="135">
        <f t="shared" si="0"/>
        <v>22</v>
      </c>
      <c r="BK9" s="135" t="str">
        <f t="shared" si="2"/>
        <v>Douglas_F1_Entree 17-18m, densité haute_National_22_</v>
      </c>
      <c r="BL9" s="322"/>
      <c r="BM9" s="13">
        <v>50.061734869999981</v>
      </c>
      <c r="BN9" s="13">
        <v>237.308599360914</v>
      </c>
      <c r="BP9" s="13">
        <v>323.23</v>
      </c>
      <c r="BQ9" s="13">
        <v>26.564701585569001</v>
      </c>
      <c r="BT9" s="298" t="str">
        <f>+VLOOKUP(G9,Liste!$A$7:$H$50,8,FALSE)</f>
        <v>Résineux</v>
      </c>
      <c r="BU9" s="298">
        <f t="shared" si="3"/>
        <v>0</v>
      </c>
      <c r="BV9" s="300">
        <f t="shared" si="4"/>
        <v>1</v>
      </c>
      <c r="BW9" s="321">
        <v>0</v>
      </c>
      <c r="BX9" s="298">
        <f t="shared" si="5"/>
        <v>0.43</v>
      </c>
      <c r="BY9">
        <f t="shared" si="6"/>
        <v>0</v>
      </c>
      <c r="BZ9" s="304">
        <f t="shared" si="7"/>
        <v>29.786130756665038</v>
      </c>
      <c r="CB9" s="299">
        <v>0.6</v>
      </c>
      <c r="CC9" s="299">
        <v>0.4</v>
      </c>
      <c r="CD9">
        <f t="shared" si="8"/>
        <v>0</v>
      </c>
      <c r="CE9">
        <f t="shared" si="9"/>
        <v>0</v>
      </c>
      <c r="CF9">
        <f t="shared" si="10"/>
        <v>0</v>
      </c>
      <c r="CG9">
        <f t="shared" si="11"/>
        <v>0</v>
      </c>
      <c r="CH9">
        <f t="shared" si="12"/>
        <v>0</v>
      </c>
      <c r="CI9">
        <f t="shared" si="13"/>
        <v>0</v>
      </c>
      <c r="CJ9">
        <f t="shared" si="14"/>
        <v>0</v>
      </c>
      <c r="CK9">
        <f t="shared" si="15"/>
        <v>28.248805809195094</v>
      </c>
      <c r="CL9">
        <f t="shared" si="16"/>
        <v>6.2002325823812159</v>
      </c>
      <c r="CM9">
        <f t="shared" si="26"/>
        <v>34.449038391576309</v>
      </c>
      <c r="CN9">
        <f t="shared" si="18"/>
        <v>162.75630988112295</v>
      </c>
      <c r="CO9">
        <f t="shared" si="1"/>
        <v>0</v>
      </c>
    </row>
    <row r="10" spans="1:93" ht="14.65" customHeight="1" x14ac:dyDescent="0.25">
      <c r="A10" s="4">
        <v>2020</v>
      </c>
      <c r="C10" s="4" t="s">
        <v>62</v>
      </c>
      <c r="D10" s="4" t="s">
        <v>63</v>
      </c>
      <c r="F10" s="4" t="s">
        <v>90</v>
      </c>
      <c r="G10" s="5" t="s">
        <v>8</v>
      </c>
      <c r="H10" s="5" t="s">
        <v>11</v>
      </c>
      <c r="I10" s="5" t="s">
        <v>12</v>
      </c>
      <c r="J10" s="5" t="s">
        <v>9</v>
      </c>
      <c r="K10" s="5">
        <v>40</v>
      </c>
      <c r="L10" s="5" t="s">
        <v>190</v>
      </c>
      <c r="M10" s="5">
        <v>1666</v>
      </c>
      <c r="N10" s="5" t="s">
        <v>171</v>
      </c>
      <c r="O10" s="6" t="s">
        <v>81</v>
      </c>
      <c r="P10" s="6" t="s">
        <v>83</v>
      </c>
      <c r="S10" s="6">
        <v>17</v>
      </c>
      <c r="T10" s="6">
        <v>15.63</v>
      </c>
      <c r="U10" s="6">
        <v>1600</v>
      </c>
      <c r="V10" s="6">
        <v>27.89</v>
      </c>
      <c r="W10" s="6">
        <v>30</v>
      </c>
      <c r="X10" s="6">
        <v>428</v>
      </c>
      <c r="Y10" s="6">
        <v>863</v>
      </c>
      <c r="Z10" s="6">
        <v>267</v>
      </c>
      <c r="AA10" s="6">
        <v>12</v>
      </c>
      <c r="AB10" s="6">
        <v>0</v>
      </c>
      <c r="AC10" s="7">
        <v>23</v>
      </c>
      <c r="AD10" s="7" t="s">
        <v>52</v>
      </c>
      <c r="AE10" s="7">
        <v>20.91</v>
      </c>
      <c r="AF10" s="7">
        <v>730</v>
      </c>
      <c r="AG10" s="7">
        <v>29.72</v>
      </c>
      <c r="AH10" s="7">
        <v>22.77</v>
      </c>
      <c r="AI10" s="7">
        <v>29.04</v>
      </c>
      <c r="AJ10" s="9">
        <v>222.02738066945699</v>
      </c>
      <c r="AK10" s="9">
        <v>223.32515269999999</v>
      </c>
      <c r="AL10" s="9">
        <v>278.93617488076302</v>
      </c>
      <c r="AM10" s="9">
        <v>41.628419702456497</v>
      </c>
      <c r="AN10" s="9">
        <v>1.8099312914111501</v>
      </c>
      <c r="AO10" s="9">
        <v>2.1601299232125899</v>
      </c>
      <c r="AP10" s="9">
        <v>369.01074214605501</v>
      </c>
      <c r="AQ10" s="9">
        <v>16.043945310698</v>
      </c>
      <c r="AR10" s="9">
        <v>29.894145325294101</v>
      </c>
      <c r="AS10" s="73" t="s">
        <v>169</v>
      </c>
      <c r="AU10" s="10" t="s">
        <v>169</v>
      </c>
      <c r="AV10" s="10">
        <v>0</v>
      </c>
      <c r="AX10" s="74" t="s">
        <v>169</v>
      </c>
      <c r="AY10" s="314" t="str">
        <f t="shared" si="19"/>
        <v/>
      </c>
      <c r="AZ10" s="314" t="str">
        <f t="shared" si="20"/>
        <v/>
      </c>
      <c r="BA10" s="315" t="str">
        <f t="shared" si="21"/>
        <v/>
      </c>
      <c r="BB10" s="10" t="str">
        <f t="shared" si="22"/>
        <v/>
      </c>
      <c r="BC10" s="10" t="str">
        <f t="shared" si="23"/>
        <v/>
      </c>
      <c r="BD10" s="10" t="str">
        <f t="shared" si="24"/>
        <v/>
      </c>
      <c r="BE10" s="10" t="str">
        <f t="shared" si="25"/>
        <v/>
      </c>
      <c r="BF10" s="12">
        <v>0.43</v>
      </c>
      <c r="BG10" s="13">
        <v>208.89995030666668</v>
      </c>
      <c r="BH10" s="96" t="str">
        <f>+VLOOKUP(G10,Liste!$A$7:$G$50,3,FALSE)</f>
        <v>Douglas</v>
      </c>
      <c r="BI10" s="96" t="str">
        <f>+VLOOKUP(H10,Liste!$B$7:$G$50,5,FALSE)</f>
        <v>National</v>
      </c>
      <c r="BJ10" s="135">
        <f t="shared" si="0"/>
        <v>23</v>
      </c>
      <c r="BK10" s="135" t="str">
        <f t="shared" si="2"/>
        <v>Douglas_F1_Entree 17-18m, densité haute_National_23_</v>
      </c>
      <c r="BL10" s="322"/>
      <c r="BM10" s="13">
        <v>55.143954793333336</v>
      </c>
      <c r="BN10" s="13">
        <v>264.04390514298757</v>
      </c>
      <c r="BP10" s="13">
        <v>323.23</v>
      </c>
      <c r="BQ10" s="13">
        <v>27.419698929676599</v>
      </c>
      <c r="BT10" s="298" t="str">
        <f>+VLOOKUP(G10,Liste!$A$7:$H$50,8,FALSE)</f>
        <v>Résineux</v>
      </c>
      <c r="BU10" s="298">
        <f t="shared" si="3"/>
        <v>0</v>
      </c>
      <c r="BV10" s="300">
        <f t="shared" si="4"/>
        <v>1</v>
      </c>
      <c r="BW10" s="321">
        <v>0</v>
      </c>
      <c r="BX10" s="298">
        <f t="shared" si="5"/>
        <v>0.43</v>
      </c>
      <c r="BY10">
        <f t="shared" si="6"/>
        <v>0</v>
      </c>
      <c r="BZ10" s="304">
        <f t="shared" si="7"/>
        <v>29.786130756665038</v>
      </c>
      <c r="CB10" s="299">
        <v>0.6</v>
      </c>
      <c r="CC10" s="299">
        <v>0.4</v>
      </c>
      <c r="CD10">
        <f t="shared" si="8"/>
        <v>0</v>
      </c>
      <c r="CE10">
        <f t="shared" si="9"/>
        <v>0</v>
      </c>
      <c r="CF10">
        <f t="shared" si="10"/>
        <v>0</v>
      </c>
      <c r="CG10">
        <f t="shared" si="11"/>
        <v>0</v>
      </c>
      <c r="CH10">
        <f t="shared" si="12"/>
        <v>0</v>
      </c>
      <c r="CI10">
        <f t="shared" si="13"/>
        <v>0</v>
      </c>
      <c r="CJ10">
        <f t="shared" si="14"/>
        <v>0</v>
      </c>
      <c r="CK10">
        <f t="shared" si="15"/>
        <v>27.476340728802519</v>
      </c>
      <c r="CL10">
        <f t="shared" si="16"/>
        <v>4.3842265039355368</v>
      </c>
      <c r="CM10">
        <f t="shared" si="26"/>
        <v>31.860567232738056</v>
      </c>
      <c r="CN10">
        <f t="shared" si="18"/>
        <v>194.61687711386099</v>
      </c>
      <c r="CO10">
        <f t="shared" si="1"/>
        <v>0</v>
      </c>
    </row>
    <row r="11" spans="1:93" ht="14.65" customHeight="1" x14ac:dyDescent="0.25">
      <c r="A11" s="4">
        <v>2020</v>
      </c>
      <c r="C11" s="4" t="s">
        <v>62</v>
      </c>
      <c r="D11" s="4" t="s">
        <v>63</v>
      </c>
      <c r="F11" s="4" t="s">
        <v>90</v>
      </c>
      <c r="G11" s="5" t="s">
        <v>8</v>
      </c>
      <c r="H11" s="5" t="s">
        <v>11</v>
      </c>
      <c r="I11" s="5" t="s">
        <v>12</v>
      </c>
      <c r="J11" s="5" t="s">
        <v>9</v>
      </c>
      <c r="K11" s="5">
        <v>40</v>
      </c>
      <c r="L11" s="5" t="s">
        <v>190</v>
      </c>
      <c r="M11" s="5">
        <v>1666</v>
      </c>
      <c r="N11" s="5" t="s">
        <v>171</v>
      </c>
      <c r="O11" s="6" t="s">
        <v>81</v>
      </c>
      <c r="P11" s="6" t="s">
        <v>83</v>
      </c>
      <c r="S11" s="6">
        <v>17</v>
      </c>
      <c r="T11" s="6">
        <v>15.63</v>
      </c>
      <c r="U11" s="6">
        <v>1600</v>
      </c>
      <c r="V11" s="6">
        <v>27.89</v>
      </c>
      <c r="W11" s="6">
        <v>30</v>
      </c>
      <c r="X11" s="6">
        <v>428</v>
      </c>
      <c r="Y11" s="6">
        <v>863</v>
      </c>
      <c r="Z11" s="6">
        <v>267</v>
      </c>
      <c r="AA11" s="6">
        <v>12</v>
      </c>
      <c r="AB11" s="6">
        <v>0</v>
      </c>
      <c r="AC11" s="7">
        <v>24</v>
      </c>
      <c r="AD11" s="7" t="s">
        <v>52</v>
      </c>
      <c r="AE11" s="7">
        <v>21.77</v>
      </c>
      <c r="AF11" s="7">
        <v>730</v>
      </c>
      <c r="AG11" s="7">
        <v>31.88</v>
      </c>
      <c r="AH11" s="7">
        <v>23.58</v>
      </c>
      <c r="AI11" s="7">
        <v>30.11</v>
      </c>
      <c r="AJ11" s="9">
        <v>242.28732770777</v>
      </c>
      <c r="AK11" s="9">
        <v>244.0145717</v>
      </c>
      <c r="AL11" s="9">
        <v>308.83032020605799</v>
      </c>
      <c r="AM11" s="9">
        <v>43.788549625669098</v>
      </c>
      <c r="AN11" s="9">
        <v>1.8245229010695501</v>
      </c>
      <c r="AO11" s="9">
        <v>1.95284420773876</v>
      </c>
      <c r="AP11" s="9">
        <v>398.90488747134901</v>
      </c>
      <c r="AQ11" s="9">
        <v>16.621036977972899</v>
      </c>
      <c r="AR11" s="9">
        <v>27.361962261331701</v>
      </c>
      <c r="AS11" s="73" t="s">
        <v>169</v>
      </c>
      <c r="AU11" s="10" t="s">
        <v>169</v>
      </c>
      <c r="AV11" s="10">
        <v>0</v>
      </c>
      <c r="AX11" s="74" t="s">
        <v>169</v>
      </c>
      <c r="AY11" s="314" t="str">
        <f t="shared" si="19"/>
        <v/>
      </c>
      <c r="AZ11" s="314" t="str">
        <f t="shared" si="20"/>
        <v/>
      </c>
      <c r="BA11" s="315" t="str">
        <f t="shared" si="21"/>
        <v/>
      </c>
      <c r="BB11" s="10" t="str">
        <f t="shared" si="22"/>
        <v/>
      </c>
      <c r="BC11" s="10" t="str">
        <f t="shared" si="23"/>
        <v/>
      </c>
      <c r="BD11" s="10" t="str">
        <f t="shared" si="24"/>
        <v/>
      </c>
      <c r="BE11" s="10" t="str">
        <f t="shared" si="25"/>
        <v/>
      </c>
      <c r="BF11" s="12">
        <v>0.43</v>
      </c>
      <c r="BG11" s="13">
        <v>231.28817396666668</v>
      </c>
      <c r="BH11" s="96" t="str">
        <f>+VLOOKUP(G11,Liste!$A$7:$G$50,3,FALSE)</f>
        <v>Douglas</v>
      </c>
      <c r="BI11" s="96" t="str">
        <f>+VLOOKUP(H11,Liste!$B$7:$G$50,5,FALSE)</f>
        <v>National</v>
      </c>
      <c r="BJ11" s="135">
        <f t="shared" si="0"/>
        <v>24</v>
      </c>
      <c r="BK11" s="135" t="str">
        <f t="shared" si="2"/>
        <v>Douglas_F1_Entree 17-18m, densité haute_National_24_</v>
      </c>
      <c r="BL11" s="322"/>
      <c r="BM11" s="13">
        <v>60.334589733333331</v>
      </c>
      <c r="BN11" s="13">
        <v>291.62276371038763</v>
      </c>
      <c r="BP11" s="13">
        <v>323.23</v>
      </c>
      <c r="BQ11" s="13">
        <v>25.0586849054053</v>
      </c>
      <c r="BT11" s="298" t="str">
        <f>+VLOOKUP(G11,Liste!$A$7:$H$50,8,FALSE)</f>
        <v>Résineux</v>
      </c>
      <c r="BU11" s="298">
        <f t="shared" si="3"/>
        <v>0</v>
      </c>
      <c r="BV11" s="300">
        <f t="shared" si="4"/>
        <v>1</v>
      </c>
      <c r="BW11" s="321">
        <v>0</v>
      </c>
      <c r="BX11" s="298">
        <f t="shared" si="5"/>
        <v>0.43</v>
      </c>
      <c r="BY11">
        <f t="shared" si="6"/>
        <v>0</v>
      </c>
      <c r="BZ11" s="304">
        <f t="shared" si="7"/>
        <v>29.786130756665038</v>
      </c>
      <c r="CB11" s="299">
        <v>0.6</v>
      </c>
      <c r="CC11" s="299">
        <v>0.4</v>
      </c>
      <c r="CD11">
        <f t="shared" si="8"/>
        <v>0</v>
      </c>
      <c r="CE11">
        <f t="shared" si="9"/>
        <v>0</v>
      </c>
      <c r="CF11">
        <f t="shared" si="10"/>
        <v>0</v>
      </c>
      <c r="CG11">
        <f t="shared" si="11"/>
        <v>0</v>
      </c>
      <c r="CH11">
        <f t="shared" si="12"/>
        <v>0</v>
      </c>
      <c r="CI11">
        <f t="shared" si="13"/>
        <v>0</v>
      </c>
      <c r="CJ11">
        <f t="shared" si="14"/>
        <v>0</v>
      </c>
      <c r="CK11">
        <f t="shared" si="15"/>
        <v>26.724998746655455</v>
      </c>
      <c r="CL11">
        <f t="shared" si="16"/>
        <v>3.1001162911906079</v>
      </c>
      <c r="CM11">
        <f t="shared" si="26"/>
        <v>29.825115037846064</v>
      </c>
      <c r="CN11">
        <f t="shared" si="18"/>
        <v>224.44199215170707</v>
      </c>
      <c r="CO11">
        <f t="shared" si="1"/>
        <v>0</v>
      </c>
    </row>
    <row r="12" spans="1:93" ht="14.65" customHeight="1" x14ac:dyDescent="0.25">
      <c r="A12" s="4">
        <v>2020</v>
      </c>
      <c r="C12" s="4" t="s">
        <v>62</v>
      </c>
      <c r="D12" s="4" t="s">
        <v>63</v>
      </c>
      <c r="F12" s="4" t="s">
        <v>90</v>
      </c>
      <c r="G12" s="5" t="s">
        <v>8</v>
      </c>
      <c r="H12" s="5" t="s">
        <v>11</v>
      </c>
      <c r="I12" s="5" t="s">
        <v>12</v>
      </c>
      <c r="J12" s="5" t="s">
        <v>9</v>
      </c>
      <c r="K12" s="5">
        <v>40</v>
      </c>
      <c r="L12" s="5" t="s">
        <v>190</v>
      </c>
      <c r="M12" s="5">
        <v>1666</v>
      </c>
      <c r="N12" s="5" t="s">
        <v>171</v>
      </c>
      <c r="O12" s="6" t="s">
        <v>81</v>
      </c>
      <c r="P12" s="6" t="s">
        <v>83</v>
      </c>
      <c r="S12" s="6">
        <v>17</v>
      </c>
      <c r="T12" s="6">
        <v>15.63</v>
      </c>
      <c r="U12" s="6">
        <v>1600</v>
      </c>
      <c r="V12" s="6">
        <v>27.89</v>
      </c>
      <c r="W12" s="6">
        <v>30</v>
      </c>
      <c r="X12" s="6">
        <v>428</v>
      </c>
      <c r="Y12" s="6">
        <v>863</v>
      </c>
      <c r="Z12" s="6">
        <v>267</v>
      </c>
      <c r="AA12" s="6">
        <v>12</v>
      </c>
      <c r="AB12" s="6">
        <v>0</v>
      </c>
      <c r="AC12" s="7">
        <v>24</v>
      </c>
      <c r="AD12" s="7" t="s">
        <v>53</v>
      </c>
      <c r="AE12" s="7">
        <v>21.71</v>
      </c>
      <c r="AF12" s="7">
        <v>550</v>
      </c>
      <c r="AG12" s="7">
        <v>26.04</v>
      </c>
      <c r="AH12" s="7">
        <v>24.55</v>
      </c>
      <c r="AI12" s="7">
        <v>29.71</v>
      </c>
      <c r="AJ12" s="9">
        <v>198.72831994427099</v>
      </c>
      <c r="AK12" s="9">
        <v>200.24781540000001</v>
      </c>
      <c r="AL12" s="9">
        <v>253.37121358496501</v>
      </c>
      <c r="AM12" s="9">
        <v>43.788549625669098</v>
      </c>
      <c r="AN12" s="9">
        <v>1.8245229010695501</v>
      </c>
      <c r="AO12" s="9">
        <v>1.95284420773876</v>
      </c>
      <c r="AP12" s="9">
        <v>398.90488747134901</v>
      </c>
      <c r="AQ12" s="9">
        <v>16.621036977972899</v>
      </c>
      <c r="AR12" s="9">
        <v>27.361962261331701</v>
      </c>
      <c r="AS12" s="73">
        <v>180</v>
      </c>
      <c r="AT12" s="8">
        <v>5.84</v>
      </c>
      <c r="AU12" s="10">
        <v>20.32475084069414</v>
      </c>
      <c r="AV12" s="10">
        <v>43.559007763499011</v>
      </c>
      <c r="AW12" s="8">
        <v>0.74</v>
      </c>
      <c r="AX12" s="74">
        <v>0.2419944875749945</v>
      </c>
      <c r="AY12" s="314">
        <f t="shared" si="19"/>
        <v>0</v>
      </c>
      <c r="AZ12" s="314">
        <f t="shared" si="20"/>
        <v>0.15287668880541894</v>
      </c>
      <c r="BA12" s="315">
        <f t="shared" si="21"/>
        <v>0.82100315502911247</v>
      </c>
      <c r="BB12" s="10">
        <f t="shared" si="22"/>
        <v>3.1304696467180877</v>
      </c>
      <c r="BC12" s="10">
        <f t="shared" si="23"/>
        <v>20.022870615919864</v>
      </c>
      <c r="BD12" s="10">
        <f t="shared" si="24"/>
        <v>10.50349713102133</v>
      </c>
      <c r="BE12" s="10">
        <f t="shared" si="25"/>
        <v>4.298926583351439</v>
      </c>
      <c r="BF12" s="12">
        <v>0.43</v>
      </c>
      <c r="BG12" s="13">
        <v>189.75392468999999</v>
      </c>
      <c r="BH12" s="96" t="str">
        <f>+VLOOKUP(G12,Liste!$A$7:$G$50,3,FALSE)</f>
        <v>Douglas</v>
      </c>
      <c r="BI12" s="96" t="str">
        <f>+VLOOKUP(H12,Liste!$B$7:$G$50,5,FALSE)</f>
        <v>National</v>
      </c>
      <c r="BJ12" s="135">
        <f t="shared" si="0"/>
        <v>24</v>
      </c>
      <c r="BK12" s="135" t="str">
        <f t="shared" si="2"/>
        <v>Douglas_F1_Entree 17-18m, densité haute_National_24_</v>
      </c>
      <c r="BL12" s="322"/>
      <c r="BM12" s="13">
        <v>50.653534809999996</v>
      </c>
      <c r="BN12" s="13">
        <v>240.40745950214216</v>
      </c>
      <c r="BO12" s="13">
        <v>51.21530420824547</v>
      </c>
      <c r="BP12" s="13">
        <v>323.23</v>
      </c>
      <c r="BQ12" s="13">
        <v>25.0586849054053</v>
      </c>
      <c r="BT12" s="298" t="str">
        <f>+VLOOKUP(G12,Liste!$A$7:$H$50,8,FALSE)</f>
        <v>Résineux</v>
      </c>
      <c r="BU12" s="298">
        <f t="shared" si="3"/>
        <v>0</v>
      </c>
      <c r="BV12" s="300">
        <f t="shared" si="4"/>
        <v>1</v>
      </c>
      <c r="BW12" s="321">
        <v>0</v>
      </c>
      <c r="BX12" s="298">
        <f t="shared" si="5"/>
        <v>0.43</v>
      </c>
      <c r="BY12">
        <f t="shared" si="6"/>
        <v>18.730373338304574</v>
      </c>
      <c r="BZ12" s="304">
        <f t="shared" si="7"/>
        <v>48.516504094969612</v>
      </c>
      <c r="CB12" s="299">
        <v>0.6</v>
      </c>
      <c r="CC12" s="299">
        <v>0.4</v>
      </c>
      <c r="CD12">
        <f t="shared" si="8"/>
        <v>0</v>
      </c>
      <c r="CE12">
        <f t="shared" si="9"/>
        <v>26.135404658099407</v>
      </c>
      <c r="CF12">
        <f t="shared" si="10"/>
        <v>17.423603105399604</v>
      </c>
      <c r="CG12">
        <f t="shared" si="11"/>
        <v>0</v>
      </c>
      <c r="CH12">
        <f t="shared" si="12"/>
        <v>19.573240138528277</v>
      </c>
      <c r="CI12">
        <f t="shared" si="13"/>
        <v>13.048826759018851</v>
      </c>
      <c r="CJ12">
        <f t="shared" si="14"/>
        <v>0</v>
      </c>
      <c r="CK12">
        <f t="shared" si="15"/>
        <v>25.994202250521557</v>
      </c>
      <c r="CL12">
        <f t="shared" si="16"/>
        <v>2.1921132519677684</v>
      </c>
      <c r="CM12">
        <f t="shared" si="26"/>
        <v>28.186315502489325</v>
      </c>
      <c r="CN12">
        <f t="shared" si="18"/>
        <v>252.62830765419639</v>
      </c>
      <c r="CO12">
        <f t="shared" si="1"/>
        <v>0</v>
      </c>
    </row>
    <row r="13" spans="1:93" ht="14.65" customHeight="1" x14ac:dyDescent="0.25">
      <c r="A13" s="4">
        <v>2020</v>
      </c>
      <c r="C13" s="4" t="s">
        <v>62</v>
      </c>
      <c r="D13" s="4" t="s">
        <v>63</v>
      </c>
      <c r="F13" s="4" t="s">
        <v>90</v>
      </c>
      <c r="G13" s="5" t="s">
        <v>8</v>
      </c>
      <c r="H13" s="5" t="s">
        <v>11</v>
      </c>
      <c r="I13" s="5" t="s">
        <v>12</v>
      </c>
      <c r="J13" s="5" t="s">
        <v>9</v>
      </c>
      <c r="K13" s="5">
        <v>40</v>
      </c>
      <c r="L13" s="5" t="s">
        <v>190</v>
      </c>
      <c r="M13" s="5">
        <v>1666</v>
      </c>
      <c r="N13" s="5" t="s">
        <v>171</v>
      </c>
      <c r="O13" s="6" t="s">
        <v>81</v>
      </c>
      <c r="P13" s="6" t="s">
        <v>83</v>
      </c>
      <c r="S13" s="6">
        <v>17</v>
      </c>
      <c r="T13" s="6">
        <v>15.63</v>
      </c>
      <c r="U13" s="6">
        <v>1600</v>
      </c>
      <c r="V13" s="6">
        <v>27.89</v>
      </c>
      <c r="W13" s="6">
        <v>30</v>
      </c>
      <c r="X13" s="6">
        <v>428</v>
      </c>
      <c r="Y13" s="6">
        <v>863</v>
      </c>
      <c r="Z13" s="6">
        <v>267</v>
      </c>
      <c r="AA13" s="6">
        <v>12</v>
      </c>
      <c r="AB13" s="6">
        <v>0</v>
      </c>
      <c r="AC13" s="7">
        <v>25</v>
      </c>
      <c r="AD13" s="7" t="s">
        <v>52</v>
      </c>
      <c r="AE13" s="7">
        <v>22.55</v>
      </c>
      <c r="AF13" s="7">
        <v>550</v>
      </c>
      <c r="AG13" s="7">
        <v>28</v>
      </c>
      <c r="AH13" s="7">
        <v>25.46</v>
      </c>
      <c r="AI13" s="7">
        <v>30.79</v>
      </c>
      <c r="AJ13" s="9">
        <v>220.61013015154799</v>
      </c>
      <c r="AK13" s="9">
        <v>222.3866477</v>
      </c>
      <c r="AL13" s="9">
        <v>280.733175846297</v>
      </c>
      <c r="AM13" s="9">
        <v>45.741393833407898</v>
      </c>
      <c r="AN13" s="9">
        <v>1.82965575333631</v>
      </c>
      <c r="AO13" s="9">
        <v>1.9414850098095</v>
      </c>
      <c r="AP13" s="9">
        <v>426.26684973268101</v>
      </c>
      <c r="AQ13" s="9">
        <v>17.050673989307199</v>
      </c>
      <c r="AR13" s="9">
        <v>28.318909994270101</v>
      </c>
      <c r="AS13" s="73" t="s">
        <v>169</v>
      </c>
      <c r="AU13" s="10" t="s">
        <v>169</v>
      </c>
      <c r="AV13" s="10">
        <v>0</v>
      </c>
      <c r="AX13" s="74" t="s">
        <v>169</v>
      </c>
      <c r="AY13" s="314" t="str">
        <f t="shared" si="19"/>
        <v/>
      </c>
      <c r="AZ13" s="314" t="str">
        <f t="shared" si="20"/>
        <v/>
      </c>
      <c r="BA13" s="315" t="str">
        <f t="shared" si="21"/>
        <v/>
      </c>
      <c r="BB13" s="10" t="str">
        <f t="shared" si="22"/>
        <v/>
      </c>
      <c r="BC13" s="10" t="str">
        <f t="shared" si="23"/>
        <v/>
      </c>
      <c r="BD13" s="10" t="str">
        <f t="shared" si="24"/>
        <v/>
      </c>
      <c r="BE13" s="10" t="str">
        <f t="shared" si="25"/>
        <v/>
      </c>
      <c r="BF13" s="12">
        <v>0.43</v>
      </c>
      <c r="BG13" s="13">
        <v>210.24575429000001</v>
      </c>
      <c r="BH13" s="96" t="str">
        <f>+VLOOKUP(G13,Liste!$A$7:$G$50,3,FALSE)</f>
        <v>Douglas</v>
      </c>
      <c r="BI13" s="96" t="str">
        <f>+VLOOKUP(H13,Liste!$B$7:$G$50,5,FALSE)</f>
        <v>National</v>
      </c>
      <c r="BJ13" s="135">
        <f t="shared" si="0"/>
        <v>25</v>
      </c>
      <c r="BK13" s="135" t="str">
        <f t="shared" si="2"/>
        <v>Douglas_F1_Entree 17-18m, densité haute_National_25_</v>
      </c>
      <c r="BL13" s="322"/>
      <c r="BM13" s="13">
        <v>55.457741609999999</v>
      </c>
      <c r="BN13" s="13">
        <v>265.70349587181659</v>
      </c>
      <c r="BP13" s="13">
        <v>323.23</v>
      </c>
      <c r="BQ13" s="13">
        <v>25.899282453397198</v>
      </c>
      <c r="BT13" s="298" t="str">
        <f>+VLOOKUP(G13,Liste!$A$7:$H$50,8,FALSE)</f>
        <v>Résineux</v>
      </c>
      <c r="BU13" s="298">
        <f t="shared" si="3"/>
        <v>0</v>
      </c>
      <c r="BV13" s="300">
        <f t="shared" si="4"/>
        <v>1</v>
      </c>
      <c r="BW13" s="321">
        <v>0</v>
      </c>
      <c r="BX13" s="298">
        <f t="shared" si="5"/>
        <v>0.43</v>
      </c>
      <c r="BY13">
        <f t="shared" si="6"/>
        <v>0</v>
      </c>
      <c r="BZ13" s="304">
        <f t="shared" si="7"/>
        <v>48.516504094969612</v>
      </c>
      <c r="CB13" s="299">
        <v>0.6</v>
      </c>
      <c r="CC13" s="299">
        <v>0.4</v>
      </c>
      <c r="CD13">
        <f t="shared" si="8"/>
        <v>0</v>
      </c>
      <c r="CE13">
        <f t="shared" si="9"/>
        <v>0</v>
      </c>
      <c r="CF13">
        <f t="shared" si="10"/>
        <v>0</v>
      </c>
      <c r="CG13">
        <f t="shared" si="11"/>
        <v>0</v>
      </c>
      <c r="CH13">
        <f t="shared" si="12"/>
        <v>0</v>
      </c>
      <c r="CI13">
        <f t="shared" si="13"/>
        <v>0</v>
      </c>
      <c r="CJ13">
        <f t="shared" si="14"/>
        <v>0</v>
      </c>
      <c r="CK13">
        <f t="shared" si="15"/>
        <v>44.587777290083004</v>
      </c>
      <c r="CL13">
        <f t="shared" si="16"/>
        <v>12.577767637540969</v>
      </c>
      <c r="CM13">
        <f t="shared" si="26"/>
        <v>57.165544927623969</v>
      </c>
      <c r="CN13">
        <f t="shared" si="18"/>
        <v>309.79385258182037</v>
      </c>
      <c r="CO13">
        <f t="shared" si="1"/>
        <v>0</v>
      </c>
    </row>
    <row r="14" spans="1:93" ht="14.65" customHeight="1" x14ac:dyDescent="0.25">
      <c r="A14" s="4">
        <v>2020</v>
      </c>
      <c r="C14" s="4" t="s">
        <v>62</v>
      </c>
      <c r="D14" s="4" t="s">
        <v>63</v>
      </c>
      <c r="F14" s="4" t="s">
        <v>90</v>
      </c>
      <c r="G14" s="5" t="s">
        <v>8</v>
      </c>
      <c r="H14" s="5" t="s">
        <v>11</v>
      </c>
      <c r="I14" s="5" t="s">
        <v>12</v>
      </c>
      <c r="J14" s="5" t="s">
        <v>9</v>
      </c>
      <c r="K14" s="5">
        <v>40</v>
      </c>
      <c r="L14" s="5" t="s">
        <v>190</v>
      </c>
      <c r="M14" s="5">
        <v>1666</v>
      </c>
      <c r="N14" s="5" t="s">
        <v>171</v>
      </c>
      <c r="O14" s="6" t="s">
        <v>81</v>
      </c>
      <c r="P14" s="6" t="s">
        <v>83</v>
      </c>
      <c r="S14" s="6">
        <v>17</v>
      </c>
      <c r="T14" s="6">
        <v>15.63</v>
      </c>
      <c r="U14" s="6">
        <v>1600</v>
      </c>
      <c r="V14" s="6">
        <v>27.89</v>
      </c>
      <c r="W14" s="6">
        <v>30</v>
      </c>
      <c r="X14" s="6">
        <v>428</v>
      </c>
      <c r="Y14" s="6">
        <v>863</v>
      </c>
      <c r="Z14" s="6">
        <v>267</v>
      </c>
      <c r="AA14" s="6">
        <v>12</v>
      </c>
      <c r="AB14" s="6">
        <v>0</v>
      </c>
      <c r="AC14" s="7">
        <v>26</v>
      </c>
      <c r="AD14" s="7" t="s">
        <v>52</v>
      </c>
      <c r="AE14" s="7">
        <v>23.39</v>
      </c>
      <c r="AF14" s="7">
        <v>550</v>
      </c>
      <c r="AG14" s="7">
        <v>29.94</v>
      </c>
      <c r="AH14" s="7">
        <v>26.33</v>
      </c>
      <c r="AI14" s="7">
        <v>31.84</v>
      </c>
      <c r="AJ14" s="9">
        <v>243.25374926098701</v>
      </c>
      <c r="AK14" s="9">
        <v>245.30482140000001</v>
      </c>
      <c r="AL14" s="9">
        <v>309.05208584056697</v>
      </c>
      <c r="AM14" s="9">
        <v>47.682878843217402</v>
      </c>
      <c r="AN14" s="9">
        <v>1.83395687858528</v>
      </c>
      <c r="AO14" s="9">
        <v>1.9272525033853001</v>
      </c>
      <c r="AP14" s="9">
        <v>454.58575972695098</v>
      </c>
      <c r="AQ14" s="9">
        <v>17.484067681805801</v>
      </c>
      <c r="AR14" s="9">
        <v>29.287395893073501</v>
      </c>
      <c r="AS14" s="73" t="s">
        <v>169</v>
      </c>
      <c r="AU14" s="10" t="s">
        <v>169</v>
      </c>
      <c r="AV14" s="10">
        <v>0</v>
      </c>
      <c r="AX14" s="74" t="s">
        <v>169</v>
      </c>
      <c r="AY14" s="314" t="str">
        <f t="shared" si="19"/>
        <v/>
      </c>
      <c r="AZ14" s="314" t="str">
        <f t="shared" si="20"/>
        <v/>
      </c>
      <c r="BA14" s="315" t="str">
        <f t="shared" si="21"/>
        <v/>
      </c>
      <c r="BB14" s="10" t="str">
        <f t="shared" si="22"/>
        <v/>
      </c>
      <c r="BC14" s="10" t="str">
        <f t="shared" si="23"/>
        <v/>
      </c>
      <c r="BD14" s="10" t="str">
        <f t="shared" si="24"/>
        <v/>
      </c>
      <c r="BE14" s="10" t="str">
        <f t="shared" si="25"/>
        <v/>
      </c>
      <c r="BF14" s="12">
        <v>0.43</v>
      </c>
      <c r="BG14" s="13">
        <v>231.45425794333335</v>
      </c>
      <c r="BH14" s="96" t="str">
        <f>+VLOOKUP(G14,Liste!$A$7:$G$50,3,FALSE)</f>
        <v>Douglas</v>
      </c>
      <c r="BI14" s="96" t="str">
        <f>+VLOOKUP(H14,Liste!$B$7:$G$50,5,FALSE)</f>
        <v>National</v>
      </c>
      <c r="BJ14" s="135">
        <f t="shared" si="0"/>
        <v>26</v>
      </c>
      <c r="BK14" s="135" t="str">
        <f t="shared" si="2"/>
        <v>Douglas_F1_Entree 17-18m, densité haute_National_26_</v>
      </c>
      <c r="BL14" s="322"/>
      <c r="BM14" s="13">
        <v>60.372870256666658</v>
      </c>
      <c r="BN14" s="13">
        <v>291.82712824652748</v>
      </c>
      <c r="BP14" s="13">
        <v>323.23</v>
      </c>
      <c r="BQ14" s="13">
        <v>26.749372447368199</v>
      </c>
      <c r="BT14" s="298" t="str">
        <f>+VLOOKUP(G14,Liste!$A$7:$H$50,8,FALSE)</f>
        <v>Résineux</v>
      </c>
      <c r="BU14" s="298">
        <f t="shared" si="3"/>
        <v>0</v>
      </c>
      <c r="BV14" s="300">
        <f t="shared" si="4"/>
        <v>1</v>
      </c>
      <c r="BW14" s="321">
        <v>0</v>
      </c>
      <c r="BX14" s="298">
        <f t="shared" si="5"/>
        <v>0.43</v>
      </c>
      <c r="BY14">
        <f t="shared" si="6"/>
        <v>0</v>
      </c>
      <c r="BZ14" s="304">
        <f t="shared" si="7"/>
        <v>48.516504094969612</v>
      </c>
      <c r="CB14" s="299">
        <v>0.6</v>
      </c>
      <c r="CC14" s="299">
        <v>0.4</v>
      </c>
      <c r="CD14">
        <f t="shared" si="8"/>
        <v>0</v>
      </c>
      <c r="CE14">
        <f t="shared" si="9"/>
        <v>0</v>
      </c>
      <c r="CF14">
        <f t="shared" si="10"/>
        <v>0</v>
      </c>
      <c r="CG14">
        <f t="shared" si="11"/>
        <v>0</v>
      </c>
      <c r="CH14">
        <f t="shared" si="12"/>
        <v>0</v>
      </c>
      <c r="CI14">
        <f t="shared" si="13"/>
        <v>0</v>
      </c>
      <c r="CJ14">
        <f t="shared" si="14"/>
        <v>0</v>
      </c>
      <c r="CK14">
        <f t="shared" si="15"/>
        <v>43.368522175316386</v>
      </c>
      <c r="CL14">
        <f t="shared" si="16"/>
        <v>8.8938247886939212</v>
      </c>
      <c r="CM14">
        <f t="shared" si="26"/>
        <v>52.262346964010305</v>
      </c>
      <c r="CN14">
        <f t="shared" si="18"/>
        <v>362.05619954583068</v>
      </c>
      <c r="CO14">
        <f t="shared" si="1"/>
        <v>0</v>
      </c>
    </row>
    <row r="15" spans="1:93" ht="14.65" customHeight="1" x14ac:dyDescent="0.25">
      <c r="A15" s="4">
        <v>2020</v>
      </c>
      <c r="C15" s="4" t="s">
        <v>62</v>
      </c>
      <c r="D15" s="4" t="s">
        <v>63</v>
      </c>
      <c r="F15" s="4" t="s">
        <v>90</v>
      </c>
      <c r="G15" s="5" t="s">
        <v>8</v>
      </c>
      <c r="H15" s="5" t="s">
        <v>11</v>
      </c>
      <c r="I15" s="5" t="s">
        <v>12</v>
      </c>
      <c r="J15" s="5" t="s">
        <v>9</v>
      </c>
      <c r="K15" s="5">
        <v>40</v>
      </c>
      <c r="L15" s="5" t="s">
        <v>190</v>
      </c>
      <c r="M15" s="5">
        <v>1666</v>
      </c>
      <c r="N15" s="5" t="s">
        <v>171</v>
      </c>
      <c r="O15" s="6" t="s">
        <v>81</v>
      </c>
      <c r="P15" s="6" t="s">
        <v>83</v>
      </c>
      <c r="S15" s="6">
        <v>17</v>
      </c>
      <c r="T15" s="6">
        <v>15.63</v>
      </c>
      <c r="U15" s="6">
        <v>1600</v>
      </c>
      <c r="V15" s="6">
        <v>27.89</v>
      </c>
      <c r="W15" s="6">
        <v>30</v>
      </c>
      <c r="X15" s="6">
        <v>428</v>
      </c>
      <c r="Y15" s="6">
        <v>863</v>
      </c>
      <c r="Z15" s="6">
        <v>267</v>
      </c>
      <c r="AA15" s="6">
        <v>12</v>
      </c>
      <c r="AB15" s="6">
        <v>0</v>
      </c>
      <c r="AC15" s="7">
        <v>27</v>
      </c>
      <c r="AD15" s="7" t="s">
        <v>52</v>
      </c>
      <c r="AE15" s="7">
        <v>24.22</v>
      </c>
      <c r="AF15" s="7">
        <v>550</v>
      </c>
      <c r="AG15" s="7">
        <v>31.87</v>
      </c>
      <c r="AH15" s="7">
        <v>27.16</v>
      </c>
      <c r="AI15" s="7">
        <v>32.869999999999997</v>
      </c>
      <c r="AJ15" s="9">
        <v>266.66698889567698</v>
      </c>
      <c r="AK15" s="9">
        <v>269.0099118</v>
      </c>
      <c r="AL15" s="9">
        <v>338.33948173364098</v>
      </c>
      <c r="AM15" s="9">
        <v>49.610131346602699</v>
      </c>
      <c r="AN15" s="9">
        <v>1.8374122720963999</v>
      </c>
      <c r="AO15" s="9">
        <v>1.9095746515678</v>
      </c>
      <c r="AP15" s="9">
        <v>483.87315562002499</v>
      </c>
      <c r="AQ15" s="9">
        <v>17.921227985926802</v>
      </c>
      <c r="AR15" s="9">
        <v>30.2042310116762</v>
      </c>
      <c r="AS15" s="73" t="s">
        <v>169</v>
      </c>
      <c r="AU15" s="10" t="s">
        <v>169</v>
      </c>
      <c r="AV15" s="10">
        <v>0</v>
      </c>
      <c r="AX15" s="74" t="s">
        <v>169</v>
      </c>
      <c r="AY15" s="314" t="str">
        <f t="shared" si="19"/>
        <v/>
      </c>
      <c r="AZ15" s="314" t="str">
        <f t="shared" si="20"/>
        <v/>
      </c>
      <c r="BA15" s="315" t="str">
        <f t="shared" si="21"/>
        <v/>
      </c>
      <c r="BB15" s="10" t="str">
        <f t="shared" si="22"/>
        <v/>
      </c>
      <c r="BC15" s="10" t="str">
        <f t="shared" si="23"/>
        <v/>
      </c>
      <c r="BD15" s="10" t="str">
        <f t="shared" si="24"/>
        <v/>
      </c>
      <c r="BE15" s="10" t="str">
        <f t="shared" si="25"/>
        <v/>
      </c>
      <c r="BF15" s="12">
        <v>0.43</v>
      </c>
      <c r="BG15" s="13">
        <v>253.38807684666668</v>
      </c>
      <c r="BH15" s="96" t="str">
        <f>+VLOOKUP(G15,Liste!$A$7:$G$50,3,FALSE)</f>
        <v>Douglas</v>
      </c>
      <c r="BI15" s="96" t="str">
        <f>+VLOOKUP(H15,Liste!$B$7:$G$50,5,FALSE)</f>
        <v>National</v>
      </c>
      <c r="BJ15" s="135">
        <f t="shared" si="0"/>
        <v>27</v>
      </c>
      <c r="BK15" s="135" t="str">
        <f t="shared" si="2"/>
        <v>Douglas_F1_Entree 17-18m, densité haute_National_27_</v>
      </c>
      <c r="BL15" s="322"/>
      <c r="BM15" s="13">
        <v>65.401221553333329</v>
      </c>
      <c r="BN15" s="13">
        <v>318.78929841574273</v>
      </c>
      <c r="BP15" s="13">
        <v>323.23</v>
      </c>
      <c r="BQ15" s="13">
        <v>27.551344609437301</v>
      </c>
      <c r="BT15" s="298" t="str">
        <f>+VLOOKUP(G15,Liste!$A$7:$H$50,8,FALSE)</f>
        <v>Résineux</v>
      </c>
      <c r="BU15" s="298">
        <f t="shared" si="3"/>
        <v>0</v>
      </c>
      <c r="BV15" s="300">
        <f t="shared" si="4"/>
        <v>1</v>
      </c>
      <c r="BW15" s="321">
        <v>0</v>
      </c>
      <c r="BX15" s="298">
        <f t="shared" si="5"/>
        <v>0.43</v>
      </c>
      <c r="BY15">
        <f t="shared" si="6"/>
        <v>0</v>
      </c>
      <c r="BZ15" s="304">
        <f t="shared" si="7"/>
        <v>48.516504094969612</v>
      </c>
      <c r="CB15" s="299">
        <v>0.6</v>
      </c>
      <c r="CC15" s="299">
        <v>0.4</v>
      </c>
      <c r="CD15">
        <f t="shared" si="8"/>
        <v>0</v>
      </c>
      <c r="CE15">
        <f t="shared" si="9"/>
        <v>0</v>
      </c>
      <c r="CF15">
        <f t="shared" si="10"/>
        <v>0</v>
      </c>
      <c r="CG15">
        <f t="shared" si="11"/>
        <v>0</v>
      </c>
      <c r="CH15">
        <f t="shared" si="12"/>
        <v>0</v>
      </c>
      <c r="CI15">
        <f t="shared" si="13"/>
        <v>0</v>
      </c>
      <c r="CJ15">
        <f t="shared" si="14"/>
        <v>0</v>
      </c>
      <c r="CK15">
        <f t="shared" si="15"/>
        <v>42.182607655780899</v>
      </c>
      <c r="CL15">
        <f t="shared" si="16"/>
        <v>6.2888838187704854</v>
      </c>
      <c r="CM15">
        <f t="shared" si="26"/>
        <v>48.471491474551385</v>
      </c>
      <c r="CN15">
        <f t="shared" si="18"/>
        <v>410.52769102038206</v>
      </c>
      <c r="CO15">
        <f t="shared" si="1"/>
        <v>0</v>
      </c>
    </row>
    <row r="16" spans="1:93" ht="14.65" customHeight="1" x14ac:dyDescent="0.25">
      <c r="A16" s="4">
        <v>2020</v>
      </c>
      <c r="C16" s="4" t="s">
        <v>62</v>
      </c>
      <c r="D16" s="4" t="s">
        <v>63</v>
      </c>
      <c r="F16" s="4" t="s">
        <v>90</v>
      </c>
      <c r="G16" s="5" t="s">
        <v>8</v>
      </c>
      <c r="H16" s="5" t="s">
        <v>11</v>
      </c>
      <c r="I16" s="5" t="s">
        <v>12</v>
      </c>
      <c r="J16" s="5" t="s">
        <v>9</v>
      </c>
      <c r="K16" s="5">
        <v>40</v>
      </c>
      <c r="L16" s="5" t="s">
        <v>190</v>
      </c>
      <c r="M16" s="5">
        <v>1666</v>
      </c>
      <c r="N16" s="5" t="s">
        <v>171</v>
      </c>
      <c r="O16" s="6" t="s">
        <v>81</v>
      </c>
      <c r="P16" s="6" t="s">
        <v>83</v>
      </c>
      <c r="S16" s="6">
        <v>17</v>
      </c>
      <c r="T16" s="6">
        <v>15.63</v>
      </c>
      <c r="U16" s="6">
        <v>1600</v>
      </c>
      <c r="V16" s="6">
        <v>27.89</v>
      </c>
      <c r="W16" s="6">
        <v>30</v>
      </c>
      <c r="X16" s="6">
        <v>428</v>
      </c>
      <c r="Y16" s="6">
        <v>863</v>
      </c>
      <c r="Z16" s="6">
        <v>267</v>
      </c>
      <c r="AA16" s="6">
        <v>12</v>
      </c>
      <c r="AB16" s="6">
        <v>0</v>
      </c>
      <c r="AC16" s="7">
        <v>28</v>
      </c>
      <c r="AD16" s="7" t="s">
        <v>52</v>
      </c>
      <c r="AE16" s="7">
        <v>25.04</v>
      </c>
      <c r="AF16" s="7">
        <v>550</v>
      </c>
      <c r="AG16" s="7">
        <v>33.78</v>
      </c>
      <c r="AH16" s="7">
        <v>27.96</v>
      </c>
      <c r="AI16" s="7">
        <v>33.869999999999997</v>
      </c>
      <c r="AJ16" s="9">
        <v>290.80924045795598</v>
      </c>
      <c r="AK16" s="9">
        <v>293.46077630000002</v>
      </c>
      <c r="AL16" s="9">
        <v>368.54371274531701</v>
      </c>
      <c r="AM16" s="9">
        <v>51.519705998170501</v>
      </c>
      <c r="AN16" s="9">
        <v>1.83998949993466</v>
      </c>
      <c r="AO16" s="9">
        <v>1.89013202578512</v>
      </c>
      <c r="AP16" s="9">
        <v>514.07738663170096</v>
      </c>
      <c r="AQ16" s="9">
        <v>18.359906665417899</v>
      </c>
      <c r="AR16" s="9">
        <v>31.072823665127199</v>
      </c>
      <c r="AS16" s="73" t="s">
        <v>169</v>
      </c>
      <c r="AU16" s="10" t="s">
        <v>169</v>
      </c>
      <c r="AV16" s="10">
        <v>0</v>
      </c>
      <c r="AX16" s="74" t="s">
        <v>169</v>
      </c>
      <c r="AY16" s="314" t="str">
        <f t="shared" si="19"/>
        <v/>
      </c>
      <c r="AZ16" s="314" t="str">
        <f t="shared" si="20"/>
        <v/>
      </c>
      <c r="BA16" s="315" t="str">
        <f t="shared" si="21"/>
        <v/>
      </c>
      <c r="BB16" s="10" t="str">
        <f t="shared" si="22"/>
        <v/>
      </c>
      <c r="BC16" s="10" t="str">
        <f t="shared" si="23"/>
        <v/>
      </c>
      <c r="BD16" s="10" t="str">
        <f t="shared" si="24"/>
        <v/>
      </c>
      <c r="BE16" s="10" t="str">
        <f t="shared" si="25"/>
        <v/>
      </c>
      <c r="BF16" s="12">
        <v>0.43</v>
      </c>
      <c r="BG16" s="13">
        <v>276.00852887666667</v>
      </c>
      <c r="BH16" s="96" t="str">
        <f>+VLOOKUP(G16,Liste!$A$7:$G$50,3,FALSE)</f>
        <v>Douglas</v>
      </c>
      <c r="BI16" s="96" t="str">
        <f>+VLOOKUP(H16,Liste!$B$7:$G$50,5,FALSE)</f>
        <v>National</v>
      </c>
      <c r="BJ16" s="135">
        <f t="shared" si="0"/>
        <v>28</v>
      </c>
      <c r="BK16" s="135" t="str">
        <f t="shared" si="2"/>
        <v>Douglas_F1_Entree 17-18m, densité haute_National_28_</v>
      </c>
      <c r="BL16" s="322"/>
      <c r="BM16" s="13">
        <v>70.534163223333337</v>
      </c>
      <c r="BN16" s="13">
        <v>346.5426921052815</v>
      </c>
      <c r="BP16" s="13">
        <v>323.23</v>
      </c>
      <c r="BQ16" s="13">
        <v>28.308576574221998</v>
      </c>
      <c r="BT16" s="298" t="str">
        <f>+VLOOKUP(G16,Liste!$A$7:$H$50,8,FALSE)</f>
        <v>Résineux</v>
      </c>
      <c r="BU16" s="298">
        <f t="shared" si="3"/>
        <v>0</v>
      </c>
      <c r="BV16" s="300">
        <f t="shared" si="4"/>
        <v>1</v>
      </c>
      <c r="BW16" s="321">
        <v>0</v>
      </c>
      <c r="BX16" s="298">
        <f t="shared" si="5"/>
        <v>0.43</v>
      </c>
      <c r="BY16">
        <f t="shared" si="6"/>
        <v>0</v>
      </c>
      <c r="BZ16" s="304">
        <f t="shared" si="7"/>
        <v>48.516504094969612</v>
      </c>
      <c r="CB16" s="299">
        <v>0.6</v>
      </c>
      <c r="CC16" s="299">
        <v>0.4</v>
      </c>
      <c r="CD16">
        <f t="shared" si="8"/>
        <v>0</v>
      </c>
      <c r="CE16">
        <f t="shared" si="9"/>
        <v>0</v>
      </c>
      <c r="CF16">
        <f t="shared" si="10"/>
        <v>0</v>
      </c>
      <c r="CG16">
        <f t="shared" si="11"/>
        <v>0</v>
      </c>
      <c r="CH16">
        <f t="shared" si="12"/>
        <v>0</v>
      </c>
      <c r="CI16">
        <f t="shared" si="13"/>
        <v>0</v>
      </c>
      <c r="CJ16">
        <f t="shared" si="14"/>
        <v>0</v>
      </c>
      <c r="CK16">
        <f t="shared" si="15"/>
        <v>41.029122031146642</v>
      </c>
      <c r="CL16">
        <f t="shared" si="16"/>
        <v>4.4469123943469615</v>
      </c>
      <c r="CM16">
        <f t="shared" si="26"/>
        <v>45.476034425493602</v>
      </c>
      <c r="CN16">
        <f t="shared" si="18"/>
        <v>456.00372544587566</v>
      </c>
      <c r="CO16">
        <f t="shared" si="1"/>
        <v>0</v>
      </c>
    </row>
    <row r="17" spans="1:93" ht="14.65" customHeight="1" x14ac:dyDescent="0.25">
      <c r="A17" s="4">
        <v>2020</v>
      </c>
      <c r="C17" s="4" t="s">
        <v>62</v>
      </c>
      <c r="D17" s="4" t="s">
        <v>63</v>
      </c>
      <c r="F17" s="4" t="s">
        <v>90</v>
      </c>
      <c r="G17" s="5" t="s">
        <v>8</v>
      </c>
      <c r="H17" s="5" t="s">
        <v>11</v>
      </c>
      <c r="I17" s="5" t="s">
        <v>12</v>
      </c>
      <c r="J17" s="5" t="s">
        <v>9</v>
      </c>
      <c r="K17" s="5">
        <v>40</v>
      </c>
      <c r="L17" s="5" t="s">
        <v>190</v>
      </c>
      <c r="M17" s="5">
        <v>1666</v>
      </c>
      <c r="N17" s="5" t="s">
        <v>171</v>
      </c>
      <c r="O17" s="6" t="s">
        <v>81</v>
      </c>
      <c r="P17" s="6" t="s">
        <v>83</v>
      </c>
      <c r="S17" s="6">
        <v>17</v>
      </c>
      <c r="T17" s="6">
        <v>15.63</v>
      </c>
      <c r="U17" s="6">
        <v>1600</v>
      </c>
      <c r="V17" s="6">
        <v>27.89</v>
      </c>
      <c r="W17" s="6">
        <v>30</v>
      </c>
      <c r="X17" s="6">
        <v>428</v>
      </c>
      <c r="Y17" s="6">
        <v>863</v>
      </c>
      <c r="Z17" s="6">
        <v>267</v>
      </c>
      <c r="AA17" s="6">
        <v>12</v>
      </c>
      <c r="AB17" s="6">
        <v>0</v>
      </c>
      <c r="AC17" s="7">
        <v>29</v>
      </c>
      <c r="AD17" s="7" t="s">
        <v>52</v>
      </c>
      <c r="AE17" s="7">
        <v>25.84</v>
      </c>
      <c r="AF17" s="7">
        <v>550</v>
      </c>
      <c r="AG17" s="7">
        <v>35.67</v>
      </c>
      <c r="AH17" s="7">
        <v>28.73</v>
      </c>
      <c r="AI17" s="7">
        <v>34.85</v>
      </c>
      <c r="AJ17" s="9">
        <v>315.64322958776802</v>
      </c>
      <c r="AK17" s="9">
        <v>318.61967970000001</v>
      </c>
      <c r="AL17" s="9">
        <v>399.61653641044398</v>
      </c>
      <c r="AM17" s="9">
        <v>53.409838023955601</v>
      </c>
      <c r="AN17" s="9">
        <v>1.84171855255019</v>
      </c>
      <c r="AO17" s="9">
        <v>1.8696939078303301</v>
      </c>
      <c r="AP17" s="9">
        <v>545.15021029682805</v>
      </c>
      <c r="AQ17" s="9">
        <v>18.798283113683699</v>
      </c>
      <c r="AR17" s="9">
        <v>31.8141659014459</v>
      </c>
      <c r="AS17" s="73" t="s">
        <v>169</v>
      </c>
      <c r="AU17" s="10" t="s">
        <v>169</v>
      </c>
      <c r="AV17" s="10">
        <v>0</v>
      </c>
      <c r="AX17" s="74" t="s">
        <v>169</v>
      </c>
      <c r="AY17" s="314" t="str">
        <f t="shared" si="19"/>
        <v/>
      </c>
      <c r="AZ17" s="314" t="str">
        <f t="shared" si="20"/>
        <v/>
      </c>
      <c r="BA17" s="315" t="str">
        <f t="shared" si="21"/>
        <v/>
      </c>
      <c r="BB17" s="10" t="str">
        <f t="shared" si="22"/>
        <v/>
      </c>
      <c r="BC17" s="10" t="str">
        <f t="shared" si="23"/>
        <v/>
      </c>
      <c r="BD17" s="10" t="str">
        <f t="shared" si="24"/>
        <v/>
      </c>
      <c r="BE17" s="10" t="str">
        <f t="shared" si="25"/>
        <v/>
      </c>
      <c r="BF17" s="12">
        <v>0.43</v>
      </c>
      <c r="BG17" s="13">
        <v>299.27948438666664</v>
      </c>
      <c r="BH17" s="96" t="str">
        <f>+VLOOKUP(G17,Liste!$A$7:$G$50,3,FALSE)</f>
        <v>Douglas</v>
      </c>
      <c r="BI17" s="96" t="str">
        <f>+VLOOKUP(H17,Liste!$B$7:$G$50,5,FALSE)</f>
        <v>National</v>
      </c>
      <c r="BJ17" s="135">
        <f t="shared" si="0"/>
        <v>29</v>
      </c>
      <c r="BK17" s="135" t="str">
        <f t="shared" si="2"/>
        <v>Douglas_F1_Entree 17-18m, densité haute_National_29_</v>
      </c>
      <c r="BL17" s="322"/>
      <c r="BM17" s="13">
        <v>75.763841313333387</v>
      </c>
      <c r="BN17" s="13">
        <v>375.04332572445566</v>
      </c>
      <c r="BP17" s="13">
        <v>323.23</v>
      </c>
      <c r="BQ17" s="13">
        <v>28.949452203259501</v>
      </c>
      <c r="BT17" s="298" t="str">
        <f>+VLOOKUP(G17,Liste!$A$7:$H$50,8,FALSE)</f>
        <v>Résineux</v>
      </c>
      <c r="BU17" s="298">
        <f t="shared" si="3"/>
        <v>0</v>
      </c>
      <c r="BV17" s="300">
        <f t="shared" si="4"/>
        <v>1</v>
      </c>
      <c r="BW17" s="321">
        <v>0</v>
      </c>
      <c r="BX17" s="298">
        <f t="shared" si="5"/>
        <v>0.43</v>
      </c>
      <c r="BY17">
        <f t="shared" si="6"/>
        <v>0</v>
      </c>
      <c r="BZ17" s="304">
        <f t="shared" si="7"/>
        <v>48.516504094969612</v>
      </c>
      <c r="CB17" s="299">
        <v>0.6</v>
      </c>
      <c r="CC17" s="299">
        <v>0.4</v>
      </c>
      <c r="CD17">
        <f t="shared" si="8"/>
        <v>0</v>
      </c>
      <c r="CE17">
        <f t="shared" si="9"/>
        <v>0</v>
      </c>
      <c r="CF17">
        <f t="shared" si="10"/>
        <v>0</v>
      </c>
      <c r="CG17">
        <f t="shared" si="11"/>
        <v>0</v>
      </c>
      <c r="CH17">
        <f t="shared" si="12"/>
        <v>0</v>
      </c>
      <c r="CI17">
        <f t="shared" si="13"/>
        <v>0</v>
      </c>
      <c r="CJ17">
        <f t="shared" si="14"/>
        <v>0</v>
      </c>
      <c r="CK17">
        <f t="shared" si="15"/>
        <v>39.907178531577181</v>
      </c>
      <c r="CL17">
        <f t="shared" si="16"/>
        <v>3.1444419093852432</v>
      </c>
      <c r="CM17">
        <f t="shared" si="26"/>
        <v>43.051620440962424</v>
      </c>
      <c r="CN17">
        <f t="shared" si="18"/>
        <v>499.0553458868381</v>
      </c>
      <c r="CO17">
        <f t="shared" si="1"/>
        <v>0</v>
      </c>
    </row>
    <row r="18" spans="1:93" s="12" customFormat="1" ht="14.65" customHeight="1" x14ac:dyDescent="0.25">
      <c r="A18" s="4">
        <v>2020</v>
      </c>
      <c r="B18" s="4"/>
      <c r="C18" s="4" t="s">
        <v>62</v>
      </c>
      <c r="D18" s="4" t="s">
        <v>63</v>
      </c>
      <c r="E18" s="4"/>
      <c r="F18" s="4" t="s">
        <v>90</v>
      </c>
      <c r="G18" s="5" t="s">
        <v>8</v>
      </c>
      <c r="H18" s="5" t="s">
        <v>11</v>
      </c>
      <c r="I18" s="5" t="s">
        <v>12</v>
      </c>
      <c r="J18" s="5" t="s">
        <v>9</v>
      </c>
      <c r="K18" s="5">
        <v>40</v>
      </c>
      <c r="L18" s="5" t="s">
        <v>190</v>
      </c>
      <c r="M18" s="5">
        <v>1666</v>
      </c>
      <c r="N18" s="5" t="s">
        <v>171</v>
      </c>
      <c r="O18" s="6" t="s">
        <v>81</v>
      </c>
      <c r="P18" s="6" t="s">
        <v>83</v>
      </c>
      <c r="Q18" s="6"/>
      <c r="R18" s="6"/>
      <c r="S18" s="6">
        <v>17</v>
      </c>
      <c r="T18" s="6">
        <v>15.63</v>
      </c>
      <c r="U18" s="6">
        <v>1600</v>
      </c>
      <c r="V18" s="6">
        <v>27.89</v>
      </c>
      <c r="W18" s="6">
        <v>30</v>
      </c>
      <c r="X18" s="6">
        <v>428</v>
      </c>
      <c r="Y18" s="6">
        <v>863</v>
      </c>
      <c r="Z18" s="6">
        <v>267</v>
      </c>
      <c r="AA18" s="6">
        <v>12</v>
      </c>
      <c r="AB18" s="6">
        <v>0</v>
      </c>
      <c r="AC18" s="7">
        <v>30</v>
      </c>
      <c r="AD18" s="7" t="s">
        <v>52</v>
      </c>
      <c r="AE18" s="7">
        <v>26.64</v>
      </c>
      <c r="AF18" s="7">
        <v>550</v>
      </c>
      <c r="AG18" s="7">
        <v>37.53</v>
      </c>
      <c r="AH18" s="7">
        <v>29.48</v>
      </c>
      <c r="AI18" s="7">
        <v>35.81</v>
      </c>
      <c r="AJ18" s="9">
        <v>341.06788615343697</v>
      </c>
      <c r="AK18" s="9">
        <v>344.3845379</v>
      </c>
      <c r="AL18" s="9">
        <v>431.43070231189</v>
      </c>
      <c r="AM18" s="9">
        <v>55.279531931785897</v>
      </c>
      <c r="AN18" s="9">
        <v>1.84265106439286</v>
      </c>
      <c r="AO18" s="9">
        <v>1.67018522067843</v>
      </c>
      <c r="AP18" s="9">
        <v>576.96437619827395</v>
      </c>
      <c r="AQ18" s="9">
        <v>19.232145873275801</v>
      </c>
      <c r="AR18" s="9">
        <v>28.186955708496999</v>
      </c>
      <c r="AS18" s="73" t="s">
        <v>169</v>
      </c>
      <c r="AT18" s="8"/>
      <c r="AU18" s="10" t="s">
        <v>169</v>
      </c>
      <c r="AV18" s="10">
        <v>0</v>
      </c>
      <c r="AW18" s="8"/>
      <c r="AX18" s="74" t="s">
        <v>169</v>
      </c>
      <c r="AY18" s="314" t="str">
        <f t="shared" si="19"/>
        <v/>
      </c>
      <c r="AZ18" s="314" t="str">
        <f t="shared" si="20"/>
        <v/>
      </c>
      <c r="BA18" s="315" t="str">
        <f t="shared" si="21"/>
        <v/>
      </c>
      <c r="BB18" s="10" t="str">
        <f t="shared" si="22"/>
        <v/>
      </c>
      <c r="BC18" s="10" t="str">
        <f t="shared" si="23"/>
        <v/>
      </c>
      <c r="BD18" s="10" t="str">
        <f t="shared" si="24"/>
        <v/>
      </c>
      <c r="BE18" s="10" t="str">
        <f t="shared" si="25"/>
        <v/>
      </c>
      <c r="BF18" s="12">
        <v>0.43</v>
      </c>
      <c r="BG18" s="13">
        <v>323.10564348333332</v>
      </c>
      <c r="BH18" s="96" t="str">
        <f>+VLOOKUP(G18,Liste!$A$7:$G$50,3,FALSE)</f>
        <v>Douglas</v>
      </c>
      <c r="BI18" s="96" t="str">
        <f>+VLOOKUP(H18,Liste!$B$7:$G$50,5,FALSE)</f>
        <v>National</v>
      </c>
      <c r="BJ18" s="135">
        <f t="shared" si="0"/>
        <v>30</v>
      </c>
      <c r="BK18" s="135" t="str">
        <f t="shared" si="2"/>
        <v>Douglas_F1_Entree 17-18m, densité haute_National_30_</v>
      </c>
      <c r="BL18" s="322"/>
      <c r="BM18" s="13">
        <v>81.069451416666652</v>
      </c>
      <c r="BN18" s="13">
        <v>404.175094898179</v>
      </c>
      <c r="BP18" s="13">
        <v>323.23</v>
      </c>
      <c r="BQ18" s="13">
        <v>25.621392508387</v>
      </c>
      <c r="BT18" s="298" t="str">
        <f>+VLOOKUP(G18,Liste!$A$7:$H$50,8,FALSE)</f>
        <v>Résineux</v>
      </c>
      <c r="BU18" s="298">
        <f t="shared" si="3"/>
        <v>0</v>
      </c>
      <c r="BV18" s="300">
        <f t="shared" si="4"/>
        <v>1</v>
      </c>
      <c r="BW18" s="321">
        <v>0</v>
      </c>
      <c r="BX18" s="298">
        <f t="shared" si="5"/>
        <v>0.43</v>
      </c>
      <c r="BY18">
        <f t="shared" si="6"/>
        <v>0</v>
      </c>
      <c r="BZ18" s="304">
        <f t="shared" si="7"/>
        <v>48.516504094969612</v>
      </c>
      <c r="CB18" s="299">
        <v>0.6</v>
      </c>
      <c r="CC18" s="299">
        <v>0.4</v>
      </c>
      <c r="CD18">
        <f t="shared" si="8"/>
        <v>0</v>
      </c>
      <c r="CE18">
        <f t="shared" si="9"/>
        <v>0</v>
      </c>
      <c r="CF18">
        <f t="shared" si="10"/>
        <v>0</v>
      </c>
      <c r="CG18">
        <f t="shared" si="11"/>
        <v>0</v>
      </c>
      <c r="CH18">
        <f t="shared" si="12"/>
        <v>0</v>
      </c>
      <c r="CI18">
        <f t="shared" si="13"/>
        <v>0</v>
      </c>
      <c r="CJ18">
        <f t="shared" si="14"/>
        <v>0</v>
      </c>
      <c r="CK18">
        <f t="shared" si="15"/>
        <v>38.815914636003896</v>
      </c>
      <c r="CL18">
        <f t="shared" si="16"/>
        <v>2.2234561971734812</v>
      </c>
      <c r="CM18">
        <f t="shared" si="26"/>
        <v>41.039370833177379</v>
      </c>
      <c r="CN18">
        <f t="shared" si="18"/>
        <v>540.09471672001553</v>
      </c>
      <c r="CO18">
        <f t="shared" si="1"/>
        <v>18.003157224000518</v>
      </c>
    </row>
    <row r="19" spans="1:93" s="12" customFormat="1" ht="14.65" customHeight="1" x14ac:dyDescent="0.25">
      <c r="A19" s="4">
        <v>2020</v>
      </c>
      <c r="B19" s="4"/>
      <c r="C19" s="4" t="s">
        <v>62</v>
      </c>
      <c r="D19" s="4" t="s">
        <v>63</v>
      </c>
      <c r="E19" s="4"/>
      <c r="F19" s="4" t="s">
        <v>90</v>
      </c>
      <c r="G19" s="5" t="s">
        <v>8</v>
      </c>
      <c r="H19" s="5" t="s">
        <v>11</v>
      </c>
      <c r="I19" s="5" t="s">
        <v>12</v>
      </c>
      <c r="J19" s="5" t="s">
        <v>9</v>
      </c>
      <c r="K19" s="5">
        <v>40</v>
      </c>
      <c r="L19" s="5" t="s">
        <v>190</v>
      </c>
      <c r="M19" s="5">
        <v>1666</v>
      </c>
      <c r="N19" s="5" t="s">
        <v>171</v>
      </c>
      <c r="O19" s="6" t="s">
        <v>81</v>
      </c>
      <c r="P19" s="6" t="s">
        <v>83</v>
      </c>
      <c r="Q19" s="6"/>
      <c r="R19" s="6"/>
      <c r="S19" s="6">
        <v>17</v>
      </c>
      <c r="T19" s="6">
        <v>15.63</v>
      </c>
      <c r="U19" s="6">
        <v>1600</v>
      </c>
      <c r="V19" s="6">
        <v>27.89</v>
      </c>
      <c r="W19" s="6">
        <v>30</v>
      </c>
      <c r="X19" s="6">
        <v>428</v>
      </c>
      <c r="Y19" s="6">
        <v>863</v>
      </c>
      <c r="Z19" s="6">
        <v>267</v>
      </c>
      <c r="AA19" s="6">
        <v>12</v>
      </c>
      <c r="AB19" s="6">
        <v>0</v>
      </c>
      <c r="AC19" s="7">
        <v>30</v>
      </c>
      <c r="AD19" s="7" t="s">
        <v>53</v>
      </c>
      <c r="AE19" s="7">
        <v>26.53</v>
      </c>
      <c r="AF19" s="7">
        <v>423</v>
      </c>
      <c r="AG19" s="7">
        <v>30.07</v>
      </c>
      <c r="AH19" s="7">
        <v>30.08</v>
      </c>
      <c r="AI19" s="7">
        <v>35.24</v>
      </c>
      <c r="AJ19" s="9">
        <v>273.80405901927401</v>
      </c>
      <c r="AK19" s="9">
        <v>276.49931329999998</v>
      </c>
      <c r="AL19" s="9">
        <v>346.0579200505</v>
      </c>
      <c r="AM19" s="9">
        <v>55.279531931785897</v>
      </c>
      <c r="AN19" s="9">
        <v>1.84265106439286</v>
      </c>
      <c r="AO19" s="9">
        <v>1.67018522067843</v>
      </c>
      <c r="AP19" s="9">
        <v>576.96437619827395</v>
      </c>
      <c r="AQ19" s="9">
        <v>19.232145873275801</v>
      </c>
      <c r="AR19" s="9">
        <v>28.186955708496999</v>
      </c>
      <c r="AS19" s="73">
        <v>127</v>
      </c>
      <c r="AT19" s="8">
        <v>7.4600000000000009</v>
      </c>
      <c r="AU19" s="10">
        <v>27.347813691026197</v>
      </c>
      <c r="AV19" s="10">
        <v>67.263827134162966</v>
      </c>
      <c r="AW19" s="8">
        <v>0.86</v>
      </c>
      <c r="AX19" s="74">
        <v>0.52963643412726746</v>
      </c>
      <c r="AY19" s="314">
        <f t="shared" si="19"/>
        <v>0</v>
      </c>
      <c r="AZ19" s="314">
        <f t="shared" si="20"/>
        <v>0.66212530919026324</v>
      </c>
      <c r="BA19" s="315">
        <f t="shared" si="21"/>
        <v>0.32422465180098836</v>
      </c>
      <c r="BB19" s="10">
        <f t="shared" si="22"/>
        <v>20.936882407342043</v>
      </c>
      <c r="BC19" s="10">
        <f t="shared" si="23"/>
        <v>16.403765987773298</v>
      </c>
      <c r="BD19" s="10">
        <f t="shared" si="24"/>
        <v>9.3843347209009078</v>
      </c>
      <c r="BE19" s="10">
        <f t="shared" si="25"/>
        <v>16.622296154867634</v>
      </c>
      <c r="BF19" s="12">
        <v>0.43</v>
      </c>
      <c r="BG19" s="13">
        <v>259.16854395666667</v>
      </c>
      <c r="BH19" s="96" t="str">
        <f>+VLOOKUP(G19,Liste!$A$7:$G$50,3,FALSE)</f>
        <v>Douglas</v>
      </c>
      <c r="BI19" s="96" t="str">
        <f>+VLOOKUP(H19,Liste!$B$7:$G$50,5,FALSE)</f>
        <v>National</v>
      </c>
      <c r="BJ19" s="135">
        <f t="shared" si="0"/>
        <v>30</v>
      </c>
      <c r="BK19" s="135" t="str">
        <f t="shared" si="2"/>
        <v>Douglas_F1_Entree 17-18m, densité haute_National_30_</v>
      </c>
      <c r="BL19" s="322"/>
      <c r="BM19" s="13">
        <v>66.717798243333334</v>
      </c>
      <c r="BN19" s="13">
        <v>325.88634223612172</v>
      </c>
      <c r="BO19" s="13">
        <v>78.288752662057277</v>
      </c>
      <c r="BP19" s="13">
        <v>323.23</v>
      </c>
      <c r="BQ19" s="13">
        <v>25.621392508387</v>
      </c>
      <c r="BT19" s="298" t="str">
        <f>+VLOOKUP(G19,Liste!$A$7:$H$50,8,FALSE)</f>
        <v>Résineux</v>
      </c>
      <c r="BU19" s="298">
        <f t="shared" si="3"/>
        <v>0</v>
      </c>
      <c r="BV19" s="300">
        <f t="shared" si="4"/>
        <v>1</v>
      </c>
      <c r="BW19" s="321">
        <v>0</v>
      </c>
      <c r="BX19" s="298">
        <f t="shared" si="5"/>
        <v>0.43</v>
      </c>
      <c r="BY19">
        <f t="shared" si="6"/>
        <v>28.923445667690075</v>
      </c>
      <c r="BZ19" s="304">
        <f t="shared" si="7"/>
        <v>77.439949762659694</v>
      </c>
      <c r="CB19" s="299">
        <v>0.6</v>
      </c>
      <c r="CC19" s="299">
        <v>0.4</v>
      </c>
      <c r="CD19">
        <f t="shared" si="8"/>
        <v>0</v>
      </c>
      <c r="CE19">
        <f t="shared" si="9"/>
        <v>40.358296280497775</v>
      </c>
      <c r="CF19">
        <f t="shared" si="10"/>
        <v>26.905530853665187</v>
      </c>
      <c r="CG19">
        <f t="shared" si="11"/>
        <v>0</v>
      </c>
      <c r="CH19">
        <f t="shared" si="12"/>
        <v>30.225000722736123</v>
      </c>
      <c r="CI19">
        <f t="shared" si="13"/>
        <v>20.150000481824087</v>
      </c>
      <c r="CJ19">
        <f t="shared" si="14"/>
        <v>0</v>
      </c>
      <c r="CK19">
        <f t="shared" si="15"/>
        <v>37.754491409042132</v>
      </c>
      <c r="CL19">
        <f t="shared" si="16"/>
        <v>1.572220954692622</v>
      </c>
      <c r="CM19">
        <f t="shared" si="26"/>
        <v>39.326712363734757</v>
      </c>
      <c r="CN19">
        <f t="shared" si="18"/>
        <v>579.42142908375024</v>
      </c>
      <c r="CO19">
        <f t="shared" si="1"/>
        <v>19.314047636125007</v>
      </c>
    </row>
    <row r="20" spans="1:93" s="12" customFormat="1" ht="14.65" customHeight="1" x14ac:dyDescent="0.25">
      <c r="A20" s="4">
        <v>2020</v>
      </c>
      <c r="B20" s="4"/>
      <c r="C20" s="4" t="s">
        <v>62</v>
      </c>
      <c r="D20" s="4" t="s">
        <v>63</v>
      </c>
      <c r="E20" s="4"/>
      <c r="F20" s="4" t="s">
        <v>90</v>
      </c>
      <c r="G20" s="5" t="s">
        <v>8</v>
      </c>
      <c r="H20" s="5" t="s">
        <v>11</v>
      </c>
      <c r="I20" s="5" t="s">
        <v>12</v>
      </c>
      <c r="J20" s="5" t="s">
        <v>9</v>
      </c>
      <c r="K20" s="5">
        <v>40</v>
      </c>
      <c r="L20" s="5" t="s">
        <v>190</v>
      </c>
      <c r="M20" s="5">
        <v>1666</v>
      </c>
      <c r="N20" s="5" t="s">
        <v>171</v>
      </c>
      <c r="O20" s="6" t="s">
        <v>81</v>
      </c>
      <c r="P20" s="6" t="s">
        <v>83</v>
      </c>
      <c r="Q20" s="6"/>
      <c r="R20" s="6"/>
      <c r="S20" s="6">
        <v>17</v>
      </c>
      <c r="T20" s="6">
        <v>15.63</v>
      </c>
      <c r="U20" s="6">
        <v>1600</v>
      </c>
      <c r="V20" s="6">
        <v>27.89</v>
      </c>
      <c r="W20" s="6">
        <v>30</v>
      </c>
      <c r="X20" s="6">
        <v>428</v>
      </c>
      <c r="Y20" s="6">
        <v>863</v>
      </c>
      <c r="Z20" s="6">
        <v>267</v>
      </c>
      <c r="AA20" s="6">
        <v>12</v>
      </c>
      <c r="AB20" s="6">
        <v>0</v>
      </c>
      <c r="AC20" s="7">
        <v>31</v>
      </c>
      <c r="AD20" s="7" t="s">
        <v>52</v>
      </c>
      <c r="AE20" s="7">
        <v>27.32</v>
      </c>
      <c r="AF20" s="7">
        <v>423</v>
      </c>
      <c r="AG20" s="7">
        <v>31.74</v>
      </c>
      <c r="AH20" s="7">
        <v>30.91</v>
      </c>
      <c r="AI20" s="7">
        <v>36.22</v>
      </c>
      <c r="AJ20" s="9">
        <v>296.34704357517501</v>
      </c>
      <c r="AK20" s="9">
        <v>299.35546010000002</v>
      </c>
      <c r="AL20" s="9">
        <v>374.24487575899701</v>
      </c>
      <c r="AM20" s="9">
        <v>56.949717152464402</v>
      </c>
      <c r="AN20" s="9">
        <v>1.8370876500794999</v>
      </c>
      <c r="AO20" s="9">
        <v>1.6549137817096899</v>
      </c>
      <c r="AP20" s="9">
        <v>605.15133190677102</v>
      </c>
      <c r="AQ20" s="9">
        <v>19.521010706670001</v>
      </c>
      <c r="AR20" s="9">
        <v>28.817513716103601</v>
      </c>
      <c r="AS20" s="73" t="s">
        <v>169</v>
      </c>
      <c r="AT20" s="8"/>
      <c r="AU20" s="10" t="s">
        <v>169</v>
      </c>
      <c r="AV20" s="10">
        <v>0</v>
      </c>
      <c r="AW20" s="8"/>
      <c r="AX20" s="74" t="s">
        <v>169</v>
      </c>
      <c r="AY20" s="314" t="str">
        <f t="shared" si="19"/>
        <v/>
      </c>
      <c r="AZ20" s="314" t="str">
        <f t="shared" si="20"/>
        <v/>
      </c>
      <c r="BA20" s="315" t="str">
        <f t="shared" si="21"/>
        <v/>
      </c>
      <c r="BB20" s="10" t="str">
        <f t="shared" si="22"/>
        <v/>
      </c>
      <c r="BC20" s="10" t="str">
        <f t="shared" si="23"/>
        <v/>
      </c>
      <c r="BD20" s="10" t="str">
        <f t="shared" si="24"/>
        <v/>
      </c>
      <c r="BE20" s="10" t="str">
        <f t="shared" si="25"/>
        <v/>
      </c>
      <c r="BF20" s="12">
        <v>0.43</v>
      </c>
      <c r="BG20" s="13">
        <v>280.27822485666667</v>
      </c>
      <c r="BH20" s="96" t="str">
        <f>+VLOOKUP(G20,Liste!$A$7:$G$50,3,FALSE)</f>
        <v>Douglas</v>
      </c>
      <c r="BI20" s="96" t="str">
        <f>+VLOOKUP(H20,Liste!$B$7:$G$50,5,FALSE)</f>
        <v>National</v>
      </c>
      <c r="BJ20" s="135">
        <f t="shared" si="0"/>
        <v>31</v>
      </c>
      <c r="BK20" s="135" t="str">
        <f t="shared" si="2"/>
        <v>Douglas_F1_Entree 17-18m, densité haute_National_31_</v>
      </c>
      <c r="BL20" s="322"/>
      <c r="BM20" s="13">
        <v>71.497417043333314</v>
      </c>
      <c r="BN20" s="13">
        <v>351.77564190820516</v>
      </c>
      <c r="BP20" s="13">
        <v>323.23</v>
      </c>
      <c r="BQ20" s="13">
        <v>26.169337591485501</v>
      </c>
      <c r="BT20" s="298" t="str">
        <f>+VLOOKUP(G20,Liste!$A$7:$H$50,8,FALSE)</f>
        <v>Résineux</v>
      </c>
      <c r="BU20" s="298">
        <f t="shared" si="3"/>
        <v>0</v>
      </c>
      <c r="BV20" s="300">
        <f t="shared" si="4"/>
        <v>1</v>
      </c>
      <c r="BW20" s="321">
        <v>0</v>
      </c>
      <c r="BX20" s="298">
        <f t="shared" si="5"/>
        <v>0.43</v>
      </c>
      <c r="BY20">
        <f t="shared" si="6"/>
        <v>0</v>
      </c>
      <c r="BZ20" s="304">
        <f t="shared" si="7"/>
        <v>0</v>
      </c>
      <c r="CB20" s="299">
        <v>0.6</v>
      </c>
      <c r="CC20" s="299">
        <v>0.4</v>
      </c>
      <c r="CD20">
        <f t="shared" si="8"/>
        <v>0</v>
      </c>
      <c r="CE20">
        <f t="shared" si="9"/>
        <v>0</v>
      </c>
      <c r="CF20">
        <f t="shared" si="10"/>
        <v>0</v>
      </c>
      <c r="CG20">
        <f t="shared" si="11"/>
        <v>0</v>
      </c>
      <c r="CH20">
        <f t="shared" si="12"/>
        <v>0</v>
      </c>
      <c r="CI20">
        <f t="shared" si="13"/>
        <v>0</v>
      </c>
      <c r="CJ20">
        <f t="shared" si="14"/>
        <v>0</v>
      </c>
      <c r="CK20">
        <f t="shared" si="15"/>
        <v>66.53193185586241</v>
      </c>
      <c r="CL20">
        <f t="shared" si="16"/>
        <v>18.140718955756274</v>
      </c>
      <c r="CM20">
        <f t="shared" si="26"/>
        <v>84.672650811618681</v>
      </c>
      <c r="CN20">
        <f t="shared" si="18"/>
        <v>664.09407989536896</v>
      </c>
      <c r="CO20">
        <f t="shared" si="1"/>
        <v>0</v>
      </c>
    </row>
    <row r="21" spans="1:93" s="12" customFormat="1" ht="14.65" customHeight="1" x14ac:dyDescent="0.25">
      <c r="A21" s="4">
        <v>2020</v>
      </c>
      <c r="B21" s="4"/>
      <c r="C21" s="4" t="s">
        <v>62</v>
      </c>
      <c r="D21" s="4" t="s">
        <v>63</v>
      </c>
      <c r="E21" s="4"/>
      <c r="F21" s="4" t="s">
        <v>90</v>
      </c>
      <c r="G21" s="5" t="s">
        <v>8</v>
      </c>
      <c r="H21" s="5" t="s">
        <v>11</v>
      </c>
      <c r="I21" s="5" t="s">
        <v>12</v>
      </c>
      <c r="J21" s="5" t="s">
        <v>9</v>
      </c>
      <c r="K21" s="5">
        <v>40</v>
      </c>
      <c r="L21" s="5" t="s">
        <v>190</v>
      </c>
      <c r="M21" s="5">
        <v>1666</v>
      </c>
      <c r="N21" s="5" t="s">
        <v>171</v>
      </c>
      <c r="O21" s="6" t="s">
        <v>81</v>
      </c>
      <c r="P21" s="6" t="s">
        <v>83</v>
      </c>
      <c r="Q21" s="6"/>
      <c r="R21" s="6"/>
      <c r="S21" s="6">
        <v>17</v>
      </c>
      <c r="T21" s="6">
        <v>15.63</v>
      </c>
      <c r="U21" s="6">
        <v>1600</v>
      </c>
      <c r="V21" s="6">
        <v>27.89</v>
      </c>
      <c r="W21" s="6">
        <v>30</v>
      </c>
      <c r="X21" s="6">
        <v>428</v>
      </c>
      <c r="Y21" s="6">
        <v>863</v>
      </c>
      <c r="Z21" s="6">
        <v>267</v>
      </c>
      <c r="AA21" s="6">
        <v>12</v>
      </c>
      <c r="AB21" s="6">
        <v>0</v>
      </c>
      <c r="AC21" s="7">
        <v>32</v>
      </c>
      <c r="AD21" s="7" t="s">
        <v>52</v>
      </c>
      <c r="AE21" s="7">
        <v>28.1</v>
      </c>
      <c r="AF21" s="7">
        <v>423</v>
      </c>
      <c r="AG21" s="7">
        <v>33.39</v>
      </c>
      <c r="AH21" s="7">
        <v>31.7</v>
      </c>
      <c r="AI21" s="7">
        <v>37.17</v>
      </c>
      <c r="AJ21" s="9">
        <v>319.39255162359001</v>
      </c>
      <c r="AK21" s="9">
        <v>322.72762729999999</v>
      </c>
      <c r="AL21" s="9">
        <v>403.06238947510002</v>
      </c>
      <c r="AM21" s="9">
        <v>58.604630934174097</v>
      </c>
      <c r="AN21" s="9">
        <v>1.8313947166929401</v>
      </c>
      <c r="AO21" s="9">
        <v>1.6392356557179799</v>
      </c>
      <c r="AP21" s="9">
        <v>633.96884562287403</v>
      </c>
      <c r="AQ21" s="9">
        <v>19.811526425714799</v>
      </c>
      <c r="AR21" s="9">
        <v>29.564393471365999</v>
      </c>
      <c r="AS21" s="73" t="s">
        <v>169</v>
      </c>
      <c r="AT21" s="8"/>
      <c r="AU21" s="10" t="s">
        <v>169</v>
      </c>
      <c r="AV21" s="10">
        <v>0</v>
      </c>
      <c r="AW21" s="8"/>
      <c r="AX21" s="74" t="s">
        <v>169</v>
      </c>
      <c r="AY21" s="314" t="str">
        <f t="shared" si="19"/>
        <v/>
      </c>
      <c r="AZ21" s="314" t="str">
        <f t="shared" si="20"/>
        <v/>
      </c>
      <c r="BA21" s="315" t="str">
        <f t="shared" si="21"/>
        <v/>
      </c>
      <c r="BB21" s="10" t="str">
        <f t="shared" si="22"/>
        <v/>
      </c>
      <c r="BC21" s="10" t="str">
        <f t="shared" si="23"/>
        <v/>
      </c>
      <c r="BD21" s="10" t="str">
        <f t="shared" si="24"/>
        <v/>
      </c>
      <c r="BE21" s="10" t="str">
        <f t="shared" si="25"/>
        <v/>
      </c>
      <c r="BF21" s="12">
        <v>0.43</v>
      </c>
      <c r="BG21" s="13">
        <v>301.86014118333338</v>
      </c>
      <c r="BH21" s="96" t="str">
        <f>+VLOOKUP(G21,Liste!$A$7:$G$50,3,FALSE)</f>
        <v>Douglas</v>
      </c>
      <c r="BI21" s="96" t="str">
        <f>+VLOOKUP(H21,Liste!$B$7:$G$50,5,FALSE)</f>
        <v>National</v>
      </c>
      <c r="BJ21" s="135">
        <f t="shared" si="0"/>
        <v>32</v>
      </c>
      <c r="BK21" s="135" t="str">
        <f t="shared" si="2"/>
        <v>Douglas_F1_Entree 17-18m, densité haute_National_32_</v>
      </c>
      <c r="BL21" s="322"/>
      <c r="BM21" s="13">
        <v>76.34081191666661</v>
      </c>
      <c r="BN21" s="13">
        <v>378.2009531187727</v>
      </c>
      <c r="BP21" s="13">
        <v>323.23</v>
      </c>
      <c r="BQ21" s="13">
        <v>26.822427278327002</v>
      </c>
      <c r="BT21" s="298" t="str">
        <f>+VLOOKUP(G21,Liste!$A$7:$H$50,8,FALSE)</f>
        <v>Résineux</v>
      </c>
      <c r="BU21" s="298">
        <f t="shared" si="3"/>
        <v>0</v>
      </c>
      <c r="BV21" s="300">
        <f t="shared" si="4"/>
        <v>1</v>
      </c>
      <c r="BW21" s="321">
        <v>0</v>
      </c>
      <c r="BX21" s="298">
        <f t="shared" si="5"/>
        <v>0.43</v>
      </c>
      <c r="BY21">
        <f t="shared" si="6"/>
        <v>0</v>
      </c>
      <c r="BZ21" s="304">
        <f t="shared" si="7"/>
        <v>0</v>
      </c>
      <c r="CB21" s="299">
        <v>0.6</v>
      </c>
      <c r="CC21" s="299">
        <v>0.4</v>
      </c>
      <c r="CD21">
        <f t="shared" si="8"/>
        <v>0</v>
      </c>
      <c r="CE21">
        <f t="shared" si="9"/>
        <v>0</v>
      </c>
      <c r="CF21">
        <f t="shared" si="10"/>
        <v>0</v>
      </c>
      <c r="CG21">
        <f t="shared" si="11"/>
        <v>0</v>
      </c>
      <c r="CH21">
        <f t="shared" si="12"/>
        <v>0</v>
      </c>
      <c r="CI21">
        <f t="shared" si="13"/>
        <v>0</v>
      </c>
      <c r="CJ21">
        <f t="shared" si="14"/>
        <v>0</v>
      </c>
      <c r="CK21">
        <f t="shared" si="15"/>
        <v>0</v>
      </c>
      <c r="CL21">
        <f t="shared" si="16"/>
        <v>0</v>
      </c>
      <c r="CM21">
        <f t="shared" si="26"/>
        <v>0</v>
      </c>
      <c r="CN21">
        <f t="shared" si="18"/>
        <v>0</v>
      </c>
      <c r="CO21">
        <f t="shared" si="1"/>
        <v>0</v>
      </c>
    </row>
    <row r="22" spans="1:93" s="12" customFormat="1" ht="14.65" customHeight="1" x14ac:dyDescent="0.25">
      <c r="A22" s="4">
        <v>2020</v>
      </c>
      <c r="B22" s="4"/>
      <c r="C22" s="4" t="s">
        <v>62</v>
      </c>
      <c r="D22" s="4" t="s">
        <v>63</v>
      </c>
      <c r="E22" s="4"/>
      <c r="F22" s="4" t="s">
        <v>90</v>
      </c>
      <c r="G22" s="5" t="s">
        <v>8</v>
      </c>
      <c r="H22" s="5" t="s">
        <v>11</v>
      </c>
      <c r="I22" s="5" t="s">
        <v>12</v>
      </c>
      <c r="J22" s="5" t="s">
        <v>9</v>
      </c>
      <c r="K22" s="5">
        <v>40</v>
      </c>
      <c r="L22" s="5" t="s">
        <v>190</v>
      </c>
      <c r="M22" s="5">
        <v>1666</v>
      </c>
      <c r="N22" s="5" t="s">
        <v>171</v>
      </c>
      <c r="O22" s="6" t="s">
        <v>81</v>
      </c>
      <c r="P22" s="6" t="s">
        <v>83</v>
      </c>
      <c r="Q22" s="6"/>
      <c r="R22" s="6"/>
      <c r="S22" s="6">
        <v>17</v>
      </c>
      <c r="T22" s="6">
        <v>15.63</v>
      </c>
      <c r="U22" s="6">
        <v>1600</v>
      </c>
      <c r="V22" s="6">
        <v>27.89</v>
      </c>
      <c r="W22" s="6">
        <v>30</v>
      </c>
      <c r="X22" s="6">
        <v>428</v>
      </c>
      <c r="Y22" s="6">
        <v>863</v>
      </c>
      <c r="Z22" s="6">
        <v>267</v>
      </c>
      <c r="AA22" s="6">
        <v>12</v>
      </c>
      <c r="AB22" s="6">
        <v>0</v>
      </c>
      <c r="AC22" s="7">
        <v>33</v>
      </c>
      <c r="AD22" s="7" t="s">
        <v>52</v>
      </c>
      <c r="AE22" s="7">
        <v>28.87</v>
      </c>
      <c r="AF22" s="7">
        <v>423</v>
      </c>
      <c r="AG22" s="7">
        <v>35.03</v>
      </c>
      <c r="AH22" s="7">
        <v>32.47</v>
      </c>
      <c r="AI22" s="7">
        <v>38.1</v>
      </c>
      <c r="AJ22" s="9">
        <v>343.03330129314998</v>
      </c>
      <c r="AK22" s="9">
        <v>346.70938260000003</v>
      </c>
      <c r="AL22" s="9">
        <v>432.62678294646599</v>
      </c>
      <c r="AM22" s="9">
        <v>60.243866589892001</v>
      </c>
      <c r="AN22" s="9">
        <v>1.82557171484521</v>
      </c>
      <c r="AO22" s="9">
        <v>1.62241466544277</v>
      </c>
      <c r="AP22" s="9">
        <v>663.53323909424</v>
      </c>
      <c r="AQ22" s="9">
        <v>20.107067851340599</v>
      </c>
      <c r="AR22" s="9">
        <v>30.0667500725623</v>
      </c>
      <c r="AS22" s="73" t="s">
        <v>169</v>
      </c>
      <c r="AT22" s="8"/>
      <c r="AU22" s="10" t="s">
        <v>169</v>
      </c>
      <c r="AV22" s="10">
        <v>0</v>
      </c>
      <c r="AW22" s="8"/>
      <c r="AX22" s="74" t="s">
        <v>169</v>
      </c>
      <c r="AY22" s="314" t="str">
        <f t="shared" si="19"/>
        <v/>
      </c>
      <c r="AZ22" s="314" t="str">
        <f t="shared" si="20"/>
        <v/>
      </c>
      <c r="BA22" s="315" t="str">
        <f t="shared" si="21"/>
        <v/>
      </c>
      <c r="BB22" s="10" t="str">
        <f t="shared" si="22"/>
        <v/>
      </c>
      <c r="BC22" s="10" t="str">
        <f t="shared" si="23"/>
        <v/>
      </c>
      <c r="BD22" s="10" t="str">
        <f t="shared" si="24"/>
        <v/>
      </c>
      <c r="BE22" s="10" t="str">
        <f t="shared" si="25"/>
        <v/>
      </c>
      <c r="BF22" s="12">
        <v>0.43</v>
      </c>
      <c r="BG22" s="13">
        <v>324.00140820666667</v>
      </c>
      <c r="BH22" s="96" t="str">
        <f>+VLOOKUP(G22,Liste!$A$7:$G$50,3,FALSE)</f>
        <v>Douglas</v>
      </c>
      <c r="BI22" s="96" t="str">
        <f>+VLOOKUP(H22,Liste!$B$7:$G$50,5,FALSE)</f>
        <v>National</v>
      </c>
      <c r="BJ22" s="135">
        <f t="shared" si="0"/>
        <v>33</v>
      </c>
      <c r="BK22" s="135" t="str">
        <f t="shared" si="2"/>
        <v>Douglas_F1_Entree 17-18m, densité haute_National_33_</v>
      </c>
      <c r="BL22" s="322"/>
      <c r="BM22" s="13">
        <v>81.268011693333335</v>
      </c>
      <c r="BN22" s="13">
        <v>405.269419885638</v>
      </c>
      <c r="BP22" s="13">
        <v>323.23</v>
      </c>
      <c r="BQ22" s="13">
        <v>27.2533548592397</v>
      </c>
      <c r="BT22" s="298" t="str">
        <f>+VLOOKUP(G22,Liste!$A$7:$H$50,8,FALSE)</f>
        <v>Résineux</v>
      </c>
      <c r="BU22" s="298">
        <f t="shared" si="3"/>
        <v>0</v>
      </c>
      <c r="BV22" s="300">
        <f t="shared" si="4"/>
        <v>1</v>
      </c>
      <c r="BW22" s="321">
        <v>0</v>
      </c>
      <c r="BX22" s="298">
        <f t="shared" si="5"/>
        <v>0.43</v>
      </c>
      <c r="BY22">
        <f t="shared" si="6"/>
        <v>0</v>
      </c>
      <c r="BZ22" s="304">
        <f t="shared" si="7"/>
        <v>0</v>
      </c>
      <c r="CB22" s="299">
        <v>0.6</v>
      </c>
      <c r="CC22" s="299">
        <v>0.4</v>
      </c>
      <c r="CD22">
        <f t="shared" si="8"/>
        <v>0</v>
      </c>
      <c r="CE22">
        <f t="shared" si="9"/>
        <v>0</v>
      </c>
      <c r="CF22">
        <f t="shared" si="10"/>
        <v>0</v>
      </c>
      <c r="CG22">
        <f t="shared" si="11"/>
        <v>0</v>
      </c>
      <c r="CH22">
        <f t="shared" si="12"/>
        <v>0</v>
      </c>
      <c r="CI22">
        <f t="shared" si="13"/>
        <v>0</v>
      </c>
      <c r="CJ22">
        <f t="shared" si="14"/>
        <v>0</v>
      </c>
      <c r="CK22">
        <f t="shared" si="15"/>
        <v>0</v>
      </c>
      <c r="CL22">
        <f t="shared" si="16"/>
        <v>0</v>
      </c>
      <c r="CM22">
        <f t="shared" si="26"/>
        <v>0</v>
      </c>
      <c r="CN22">
        <f t="shared" si="18"/>
        <v>0</v>
      </c>
      <c r="CO22">
        <f t="shared" si="1"/>
        <v>0</v>
      </c>
    </row>
    <row r="23" spans="1:93" s="12" customFormat="1" ht="14.65" customHeight="1" x14ac:dyDescent="0.25">
      <c r="A23" s="4">
        <v>2020</v>
      </c>
      <c r="B23" s="4"/>
      <c r="C23" s="4" t="s">
        <v>62</v>
      </c>
      <c r="D23" s="4" t="s">
        <v>63</v>
      </c>
      <c r="E23" s="4"/>
      <c r="F23" s="4" t="s">
        <v>90</v>
      </c>
      <c r="G23" s="5" t="s">
        <v>8</v>
      </c>
      <c r="H23" s="5" t="s">
        <v>11</v>
      </c>
      <c r="I23" s="5" t="s">
        <v>12</v>
      </c>
      <c r="J23" s="5" t="s">
        <v>9</v>
      </c>
      <c r="K23" s="5">
        <v>40</v>
      </c>
      <c r="L23" s="5" t="s">
        <v>190</v>
      </c>
      <c r="M23" s="5">
        <v>1666</v>
      </c>
      <c r="N23" s="5" t="s">
        <v>171</v>
      </c>
      <c r="O23" s="6" t="s">
        <v>81</v>
      </c>
      <c r="P23" s="6" t="s">
        <v>83</v>
      </c>
      <c r="Q23" s="6"/>
      <c r="R23" s="6"/>
      <c r="S23" s="6">
        <v>17</v>
      </c>
      <c r="T23" s="6">
        <v>15.63</v>
      </c>
      <c r="U23" s="6">
        <v>1600</v>
      </c>
      <c r="V23" s="6">
        <v>27.89</v>
      </c>
      <c r="W23" s="6">
        <v>30</v>
      </c>
      <c r="X23" s="6">
        <v>428</v>
      </c>
      <c r="Y23" s="6">
        <v>863</v>
      </c>
      <c r="Z23" s="6">
        <v>267</v>
      </c>
      <c r="AA23" s="6">
        <v>12</v>
      </c>
      <c r="AB23" s="6">
        <v>0</v>
      </c>
      <c r="AC23" s="7">
        <v>34</v>
      </c>
      <c r="AD23" s="7" t="s">
        <v>52</v>
      </c>
      <c r="AE23" s="7">
        <v>29.63</v>
      </c>
      <c r="AF23" s="7">
        <v>423</v>
      </c>
      <c r="AG23" s="7">
        <v>36.65</v>
      </c>
      <c r="AH23" s="7">
        <v>33.22</v>
      </c>
      <c r="AI23" s="7">
        <v>39.01</v>
      </c>
      <c r="AJ23" s="9">
        <v>367.07499169768499</v>
      </c>
      <c r="AK23" s="9">
        <v>371.10410430000002</v>
      </c>
      <c r="AL23" s="9">
        <v>462.69353301902902</v>
      </c>
      <c r="AM23" s="9">
        <v>61.866281255334798</v>
      </c>
      <c r="AN23" s="9">
        <v>1.8195965075098499</v>
      </c>
      <c r="AO23" s="9">
        <v>1.6037546732219401</v>
      </c>
      <c r="AP23" s="9">
        <v>693.59998916680297</v>
      </c>
      <c r="AQ23" s="9">
        <v>20.399999681376499</v>
      </c>
      <c r="AR23" s="9">
        <v>30.718579679587499</v>
      </c>
      <c r="AS23" s="73" t="s">
        <v>169</v>
      </c>
      <c r="AT23" s="8"/>
      <c r="AU23" s="10" t="s">
        <v>169</v>
      </c>
      <c r="AV23" s="10">
        <v>0</v>
      </c>
      <c r="AW23" s="8"/>
      <c r="AX23" s="74" t="s">
        <v>169</v>
      </c>
      <c r="AY23" s="314" t="str">
        <f t="shared" si="19"/>
        <v/>
      </c>
      <c r="AZ23" s="314" t="str">
        <f t="shared" si="20"/>
        <v/>
      </c>
      <c r="BA23" s="315" t="str">
        <f t="shared" si="21"/>
        <v/>
      </c>
      <c r="BB23" s="10" t="str">
        <f t="shared" si="22"/>
        <v/>
      </c>
      <c r="BC23" s="10" t="str">
        <f t="shared" si="23"/>
        <v/>
      </c>
      <c r="BD23" s="10" t="str">
        <f t="shared" si="24"/>
        <v/>
      </c>
      <c r="BE23" s="10" t="str">
        <f t="shared" si="25"/>
        <v/>
      </c>
      <c r="BF23" s="12">
        <v>0.43</v>
      </c>
      <c r="BG23" s="13">
        <v>346.51889843999999</v>
      </c>
      <c r="BH23" s="96" t="str">
        <f>+VLOOKUP(G23,Liste!$A$7:$G$50,3,FALSE)</f>
        <v>Douglas</v>
      </c>
      <c r="BI23" s="96" t="str">
        <f>+VLOOKUP(H23,Liste!$B$7:$G$50,5,FALSE)</f>
        <v>National</v>
      </c>
      <c r="BJ23" s="135">
        <f t="shared" si="0"/>
        <v>34</v>
      </c>
      <c r="BK23" s="135" t="str">
        <f t="shared" si="2"/>
        <v>Douglas_F1_Entree 17-18m, densité haute_National_34_</v>
      </c>
      <c r="BL23" s="322"/>
      <c r="BM23" s="13">
        <v>86.238879760000032</v>
      </c>
      <c r="BN23" s="13">
        <v>432.75777823074139</v>
      </c>
      <c r="BP23" s="13">
        <v>323.23</v>
      </c>
      <c r="BQ23" s="13">
        <v>27.819575184168801</v>
      </c>
      <c r="BT23" s="298" t="str">
        <f>+VLOOKUP(G23,Liste!$A$7:$H$50,8,FALSE)</f>
        <v>Résineux</v>
      </c>
      <c r="BU23" s="298">
        <f t="shared" si="3"/>
        <v>0</v>
      </c>
      <c r="BV23" s="300">
        <f t="shared" si="4"/>
        <v>1</v>
      </c>
      <c r="BW23" s="321">
        <v>0</v>
      </c>
      <c r="BX23" s="298">
        <f t="shared" si="5"/>
        <v>0.43</v>
      </c>
      <c r="BY23">
        <f t="shared" si="6"/>
        <v>0</v>
      </c>
      <c r="BZ23" s="304">
        <f t="shared" si="7"/>
        <v>0</v>
      </c>
      <c r="CB23" s="299">
        <v>0.6</v>
      </c>
      <c r="CC23" s="299">
        <v>0.4</v>
      </c>
      <c r="CD23">
        <f t="shared" si="8"/>
        <v>0</v>
      </c>
      <c r="CE23">
        <f t="shared" si="9"/>
        <v>0</v>
      </c>
      <c r="CF23">
        <f t="shared" si="10"/>
        <v>0</v>
      </c>
      <c r="CG23">
        <f t="shared" si="11"/>
        <v>0</v>
      </c>
      <c r="CH23">
        <f t="shared" si="12"/>
        <v>0</v>
      </c>
      <c r="CI23">
        <f t="shared" si="13"/>
        <v>0</v>
      </c>
      <c r="CJ23">
        <f t="shared" si="14"/>
        <v>0</v>
      </c>
      <c r="CK23">
        <f t="shared" si="15"/>
        <v>0</v>
      </c>
      <c r="CL23">
        <f t="shared" si="16"/>
        <v>0</v>
      </c>
      <c r="CM23">
        <f t="shared" si="26"/>
        <v>0</v>
      </c>
      <c r="CN23">
        <f t="shared" si="18"/>
        <v>0</v>
      </c>
      <c r="CO23">
        <f t="shared" si="1"/>
        <v>0</v>
      </c>
    </row>
    <row r="24" spans="1:93" s="12" customFormat="1" ht="14.65" customHeight="1" x14ac:dyDescent="0.25">
      <c r="A24" s="4">
        <v>2020</v>
      </c>
      <c r="B24" s="4"/>
      <c r="C24" s="4" t="s">
        <v>62</v>
      </c>
      <c r="D24" s="4" t="s">
        <v>63</v>
      </c>
      <c r="E24" s="4"/>
      <c r="F24" s="4" t="s">
        <v>90</v>
      </c>
      <c r="G24" s="5" t="s">
        <v>8</v>
      </c>
      <c r="H24" s="5" t="s">
        <v>11</v>
      </c>
      <c r="I24" s="5" t="s">
        <v>12</v>
      </c>
      <c r="J24" s="5" t="s">
        <v>9</v>
      </c>
      <c r="K24" s="5">
        <v>40</v>
      </c>
      <c r="L24" s="5" t="s">
        <v>190</v>
      </c>
      <c r="M24" s="5">
        <v>1666</v>
      </c>
      <c r="N24" s="5" t="s">
        <v>171</v>
      </c>
      <c r="O24" s="6" t="s">
        <v>81</v>
      </c>
      <c r="P24" s="6" t="s">
        <v>83</v>
      </c>
      <c r="Q24" s="6"/>
      <c r="R24" s="6"/>
      <c r="S24" s="6">
        <v>17</v>
      </c>
      <c r="T24" s="6">
        <v>15.63</v>
      </c>
      <c r="U24" s="6">
        <v>1600</v>
      </c>
      <c r="V24" s="6">
        <v>27.89</v>
      </c>
      <c r="W24" s="6">
        <v>30</v>
      </c>
      <c r="X24" s="6">
        <v>428</v>
      </c>
      <c r="Y24" s="6">
        <v>863</v>
      </c>
      <c r="Z24" s="6">
        <v>267</v>
      </c>
      <c r="AA24" s="6">
        <v>12</v>
      </c>
      <c r="AB24" s="6">
        <v>0</v>
      </c>
      <c r="AC24" s="7">
        <v>35</v>
      </c>
      <c r="AD24" s="7" t="s">
        <v>52</v>
      </c>
      <c r="AE24" s="7">
        <v>30.37</v>
      </c>
      <c r="AF24" s="7">
        <v>423</v>
      </c>
      <c r="AG24" s="7">
        <v>38.26</v>
      </c>
      <c r="AH24" s="7">
        <v>33.93</v>
      </c>
      <c r="AI24" s="7">
        <v>39.9</v>
      </c>
      <c r="AJ24" s="9">
        <v>391.63615859138599</v>
      </c>
      <c r="AK24" s="9">
        <v>396.03146950000001</v>
      </c>
      <c r="AL24" s="9">
        <v>493.412112698616</v>
      </c>
      <c r="AM24" s="9">
        <v>63.470035928556698</v>
      </c>
      <c r="AN24" s="9">
        <v>1.81342959795876</v>
      </c>
      <c r="AO24" s="9">
        <v>1.5853381544317799</v>
      </c>
      <c r="AP24" s="9">
        <v>724.31856884639001</v>
      </c>
      <c r="AQ24" s="9">
        <v>20.694816252753998</v>
      </c>
      <c r="AR24" s="9">
        <v>31.143372669265499</v>
      </c>
      <c r="AS24" s="73" t="s">
        <v>169</v>
      </c>
      <c r="AT24" s="8"/>
      <c r="AU24" s="10" t="s">
        <v>169</v>
      </c>
      <c r="AV24" s="10">
        <v>0</v>
      </c>
      <c r="AW24" s="8"/>
      <c r="AX24" s="74" t="s">
        <v>169</v>
      </c>
      <c r="AY24" s="314" t="str">
        <f t="shared" si="19"/>
        <v/>
      </c>
      <c r="AZ24" s="314" t="str">
        <f t="shared" si="20"/>
        <v/>
      </c>
      <c r="BA24" s="315" t="str">
        <f t="shared" si="21"/>
        <v/>
      </c>
      <c r="BB24" s="10" t="str">
        <f t="shared" si="22"/>
        <v/>
      </c>
      <c r="BC24" s="10" t="str">
        <f t="shared" si="23"/>
        <v/>
      </c>
      <c r="BD24" s="10" t="str">
        <f t="shared" si="24"/>
        <v/>
      </c>
      <c r="BE24" s="10" t="str">
        <f t="shared" si="25"/>
        <v/>
      </c>
      <c r="BF24" s="12">
        <v>0.43</v>
      </c>
      <c r="BG24" s="13">
        <v>369.52455466666669</v>
      </c>
      <c r="BH24" s="96" t="str">
        <f>+VLOOKUP(G24,Liste!$A$7:$G$50,3,FALSE)</f>
        <v>Douglas</v>
      </c>
      <c r="BI24" s="96" t="str">
        <f>+VLOOKUP(H24,Liste!$B$7:$G$50,5,FALSE)</f>
        <v>National</v>
      </c>
      <c r="BJ24" s="135">
        <f t="shared" si="0"/>
        <v>35</v>
      </c>
      <c r="BK24" s="135" t="str">
        <f t="shared" si="2"/>
        <v>Douglas_F1_Entree 17-18m, densité haute_National_35_</v>
      </c>
      <c r="BL24" s="322"/>
      <c r="BM24" s="13">
        <v>91.278820133333284</v>
      </c>
      <c r="BN24" s="13">
        <v>460.80337481036099</v>
      </c>
      <c r="BP24" s="13">
        <v>323.23</v>
      </c>
      <c r="BQ24" s="13">
        <v>28.180077058049999</v>
      </c>
      <c r="BT24" s="298" t="str">
        <f>+VLOOKUP(G24,Liste!$A$7:$H$50,8,FALSE)</f>
        <v>Résineux</v>
      </c>
      <c r="BU24" s="298">
        <f t="shared" si="3"/>
        <v>0</v>
      </c>
      <c r="BV24" s="300">
        <f t="shared" si="4"/>
        <v>1</v>
      </c>
      <c r="BW24" s="321">
        <v>0</v>
      </c>
      <c r="BX24" s="298">
        <f t="shared" si="5"/>
        <v>0.43</v>
      </c>
      <c r="BY24">
        <f t="shared" si="6"/>
        <v>0</v>
      </c>
      <c r="BZ24" s="304">
        <f t="shared" si="7"/>
        <v>0</v>
      </c>
      <c r="CB24" s="299">
        <v>0.6</v>
      </c>
      <c r="CC24" s="299">
        <v>0.4</v>
      </c>
      <c r="CD24">
        <f t="shared" si="8"/>
        <v>0</v>
      </c>
      <c r="CE24">
        <f t="shared" si="9"/>
        <v>0</v>
      </c>
      <c r="CF24">
        <f t="shared" si="10"/>
        <v>0</v>
      </c>
      <c r="CG24">
        <f t="shared" si="11"/>
        <v>0</v>
      </c>
      <c r="CH24">
        <f t="shared" si="12"/>
        <v>0</v>
      </c>
      <c r="CI24">
        <f t="shared" si="13"/>
        <v>0</v>
      </c>
      <c r="CJ24">
        <f t="shared" si="14"/>
        <v>0</v>
      </c>
      <c r="CK24">
        <f t="shared" si="15"/>
        <v>0</v>
      </c>
      <c r="CL24">
        <f t="shared" si="16"/>
        <v>0</v>
      </c>
      <c r="CM24">
        <f t="shared" si="26"/>
        <v>0</v>
      </c>
      <c r="CN24">
        <f t="shared" si="18"/>
        <v>0</v>
      </c>
      <c r="CO24">
        <f t="shared" si="1"/>
        <v>0</v>
      </c>
    </row>
    <row r="25" spans="1:93" s="12" customFormat="1" ht="14.65" customHeight="1" x14ac:dyDescent="0.25">
      <c r="A25" s="4">
        <v>2020</v>
      </c>
      <c r="B25" s="4"/>
      <c r="C25" s="4" t="s">
        <v>62</v>
      </c>
      <c r="D25" s="4" t="s">
        <v>63</v>
      </c>
      <c r="E25" s="4"/>
      <c r="F25" s="4" t="s">
        <v>90</v>
      </c>
      <c r="G25" s="5" t="s">
        <v>8</v>
      </c>
      <c r="H25" s="5" t="s">
        <v>11</v>
      </c>
      <c r="I25" s="5" t="s">
        <v>12</v>
      </c>
      <c r="J25" s="5" t="s">
        <v>9</v>
      </c>
      <c r="K25" s="5">
        <v>40</v>
      </c>
      <c r="L25" s="5" t="s">
        <v>190</v>
      </c>
      <c r="M25" s="5">
        <v>1666</v>
      </c>
      <c r="N25" s="5" t="s">
        <v>171</v>
      </c>
      <c r="O25" s="6" t="s">
        <v>81</v>
      </c>
      <c r="P25" s="6" t="s">
        <v>83</v>
      </c>
      <c r="Q25" s="6"/>
      <c r="R25" s="6"/>
      <c r="S25" s="6">
        <v>17</v>
      </c>
      <c r="T25" s="6">
        <v>15.63</v>
      </c>
      <c r="U25" s="6">
        <v>1600</v>
      </c>
      <c r="V25" s="6">
        <v>27.89</v>
      </c>
      <c r="W25" s="6">
        <v>30</v>
      </c>
      <c r="X25" s="6">
        <v>428</v>
      </c>
      <c r="Y25" s="6">
        <v>863</v>
      </c>
      <c r="Z25" s="6">
        <v>267</v>
      </c>
      <c r="AA25" s="6">
        <v>12</v>
      </c>
      <c r="AB25" s="6">
        <v>0</v>
      </c>
      <c r="AC25" s="7">
        <v>36</v>
      </c>
      <c r="AD25" s="7" t="s">
        <v>52</v>
      </c>
      <c r="AE25" s="7">
        <v>31.11</v>
      </c>
      <c r="AF25" s="7">
        <v>423</v>
      </c>
      <c r="AG25" s="7">
        <v>39.840000000000003</v>
      </c>
      <c r="AH25" s="7">
        <v>34.630000000000003</v>
      </c>
      <c r="AI25" s="7">
        <v>40.770000000000003</v>
      </c>
      <c r="AJ25" s="9">
        <v>416.5366911863</v>
      </c>
      <c r="AK25" s="9">
        <v>421.30914619999999</v>
      </c>
      <c r="AL25" s="9">
        <v>524.55548536788103</v>
      </c>
      <c r="AM25" s="9">
        <v>65.055374082988493</v>
      </c>
      <c r="AN25" s="9">
        <v>1.8070937245274601</v>
      </c>
      <c r="AO25" s="9">
        <v>1.4446609890541899</v>
      </c>
      <c r="AP25" s="9">
        <v>755.46194151565601</v>
      </c>
      <c r="AQ25" s="9">
        <v>20.9850539309904</v>
      </c>
      <c r="AR25" s="9">
        <v>28.071849241270801</v>
      </c>
      <c r="AS25" s="73" t="s">
        <v>169</v>
      </c>
      <c r="AT25" s="8"/>
      <c r="AU25" s="10" t="s">
        <v>169</v>
      </c>
      <c r="AV25" s="10">
        <v>0</v>
      </c>
      <c r="AW25" s="8"/>
      <c r="AX25" s="74" t="s">
        <v>169</v>
      </c>
      <c r="AY25" s="314" t="str">
        <f t="shared" si="19"/>
        <v/>
      </c>
      <c r="AZ25" s="314" t="str">
        <f t="shared" si="20"/>
        <v/>
      </c>
      <c r="BA25" s="315" t="str">
        <f t="shared" si="21"/>
        <v/>
      </c>
      <c r="BB25" s="10" t="str">
        <f t="shared" si="22"/>
        <v/>
      </c>
      <c r="BC25" s="10" t="str">
        <f t="shared" si="23"/>
        <v/>
      </c>
      <c r="BD25" s="10" t="str">
        <f t="shared" si="24"/>
        <v/>
      </c>
      <c r="BE25" s="10" t="str">
        <f t="shared" si="25"/>
        <v/>
      </c>
      <c r="BF25" s="12">
        <v>0.43</v>
      </c>
      <c r="BG25" s="13">
        <v>392.84834563333334</v>
      </c>
      <c r="BH25" s="96" t="str">
        <f>+VLOOKUP(G25,Liste!$A$7:$G$50,3,FALSE)</f>
        <v>Douglas</v>
      </c>
      <c r="BI25" s="96" t="str">
        <f>+VLOOKUP(H25,Liste!$B$7:$G$50,5,FALSE)</f>
        <v>National</v>
      </c>
      <c r="BJ25" s="135">
        <f t="shared" si="0"/>
        <v>36</v>
      </c>
      <c r="BK25" s="135" t="str">
        <f t="shared" si="2"/>
        <v>Douglas_F1_Entree 17-18m, densité haute_National_36_</v>
      </c>
      <c r="BL25" s="322"/>
      <c r="BM25" s="13">
        <v>96.351291866666656</v>
      </c>
      <c r="BN25" s="13">
        <v>489.19963753394808</v>
      </c>
      <c r="BP25" s="13">
        <v>323.23</v>
      </c>
      <c r="BQ25" s="13">
        <v>25.3808528792309</v>
      </c>
      <c r="BT25" s="298" t="str">
        <f>+VLOOKUP(G25,Liste!$A$7:$H$50,8,FALSE)</f>
        <v>Résineux</v>
      </c>
      <c r="BU25" s="298">
        <f t="shared" si="3"/>
        <v>0</v>
      </c>
      <c r="BV25" s="300">
        <f t="shared" si="4"/>
        <v>1</v>
      </c>
      <c r="BW25" s="321">
        <v>0</v>
      </c>
      <c r="BX25" s="298">
        <f t="shared" si="5"/>
        <v>0.43</v>
      </c>
      <c r="BY25">
        <f t="shared" si="6"/>
        <v>0</v>
      </c>
      <c r="BZ25" s="304">
        <f t="shared" si="7"/>
        <v>0</v>
      </c>
      <c r="CB25" s="299">
        <v>0.6</v>
      </c>
      <c r="CC25" s="299">
        <v>0.4</v>
      </c>
      <c r="CD25">
        <f t="shared" si="8"/>
        <v>0</v>
      </c>
      <c r="CE25">
        <f t="shared" si="9"/>
        <v>0</v>
      </c>
      <c r="CF25">
        <f t="shared" si="10"/>
        <v>0</v>
      </c>
      <c r="CG25">
        <f t="shared" si="11"/>
        <v>0</v>
      </c>
      <c r="CH25">
        <f t="shared" si="12"/>
        <v>0</v>
      </c>
      <c r="CI25">
        <f t="shared" si="13"/>
        <v>0</v>
      </c>
      <c r="CJ25">
        <f t="shared" si="14"/>
        <v>0</v>
      </c>
      <c r="CK25">
        <f t="shared" si="15"/>
        <v>0</v>
      </c>
      <c r="CL25">
        <f t="shared" si="16"/>
        <v>0</v>
      </c>
      <c r="CM25">
        <f t="shared" si="26"/>
        <v>0</v>
      </c>
      <c r="CN25">
        <f t="shared" si="18"/>
        <v>0</v>
      </c>
      <c r="CO25">
        <f t="shared" si="1"/>
        <v>0</v>
      </c>
    </row>
    <row r="26" spans="1:93" s="12" customFormat="1" ht="14.65" customHeight="1" x14ac:dyDescent="0.25">
      <c r="A26" s="4">
        <v>2020</v>
      </c>
      <c r="B26" s="4"/>
      <c r="C26" s="4" t="s">
        <v>62</v>
      </c>
      <c r="D26" s="4" t="s">
        <v>63</v>
      </c>
      <c r="E26" s="4"/>
      <c r="F26" s="4" t="s">
        <v>90</v>
      </c>
      <c r="G26" s="5" t="s">
        <v>8</v>
      </c>
      <c r="H26" s="5" t="s">
        <v>11</v>
      </c>
      <c r="I26" s="5" t="s">
        <v>12</v>
      </c>
      <c r="J26" s="5" t="s">
        <v>9</v>
      </c>
      <c r="K26" s="5">
        <v>40</v>
      </c>
      <c r="L26" s="5" t="s">
        <v>190</v>
      </c>
      <c r="M26" s="5">
        <v>1666</v>
      </c>
      <c r="N26" s="5" t="s">
        <v>171</v>
      </c>
      <c r="O26" s="6" t="s">
        <v>81</v>
      </c>
      <c r="P26" s="6" t="s">
        <v>83</v>
      </c>
      <c r="Q26" s="6"/>
      <c r="R26" s="6"/>
      <c r="S26" s="6">
        <v>17</v>
      </c>
      <c r="T26" s="6">
        <v>15.63</v>
      </c>
      <c r="U26" s="6">
        <v>1600</v>
      </c>
      <c r="V26" s="6">
        <v>27.89</v>
      </c>
      <c r="W26" s="6">
        <v>30</v>
      </c>
      <c r="X26" s="6">
        <v>428</v>
      </c>
      <c r="Y26" s="6">
        <v>863</v>
      </c>
      <c r="Z26" s="6">
        <v>267</v>
      </c>
      <c r="AA26" s="6">
        <v>12</v>
      </c>
      <c r="AB26" s="6">
        <v>0</v>
      </c>
      <c r="AC26" s="7">
        <v>36</v>
      </c>
      <c r="AD26" s="7" t="s">
        <v>53</v>
      </c>
      <c r="AE26" s="7">
        <v>31.05</v>
      </c>
      <c r="AF26" s="7">
        <v>333</v>
      </c>
      <c r="AG26" s="7">
        <v>32.94</v>
      </c>
      <c r="AH26" s="7">
        <v>35.49</v>
      </c>
      <c r="AI26" s="7">
        <v>40.49</v>
      </c>
      <c r="AJ26" s="9">
        <v>345.19453899430499</v>
      </c>
      <c r="AK26" s="9">
        <v>349.22831710000003</v>
      </c>
      <c r="AL26" s="9">
        <v>434.46638474759999</v>
      </c>
      <c r="AM26" s="9">
        <v>65.055374082988493</v>
      </c>
      <c r="AN26" s="9">
        <v>1.8070937245274601</v>
      </c>
      <c r="AO26" s="9">
        <v>1.4446609890541899</v>
      </c>
      <c r="AP26" s="9">
        <v>755.46194151565601</v>
      </c>
      <c r="AQ26" s="9">
        <v>20.9850539309904</v>
      </c>
      <c r="AR26" s="9">
        <v>28.071849241270801</v>
      </c>
      <c r="AS26" s="73">
        <v>90</v>
      </c>
      <c r="AT26" s="8">
        <v>6.9000000000000057</v>
      </c>
      <c r="AU26" s="10">
        <v>31.243404386050702</v>
      </c>
      <c r="AV26" s="10">
        <v>71.342152191995012</v>
      </c>
      <c r="AW26" s="8">
        <v>0.81</v>
      </c>
      <c r="AX26" s="74">
        <v>0.79269057991105574</v>
      </c>
      <c r="AY26" s="314">
        <f t="shared" si="19"/>
        <v>0</v>
      </c>
      <c r="AZ26" s="314">
        <f t="shared" si="20"/>
        <v>0.78597461227368504</v>
      </c>
      <c r="BA26" s="315">
        <f t="shared" si="21"/>
        <v>0.20412913690394296</v>
      </c>
      <c r="BB26" s="10">
        <f t="shared" si="22"/>
        <v>26.359973903741334</v>
      </c>
      <c r="BC26" s="10">
        <f t="shared" si="23"/>
        <v>13.681939535410496</v>
      </c>
      <c r="BD26" s="10">
        <f t="shared" si="24"/>
        <v>8.2046250085295629</v>
      </c>
      <c r="BE26" s="10">
        <f t="shared" si="25"/>
        <v>20.208308415995099</v>
      </c>
      <c r="BF26" s="12">
        <v>0.43</v>
      </c>
      <c r="BG26" s="13">
        <v>325.37911662666664</v>
      </c>
      <c r="BH26" s="96" t="str">
        <f>+VLOOKUP(G26,Liste!$A$7:$G$50,3,FALSE)</f>
        <v>Douglas</v>
      </c>
      <c r="BI26" s="96" t="str">
        <f>+VLOOKUP(H26,Liste!$B$7:$G$50,5,FALSE)</f>
        <v>National</v>
      </c>
      <c r="BJ26" s="135">
        <f t="shared" si="0"/>
        <v>36</v>
      </c>
      <c r="BK26" s="135" t="str">
        <f t="shared" si="2"/>
        <v>Douglas_F1_Entree 17-18m, densité haute_National_36_</v>
      </c>
      <c r="BL26" s="322"/>
      <c r="BM26" s="13">
        <v>81.573277673333337</v>
      </c>
      <c r="BN26" s="13">
        <v>406.95239434048102</v>
      </c>
      <c r="BO26" s="13">
        <v>82.247243193467057</v>
      </c>
      <c r="BP26" s="13">
        <v>323.23</v>
      </c>
      <c r="BQ26" s="13">
        <v>25.3808528792309</v>
      </c>
      <c r="BT26" s="298" t="str">
        <f>+VLOOKUP(G26,Liste!$A$7:$H$50,8,FALSE)</f>
        <v>Résineux</v>
      </c>
      <c r="BU26" s="298">
        <f t="shared" si="3"/>
        <v>0</v>
      </c>
      <c r="BV26" s="300">
        <f t="shared" si="4"/>
        <v>1</v>
      </c>
      <c r="BW26" s="321">
        <v>0</v>
      </c>
      <c r="BX26" s="298">
        <f t="shared" si="5"/>
        <v>0.43</v>
      </c>
      <c r="BY26">
        <f t="shared" si="6"/>
        <v>0</v>
      </c>
      <c r="BZ26" s="304">
        <f t="shared" si="7"/>
        <v>0</v>
      </c>
      <c r="CB26" s="299">
        <v>0.6</v>
      </c>
      <c r="CC26" s="299">
        <v>0.4</v>
      </c>
      <c r="CD26">
        <f t="shared" si="8"/>
        <v>0</v>
      </c>
      <c r="CE26">
        <f t="shared" si="9"/>
        <v>0</v>
      </c>
      <c r="CF26">
        <f t="shared" si="10"/>
        <v>0</v>
      </c>
      <c r="CG26">
        <f t="shared" si="11"/>
        <v>0</v>
      </c>
      <c r="CH26">
        <f t="shared" si="12"/>
        <v>0</v>
      </c>
      <c r="CI26">
        <f t="shared" si="13"/>
        <v>0</v>
      </c>
      <c r="CJ26">
        <f t="shared" si="14"/>
        <v>0</v>
      </c>
      <c r="CK26">
        <f t="shared" si="15"/>
        <v>0</v>
      </c>
      <c r="CL26">
        <f t="shared" si="16"/>
        <v>0</v>
      </c>
      <c r="CM26">
        <f t="shared" si="26"/>
        <v>0</v>
      </c>
      <c r="CN26">
        <f t="shared" si="18"/>
        <v>0</v>
      </c>
      <c r="CO26">
        <f t="shared" si="1"/>
        <v>0</v>
      </c>
    </row>
    <row r="27" spans="1:93" s="12" customFormat="1" ht="14.65" customHeight="1" x14ac:dyDescent="0.25">
      <c r="A27" s="4">
        <v>2020</v>
      </c>
      <c r="B27" s="4"/>
      <c r="C27" s="4" t="s">
        <v>62</v>
      </c>
      <c r="D27" s="4" t="s">
        <v>63</v>
      </c>
      <c r="E27" s="4"/>
      <c r="F27" s="4" t="s">
        <v>90</v>
      </c>
      <c r="G27" s="5" t="s">
        <v>8</v>
      </c>
      <c r="H27" s="5" t="s">
        <v>11</v>
      </c>
      <c r="I27" s="5" t="s">
        <v>12</v>
      </c>
      <c r="J27" s="5" t="s">
        <v>9</v>
      </c>
      <c r="K27" s="5">
        <v>40</v>
      </c>
      <c r="L27" s="5" t="s">
        <v>190</v>
      </c>
      <c r="M27" s="5">
        <v>1666</v>
      </c>
      <c r="N27" s="5" t="s">
        <v>171</v>
      </c>
      <c r="O27" s="6" t="s">
        <v>81</v>
      </c>
      <c r="P27" s="6" t="s">
        <v>83</v>
      </c>
      <c r="Q27" s="6"/>
      <c r="R27" s="6"/>
      <c r="S27" s="6">
        <v>17</v>
      </c>
      <c r="T27" s="6">
        <v>15.63</v>
      </c>
      <c r="U27" s="6">
        <v>1600</v>
      </c>
      <c r="V27" s="6">
        <v>27.89</v>
      </c>
      <c r="W27" s="6">
        <v>30</v>
      </c>
      <c r="X27" s="6">
        <v>428</v>
      </c>
      <c r="Y27" s="6">
        <v>863</v>
      </c>
      <c r="Z27" s="6">
        <v>267</v>
      </c>
      <c r="AA27" s="6">
        <v>12</v>
      </c>
      <c r="AB27" s="6">
        <v>0</v>
      </c>
      <c r="AC27" s="7">
        <v>37</v>
      </c>
      <c r="AD27" s="7" t="s">
        <v>52</v>
      </c>
      <c r="AE27" s="7">
        <v>31.78</v>
      </c>
      <c r="AF27" s="7">
        <v>333</v>
      </c>
      <c r="AG27" s="7">
        <v>34.39</v>
      </c>
      <c r="AH27" s="7">
        <v>36.26</v>
      </c>
      <c r="AI27" s="7">
        <v>41.38</v>
      </c>
      <c r="AJ27" s="9">
        <v>367.64823516853301</v>
      </c>
      <c r="AK27" s="9">
        <v>372.03490140000002</v>
      </c>
      <c r="AL27" s="9">
        <v>462.53823398886999</v>
      </c>
      <c r="AM27" s="9">
        <v>66.500035072042706</v>
      </c>
      <c r="AN27" s="9">
        <v>1.7972982451903401</v>
      </c>
      <c r="AO27" s="9">
        <v>1.4305125437954</v>
      </c>
      <c r="AP27" s="9">
        <v>783.53379075692601</v>
      </c>
      <c r="AQ27" s="9">
        <v>21.176588939376401</v>
      </c>
      <c r="AR27" s="9">
        <v>28.501410011329401</v>
      </c>
      <c r="AS27" s="73" t="s">
        <v>169</v>
      </c>
      <c r="AT27" s="8"/>
      <c r="AU27" s="10" t="s">
        <v>169</v>
      </c>
      <c r="AV27" s="10">
        <v>0</v>
      </c>
      <c r="AW27" s="8"/>
      <c r="AX27" s="74" t="s">
        <v>169</v>
      </c>
      <c r="AY27" s="314" t="str">
        <f t="shared" si="19"/>
        <v/>
      </c>
      <c r="AZ27" s="314" t="str">
        <f t="shared" si="20"/>
        <v/>
      </c>
      <c r="BA27" s="315" t="str">
        <f t="shared" si="21"/>
        <v/>
      </c>
      <c r="BB27" s="10" t="str">
        <f t="shared" si="22"/>
        <v/>
      </c>
      <c r="BC27" s="10" t="str">
        <f t="shared" si="23"/>
        <v/>
      </c>
      <c r="BD27" s="10" t="str">
        <f t="shared" si="24"/>
        <v/>
      </c>
      <c r="BE27" s="10" t="str">
        <f t="shared" si="25"/>
        <v/>
      </c>
      <c r="BF27" s="12">
        <v>0.43</v>
      </c>
      <c r="BG27" s="13">
        <v>346.40259239666665</v>
      </c>
      <c r="BH27" s="96" t="str">
        <f>+VLOOKUP(G27,Liste!$A$7:$G$50,3,FALSE)</f>
        <v>Douglas</v>
      </c>
      <c r="BI27" s="96" t="str">
        <f>+VLOOKUP(H27,Liste!$B$7:$G$50,5,FALSE)</f>
        <v>National</v>
      </c>
      <c r="BJ27" s="135">
        <f t="shared" si="0"/>
        <v>37</v>
      </c>
      <c r="BK27" s="135" t="str">
        <f t="shared" si="2"/>
        <v>Douglas_F1_Entree 17-18m, densité haute_National_37_</v>
      </c>
      <c r="BL27" s="322"/>
      <c r="BM27" s="13">
        <v>86.213303203333339</v>
      </c>
      <c r="BN27" s="13">
        <v>432.61589561045895</v>
      </c>
      <c r="BP27" s="13">
        <v>323.23</v>
      </c>
      <c r="BQ27" s="13">
        <v>25.750682993492099</v>
      </c>
      <c r="BT27" s="298" t="str">
        <f>+VLOOKUP(G27,Liste!$A$7:$H$50,8,FALSE)</f>
        <v>Résineux</v>
      </c>
      <c r="BU27" s="298">
        <f t="shared" si="3"/>
        <v>0</v>
      </c>
      <c r="BV27" s="300">
        <f t="shared" si="4"/>
        <v>1</v>
      </c>
      <c r="BW27" s="321">
        <v>0</v>
      </c>
      <c r="BX27" s="298">
        <f t="shared" si="5"/>
        <v>0.43</v>
      </c>
      <c r="BY27">
        <f t="shared" si="6"/>
        <v>0</v>
      </c>
      <c r="BZ27" s="304">
        <f t="shared" si="7"/>
        <v>0</v>
      </c>
      <c r="CB27" s="299">
        <v>0.6</v>
      </c>
      <c r="CC27" s="299">
        <v>0.4</v>
      </c>
      <c r="CD27">
        <f t="shared" si="8"/>
        <v>0</v>
      </c>
      <c r="CE27">
        <f t="shared" si="9"/>
        <v>0</v>
      </c>
      <c r="CF27">
        <f t="shared" si="10"/>
        <v>0</v>
      </c>
      <c r="CG27">
        <f t="shared" si="11"/>
        <v>0</v>
      </c>
      <c r="CH27">
        <f t="shared" si="12"/>
        <v>0</v>
      </c>
      <c r="CI27">
        <f t="shared" si="13"/>
        <v>0</v>
      </c>
      <c r="CJ27">
        <f t="shared" si="14"/>
        <v>0</v>
      </c>
      <c r="CK27">
        <f t="shared" si="15"/>
        <v>0</v>
      </c>
      <c r="CL27">
        <f t="shared" si="16"/>
        <v>0</v>
      </c>
      <c r="CM27">
        <f t="shared" si="26"/>
        <v>0</v>
      </c>
      <c r="CN27">
        <f t="shared" si="18"/>
        <v>0</v>
      </c>
      <c r="CO27">
        <f t="shared" si="1"/>
        <v>0</v>
      </c>
    </row>
    <row r="28" spans="1:93" s="12" customFormat="1" ht="14.65" customHeight="1" x14ac:dyDescent="0.25">
      <c r="A28" s="4">
        <v>2020</v>
      </c>
      <c r="B28" s="4"/>
      <c r="C28" s="4" t="s">
        <v>62</v>
      </c>
      <c r="D28" s="4" t="s">
        <v>63</v>
      </c>
      <c r="E28" s="4"/>
      <c r="F28" s="4" t="s">
        <v>90</v>
      </c>
      <c r="G28" s="5" t="s">
        <v>8</v>
      </c>
      <c r="H28" s="5" t="s">
        <v>11</v>
      </c>
      <c r="I28" s="5" t="s">
        <v>12</v>
      </c>
      <c r="J28" s="5" t="s">
        <v>9</v>
      </c>
      <c r="K28" s="5">
        <v>40</v>
      </c>
      <c r="L28" s="5" t="s">
        <v>190</v>
      </c>
      <c r="M28" s="5">
        <v>1666</v>
      </c>
      <c r="N28" s="5" t="s">
        <v>171</v>
      </c>
      <c r="O28" s="6" t="s">
        <v>81</v>
      </c>
      <c r="P28" s="6" t="s">
        <v>83</v>
      </c>
      <c r="Q28" s="6"/>
      <c r="R28" s="6"/>
      <c r="S28" s="6">
        <v>17</v>
      </c>
      <c r="T28" s="6">
        <v>15.63</v>
      </c>
      <c r="U28" s="6">
        <v>1600</v>
      </c>
      <c r="V28" s="6">
        <v>27.89</v>
      </c>
      <c r="W28" s="6">
        <v>30</v>
      </c>
      <c r="X28" s="6">
        <v>428</v>
      </c>
      <c r="Y28" s="6">
        <v>863</v>
      </c>
      <c r="Z28" s="6">
        <v>267</v>
      </c>
      <c r="AA28" s="6">
        <v>12</v>
      </c>
      <c r="AB28" s="6">
        <v>0</v>
      </c>
      <c r="AC28" s="7">
        <v>38</v>
      </c>
      <c r="AD28" s="7" t="s">
        <v>52</v>
      </c>
      <c r="AE28" s="7">
        <v>32.5</v>
      </c>
      <c r="AF28" s="7">
        <v>333</v>
      </c>
      <c r="AG28" s="7">
        <v>35.82</v>
      </c>
      <c r="AH28" s="7">
        <v>37.01</v>
      </c>
      <c r="AI28" s="7">
        <v>42.26</v>
      </c>
      <c r="AJ28" s="9">
        <v>390.444717075357</v>
      </c>
      <c r="AK28" s="9">
        <v>395.19474209999998</v>
      </c>
      <c r="AL28" s="9">
        <v>491.03964400019998</v>
      </c>
      <c r="AM28" s="9">
        <v>67.930547615838094</v>
      </c>
      <c r="AN28" s="9">
        <v>1.78764598989048</v>
      </c>
      <c r="AO28" s="9">
        <v>1.4162592714437601</v>
      </c>
      <c r="AP28" s="9">
        <v>812.035200768256</v>
      </c>
      <c r="AQ28" s="9">
        <v>21.3693473886383</v>
      </c>
      <c r="AR28" s="9">
        <v>29.012181327593101</v>
      </c>
      <c r="AS28" s="73" t="s">
        <v>169</v>
      </c>
      <c r="AT28" s="8"/>
      <c r="AU28" s="10" t="s">
        <v>169</v>
      </c>
      <c r="AV28" s="10">
        <v>0</v>
      </c>
      <c r="AW28" s="8"/>
      <c r="AX28" s="74" t="s">
        <v>169</v>
      </c>
      <c r="AY28" s="314" t="str">
        <f t="shared" si="19"/>
        <v/>
      </c>
      <c r="AZ28" s="314" t="str">
        <f t="shared" si="20"/>
        <v/>
      </c>
      <c r="BA28" s="315" t="str">
        <f t="shared" si="21"/>
        <v/>
      </c>
      <c r="BB28" s="10" t="str">
        <f t="shared" si="22"/>
        <v/>
      </c>
      <c r="BC28" s="10" t="str">
        <f t="shared" si="23"/>
        <v/>
      </c>
      <c r="BD28" s="10" t="str">
        <f t="shared" si="24"/>
        <v/>
      </c>
      <c r="BE28" s="10" t="str">
        <f t="shared" si="25"/>
        <v/>
      </c>
      <c r="BF28" s="12">
        <v>0.43</v>
      </c>
      <c r="BG28" s="13">
        <v>367.74777343333335</v>
      </c>
      <c r="BH28" s="96" t="str">
        <f>+VLOOKUP(G28,Liste!$A$7:$G$50,3,FALSE)</f>
        <v>Douglas</v>
      </c>
      <c r="BI28" s="96" t="str">
        <f>+VLOOKUP(H28,Liste!$B$7:$G$50,5,FALSE)</f>
        <v>National</v>
      </c>
      <c r="BJ28" s="135">
        <f t="shared" si="0"/>
        <v>38</v>
      </c>
      <c r="BK28" s="135" t="str">
        <f t="shared" si="2"/>
        <v>Douglas_F1_Entree 17-18m, densité haute_National_38_</v>
      </c>
      <c r="BL28" s="322"/>
      <c r="BM28" s="13">
        <v>90.890903666666645</v>
      </c>
      <c r="BN28" s="13">
        <v>458.63867705787635</v>
      </c>
      <c r="BP28" s="13">
        <v>323.23</v>
      </c>
      <c r="BQ28" s="13">
        <v>26.193711348798601</v>
      </c>
      <c r="BT28" s="298" t="str">
        <f>+VLOOKUP(G28,Liste!$A$7:$H$50,8,FALSE)</f>
        <v>Résineux</v>
      </c>
      <c r="BU28" s="298">
        <f t="shared" si="3"/>
        <v>0</v>
      </c>
      <c r="BV28" s="300">
        <f t="shared" si="4"/>
        <v>1</v>
      </c>
      <c r="BW28" s="321">
        <v>0</v>
      </c>
      <c r="BX28" s="298">
        <f t="shared" si="5"/>
        <v>0.43</v>
      </c>
      <c r="BY28">
        <f t="shared" si="6"/>
        <v>0</v>
      </c>
      <c r="BZ28" s="304">
        <f t="shared" si="7"/>
        <v>0</v>
      </c>
      <c r="CB28" s="299">
        <v>0.6</v>
      </c>
      <c r="CC28" s="299">
        <v>0.4</v>
      </c>
      <c r="CD28">
        <f t="shared" si="8"/>
        <v>0</v>
      </c>
      <c r="CE28">
        <f t="shared" si="9"/>
        <v>0</v>
      </c>
      <c r="CF28">
        <f t="shared" si="10"/>
        <v>0</v>
      </c>
      <c r="CG28">
        <f t="shared" si="11"/>
        <v>0</v>
      </c>
      <c r="CH28">
        <f t="shared" si="12"/>
        <v>0</v>
      </c>
      <c r="CI28">
        <f t="shared" si="13"/>
        <v>0</v>
      </c>
      <c r="CJ28">
        <f t="shared" si="14"/>
        <v>0</v>
      </c>
      <c r="CK28">
        <f t="shared" si="15"/>
        <v>0</v>
      </c>
      <c r="CL28">
        <f t="shared" si="16"/>
        <v>0</v>
      </c>
      <c r="CM28">
        <f t="shared" si="26"/>
        <v>0</v>
      </c>
      <c r="CN28">
        <f t="shared" si="18"/>
        <v>0</v>
      </c>
      <c r="CO28">
        <f t="shared" si="1"/>
        <v>0</v>
      </c>
    </row>
    <row r="29" spans="1:93" s="12" customFormat="1" ht="14.65" customHeight="1" x14ac:dyDescent="0.25">
      <c r="A29" s="4">
        <v>2020</v>
      </c>
      <c r="B29" s="4"/>
      <c r="C29" s="4" t="s">
        <v>62</v>
      </c>
      <c r="D29" s="4" t="s">
        <v>63</v>
      </c>
      <c r="E29" s="4"/>
      <c r="F29" s="4" t="s">
        <v>90</v>
      </c>
      <c r="G29" s="5" t="s">
        <v>8</v>
      </c>
      <c r="H29" s="5" t="s">
        <v>11</v>
      </c>
      <c r="I29" s="5" t="s">
        <v>12</v>
      </c>
      <c r="J29" s="5" t="s">
        <v>9</v>
      </c>
      <c r="K29" s="5">
        <v>40</v>
      </c>
      <c r="L29" s="5" t="s">
        <v>190</v>
      </c>
      <c r="M29" s="5">
        <v>1666</v>
      </c>
      <c r="N29" s="5" t="s">
        <v>171</v>
      </c>
      <c r="O29" s="6" t="s">
        <v>81</v>
      </c>
      <c r="P29" s="6" t="s">
        <v>83</v>
      </c>
      <c r="Q29" s="6"/>
      <c r="R29" s="6"/>
      <c r="S29" s="6">
        <v>17</v>
      </c>
      <c r="T29" s="6">
        <v>15.63</v>
      </c>
      <c r="U29" s="6">
        <v>1600</v>
      </c>
      <c r="V29" s="6">
        <v>27.89</v>
      </c>
      <c r="W29" s="6">
        <v>30</v>
      </c>
      <c r="X29" s="6">
        <v>428</v>
      </c>
      <c r="Y29" s="6">
        <v>863</v>
      </c>
      <c r="Z29" s="6">
        <v>267</v>
      </c>
      <c r="AA29" s="6">
        <v>12</v>
      </c>
      <c r="AB29" s="6">
        <v>0</v>
      </c>
      <c r="AC29" s="7">
        <v>39</v>
      </c>
      <c r="AD29" s="7" t="s">
        <v>52</v>
      </c>
      <c r="AE29" s="7">
        <v>33.21</v>
      </c>
      <c r="AF29" s="7">
        <v>333</v>
      </c>
      <c r="AG29" s="7">
        <v>37.229999999999997</v>
      </c>
      <c r="AH29" s="7">
        <v>37.729999999999997</v>
      </c>
      <c r="AI29" s="7">
        <v>43.11</v>
      </c>
      <c r="AJ29" s="9">
        <v>413.64854412073902</v>
      </c>
      <c r="AK29" s="9">
        <v>418.77303039999998</v>
      </c>
      <c r="AL29" s="9">
        <v>520.05182532779304</v>
      </c>
      <c r="AM29" s="9">
        <v>69.3468068872819</v>
      </c>
      <c r="AN29" s="9">
        <v>1.77812325352005</v>
      </c>
      <c r="AO29" s="9">
        <v>1.40294976494116</v>
      </c>
      <c r="AP29" s="9">
        <v>841.047382095849</v>
      </c>
      <c r="AQ29" s="9">
        <v>21.565317489637199</v>
      </c>
      <c r="AR29" s="9">
        <v>29.358551123444201</v>
      </c>
      <c r="AS29" s="73" t="s">
        <v>169</v>
      </c>
      <c r="AT29" s="8"/>
      <c r="AU29" s="10" t="s">
        <v>169</v>
      </c>
      <c r="AV29" s="10">
        <v>0</v>
      </c>
      <c r="AW29" s="8"/>
      <c r="AX29" s="74" t="s">
        <v>169</v>
      </c>
      <c r="AY29" s="314" t="str">
        <f t="shared" si="19"/>
        <v/>
      </c>
      <c r="AZ29" s="314" t="str">
        <f t="shared" si="20"/>
        <v/>
      </c>
      <c r="BA29" s="315" t="str">
        <f t="shared" si="21"/>
        <v/>
      </c>
      <c r="BB29" s="10" t="str">
        <f t="shared" si="22"/>
        <v/>
      </c>
      <c r="BC29" s="10" t="str">
        <f t="shared" si="23"/>
        <v/>
      </c>
      <c r="BD29" s="10" t="str">
        <f t="shared" si="24"/>
        <v/>
      </c>
      <c r="BE29" s="10" t="str">
        <f t="shared" si="25"/>
        <v/>
      </c>
      <c r="BF29" s="12">
        <v>0.43</v>
      </c>
      <c r="BG29" s="13">
        <v>389.47547943333331</v>
      </c>
      <c r="BH29" s="96" t="str">
        <f>+VLOOKUP(G29,Liste!$A$7:$G$50,3,FALSE)</f>
        <v>Douglas</v>
      </c>
      <c r="BI29" s="96" t="str">
        <f>+VLOOKUP(H29,Liste!$B$7:$G$50,5,FALSE)</f>
        <v>National</v>
      </c>
      <c r="BJ29" s="135">
        <f t="shared" si="0"/>
        <v>39</v>
      </c>
      <c r="BK29" s="135" t="str">
        <f t="shared" si="2"/>
        <v>Douglas_F1_Entree 17-18m, densité haute_National_39_</v>
      </c>
      <c r="BL29" s="322"/>
      <c r="BM29" s="13">
        <v>95.619976066666709</v>
      </c>
      <c r="BN29" s="13">
        <v>485.09545547802901</v>
      </c>
      <c r="BP29" s="13">
        <v>323.23</v>
      </c>
      <c r="BQ29" s="13">
        <v>26.488213050927399</v>
      </c>
      <c r="BT29" s="298" t="str">
        <f>+VLOOKUP(G29,Liste!$A$7:$H$50,8,FALSE)</f>
        <v>Résineux</v>
      </c>
      <c r="BU29" s="298">
        <f t="shared" si="3"/>
        <v>0</v>
      </c>
      <c r="BV29" s="300">
        <f t="shared" si="4"/>
        <v>1</v>
      </c>
      <c r="BW29" s="321">
        <v>0</v>
      </c>
      <c r="BX29" s="298">
        <f t="shared" si="5"/>
        <v>0.43</v>
      </c>
      <c r="BY29">
        <f t="shared" si="6"/>
        <v>0</v>
      </c>
      <c r="BZ29" s="304">
        <f t="shared" si="7"/>
        <v>0</v>
      </c>
      <c r="CB29" s="299">
        <v>0.6</v>
      </c>
      <c r="CC29" s="299">
        <v>0.4</v>
      </c>
      <c r="CD29">
        <f t="shared" si="8"/>
        <v>0</v>
      </c>
      <c r="CE29">
        <f t="shared" si="9"/>
        <v>0</v>
      </c>
      <c r="CF29">
        <f t="shared" si="10"/>
        <v>0</v>
      </c>
      <c r="CG29">
        <f t="shared" si="11"/>
        <v>0</v>
      </c>
      <c r="CH29">
        <f t="shared" si="12"/>
        <v>0</v>
      </c>
      <c r="CI29">
        <f t="shared" si="13"/>
        <v>0</v>
      </c>
      <c r="CJ29">
        <f t="shared" si="14"/>
        <v>0</v>
      </c>
      <c r="CK29">
        <f t="shared" si="15"/>
        <v>0</v>
      </c>
      <c r="CL29">
        <f t="shared" si="16"/>
        <v>0</v>
      </c>
      <c r="CM29">
        <f t="shared" si="26"/>
        <v>0</v>
      </c>
      <c r="CN29">
        <f t="shared" si="18"/>
        <v>0</v>
      </c>
      <c r="CO29">
        <f t="shared" si="1"/>
        <v>0</v>
      </c>
    </row>
    <row r="30" spans="1:93" s="12" customFormat="1" ht="14.65" customHeight="1" x14ac:dyDescent="0.25">
      <c r="A30" s="4">
        <v>2020</v>
      </c>
      <c r="B30" s="4"/>
      <c r="C30" s="4" t="s">
        <v>62</v>
      </c>
      <c r="D30" s="4" t="s">
        <v>63</v>
      </c>
      <c r="E30" s="4"/>
      <c r="F30" s="4" t="s">
        <v>90</v>
      </c>
      <c r="G30" s="5" t="s">
        <v>8</v>
      </c>
      <c r="H30" s="5" t="s">
        <v>11</v>
      </c>
      <c r="I30" s="5" t="s">
        <v>12</v>
      </c>
      <c r="J30" s="5" t="s">
        <v>9</v>
      </c>
      <c r="K30" s="5">
        <v>40</v>
      </c>
      <c r="L30" s="5" t="s">
        <v>190</v>
      </c>
      <c r="M30" s="5">
        <v>1666</v>
      </c>
      <c r="N30" s="5" t="s">
        <v>171</v>
      </c>
      <c r="O30" s="6" t="s">
        <v>81</v>
      </c>
      <c r="P30" s="6" t="s">
        <v>83</v>
      </c>
      <c r="Q30" s="6"/>
      <c r="R30" s="6"/>
      <c r="S30" s="6">
        <v>17</v>
      </c>
      <c r="T30" s="6">
        <v>15.63</v>
      </c>
      <c r="U30" s="6">
        <v>1600</v>
      </c>
      <c r="V30" s="6">
        <v>27.89</v>
      </c>
      <c r="W30" s="6">
        <v>30</v>
      </c>
      <c r="X30" s="6">
        <v>428</v>
      </c>
      <c r="Y30" s="6">
        <v>863</v>
      </c>
      <c r="Z30" s="6">
        <v>267</v>
      </c>
      <c r="AA30" s="6">
        <v>12</v>
      </c>
      <c r="AB30" s="6">
        <v>0</v>
      </c>
      <c r="AC30" s="7">
        <v>40</v>
      </c>
      <c r="AD30" s="7" t="s">
        <v>52</v>
      </c>
      <c r="AE30" s="7">
        <v>33.909999999999997</v>
      </c>
      <c r="AF30" s="7">
        <v>333</v>
      </c>
      <c r="AG30" s="7">
        <v>38.64</v>
      </c>
      <c r="AH30" s="7">
        <v>38.44</v>
      </c>
      <c r="AI30" s="7">
        <v>43.95</v>
      </c>
      <c r="AJ30" s="9">
        <v>437.12926949768803</v>
      </c>
      <c r="AK30" s="9">
        <v>442.63784950000002</v>
      </c>
      <c r="AL30" s="9">
        <v>549.41037645123697</v>
      </c>
      <c r="AM30" s="9">
        <v>70.749756652222999</v>
      </c>
      <c r="AN30" s="9">
        <v>1.76874391630558</v>
      </c>
      <c r="AO30" s="9">
        <v>1.3873011149425301</v>
      </c>
      <c r="AP30" s="9">
        <v>870.40593321929305</v>
      </c>
      <c r="AQ30" s="9">
        <v>21.760148330482298</v>
      </c>
      <c r="AR30" s="9">
        <v>29.7884476437366</v>
      </c>
      <c r="AS30" s="73" t="s">
        <v>169</v>
      </c>
      <c r="AT30" s="8"/>
      <c r="AU30" s="10" t="s">
        <v>169</v>
      </c>
      <c r="AV30" s="10">
        <v>0</v>
      </c>
      <c r="AW30" s="8"/>
      <c r="AX30" s="74" t="s">
        <v>169</v>
      </c>
      <c r="AY30" s="314" t="str">
        <f t="shared" si="19"/>
        <v/>
      </c>
      <c r="AZ30" s="314" t="str">
        <f t="shared" si="20"/>
        <v/>
      </c>
      <c r="BA30" s="315" t="str">
        <f t="shared" si="21"/>
        <v/>
      </c>
      <c r="BB30" s="10" t="str">
        <f t="shared" si="22"/>
        <v/>
      </c>
      <c r="BC30" s="10" t="str">
        <f t="shared" si="23"/>
        <v/>
      </c>
      <c r="BD30" s="10" t="str">
        <f t="shared" si="24"/>
        <v/>
      </c>
      <c r="BE30" s="10" t="str">
        <f t="shared" si="25"/>
        <v/>
      </c>
      <c r="BF30" s="12">
        <v>0.43</v>
      </c>
      <c r="BG30" s="13">
        <v>411.46258779999999</v>
      </c>
      <c r="BH30" s="96" t="str">
        <f>+VLOOKUP(G30,Liste!$A$7:$G$50,3,FALSE)</f>
        <v>Douglas</v>
      </c>
      <c r="BI30" s="96" t="str">
        <f>+VLOOKUP(H30,Liste!$B$7:$G$50,5,FALSE)</f>
        <v>National</v>
      </c>
      <c r="BJ30" s="135">
        <f t="shared" si="0"/>
        <v>40</v>
      </c>
      <c r="BK30" s="135" t="str">
        <f t="shared" si="2"/>
        <v>Douglas_F1_Entree 17-18m, densité haute_National_40_</v>
      </c>
      <c r="BL30" s="322"/>
      <c r="BM30" s="13">
        <v>100.37433830000003</v>
      </c>
      <c r="BN30" s="13">
        <v>511.83692612414637</v>
      </c>
      <c r="BP30" s="13">
        <v>323.23</v>
      </c>
      <c r="BQ30" s="13">
        <v>26.858052321739699</v>
      </c>
      <c r="BT30" s="298" t="str">
        <f>+VLOOKUP(G30,Liste!$A$7:$H$50,8,FALSE)</f>
        <v>Résineux</v>
      </c>
      <c r="BU30" s="298">
        <f t="shared" si="3"/>
        <v>0</v>
      </c>
      <c r="BV30" s="300">
        <f t="shared" si="4"/>
        <v>1</v>
      </c>
      <c r="BW30" s="321">
        <v>0</v>
      </c>
      <c r="BX30" s="298">
        <f t="shared" si="5"/>
        <v>0.43</v>
      </c>
      <c r="BY30">
        <f t="shared" si="6"/>
        <v>0</v>
      </c>
      <c r="BZ30" s="304">
        <f t="shared" si="7"/>
        <v>0</v>
      </c>
      <c r="CB30" s="299">
        <v>0.6</v>
      </c>
      <c r="CC30" s="299">
        <v>0.4</v>
      </c>
      <c r="CD30">
        <f t="shared" si="8"/>
        <v>0</v>
      </c>
      <c r="CE30">
        <f t="shared" si="9"/>
        <v>0</v>
      </c>
      <c r="CF30">
        <f t="shared" si="10"/>
        <v>0</v>
      </c>
      <c r="CG30">
        <f t="shared" si="11"/>
        <v>0</v>
      </c>
      <c r="CH30">
        <f t="shared" si="12"/>
        <v>0</v>
      </c>
      <c r="CI30">
        <f t="shared" si="13"/>
        <v>0</v>
      </c>
      <c r="CJ30">
        <f t="shared" si="14"/>
        <v>0</v>
      </c>
      <c r="CK30">
        <f t="shared" si="15"/>
        <v>0</v>
      </c>
      <c r="CL30">
        <f t="shared" si="16"/>
        <v>0</v>
      </c>
      <c r="CM30">
        <f t="shared" si="26"/>
        <v>0</v>
      </c>
      <c r="CN30">
        <f t="shared" si="18"/>
        <v>0</v>
      </c>
      <c r="CO30">
        <f t="shared" si="1"/>
        <v>0</v>
      </c>
    </row>
    <row r="31" spans="1:93" s="12" customFormat="1" ht="14.65" customHeight="1" x14ac:dyDescent="0.25">
      <c r="A31" s="4">
        <v>2020</v>
      </c>
      <c r="B31" s="4"/>
      <c r="C31" s="4" t="s">
        <v>62</v>
      </c>
      <c r="D31" s="4" t="s">
        <v>63</v>
      </c>
      <c r="E31" s="4"/>
      <c r="F31" s="4" t="s">
        <v>90</v>
      </c>
      <c r="G31" s="5" t="s">
        <v>8</v>
      </c>
      <c r="H31" s="5" t="s">
        <v>11</v>
      </c>
      <c r="I31" s="5" t="s">
        <v>12</v>
      </c>
      <c r="J31" s="5" t="s">
        <v>9</v>
      </c>
      <c r="K31" s="5">
        <v>40</v>
      </c>
      <c r="L31" s="5" t="s">
        <v>190</v>
      </c>
      <c r="M31" s="5">
        <v>1666</v>
      </c>
      <c r="N31" s="5" t="s">
        <v>171</v>
      </c>
      <c r="O31" s="6" t="s">
        <v>81</v>
      </c>
      <c r="P31" s="6" t="s">
        <v>83</v>
      </c>
      <c r="Q31" s="6"/>
      <c r="R31" s="6"/>
      <c r="S31" s="6">
        <v>17</v>
      </c>
      <c r="T31" s="6">
        <v>15.63</v>
      </c>
      <c r="U31" s="6">
        <v>1600</v>
      </c>
      <c r="V31" s="6">
        <v>27.89</v>
      </c>
      <c r="W31" s="6">
        <v>30</v>
      </c>
      <c r="X31" s="6">
        <v>428</v>
      </c>
      <c r="Y31" s="6">
        <v>863</v>
      </c>
      <c r="Z31" s="6">
        <v>267</v>
      </c>
      <c r="AA31" s="6">
        <v>12</v>
      </c>
      <c r="AB31" s="6">
        <v>0</v>
      </c>
      <c r="AC31" s="7">
        <v>41</v>
      </c>
      <c r="AD31" s="7" t="s">
        <v>52</v>
      </c>
      <c r="AE31" s="7">
        <v>34.6</v>
      </c>
      <c r="AF31" s="7">
        <v>333</v>
      </c>
      <c r="AG31" s="7">
        <v>40.03</v>
      </c>
      <c r="AH31" s="7">
        <v>39.119999999999997</v>
      </c>
      <c r="AI31" s="7">
        <v>44.77</v>
      </c>
      <c r="AJ31" s="9">
        <v>460.95290482808701</v>
      </c>
      <c r="AK31" s="9">
        <v>466.85553870000001</v>
      </c>
      <c r="AL31" s="9">
        <v>579.19882409497404</v>
      </c>
      <c r="AM31" s="9">
        <v>72.137057767165601</v>
      </c>
      <c r="AN31" s="9">
        <v>1.7594404333455</v>
      </c>
      <c r="AO31" s="9">
        <v>1.37459835208311</v>
      </c>
      <c r="AP31" s="9">
        <v>900.19438086303001</v>
      </c>
      <c r="AQ31" s="9">
        <v>21.9559605088544</v>
      </c>
      <c r="AR31" s="9">
        <v>30.141689947566299</v>
      </c>
      <c r="AS31" s="73" t="s">
        <v>169</v>
      </c>
      <c r="AT31" s="8"/>
      <c r="AU31" s="10" t="s">
        <v>169</v>
      </c>
      <c r="AV31" s="10">
        <v>0</v>
      </c>
      <c r="AW31" s="8"/>
      <c r="AX31" s="74" t="s">
        <v>169</v>
      </c>
      <c r="AY31" s="314" t="str">
        <f t="shared" si="19"/>
        <v/>
      </c>
      <c r="AZ31" s="314" t="str">
        <f t="shared" si="20"/>
        <v/>
      </c>
      <c r="BA31" s="315" t="str">
        <f t="shared" si="21"/>
        <v/>
      </c>
      <c r="BB31" s="10" t="str">
        <f t="shared" si="22"/>
        <v/>
      </c>
      <c r="BC31" s="10" t="str">
        <f t="shared" si="23"/>
        <v/>
      </c>
      <c r="BD31" s="10" t="str">
        <f t="shared" si="24"/>
        <v/>
      </c>
      <c r="BE31" s="10" t="str">
        <f t="shared" si="25"/>
        <v/>
      </c>
      <c r="BF31" s="12">
        <v>0.43</v>
      </c>
      <c r="BG31" s="13">
        <v>433.77165259999998</v>
      </c>
      <c r="BH31" s="96" t="str">
        <f>+VLOOKUP(G31,Liste!$A$7:$G$50,3,FALSE)</f>
        <v>Douglas</v>
      </c>
      <c r="BI31" s="96" t="str">
        <f>+VLOOKUP(H31,Liste!$B$7:$G$50,5,FALSE)</f>
        <v>National</v>
      </c>
      <c r="BJ31" s="135">
        <f t="shared" si="0"/>
        <v>41</v>
      </c>
      <c r="BK31" s="135" t="str">
        <f t="shared" si="2"/>
        <v>Douglas_F1_Entree 17-18m, densité haute_National_41_</v>
      </c>
      <c r="BL31" s="322"/>
      <c r="BM31" s="13">
        <v>105.16818119999999</v>
      </c>
      <c r="BN31" s="13">
        <v>538.939833779325</v>
      </c>
      <c r="BP31" s="13">
        <v>323.23</v>
      </c>
      <c r="BQ31" s="13">
        <v>27.1587436274868</v>
      </c>
      <c r="BT31" s="298" t="str">
        <f>+VLOOKUP(G31,Liste!$A$7:$H$50,8,FALSE)</f>
        <v>Résineux</v>
      </c>
      <c r="BU31" s="298">
        <f t="shared" si="3"/>
        <v>0</v>
      </c>
      <c r="BV31" s="300">
        <f t="shared" si="4"/>
        <v>1</v>
      </c>
      <c r="BW31" s="321">
        <v>0</v>
      </c>
      <c r="BX31" s="298">
        <f t="shared" si="5"/>
        <v>0.43</v>
      </c>
      <c r="BY31">
        <f t="shared" si="6"/>
        <v>0</v>
      </c>
      <c r="BZ31" s="304">
        <f t="shared" si="7"/>
        <v>0</v>
      </c>
      <c r="CB31" s="299">
        <v>0.6</v>
      </c>
      <c r="CC31" s="299">
        <v>0.4</v>
      </c>
      <c r="CD31">
        <f t="shared" si="8"/>
        <v>0</v>
      </c>
      <c r="CE31">
        <f t="shared" si="9"/>
        <v>0</v>
      </c>
      <c r="CF31">
        <f t="shared" si="10"/>
        <v>0</v>
      </c>
      <c r="CG31">
        <f t="shared" si="11"/>
        <v>0</v>
      </c>
      <c r="CH31">
        <f t="shared" si="12"/>
        <v>0</v>
      </c>
      <c r="CI31">
        <f t="shared" si="13"/>
        <v>0</v>
      </c>
      <c r="CJ31">
        <f t="shared" si="14"/>
        <v>0</v>
      </c>
      <c r="CK31">
        <f t="shared" si="15"/>
        <v>0</v>
      </c>
      <c r="CL31">
        <f t="shared" si="16"/>
        <v>0</v>
      </c>
      <c r="CM31">
        <f t="shared" si="26"/>
        <v>0</v>
      </c>
      <c r="CN31">
        <f t="shared" si="18"/>
        <v>0</v>
      </c>
      <c r="CO31">
        <f t="shared" si="1"/>
        <v>0</v>
      </c>
    </row>
    <row r="32" spans="1:93" s="12" customFormat="1" ht="14.65" customHeight="1" x14ac:dyDescent="0.25">
      <c r="A32" s="4">
        <v>2020</v>
      </c>
      <c r="B32" s="4"/>
      <c r="C32" s="4" t="s">
        <v>62</v>
      </c>
      <c r="D32" s="4" t="s">
        <v>63</v>
      </c>
      <c r="E32" s="4"/>
      <c r="F32" s="4" t="s">
        <v>90</v>
      </c>
      <c r="G32" s="5" t="s">
        <v>8</v>
      </c>
      <c r="H32" s="5" t="s">
        <v>11</v>
      </c>
      <c r="I32" s="5" t="s">
        <v>12</v>
      </c>
      <c r="J32" s="5" t="s">
        <v>9</v>
      </c>
      <c r="K32" s="5">
        <v>40</v>
      </c>
      <c r="L32" s="5" t="s">
        <v>190</v>
      </c>
      <c r="M32" s="5">
        <v>1666</v>
      </c>
      <c r="N32" s="5" t="s">
        <v>171</v>
      </c>
      <c r="O32" s="6" t="s">
        <v>81</v>
      </c>
      <c r="P32" s="6" t="s">
        <v>83</v>
      </c>
      <c r="Q32" s="6"/>
      <c r="R32" s="6"/>
      <c r="S32" s="6">
        <v>17</v>
      </c>
      <c r="T32" s="6">
        <v>15.63</v>
      </c>
      <c r="U32" s="6">
        <v>1600</v>
      </c>
      <c r="V32" s="6">
        <v>27.89</v>
      </c>
      <c r="W32" s="6">
        <v>30</v>
      </c>
      <c r="X32" s="6">
        <v>428</v>
      </c>
      <c r="Y32" s="6">
        <v>863</v>
      </c>
      <c r="Z32" s="6">
        <v>267</v>
      </c>
      <c r="AA32" s="6">
        <v>12</v>
      </c>
      <c r="AB32" s="6">
        <v>0</v>
      </c>
      <c r="AC32" s="7">
        <v>42</v>
      </c>
      <c r="AD32" s="7" t="s">
        <v>52</v>
      </c>
      <c r="AE32" s="7">
        <v>35.28</v>
      </c>
      <c r="AF32" s="7">
        <v>333</v>
      </c>
      <c r="AG32" s="7">
        <v>41.4</v>
      </c>
      <c r="AH32" s="7">
        <v>39.79</v>
      </c>
      <c r="AI32" s="7">
        <v>45.58</v>
      </c>
      <c r="AJ32" s="9">
        <v>485.05900237129703</v>
      </c>
      <c r="AK32" s="9">
        <v>491.365118</v>
      </c>
      <c r="AL32" s="9">
        <v>609.34051404254001</v>
      </c>
      <c r="AM32" s="9">
        <v>73.511656119248698</v>
      </c>
      <c r="AN32" s="9">
        <v>1.75027752664878</v>
      </c>
      <c r="AO32" s="9">
        <v>1.2642068624524301</v>
      </c>
      <c r="AP32" s="9">
        <v>930.33607081059597</v>
      </c>
      <c r="AQ32" s="9">
        <v>22.150858828823701</v>
      </c>
      <c r="AR32" s="9">
        <v>27.2922560274781</v>
      </c>
      <c r="AS32" s="73" t="s">
        <v>169</v>
      </c>
      <c r="AT32" s="8"/>
      <c r="AU32" s="10" t="s">
        <v>169</v>
      </c>
      <c r="AV32" s="10">
        <v>0</v>
      </c>
      <c r="AW32" s="8"/>
      <c r="AX32" s="74" t="s">
        <v>169</v>
      </c>
      <c r="AY32" s="314" t="str">
        <f t="shared" si="19"/>
        <v/>
      </c>
      <c r="AZ32" s="314" t="str">
        <f t="shared" si="20"/>
        <v/>
      </c>
      <c r="BA32" s="315" t="str">
        <f t="shared" si="21"/>
        <v/>
      </c>
      <c r="BB32" s="10" t="str">
        <f t="shared" si="22"/>
        <v/>
      </c>
      <c r="BC32" s="10" t="str">
        <f t="shared" si="23"/>
        <v/>
      </c>
      <c r="BD32" s="10" t="str">
        <f t="shared" si="24"/>
        <v/>
      </c>
      <c r="BE32" s="10" t="str">
        <f t="shared" si="25"/>
        <v/>
      </c>
      <c r="BF32" s="12">
        <v>0.43</v>
      </c>
      <c r="BG32" s="13">
        <v>456.3452666666667</v>
      </c>
      <c r="BH32" s="96" t="str">
        <f>+VLOOKUP(G32,Liste!$A$7:$G$50,3,FALSE)</f>
        <v>Douglas</v>
      </c>
      <c r="BI32" s="96" t="str">
        <f>+VLOOKUP(H32,Liste!$B$7:$G$50,5,FALSE)</f>
        <v>National</v>
      </c>
      <c r="BJ32" s="135">
        <f t="shared" si="0"/>
        <v>42</v>
      </c>
      <c r="BK32" s="135" t="str">
        <f t="shared" si="2"/>
        <v>Douglas_F1_Entree 17-18m, densité haute_National_42_</v>
      </c>
      <c r="BL32" s="322"/>
      <c r="BM32" s="13">
        <v>109.98974023333335</v>
      </c>
      <c r="BN32" s="13">
        <v>566.3350069189413</v>
      </c>
      <c r="BP32" s="13">
        <v>323.23</v>
      </c>
      <c r="BQ32" s="13">
        <v>24.576393312726299</v>
      </c>
      <c r="BT32" s="298" t="str">
        <f>+VLOOKUP(G32,Liste!$A$7:$H$50,8,FALSE)</f>
        <v>Résineux</v>
      </c>
      <c r="BU32" s="298">
        <f t="shared" si="3"/>
        <v>0</v>
      </c>
      <c r="BV32" s="300">
        <f t="shared" si="4"/>
        <v>1</v>
      </c>
      <c r="BW32" s="321">
        <v>0</v>
      </c>
      <c r="BX32" s="298">
        <f t="shared" si="5"/>
        <v>0.43</v>
      </c>
      <c r="BY32">
        <f t="shared" si="6"/>
        <v>0</v>
      </c>
      <c r="BZ32" s="304">
        <f t="shared" si="7"/>
        <v>0</v>
      </c>
      <c r="CB32" s="299">
        <v>0.6</v>
      </c>
      <c r="CC32" s="299">
        <v>0.4</v>
      </c>
      <c r="CD32">
        <f t="shared" si="8"/>
        <v>0</v>
      </c>
      <c r="CE32">
        <f t="shared" si="9"/>
        <v>0</v>
      </c>
      <c r="CF32">
        <f t="shared" si="10"/>
        <v>0</v>
      </c>
      <c r="CG32">
        <f t="shared" si="11"/>
        <v>0</v>
      </c>
      <c r="CH32">
        <f t="shared" si="12"/>
        <v>0</v>
      </c>
      <c r="CI32">
        <f t="shared" si="13"/>
        <v>0</v>
      </c>
      <c r="CJ32">
        <f t="shared" si="14"/>
        <v>0</v>
      </c>
      <c r="CK32">
        <f t="shared" si="15"/>
        <v>0</v>
      </c>
      <c r="CL32">
        <f t="shared" si="16"/>
        <v>0</v>
      </c>
      <c r="CM32">
        <f t="shared" si="26"/>
        <v>0</v>
      </c>
      <c r="CN32">
        <f t="shared" si="18"/>
        <v>0</v>
      </c>
      <c r="CO32">
        <f t="shared" si="1"/>
        <v>0</v>
      </c>
    </row>
    <row r="33" spans="1:93" s="12" customFormat="1" ht="14.65" customHeight="1" x14ac:dyDescent="0.25">
      <c r="A33" s="4">
        <v>2020</v>
      </c>
      <c r="B33" s="4"/>
      <c r="C33" s="4" t="s">
        <v>62</v>
      </c>
      <c r="D33" s="4" t="s">
        <v>63</v>
      </c>
      <c r="E33" s="4"/>
      <c r="F33" s="4" t="s">
        <v>90</v>
      </c>
      <c r="G33" s="5" t="s">
        <v>8</v>
      </c>
      <c r="H33" s="5" t="s">
        <v>11</v>
      </c>
      <c r="I33" s="5" t="s">
        <v>12</v>
      </c>
      <c r="J33" s="5" t="s">
        <v>9</v>
      </c>
      <c r="K33" s="5">
        <v>40</v>
      </c>
      <c r="L33" s="5" t="s">
        <v>190</v>
      </c>
      <c r="M33" s="5">
        <v>1666</v>
      </c>
      <c r="N33" s="5" t="s">
        <v>171</v>
      </c>
      <c r="O33" s="6" t="s">
        <v>81</v>
      </c>
      <c r="P33" s="6" t="s">
        <v>83</v>
      </c>
      <c r="Q33" s="6"/>
      <c r="R33" s="6"/>
      <c r="S33" s="6">
        <v>17</v>
      </c>
      <c r="T33" s="6">
        <v>15.63</v>
      </c>
      <c r="U33" s="6">
        <v>1600</v>
      </c>
      <c r="V33" s="6">
        <v>27.89</v>
      </c>
      <c r="W33" s="6">
        <v>30</v>
      </c>
      <c r="X33" s="6">
        <v>428</v>
      </c>
      <c r="Y33" s="6">
        <v>863</v>
      </c>
      <c r="Z33" s="6">
        <v>267</v>
      </c>
      <c r="AA33" s="6">
        <v>12</v>
      </c>
      <c r="AB33" s="6">
        <v>0</v>
      </c>
      <c r="AC33" s="7">
        <v>42</v>
      </c>
      <c r="AD33" s="7" t="s">
        <v>53</v>
      </c>
      <c r="AE33" s="7">
        <v>35.18</v>
      </c>
      <c r="AF33" s="7">
        <v>269</v>
      </c>
      <c r="AG33" s="7">
        <v>34.880000000000003</v>
      </c>
      <c r="AH33" s="7">
        <v>40.630000000000003</v>
      </c>
      <c r="AI33" s="7">
        <v>45.07</v>
      </c>
      <c r="AJ33" s="9">
        <v>409.25037781549798</v>
      </c>
      <c r="AK33" s="9">
        <v>414.64374370000002</v>
      </c>
      <c r="AL33" s="9">
        <v>513.93313452559403</v>
      </c>
      <c r="AM33" s="9">
        <v>73.511656119248698</v>
      </c>
      <c r="AN33" s="9">
        <v>1.75027752664878</v>
      </c>
      <c r="AO33" s="9">
        <v>1.2642068624524301</v>
      </c>
      <c r="AP33" s="9">
        <v>930.33607081059597</v>
      </c>
      <c r="AQ33" s="9">
        <v>22.150858828823701</v>
      </c>
      <c r="AR33" s="9">
        <v>27.2922560274781</v>
      </c>
      <c r="AS33" s="73">
        <v>64</v>
      </c>
      <c r="AT33" s="8">
        <v>6.519999999999996</v>
      </c>
      <c r="AU33" s="10">
        <v>36.015452047682899</v>
      </c>
      <c r="AV33" s="10">
        <v>75.808624555799042</v>
      </c>
      <c r="AW33" s="8">
        <v>0.82</v>
      </c>
      <c r="AX33" s="74">
        <v>1.18450975868436</v>
      </c>
      <c r="AY33" s="314">
        <f t="shared" si="19"/>
        <v>0</v>
      </c>
      <c r="AZ33" s="314">
        <f t="shared" si="20"/>
        <v>0.87265621923334813</v>
      </c>
      <c r="BA33" s="315">
        <f t="shared" si="21"/>
        <v>0.1205841063516131</v>
      </c>
      <c r="BB33" s="10">
        <f t="shared" si="22"/>
        <v>31.099403301136668</v>
      </c>
      <c r="BC33" s="10">
        <f t="shared" si="23"/>
        <v>11.795439314581625</v>
      </c>
      <c r="BD33" s="10">
        <f t="shared" si="24"/>
        <v>7.4285665308202695</v>
      </c>
      <c r="BE33" s="10">
        <f t="shared" si="25"/>
        <v>23.393054124736771</v>
      </c>
      <c r="BF33" s="12">
        <v>0.43</v>
      </c>
      <c r="BG33" s="13">
        <v>384.89308990000001</v>
      </c>
      <c r="BH33" s="96" t="str">
        <f>+VLOOKUP(G33,Liste!$A$7:$G$50,3,FALSE)</f>
        <v>Douglas</v>
      </c>
      <c r="BI33" s="96" t="str">
        <f>+VLOOKUP(H33,Liste!$B$7:$G$50,5,FALSE)</f>
        <v>National</v>
      </c>
      <c r="BJ33" s="135">
        <f t="shared" si="0"/>
        <v>42</v>
      </c>
      <c r="BK33" s="135" t="str">
        <f t="shared" si="2"/>
        <v>Douglas_F1_Entree 17-18m, densité haute_National_42_</v>
      </c>
      <c r="BL33" s="322"/>
      <c r="BM33" s="13">
        <v>94.625224099999969</v>
      </c>
      <c r="BN33" s="13">
        <v>479.51831397783502</v>
      </c>
      <c r="BO33" s="13">
        <v>86.816692941106282</v>
      </c>
      <c r="BP33" s="13">
        <v>323.23</v>
      </c>
      <c r="BQ33" s="13">
        <v>24.576393312726299</v>
      </c>
      <c r="BT33" s="298" t="str">
        <f>+VLOOKUP(G33,Liste!$A$7:$H$50,8,FALSE)</f>
        <v>Résineux</v>
      </c>
      <c r="BU33" s="298">
        <f t="shared" si="3"/>
        <v>0</v>
      </c>
      <c r="BV33" s="300">
        <f t="shared" si="4"/>
        <v>1</v>
      </c>
      <c r="BW33" s="321">
        <v>0</v>
      </c>
      <c r="BX33" s="298">
        <f t="shared" si="5"/>
        <v>0.43</v>
      </c>
      <c r="BY33">
        <f t="shared" si="6"/>
        <v>0</v>
      </c>
      <c r="BZ33" s="304">
        <f t="shared" si="7"/>
        <v>0</v>
      </c>
      <c r="CB33" s="299">
        <v>0.6</v>
      </c>
      <c r="CC33" s="299">
        <v>0.4</v>
      </c>
      <c r="CD33">
        <f t="shared" si="8"/>
        <v>0</v>
      </c>
      <c r="CE33">
        <f t="shared" si="9"/>
        <v>0</v>
      </c>
      <c r="CF33">
        <f t="shared" si="10"/>
        <v>0</v>
      </c>
      <c r="CG33">
        <f t="shared" si="11"/>
        <v>0</v>
      </c>
      <c r="CH33">
        <f t="shared" si="12"/>
        <v>0</v>
      </c>
      <c r="CI33">
        <f t="shared" si="13"/>
        <v>0</v>
      </c>
      <c r="CJ33">
        <f t="shared" si="14"/>
        <v>0</v>
      </c>
      <c r="CK33">
        <f t="shared" si="15"/>
        <v>0</v>
      </c>
      <c r="CL33">
        <f t="shared" si="16"/>
        <v>0</v>
      </c>
      <c r="CM33">
        <f t="shared" si="26"/>
        <v>0</v>
      </c>
      <c r="CN33">
        <f t="shared" si="18"/>
        <v>0</v>
      </c>
      <c r="CO33">
        <f t="shared" si="1"/>
        <v>0</v>
      </c>
    </row>
    <row r="34" spans="1:93" s="12" customFormat="1" ht="14.65" customHeight="1" x14ac:dyDescent="0.25">
      <c r="A34" s="4">
        <v>2020</v>
      </c>
      <c r="B34" s="4"/>
      <c r="C34" s="4" t="s">
        <v>62</v>
      </c>
      <c r="D34" s="4" t="s">
        <v>63</v>
      </c>
      <c r="E34" s="4"/>
      <c r="F34" s="4" t="s">
        <v>90</v>
      </c>
      <c r="G34" s="5" t="s">
        <v>8</v>
      </c>
      <c r="H34" s="5" t="s">
        <v>11</v>
      </c>
      <c r="I34" s="5" t="s">
        <v>12</v>
      </c>
      <c r="J34" s="5" t="s">
        <v>9</v>
      </c>
      <c r="K34" s="5">
        <v>40</v>
      </c>
      <c r="L34" s="5" t="s">
        <v>190</v>
      </c>
      <c r="M34" s="5">
        <v>1666</v>
      </c>
      <c r="N34" s="5" t="s">
        <v>171</v>
      </c>
      <c r="O34" s="6" t="s">
        <v>81</v>
      </c>
      <c r="P34" s="6" t="s">
        <v>83</v>
      </c>
      <c r="Q34" s="6"/>
      <c r="R34" s="6"/>
      <c r="S34" s="6">
        <v>17</v>
      </c>
      <c r="T34" s="6">
        <v>15.63</v>
      </c>
      <c r="U34" s="6">
        <v>1600</v>
      </c>
      <c r="V34" s="6">
        <v>27.89</v>
      </c>
      <c r="W34" s="6">
        <v>30</v>
      </c>
      <c r="X34" s="6">
        <v>428</v>
      </c>
      <c r="Y34" s="6">
        <v>863</v>
      </c>
      <c r="Z34" s="6">
        <v>267</v>
      </c>
      <c r="AA34" s="6">
        <v>12</v>
      </c>
      <c r="AB34" s="6">
        <v>0</v>
      </c>
      <c r="AC34" s="7">
        <v>43</v>
      </c>
      <c r="AD34" s="7" t="s">
        <v>52</v>
      </c>
      <c r="AE34" s="7">
        <v>35.840000000000003</v>
      </c>
      <c r="AF34" s="7">
        <v>269</v>
      </c>
      <c r="AG34" s="7">
        <v>36.14</v>
      </c>
      <c r="AH34" s="7">
        <v>41.36</v>
      </c>
      <c r="AI34" s="7">
        <v>45.89</v>
      </c>
      <c r="AJ34" s="9">
        <v>431.08289272296503</v>
      </c>
      <c r="AK34" s="9">
        <v>436.85218379999998</v>
      </c>
      <c r="AL34" s="9">
        <v>541.22539055307197</v>
      </c>
      <c r="AM34" s="9">
        <v>74.775862981701096</v>
      </c>
      <c r="AN34" s="9">
        <v>1.73897355771398</v>
      </c>
      <c r="AO34" s="9">
        <v>1.2540440929614101</v>
      </c>
      <c r="AP34" s="9">
        <v>957.62832683807403</v>
      </c>
      <c r="AQ34" s="9">
        <v>22.270426205536602</v>
      </c>
      <c r="AR34" s="9">
        <v>27.7416573079297</v>
      </c>
      <c r="AS34" s="73" t="s">
        <v>169</v>
      </c>
      <c r="AT34" s="8"/>
      <c r="AU34" s="10" t="s">
        <v>169</v>
      </c>
      <c r="AV34" s="10">
        <v>0</v>
      </c>
      <c r="AW34" s="8"/>
      <c r="AX34" s="74" t="s">
        <v>169</v>
      </c>
      <c r="AY34" s="314" t="str">
        <f t="shared" si="19"/>
        <v/>
      </c>
      <c r="AZ34" s="314" t="str">
        <f t="shared" si="20"/>
        <v/>
      </c>
      <c r="BA34" s="315" t="str">
        <f t="shared" si="21"/>
        <v/>
      </c>
      <c r="BB34" s="10" t="str">
        <f t="shared" si="22"/>
        <v/>
      </c>
      <c r="BC34" s="10" t="str">
        <f t="shared" si="23"/>
        <v/>
      </c>
      <c r="BD34" s="10" t="str">
        <f t="shared" si="24"/>
        <v/>
      </c>
      <c r="BE34" s="10" t="str">
        <f t="shared" si="25"/>
        <v/>
      </c>
      <c r="BF34" s="12">
        <v>0.43</v>
      </c>
      <c r="BG34" s="13">
        <v>405.3327153333334</v>
      </c>
      <c r="BH34" s="96" t="str">
        <f>+VLOOKUP(G34,Liste!$A$7:$G$50,3,FALSE)</f>
        <v>Douglas</v>
      </c>
      <c r="BI34" s="96" t="str">
        <f>+VLOOKUP(H34,Liste!$B$7:$G$50,5,FALSE)</f>
        <v>National</v>
      </c>
      <c r="BJ34" s="135">
        <f t="shared" si="0"/>
        <v>43</v>
      </c>
      <c r="BK34" s="135" t="str">
        <f t="shared" si="2"/>
        <v>Douglas_F1_Entree 17-18m, densité haute_National_43_</v>
      </c>
      <c r="BL34" s="322"/>
      <c r="BM34" s="13">
        <v>99.051892366666607</v>
      </c>
      <c r="BN34" s="13">
        <v>504.38460768442638</v>
      </c>
      <c r="BP34" s="13">
        <v>323.23</v>
      </c>
      <c r="BQ34" s="13">
        <v>24.9670341572761</v>
      </c>
      <c r="BT34" s="298" t="str">
        <f>+VLOOKUP(G34,Liste!$A$7:$H$50,8,FALSE)</f>
        <v>Résineux</v>
      </c>
      <c r="BU34" s="298">
        <f t="shared" si="3"/>
        <v>0</v>
      </c>
      <c r="BV34" s="300">
        <f t="shared" si="4"/>
        <v>1</v>
      </c>
      <c r="BW34" s="321">
        <v>0</v>
      </c>
      <c r="BX34" s="298">
        <f t="shared" si="5"/>
        <v>0.43</v>
      </c>
      <c r="BY34">
        <f t="shared" si="6"/>
        <v>0</v>
      </c>
      <c r="BZ34" s="304">
        <f t="shared" si="7"/>
        <v>0</v>
      </c>
      <c r="CB34" s="299">
        <v>0.6</v>
      </c>
      <c r="CC34" s="299">
        <v>0.4</v>
      </c>
      <c r="CD34">
        <f t="shared" si="8"/>
        <v>0</v>
      </c>
      <c r="CE34">
        <f t="shared" si="9"/>
        <v>0</v>
      </c>
      <c r="CF34">
        <f t="shared" si="10"/>
        <v>0</v>
      </c>
      <c r="CG34">
        <f t="shared" si="11"/>
        <v>0</v>
      </c>
      <c r="CH34">
        <f t="shared" si="12"/>
        <v>0</v>
      </c>
      <c r="CI34">
        <f t="shared" si="13"/>
        <v>0</v>
      </c>
      <c r="CJ34">
        <f t="shared" si="14"/>
        <v>0</v>
      </c>
      <c r="CK34">
        <f t="shared" si="15"/>
        <v>0</v>
      </c>
      <c r="CL34">
        <f t="shared" si="16"/>
        <v>0</v>
      </c>
      <c r="CM34">
        <f t="shared" si="26"/>
        <v>0</v>
      </c>
      <c r="CN34">
        <f t="shared" si="18"/>
        <v>0</v>
      </c>
      <c r="CO34">
        <f t="shared" si="1"/>
        <v>0</v>
      </c>
    </row>
    <row r="35" spans="1:93" s="12" customFormat="1" ht="14.65" customHeight="1" x14ac:dyDescent="0.25">
      <c r="A35" s="4">
        <v>2020</v>
      </c>
      <c r="B35" s="4"/>
      <c r="C35" s="4" t="s">
        <v>62</v>
      </c>
      <c r="D35" s="4" t="s">
        <v>63</v>
      </c>
      <c r="E35" s="4"/>
      <c r="F35" s="4" t="s">
        <v>90</v>
      </c>
      <c r="G35" s="5" t="s">
        <v>8</v>
      </c>
      <c r="H35" s="5" t="s">
        <v>11</v>
      </c>
      <c r="I35" s="5" t="s">
        <v>12</v>
      </c>
      <c r="J35" s="5" t="s">
        <v>9</v>
      </c>
      <c r="K35" s="5">
        <v>40</v>
      </c>
      <c r="L35" s="5" t="s">
        <v>190</v>
      </c>
      <c r="M35" s="5">
        <v>1666</v>
      </c>
      <c r="N35" s="5" t="s">
        <v>171</v>
      </c>
      <c r="O35" s="6" t="s">
        <v>81</v>
      </c>
      <c r="P35" s="6" t="s">
        <v>83</v>
      </c>
      <c r="Q35" s="6"/>
      <c r="R35" s="6"/>
      <c r="S35" s="6">
        <v>17</v>
      </c>
      <c r="T35" s="6">
        <v>15.63</v>
      </c>
      <c r="U35" s="6">
        <v>1600</v>
      </c>
      <c r="V35" s="6">
        <v>27.89</v>
      </c>
      <c r="W35" s="6">
        <v>30</v>
      </c>
      <c r="X35" s="6">
        <v>428</v>
      </c>
      <c r="Y35" s="6">
        <v>863</v>
      </c>
      <c r="Z35" s="6">
        <v>267</v>
      </c>
      <c r="AA35" s="6">
        <v>12</v>
      </c>
      <c r="AB35" s="6">
        <v>0</v>
      </c>
      <c r="AC35" s="7">
        <v>44</v>
      </c>
      <c r="AD35" s="7" t="s">
        <v>52</v>
      </c>
      <c r="AE35" s="7">
        <v>36.5</v>
      </c>
      <c r="AF35" s="7">
        <v>269</v>
      </c>
      <c r="AG35" s="7">
        <v>37.4</v>
      </c>
      <c r="AH35" s="7">
        <v>42.07</v>
      </c>
      <c r="AI35" s="7">
        <v>46.7</v>
      </c>
      <c r="AJ35" s="9">
        <v>453.27402867700499</v>
      </c>
      <c r="AK35" s="9">
        <v>459.4290628</v>
      </c>
      <c r="AL35" s="9">
        <v>568.96704786100202</v>
      </c>
      <c r="AM35" s="9">
        <v>76.029907074662503</v>
      </c>
      <c r="AN35" s="9">
        <v>1.72795243351506</v>
      </c>
      <c r="AO35" s="9">
        <v>1.2424032198348101</v>
      </c>
      <c r="AP35" s="9">
        <v>985.36998414600396</v>
      </c>
      <c r="AQ35" s="9">
        <v>22.394772366954601</v>
      </c>
      <c r="AR35" s="9">
        <v>27.916407738485798</v>
      </c>
      <c r="AS35" s="73" t="s">
        <v>169</v>
      </c>
      <c r="AT35" s="8"/>
      <c r="AU35" s="10" t="s">
        <v>169</v>
      </c>
      <c r="AV35" s="10">
        <v>0</v>
      </c>
      <c r="AW35" s="8"/>
      <c r="AX35" s="74" t="s">
        <v>169</v>
      </c>
      <c r="AY35" s="314" t="str">
        <f t="shared" si="19"/>
        <v/>
      </c>
      <c r="AZ35" s="314" t="str">
        <f t="shared" si="20"/>
        <v/>
      </c>
      <c r="BA35" s="315" t="str">
        <f t="shared" si="21"/>
        <v/>
      </c>
      <c r="BB35" s="10" t="str">
        <f t="shared" si="22"/>
        <v/>
      </c>
      <c r="BC35" s="10" t="str">
        <f t="shared" si="23"/>
        <v/>
      </c>
      <c r="BD35" s="10" t="str">
        <f t="shared" si="24"/>
        <v/>
      </c>
      <c r="BE35" s="10" t="str">
        <f t="shared" si="25"/>
        <v/>
      </c>
      <c r="BF35" s="12">
        <v>0.43</v>
      </c>
      <c r="BG35" s="13">
        <v>426.10890483333333</v>
      </c>
      <c r="BH35" s="96" t="str">
        <f>+VLOOKUP(G35,Liste!$A$7:$G$50,3,FALSE)</f>
        <v>Douglas</v>
      </c>
      <c r="BI35" s="96" t="str">
        <f>+VLOOKUP(H35,Liste!$B$7:$G$50,5,FALSE)</f>
        <v>National</v>
      </c>
      <c r="BJ35" s="135">
        <f t="shared" si="0"/>
        <v>44</v>
      </c>
      <c r="BK35" s="135" t="str">
        <f t="shared" si="2"/>
        <v>Douglas_F1_Entree 17-18m, densité haute_National_44_</v>
      </c>
      <c r="BL35" s="322"/>
      <c r="BM35" s="13">
        <v>103.52489706666665</v>
      </c>
      <c r="BN35" s="13">
        <v>529.63380185575568</v>
      </c>
      <c r="BP35" s="13">
        <v>323.23</v>
      </c>
      <c r="BQ35" s="13">
        <v>25.110464581247498</v>
      </c>
      <c r="BT35" s="298" t="str">
        <f>+VLOOKUP(G35,Liste!$A$7:$H$50,8,FALSE)</f>
        <v>Résineux</v>
      </c>
      <c r="BU35" s="298">
        <f t="shared" si="3"/>
        <v>0</v>
      </c>
      <c r="BV35" s="300">
        <f t="shared" si="4"/>
        <v>1</v>
      </c>
      <c r="BW35" s="321">
        <v>0</v>
      </c>
      <c r="BX35" s="298">
        <f t="shared" si="5"/>
        <v>0.43</v>
      </c>
      <c r="BY35">
        <f t="shared" si="6"/>
        <v>0</v>
      </c>
      <c r="BZ35" s="304">
        <f t="shared" si="7"/>
        <v>0</v>
      </c>
      <c r="CB35" s="299">
        <v>0.6</v>
      </c>
      <c r="CC35" s="299">
        <v>0.4</v>
      </c>
      <c r="CD35">
        <f t="shared" si="8"/>
        <v>0</v>
      </c>
      <c r="CE35">
        <f t="shared" si="9"/>
        <v>0</v>
      </c>
      <c r="CF35">
        <f t="shared" si="10"/>
        <v>0</v>
      </c>
      <c r="CG35">
        <f t="shared" si="11"/>
        <v>0</v>
      </c>
      <c r="CH35">
        <f t="shared" si="12"/>
        <v>0</v>
      </c>
      <c r="CI35">
        <f t="shared" si="13"/>
        <v>0</v>
      </c>
      <c r="CJ35">
        <f t="shared" si="14"/>
        <v>0</v>
      </c>
      <c r="CK35">
        <f t="shared" si="15"/>
        <v>0</v>
      </c>
      <c r="CL35">
        <f t="shared" si="16"/>
        <v>0</v>
      </c>
      <c r="CM35">
        <f t="shared" si="26"/>
        <v>0</v>
      </c>
      <c r="CN35">
        <f t="shared" si="18"/>
        <v>0</v>
      </c>
      <c r="CO35">
        <f t="shared" si="1"/>
        <v>0</v>
      </c>
    </row>
    <row r="36" spans="1:93" s="12" customFormat="1" ht="14.65" customHeight="1" x14ac:dyDescent="0.25">
      <c r="A36" s="4">
        <v>2020</v>
      </c>
      <c r="B36" s="4"/>
      <c r="C36" s="4" t="s">
        <v>62</v>
      </c>
      <c r="D36" s="4" t="s">
        <v>63</v>
      </c>
      <c r="E36" s="4"/>
      <c r="F36" s="4" t="s">
        <v>90</v>
      </c>
      <c r="G36" s="5" t="s">
        <v>8</v>
      </c>
      <c r="H36" s="5" t="s">
        <v>11</v>
      </c>
      <c r="I36" s="5" t="s">
        <v>12</v>
      </c>
      <c r="J36" s="5" t="s">
        <v>9</v>
      </c>
      <c r="K36" s="5">
        <v>40</v>
      </c>
      <c r="L36" s="5" t="s">
        <v>190</v>
      </c>
      <c r="M36" s="5">
        <v>1666</v>
      </c>
      <c r="N36" s="5" t="s">
        <v>171</v>
      </c>
      <c r="O36" s="6" t="s">
        <v>81</v>
      </c>
      <c r="P36" s="6" t="s">
        <v>83</v>
      </c>
      <c r="Q36" s="6"/>
      <c r="R36" s="6"/>
      <c r="S36" s="6">
        <v>17</v>
      </c>
      <c r="T36" s="6">
        <v>15.63</v>
      </c>
      <c r="U36" s="6">
        <v>1600</v>
      </c>
      <c r="V36" s="6">
        <v>27.89</v>
      </c>
      <c r="W36" s="6">
        <v>30</v>
      </c>
      <c r="X36" s="6">
        <v>428</v>
      </c>
      <c r="Y36" s="6">
        <v>863</v>
      </c>
      <c r="Z36" s="6">
        <v>267</v>
      </c>
      <c r="AA36" s="6">
        <v>12</v>
      </c>
      <c r="AB36" s="6">
        <v>0</v>
      </c>
      <c r="AC36" s="7">
        <v>45</v>
      </c>
      <c r="AD36" s="7" t="s">
        <v>52</v>
      </c>
      <c r="AE36" s="7">
        <v>37.159999999999997</v>
      </c>
      <c r="AF36" s="7">
        <v>269</v>
      </c>
      <c r="AG36" s="7">
        <v>38.64</v>
      </c>
      <c r="AH36" s="7">
        <v>42.77</v>
      </c>
      <c r="AI36" s="7">
        <v>47.5</v>
      </c>
      <c r="AJ36" s="9">
        <v>475.60506533907397</v>
      </c>
      <c r="AK36" s="9">
        <v>482.15278649999999</v>
      </c>
      <c r="AL36" s="9">
        <v>596.883455599488</v>
      </c>
      <c r="AM36" s="9">
        <v>77.272310294497302</v>
      </c>
      <c r="AN36" s="9">
        <v>1.7171624509888299</v>
      </c>
      <c r="AO36" s="9">
        <v>1.2320720609775699</v>
      </c>
      <c r="AP36" s="9">
        <v>1013.2863918844899</v>
      </c>
      <c r="AQ36" s="9">
        <v>22.5174753752109</v>
      </c>
      <c r="AR36" s="9">
        <v>28.345192375177</v>
      </c>
      <c r="AS36" s="73" t="s">
        <v>169</v>
      </c>
      <c r="AT36" s="8"/>
      <c r="AU36" s="10" t="s">
        <v>169</v>
      </c>
      <c r="AV36" s="10">
        <v>0</v>
      </c>
      <c r="AW36" s="8"/>
      <c r="AX36" s="74" t="s">
        <v>169</v>
      </c>
      <c r="AY36" s="314" t="str">
        <f t="shared" si="19"/>
        <v/>
      </c>
      <c r="AZ36" s="314" t="str">
        <f t="shared" si="20"/>
        <v/>
      </c>
      <c r="BA36" s="315" t="str">
        <f t="shared" si="21"/>
        <v/>
      </c>
      <c r="BB36" s="10" t="str">
        <f t="shared" si="22"/>
        <v/>
      </c>
      <c r="BC36" s="10" t="str">
        <f t="shared" si="23"/>
        <v/>
      </c>
      <c r="BD36" s="10" t="str">
        <f t="shared" si="24"/>
        <v/>
      </c>
      <c r="BE36" s="10" t="str">
        <f t="shared" si="25"/>
        <v/>
      </c>
      <c r="BF36" s="12">
        <v>0.43</v>
      </c>
      <c r="BG36" s="13">
        <v>447.01596793333334</v>
      </c>
      <c r="BH36" s="96" t="str">
        <f>+VLOOKUP(G36,Liste!$A$7:$G$50,3,FALSE)</f>
        <v>Douglas</v>
      </c>
      <c r="BI36" s="96" t="str">
        <f>+VLOOKUP(H36,Liste!$B$7:$G$50,5,FALSE)</f>
        <v>National</v>
      </c>
      <c r="BJ36" s="135">
        <f t="shared" si="0"/>
        <v>45</v>
      </c>
      <c r="BK36" s="135" t="str">
        <f t="shared" si="2"/>
        <v>Douglas_F1_Entree 17-18m, densité haute_National_45_</v>
      </c>
      <c r="BL36" s="322"/>
      <c r="BM36" s="13">
        <v>108.00051616666661</v>
      </c>
      <c r="BN36" s="13">
        <v>555.01648408707604</v>
      </c>
      <c r="BP36" s="13">
        <v>323.23</v>
      </c>
      <c r="BQ36" s="13">
        <v>25.482381578130799</v>
      </c>
      <c r="BT36" s="298" t="str">
        <f>+VLOOKUP(G36,Liste!$A$7:$H$50,8,FALSE)</f>
        <v>Résineux</v>
      </c>
      <c r="BU36" s="298">
        <f t="shared" si="3"/>
        <v>0</v>
      </c>
      <c r="BV36" s="300">
        <f t="shared" si="4"/>
        <v>1</v>
      </c>
      <c r="BW36" s="321">
        <v>0</v>
      </c>
      <c r="BX36" s="298">
        <f t="shared" si="5"/>
        <v>0.43</v>
      </c>
      <c r="BY36">
        <f t="shared" si="6"/>
        <v>0</v>
      </c>
      <c r="BZ36" s="304">
        <f t="shared" si="7"/>
        <v>0</v>
      </c>
      <c r="CB36" s="299">
        <v>0.6</v>
      </c>
      <c r="CC36" s="299">
        <v>0.4</v>
      </c>
      <c r="CD36">
        <f t="shared" si="8"/>
        <v>0</v>
      </c>
      <c r="CE36">
        <f t="shared" si="9"/>
        <v>0</v>
      </c>
      <c r="CF36">
        <f t="shared" si="10"/>
        <v>0</v>
      </c>
      <c r="CG36">
        <f t="shared" si="11"/>
        <v>0</v>
      </c>
      <c r="CH36">
        <f t="shared" si="12"/>
        <v>0</v>
      </c>
      <c r="CI36">
        <f t="shared" si="13"/>
        <v>0</v>
      </c>
      <c r="CJ36">
        <f t="shared" si="14"/>
        <v>0</v>
      </c>
      <c r="CK36">
        <f t="shared" si="15"/>
        <v>0</v>
      </c>
      <c r="CL36">
        <f t="shared" si="16"/>
        <v>0</v>
      </c>
      <c r="CM36">
        <f t="shared" si="26"/>
        <v>0</v>
      </c>
      <c r="CN36">
        <f t="shared" si="18"/>
        <v>0</v>
      </c>
      <c r="CO36">
        <f t="shared" si="1"/>
        <v>0</v>
      </c>
    </row>
    <row r="37" spans="1:93" s="12" customFormat="1" ht="14.65" customHeight="1" x14ac:dyDescent="0.25">
      <c r="A37" s="4">
        <v>2020</v>
      </c>
      <c r="B37" s="4"/>
      <c r="C37" s="4" t="s">
        <v>62</v>
      </c>
      <c r="D37" s="4" t="s">
        <v>63</v>
      </c>
      <c r="E37" s="4"/>
      <c r="F37" s="4" t="s">
        <v>90</v>
      </c>
      <c r="G37" s="5" t="s">
        <v>8</v>
      </c>
      <c r="H37" s="5" t="s">
        <v>11</v>
      </c>
      <c r="I37" s="5" t="s">
        <v>12</v>
      </c>
      <c r="J37" s="5" t="s">
        <v>9</v>
      </c>
      <c r="K37" s="5">
        <v>40</v>
      </c>
      <c r="L37" s="5" t="s">
        <v>190</v>
      </c>
      <c r="M37" s="5">
        <v>1666</v>
      </c>
      <c r="N37" s="5" t="s">
        <v>171</v>
      </c>
      <c r="O37" s="6" t="s">
        <v>81</v>
      </c>
      <c r="P37" s="6" t="s">
        <v>83</v>
      </c>
      <c r="Q37" s="6"/>
      <c r="R37" s="6"/>
      <c r="S37" s="6">
        <v>17</v>
      </c>
      <c r="T37" s="6">
        <v>15.63</v>
      </c>
      <c r="U37" s="6">
        <v>1600</v>
      </c>
      <c r="V37" s="6">
        <v>27.89</v>
      </c>
      <c r="W37" s="6">
        <v>30</v>
      </c>
      <c r="X37" s="6">
        <v>428</v>
      </c>
      <c r="Y37" s="6">
        <v>863</v>
      </c>
      <c r="Z37" s="6">
        <v>267</v>
      </c>
      <c r="AA37" s="6">
        <v>12</v>
      </c>
      <c r="AB37" s="6">
        <v>0</v>
      </c>
      <c r="AC37" s="7">
        <v>46</v>
      </c>
      <c r="AD37" s="7" t="s">
        <v>52</v>
      </c>
      <c r="AE37" s="7">
        <v>37.799999999999997</v>
      </c>
      <c r="AF37" s="7">
        <v>269</v>
      </c>
      <c r="AG37" s="7">
        <v>39.869999999999997</v>
      </c>
      <c r="AH37" s="7">
        <v>43.44</v>
      </c>
      <c r="AI37" s="7">
        <v>48.27</v>
      </c>
      <c r="AJ37" s="9">
        <v>498.27847711163599</v>
      </c>
      <c r="AK37" s="9">
        <v>505.22844329999998</v>
      </c>
      <c r="AL37" s="9">
        <v>625.22864797466502</v>
      </c>
      <c r="AM37" s="9">
        <v>78.504382355474903</v>
      </c>
      <c r="AN37" s="9">
        <v>1.7066170077277101</v>
      </c>
      <c r="AO37" s="9">
        <v>1.22073761879844</v>
      </c>
      <c r="AP37" s="9">
        <v>1041.63158425967</v>
      </c>
      <c r="AQ37" s="9">
        <v>22.644164875210102</v>
      </c>
      <c r="AR37" s="9">
        <v>28.572999896537599</v>
      </c>
      <c r="AS37" s="73" t="s">
        <v>169</v>
      </c>
      <c r="AT37" s="8"/>
      <c r="AU37" s="10" t="s">
        <v>169</v>
      </c>
      <c r="AV37" s="10">
        <v>0</v>
      </c>
      <c r="AW37" s="8"/>
      <c r="AX37" s="74" t="s">
        <v>169</v>
      </c>
      <c r="AY37" s="314" t="str">
        <f t="shared" si="19"/>
        <v/>
      </c>
      <c r="AZ37" s="314" t="str">
        <f t="shared" si="20"/>
        <v/>
      </c>
      <c r="BA37" s="315" t="str">
        <f t="shared" si="21"/>
        <v/>
      </c>
      <c r="BB37" s="10" t="str">
        <f t="shared" si="22"/>
        <v/>
      </c>
      <c r="BC37" s="10" t="str">
        <f t="shared" si="23"/>
        <v/>
      </c>
      <c r="BD37" s="10" t="str">
        <f t="shared" si="24"/>
        <v/>
      </c>
      <c r="BE37" s="10" t="str">
        <f t="shared" si="25"/>
        <v/>
      </c>
      <c r="BF37" s="12">
        <v>0.43</v>
      </c>
      <c r="BG37" s="13">
        <v>468.24415476666667</v>
      </c>
      <c r="BH37" s="96" t="str">
        <f>+VLOOKUP(G37,Liste!$A$7:$G$50,3,FALSE)</f>
        <v>Douglas</v>
      </c>
      <c r="BI37" s="96" t="str">
        <f>+VLOOKUP(H37,Liste!$B$7:$G$50,5,FALSE)</f>
        <v>National</v>
      </c>
      <c r="BJ37" s="135">
        <f t="shared" si="0"/>
        <v>46</v>
      </c>
      <c r="BK37" s="135" t="str">
        <f t="shared" si="2"/>
        <v>Douglas_F1_Entree 17-18m, densité haute_National_46_</v>
      </c>
      <c r="BL37" s="322"/>
      <c r="BM37" s="13">
        <v>112.52001403333333</v>
      </c>
      <c r="BN37" s="13">
        <v>580.76416883088996</v>
      </c>
      <c r="BP37" s="13">
        <v>323.23</v>
      </c>
      <c r="BQ37" s="13">
        <v>25.673563768653999</v>
      </c>
      <c r="BT37" s="298" t="str">
        <f>+VLOOKUP(G37,Liste!$A$7:$H$50,8,FALSE)</f>
        <v>Résineux</v>
      </c>
      <c r="BU37" s="298">
        <f t="shared" si="3"/>
        <v>0</v>
      </c>
      <c r="BV37" s="300">
        <f t="shared" si="4"/>
        <v>1</v>
      </c>
      <c r="BW37" s="321">
        <v>0</v>
      </c>
      <c r="BX37" s="298">
        <f t="shared" si="5"/>
        <v>0.43</v>
      </c>
      <c r="BY37">
        <f t="shared" si="6"/>
        <v>0</v>
      </c>
      <c r="BZ37" s="304">
        <f t="shared" si="7"/>
        <v>0</v>
      </c>
      <c r="CB37" s="299">
        <v>0.6</v>
      </c>
      <c r="CC37" s="299">
        <v>0.4</v>
      </c>
      <c r="CD37">
        <f t="shared" si="8"/>
        <v>0</v>
      </c>
      <c r="CE37">
        <f t="shared" si="9"/>
        <v>0</v>
      </c>
      <c r="CF37">
        <f t="shared" si="10"/>
        <v>0</v>
      </c>
      <c r="CG37">
        <f t="shared" si="11"/>
        <v>0</v>
      </c>
      <c r="CH37">
        <f t="shared" si="12"/>
        <v>0</v>
      </c>
      <c r="CI37">
        <f t="shared" si="13"/>
        <v>0</v>
      </c>
      <c r="CJ37">
        <f t="shared" si="14"/>
        <v>0</v>
      </c>
      <c r="CK37">
        <f t="shared" si="15"/>
        <v>0</v>
      </c>
      <c r="CL37">
        <f t="shared" si="16"/>
        <v>0</v>
      </c>
      <c r="CM37">
        <f t="shared" si="26"/>
        <v>0</v>
      </c>
      <c r="CN37">
        <f t="shared" si="18"/>
        <v>0</v>
      </c>
      <c r="CO37">
        <f t="shared" si="1"/>
        <v>0</v>
      </c>
    </row>
    <row r="38" spans="1:93" s="12" customFormat="1" ht="14.65" customHeight="1" x14ac:dyDescent="0.25">
      <c r="A38" s="4">
        <v>2020</v>
      </c>
      <c r="B38" s="4"/>
      <c r="C38" s="4" t="s">
        <v>62</v>
      </c>
      <c r="D38" s="4" t="s">
        <v>63</v>
      </c>
      <c r="E38" s="4"/>
      <c r="F38" s="4" t="s">
        <v>90</v>
      </c>
      <c r="G38" s="5" t="s">
        <v>8</v>
      </c>
      <c r="H38" s="5" t="s">
        <v>11</v>
      </c>
      <c r="I38" s="5" t="s">
        <v>12</v>
      </c>
      <c r="J38" s="5" t="s">
        <v>9</v>
      </c>
      <c r="K38" s="5">
        <v>40</v>
      </c>
      <c r="L38" s="5" t="s">
        <v>190</v>
      </c>
      <c r="M38" s="5">
        <v>1666</v>
      </c>
      <c r="N38" s="5" t="s">
        <v>171</v>
      </c>
      <c r="O38" s="6" t="s">
        <v>81</v>
      </c>
      <c r="P38" s="6" t="s">
        <v>83</v>
      </c>
      <c r="Q38" s="6"/>
      <c r="R38" s="6"/>
      <c r="S38" s="6">
        <v>17</v>
      </c>
      <c r="T38" s="6">
        <v>15.63</v>
      </c>
      <c r="U38" s="6">
        <v>1600</v>
      </c>
      <c r="V38" s="6">
        <v>27.89</v>
      </c>
      <c r="W38" s="6">
        <v>30</v>
      </c>
      <c r="X38" s="6">
        <v>428</v>
      </c>
      <c r="Y38" s="6">
        <v>863</v>
      </c>
      <c r="Z38" s="6">
        <v>267</v>
      </c>
      <c r="AA38" s="6">
        <v>12</v>
      </c>
      <c r="AB38" s="6">
        <v>0</v>
      </c>
      <c r="AC38" s="7">
        <v>47</v>
      </c>
      <c r="AD38" s="7" t="s">
        <v>52</v>
      </c>
      <c r="AE38" s="7">
        <v>38.43</v>
      </c>
      <c r="AF38" s="7">
        <v>269</v>
      </c>
      <c r="AG38" s="7">
        <v>41.09</v>
      </c>
      <c r="AH38" s="7">
        <v>44.1</v>
      </c>
      <c r="AI38" s="7">
        <v>49.04</v>
      </c>
      <c r="AJ38" s="9">
        <v>521.13390077668396</v>
      </c>
      <c r="AK38" s="9">
        <v>528.49321440000006</v>
      </c>
      <c r="AL38" s="9">
        <v>653.80164787120202</v>
      </c>
      <c r="AM38" s="9">
        <v>79.725119974273298</v>
      </c>
      <c r="AN38" s="9">
        <v>1.69627914838879</v>
      </c>
      <c r="AO38" s="9">
        <v>1.20919397796449</v>
      </c>
      <c r="AP38" s="9">
        <v>1070.2045841562001</v>
      </c>
      <c r="AQ38" s="9">
        <v>22.770310301195799</v>
      </c>
      <c r="AR38" s="9">
        <v>28.808681205629899</v>
      </c>
      <c r="AS38" s="73" t="s">
        <v>169</v>
      </c>
      <c r="AT38" s="8"/>
      <c r="AU38" s="10" t="s">
        <v>169</v>
      </c>
      <c r="AV38" s="10">
        <v>0</v>
      </c>
      <c r="AW38" s="8"/>
      <c r="AX38" s="74" t="s">
        <v>169</v>
      </c>
      <c r="AY38" s="314" t="str">
        <f t="shared" si="19"/>
        <v/>
      </c>
      <c r="AZ38" s="314" t="str">
        <f t="shared" si="20"/>
        <v/>
      </c>
      <c r="BA38" s="315" t="str">
        <f t="shared" si="21"/>
        <v/>
      </c>
      <c r="BB38" s="10" t="str">
        <f t="shared" si="22"/>
        <v/>
      </c>
      <c r="BC38" s="10" t="str">
        <f t="shared" si="23"/>
        <v/>
      </c>
      <c r="BD38" s="10" t="str">
        <f t="shared" si="24"/>
        <v/>
      </c>
      <c r="BE38" s="10" t="str">
        <f t="shared" si="25"/>
        <v/>
      </c>
      <c r="BF38" s="12">
        <v>0.43</v>
      </c>
      <c r="BG38" s="13">
        <v>489.64295086666658</v>
      </c>
      <c r="BH38" s="96" t="str">
        <f>+VLOOKUP(G38,Liste!$A$7:$G$50,3,FALSE)</f>
        <v>Douglas</v>
      </c>
      <c r="BI38" s="96" t="str">
        <f>+VLOOKUP(H38,Liste!$B$7:$G$50,5,FALSE)</f>
        <v>National</v>
      </c>
      <c r="BJ38" s="135">
        <f t="shared" si="0"/>
        <v>47</v>
      </c>
      <c r="BK38" s="135" t="str">
        <f t="shared" si="2"/>
        <v>Douglas_F1_Entree 17-18m, densité haute_National_47_</v>
      </c>
      <c r="BL38" s="322"/>
      <c r="BM38" s="13">
        <v>117.05175433333346</v>
      </c>
      <c r="BN38" s="13">
        <v>606.69470520855896</v>
      </c>
      <c r="BP38" s="13">
        <v>323.23</v>
      </c>
      <c r="BQ38" s="13">
        <v>25.871900062962901</v>
      </c>
      <c r="BT38" s="298" t="str">
        <f>+VLOOKUP(G38,Liste!$A$7:$H$50,8,FALSE)</f>
        <v>Résineux</v>
      </c>
      <c r="BU38" s="298">
        <f t="shared" si="3"/>
        <v>0</v>
      </c>
      <c r="BV38" s="300">
        <f t="shared" si="4"/>
        <v>1</v>
      </c>
      <c r="BW38" s="321">
        <v>0</v>
      </c>
      <c r="BX38" s="298">
        <f t="shared" si="5"/>
        <v>0.43</v>
      </c>
      <c r="BY38">
        <f t="shared" si="6"/>
        <v>0</v>
      </c>
      <c r="BZ38" s="304">
        <f t="shared" si="7"/>
        <v>0</v>
      </c>
      <c r="CB38" s="299">
        <v>0.6</v>
      </c>
      <c r="CC38" s="299">
        <v>0.4</v>
      </c>
      <c r="CD38">
        <f t="shared" si="8"/>
        <v>0</v>
      </c>
      <c r="CE38">
        <f t="shared" si="9"/>
        <v>0</v>
      </c>
      <c r="CF38">
        <f t="shared" si="10"/>
        <v>0</v>
      </c>
      <c r="CG38">
        <f t="shared" si="11"/>
        <v>0</v>
      </c>
      <c r="CH38">
        <f t="shared" si="12"/>
        <v>0</v>
      </c>
      <c r="CI38">
        <f t="shared" si="13"/>
        <v>0</v>
      </c>
      <c r="CJ38">
        <f t="shared" si="14"/>
        <v>0</v>
      </c>
      <c r="CK38">
        <f t="shared" si="15"/>
        <v>0</v>
      </c>
      <c r="CL38">
        <f t="shared" si="16"/>
        <v>0</v>
      </c>
      <c r="CM38">
        <f t="shared" si="26"/>
        <v>0</v>
      </c>
      <c r="CN38">
        <f t="shared" si="18"/>
        <v>0</v>
      </c>
      <c r="CO38">
        <f t="shared" si="1"/>
        <v>0</v>
      </c>
    </row>
    <row r="39" spans="1:93" s="12" customFormat="1" ht="14.65" customHeight="1" x14ac:dyDescent="0.25">
      <c r="A39" s="4">
        <v>2020</v>
      </c>
      <c r="B39" s="4"/>
      <c r="C39" s="4" t="s">
        <v>62</v>
      </c>
      <c r="D39" s="4" t="s">
        <v>63</v>
      </c>
      <c r="E39" s="4"/>
      <c r="F39" s="4" t="s">
        <v>90</v>
      </c>
      <c r="G39" s="5" t="s">
        <v>8</v>
      </c>
      <c r="H39" s="5" t="s">
        <v>11</v>
      </c>
      <c r="I39" s="5" t="s">
        <v>12</v>
      </c>
      <c r="J39" s="5" t="s">
        <v>9</v>
      </c>
      <c r="K39" s="5">
        <v>40</v>
      </c>
      <c r="L39" s="5" t="s">
        <v>190</v>
      </c>
      <c r="M39" s="5">
        <v>1666</v>
      </c>
      <c r="N39" s="5" t="s">
        <v>171</v>
      </c>
      <c r="O39" s="6" t="s">
        <v>81</v>
      </c>
      <c r="P39" s="6" t="s">
        <v>83</v>
      </c>
      <c r="Q39" s="6"/>
      <c r="R39" s="6"/>
      <c r="S39" s="6">
        <v>17</v>
      </c>
      <c r="T39" s="6">
        <v>15.63</v>
      </c>
      <c r="U39" s="6">
        <v>1600</v>
      </c>
      <c r="V39" s="6">
        <v>27.89</v>
      </c>
      <c r="W39" s="6">
        <v>30</v>
      </c>
      <c r="X39" s="6">
        <v>428</v>
      </c>
      <c r="Y39" s="6">
        <v>863</v>
      </c>
      <c r="Z39" s="6">
        <v>267</v>
      </c>
      <c r="AA39" s="6">
        <v>12</v>
      </c>
      <c r="AB39" s="6">
        <v>0</v>
      </c>
      <c r="AC39" s="7">
        <v>48</v>
      </c>
      <c r="AD39" s="7" t="s">
        <v>52</v>
      </c>
      <c r="AE39" s="7">
        <v>39.049999999999997</v>
      </c>
      <c r="AF39" s="7">
        <v>269</v>
      </c>
      <c r="AG39" s="7">
        <v>42.3</v>
      </c>
      <c r="AH39" s="7">
        <v>44.75</v>
      </c>
      <c r="AI39" s="7">
        <v>49.79</v>
      </c>
      <c r="AJ39" s="9">
        <v>544.17776725612396</v>
      </c>
      <c r="AK39" s="9">
        <v>551.95366839999997</v>
      </c>
      <c r="AL39" s="9">
        <v>682.61032907683204</v>
      </c>
      <c r="AM39" s="9">
        <v>80.934313952237801</v>
      </c>
      <c r="AN39" s="9">
        <v>1.68613154067162</v>
      </c>
      <c r="AO39" s="9">
        <v>1.11413083725346</v>
      </c>
      <c r="AP39" s="9">
        <v>1099.01326536183</v>
      </c>
      <c r="AQ39" s="9">
        <v>22.896109695038199</v>
      </c>
      <c r="AR39" s="9">
        <v>26.069461586129101</v>
      </c>
      <c r="AS39" s="73" t="s">
        <v>169</v>
      </c>
      <c r="AT39" s="8"/>
      <c r="AU39" s="10" t="s">
        <v>169</v>
      </c>
      <c r="AV39" s="10">
        <v>0</v>
      </c>
      <c r="AW39" s="8"/>
      <c r="AX39" s="74" t="s">
        <v>169</v>
      </c>
      <c r="AY39" s="314" t="str">
        <f t="shared" si="19"/>
        <v/>
      </c>
      <c r="AZ39" s="314" t="str">
        <f t="shared" si="20"/>
        <v/>
      </c>
      <c r="BA39" s="315" t="str">
        <f t="shared" si="21"/>
        <v/>
      </c>
      <c r="BB39" s="10" t="str">
        <f t="shared" si="22"/>
        <v/>
      </c>
      <c r="BC39" s="10" t="str">
        <f t="shared" si="23"/>
        <v/>
      </c>
      <c r="BD39" s="10" t="str">
        <f t="shared" si="24"/>
        <v/>
      </c>
      <c r="BE39" s="10" t="str">
        <f t="shared" si="25"/>
        <v/>
      </c>
      <c r="BF39" s="12">
        <v>0.43</v>
      </c>
      <c r="BG39" s="13">
        <v>511.21825223333343</v>
      </c>
      <c r="BH39" s="96" t="str">
        <f>+VLOOKUP(G39,Liste!$A$7:$G$50,3,FALSE)</f>
        <v>Douglas</v>
      </c>
      <c r="BI39" s="96" t="str">
        <f>+VLOOKUP(H39,Liste!$B$7:$G$50,5,FALSE)</f>
        <v>National</v>
      </c>
      <c r="BJ39" s="135">
        <f t="shared" si="0"/>
        <v>48</v>
      </c>
      <c r="BK39" s="135" t="str">
        <f t="shared" si="2"/>
        <v>Douglas_F1_Entree 17-18m, densité haute_National_48_</v>
      </c>
      <c r="BL39" s="322"/>
      <c r="BM39" s="13">
        <v>121.59759006666656</v>
      </c>
      <c r="BN39" s="13">
        <v>632.81584227727069</v>
      </c>
      <c r="BP39" s="13">
        <v>323.23</v>
      </c>
      <c r="BQ39" s="13">
        <v>23.400624972928199</v>
      </c>
      <c r="BT39" s="298" t="str">
        <f>+VLOOKUP(G39,Liste!$A$7:$H$50,8,FALSE)</f>
        <v>Résineux</v>
      </c>
      <c r="BU39" s="298">
        <f t="shared" si="3"/>
        <v>0</v>
      </c>
      <c r="BV39" s="300">
        <f t="shared" si="4"/>
        <v>1</v>
      </c>
      <c r="BW39" s="321">
        <v>0</v>
      </c>
      <c r="BX39" s="298">
        <f t="shared" si="5"/>
        <v>0.43</v>
      </c>
      <c r="BY39">
        <f t="shared" si="6"/>
        <v>0</v>
      </c>
      <c r="BZ39" s="304">
        <f t="shared" si="7"/>
        <v>0</v>
      </c>
      <c r="CB39" s="299">
        <v>0.6</v>
      </c>
      <c r="CC39" s="299">
        <v>0.4</v>
      </c>
      <c r="CD39">
        <f t="shared" si="8"/>
        <v>0</v>
      </c>
      <c r="CE39">
        <f t="shared" si="9"/>
        <v>0</v>
      </c>
      <c r="CF39">
        <f t="shared" si="10"/>
        <v>0</v>
      </c>
      <c r="CG39">
        <f t="shared" si="11"/>
        <v>0</v>
      </c>
      <c r="CH39">
        <f t="shared" si="12"/>
        <v>0</v>
      </c>
      <c r="CI39">
        <f t="shared" si="13"/>
        <v>0</v>
      </c>
      <c r="CJ39">
        <f t="shared" si="14"/>
        <v>0</v>
      </c>
      <c r="CK39">
        <f t="shared" si="15"/>
        <v>0</v>
      </c>
      <c r="CL39">
        <f t="shared" si="16"/>
        <v>0</v>
      </c>
      <c r="CM39">
        <f t="shared" si="26"/>
        <v>0</v>
      </c>
      <c r="CN39">
        <f t="shared" si="18"/>
        <v>0</v>
      </c>
      <c r="CO39">
        <f t="shared" si="1"/>
        <v>0</v>
      </c>
    </row>
    <row r="40" spans="1:93" s="12" customFormat="1" ht="14.65" customHeight="1" x14ac:dyDescent="0.25">
      <c r="A40" s="4">
        <v>2020</v>
      </c>
      <c r="B40" s="4"/>
      <c r="C40" s="4" t="s">
        <v>62</v>
      </c>
      <c r="D40" s="4" t="s">
        <v>63</v>
      </c>
      <c r="E40" s="4"/>
      <c r="F40" s="4" t="s">
        <v>90</v>
      </c>
      <c r="G40" s="5" t="s">
        <v>8</v>
      </c>
      <c r="H40" s="5" t="s">
        <v>11</v>
      </c>
      <c r="I40" s="5" t="s">
        <v>12</v>
      </c>
      <c r="J40" s="5" t="s">
        <v>9</v>
      </c>
      <c r="K40" s="5">
        <v>40</v>
      </c>
      <c r="L40" s="5" t="s">
        <v>190</v>
      </c>
      <c r="M40" s="5">
        <v>1666</v>
      </c>
      <c r="N40" s="5" t="s">
        <v>171</v>
      </c>
      <c r="O40" s="6" t="s">
        <v>81</v>
      </c>
      <c r="P40" s="6" t="s">
        <v>83</v>
      </c>
      <c r="Q40" s="6"/>
      <c r="R40" s="6"/>
      <c r="S40" s="6">
        <v>17</v>
      </c>
      <c r="T40" s="6">
        <v>15.63</v>
      </c>
      <c r="U40" s="6">
        <v>1600</v>
      </c>
      <c r="V40" s="6">
        <v>27.89</v>
      </c>
      <c r="W40" s="6">
        <v>30</v>
      </c>
      <c r="X40" s="6">
        <v>428</v>
      </c>
      <c r="Y40" s="6">
        <v>863</v>
      </c>
      <c r="Z40" s="6">
        <v>267</v>
      </c>
      <c r="AA40" s="6">
        <v>12</v>
      </c>
      <c r="AB40" s="6">
        <v>0</v>
      </c>
      <c r="AC40" s="7">
        <v>48</v>
      </c>
      <c r="AD40" s="7" t="s">
        <v>53</v>
      </c>
      <c r="AE40" s="7">
        <v>39.03</v>
      </c>
      <c r="AF40" s="7">
        <v>218</v>
      </c>
      <c r="AG40" s="7">
        <v>35.700000000000003</v>
      </c>
      <c r="AH40" s="7">
        <v>45.66</v>
      </c>
      <c r="AI40" s="7">
        <v>49.66</v>
      </c>
      <c r="AJ40" s="9">
        <v>459.98508654497698</v>
      </c>
      <c r="AK40" s="9">
        <v>466.66023660000002</v>
      </c>
      <c r="AL40" s="9">
        <v>576.87840100517894</v>
      </c>
      <c r="AM40" s="9">
        <v>80.934313952237801</v>
      </c>
      <c r="AN40" s="9">
        <v>1.68613154067162</v>
      </c>
      <c r="AO40" s="9">
        <v>1.11413083725346</v>
      </c>
      <c r="AP40" s="9">
        <v>1099.01326536183</v>
      </c>
      <c r="AQ40" s="9">
        <v>22.896109695038199</v>
      </c>
      <c r="AR40" s="9">
        <v>26.069461586129101</v>
      </c>
      <c r="AS40" s="73">
        <v>51</v>
      </c>
      <c r="AT40" s="8">
        <v>6.5999999999999943</v>
      </c>
      <c r="AU40" s="10">
        <v>40.592139186977015</v>
      </c>
      <c r="AV40" s="10">
        <v>84.192680711146977</v>
      </c>
      <c r="AW40" s="8">
        <v>0.82</v>
      </c>
      <c r="AX40" s="74">
        <v>1.6508368766891564</v>
      </c>
      <c r="AY40" s="314">
        <f t="shared" si="19"/>
        <v>0</v>
      </c>
      <c r="AZ40" s="314">
        <f t="shared" si="20"/>
        <v>0.91900789075703981</v>
      </c>
      <c r="BA40" s="315">
        <f t="shared" si="21"/>
        <v>7.6328219205725523E-2</v>
      </c>
      <c r="BB40" s="10">
        <f t="shared" si="22"/>
        <v>36.373394195031835</v>
      </c>
      <c r="BC40" s="10">
        <f t="shared" si="23"/>
        <v>11.489964804662193</v>
      </c>
      <c r="BD40" s="10">
        <f t="shared" si="24"/>
        <v>7.4940647796050257</v>
      </c>
      <c r="BE40" s="10">
        <f t="shared" si="25"/>
        <v>27.122162223971518</v>
      </c>
      <c r="BF40" s="12">
        <v>0.43</v>
      </c>
      <c r="BG40" s="13">
        <v>432.03384913333338</v>
      </c>
      <c r="BH40" s="96" t="str">
        <f>+VLOOKUP(G40,Liste!$A$7:$G$50,3,FALSE)</f>
        <v>Douglas</v>
      </c>
      <c r="BI40" s="96" t="str">
        <f>+VLOOKUP(H40,Liste!$B$7:$G$50,5,FALSE)</f>
        <v>National</v>
      </c>
      <c r="BJ40" s="135">
        <f t="shared" si="0"/>
        <v>48</v>
      </c>
      <c r="BK40" s="135" t="str">
        <f t="shared" si="2"/>
        <v>Douglas_F1_Entree 17-18m, densité haute_National_48_</v>
      </c>
      <c r="BL40" s="322"/>
      <c r="BM40" s="13">
        <v>104.79580576666666</v>
      </c>
      <c r="BN40" s="13">
        <v>536.82965485738964</v>
      </c>
      <c r="BO40" s="13">
        <v>95.986187419881048</v>
      </c>
      <c r="BP40" s="13">
        <v>323.23</v>
      </c>
      <c r="BQ40" s="13">
        <v>23.400624972928199</v>
      </c>
      <c r="BT40" s="298" t="str">
        <f>+VLOOKUP(G40,Liste!$A$7:$H$50,8,FALSE)</f>
        <v>Résineux</v>
      </c>
      <c r="BU40" s="298">
        <f t="shared" si="3"/>
        <v>0</v>
      </c>
      <c r="BV40" s="300">
        <f t="shared" si="4"/>
        <v>1</v>
      </c>
      <c r="BW40" s="321">
        <v>0</v>
      </c>
      <c r="BX40" s="298">
        <f t="shared" si="5"/>
        <v>0.43</v>
      </c>
      <c r="BY40">
        <f t="shared" si="6"/>
        <v>0</v>
      </c>
      <c r="BZ40" s="304">
        <f t="shared" si="7"/>
        <v>0</v>
      </c>
      <c r="CB40" s="299">
        <v>0.6</v>
      </c>
      <c r="CC40" s="299">
        <v>0.4</v>
      </c>
      <c r="CD40">
        <f t="shared" si="8"/>
        <v>0</v>
      </c>
      <c r="CE40">
        <f t="shared" si="9"/>
        <v>0</v>
      </c>
      <c r="CF40">
        <f t="shared" si="10"/>
        <v>0</v>
      </c>
      <c r="CG40">
        <f t="shared" si="11"/>
        <v>0</v>
      </c>
      <c r="CH40">
        <f t="shared" si="12"/>
        <v>0</v>
      </c>
      <c r="CI40">
        <f t="shared" si="13"/>
        <v>0</v>
      </c>
      <c r="CJ40">
        <f t="shared" si="14"/>
        <v>0</v>
      </c>
      <c r="CK40">
        <f t="shared" si="15"/>
        <v>0</v>
      </c>
      <c r="CL40">
        <f t="shared" si="16"/>
        <v>0</v>
      </c>
      <c r="CM40">
        <f t="shared" si="26"/>
        <v>0</v>
      </c>
      <c r="CN40">
        <f t="shared" si="18"/>
        <v>0</v>
      </c>
      <c r="CO40">
        <f t="shared" si="1"/>
        <v>0</v>
      </c>
    </row>
    <row r="41" spans="1:93" s="12" customFormat="1" ht="14.65" customHeight="1" x14ac:dyDescent="0.25">
      <c r="A41" s="4">
        <v>2020</v>
      </c>
      <c r="B41" s="4"/>
      <c r="C41" s="4" t="s">
        <v>62</v>
      </c>
      <c r="D41" s="4" t="s">
        <v>63</v>
      </c>
      <c r="E41" s="4"/>
      <c r="F41" s="4" t="s">
        <v>90</v>
      </c>
      <c r="G41" s="5" t="s">
        <v>8</v>
      </c>
      <c r="H41" s="5" t="s">
        <v>11</v>
      </c>
      <c r="I41" s="5" t="s">
        <v>12</v>
      </c>
      <c r="J41" s="5" t="s">
        <v>9</v>
      </c>
      <c r="K41" s="5">
        <v>40</v>
      </c>
      <c r="L41" s="5" t="s">
        <v>190</v>
      </c>
      <c r="M41" s="5">
        <v>1666</v>
      </c>
      <c r="N41" s="5" t="s">
        <v>171</v>
      </c>
      <c r="O41" s="6" t="s">
        <v>81</v>
      </c>
      <c r="P41" s="6" t="s">
        <v>83</v>
      </c>
      <c r="Q41" s="6"/>
      <c r="R41" s="6"/>
      <c r="S41" s="6">
        <v>17</v>
      </c>
      <c r="T41" s="6">
        <v>15.63</v>
      </c>
      <c r="U41" s="6">
        <v>1600</v>
      </c>
      <c r="V41" s="6">
        <v>27.89</v>
      </c>
      <c r="W41" s="6">
        <v>30</v>
      </c>
      <c r="X41" s="6">
        <v>428</v>
      </c>
      <c r="Y41" s="6">
        <v>863</v>
      </c>
      <c r="Z41" s="6">
        <v>267</v>
      </c>
      <c r="AA41" s="6">
        <v>12</v>
      </c>
      <c r="AB41" s="6">
        <v>0</v>
      </c>
      <c r="AC41" s="7">
        <v>49</v>
      </c>
      <c r="AD41" s="7" t="s">
        <v>52</v>
      </c>
      <c r="AE41" s="7">
        <v>39.64</v>
      </c>
      <c r="AF41" s="7">
        <v>218</v>
      </c>
      <c r="AG41" s="7">
        <v>36.82</v>
      </c>
      <c r="AH41" s="7">
        <v>46.37</v>
      </c>
      <c r="AI41" s="7">
        <v>50.44</v>
      </c>
      <c r="AJ41" s="9">
        <v>480.84090986767302</v>
      </c>
      <c r="AK41" s="9">
        <v>487.90372710000003</v>
      </c>
      <c r="AL41" s="9">
        <v>602.94786259130797</v>
      </c>
      <c r="AM41" s="9">
        <v>82.048444789491299</v>
      </c>
      <c r="AN41" s="9">
        <v>1.67445805692839</v>
      </c>
      <c r="AO41" s="9">
        <v>1.10607277776072</v>
      </c>
      <c r="AP41" s="9">
        <v>1125.0827269479601</v>
      </c>
      <c r="AQ41" s="9">
        <v>22.960871978529902</v>
      </c>
      <c r="AR41" s="9">
        <v>26.283373363555501</v>
      </c>
      <c r="AS41" s="73" t="s">
        <v>169</v>
      </c>
      <c r="AT41" s="8"/>
      <c r="AU41" s="10" t="s">
        <v>169</v>
      </c>
      <c r="AV41" s="10">
        <v>0</v>
      </c>
      <c r="AW41" s="8"/>
      <c r="AX41" s="74" t="s">
        <v>169</v>
      </c>
      <c r="AY41" s="314" t="str">
        <f t="shared" si="19"/>
        <v/>
      </c>
      <c r="AZ41" s="314" t="str">
        <f t="shared" si="20"/>
        <v/>
      </c>
      <c r="BA41" s="315" t="str">
        <f t="shared" si="21"/>
        <v/>
      </c>
      <c r="BB41" s="10" t="str">
        <f t="shared" si="22"/>
        <v/>
      </c>
      <c r="BC41" s="10" t="str">
        <f t="shared" si="23"/>
        <v/>
      </c>
      <c r="BD41" s="10" t="str">
        <f t="shared" si="24"/>
        <v/>
      </c>
      <c r="BE41" s="10" t="str">
        <f t="shared" si="25"/>
        <v/>
      </c>
      <c r="BF41" s="12">
        <v>0.43</v>
      </c>
      <c r="BG41" s="13">
        <v>451.55770329999996</v>
      </c>
      <c r="BH41" s="96" t="str">
        <f>+VLOOKUP(G41,Liste!$A$7:$G$50,3,FALSE)</f>
        <v>Douglas</v>
      </c>
      <c r="BI41" s="96" t="str">
        <f>+VLOOKUP(H41,Liste!$B$7:$G$50,5,FALSE)</f>
        <v>National</v>
      </c>
      <c r="BJ41" s="135">
        <f t="shared" si="0"/>
        <v>49</v>
      </c>
      <c r="BK41" s="135" t="str">
        <f t="shared" si="2"/>
        <v>Douglas_F1_Entree 17-18m, densité haute_National_49_</v>
      </c>
      <c r="BL41" s="322"/>
      <c r="BM41" s="13">
        <v>108.9695177000001</v>
      </c>
      <c r="BN41" s="13">
        <v>560.52722099237235</v>
      </c>
      <c r="BP41" s="13">
        <v>323.23</v>
      </c>
      <c r="BQ41" s="13">
        <v>23.582066563069901</v>
      </c>
      <c r="BT41" s="298" t="str">
        <f>+VLOOKUP(G41,Liste!$A$7:$H$50,8,FALSE)</f>
        <v>Résineux</v>
      </c>
      <c r="BU41" s="298">
        <f t="shared" si="3"/>
        <v>0</v>
      </c>
      <c r="BV41" s="300">
        <f t="shared" si="4"/>
        <v>1</v>
      </c>
      <c r="BW41" s="321">
        <v>0</v>
      </c>
      <c r="BX41" s="298">
        <f t="shared" si="5"/>
        <v>0.43</v>
      </c>
      <c r="BY41">
        <f t="shared" si="6"/>
        <v>0</v>
      </c>
      <c r="BZ41" s="304">
        <f t="shared" si="7"/>
        <v>0</v>
      </c>
      <c r="CB41" s="299">
        <v>0.6</v>
      </c>
      <c r="CC41" s="299">
        <v>0.4</v>
      </c>
      <c r="CD41">
        <f t="shared" si="8"/>
        <v>0</v>
      </c>
      <c r="CE41">
        <f t="shared" si="9"/>
        <v>0</v>
      </c>
      <c r="CF41">
        <f t="shared" si="10"/>
        <v>0</v>
      </c>
      <c r="CG41">
        <f t="shared" si="11"/>
        <v>0</v>
      </c>
      <c r="CH41">
        <f t="shared" si="12"/>
        <v>0</v>
      </c>
      <c r="CI41">
        <f t="shared" si="13"/>
        <v>0</v>
      </c>
      <c r="CJ41">
        <f t="shared" si="14"/>
        <v>0</v>
      </c>
      <c r="CK41">
        <f t="shared" si="15"/>
        <v>0</v>
      </c>
      <c r="CL41">
        <f t="shared" si="16"/>
        <v>0</v>
      </c>
      <c r="CM41">
        <f t="shared" si="26"/>
        <v>0</v>
      </c>
      <c r="CN41">
        <f t="shared" si="18"/>
        <v>0</v>
      </c>
      <c r="CO41">
        <f t="shared" si="1"/>
        <v>0</v>
      </c>
    </row>
    <row r="42" spans="1:93" s="12" customFormat="1" ht="14.65" customHeight="1" x14ac:dyDescent="0.25">
      <c r="A42" s="4">
        <v>2020</v>
      </c>
      <c r="B42" s="4"/>
      <c r="C42" s="4" t="s">
        <v>62</v>
      </c>
      <c r="D42" s="4" t="s">
        <v>63</v>
      </c>
      <c r="E42" s="4"/>
      <c r="F42" s="4" t="s">
        <v>90</v>
      </c>
      <c r="G42" s="5" t="s">
        <v>8</v>
      </c>
      <c r="H42" s="5" t="s">
        <v>11</v>
      </c>
      <c r="I42" s="5" t="s">
        <v>12</v>
      </c>
      <c r="J42" s="5" t="s">
        <v>9</v>
      </c>
      <c r="K42" s="5">
        <v>40</v>
      </c>
      <c r="L42" s="5" t="s">
        <v>190</v>
      </c>
      <c r="M42" s="5">
        <v>1666</v>
      </c>
      <c r="N42" s="5" t="s">
        <v>171</v>
      </c>
      <c r="O42" s="6" t="s">
        <v>81</v>
      </c>
      <c r="P42" s="6" t="s">
        <v>83</v>
      </c>
      <c r="Q42" s="6"/>
      <c r="R42" s="6"/>
      <c r="S42" s="6">
        <v>17</v>
      </c>
      <c r="T42" s="6">
        <v>15.63</v>
      </c>
      <c r="U42" s="6">
        <v>1600</v>
      </c>
      <c r="V42" s="6">
        <v>27.89</v>
      </c>
      <c r="W42" s="6">
        <v>30</v>
      </c>
      <c r="X42" s="6">
        <v>428</v>
      </c>
      <c r="Y42" s="6">
        <v>863</v>
      </c>
      <c r="Z42" s="6">
        <v>267</v>
      </c>
      <c r="AA42" s="6">
        <v>12</v>
      </c>
      <c r="AB42" s="6">
        <v>0</v>
      </c>
      <c r="AC42" s="7">
        <v>50</v>
      </c>
      <c r="AD42" s="7" t="s">
        <v>52</v>
      </c>
      <c r="AE42" s="7">
        <v>40.25</v>
      </c>
      <c r="AF42" s="7">
        <v>218</v>
      </c>
      <c r="AG42" s="7">
        <v>37.92</v>
      </c>
      <c r="AH42" s="7">
        <v>47.06</v>
      </c>
      <c r="AI42" s="7">
        <v>51.2</v>
      </c>
      <c r="AJ42" s="9">
        <v>501.86765679816102</v>
      </c>
      <c r="AK42" s="9">
        <v>509.3248127</v>
      </c>
      <c r="AL42" s="9">
        <v>629.23123595486402</v>
      </c>
      <c r="AM42" s="9">
        <v>83.154517567252</v>
      </c>
      <c r="AN42" s="9">
        <v>1.6630903513450399</v>
      </c>
      <c r="AO42" s="9">
        <v>1.0962179000576999</v>
      </c>
      <c r="AP42" s="9">
        <v>1151.3661003115201</v>
      </c>
      <c r="AQ42" s="9">
        <v>23.027322006230399</v>
      </c>
      <c r="AR42" s="9">
        <v>26.591285330216099</v>
      </c>
      <c r="AS42" s="73" t="s">
        <v>169</v>
      </c>
      <c r="AT42" s="8"/>
      <c r="AU42" s="10" t="s">
        <v>169</v>
      </c>
      <c r="AV42" s="10">
        <v>0</v>
      </c>
      <c r="AW42" s="8"/>
      <c r="AX42" s="74" t="s">
        <v>169</v>
      </c>
      <c r="AY42" s="314" t="str">
        <f t="shared" si="19"/>
        <v/>
      </c>
      <c r="AZ42" s="314" t="str">
        <f t="shared" si="20"/>
        <v/>
      </c>
      <c r="BA42" s="315" t="str">
        <f t="shared" si="21"/>
        <v/>
      </c>
      <c r="BB42" s="10" t="str">
        <f t="shared" si="22"/>
        <v/>
      </c>
      <c r="BC42" s="10" t="str">
        <f t="shared" si="23"/>
        <v/>
      </c>
      <c r="BD42" s="10" t="str">
        <f t="shared" si="24"/>
        <v/>
      </c>
      <c r="BE42" s="10" t="str">
        <f t="shared" si="25"/>
        <v/>
      </c>
      <c r="BF42" s="12">
        <v>0.43</v>
      </c>
      <c r="BG42" s="13">
        <v>471.24175963333329</v>
      </c>
      <c r="BH42" s="96" t="str">
        <f>+VLOOKUP(G42,Liste!$A$7:$G$50,3,FALSE)</f>
        <v>Douglas</v>
      </c>
      <c r="BI42" s="96" t="str">
        <f>+VLOOKUP(H42,Liste!$B$7:$G$50,5,FALSE)</f>
        <v>National</v>
      </c>
      <c r="BJ42" s="135">
        <f t="shared" si="0"/>
        <v>50</v>
      </c>
      <c r="BK42" s="135" t="str">
        <f t="shared" si="2"/>
        <v>Douglas_F1_Entree 17-18m, densité haute_National_50_</v>
      </c>
      <c r="BL42" s="322"/>
      <c r="BM42" s="13">
        <v>113.15626146666676</v>
      </c>
      <c r="BN42" s="13">
        <v>584.39802111428469</v>
      </c>
      <c r="BP42" s="13">
        <v>323.23</v>
      </c>
      <c r="BQ42" s="13">
        <v>23.847806120021499</v>
      </c>
      <c r="BT42" s="298" t="str">
        <f>+VLOOKUP(G42,Liste!$A$7:$H$50,8,FALSE)</f>
        <v>Résineux</v>
      </c>
      <c r="BU42" s="298">
        <f t="shared" si="3"/>
        <v>0</v>
      </c>
      <c r="BV42" s="300">
        <f t="shared" si="4"/>
        <v>1</v>
      </c>
      <c r="BW42" s="321">
        <v>0</v>
      </c>
      <c r="BX42" s="298">
        <f t="shared" si="5"/>
        <v>0.43</v>
      </c>
      <c r="BY42">
        <f t="shared" si="6"/>
        <v>0</v>
      </c>
      <c r="BZ42" s="304">
        <f t="shared" si="7"/>
        <v>0</v>
      </c>
      <c r="CB42" s="299">
        <v>0.6</v>
      </c>
      <c r="CC42" s="299">
        <v>0.4</v>
      </c>
      <c r="CD42">
        <f t="shared" si="8"/>
        <v>0</v>
      </c>
      <c r="CE42">
        <f t="shared" si="9"/>
        <v>0</v>
      </c>
      <c r="CF42">
        <f t="shared" si="10"/>
        <v>0</v>
      </c>
      <c r="CG42">
        <f t="shared" si="11"/>
        <v>0</v>
      </c>
      <c r="CH42">
        <f t="shared" si="12"/>
        <v>0</v>
      </c>
      <c r="CI42">
        <f t="shared" si="13"/>
        <v>0</v>
      </c>
      <c r="CJ42">
        <f t="shared" si="14"/>
        <v>0</v>
      </c>
      <c r="CK42">
        <f t="shared" si="15"/>
        <v>0</v>
      </c>
      <c r="CL42">
        <f t="shared" si="16"/>
        <v>0</v>
      </c>
      <c r="CM42">
        <f t="shared" si="26"/>
        <v>0</v>
      </c>
      <c r="CN42">
        <f t="shared" si="18"/>
        <v>0</v>
      </c>
      <c r="CO42">
        <f t="shared" si="1"/>
        <v>0</v>
      </c>
    </row>
    <row r="43" spans="1:93" s="12" customFormat="1" ht="14.65" customHeight="1" x14ac:dyDescent="0.25">
      <c r="A43" s="4">
        <v>2020</v>
      </c>
      <c r="B43" s="4"/>
      <c r="C43" s="4" t="s">
        <v>62</v>
      </c>
      <c r="D43" s="4" t="s">
        <v>63</v>
      </c>
      <c r="E43" s="4"/>
      <c r="F43" s="4" t="s">
        <v>90</v>
      </c>
      <c r="G43" s="5" t="s">
        <v>8</v>
      </c>
      <c r="H43" s="5" t="s">
        <v>11</v>
      </c>
      <c r="I43" s="5" t="s">
        <v>12</v>
      </c>
      <c r="J43" s="5" t="s">
        <v>9</v>
      </c>
      <c r="K43" s="5">
        <v>40</v>
      </c>
      <c r="L43" s="5" t="s">
        <v>190</v>
      </c>
      <c r="M43" s="5">
        <v>1666</v>
      </c>
      <c r="N43" s="5" t="s">
        <v>171</v>
      </c>
      <c r="O43" s="6" t="s">
        <v>81</v>
      </c>
      <c r="P43" s="6" t="s">
        <v>83</v>
      </c>
      <c r="Q43" s="6"/>
      <c r="R43" s="6"/>
      <c r="S43" s="6">
        <v>17</v>
      </c>
      <c r="T43" s="6">
        <v>15.63</v>
      </c>
      <c r="U43" s="6">
        <v>1600</v>
      </c>
      <c r="V43" s="6">
        <v>27.89</v>
      </c>
      <c r="W43" s="6">
        <v>30</v>
      </c>
      <c r="X43" s="6">
        <v>428</v>
      </c>
      <c r="Y43" s="6">
        <v>863</v>
      </c>
      <c r="Z43" s="6">
        <v>267</v>
      </c>
      <c r="AA43" s="6">
        <v>12</v>
      </c>
      <c r="AB43" s="6">
        <v>0</v>
      </c>
      <c r="AC43" s="7">
        <v>51</v>
      </c>
      <c r="AD43" s="7" t="s">
        <v>52</v>
      </c>
      <c r="AE43" s="7">
        <v>40.85</v>
      </c>
      <c r="AF43" s="7">
        <v>218</v>
      </c>
      <c r="AG43" s="7">
        <v>39.020000000000003</v>
      </c>
      <c r="AH43" s="7">
        <v>47.74</v>
      </c>
      <c r="AI43" s="7">
        <v>51.96</v>
      </c>
      <c r="AJ43" s="9">
        <v>523.14021522233702</v>
      </c>
      <c r="AK43" s="9">
        <v>530.99929420000001</v>
      </c>
      <c r="AL43" s="9">
        <v>655.82252128508003</v>
      </c>
      <c r="AM43" s="9">
        <v>84.250735467309696</v>
      </c>
      <c r="AN43" s="9">
        <v>1.6519752052413701</v>
      </c>
      <c r="AO43" s="9">
        <v>1.08846629507431</v>
      </c>
      <c r="AP43" s="9">
        <v>1177.9573856417301</v>
      </c>
      <c r="AQ43" s="9">
        <v>23.097203640034</v>
      </c>
      <c r="AR43" s="9">
        <v>26.826750343960601</v>
      </c>
      <c r="AS43" s="73" t="s">
        <v>169</v>
      </c>
      <c r="AT43" s="8"/>
      <c r="AU43" s="10" t="s">
        <v>169</v>
      </c>
      <c r="AV43" s="10">
        <v>0</v>
      </c>
      <c r="AW43" s="8"/>
      <c r="AX43" s="74" t="s">
        <v>169</v>
      </c>
      <c r="AY43" s="314" t="str">
        <f t="shared" si="19"/>
        <v/>
      </c>
      <c r="AZ43" s="314" t="str">
        <f t="shared" si="20"/>
        <v/>
      </c>
      <c r="BA43" s="315" t="str">
        <f t="shared" si="21"/>
        <v/>
      </c>
      <c r="BB43" s="10" t="str">
        <f t="shared" si="22"/>
        <v/>
      </c>
      <c r="BC43" s="10" t="str">
        <f t="shared" si="23"/>
        <v/>
      </c>
      <c r="BD43" s="10" t="str">
        <f t="shared" si="24"/>
        <v/>
      </c>
      <c r="BE43" s="10" t="str">
        <f t="shared" si="25"/>
        <v/>
      </c>
      <c r="BF43" s="12">
        <v>0.43</v>
      </c>
      <c r="BG43" s="13">
        <v>491.1564166666667</v>
      </c>
      <c r="BH43" s="96" t="str">
        <f>+VLOOKUP(G43,Liste!$A$7:$G$50,3,FALSE)</f>
        <v>Douglas</v>
      </c>
      <c r="BI43" s="96" t="str">
        <f>+VLOOKUP(H43,Liste!$B$7:$G$50,5,FALSE)</f>
        <v>National</v>
      </c>
      <c r="BJ43" s="135">
        <f t="shared" si="0"/>
        <v>51</v>
      </c>
      <c r="BK43" s="135" t="str">
        <f t="shared" si="2"/>
        <v>Douglas_F1_Entree 17-18m, densité haute_National_51_</v>
      </c>
      <c r="BL43" s="322"/>
      <c r="BM43" s="13">
        <v>117.37138513333332</v>
      </c>
      <c r="BN43" s="13">
        <v>608.52780183973073</v>
      </c>
      <c r="BP43" s="13">
        <v>323.23</v>
      </c>
      <c r="BQ43" s="13">
        <v>24.048518783495201</v>
      </c>
      <c r="BT43" s="298" t="str">
        <f>+VLOOKUP(G43,Liste!$A$7:$H$50,8,FALSE)</f>
        <v>Résineux</v>
      </c>
      <c r="BU43" s="298">
        <f t="shared" si="3"/>
        <v>0</v>
      </c>
      <c r="BV43" s="300">
        <f t="shared" si="4"/>
        <v>1</v>
      </c>
      <c r="BW43" s="321">
        <v>0</v>
      </c>
      <c r="BX43" s="298">
        <f t="shared" si="5"/>
        <v>0.43</v>
      </c>
      <c r="BY43">
        <f t="shared" si="6"/>
        <v>0</v>
      </c>
      <c r="BZ43" s="304">
        <f t="shared" si="7"/>
        <v>0</v>
      </c>
      <c r="CB43" s="299">
        <v>0.6</v>
      </c>
      <c r="CC43" s="299">
        <v>0.4</v>
      </c>
      <c r="CD43">
        <f t="shared" si="8"/>
        <v>0</v>
      </c>
      <c r="CE43">
        <f t="shared" si="9"/>
        <v>0</v>
      </c>
      <c r="CF43">
        <f t="shared" si="10"/>
        <v>0</v>
      </c>
      <c r="CG43">
        <f t="shared" si="11"/>
        <v>0</v>
      </c>
      <c r="CH43">
        <f t="shared" si="12"/>
        <v>0</v>
      </c>
      <c r="CI43">
        <f t="shared" si="13"/>
        <v>0</v>
      </c>
      <c r="CJ43">
        <f t="shared" si="14"/>
        <v>0</v>
      </c>
      <c r="CK43">
        <f t="shared" si="15"/>
        <v>0</v>
      </c>
      <c r="CL43">
        <f t="shared" si="16"/>
        <v>0</v>
      </c>
      <c r="CM43">
        <f t="shared" si="26"/>
        <v>0</v>
      </c>
      <c r="CN43">
        <f t="shared" si="18"/>
        <v>0</v>
      </c>
      <c r="CO43">
        <f t="shared" si="1"/>
        <v>0</v>
      </c>
    </row>
    <row r="44" spans="1:93" s="12" customFormat="1" ht="14.65" customHeight="1" x14ac:dyDescent="0.25">
      <c r="A44" s="4">
        <v>2020</v>
      </c>
      <c r="B44" s="4"/>
      <c r="C44" s="4" t="s">
        <v>62</v>
      </c>
      <c r="D44" s="4" t="s">
        <v>63</v>
      </c>
      <c r="E44" s="4"/>
      <c r="F44" s="4" t="s">
        <v>90</v>
      </c>
      <c r="G44" s="5" t="s">
        <v>8</v>
      </c>
      <c r="H44" s="5" t="s">
        <v>11</v>
      </c>
      <c r="I44" s="5" t="s">
        <v>12</v>
      </c>
      <c r="J44" s="5" t="s">
        <v>9</v>
      </c>
      <c r="K44" s="5">
        <v>40</v>
      </c>
      <c r="L44" s="5" t="s">
        <v>190</v>
      </c>
      <c r="M44" s="5">
        <v>1666</v>
      </c>
      <c r="N44" s="5" t="s">
        <v>171</v>
      </c>
      <c r="O44" s="6" t="s">
        <v>81</v>
      </c>
      <c r="P44" s="6" t="s">
        <v>83</v>
      </c>
      <c r="Q44" s="6"/>
      <c r="R44" s="6"/>
      <c r="S44" s="6">
        <v>17</v>
      </c>
      <c r="T44" s="6">
        <v>15.63</v>
      </c>
      <c r="U44" s="6">
        <v>1600</v>
      </c>
      <c r="V44" s="6">
        <v>27.89</v>
      </c>
      <c r="W44" s="6">
        <v>30</v>
      </c>
      <c r="X44" s="6">
        <v>428</v>
      </c>
      <c r="Y44" s="6">
        <v>863</v>
      </c>
      <c r="Z44" s="6">
        <v>267</v>
      </c>
      <c r="AA44" s="6">
        <v>12</v>
      </c>
      <c r="AB44" s="6">
        <v>0</v>
      </c>
      <c r="AC44" s="7">
        <v>52</v>
      </c>
      <c r="AD44" s="7" t="s">
        <v>52</v>
      </c>
      <c r="AE44" s="7">
        <v>41.44</v>
      </c>
      <c r="AF44" s="7">
        <v>218</v>
      </c>
      <c r="AG44" s="7">
        <v>40.11</v>
      </c>
      <c r="AH44" s="7">
        <v>48.4</v>
      </c>
      <c r="AI44" s="7">
        <v>52.69</v>
      </c>
      <c r="AJ44" s="9">
        <v>544.60093444410495</v>
      </c>
      <c r="AK44" s="9">
        <v>552.86873790000004</v>
      </c>
      <c r="AL44" s="9">
        <v>682.64927162904098</v>
      </c>
      <c r="AM44" s="9">
        <v>85.339201762383993</v>
      </c>
      <c r="AN44" s="9">
        <v>1.64113849543046</v>
      </c>
      <c r="AO44" s="9">
        <v>1.0800520732224499</v>
      </c>
      <c r="AP44" s="9">
        <v>1204.7841359857</v>
      </c>
      <c r="AQ44" s="9">
        <v>23.168925692032602</v>
      </c>
      <c r="AR44" s="9">
        <v>26.969483989513702</v>
      </c>
      <c r="AS44" s="73" t="s">
        <v>169</v>
      </c>
      <c r="AT44" s="8"/>
      <c r="AU44" s="10" t="s">
        <v>169</v>
      </c>
      <c r="AV44" s="10">
        <v>0</v>
      </c>
      <c r="AW44" s="8"/>
      <c r="AX44" s="74" t="s">
        <v>169</v>
      </c>
      <c r="AY44" s="314" t="str">
        <f t="shared" si="19"/>
        <v/>
      </c>
      <c r="AZ44" s="314" t="str">
        <f t="shared" si="20"/>
        <v/>
      </c>
      <c r="BA44" s="315" t="str">
        <f t="shared" si="21"/>
        <v/>
      </c>
      <c r="BB44" s="10" t="str">
        <f t="shared" si="22"/>
        <v/>
      </c>
      <c r="BC44" s="10" t="str">
        <f t="shared" si="23"/>
        <v/>
      </c>
      <c r="BD44" s="10" t="str">
        <f t="shared" si="24"/>
        <v/>
      </c>
      <c r="BE44" s="10" t="str">
        <f t="shared" si="25"/>
        <v/>
      </c>
      <c r="BF44" s="12">
        <v>0.43</v>
      </c>
      <c r="BG44" s="13">
        <v>511.24741689999996</v>
      </c>
      <c r="BH44" s="96" t="str">
        <f>+VLOOKUP(G44,Liste!$A$7:$G$50,3,FALSE)</f>
        <v>Douglas</v>
      </c>
      <c r="BI44" s="96" t="str">
        <f>+VLOOKUP(H44,Liste!$B$7:$G$50,5,FALSE)</f>
        <v>National</v>
      </c>
      <c r="BJ44" s="135">
        <f t="shared" si="0"/>
        <v>52</v>
      </c>
      <c r="BK44" s="135" t="str">
        <f t="shared" si="2"/>
        <v>Douglas_F1_Entree 17-18m, densité haute_National_52_</v>
      </c>
      <c r="BL44" s="322"/>
      <c r="BM44" s="13">
        <v>121.60371970000006</v>
      </c>
      <c r="BN44" s="13">
        <v>632.85113658465605</v>
      </c>
      <c r="BP44" s="13">
        <v>323.23</v>
      </c>
      <c r="BQ44" s="13">
        <v>24.1661442373243</v>
      </c>
      <c r="BT44" s="298" t="str">
        <f>+VLOOKUP(G44,Liste!$A$7:$H$50,8,FALSE)</f>
        <v>Résineux</v>
      </c>
      <c r="BU44" s="298">
        <f t="shared" si="3"/>
        <v>0</v>
      </c>
      <c r="BV44" s="300">
        <f t="shared" si="4"/>
        <v>1</v>
      </c>
      <c r="BW44" s="321">
        <v>0</v>
      </c>
      <c r="BX44" s="298">
        <f t="shared" si="5"/>
        <v>0.43</v>
      </c>
      <c r="BY44">
        <f t="shared" si="6"/>
        <v>0</v>
      </c>
      <c r="BZ44" s="304">
        <f t="shared" si="7"/>
        <v>0</v>
      </c>
      <c r="CB44" s="299">
        <v>0.6</v>
      </c>
      <c r="CC44" s="299">
        <v>0.4</v>
      </c>
      <c r="CD44">
        <f t="shared" si="8"/>
        <v>0</v>
      </c>
      <c r="CE44">
        <f t="shared" si="9"/>
        <v>0</v>
      </c>
      <c r="CF44">
        <f t="shared" si="10"/>
        <v>0</v>
      </c>
      <c r="CG44">
        <f t="shared" si="11"/>
        <v>0</v>
      </c>
      <c r="CH44">
        <f t="shared" si="12"/>
        <v>0</v>
      </c>
      <c r="CI44">
        <f t="shared" si="13"/>
        <v>0</v>
      </c>
      <c r="CJ44">
        <f t="shared" si="14"/>
        <v>0</v>
      </c>
      <c r="CK44">
        <f t="shared" si="15"/>
        <v>0</v>
      </c>
      <c r="CL44">
        <f t="shared" si="16"/>
        <v>0</v>
      </c>
      <c r="CM44">
        <f t="shared" si="26"/>
        <v>0</v>
      </c>
      <c r="CN44">
        <f t="shared" si="18"/>
        <v>0</v>
      </c>
      <c r="CO44">
        <f t="shared" si="1"/>
        <v>0</v>
      </c>
    </row>
    <row r="45" spans="1:93" s="12" customFormat="1" ht="14.65" customHeight="1" x14ac:dyDescent="0.25">
      <c r="A45" s="4">
        <v>2020</v>
      </c>
      <c r="B45" s="4"/>
      <c r="C45" s="4" t="s">
        <v>62</v>
      </c>
      <c r="D45" s="4" t="s">
        <v>63</v>
      </c>
      <c r="E45" s="4"/>
      <c r="F45" s="4" t="s">
        <v>90</v>
      </c>
      <c r="G45" s="5" t="s">
        <v>8</v>
      </c>
      <c r="H45" s="5" t="s">
        <v>11</v>
      </c>
      <c r="I45" s="5" t="s">
        <v>12</v>
      </c>
      <c r="J45" s="5" t="s">
        <v>9</v>
      </c>
      <c r="K45" s="5">
        <v>40</v>
      </c>
      <c r="L45" s="5" t="s">
        <v>190</v>
      </c>
      <c r="M45" s="5">
        <v>1666</v>
      </c>
      <c r="N45" s="5" t="s">
        <v>171</v>
      </c>
      <c r="O45" s="6" t="s">
        <v>81</v>
      </c>
      <c r="P45" s="6" t="s">
        <v>83</v>
      </c>
      <c r="Q45" s="6"/>
      <c r="R45" s="6"/>
      <c r="S45" s="6">
        <v>17</v>
      </c>
      <c r="T45" s="6">
        <v>15.63</v>
      </c>
      <c r="U45" s="6">
        <v>1600</v>
      </c>
      <c r="V45" s="6">
        <v>27.89</v>
      </c>
      <c r="W45" s="6">
        <v>30</v>
      </c>
      <c r="X45" s="6">
        <v>428</v>
      </c>
      <c r="Y45" s="6">
        <v>863</v>
      </c>
      <c r="Z45" s="6">
        <v>267</v>
      </c>
      <c r="AA45" s="6">
        <v>12</v>
      </c>
      <c r="AB45" s="6">
        <v>0</v>
      </c>
      <c r="AC45" s="7">
        <v>53</v>
      </c>
      <c r="AD45" s="7" t="s">
        <v>52</v>
      </c>
      <c r="AE45" s="7">
        <v>42.02</v>
      </c>
      <c r="AF45" s="7">
        <v>218</v>
      </c>
      <c r="AG45" s="7">
        <v>41.19</v>
      </c>
      <c r="AH45" s="7">
        <v>49.05</v>
      </c>
      <c r="AI45" s="7">
        <v>53.42</v>
      </c>
      <c r="AJ45" s="9">
        <v>566.17585568203503</v>
      </c>
      <c r="AK45" s="9">
        <v>574.8580551</v>
      </c>
      <c r="AL45" s="9">
        <v>709.61875561855402</v>
      </c>
      <c r="AM45" s="9">
        <v>86.419253835606398</v>
      </c>
      <c r="AN45" s="9">
        <v>1.63055195916239</v>
      </c>
      <c r="AO45" s="9">
        <v>1.0725753890121701</v>
      </c>
      <c r="AP45" s="9">
        <v>1231.7536199752101</v>
      </c>
      <c r="AQ45" s="9">
        <v>23.240634339154902</v>
      </c>
      <c r="AR45" s="9">
        <v>27.2216783134234</v>
      </c>
      <c r="AS45" s="73" t="s">
        <v>169</v>
      </c>
      <c r="AT45" s="8"/>
      <c r="AU45" s="10" t="s">
        <v>169</v>
      </c>
      <c r="AV45" s="10">
        <v>0</v>
      </c>
      <c r="AW45" s="8"/>
      <c r="AX45" s="74" t="s">
        <v>169</v>
      </c>
      <c r="AY45" s="314" t="str">
        <f t="shared" si="19"/>
        <v/>
      </c>
      <c r="AZ45" s="314" t="str">
        <f t="shared" si="20"/>
        <v/>
      </c>
      <c r="BA45" s="315" t="str">
        <f t="shared" si="21"/>
        <v/>
      </c>
      <c r="BB45" s="10" t="str">
        <f t="shared" si="22"/>
        <v/>
      </c>
      <c r="BC45" s="10" t="str">
        <f t="shared" si="23"/>
        <v/>
      </c>
      <c r="BD45" s="10" t="str">
        <f t="shared" si="24"/>
        <v/>
      </c>
      <c r="BE45" s="10" t="str">
        <f t="shared" si="25"/>
        <v/>
      </c>
      <c r="BF45" s="12">
        <v>0.43</v>
      </c>
      <c r="BG45" s="13">
        <v>531.44531293333341</v>
      </c>
      <c r="BH45" s="96" t="str">
        <f>+VLOOKUP(G45,Liste!$A$7:$G$50,3,FALSE)</f>
        <v>Douglas</v>
      </c>
      <c r="BI45" s="96" t="str">
        <f>+VLOOKUP(H45,Liste!$B$7:$G$50,5,FALSE)</f>
        <v>National</v>
      </c>
      <c r="BJ45" s="135">
        <f t="shared" si="0"/>
        <v>53</v>
      </c>
      <c r="BK45" s="135" t="str">
        <f t="shared" si="2"/>
        <v>Douglas_F1_Entree 17-18m, densité haute_National_53_</v>
      </c>
      <c r="BL45" s="322"/>
      <c r="BM45" s="13">
        <v>125.83909846666654</v>
      </c>
      <c r="BN45" s="13">
        <v>657.28441143374164</v>
      </c>
      <c r="BP45" s="13">
        <v>323.23</v>
      </c>
      <c r="BQ45" s="13">
        <v>24.381881437152099</v>
      </c>
      <c r="BT45" s="298" t="str">
        <f>+VLOOKUP(G45,Liste!$A$7:$H$50,8,FALSE)</f>
        <v>Résineux</v>
      </c>
      <c r="BU45" s="298">
        <f t="shared" si="3"/>
        <v>0</v>
      </c>
      <c r="BV45" s="300">
        <f t="shared" si="4"/>
        <v>1</v>
      </c>
      <c r="BW45" s="321">
        <v>0</v>
      </c>
      <c r="BX45" s="298">
        <f t="shared" si="5"/>
        <v>0.43</v>
      </c>
      <c r="BY45">
        <f t="shared" si="6"/>
        <v>0</v>
      </c>
      <c r="BZ45" s="304">
        <f t="shared" si="7"/>
        <v>0</v>
      </c>
      <c r="CB45" s="299">
        <v>0.6</v>
      </c>
      <c r="CC45" s="299">
        <v>0.4</v>
      </c>
      <c r="CD45">
        <f t="shared" si="8"/>
        <v>0</v>
      </c>
      <c r="CE45">
        <f t="shared" si="9"/>
        <v>0</v>
      </c>
      <c r="CF45">
        <f t="shared" si="10"/>
        <v>0</v>
      </c>
      <c r="CG45">
        <f t="shared" si="11"/>
        <v>0</v>
      </c>
      <c r="CH45">
        <f t="shared" si="12"/>
        <v>0</v>
      </c>
      <c r="CI45">
        <f t="shared" si="13"/>
        <v>0</v>
      </c>
      <c r="CJ45">
        <f t="shared" si="14"/>
        <v>0</v>
      </c>
      <c r="CK45">
        <f t="shared" si="15"/>
        <v>0</v>
      </c>
      <c r="CL45">
        <f t="shared" si="16"/>
        <v>0</v>
      </c>
      <c r="CM45">
        <f t="shared" si="26"/>
        <v>0</v>
      </c>
      <c r="CN45">
        <f t="shared" si="18"/>
        <v>0</v>
      </c>
      <c r="CO45">
        <f t="shared" si="1"/>
        <v>0</v>
      </c>
    </row>
    <row r="46" spans="1:93" s="12" customFormat="1" ht="14.65" customHeight="1" x14ac:dyDescent="0.25">
      <c r="A46" s="4">
        <v>2020</v>
      </c>
      <c r="B46" s="4"/>
      <c r="C46" s="4" t="s">
        <v>62</v>
      </c>
      <c r="D46" s="4" t="s">
        <v>63</v>
      </c>
      <c r="E46" s="4"/>
      <c r="F46" s="4" t="s">
        <v>90</v>
      </c>
      <c r="G46" s="5" t="s">
        <v>8</v>
      </c>
      <c r="H46" s="5" t="s">
        <v>11</v>
      </c>
      <c r="I46" s="5" t="s">
        <v>12</v>
      </c>
      <c r="J46" s="5" t="s">
        <v>9</v>
      </c>
      <c r="K46" s="5">
        <v>40</v>
      </c>
      <c r="L46" s="5" t="s">
        <v>190</v>
      </c>
      <c r="M46" s="5">
        <v>1666</v>
      </c>
      <c r="N46" s="5" t="s">
        <v>171</v>
      </c>
      <c r="O46" s="6" t="s">
        <v>81</v>
      </c>
      <c r="P46" s="6" t="s">
        <v>83</v>
      </c>
      <c r="Q46" s="6"/>
      <c r="R46" s="6"/>
      <c r="S46" s="6">
        <v>17</v>
      </c>
      <c r="T46" s="6">
        <v>15.63</v>
      </c>
      <c r="U46" s="6">
        <v>1600</v>
      </c>
      <c r="V46" s="6">
        <v>27.89</v>
      </c>
      <c r="W46" s="6">
        <v>30</v>
      </c>
      <c r="X46" s="6">
        <v>428</v>
      </c>
      <c r="Y46" s="6">
        <v>863</v>
      </c>
      <c r="Z46" s="6">
        <v>267</v>
      </c>
      <c r="AA46" s="6">
        <v>12</v>
      </c>
      <c r="AB46" s="6">
        <v>0</v>
      </c>
      <c r="AC46" s="7">
        <v>54</v>
      </c>
      <c r="AD46" s="7" t="s">
        <v>52</v>
      </c>
      <c r="AE46" s="7">
        <v>42.59</v>
      </c>
      <c r="AF46" s="7">
        <v>218</v>
      </c>
      <c r="AG46" s="7">
        <v>42.26</v>
      </c>
      <c r="AH46" s="7">
        <v>49.68</v>
      </c>
      <c r="AI46" s="7">
        <v>54.13</v>
      </c>
      <c r="AJ46" s="9">
        <v>587.95222742380304</v>
      </c>
      <c r="AK46" s="9">
        <v>597.05555100000004</v>
      </c>
      <c r="AL46" s="9">
        <v>736.84043393197805</v>
      </c>
      <c r="AM46" s="9">
        <v>87.491829224618598</v>
      </c>
      <c r="AN46" s="9">
        <v>1.62021905971516</v>
      </c>
      <c r="AO46" s="9"/>
      <c r="AP46" s="9">
        <v>1258.97529828863</v>
      </c>
      <c r="AQ46" s="9">
        <v>23.314357375715399</v>
      </c>
      <c r="AR46" s="9"/>
      <c r="AS46" s="73" t="s">
        <v>169</v>
      </c>
      <c r="AT46" s="8"/>
      <c r="AU46" s="10" t="s">
        <v>169</v>
      </c>
      <c r="AV46" s="10">
        <v>0</v>
      </c>
      <c r="AW46" s="8"/>
      <c r="AX46" s="74" t="s">
        <v>169</v>
      </c>
      <c r="AY46" s="314" t="str">
        <f t="shared" si="19"/>
        <v/>
      </c>
      <c r="AZ46" s="314" t="str">
        <f t="shared" si="20"/>
        <v/>
      </c>
      <c r="BA46" s="315" t="str">
        <f t="shared" si="21"/>
        <v/>
      </c>
      <c r="BB46" s="10" t="str">
        <f t="shared" si="22"/>
        <v/>
      </c>
      <c r="BC46" s="10" t="str">
        <f t="shared" si="23"/>
        <v/>
      </c>
      <c r="BD46" s="10" t="str">
        <f t="shared" si="24"/>
        <v/>
      </c>
      <c r="BE46" s="10" t="str">
        <f t="shared" si="25"/>
        <v/>
      </c>
      <c r="BF46" s="12">
        <v>0.43</v>
      </c>
      <c r="BG46" s="13">
        <v>551.83208153333328</v>
      </c>
      <c r="BH46" s="96" t="str">
        <f>+VLOOKUP(G46,Liste!$A$7:$G$50,3,FALSE)</f>
        <v>Douglas</v>
      </c>
      <c r="BI46" s="96" t="str">
        <f>+VLOOKUP(H46,Liste!$B$7:$G$50,5,FALSE)</f>
        <v>National</v>
      </c>
      <c r="BJ46" s="135">
        <f t="shared" si="0"/>
        <v>54</v>
      </c>
      <c r="BK46" s="135" t="str">
        <f t="shared" si="2"/>
        <v>Douglas_F1_Entree 17-18m, densité haute_National_54_</v>
      </c>
      <c r="BL46" s="322"/>
      <c r="BM46" s="13">
        <v>130.09512196666674</v>
      </c>
      <c r="BN46" s="13">
        <v>681.92720354675032</v>
      </c>
      <c r="BP46" s="13">
        <v>323.23</v>
      </c>
      <c r="BQ46" s="13"/>
      <c r="BT46" s="298" t="str">
        <f>+VLOOKUP(G46,Liste!$A$7:$H$50,8,FALSE)</f>
        <v>Résineux</v>
      </c>
      <c r="BU46" s="298">
        <f t="shared" si="3"/>
        <v>0</v>
      </c>
      <c r="BV46" s="300">
        <f t="shared" si="4"/>
        <v>1</v>
      </c>
      <c r="BW46" s="321">
        <v>0</v>
      </c>
      <c r="BX46" s="298">
        <f t="shared" si="5"/>
        <v>0.43</v>
      </c>
      <c r="BY46">
        <f t="shared" si="6"/>
        <v>0</v>
      </c>
      <c r="BZ46" s="304">
        <f t="shared" si="7"/>
        <v>0</v>
      </c>
      <c r="CB46" s="299">
        <v>0.6</v>
      </c>
      <c r="CC46" s="299">
        <v>0.4</v>
      </c>
      <c r="CD46">
        <f t="shared" si="8"/>
        <v>0</v>
      </c>
      <c r="CE46">
        <f t="shared" si="9"/>
        <v>0</v>
      </c>
      <c r="CF46">
        <f t="shared" si="10"/>
        <v>0</v>
      </c>
      <c r="CG46">
        <f t="shared" si="11"/>
        <v>0</v>
      </c>
      <c r="CH46">
        <f t="shared" si="12"/>
        <v>0</v>
      </c>
      <c r="CI46">
        <f t="shared" si="13"/>
        <v>0</v>
      </c>
      <c r="CJ46">
        <f t="shared" si="14"/>
        <v>0</v>
      </c>
      <c r="CK46">
        <f t="shared" si="15"/>
        <v>0</v>
      </c>
      <c r="CL46">
        <f t="shared" si="16"/>
        <v>0</v>
      </c>
      <c r="CM46">
        <f t="shared" si="26"/>
        <v>0</v>
      </c>
      <c r="CN46">
        <f t="shared" si="18"/>
        <v>0</v>
      </c>
      <c r="CO46">
        <f t="shared" si="1"/>
        <v>0</v>
      </c>
    </row>
    <row r="47" spans="1:93" s="12" customFormat="1" ht="14.65" customHeight="1" x14ac:dyDescent="0.25">
      <c r="A47" s="4">
        <v>2020</v>
      </c>
      <c r="B47" s="4"/>
      <c r="C47" s="4" t="s">
        <v>62</v>
      </c>
      <c r="D47" s="4" t="s">
        <v>63</v>
      </c>
      <c r="E47" s="4"/>
      <c r="F47" s="4" t="s">
        <v>90</v>
      </c>
      <c r="G47" s="5" t="s">
        <v>8</v>
      </c>
      <c r="H47" s="5" t="s">
        <v>11</v>
      </c>
      <c r="I47" s="5" t="s">
        <v>12</v>
      </c>
      <c r="J47" s="5" t="s">
        <v>9</v>
      </c>
      <c r="K47" s="5">
        <v>40</v>
      </c>
      <c r="L47" s="5" t="s">
        <v>190</v>
      </c>
      <c r="M47" s="5">
        <v>1666</v>
      </c>
      <c r="N47" s="5" t="s">
        <v>171</v>
      </c>
      <c r="O47" s="6" t="s">
        <v>81</v>
      </c>
      <c r="P47" s="6" t="s">
        <v>83</v>
      </c>
      <c r="Q47" s="6"/>
      <c r="R47" s="6"/>
      <c r="S47" s="6">
        <v>17</v>
      </c>
      <c r="T47" s="6">
        <v>15.63</v>
      </c>
      <c r="U47" s="6">
        <v>1600</v>
      </c>
      <c r="V47" s="6">
        <v>27.89</v>
      </c>
      <c r="W47" s="6">
        <v>30</v>
      </c>
      <c r="X47" s="6">
        <v>428</v>
      </c>
      <c r="Y47" s="6">
        <v>863</v>
      </c>
      <c r="Z47" s="6">
        <v>267</v>
      </c>
      <c r="AA47" s="6">
        <v>12</v>
      </c>
      <c r="AB47" s="6">
        <v>0</v>
      </c>
      <c r="AC47" s="7">
        <v>54</v>
      </c>
      <c r="AD47" s="7" t="s">
        <v>53</v>
      </c>
      <c r="AE47" s="7">
        <v>42.59</v>
      </c>
      <c r="AF47" s="7">
        <v>0</v>
      </c>
      <c r="AG47" s="7">
        <v>0</v>
      </c>
      <c r="AH47" s="7">
        <v>0</v>
      </c>
      <c r="AI47" s="7">
        <v>0</v>
      </c>
      <c r="AJ47" s="9">
        <v>0</v>
      </c>
      <c r="AK47" s="9">
        <v>0</v>
      </c>
      <c r="AL47" s="9">
        <v>0</v>
      </c>
      <c r="AM47" s="9">
        <v>87.491829224618598</v>
      </c>
      <c r="AN47" s="9">
        <v>1.62021905971516</v>
      </c>
      <c r="AO47" s="9"/>
      <c r="AP47" s="9">
        <v>1258.97529828863</v>
      </c>
      <c r="AQ47" s="9">
        <v>23.314357375715399</v>
      </c>
      <c r="AR47" s="9"/>
      <c r="AS47" s="73">
        <v>218</v>
      </c>
      <c r="AT47" s="8">
        <v>42.26</v>
      </c>
      <c r="AU47" s="10">
        <v>49.681140700548589</v>
      </c>
      <c r="AV47" s="10">
        <v>587.95222742380304</v>
      </c>
      <c r="AW47" s="8">
        <v>1</v>
      </c>
      <c r="AX47" s="74">
        <v>2.6970285661642341</v>
      </c>
      <c r="AY47" s="314">
        <f t="shared" si="19"/>
        <v>0.24649664870468208</v>
      </c>
      <c r="AZ47" s="314">
        <f t="shared" si="20"/>
        <v>0.71293730449516746</v>
      </c>
      <c r="BA47" s="315">
        <f t="shared" si="21"/>
        <v>3.8591862827983991E-2</v>
      </c>
      <c r="BB47" s="10">
        <f t="shared" si="22"/>
        <v>265.18403516242682</v>
      </c>
      <c r="BC47" s="10">
        <f t="shared" si="23"/>
        <v>70.707204598952686</v>
      </c>
      <c r="BD47" s="10">
        <f t="shared" si="24"/>
        <v>47.871105955792068</v>
      </c>
      <c r="BE47" s="10">
        <f t="shared" si="25"/>
        <v>196.38876157649844</v>
      </c>
      <c r="BF47" s="12">
        <v>0.43</v>
      </c>
      <c r="BG47" s="13">
        <v>0</v>
      </c>
      <c r="BH47" s="96" t="str">
        <f>+VLOOKUP(G47,Liste!$A$7:$G$50,3,FALSE)</f>
        <v>Douglas</v>
      </c>
      <c r="BI47" s="96" t="str">
        <f>+VLOOKUP(H47,Liste!$B$7:$G$50,5,FALSE)</f>
        <v>National</v>
      </c>
      <c r="BJ47" s="135">
        <f t="shared" si="0"/>
        <v>54</v>
      </c>
      <c r="BK47" s="135" t="str">
        <f t="shared" si="2"/>
        <v>Douglas_F1_Entree 17-18m, densité haute_National_54_</v>
      </c>
      <c r="BL47" s="322"/>
      <c r="BM47" s="13">
        <v>0</v>
      </c>
      <c r="BN47" s="13">
        <v>0</v>
      </c>
      <c r="BO47" s="13">
        <v>681.92720354675032</v>
      </c>
      <c r="BP47" s="13">
        <v>323.23</v>
      </c>
      <c r="BQ47" s="13"/>
      <c r="BT47" s="298" t="str">
        <f>+VLOOKUP(G47,Liste!$A$7:$H$50,8,FALSE)</f>
        <v>Résineux</v>
      </c>
      <c r="BU47" s="298">
        <f t="shared" si="3"/>
        <v>0</v>
      </c>
      <c r="BV47" s="300">
        <f t="shared" si="4"/>
        <v>1</v>
      </c>
      <c r="BW47" s="321">
        <v>0</v>
      </c>
      <c r="BX47" s="298">
        <f t="shared" si="5"/>
        <v>0.43</v>
      </c>
      <c r="BY47">
        <f t="shared" si="6"/>
        <v>0</v>
      </c>
      <c r="BZ47" s="304">
        <f t="shared" si="7"/>
        <v>0</v>
      </c>
      <c r="CB47" s="299">
        <v>0.6</v>
      </c>
      <c r="CC47" s="299">
        <v>0.4</v>
      </c>
      <c r="CD47">
        <f t="shared" si="8"/>
        <v>0</v>
      </c>
      <c r="CE47">
        <f t="shared" si="9"/>
        <v>0</v>
      </c>
      <c r="CF47">
        <f t="shared" si="10"/>
        <v>0</v>
      </c>
      <c r="CG47">
        <f t="shared" si="11"/>
        <v>0</v>
      </c>
      <c r="CH47">
        <f t="shared" si="12"/>
        <v>0</v>
      </c>
      <c r="CI47">
        <f t="shared" si="13"/>
        <v>0</v>
      </c>
      <c r="CJ47">
        <f t="shared" si="14"/>
        <v>0</v>
      </c>
      <c r="CK47">
        <f t="shared" si="15"/>
        <v>0</v>
      </c>
      <c r="CL47">
        <f t="shared" si="16"/>
        <v>0</v>
      </c>
      <c r="CM47">
        <f t="shared" si="26"/>
        <v>0</v>
      </c>
      <c r="CN47">
        <f t="shared" si="18"/>
        <v>0</v>
      </c>
      <c r="CO47">
        <f t="shared" si="1"/>
        <v>0</v>
      </c>
    </row>
    <row r="48" spans="1:93" s="12" customFormat="1" ht="14.65" customHeight="1" x14ac:dyDescent="0.25">
      <c r="A48" s="4">
        <v>2021</v>
      </c>
      <c r="B48" s="4"/>
      <c r="C48" s="4" t="s">
        <v>64</v>
      </c>
      <c r="D48" s="4" t="s">
        <v>65</v>
      </c>
      <c r="E48" s="4"/>
      <c r="F48" s="4" t="s">
        <v>90</v>
      </c>
      <c r="G48" s="5" t="s">
        <v>15</v>
      </c>
      <c r="H48" s="5" t="s">
        <v>21</v>
      </c>
      <c r="I48" s="5" t="s">
        <v>16</v>
      </c>
      <c r="J48" s="5" t="s">
        <v>10</v>
      </c>
      <c r="K48" s="5">
        <v>23</v>
      </c>
      <c r="L48" s="5" t="s">
        <v>192</v>
      </c>
      <c r="M48" s="5">
        <v>2500</v>
      </c>
      <c r="N48" s="5" t="s">
        <v>170</v>
      </c>
      <c r="O48" s="6" t="s">
        <v>78</v>
      </c>
      <c r="P48" s="6" t="s">
        <v>80</v>
      </c>
      <c r="Q48" s="6">
        <v>2003</v>
      </c>
      <c r="R48" s="6"/>
      <c r="S48" s="6">
        <v>24</v>
      </c>
      <c r="T48" s="6">
        <v>11.4</v>
      </c>
      <c r="U48" s="6">
        <v>2157</v>
      </c>
      <c r="V48" s="6">
        <v>40.299999999999997</v>
      </c>
      <c r="W48" s="6">
        <v>0</v>
      </c>
      <c r="X48" s="6">
        <v>600</v>
      </c>
      <c r="Y48" s="6">
        <v>1043</v>
      </c>
      <c r="Z48" s="6">
        <v>457</v>
      </c>
      <c r="AA48" s="6">
        <v>57</v>
      </c>
      <c r="AB48" s="6">
        <v>0</v>
      </c>
      <c r="AC48" s="2">
        <v>24</v>
      </c>
      <c r="AD48" s="2" t="s">
        <v>52</v>
      </c>
      <c r="AE48" s="7">
        <v>11.4</v>
      </c>
      <c r="AF48" s="7">
        <v>2157</v>
      </c>
      <c r="AG48" s="7">
        <v>40.74</v>
      </c>
      <c r="AH48" s="7">
        <v>15.51</v>
      </c>
      <c r="AI48" s="7">
        <v>23.89</v>
      </c>
      <c r="AJ48" s="9">
        <v>201.105242729531</v>
      </c>
      <c r="AK48" s="9">
        <v>203.6901982</v>
      </c>
      <c r="AL48" s="9">
        <v>282.80080195342998</v>
      </c>
      <c r="AM48" s="9">
        <v>40.736731375075699</v>
      </c>
      <c r="AN48" s="9">
        <v>1.6973638072948201</v>
      </c>
      <c r="AO48" s="9">
        <v>1.2635640690335599</v>
      </c>
      <c r="AP48" s="9">
        <v>282.80080195342998</v>
      </c>
      <c r="AQ48" s="9">
        <v>11.783366748059599</v>
      </c>
      <c r="AR48" s="9">
        <v>11.835038824127601</v>
      </c>
      <c r="AS48" s="73" t="s">
        <v>169</v>
      </c>
      <c r="AT48" s="10"/>
      <c r="AU48" s="10" t="s">
        <v>169</v>
      </c>
      <c r="AV48" s="10">
        <v>0</v>
      </c>
      <c r="AW48" s="8"/>
      <c r="AX48" s="74" t="s">
        <v>169</v>
      </c>
      <c r="AY48" s="74"/>
      <c r="AZ48" s="74"/>
      <c r="BA48" s="74"/>
      <c r="BB48" s="8"/>
      <c r="BC48" s="8"/>
      <c r="BD48" s="8"/>
      <c r="BE48" s="8"/>
      <c r="BF48" s="12">
        <v>0.44</v>
      </c>
      <c r="BG48" s="13">
        <v>216.71968123666667</v>
      </c>
      <c r="BH48" s="96" t="str">
        <f>+VLOOKUP(G48,Liste!$A$7:$G$50,3,FALSE)</f>
        <v>Pin sylvestre</v>
      </c>
      <c r="BI48" s="96" t="str">
        <f>+VLOOKUP(H48,Liste!$B$7:$G$50,5,FALSE)</f>
        <v>GS Pineraies des plaines du Centre et du Nord Ouest</v>
      </c>
      <c r="BJ48" s="135">
        <f t="shared" si="0"/>
        <v>24</v>
      </c>
      <c r="BK48" s="135" t="str">
        <f t="shared" si="2"/>
        <v>Pin sylvestre_F2_Eclaircie précoce_GS Pineraies des plaines du Centre et du Nord Ouest_24_</v>
      </c>
      <c r="BL48" s="322"/>
      <c r="BM48" s="13">
        <v>56.963960963333335</v>
      </c>
      <c r="BN48" s="13">
        <v>273.68364223245391</v>
      </c>
      <c r="BO48" s="13"/>
      <c r="BP48" s="13">
        <v>244.97</v>
      </c>
      <c r="BQ48" s="13">
        <v>11.170952305686599</v>
      </c>
      <c r="BT48" s="298" t="str">
        <f>+VLOOKUP(G48,Liste!$A$7:$H$50,8,FALSE)</f>
        <v>Résineux</v>
      </c>
      <c r="BU48" s="298">
        <f t="shared" si="3"/>
        <v>0</v>
      </c>
      <c r="BV48" s="300">
        <f t="shared" si="4"/>
        <v>1</v>
      </c>
      <c r="BW48" s="321">
        <v>0</v>
      </c>
      <c r="BX48" s="298">
        <f t="shared" si="5"/>
        <v>0.43</v>
      </c>
      <c r="BY48">
        <f t="shared" si="6"/>
        <v>0</v>
      </c>
      <c r="BZ48" s="304">
        <f t="shared" si="7"/>
        <v>0</v>
      </c>
      <c r="CB48" s="299">
        <v>0.6</v>
      </c>
      <c r="CC48" s="299">
        <v>0.4</v>
      </c>
      <c r="CD48">
        <f t="shared" si="8"/>
        <v>0</v>
      </c>
      <c r="CE48">
        <f t="shared" si="9"/>
        <v>0</v>
      </c>
      <c r="CF48">
        <f t="shared" si="10"/>
        <v>0</v>
      </c>
      <c r="CG48">
        <f t="shared" si="11"/>
        <v>0</v>
      </c>
      <c r="CH48">
        <f t="shared" si="12"/>
        <v>0</v>
      </c>
      <c r="CI48">
        <f t="shared" si="13"/>
        <v>0</v>
      </c>
      <c r="CJ48">
        <f t="shared" si="14"/>
        <v>0</v>
      </c>
      <c r="CK48">
        <f t="shared" si="15"/>
        <v>0</v>
      </c>
      <c r="CL48">
        <f t="shared" si="16"/>
        <v>0</v>
      </c>
      <c r="CM48">
        <f t="shared" si="26"/>
        <v>0</v>
      </c>
      <c r="CN48">
        <f t="shared" si="18"/>
        <v>0</v>
      </c>
      <c r="CO48">
        <f t="shared" si="1"/>
        <v>0</v>
      </c>
    </row>
    <row r="49" spans="1:93" s="12" customFormat="1" ht="14.65" customHeight="1" x14ac:dyDescent="0.25">
      <c r="A49" s="4">
        <v>2021</v>
      </c>
      <c r="B49" s="4"/>
      <c r="C49" s="4" t="s">
        <v>64</v>
      </c>
      <c r="D49" s="4" t="s">
        <v>65</v>
      </c>
      <c r="E49" s="4"/>
      <c r="F49" s="4" t="s">
        <v>90</v>
      </c>
      <c r="G49" s="5" t="s">
        <v>15</v>
      </c>
      <c r="H49" s="5" t="s">
        <v>21</v>
      </c>
      <c r="I49" s="5" t="s">
        <v>16</v>
      </c>
      <c r="J49" s="5" t="s">
        <v>10</v>
      </c>
      <c r="K49" s="5">
        <v>23</v>
      </c>
      <c r="L49" s="5" t="s">
        <v>192</v>
      </c>
      <c r="M49" s="5">
        <v>2500</v>
      </c>
      <c r="N49" s="5" t="s">
        <v>170</v>
      </c>
      <c r="O49" s="6" t="s">
        <v>78</v>
      </c>
      <c r="P49" s="6" t="s">
        <v>80</v>
      </c>
      <c r="Q49" s="6">
        <v>2003</v>
      </c>
      <c r="R49" s="6"/>
      <c r="S49" s="6">
        <v>24</v>
      </c>
      <c r="T49" s="6">
        <v>11.4</v>
      </c>
      <c r="U49" s="6">
        <v>2157</v>
      </c>
      <c r="V49" s="6">
        <v>40.299999999999997</v>
      </c>
      <c r="W49" s="6">
        <v>0</v>
      </c>
      <c r="X49" s="6">
        <v>600</v>
      </c>
      <c r="Y49" s="6">
        <v>1043</v>
      </c>
      <c r="Z49" s="6">
        <v>457</v>
      </c>
      <c r="AA49" s="6">
        <v>57</v>
      </c>
      <c r="AB49" s="6">
        <v>0</v>
      </c>
      <c r="AC49" s="2">
        <v>24</v>
      </c>
      <c r="AD49" s="2" t="s">
        <v>53</v>
      </c>
      <c r="AE49" s="7">
        <v>11.4</v>
      </c>
      <c r="AF49" s="7">
        <v>950</v>
      </c>
      <c r="AG49" s="7">
        <v>15.93</v>
      </c>
      <c r="AH49" s="7">
        <v>14.61</v>
      </c>
      <c r="AI49" s="7">
        <v>20.94</v>
      </c>
      <c r="AJ49" s="9">
        <v>77.235090105930098</v>
      </c>
      <c r="AK49" s="9">
        <v>78.065546830000002</v>
      </c>
      <c r="AL49" s="9">
        <v>109.063162865008</v>
      </c>
      <c r="AM49" s="9">
        <v>40.736731375075699</v>
      </c>
      <c r="AN49" s="9">
        <v>1.6973638072948201</v>
      </c>
      <c r="AO49" s="9">
        <v>1.2635640690335599</v>
      </c>
      <c r="AP49" s="9">
        <v>282.80080195342998</v>
      </c>
      <c r="AQ49" s="9">
        <v>11.783366748059599</v>
      </c>
      <c r="AR49" s="9">
        <v>11.835038824127601</v>
      </c>
      <c r="AS49" s="73">
        <v>1207</v>
      </c>
      <c r="AT49" s="10">
        <v>24.7874144812499</v>
      </c>
      <c r="AU49" s="10">
        <v>16.170261331427657</v>
      </c>
      <c r="AV49" s="10">
        <v>123.8701526236009</v>
      </c>
      <c r="AW49" s="10">
        <v>1.0861657785084688</v>
      </c>
      <c r="AX49" s="74">
        <v>0.10262647276188973</v>
      </c>
      <c r="AY49" s="74"/>
      <c r="AZ49" s="74"/>
      <c r="BA49" s="74"/>
      <c r="BB49" s="10"/>
      <c r="BC49" s="10"/>
      <c r="BD49" s="10"/>
      <c r="BE49" s="10"/>
      <c r="BF49" s="12">
        <v>0.44</v>
      </c>
      <c r="BG49" s="13">
        <v>83.578737146666668</v>
      </c>
      <c r="BH49" s="96" t="str">
        <f>+VLOOKUP(G49,Liste!$A$7:$G$50,3,FALSE)</f>
        <v>Pin sylvestre</v>
      </c>
      <c r="BI49" s="96" t="str">
        <f>+VLOOKUP(H49,Liste!$B$7:$G$50,5,FALSE)</f>
        <v>GS Pineraies des plaines du Centre et du Nord Ouest</v>
      </c>
      <c r="BJ49" s="135">
        <f t="shared" si="0"/>
        <v>24</v>
      </c>
      <c r="BK49" s="135" t="str">
        <f t="shared" si="2"/>
        <v>Pin sylvestre_F2_Eclaircie précoce_GS Pineraies des plaines du Centre et du Nord Ouest_24_</v>
      </c>
      <c r="BL49" s="322"/>
      <c r="BM49" s="13">
        <v>24.545068553333337</v>
      </c>
      <c r="BN49" s="13">
        <v>108.12380565097834</v>
      </c>
      <c r="BO49" s="13">
        <v>165.55983658147557</v>
      </c>
      <c r="BP49" s="13">
        <v>244.97</v>
      </c>
      <c r="BQ49" s="13">
        <v>11.170952305686599</v>
      </c>
      <c r="BT49" s="298" t="str">
        <f>+VLOOKUP(G49,Liste!$A$7:$H$50,8,FALSE)</f>
        <v>Résineux</v>
      </c>
      <c r="BU49" s="298">
        <f t="shared" si="3"/>
        <v>0</v>
      </c>
      <c r="BV49" s="300">
        <f t="shared" si="4"/>
        <v>1</v>
      </c>
      <c r="BW49" s="321">
        <v>0</v>
      </c>
      <c r="BX49" s="298">
        <f t="shared" si="5"/>
        <v>0.43</v>
      </c>
      <c r="BY49">
        <f t="shared" si="6"/>
        <v>53.26416562814839</v>
      </c>
      <c r="BZ49" s="304">
        <f t="shared" si="7"/>
        <v>53.26416562814839</v>
      </c>
      <c r="CB49" s="299">
        <v>0.6</v>
      </c>
      <c r="CC49" s="299">
        <v>0.4</v>
      </c>
      <c r="CD49">
        <f t="shared" si="8"/>
        <v>0</v>
      </c>
      <c r="CE49">
        <f t="shared" si="9"/>
        <v>74.322091574160538</v>
      </c>
      <c r="CF49">
        <f t="shared" si="10"/>
        <v>49.548061049440363</v>
      </c>
      <c r="CG49">
        <f t="shared" si="11"/>
        <v>0</v>
      </c>
      <c r="CH49">
        <f t="shared" si="12"/>
        <v>56.955496176331685</v>
      </c>
      <c r="CI49">
        <f t="shared" si="13"/>
        <v>37.970330784221133</v>
      </c>
      <c r="CJ49">
        <f t="shared" si="14"/>
        <v>0</v>
      </c>
      <c r="CK49">
        <f t="shared" si="15"/>
        <v>0</v>
      </c>
      <c r="CL49">
        <f t="shared" si="16"/>
        <v>0</v>
      </c>
      <c r="CM49">
        <f t="shared" si="26"/>
        <v>0</v>
      </c>
      <c r="CN49">
        <f t="shared" si="18"/>
        <v>0</v>
      </c>
      <c r="CO49">
        <f t="shared" si="1"/>
        <v>0</v>
      </c>
    </row>
    <row r="50" spans="1:93" s="12" customFormat="1" ht="14.65" customHeight="1" x14ac:dyDescent="0.25">
      <c r="A50" s="4">
        <v>2021</v>
      </c>
      <c r="B50" s="4"/>
      <c r="C50" s="4" t="s">
        <v>64</v>
      </c>
      <c r="D50" s="4" t="s">
        <v>65</v>
      </c>
      <c r="E50" s="4"/>
      <c r="F50" s="4" t="s">
        <v>90</v>
      </c>
      <c r="G50" s="5" t="s">
        <v>15</v>
      </c>
      <c r="H50" s="5" t="s">
        <v>21</v>
      </c>
      <c r="I50" s="5" t="s">
        <v>16</v>
      </c>
      <c r="J50" s="5" t="s">
        <v>10</v>
      </c>
      <c r="K50" s="5">
        <v>23</v>
      </c>
      <c r="L50" s="5" t="s">
        <v>192</v>
      </c>
      <c r="M50" s="5">
        <v>2500</v>
      </c>
      <c r="N50" s="5" t="s">
        <v>170</v>
      </c>
      <c r="O50" s="6" t="s">
        <v>78</v>
      </c>
      <c r="P50" s="6" t="s">
        <v>80</v>
      </c>
      <c r="Q50" s="6">
        <v>2003</v>
      </c>
      <c r="R50" s="6"/>
      <c r="S50" s="6">
        <v>24</v>
      </c>
      <c r="T50" s="6">
        <v>11.4</v>
      </c>
      <c r="U50" s="6">
        <v>2157</v>
      </c>
      <c r="V50" s="6">
        <v>40.299999999999997</v>
      </c>
      <c r="W50" s="6">
        <v>0</v>
      </c>
      <c r="X50" s="6">
        <v>600</v>
      </c>
      <c r="Y50" s="6">
        <v>1043</v>
      </c>
      <c r="Z50" s="6">
        <v>457</v>
      </c>
      <c r="AA50" s="6">
        <v>57</v>
      </c>
      <c r="AB50" s="6">
        <v>0</v>
      </c>
      <c r="AC50" s="2">
        <v>25</v>
      </c>
      <c r="AD50" s="2" t="s">
        <v>52</v>
      </c>
      <c r="AE50" s="7">
        <v>11.85</v>
      </c>
      <c r="AF50" s="7">
        <v>950</v>
      </c>
      <c r="AG50" s="7">
        <v>17.190000000000001</v>
      </c>
      <c r="AH50" s="7">
        <v>15.18</v>
      </c>
      <c r="AI50" s="7">
        <v>21.79</v>
      </c>
      <c r="AJ50" s="9">
        <v>87.1169617823831</v>
      </c>
      <c r="AK50" s="9">
        <v>88.042558</v>
      </c>
      <c r="AL50" s="9">
        <v>120.898201689136</v>
      </c>
      <c r="AM50" s="9">
        <v>42.000295444109298</v>
      </c>
      <c r="AN50" s="9">
        <v>1.6800118177643699</v>
      </c>
      <c r="AO50" s="9">
        <v>1.2488474353274599</v>
      </c>
      <c r="AP50" s="9">
        <v>294.63584077755701</v>
      </c>
      <c r="AQ50" s="9">
        <v>11.7854336311023</v>
      </c>
      <c r="AR50" s="9">
        <v>12.004260404387701</v>
      </c>
      <c r="AS50" s="73" t="s">
        <v>169</v>
      </c>
      <c r="AT50" s="10"/>
      <c r="AU50" s="10" t="s">
        <v>169</v>
      </c>
      <c r="AV50" s="10">
        <v>0</v>
      </c>
      <c r="AW50" s="8"/>
      <c r="AX50" s="74" t="s">
        <v>169</v>
      </c>
      <c r="AY50" s="74"/>
      <c r="AZ50" s="74"/>
      <c r="BA50" s="74"/>
      <c r="BB50" s="8"/>
      <c r="BC50" s="8"/>
      <c r="BD50" s="8"/>
      <c r="BE50" s="8"/>
      <c r="BF50" s="12">
        <v>0.44</v>
      </c>
      <c r="BG50" s="13">
        <v>92.648321883333324</v>
      </c>
      <c r="BH50" s="96" t="str">
        <f>+VLOOKUP(G50,Liste!$A$7:$G$50,3,FALSE)</f>
        <v>Pin sylvestre</v>
      </c>
      <c r="BI50" s="96" t="str">
        <f>+VLOOKUP(H50,Liste!$B$7:$G$50,5,FALSE)</f>
        <v>GS Pineraies des plaines du Centre et du Nord Ouest</v>
      </c>
      <c r="BJ50" s="135">
        <f t="shared" si="0"/>
        <v>25</v>
      </c>
      <c r="BK50" s="135" t="str">
        <f t="shared" si="2"/>
        <v>Pin sylvestre_F2_Eclaircie précoce_GS Pineraies des plaines du Centre et du Nord Ouest_25_</v>
      </c>
      <c r="BL50" s="322"/>
      <c r="BM50" s="13">
        <v>26.884258416666682</v>
      </c>
      <c r="BN50" s="13">
        <v>119.53258031577207</v>
      </c>
      <c r="BO50" s="13"/>
      <c r="BP50" s="13">
        <v>244.97</v>
      </c>
      <c r="BQ50" s="13">
        <v>11.32066434283</v>
      </c>
      <c r="BT50" s="298" t="str">
        <f>+VLOOKUP(G50,Liste!$A$7:$H$50,8,FALSE)</f>
        <v>Résineux</v>
      </c>
      <c r="BU50" s="298">
        <f t="shared" si="3"/>
        <v>0</v>
      </c>
      <c r="BV50" s="300">
        <f t="shared" si="4"/>
        <v>1</v>
      </c>
      <c r="BW50" s="321">
        <v>0</v>
      </c>
      <c r="BX50" s="298">
        <f t="shared" si="5"/>
        <v>0.43</v>
      </c>
      <c r="BY50">
        <f t="shared" si="6"/>
        <v>0</v>
      </c>
      <c r="BZ50" s="304">
        <f t="shared" si="7"/>
        <v>53.26416562814839</v>
      </c>
      <c r="CB50" s="299">
        <v>0.6</v>
      </c>
      <c r="CC50" s="299">
        <v>0.4</v>
      </c>
      <c r="CD50">
        <f t="shared" si="8"/>
        <v>0</v>
      </c>
      <c r="CE50">
        <f t="shared" si="9"/>
        <v>0</v>
      </c>
      <c r="CF50">
        <f t="shared" si="10"/>
        <v>0</v>
      </c>
      <c r="CG50">
        <f t="shared" si="11"/>
        <v>0</v>
      </c>
      <c r="CH50">
        <f t="shared" si="12"/>
        <v>0</v>
      </c>
      <c r="CI50">
        <f t="shared" si="13"/>
        <v>0</v>
      </c>
      <c r="CJ50">
        <f t="shared" si="14"/>
        <v>0</v>
      </c>
      <c r="CK50">
        <f t="shared" si="15"/>
        <v>56.173172227397799</v>
      </c>
      <c r="CL50">
        <f t="shared" si="16"/>
        <v>32.089151379993972</v>
      </c>
      <c r="CM50">
        <f t="shared" si="26"/>
        <v>88.262323607391778</v>
      </c>
      <c r="CN50">
        <f t="shared" si="18"/>
        <v>88.262323607391778</v>
      </c>
      <c r="CO50">
        <f t="shared" si="1"/>
        <v>0</v>
      </c>
    </row>
    <row r="51" spans="1:93" s="12" customFormat="1" ht="14.65" customHeight="1" x14ac:dyDescent="0.25">
      <c r="A51" s="4">
        <v>2021</v>
      </c>
      <c r="B51" s="4"/>
      <c r="C51" s="4" t="s">
        <v>64</v>
      </c>
      <c r="D51" s="4" t="s">
        <v>65</v>
      </c>
      <c r="E51" s="4"/>
      <c r="F51" s="4" t="s">
        <v>90</v>
      </c>
      <c r="G51" s="5" t="s">
        <v>15</v>
      </c>
      <c r="H51" s="5" t="s">
        <v>21</v>
      </c>
      <c r="I51" s="5" t="s">
        <v>16</v>
      </c>
      <c r="J51" s="5" t="s">
        <v>10</v>
      </c>
      <c r="K51" s="5">
        <v>23</v>
      </c>
      <c r="L51" s="5" t="s">
        <v>192</v>
      </c>
      <c r="M51" s="5">
        <v>2500</v>
      </c>
      <c r="N51" s="5" t="s">
        <v>170</v>
      </c>
      <c r="O51" s="6" t="s">
        <v>78</v>
      </c>
      <c r="P51" s="6" t="s">
        <v>80</v>
      </c>
      <c r="Q51" s="6">
        <v>2003</v>
      </c>
      <c r="R51" s="6"/>
      <c r="S51" s="6">
        <v>24</v>
      </c>
      <c r="T51" s="6">
        <v>11.4</v>
      </c>
      <c r="U51" s="6">
        <v>2157</v>
      </c>
      <c r="V51" s="6">
        <v>40.299999999999997</v>
      </c>
      <c r="W51" s="6">
        <v>0</v>
      </c>
      <c r="X51" s="6">
        <v>600</v>
      </c>
      <c r="Y51" s="6">
        <v>1043</v>
      </c>
      <c r="Z51" s="6">
        <v>457</v>
      </c>
      <c r="AA51" s="6">
        <v>57</v>
      </c>
      <c r="AB51" s="6">
        <v>0</v>
      </c>
      <c r="AC51" s="2">
        <v>26</v>
      </c>
      <c r="AD51" s="2" t="s">
        <v>52</v>
      </c>
      <c r="AE51" s="7">
        <v>12.3</v>
      </c>
      <c r="AF51" s="7">
        <v>950</v>
      </c>
      <c r="AG51" s="7">
        <v>18.440000000000001</v>
      </c>
      <c r="AH51" s="7">
        <v>15.72</v>
      </c>
      <c r="AI51" s="7">
        <v>22.61</v>
      </c>
      <c r="AJ51" s="9">
        <v>97.011371378025302</v>
      </c>
      <c r="AK51" s="9">
        <v>98.049197059999997</v>
      </c>
      <c r="AL51" s="9">
        <v>132.90246209352301</v>
      </c>
      <c r="AM51" s="9">
        <v>43.249142879436697</v>
      </c>
      <c r="AN51" s="9">
        <v>1.66342857228603</v>
      </c>
      <c r="AO51" s="9">
        <v>1.2362767450232</v>
      </c>
      <c r="AP51" s="9">
        <v>306.640101181945</v>
      </c>
      <c r="AQ51" s="9">
        <v>11.793850045459401</v>
      </c>
      <c r="AR51" s="9">
        <v>12.282682815787</v>
      </c>
      <c r="AS51" s="73" t="s">
        <v>169</v>
      </c>
      <c r="AT51" s="10"/>
      <c r="AU51" s="10" t="s">
        <v>169</v>
      </c>
      <c r="AV51" s="10">
        <v>0</v>
      </c>
      <c r="AW51" s="8"/>
      <c r="AX51" s="74" t="s">
        <v>169</v>
      </c>
      <c r="AY51" s="74"/>
      <c r="AZ51" s="74"/>
      <c r="BA51" s="74"/>
      <c r="BB51" s="8"/>
      <c r="BC51" s="8"/>
      <c r="BD51" s="8"/>
      <c r="BE51" s="8"/>
      <c r="BF51" s="12">
        <v>0.44</v>
      </c>
      <c r="BG51" s="13">
        <v>101.84758679333333</v>
      </c>
      <c r="BH51" s="96" t="str">
        <f>+VLOOKUP(G51,Liste!$A$7:$G$50,3,FALSE)</f>
        <v>Pin sylvestre</v>
      </c>
      <c r="BI51" s="96" t="str">
        <f>+VLOOKUP(H51,Liste!$B$7:$G$50,5,FALSE)</f>
        <v>GS Pineraies des plaines du Centre et du Nord Ouest</v>
      </c>
      <c r="BJ51" s="135">
        <f t="shared" si="0"/>
        <v>26</v>
      </c>
      <c r="BK51" s="135" t="str">
        <f t="shared" si="2"/>
        <v>Pin sylvestre_F2_Eclaircie précoce_GS Pineraies des plaines du Centre et du Nord Ouest_26_</v>
      </c>
      <c r="BL51" s="322"/>
      <c r="BM51" s="13">
        <v>29.229788406666671</v>
      </c>
      <c r="BN51" s="13">
        <v>131.07737523307094</v>
      </c>
      <c r="BO51" s="13"/>
      <c r="BP51" s="13">
        <v>244.97</v>
      </c>
      <c r="BQ51" s="13">
        <v>11.573249358389299</v>
      </c>
      <c r="BT51" s="298" t="str">
        <f>+VLOOKUP(G51,Liste!$A$7:$H$50,8,FALSE)</f>
        <v>Résineux</v>
      </c>
      <c r="BU51" s="298">
        <f t="shared" si="3"/>
        <v>0</v>
      </c>
      <c r="BV51" s="300">
        <f t="shared" si="4"/>
        <v>1</v>
      </c>
      <c r="BW51" s="321">
        <v>0</v>
      </c>
      <c r="BX51" s="298">
        <f t="shared" si="5"/>
        <v>0.43</v>
      </c>
      <c r="BY51">
        <f t="shared" si="6"/>
        <v>0</v>
      </c>
      <c r="BZ51" s="304">
        <f t="shared" si="7"/>
        <v>53.26416562814839</v>
      </c>
      <c r="CB51" s="299">
        <v>0.6</v>
      </c>
      <c r="CC51" s="299">
        <v>0.4</v>
      </c>
      <c r="CD51">
        <f t="shared" si="8"/>
        <v>0</v>
      </c>
      <c r="CE51">
        <f t="shared" si="9"/>
        <v>0</v>
      </c>
      <c r="CF51">
        <f t="shared" si="10"/>
        <v>0</v>
      </c>
      <c r="CG51">
        <f t="shared" si="11"/>
        <v>0</v>
      </c>
      <c r="CH51">
        <f t="shared" si="12"/>
        <v>0</v>
      </c>
      <c r="CI51">
        <f t="shared" si="13"/>
        <v>0</v>
      </c>
      <c r="CJ51">
        <f t="shared" si="14"/>
        <v>0</v>
      </c>
      <c r="CK51">
        <f t="shared" si="15"/>
        <v>54.637113878820863</v>
      </c>
      <c r="CL51">
        <f t="shared" si="16"/>
        <v>22.690456543315399</v>
      </c>
      <c r="CM51">
        <f t="shared" si="26"/>
        <v>77.327570422136262</v>
      </c>
      <c r="CN51">
        <f t="shared" si="18"/>
        <v>165.58989402952804</v>
      </c>
      <c r="CO51">
        <f t="shared" si="1"/>
        <v>0</v>
      </c>
    </row>
    <row r="52" spans="1:93" s="12" customFormat="1" ht="14.65" customHeight="1" x14ac:dyDescent="0.25">
      <c r="A52" s="4">
        <v>2021</v>
      </c>
      <c r="B52" s="4"/>
      <c r="C52" s="4" t="s">
        <v>64</v>
      </c>
      <c r="D52" s="4" t="s">
        <v>65</v>
      </c>
      <c r="E52" s="4"/>
      <c r="F52" s="4" t="s">
        <v>90</v>
      </c>
      <c r="G52" s="5" t="s">
        <v>15</v>
      </c>
      <c r="H52" s="5" t="s">
        <v>21</v>
      </c>
      <c r="I52" s="5" t="s">
        <v>16</v>
      </c>
      <c r="J52" s="5" t="s">
        <v>10</v>
      </c>
      <c r="K52" s="5">
        <v>23</v>
      </c>
      <c r="L52" s="5" t="s">
        <v>192</v>
      </c>
      <c r="M52" s="5">
        <v>2500</v>
      </c>
      <c r="N52" s="5" t="s">
        <v>170</v>
      </c>
      <c r="O52" s="6" t="s">
        <v>78</v>
      </c>
      <c r="P52" s="6" t="s">
        <v>80</v>
      </c>
      <c r="Q52" s="6">
        <v>2003</v>
      </c>
      <c r="R52" s="6"/>
      <c r="S52" s="6">
        <v>24</v>
      </c>
      <c r="T52" s="6">
        <v>11.4</v>
      </c>
      <c r="U52" s="6">
        <v>2157</v>
      </c>
      <c r="V52" s="6">
        <v>40.299999999999997</v>
      </c>
      <c r="W52" s="6">
        <v>0</v>
      </c>
      <c r="X52" s="6">
        <v>600</v>
      </c>
      <c r="Y52" s="6">
        <v>1043</v>
      </c>
      <c r="Z52" s="6">
        <v>457</v>
      </c>
      <c r="AA52" s="6">
        <v>57</v>
      </c>
      <c r="AB52" s="6">
        <v>0</v>
      </c>
      <c r="AC52" s="2">
        <v>27</v>
      </c>
      <c r="AD52" s="2" t="s">
        <v>52</v>
      </c>
      <c r="AE52" s="7">
        <v>12.74</v>
      </c>
      <c r="AF52" s="7">
        <v>950</v>
      </c>
      <c r="AG52" s="7">
        <v>19.68</v>
      </c>
      <c r="AH52" s="7">
        <v>16.239999999999998</v>
      </c>
      <c r="AI52" s="7">
        <v>23.4</v>
      </c>
      <c r="AJ52" s="9">
        <v>107.198015405424</v>
      </c>
      <c r="AK52" s="9">
        <v>108.3516534</v>
      </c>
      <c r="AL52" s="9">
        <v>145.18514490931</v>
      </c>
      <c r="AM52" s="9">
        <v>44.485419624459901</v>
      </c>
      <c r="AN52" s="9">
        <v>1.6476081342392599</v>
      </c>
      <c r="AO52" s="9">
        <v>1.22354446690079</v>
      </c>
      <c r="AP52" s="9">
        <v>318.92278399773198</v>
      </c>
      <c r="AQ52" s="9">
        <v>11.811954962879</v>
      </c>
      <c r="AR52" s="9">
        <v>12.5731591712773</v>
      </c>
      <c r="AS52" s="73" t="s">
        <v>169</v>
      </c>
      <c r="AT52" s="10"/>
      <c r="AU52" s="10" t="s">
        <v>169</v>
      </c>
      <c r="AV52" s="10">
        <v>0</v>
      </c>
      <c r="AW52" s="8"/>
      <c r="AX52" s="74" t="s">
        <v>169</v>
      </c>
      <c r="AY52" s="74"/>
      <c r="AZ52" s="74"/>
      <c r="BA52" s="74"/>
      <c r="BB52" s="8"/>
      <c r="BC52" s="8"/>
      <c r="BD52" s="8"/>
      <c r="BE52" s="8"/>
      <c r="BF52" s="12">
        <v>0.44</v>
      </c>
      <c r="BG52" s="13">
        <v>111.26021606333332</v>
      </c>
      <c r="BH52" s="96" t="str">
        <f>+VLOOKUP(G52,Liste!$A$7:$G$50,3,FALSE)</f>
        <v>Pin sylvestre</v>
      </c>
      <c r="BI52" s="96" t="str">
        <f>+VLOOKUP(H52,Liste!$B$7:$G$50,5,FALSE)</f>
        <v>GS Pineraies des plaines du Centre et du Nord Ouest</v>
      </c>
      <c r="BJ52" s="135">
        <f t="shared" si="0"/>
        <v>27</v>
      </c>
      <c r="BK52" s="135" t="str">
        <f t="shared" si="2"/>
        <v>Pin sylvestre_F2_Eclaircie précoce_GS Pineraies des plaines du Centre et du Nord Ouest_27_</v>
      </c>
      <c r="BL52" s="322"/>
      <c r="BM52" s="13">
        <v>31.604311236666675</v>
      </c>
      <c r="BN52" s="13">
        <v>142.86452729921714</v>
      </c>
      <c r="BO52" s="13"/>
      <c r="BP52" s="13">
        <v>244.97</v>
      </c>
      <c r="BQ52" s="13">
        <v>11.836939117486301</v>
      </c>
      <c r="BT52" s="298" t="str">
        <f>+VLOOKUP(G52,Liste!$A$7:$H$50,8,FALSE)</f>
        <v>Résineux</v>
      </c>
      <c r="BU52" s="298">
        <f t="shared" si="3"/>
        <v>0</v>
      </c>
      <c r="BV52" s="300">
        <f t="shared" si="4"/>
        <v>1</v>
      </c>
      <c r="BW52" s="321">
        <v>0</v>
      </c>
      <c r="BX52" s="298">
        <f t="shared" si="5"/>
        <v>0.43</v>
      </c>
      <c r="BY52">
        <f t="shared" si="6"/>
        <v>0</v>
      </c>
      <c r="BZ52" s="304">
        <f t="shared" si="7"/>
        <v>53.26416562814839</v>
      </c>
      <c r="CB52" s="299">
        <v>0.6</v>
      </c>
      <c r="CC52" s="299">
        <v>0.4</v>
      </c>
      <c r="CD52">
        <f t="shared" si="8"/>
        <v>0</v>
      </c>
      <c r="CE52">
        <f t="shared" si="9"/>
        <v>0</v>
      </c>
      <c r="CF52">
        <f t="shared" si="10"/>
        <v>0</v>
      </c>
      <c r="CG52">
        <f t="shared" si="11"/>
        <v>0</v>
      </c>
      <c r="CH52">
        <f t="shared" si="12"/>
        <v>0</v>
      </c>
      <c r="CI52">
        <f t="shared" si="13"/>
        <v>0</v>
      </c>
      <c r="CJ52">
        <f t="shared" si="14"/>
        <v>0</v>
      </c>
      <c r="CK52">
        <f t="shared" si="15"/>
        <v>53.143059126563564</v>
      </c>
      <c r="CL52">
        <f t="shared" si="16"/>
        <v>16.044575689996989</v>
      </c>
      <c r="CM52">
        <f t="shared" si="26"/>
        <v>69.187634816560546</v>
      </c>
      <c r="CN52">
        <f t="shared" si="18"/>
        <v>234.77752884608859</v>
      </c>
      <c r="CO52">
        <f t="shared" si="1"/>
        <v>0</v>
      </c>
    </row>
    <row r="53" spans="1:93" s="12" customFormat="1" ht="14.65" customHeight="1" x14ac:dyDescent="0.25">
      <c r="A53" s="4">
        <v>2021</v>
      </c>
      <c r="B53" s="4"/>
      <c r="C53" s="4" t="s">
        <v>64</v>
      </c>
      <c r="D53" s="4" t="s">
        <v>65</v>
      </c>
      <c r="E53" s="4"/>
      <c r="F53" s="4" t="s">
        <v>90</v>
      </c>
      <c r="G53" s="5" t="s">
        <v>15</v>
      </c>
      <c r="H53" s="5" t="s">
        <v>21</v>
      </c>
      <c r="I53" s="5" t="s">
        <v>16</v>
      </c>
      <c r="J53" s="5" t="s">
        <v>10</v>
      </c>
      <c r="K53" s="5">
        <v>23</v>
      </c>
      <c r="L53" s="5" t="s">
        <v>192</v>
      </c>
      <c r="M53" s="5">
        <v>2500</v>
      </c>
      <c r="N53" s="5" t="s">
        <v>170</v>
      </c>
      <c r="O53" s="6" t="s">
        <v>78</v>
      </c>
      <c r="P53" s="6" t="s">
        <v>80</v>
      </c>
      <c r="Q53" s="6">
        <v>2003</v>
      </c>
      <c r="R53" s="6"/>
      <c r="S53" s="6">
        <v>24</v>
      </c>
      <c r="T53" s="6">
        <v>11.4</v>
      </c>
      <c r="U53" s="6">
        <v>2157</v>
      </c>
      <c r="V53" s="6">
        <v>40.299999999999997</v>
      </c>
      <c r="W53" s="6">
        <v>0</v>
      </c>
      <c r="X53" s="6">
        <v>600</v>
      </c>
      <c r="Y53" s="6">
        <v>1043</v>
      </c>
      <c r="Z53" s="6">
        <v>457</v>
      </c>
      <c r="AA53" s="6">
        <v>57</v>
      </c>
      <c r="AB53" s="6">
        <v>0</v>
      </c>
      <c r="AC53" s="2">
        <v>28</v>
      </c>
      <c r="AD53" s="2" t="s">
        <v>52</v>
      </c>
      <c r="AE53" s="7">
        <v>13.17</v>
      </c>
      <c r="AF53" s="7">
        <v>950</v>
      </c>
      <c r="AG53" s="7">
        <v>20.9</v>
      </c>
      <c r="AH53" s="7">
        <v>16.739999999999998</v>
      </c>
      <c r="AI53" s="7">
        <v>24.17</v>
      </c>
      <c r="AJ53" s="9">
        <v>117.693231123947</v>
      </c>
      <c r="AK53" s="9">
        <v>118.9641532</v>
      </c>
      <c r="AL53" s="9">
        <v>157.758304080588</v>
      </c>
      <c r="AM53" s="9">
        <v>45.708964091360698</v>
      </c>
      <c r="AN53" s="9">
        <v>1.63246300326288</v>
      </c>
      <c r="AO53" s="9">
        <v>1.21265221959561</v>
      </c>
      <c r="AP53" s="9">
        <v>331.49594316900902</v>
      </c>
      <c r="AQ53" s="9">
        <v>11.8391408274646</v>
      </c>
      <c r="AR53" s="9">
        <v>12.8680458524881</v>
      </c>
      <c r="AS53" s="73" t="s">
        <v>169</v>
      </c>
      <c r="AT53" s="10"/>
      <c r="AU53" s="10" t="s">
        <v>169</v>
      </c>
      <c r="AV53" s="10">
        <v>0</v>
      </c>
      <c r="AW53" s="8"/>
      <c r="AX53" s="74" t="s">
        <v>169</v>
      </c>
      <c r="AY53" s="74"/>
      <c r="AZ53" s="74"/>
      <c r="BA53" s="74"/>
      <c r="BB53" s="8"/>
      <c r="BC53" s="8"/>
      <c r="BD53" s="8"/>
      <c r="BE53" s="8"/>
      <c r="BF53" s="12">
        <v>0.44</v>
      </c>
      <c r="BG53" s="13">
        <v>120.89544701666665</v>
      </c>
      <c r="BH53" s="96" t="str">
        <f>+VLOOKUP(G53,Liste!$A$7:$G$50,3,FALSE)</f>
        <v>Pin sylvestre</v>
      </c>
      <c r="BI53" s="96" t="str">
        <f>+VLOOKUP(H53,Liste!$B$7:$G$50,5,FALSE)</f>
        <v>GS Pineraies des plaines du Centre et du Nord Ouest</v>
      </c>
      <c r="BJ53" s="135">
        <f t="shared" si="0"/>
        <v>28</v>
      </c>
      <c r="BK53" s="135" t="str">
        <f t="shared" si="2"/>
        <v>Pin sylvestre_F2_Eclaircie précoce_GS Pineraies des plaines du Centre et du Nord Ouest_28_</v>
      </c>
      <c r="BL53" s="322"/>
      <c r="BM53" s="13">
        <v>34.01087638333334</v>
      </c>
      <c r="BN53" s="13">
        <v>154.90632344771393</v>
      </c>
      <c r="BO53" s="13"/>
      <c r="BP53" s="13">
        <v>244.97</v>
      </c>
      <c r="BQ53" s="13">
        <v>12.1045167183642</v>
      </c>
      <c r="BT53" s="298" t="str">
        <f>+VLOOKUP(G53,Liste!$A$7:$H$50,8,FALSE)</f>
        <v>Résineux</v>
      </c>
      <c r="BU53" s="298">
        <f t="shared" si="3"/>
        <v>0</v>
      </c>
      <c r="BV53" s="300">
        <f t="shared" si="4"/>
        <v>1</v>
      </c>
      <c r="BW53" s="321">
        <v>0</v>
      </c>
      <c r="BX53" s="298">
        <f t="shared" si="5"/>
        <v>0.43</v>
      </c>
      <c r="BY53">
        <f t="shared" si="6"/>
        <v>0</v>
      </c>
      <c r="BZ53" s="304">
        <f t="shared" si="7"/>
        <v>53.26416562814839</v>
      </c>
      <c r="CB53" s="299">
        <v>0.6</v>
      </c>
      <c r="CC53" s="299">
        <v>0.4</v>
      </c>
      <c r="CD53">
        <f t="shared" si="8"/>
        <v>0</v>
      </c>
      <c r="CE53">
        <f t="shared" si="9"/>
        <v>0</v>
      </c>
      <c r="CF53">
        <f t="shared" si="10"/>
        <v>0</v>
      </c>
      <c r="CG53">
        <f t="shared" si="11"/>
        <v>0</v>
      </c>
      <c r="CH53">
        <f t="shared" si="12"/>
        <v>0</v>
      </c>
      <c r="CI53">
        <f t="shared" si="13"/>
        <v>0</v>
      </c>
      <c r="CJ53">
        <f t="shared" si="14"/>
        <v>0</v>
      </c>
      <c r="CK53">
        <f t="shared" si="15"/>
        <v>51.689859380075667</v>
      </c>
      <c r="CL53">
        <f t="shared" si="16"/>
        <v>11.345228271657701</v>
      </c>
      <c r="CM53">
        <f t="shared" si="26"/>
        <v>63.03508765173337</v>
      </c>
      <c r="CN53">
        <f t="shared" si="18"/>
        <v>297.81261649782198</v>
      </c>
      <c r="CO53">
        <f t="shared" si="1"/>
        <v>0</v>
      </c>
    </row>
    <row r="54" spans="1:93" s="12" customFormat="1" ht="14.65" customHeight="1" x14ac:dyDescent="0.25">
      <c r="A54" s="4">
        <v>2021</v>
      </c>
      <c r="B54" s="4"/>
      <c r="C54" s="4" t="s">
        <v>64</v>
      </c>
      <c r="D54" s="4" t="s">
        <v>65</v>
      </c>
      <c r="E54" s="4"/>
      <c r="F54" s="4" t="s">
        <v>90</v>
      </c>
      <c r="G54" s="5" t="s">
        <v>15</v>
      </c>
      <c r="H54" s="5" t="s">
        <v>21</v>
      </c>
      <c r="I54" s="5" t="s">
        <v>16</v>
      </c>
      <c r="J54" s="5" t="s">
        <v>10</v>
      </c>
      <c r="K54" s="5">
        <v>23</v>
      </c>
      <c r="L54" s="5" t="s">
        <v>192</v>
      </c>
      <c r="M54" s="5">
        <v>2500</v>
      </c>
      <c r="N54" s="5" t="s">
        <v>170</v>
      </c>
      <c r="O54" s="6" t="s">
        <v>78</v>
      </c>
      <c r="P54" s="6" t="s">
        <v>80</v>
      </c>
      <c r="Q54" s="6">
        <v>2003</v>
      </c>
      <c r="R54" s="6"/>
      <c r="S54" s="6">
        <v>24</v>
      </c>
      <c r="T54" s="6">
        <v>11.4</v>
      </c>
      <c r="U54" s="6">
        <v>2157</v>
      </c>
      <c r="V54" s="6">
        <v>40.299999999999997</v>
      </c>
      <c r="W54" s="6">
        <v>0</v>
      </c>
      <c r="X54" s="6">
        <v>600</v>
      </c>
      <c r="Y54" s="6">
        <v>1043</v>
      </c>
      <c r="Z54" s="6">
        <v>457</v>
      </c>
      <c r="AA54" s="6">
        <v>57</v>
      </c>
      <c r="AB54" s="6">
        <v>0</v>
      </c>
      <c r="AC54" s="2">
        <v>29</v>
      </c>
      <c r="AD54" s="2" t="s">
        <v>52</v>
      </c>
      <c r="AE54" s="7">
        <v>13.6</v>
      </c>
      <c r="AF54" s="7">
        <v>950</v>
      </c>
      <c r="AG54" s="7">
        <v>22.12</v>
      </c>
      <c r="AH54" s="7">
        <v>17.22</v>
      </c>
      <c r="AI54" s="7">
        <v>24.92</v>
      </c>
      <c r="AJ54" s="9">
        <v>128.509637503965</v>
      </c>
      <c r="AK54" s="9">
        <v>129.8991374</v>
      </c>
      <c r="AL54" s="9">
        <v>170.626349933076</v>
      </c>
      <c r="AM54" s="9">
        <v>46.921616310956303</v>
      </c>
      <c r="AN54" s="9">
        <v>1.6179867693433201</v>
      </c>
      <c r="AO54" s="9">
        <v>1.2042320601336101</v>
      </c>
      <c r="AP54" s="9">
        <v>344.36398902149801</v>
      </c>
      <c r="AQ54" s="9">
        <v>11.874620311086099</v>
      </c>
      <c r="AR54" s="9">
        <v>13.140654617263399</v>
      </c>
      <c r="AS54" s="73" t="s">
        <v>169</v>
      </c>
      <c r="AT54" s="10"/>
      <c r="AU54" s="10" t="s">
        <v>169</v>
      </c>
      <c r="AV54" s="10">
        <v>0</v>
      </c>
      <c r="AW54" s="8"/>
      <c r="AX54" s="74" t="s">
        <v>169</v>
      </c>
      <c r="AY54" s="74"/>
      <c r="AZ54" s="74"/>
      <c r="BA54" s="74"/>
      <c r="BB54" s="8"/>
      <c r="BC54" s="8"/>
      <c r="BD54" s="8"/>
      <c r="BE54" s="8"/>
      <c r="BF54" s="12">
        <v>0.44</v>
      </c>
      <c r="BG54" s="13">
        <v>130.75665951333335</v>
      </c>
      <c r="BH54" s="96" t="str">
        <f>+VLOOKUP(G54,Liste!$A$7:$G$50,3,FALSE)</f>
        <v>Pin sylvestre</v>
      </c>
      <c r="BI54" s="96" t="str">
        <f>+VLOOKUP(H54,Liste!$B$7:$G$50,5,FALSE)</f>
        <v>GS Pineraies des plaines du Centre et du Nord Ouest</v>
      </c>
      <c r="BJ54" s="135">
        <f t="shared" si="0"/>
        <v>29</v>
      </c>
      <c r="BK54" s="135" t="str">
        <f t="shared" si="2"/>
        <v>Pin sylvestre_F2_Eclaircie précoce_GS Pineraies des plaines du Centre et du Nord Ouest_29_</v>
      </c>
      <c r="BL54" s="322"/>
      <c r="BM54" s="13">
        <v>36.450863786666645</v>
      </c>
      <c r="BN54" s="13">
        <v>167.20752326786933</v>
      </c>
      <c r="BO54" s="13"/>
      <c r="BP54" s="13">
        <v>244.97</v>
      </c>
      <c r="BQ54" s="13">
        <v>12.350902766297301</v>
      </c>
      <c r="BT54" s="298" t="str">
        <f>+VLOOKUP(G54,Liste!$A$7:$H$50,8,FALSE)</f>
        <v>Résineux</v>
      </c>
      <c r="BU54" s="298">
        <f t="shared" si="3"/>
        <v>0</v>
      </c>
      <c r="BV54" s="300">
        <f t="shared" si="4"/>
        <v>1</v>
      </c>
      <c r="BW54" s="321">
        <v>0</v>
      </c>
      <c r="BX54" s="298">
        <f t="shared" si="5"/>
        <v>0.43</v>
      </c>
      <c r="BY54">
        <f t="shared" si="6"/>
        <v>0</v>
      </c>
      <c r="BZ54" s="304">
        <f t="shared" si="7"/>
        <v>53.26416562814839</v>
      </c>
      <c r="CB54" s="299">
        <v>0.6</v>
      </c>
      <c r="CC54" s="299">
        <v>0.4</v>
      </c>
      <c r="CD54">
        <f t="shared" si="8"/>
        <v>0</v>
      </c>
      <c r="CE54">
        <f t="shared" si="9"/>
        <v>0</v>
      </c>
      <c r="CF54">
        <f t="shared" si="10"/>
        <v>0</v>
      </c>
      <c r="CG54">
        <f t="shared" si="11"/>
        <v>0</v>
      </c>
      <c r="CH54">
        <f t="shared" si="12"/>
        <v>0</v>
      </c>
      <c r="CI54">
        <f t="shared" si="13"/>
        <v>0</v>
      </c>
      <c r="CJ54">
        <f t="shared" si="14"/>
        <v>0</v>
      </c>
      <c r="CK54">
        <f t="shared" si="15"/>
        <v>50.27639745707593</v>
      </c>
      <c r="CL54">
        <f t="shared" si="16"/>
        <v>8.0222878449984947</v>
      </c>
      <c r="CM54">
        <f t="shared" si="26"/>
        <v>58.298685302074425</v>
      </c>
      <c r="CN54">
        <f t="shared" si="18"/>
        <v>356.11130179989641</v>
      </c>
      <c r="CO54">
        <f t="shared" si="1"/>
        <v>0</v>
      </c>
    </row>
    <row r="55" spans="1:93" s="12" customFormat="1" ht="14.65" customHeight="1" x14ac:dyDescent="0.25">
      <c r="A55" s="4">
        <v>2021</v>
      </c>
      <c r="B55" s="4"/>
      <c r="C55" s="4" t="s">
        <v>64</v>
      </c>
      <c r="D55" s="4" t="s">
        <v>65</v>
      </c>
      <c r="E55" s="4"/>
      <c r="F55" s="4" t="s">
        <v>90</v>
      </c>
      <c r="G55" s="5" t="s">
        <v>15</v>
      </c>
      <c r="H55" s="5" t="s">
        <v>21</v>
      </c>
      <c r="I55" s="5" t="s">
        <v>16</v>
      </c>
      <c r="J55" s="5" t="s">
        <v>10</v>
      </c>
      <c r="K55" s="5">
        <v>23</v>
      </c>
      <c r="L55" s="5" t="s">
        <v>192</v>
      </c>
      <c r="M55" s="5">
        <v>2500</v>
      </c>
      <c r="N55" s="5" t="s">
        <v>170</v>
      </c>
      <c r="O55" s="6" t="s">
        <v>78</v>
      </c>
      <c r="P55" s="6" t="s">
        <v>80</v>
      </c>
      <c r="Q55" s="6">
        <v>2003</v>
      </c>
      <c r="R55" s="6"/>
      <c r="S55" s="6">
        <v>24</v>
      </c>
      <c r="T55" s="6">
        <v>11.4</v>
      </c>
      <c r="U55" s="6">
        <v>2157</v>
      </c>
      <c r="V55" s="6">
        <v>40.299999999999997</v>
      </c>
      <c r="W55" s="6">
        <v>0</v>
      </c>
      <c r="X55" s="6">
        <v>600</v>
      </c>
      <c r="Y55" s="6">
        <v>1043</v>
      </c>
      <c r="Z55" s="6">
        <v>457</v>
      </c>
      <c r="AA55" s="6">
        <v>57</v>
      </c>
      <c r="AB55" s="6">
        <v>0</v>
      </c>
      <c r="AC55" s="2">
        <v>30</v>
      </c>
      <c r="AD55" s="2" t="s">
        <v>52</v>
      </c>
      <c r="AE55" s="7">
        <v>14.02</v>
      </c>
      <c r="AF55" s="7">
        <v>950</v>
      </c>
      <c r="AG55" s="7">
        <v>23.32</v>
      </c>
      <c r="AH55" s="7">
        <v>17.68</v>
      </c>
      <c r="AI55" s="7">
        <v>25.66</v>
      </c>
      <c r="AJ55" s="9">
        <v>139.60694211557001</v>
      </c>
      <c r="AK55" s="9">
        <v>141.1173905</v>
      </c>
      <c r="AL55" s="9">
        <v>183.76700455033901</v>
      </c>
      <c r="AM55" s="9">
        <v>48.125848371089901</v>
      </c>
      <c r="AN55" s="9">
        <v>1.604194945703</v>
      </c>
      <c r="AO55" s="9">
        <v>1.0145922072100699</v>
      </c>
      <c r="AP55" s="9">
        <v>357.50464363876102</v>
      </c>
      <c r="AQ55" s="9">
        <v>11.916821454625399</v>
      </c>
      <c r="AR55" s="9">
        <v>11.611572265008499</v>
      </c>
      <c r="AS55" s="73" t="s">
        <v>169</v>
      </c>
      <c r="AT55" s="10"/>
      <c r="AU55" s="10" t="s">
        <v>169</v>
      </c>
      <c r="AV55" s="10">
        <v>0</v>
      </c>
      <c r="AW55" s="8"/>
      <c r="AX55" s="74" t="s">
        <v>169</v>
      </c>
      <c r="AY55" s="74"/>
      <c r="AZ55" s="74"/>
      <c r="BA55" s="74"/>
      <c r="BB55" s="8"/>
      <c r="BC55" s="8"/>
      <c r="BD55" s="8"/>
      <c r="BE55" s="8"/>
      <c r="BF55" s="12">
        <v>0.44</v>
      </c>
      <c r="BG55" s="13">
        <v>140.82678114999999</v>
      </c>
      <c r="BH55" s="96" t="str">
        <f>+VLOOKUP(G55,Liste!$A$7:$G$50,3,FALSE)</f>
        <v>Pin sylvestre</v>
      </c>
      <c r="BI55" s="96" t="str">
        <f>+VLOOKUP(H55,Liste!$B$7:$G$50,5,FALSE)</f>
        <v>GS Pineraies des plaines du Centre et du Nord Ouest</v>
      </c>
      <c r="BJ55" s="135">
        <f t="shared" si="0"/>
        <v>30</v>
      </c>
      <c r="BK55" s="135" t="str">
        <f t="shared" si="2"/>
        <v>Pin sylvestre_F2_Eclaircie précoce_GS Pineraies des plaines du Centre et du Nord Ouest_30_</v>
      </c>
      <c r="BL55" s="322"/>
      <c r="BM55" s="13">
        <v>38.92052455000001</v>
      </c>
      <c r="BN55" s="13">
        <v>179.74730571325844</v>
      </c>
      <c r="BO55" s="13"/>
      <c r="BP55" s="13">
        <v>244.97</v>
      </c>
      <c r="BQ55" s="13">
        <v>10.9055997545676</v>
      </c>
      <c r="BT55" s="298" t="str">
        <f>+VLOOKUP(G55,Liste!$A$7:$H$50,8,FALSE)</f>
        <v>Résineux</v>
      </c>
      <c r="BU55" s="298">
        <f t="shared" si="3"/>
        <v>0</v>
      </c>
      <c r="BV55" s="300">
        <f t="shared" si="4"/>
        <v>1</v>
      </c>
      <c r="BW55" s="321">
        <v>0</v>
      </c>
      <c r="BX55" s="298">
        <f t="shared" si="5"/>
        <v>0.43</v>
      </c>
      <c r="BY55">
        <f t="shared" si="6"/>
        <v>0</v>
      </c>
      <c r="BZ55" s="304">
        <f t="shared" si="7"/>
        <v>53.26416562814839</v>
      </c>
      <c r="CB55" s="299">
        <v>0.6</v>
      </c>
      <c r="CC55" s="299">
        <v>0.4</v>
      </c>
      <c r="CD55">
        <f t="shared" si="8"/>
        <v>0</v>
      </c>
      <c r="CE55">
        <f t="shared" si="9"/>
        <v>0</v>
      </c>
      <c r="CF55">
        <f t="shared" si="10"/>
        <v>0</v>
      </c>
      <c r="CG55">
        <f t="shared" si="11"/>
        <v>0</v>
      </c>
      <c r="CH55">
        <f t="shared" si="12"/>
        <v>0</v>
      </c>
      <c r="CI55">
        <f t="shared" si="13"/>
        <v>0</v>
      </c>
      <c r="CJ55">
        <f t="shared" si="14"/>
        <v>0</v>
      </c>
      <c r="CK55">
        <f t="shared" si="15"/>
        <v>48.901586724691356</v>
      </c>
      <c r="CL55">
        <f t="shared" si="16"/>
        <v>5.6726141358288507</v>
      </c>
      <c r="CM55">
        <f t="shared" si="26"/>
        <v>54.574200860520207</v>
      </c>
      <c r="CN55">
        <f t="shared" si="18"/>
        <v>410.6855026604166</v>
      </c>
      <c r="CO55">
        <f t="shared" si="1"/>
        <v>13.689516755347221</v>
      </c>
    </row>
    <row r="56" spans="1:93" s="12" customFormat="1" ht="14.65" customHeight="1" x14ac:dyDescent="0.25">
      <c r="A56" s="4">
        <v>2021</v>
      </c>
      <c r="B56" s="4"/>
      <c r="C56" s="4" t="s">
        <v>64</v>
      </c>
      <c r="D56" s="4" t="s">
        <v>65</v>
      </c>
      <c r="E56" s="4"/>
      <c r="F56" s="4" t="s">
        <v>90</v>
      </c>
      <c r="G56" s="5" t="s">
        <v>15</v>
      </c>
      <c r="H56" s="5" t="s">
        <v>21</v>
      </c>
      <c r="I56" s="5" t="s">
        <v>16</v>
      </c>
      <c r="J56" s="5" t="s">
        <v>10</v>
      </c>
      <c r="K56" s="5">
        <v>23</v>
      </c>
      <c r="L56" s="5" t="s">
        <v>192</v>
      </c>
      <c r="M56" s="5">
        <v>2500</v>
      </c>
      <c r="N56" s="5" t="s">
        <v>170</v>
      </c>
      <c r="O56" s="6" t="s">
        <v>78</v>
      </c>
      <c r="P56" s="6" t="s">
        <v>80</v>
      </c>
      <c r="Q56" s="6">
        <v>2003</v>
      </c>
      <c r="R56" s="6"/>
      <c r="S56" s="6">
        <v>24</v>
      </c>
      <c r="T56" s="6">
        <v>11.4</v>
      </c>
      <c r="U56" s="6">
        <v>2157</v>
      </c>
      <c r="V56" s="6">
        <v>40.299999999999997</v>
      </c>
      <c r="W56" s="6">
        <v>0</v>
      </c>
      <c r="X56" s="6">
        <v>600</v>
      </c>
      <c r="Y56" s="6">
        <v>1043</v>
      </c>
      <c r="Z56" s="6">
        <v>457</v>
      </c>
      <c r="AA56" s="6">
        <v>57</v>
      </c>
      <c r="AB56" s="6">
        <v>0</v>
      </c>
      <c r="AC56" s="2">
        <v>30</v>
      </c>
      <c r="AD56" s="2" t="s">
        <v>53</v>
      </c>
      <c r="AE56" s="7">
        <v>14.02</v>
      </c>
      <c r="AF56" s="7">
        <v>700</v>
      </c>
      <c r="AG56" s="7">
        <v>17.87</v>
      </c>
      <c r="AH56" s="7">
        <v>18.03</v>
      </c>
      <c r="AI56" s="7">
        <v>24.3</v>
      </c>
      <c r="AJ56" s="9">
        <v>107.49165634958599</v>
      </c>
      <c r="AK56" s="9">
        <v>108.6386988</v>
      </c>
      <c r="AL56" s="9">
        <v>141.034579499872</v>
      </c>
      <c r="AM56" s="9">
        <v>48.125848371089901</v>
      </c>
      <c r="AN56" s="9">
        <v>1.604194945703</v>
      </c>
      <c r="AO56" s="9">
        <v>1.0145922072100699</v>
      </c>
      <c r="AP56" s="9">
        <v>357.50464363876102</v>
      </c>
      <c r="AQ56" s="9">
        <v>11.916821454625399</v>
      </c>
      <c r="AR56" s="9">
        <v>11.611572265008499</v>
      </c>
      <c r="AS56" s="73">
        <v>250</v>
      </c>
      <c r="AT56" s="10">
        <v>5.1167054537498977</v>
      </c>
      <c r="AU56" s="10">
        <v>16.142851944407401</v>
      </c>
      <c r="AV56" s="10">
        <v>32.115285765984012</v>
      </c>
      <c r="AW56" s="10">
        <v>0.84546168376112552</v>
      </c>
      <c r="AX56" s="74">
        <v>0.12846114306393605</v>
      </c>
      <c r="AY56" s="74"/>
      <c r="AZ56" s="74"/>
      <c r="BA56" s="74"/>
      <c r="BB56" s="10"/>
      <c r="BC56" s="10"/>
      <c r="BD56" s="10"/>
      <c r="BE56" s="10"/>
      <c r="BF56" s="12">
        <v>0.44</v>
      </c>
      <c r="BG56" s="13">
        <v>108.07949944000001</v>
      </c>
      <c r="BH56" s="96" t="str">
        <f>+VLOOKUP(G56,Liste!$A$7:$G$50,3,FALSE)</f>
        <v>Pin sylvestre</v>
      </c>
      <c r="BI56" s="96" t="str">
        <f>+VLOOKUP(H56,Liste!$B$7:$G$50,5,FALSE)</f>
        <v>GS Pineraies des plaines du Centre et du Nord Ouest</v>
      </c>
      <c r="BJ56" s="135">
        <f t="shared" si="0"/>
        <v>30</v>
      </c>
      <c r="BK56" s="135" t="str">
        <f t="shared" si="2"/>
        <v>Pin sylvestre_F2_Eclaircie précoce_GS Pineraies des plaines du Centre et du Nord Ouest_30_</v>
      </c>
      <c r="BL56" s="322"/>
      <c r="BM56" s="13">
        <v>30.80462996</v>
      </c>
      <c r="BN56" s="13">
        <v>138.88412944762325</v>
      </c>
      <c r="BO56" s="13">
        <v>40.86317626563519</v>
      </c>
      <c r="BP56" s="13">
        <v>244.97</v>
      </c>
      <c r="BQ56" s="13">
        <v>10.9055997545676</v>
      </c>
      <c r="BT56" s="298" t="str">
        <f>+VLOOKUP(G56,Liste!$A$7:$H$50,8,FALSE)</f>
        <v>Résineux</v>
      </c>
      <c r="BU56" s="298">
        <f t="shared" si="3"/>
        <v>0</v>
      </c>
      <c r="BV56" s="300">
        <f t="shared" si="4"/>
        <v>1</v>
      </c>
      <c r="BW56" s="321">
        <v>0</v>
      </c>
      <c r="BX56" s="298">
        <f t="shared" si="5"/>
        <v>0.43</v>
      </c>
      <c r="BY56">
        <f t="shared" si="6"/>
        <v>13.809572879373125</v>
      </c>
      <c r="BZ56" s="304">
        <f t="shared" si="7"/>
        <v>67.073738507521512</v>
      </c>
      <c r="CB56" s="299">
        <v>0.6</v>
      </c>
      <c r="CC56" s="299">
        <v>0.4</v>
      </c>
      <c r="CD56">
        <f t="shared" si="8"/>
        <v>0</v>
      </c>
      <c r="CE56">
        <f t="shared" si="9"/>
        <v>19.269171459590407</v>
      </c>
      <c r="CF56">
        <f t="shared" si="10"/>
        <v>12.846114306393606</v>
      </c>
      <c r="CG56">
        <f t="shared" si="11"/>
        <v>0</v>
      </c>
      <c r="CH56">
        <f t="shared" si="12"/>
        <v>14.766608395199448</v>
      </c>
      <c r="CI56">
        <f t="shared" si="13"/>
        <v>9.844405596799632</v>
      </c>
      <c r="CJ56">
        <f t="shared" si="14"/>
        <v>0</v>
      </c>
      <c r="CK56">
        <f t="shared" si="15"/>
        <v>47.564370264081994</v>
      </c>
      <c r="CL56">
        <f t="shared" si="16"/>
        <v>4.0111439224992473</v>
      </c>
      <c r="CM56">
        <f t="shared" si="26"/>
        <v>51.575514186581245</v>
      </c>
      <c r="CN56">
        <f t="shared" si="18"/>
        <v>462.26101684699785</v>
      </c>
      <c r="CO56">
        <f t="shared" si="1"/>
        <v>15.408700561566596</v>
      </c>
    </row>
    <row r="57" spans="1:93" s="12" customFormat="1" ht="14.65" customHeight="1" x14ac:dyDescent="0.25">
      <c r="A57" s="4">
        <v>2021</v>
      </c>
      <c r="B57" s="4"/>
      <c r="C57" s="4" t="s">
        <v>64</v>
      </c>
      <c r="D57" s="4" t="s">
        <v>65</v>
      </c>
      <c r="E57" s="4"/>
      <c r="F57" s="4" t="s">
        <v>90</v>
      </c>
      <c r="G57" s="5" t="s">
        <v>15</v>
      </c>
      <c r="H57" s="5" t="s">
        <v>21</v>
      </c>
      <c r="I57" s="5" t="s">
        <v>16</v>
      </c>
      <c r="J57" s="5" t="s">
        <v>10</v>
      </c>
      <c r="K57" s="5">
        <v>23</v>
      </c>
      <c r="L57" s="5" t="s">
        <v>192</v>
      </c>
      <c r="M57" s="5">
        <v>2500</v>
      </c>
      <c r="N57" s="5" t="s">
        <v>170</v>
      </c>
      <c r="O57" s="6" t="s">
        <v>78</v>
      </c>
      <c r="P57" s="6" t="s">
        <v>80</v>
      </c>
      <c r="Q57" s="6">
        <v>2003</v>
      </c>
      <c r="R57" s="6"/>
      <c r="S57" s="6">
        <v>24</v>
      </c>
      <c r="T57" s="6">
        <v>11.4</v>
      </c>
      <c r="U57" s="6">
        <v>2157</v>
      </c>
      <c r="V57" s="6">
        <v>40.299999999999997</v>
      </c>
      <c r="W57" s="6">
        <v>0</v>
      </c>
      <c r="X57" s="6">
        <v>600</v>
      </c>
      <c r="Y57" s="6">
        <v>1043</v>
      </c>
      <c r="Z57" s="6">
        <v>457</v>
      </c>
      <c r="AA57" s="6">
        <v>57</v>
      </c>
      <c r="AB57" s="6">
        <v>0</v>
      </c>
      <c r="AC57" s="2">
        <v>31</v>
      </c>
      <c r="AD57" s="2" t="s">
        <v>52</v>
      </c>
      <c r="AE57" s="7">
        <v>14.44</v>
      </c>
      <c r="AF57" s="7">
        <v>700</v>
      </c>
      <c r="AG57" s="7">
        <v>18.89</v>
      </c>
      <c r="AH57" s="7">
        <v>18.53</v>
      </c>
      <c r="AI57" s="7">
        <v>25.02</v>
      </c>
      <c r="AJ57" s="9">
        <v>117.463422887413</v>
      </c>
      <c r="AK57" s="9">
        <v>118.70305190000001</v>
      </c>
      <c r="AL57" s="9">
        <v>152.64615176488101</v>
      </c>
      <c r="AM57" s="9">
        <v>49.140440578300002</v>
      </c>
      <c r="AN57" s="9">
        <v>1.5851755025258101</v>
      </c>
      <c r="AO57" s="9">
        <v>1.0039016894231501</v>
      </c>
      <c r="AP57" s="9">
        <v>369.11621590377001</v>
      </c>
      <c r="AQ57" s="9">
        <v>11.9069747065732</v>
      </c>
      <c r="AR57" s="9">
        <v>11.3662603411007</v>
      </c>
      <c r="AS57" s="73" t="s">
        <v>169</v>
      </c>
      <c r="AT57" s="10"/>
      <c r="AU57" s="10" t="s">
        <v>169</v>
      </c>
      <c r="AV57" s="10">
        <v>0</v>
      </c>
      <c r="AW57" s="8"/>
      <c r="AX57" s="74" t="s">
        <v>169</v>
      </c>
      <c r="AY57" s="74"/>
      <c r="AZ57" s="74"/>
      <c r="BA57" s="74"/>
      <c r="BB57" s="8"/>
      <c r="BC57" s="8"/>
      <c r="BD57" s="8"/>
      <c r="BE57" s="8"/>
      <c r="BF57" s="12">
        <v>0.44</v>
      </c>
      <c r="BG57" s="13">
        <v>116.97783430666668</v>
      </c>
      <c r="BH57" s="96" t="str">
        <f>+VLOOKUP(G57,Liste!$A$7:$G$50,3,FALSE)</f>
        <v>Pin sylvestre</v>
      </c>
      <c r="BI57" s="96" t="str">
        <f>+VLOOKUP(H57,Liste!$B$7:$G$50,5,FALSE)</f>
        <v>GS Pineraies des plaines du Centre et du Nord Ouest</v>
      </c>
      <c r="BJ57" s="135">
        <f t="shared" si="0"/>
        <v>31</v>
      </c>
      <c r="BK57" s="135" t="str">
        <f t="shared" si="2"/>
        <v>Pin sylvestre_F2_Eclaircie précoce_GS Pineraies des plaines du Centre et du Nord Ouest_31_</v>
      </c>
      <c r="BL57" s="322"/>
      <c r="BM57" s="13">
        <v>33.035182893333328</v>
      </c>
      <c r="BN57" s="13">
        <v>150.0130172223023</v>
      </c>
      <c r="BO57" s="13"/>
      <c r="BP57" s="13">
        <v>244.97</v>
      </c>
      <c r="BQ57" s="13">
        <v>10.6680939190424</v>
      </c>
      <c r="BT57" s="298" t="str">
        <f>+VLOOKUP(G57,Liste!$A$7:$H$50,8,FALSE)</f>
        <v>Résineux</v>
      </c>
      <c r="BU57" s="298">
        <f t="shared" si="3"/>
        <v>0</v>
      </c>
      <c r="BV57" s="300">
        <f t="shared" si="4"/>
        <v>1</v>
      </c>
      <c r="BW57" s="321">
        <v>0</v>
      </c>
      <c r="BX57" s="298">
        <f t="shared" si="5"/>
        <v>0.43</v>
      </c>
      <c r="BY57">
        <f t="shared" si="6"/>
        <v>0</v>
      </c>
      <c r="BZ57" s="304">
        <f t="shared" si="7"/>
        <v>0</v>
      </c>
      <c r="CB57" s="299">
        <v>0.6</v>
      </c>
      <c r="CC57" s="299">
        <v>0.4</v>
      </c>
      <c r="CD57">
        <f t="shared" si="8"/>
        <v>0</v>
      </c>
      <c r="CE57">
        <f t="shared" si="9"/>
        <v>0</v>
      </c>
      <c r="CF57">
        <f t="shared" si="10"/>
        <v>0</v>
      </c>
      <c r="CG57">
        <f t="shared" si="11"/>
        <v>0</v>
      </c>
      <c r="CH57">
        <f t="shared" si="12"/>
        <v>0</v>
      </c>
      <c r="CI57">
        <f t="shared" si="13"/>
        <v>0</v>
      </c>
      <c r="CJ57">
        <f t="shared" si="14"/>
        <v>0</v>
      </c>
      <c r="CK57">
        <f t="shared" si="15"/>
        <v>60.827498661997176</v>
      </c>
      <c r="CL57">
        <f t="shared" si="16"/>
        <v>11.155924382732168</v>
      </c>
      <c r="CM57">
        <f t="shared" si="26"/>
        <v>71.983423044729349</v>
      </c>
      <c r="CN57">
        <f t="shared" si="18"/>
        <v>534.24443989172721</v>
      </c>
      <c r="CO57">
        <f t="shared" si="1"/>
        <v>0</v>
      </c>
    </row>
    <row r="58" spans="1:93" s="12" customFormat="1" ht="14.65" customHeight="1" x14ac:dyDescent="0.25">
      <c r="A58" s="4">
        <v>2021</v>
      </c>
      <c r="B58" s="4"/>
      <c r="C58" s="4" t="s">
        <v>64</v>
      </c>
      <c r="D58" s="4" t="s">
        <v>65</v>
      </c>
      <c r="E58" s="4"/>
      <c r="F58" s="4" t="s">
        <v>90</v>
      </c>
      <c r="G58" s="5" t="s">
        <v>15</v>
      </c>
      <c r="H58" s="5" t="s">
        <v>21</v>
      </c>
      <c r="I58" s="5" t="s">
        <v>16</v>
      </c>
      <c r="J58" s="5" t="s">
        <v>10</v>
      </c>
      <c r="K58" s="5">
        <v>23</v>
      </c>
      <c r="L58" s="5" t="s">
        <v>192</v>
      </c>
      <c r="M58" s="5">
        <v>2500</v>
      </c>
      <c r="N58" s="5" t="s">
        <v>170</v>
      </c>
      <c r="O58" s="6" t="s">
        <v>78</v>
      </c>
      <c r="P58" s="6" t="s">
        <v>80</v>
      </c>
      <c r="Q58" s="6">
        <v>2003</v>
      </c>
      <c r="R58" s="6"/>
      <c r="S58" s="6">
        <v>24</v>
      </c>
      <c r="T58" s="6">
        <v>11.4</v>
      </c>
      <c r="U58" s="6">
        <v>2157</v>
      </c>
      <c r="V58" s="6">
        <v>40.299999999999997</v>
      </c>
      <c r="W58" s="6">
        <v>0</v>
      </c>
      <c r="X58" s="6">
        <v>600</v>
      </c>
      <c r="Y58" s="6">
        <v>1043</v>
      </c>
      <c r="Z58" s="6">
        <v>457</v>
      </c>
      <c r="AA58" s="6">
        <v>57</v>
      </c>
      <c r="AB58" s="6">
        <v>0</v>
      </c>
      <c r="AC58" s="2">
        <v>32</v>
      </c>
      <c r="AD58" s="2" t="s">
        <v>52</v>
      </c>
      <c r="AE58" s="7">
        <v>14.84</v>
      </c>
      <c r="AF58" s="7">
        <v>700</v>
      </c>
      <c r="AG58" s="7">
        <v>19.89</v>
      </c>
      <c r="AH58" s="7">
        <v>19.02</v>
      </c>
      <c r="AI58" s="7">
        <v>25.71</v>
      </c>
      <c r="AJ58" s="9">
        <v>127.1107413978</v>
      </c>
      <c r="AK58" s="9">
        <v>128.45729789999999</v>
      </c>
      <c r="AL58" s="9">
        <v>164.01241210598101</v>
      </c>
      <c r="AM58" s="9">
        <v>50.144342267723097</v>
      </c>
      <c r="AN58" s="9">
        <v>1.5670106958663499</v>
      </c>
      <c r="AO58" s="9">
        <v>0.99366316042529901</v>
      </c>
      <c r="AP58" s="9">
        <v>380.48247624486999</v>
      </c>
      <c r="AQ58" s="9">
        <v>11.890077382652199</v>
      </c>
      <c r="AR58" s="9">
        <v>11.5536305298718</v>
      </c>
      <c r="AS58" s="73" t="s">
        <v>169</v>
      </c>
      <c r="AT58" s="10"/>
      <c r="AU58" s="10" t="s">
        <v>169</v>
      </c>
      <c r="AV58" s="10">
        <v>0</v>
      </c>
      <c r="AW58" s="8"/>
      <c r="AX58" s="74" t="s">
        <v>169</v>
      </c>
      <c r="AY58" s="74"/>
      <c r="AZ58" s="74"/>
      <c r="BA58" s="74"/>
      <c r="BB58" s="8"/>
      <c r="BC58" s="8"/>
      <c r="BD58" s="8"/>
      <c r="BE58" s="8"/>
      <c r="BF58" s="12">
        <v>0.44</v>
      </c>
      <c r="BG58" s="13">
        <v>125.68817847666668</v>
      </c>
      <c r="BH58" s="96" t="str">
        <f>+VLOOKUP(G58,Liste!$A$7:$G$50,3,FALSE)</f>
        <v>Pin sylvestre</v>
      </c>
      <c r="BI58" s="96" t="str">
        <f>+VLOOKUP(H58,Liste!$B$7:$G$50,5,FALSE)</f>
        <v>GS Pineraies des plaines du Centre et du Nord Ouest</v>
      </c>
      <c r="BJ58" s="135">
        <f t="shared" si="0"/>
        <v>32</v>
      </c>
      <c r="BK58" s="135" t="str">
        <f t="shared" si="2"/>
        <v>Pin sylvestre_F2_Eclaircie précoce_GS Pineraies des plaines du Centre et du Nord Ouest_32_</v>
      </c>
      <c r="BL58" s="322"/>
      <c r="BM58" s="13">
        <v>35.199537423333311</v>
      </c>
      <c r="BN58" s="13">
        <v>160.88771587727814</v>
      </c>
      <c r="BO58" s="13"/>
      <c r="BP58" s="13">
        <v>244.97</v>
      </c>
      <c r="BQ58" s="13">
        <v>10.836990430221199</v>
      </c>
      <c r="BT58" s="298" t="str">
        <f>+VLOOKUP(G58,Liste!$A$7:$H$50,8,FALSE)</f>
        <v>Résineux</v>
      </c>
      <c r="BU58" s="298">
        <f t="shared" si="3"/>
        <v>0</v>
      </c>
      <c r="BV58" s="300">
        <f t="shared" si="4"/>
        <v>1</v>
      </c>
      <c r="BW58" s="321">
        <v>0</v>
      </c>
      <c r="BX58" s="298">
        <f t="shared" si="5"/>
        <v>0.43</v>
      </c>
      <c r="BY58">
        <f t="shared" si="6"/>
        <v>0</v>
      </c>
      <c r="BZ58" s="304">
        <f t="shared" si="7"/>
        <v>0</v>
      </c>
      <c r="CB58" s="299">
        <v>0.6</v>
      </c>
      <c r="CC58" s="299">
        <v>0.4</v>
      </c>
      <c r="CD58">
        <f t="shared" si="8"/>
        <v>0</v>
      </c>
      <c r="CE58">
        <f t="shared" si="9"/>
        <v>0</v>
      </c>
      <c r="CF58">
        <f t="shared" si="10"/>
        <v>0</v>
      </c>
      <c r="CG58">
        <f t="shared" si="11"/>
        <v>0</v>
      </c>
      <c r="CH58">
        <f t="shared" si="12"/>
        <v>0</v>
      </c>
      <c r="CI58">
        <f t="shared" si="13"/>
        <v>0</v>
      </c>
      <c r="CJ58">
        <f t="shared" si="14"/>
        <v>0</v>
      </c>
      <c r="CK58">
        <f t="shared" si="15"/>
        <v>0</v>
      </c>
      <c r="CL58">
        <f t="shared" si="16"/>
        <v>0</v>
      </c>
      <c r="CM58">
        <f t="shared" si="26"/>
        <v>0</v>
      </c>
      <c r="CN58">
        <f t="shared" si="18"/>
        <v>0</v>
      </c>
      <c r="CO58">
        <f t="shared" si="1"/>
        <v>0</v>
      </c>
    </row>
    <row r="59" spans="1:93" s="12" customFormat="1" ht="14.65" customHeight="1" x14ac:dyDescent="0.25">
      <c r="A59" s="4">
        <v>2021</v>
      </c>
      <c r="B59" s="4"/>
      <c r="C59" s="4" t="s">
        <v>64</v>
      </c>
      <c r="D59" s="4" t="s">
        <v>65</v>
      </c>
      <c r="E59" s="4"/>
      <c r="F59" s="4" t="s">
        <v>90</v>
      </c>
      <c r="G59" s="5" t="s">
        <v>15</v>
      </c>
      <c r="H59" s="5" t="s">
        <v>21</v>
      </c>
      <c r="I59" s="5" t="s">
        <v>16</v>
      </c>
      <c r="J59" s="5" t="s">
        <v>10</v>
      </c>
      <c r="K59" s="5">
        <v>23</v>
      </c>
      <c r="L59" s="5" t="s">
        <v>192</v>
      </c>
      <c r="M59" s="5">
        <v>2500</v>
      </c>
      <c r="N59" s="5" t="s">
        <v>170</v>
      </c>
      <c r="O59" s="6" t="s">
        <v>78</v>
      </c>
      <c r="P59" s="6" t="s">
        <v>80</v>
      </c>
      <c r="Q59" s="6">
        <v>2003</v>
      </c>
      <c r="R59" s="6"/>
      <c r="S59" s="6">
        <v>24</v>
      </c>
      <c r="T59" s="6">
        <v>11.4</v>
      </c>
      <c r="U59" s="6">
        <v>2157</v>
      </c>
      <c r="V59" s="6">
        <v>40.299999999999997</v>
      </c>
      <c r="W59" s="6">
        <v>0</v>
      </c>
      <c r="X59" s="6">
        <v>600</v>
      </c>
      <c r="Y59" s="6">
        <v>1043</v>
      </c>
      <c r="Z59" s="6">
        <v>457</v>
      </c>
      <c r="AA59" s="6">
        <v>57</v>
      </c>
      <c r="AB59" s="6">
        <v>0</v>
      </c>
      <c r="AC59" s="2">
        <v>33</v>
      </c>
      <c r="AD59" s="2" t="s">
        <v>52</v>
      </c>
      <c r="AE59" s="7">
        <v>15.24</v>
      </c>
      <c r="AF59" s="7">
        <v>700</v>
      </c>
      <c r="AG59" s="7">
        <v>20.88</v>
      </c>
      <c r="AH59" s="7">
        <v>19.489999999999998</v>
      </c>
      <c r="AI59" s="7">
        <v>26.39</v>
      </c>
      <c r="AJ59" s="9">
        <v>136.96430893979101</v>
      </c>
      <c r="AK59" s="9">
        <v>138.41845699999999</v>
      </c>
      <c r="AL59" s="9">
        <v>175.56604263585299</v>
      </c>
      <c r="AM59" s="9">
        <v>51.138005428148404</v>
      </c>
      <c r="AN59" s="9">
        <v>1.5496365281257101</v>
      </c>
      <c r="AO59" s="9">
        <v>0.98452357624560705</v>
      </c>
      <c r="AP59" s="9">
        <v>392.036106774742</v>
      </c>
      <c r="AQ59" s="9">
        <v>11.879882023477</v>
      </c>
      <c r="AR59" s="9">
        <v>11.7514888310118</v>
      </c>
      <c r="AS59" s="73" t="s">
        <v>169</v>
      </c>
      <c r="AT59" s="10"/>
      <c r="AU59" s="10" t="s">
        <v>169</v>
      </c>
      <c r="AV59" s="10">
        <v>0</v>
      </c>
      <c r="AW59" s="8"/>
      <c r="AX59" s="74" t="s">
        <v>169</v>
      </c>
      <c r="AY59" s="74"/>
      <c r="AZ59" s="74"/>
      <c r="BA59" s="74"/>
      <c r="BB59" s="8"/>
      <c r="BC59" s="8"/>
      <c r="BD59" s="8"/>
      <c r="BE59" s="8"/>
      <c r="BF59" s="12">
        <v>0.44</v>
      </c>
      <c r="BG59" s="13">
        <v>134.54211067</v>
      </c>
      <c r="BH59" s="96" t="str">
        <f>+VLOOKUP(G59,Liste!$A$7:$G$50,3,FALSE)</f>
        <v>Pin sylvestre</v>
      </c>
      <c r="BI59" s="96" t="str">
        <f>+VLOOKUP(H59,Liste!$B$7:$G$50,5,FALSE)</f>
        <v>GS Pineraies des plaines du Centre et du Nord Ouest</v>
      </c>
      <c r="BJ59" s="135">
        <f t="shared" si="0"/>
        <v>33</v>
      </c>
      <c r="BK59" s="135" t="str">
        <f t="shared" si="2"/>
        <v>Pin sylvestre_F2_Eclaircie précoce_GS Pineraies des plaines du Centre et du Nord Ouest_33_</v>
      </c>
      <c r="BL59" s="322"/>
      <c r="BM59" s="13">
        <v>37.38174183000001</v>
      </c>
      <c r="BN59" s="13">
        <v>171.92385246443698</v>
      </c>
      <c r="BO59" s="13"/>
      <c r="BP59" s="13">
        <v>244.97</v>
      </c>
      <c r="BQ59" s="13">
        <v>11.015609864044199</v>
      </c>
      <c r="BT59" s="298" t="str">
        <f>+VLOOKUP(G59,Liste!$A$7:$H$50,8,FALSE)</f>
        <v>Résineux</v>
      </c>
      <c r="BU59" s="298">
        <f t="shared" si="3"/>
        <v>0</v>
      </c>
      <c r="BV59" s="300">
        <f t="shared" si="4"/>
        <v>1</v>
      </c>
      <c r="BW59" s="321">
        <v>0</v>
      </c>
      <c r="BX59" s="298">
        <f t="shared" si="5"/>
        <v>0.43</v>
      </c>
      <c r="BY59">
        <f t="shared" si="6"/>
        <v>0</v>
      </c>
      <c r="BZ59" s="304">
        <f t="shared" si="7"/>
        <v>0</v>
      </c>
      <c r="CB59" s="299">
        <v>0.6</v>
      </c>
      <c r="CC59" s="299">
        <v>0.4</v>
      </c>
      <c r="CD59">
        <f t="shared" si="8"/>
        <v>0</v>
      </c>
      <c r="CE59">
        <f t="shared" si="9"/>
        <v>0</v>
      </c>
      <c r="CF59">
        <f t="shared" si="10"/>
        <v>0</v>
      </c>
      <c r="CG59">
        <f t="shared" si="11"/>
        <v>0</v>
      </c>
      <c r="CH59">
        <f t="shared" si="12"/>
        <v>0</v>
      </c>
      <c r="CI59">
        <f t="shared" si="13"/>
        <v>0</v>
      </c>
      <c r="CJ59">
        <f t="shared" si="14"/>
        <v>0</v>
      </c>
      <c r="CK59">
        <f t="shared" si="15"/>
        <v>0</v>
      </c>
      <c r="CL59">
        <f t="shared" si="16"/>
        <v>0</v>
      </c>
      <c r="CM59">
        <f t="shared" si="26"/>
        <v>0</v>
      </c>
      <c r="CN59">
        <f t="shared" si="18"/>
        <v>0</v>
      </c>
      <c r="CO59">
        <f t="shared" si="1"/>
        <v>0</v>
      </c>
    </row>
    <row r="60" spans="1:93" s="12" customFormat="1" ht="14.65" customHeight="1" x14ac:dyDescent="0.25">
      <c r="A60" s="4">
        <v>2021</v>
      </c>
      <c r="B60" s="4"/>
      <c r="C60" s="4" t="s">
        <v>64</v>
      </c>
      <c r="D60" s="4" t="s">
        <v>65</v>
      </c>
      <c r="E60" s="4"/>
      <c r="F60" s="4" t="s">
        <v>90</v>
      </c>
      <c r="G60" s="5" t="s">
        <v>15</v>
      </c>
      <c r="H60" s="5" t="s">
        <v>21</v>
      </c>
      <c r="I60" s="5" t="s">
        <v>16</v>
      </c>
      <c r="J60" s="5" t="s">
        <v>10</v>
      </c>
      <c r="K60" s="5">
        <v>23</v>
      </c>
      <c r="L60" s="5" t="s">
        <v>192</v>
      </c>
      <c r="M60" s="5">
        <v>2500</v>
      </c>
      <c r="N60" s="5" t="s">
        <v>170</v>
      </c>
      <c r="O60" s="6" t="s">
        <v>78</v>
      </c>
      <c r="P60" s="6" t="s">
        <v>80</v>
      </c>
      <c r="Q60" s="6">
        <v>2003</v>
      </c>
      <c r="R60" s="6"/>
      <c r="S60" s="6">
        <v>24</v>
      </c>
      <c r="T60" s="6">
        <v>11.4</v>
      </c>
      <c r="U60" s="6">
        <v>2157</v>
      </c>
      <c r="V60" s="6">
        <v>40.299999999999997</v>
      </c>
      <c r="W60" s="6">
        <v>0</v>
      </c>
      <c r="X60" s="6">
        <v>600</v>
      </c>
      <c r="Y60" s="6">
        <v>1043</v>
      </c>
      <c r="Z60" s="6">
        <v>457</v>
      </c>
      <c r="AA60" s="6">
        <v>57</v>
      </c>
      <c r="AB60" s="6">
        <v>0</v>
      </c>
      <c r="AC60" s="2">
        <v>34</v>
      </c>
      <c r="AD60" s="2" t="s">
        <v>52</v>
      </c>
      <c r="AE60" s="7">
        <v>15.64</v>
      </c>
      <c r="AF60" s="7">
        <v>700</v>
      </c>
      <c r="AG60" s="7">
        <v>21.87</v>
      </c>
      <c r="AH60" s="7">
        <v>19.940000000000001</v>
      </c>
      <c r="AI60" s="7">
        <v>27.05</v>
      </c>
      <c r="AJ60" s="9">
        <v>147.03494125959699</v>
      </c>
      <c r="AK60" s="9">
        <v>148.59711709999999</v>
      </c>
      <c r="AL60" s="9">
        <v>187.31753146686501</v>
      </c>
      <c r="AM60" s="9">
        <v>52.122529004394103</v>
      </c>
      <c r="AN60" s="9">
        <v>1.5330155589527701</v>
      </c>
      <c r="AO60" s="9">
        <v>0.975297629683894</v>
      </c>
      <c r="AP60" s="9">
        <v>403.78759560575401</v>
      </c>
      <c r="AQ60" s="9">
        <v>11.8761057531104</v>
      </c>
      <c r="AR60" s="9">
        <v>11.9216564915655</v>
      </c>
      <c r="AS60" s="73" t="s">
        <v>169</v>
      </c>
      <c r="AT60" s="10"/>
      <c r="AU60" s="10" t="s">
        <v>169</v>
      </c>
      <c r="AV60" s="10">
        <v>0</v>
      </c>
      <c r="AW60" s="8"/>
      <c r="AX60" s="74" t="s">
        <v>169</v>
      </c>
      <c r="AY60" s="74"/>
      <c r="AZ60" s="74"/>
      <c r="BA60" s="74"/>
      <c r="BB60" s="8"/>
      <c r="BC60" s="8"/>
      <c r="BD60" s="8"/>
      <c r="BE60" s="8"/>
      <c r="BF60" s="12">
        <v>0.44</v>
      </c>
      <c r="BG60" s="13">
        <v>143.54766829333332</v>
      </c>
      <c r="BH60" s="96" t="str">
        <f>+VLOOKUP(G60,Liste!$A$7:$G$50,3,FALSE)</f>
        <v>Pin sylvestre</v>
      </c>
      <c r="BI60" s="96" t="str">
        <f>+VLOOKUP(H60,Liste!$B$7:$G$50,5,FALSE)</f>
        <v>GS Pineraies des plaines du Centre et du Nord Ouest</v>
      </c>
      <c r="BJ60" s="135">
        <f t="shared" si="0"/>
        <v>34</v>
      </c>
      <c r="BK60" s="135" t="str">
        <f t="shared" si="2"/>
        <v>Pin sylvestre_F2_Eclaircie précoce_GS Pineraies des plaines du Centre et du Nord Ouest_34_</v>
      </c>
      <c r="BL60" s="322"/>
      <c r="BM60" s="13">
        <v>39.584228706666693</v>
      </c>
      <c r="BN60" s="13">
        <v>183.131896967899</v>
      </c>
      <c r="BO60" s="13"/>
      <c r="BP60" s="13">
        <v>244.97</v>
      </c>
      <c r="BQ60" s="13">
        <v>11.168175542075399</v>
      </c>
      <c r="BT60" s="298" t="str">
        <f>+VLOOKUP(G60,Liste!$A$7:$H$50,8,FALSE)</f>
        <v>Résineux</v>
      </c>
      <c r="BU60" s="298">
        <f t="shared" si="3"/>
        <v>0</v>
      </c>
      <c r="BV60" s="300">
        <f t="shared" si="4"/>
        <v>1</v>
      </c>
      <c r="BW60" s="321">
        <v>0</v>
      </c>
      <c r="BX60" s="298">
        <f t="shared" si="5"/>
        <v>0.43</v>
      </c>
      <c r="BY60">
        <f t="shared" si="6"/>
        <v>0</v>
      </c>
      <c r="BZ60" s="304">
        <f t="shared" si="7"/>
        <v>0</v>
      </c>
      <c r="CB60" s="299">
        <v>0.6</v>
      </c>
      <c r="CC60" s="299">
        <v>0.4</v>
      </c>
      <c r="CD60">
        <f t="shared" si="8"/>
        <v>0</v>
      </c>
      <c r="CE60">
        <f t="shared" si="9"/>
        <v>0</v>
      </c>
      <c r="CF60">
        <f t="shared" si="10"/>
        <v>0</v>
      </c>
      <c r="CG60">
        <f t="shared" si="11"/>
        <v>0</v>
      </c>
      <c r="CH60">
        <f t="shared" si="12"/>
        <v>0</v>
      </c>
      <c r="CI60">
        <f t="shared" si="13"/>
        <v>0</v>
      </c>
      <c r="CJ60">
        <f t="shared" si="14"/>
        <v>0</v>
      </c>
      <c r="CK60">
        <f t="shared" si="15"/>
        <v>0</v>
      </c>
      <c r="CL60">
        <f t="shared" si="16"/>
        <v>0</v>
      </c>
      <c r="CM60">
        <f t="shared" si="26"/>
        <v>0</v>
      </c>
      <c r="CN60">
        <f t="shared" si="18"/>
        <v>0</v>
      </c>
      <c r="CO60">
        <f t="shared" si="1"/>
        <v>0</v>
      </c>
    </row>
    <row r="61" spans="1:93" s="12" customFormat="1" ht="14.65" customHeight="1" x14ac:dyDescent="0.25">
      <c r="A61" s="4">
        <v>2021</v>
      </c>
      <c r="B61" s="4"/>
      <c r="C61" s="4" t="s">
        <v>64</v>
      </c>
      <c r="D61" s="4" t="s">
        <v>65</v>
      </c>
      <c r="E61" s="4"/>
      <c r="F61" s="4" t="s">
        <v>90</v>
      </c>
      <c r="G61" s="5" t="s">
        <v>15</v>
      </c>
      <c r="H61" s="5" t="s">
        <v>21</v>
      </c>
      <c r="I61" s="5" t="s">
        <v>16</v>
      </c>
      <c r="J61" s="5" t="s">
        <v>10</v>
      </c>
      <c r="K61" s="5">
        <v>23</v>
      </c>
      <c r="L61" s="5" t="s">
        <v>192</v>
      </c>
      <c r="M61" s="5">
        <v>2500</v>
      </c>
      <c r="N61" s="5" t="s">
        <v>170</v>
      </c>
      <c r="O61" s="6" t="s">
        <v>78</v>
      </c>
      <c r="P61" s="6" t="s">
        <v>80</v>
      </c>
      <c r="Q61" s="6">
        <v>2003</v>
      </c>
      <c r="R61" s="6"/>
      <c r="S61" s="6">
        <v>24</v>
      </c>
      <c r="T61" s="6">
        <v>11.4</v>
      </c>
      <c r="U61" s="6">
        <v>2157</v>
      </c>
      <c r="V61" s="6">
        <v>40.299999999999997</v>
      </c>
      <c r="W61" s="6">
        <v>0</v>
      </c>
      <c r="X61" s="6">
        <v>600</v>
      </c>
      <c r="Y61" s="6">
        <v>1043</v>
      </c>
      <c r="Z61" s="6">
        <v>457</v>
      </c>
      <c r="AA61" s="6">
        <v>57</v>
      </c>
      <c r="AB61" s="6">
        <v>0</v>
      </c>
      <c r="AC61" s="2">
        <v>35</v>
      </c>
      <c r="AD61" s="2" t="s">
        <v>52</v>
      </c>
      <c r="AE61" s="7">
        <v>16.02</v>
      </c>
      <c r="AF61" s="7">
        <v>700</v>
      </c>
      <c r="AG61" s="7">
        <v>22.84</v>
      </c>
      <c r="AH61" s="7">
        <v>20.38</v>
      </c>
      <c r="AI61" s="7">
        <v>27.69</v>
      </c>
      <c r="AJ61" s="9">
        <v>157.290056834583</v>
      </c>
      <c r="AK61" s="9">
        <v>158.96115040000001</v>
      </c>
      <c r="AL61" s="9">
        <v>199.23918795842999</v>
      </c>
      <c r="AM61" s="9">
        <v>53.097826634077897</v>
      </c>
      <c r="AN61" s="9">
        <v>1.5170807609736601</v>
      </c>
      <c r="AO61" s="9">
        <v>0.96600223821656095</v>
      </c>
      <c r="AP61" s="9">
        <v>415.70925209731899</v>
      </c>
      <c r="AQ61" s="9">
        <v>11.877407202780599</v>
      </c>
      <c r="AR61" s="9">
        <v>12.049482604897999</v>
      </c>
      <c r="AS61" s="73" t="s">
        <v>169</v>
      </c>
      <c r="AT61" s="10"/>
      <c r="AU61" s="10" t="s">
        <v>169</v>
      </c>
      <c r="AV61" s="10">
        <v>0</v>
      </c>
      <c r="AW61" s="8"/>
      <c r="AX61" s="74" t="s">
        <v>169</v>
      </c>
      <c r="AY61" s="74"/>
      <c r="AZ61" s="74"/>
      <c r="BA61" s="74"/>
      <c r="BB61" s="8"/>
      <c r="BC61" s="8"/>
      <c r="BD61" s="8"/>
      <c r="BE61" s="8"/>
      <c r="BF61" s="12">
        <v>0.44</v>
      </c>
      <c r="BG61" s="13">
        <v>152.68363102666666</v>
      </c>
      <c r="BH61" s="96" t="str">
        <f>+VLOOKUP(G61,Liste!$A$7:$G$50,3,FALSE)</f>
        <v>Pin sylvestre</v>
      </c>
      <c r="BI61" s="96" t="str">
        <f>+VLOOKUP(H61,Liste!$B$7:$G$50,5,FALSE)</f>
        <v>GS Pineraies des plaines du Centre et du Nord Ouest</v>
      </c>
      <c r="BJ61" s="135">
        <f t="shared" si="0"/>
        <v>35</v>
      </c>
      <c r="BK61" s="135" t="str">
        <f t="shared" si="2"/>
        <v>Pin sylvestre_F2_Eclaircie précoce_GS Pineraies des plaines du Centre et du Nord Ouest_35_</v>
      </c>
      <c r="BL61" s="322"/>
      <c r="BM61" s="13">
        <v>41.802228073333339</v>
      </c>
      <c r="BN61" s="13">
        <v>194.48585911482164</v>
      </c>
      <c r="BO61" s="13"/>
      <c r="BP61" s="13">
        <v>244.97</v>
      </c>
      <c r="BQ61" s="13">
        <v>11.2810407377491</v>
      </c>
      <c r="BT61" s="298" t="str">
        <f>+VLOOKUP(G61,Liste!$A$7:$H$50,8,FALSE)</f>
        <v>Résineux</v>
      </c>
      <c r="BU61" s="298">
        <f t="shared" si="3"/>
        <v>0</v>
      </c>
      <c r="BV61" s="300">
        <f t="shared" si="4"/>
        <v>1</v>
      </c>
      <c r="BW61" s="321">
        <v>0</v>
      </c>
      <c r="BX61" s="298">
        <f t="shared" si="5"/>
        <v>0.43</v>
      </c>
      <c r="BY61">
        <f t="shared" si="6"/>
        <v>0</v>
      </c>
      <c r="BZ61" s="304">
        <f t="shared" si="7"/>
        <v>0</v>
      </c>
      <c r="CB61" s="299">
        <v>0.6</v>
      </c>
      <c r="CC61" s="299">
        <v>0.4</v>
      </c>
      <c r="CD61">
        <f t="shared" si="8"/>
        <v>0</v>
      </c>
      <c r="CE61">
        <f t="shared" si="9"/>
        <v>0</v>
      </c>
      <c r="CF61">
        <f t="shared" si="10"/>
        <v>0</v>
      </c>
      <c r="CG61">
        <f t="shared" si="11"/>
        <v>0</v>
      </c>
      <c r="CH61">
        <f t="shared" si="12"/>
        <v>0</v>
      </c>
      <c r="CI61">
        <f t="shared" si="13"/>
        <v>0</v>
      </c>
      <c r="CJ61">
        <f t="shared" si="14"/>
        <v>0</v>
      </c>
      <c r="CK61">
        <f t="shared" si="15"/>
        <v>0</v>
      </c>
      <c r="CL61">
        <f t="shared" si="16"/>
        <v>0</v>
      </c>
      <c r="CM61">
        <f t="shared" si="26"/>
        <v>0</v>
      </c>
      <c r="CN61">
        <f t="shared" si="18"/>
        <v>0</v>
      </c>
      <c r="CO61">
        <f t="shared" si="1"/>
        <v>0</v>
      </c>
    </row>
    <row r="62" spans="1:93" s="12" customFormat="1" ht="14.65" customHeight="1" x14ac:dyDescent="0.25">
      <c r="A62" s="4">
        <v>2021</v>
      </c>
      <c r="B62" s="4"/>
      <c r="C62" s="4" t="s">
        <v>64</v>
      </c>
      <c r="D62" s="4" t="s">
        <v>65</v>
      </c>
      <c r="E62" s="4"/>
      <c r="F62" s="4" t="s">
        <v>90</v>
      </c>
      <c r="G62" s="5" t="s">
        <v>15</v>
      </c>
      <c r="H62" s="5" t="s">
        <v>21</v>
      </c>
      <c r="I62" s="5" t="s">
        <v>16</v>
      </c>
      <c r="J62" s="5" t="s">
        <v>10</v>
      </c>
      <c r="K62" s="5">
        <v>23</v>
      </c>
      <c r="L62" s="5" t="s">
        <v>192</v>
      </c>
      <c r="M62" s="5">
        <v>2500</v>
      </c>
      <c r="N62" s="5" t="s">
        <v>170</v>
      </c>
      <c r="O62" s="6" t="s">
        <v>78</v>
      </c>
      <c r="P62" s="6" t="s">
        <v>80</v>
      </c>
      <c r="Q62" s="6">
        <v>2003</v>
      </c>
      <c r="R62" s="6"/>
      <c r="S62" s="6">
        <v>24</v>
      </c>
      <c r="T62" s="6">
        <v>11.4</v>
      </c>
      <c r="U62" s="6">
        <v>2157</v>
      </c>
      <c r="V62" s="6">
        <v>40.299999999999997</v>
      </c>
      <c r="W62" s="6">
        <v>0</v>
      </c>
      <c r="X62" s="6">
        <v>600</v>
      </c>
      <c r="Y62" s="6">
        <v>1043</v>
      </c>
      <c r="Z62" s="6">
        <v>457</v>
      </c>
      <c r="AA62" s="6">
        <v>57</v>
      </c>
      <c r="AB62" s="6">
        <v>0</v>
      </c>
      <c r="AC62" s="2">
        <v>36</v>
      </c>
      <c r="AD62" s="2" t="s">
        <v>52</v>
      </c>
      <c r="AE62" s="7">
        <v>16.41</v>
      </c>
      <c r="AF62" s="7">
        <v>700</v>
      </c>
      <c r="AG62" s="7">
        <v>23.81</v>
      </c>
      <c r="AH62" s="7">
        <v>20.81</v>
      </c>
      <c r="AI62" s="7">
        <v>28.32</v>
      </c>
      <c r="AJ62" s="9">
        <v>167.686500628983</v>
      </c>
      <c r="AK62" s="9">
        <v>169.46761000000001</v>
      </c>
      <c r="AL62" s="9">
        <v>211.288670563328</v>
      </c>
      <c r="AM62" s="9">
        <v>54.063828872294501</v>
      </c>
      <c r="AN62" s="9">
        <v>1.5017730242303999</v>
      </c>
      <c r="AO62" s="9">
        <v>0.95879108927135803</v>
      </c>
      <c r="AP62" s="9">
        <v>427.758734702217</v>
      </c>
      <c r="AQ62" s="9">
        <v>11.8821870750616</v>
      </c>
      <c r="AR62" s="9">
        <v>12.219089324704401</v>
      </c>
      <c r="AS62" s="73" t="s">
        <v>169</v>
      </c>
      <c r="AT62" s="10"/>
      <c r="AU62" s="10" t="s">
        <v>169</v>
      </c>
      <c r="AV62" s="10">
        <v>0</v>
      </c>
      <c r="AW62" s="8"/>
      <c r="AX62" s="74" t="s">
        <v>169</v>
      </c>
      <c r="AY62" s="74"/>
      <c r="AZ62" s="74"/>
      <c r="BA62" s="74"/>
      <c r="BB62" s="8"/>
      <c r="BC62" s="8"/>
      <c r="BD62" s="8"/>
      <c r="BE62" s="8"/>
      <c r="BF62" s="12">
        <v>0.44</v>
      </c>
      <c r="BG62" s="13">
        <v>161.91755121666665</v>
      </c>
      <c r="BH62" s="96" t="str">
        <f>+VLOOKUP(G62,Liste!$A$7:$G$50,3,FALSE)</f>
        <v>Pin sylvestre</v>
      </c>
      <c r="BI62" s="96" t="str">
        <f>+VLOOKUP(H62,Liste!$B$7:$G$50,5,FALSE)</f>
        <v>GS Pineraies des plaines du Centre et du Nord Ouest</v>
      </c>
      <c r="BJ62" s="135">
        <f t="shared" si="0"/>
        <v>36</v>
      </c>
      <c r="BK62" s="135" t="str">
        <f t="shared" si="2"/>
        <v>Pin sylvestre_F2_Eclaircie précoce_GS Pineraies des plaines du Centre et du Nord Ouest_36_</v>
      </c>
      <c r="BL62" s="322"/>
      <c r="BM62" s="13">
        <v>44.028360083333354</v>
      </c>
      <c r="BN62" s="13">
        <v>205.94591127386573</v>
      </c>
      <c r="BO62" s="13"/>
      <c r="BP62" s="13">
        <v>244.97</v>
      </c>
      <c r="BQ62" s="13">
        <v>11.4329876473395</v>
      </c>
      <c r="BT62" s="298" t="str">
        <f>+VLOOKUP(G62,Liste!$A$7:$H$50,8,FALSE)</f>
        <v>Résineux</v>
      </c>
      <c r="BU62" s="298">
        <f t="shared" si="3"/>
        <v>0</v>
      </c>
      <c r="BV62" s="300">
        <f t="shared" si="4"/>
        <v>1</v>
      </c>
      <c r="BW62" s="321">
        <v>0</v>
      </c>
      <c r="BX62" s="298">
        <f t="shared" si="5"/>
        <v>0.43</v>
      </c>
      <c r="BY62">
        <f t="shared" si="6"/>
        <v>0</v>
      </c>
      <c r="BZ62" s="304">
        <f t="shared" si="7"/>
        <v>0</v>
      </c>
      <c r="CB62" s="299">
        <v>0.6</v>
      </c>
      <c r="CC62" s="299">
        <v>0.4</v>
      </c>
      <c r="CD62">
        <f t="shared" si="8"/>
        <v>0</v>
      </c>
      <c r="CE62">
        <f t="shared" si="9"/>
        <v>0</v>
      </c>
      <c r="CF62">
        <f t="shared" si="10"/>
        <v>0</v>
      </c>
      <c r="CG62">
        <f t="shared" si="11"/>
        <v>0</v>
      </c>
      <c r="CH62">
        <f t="shared" si="12"/>
        <v>0</v>
      </c>
      <c r="CI62">
        <f t="shared" si="13"/>
        <v>0</v>
      </c>
      <c r="CJ62">
        <f t="shared" si="14"/>
        <v>0</v>
      </c>
      <c r="CK62">
        <f t="shared" si="15"/>
        <v>0</v>
      </c>
      <c r="CL62">
        <f t="shared" si="16"/>
        <v>0</v>
      </c>
      <c r="CM62">
        <f t="shared" si="26"/>
        <v>0</v>
      </c>
      <c r="CN62">
        <f t="shared" si="18"/>
        <v>0</v>
      </c>
      <c r="CO62">
        <f t="shared" si="1"/>
        <v>0</v>
      </c>
    </row>
    <row r="63" spans="1:93" s="12" customFormat="1" ht="14.65" customHeight="1" x14ac:dyDescent="0.25">
      <c r="A63" s="4">
        <v>2021</v>
      </c>
      <c r="B63" s="4"/>
      <c r="C63" s="4" t="s">
        <v>64</v>
      </c>
      <c r="D63" s="4" t="s">
        <v>65</v>
      </c>
      <c r="E63" s="4"/>
      <c r="F63" s="4" t="s">
        <v>90</v>
      </c>
      <c r="G63" s="5" t="s">
        <v>15</v>
      </c>
      <c r="H63" s="5" t="s">
        <v>21</v>
      </c>
      <c r="I63" s="5" t="s">
        <v>16</v>
      </c>
      <c r="J63" s="5" t="s">
        <v>10</v>
      </c>
      <c r="K63" s="5">
        <v>23</v>
      </c>
      <c r="L63" s="5" t="s">
        <v>192</v>
      </c>
      <c r="M63" s="5">
        <v>2500</v>
      </c>
      <c r="N63" s="5" t="s">
        <v>170</v>
      </c>
      <c r="O63" s="6" t="s">
        <v>78</v>
      </c>
      <c r="P63" s="6" t="s">
        <v>80</v>
      </c>
      <c r="Q63" s="6">
        <v>2003</v>
      </c>
      <c r="R63" s="6"/>
      <c r="S63" s="6">
        <v>24</v>
      </c>
      <c r="T63" s="6">
        <v>11.4</v>
      </c>
      <c r="U63" s="6">
        <v>2157</v>
      </c>
      <c r="V63" s="6">
        <v>40.299999999999997</v>
      </c>
      <c r="W63" s="6">
        <v>0</v>
      </c>
      <c r="X63" s="6">
        <v>600</v>
      </c>
      <c r="Y63" s="6">
        <v>1043</v>
      </c>
      <c r="Z63" s="6">
        <v>457</v>
      </c>
      <c r="AA63" s="6">
        <v>57</v>
      </c>
      <c r="AB63" s="6">
        <v>0</v>
      </c>
      <c r="AC63" s="2">
        <v>37</v>
      </c>
      <c r="AD63" s="2" t="s">
        <v>52</v>
      </c>
      <c r="AE63" s="7">
        <v>16.78</v>
      </c>
      <c r="AF63" s="7">
        <v>700</v>
      </c>
      <c r="AG63" s="7">
        <v>24.77</v>
      </c>
      <c r="AH63" s="7">
        <v>21.23</v>
      </c>
      <c r="AI63" s="7">
        <v>28.93</v>
      </c>
      <c r="AJ63" s="9">
        <v>178.26626690677301</v>
      </c>
      <c r="AK63" s="9">
        <v>180.1580538</v>
      </c>
      <c r="AL63" s="9">
        <v>223.50775988803301</v>
      </c>
      <c r="AM63" s="9">
        <v>55.022619961565901</v>
      </c>
      <c r="AN63" s="9">
        <v>1.4870978367990799</v>
      </c>
      <c r="AO63" s="9">
        <v>0.95178918610486096</v>
      </c>
      <c r="AP63" s="9">
        <v>439.97782402692201</v>
      </c>
      <c r="AQ63" s="9">
        <v>11.8912925412682</v>
      </c>
      <c r="AR63" s="9">
        <v>12.424415600806901</v>
      </c>
      <c r="AS63" s="73" t="s">
        <v>169</v>
      </c>
      <c r="AT63" s="10"/>
      <c r="AU63" s="10" t="s">
        <v>169</v>
      </c>
      <c r="AV63" s="10">
        <v>0</v>
      </c>
      <c r="AW63" s="8"/>
      <c r="AX63" s="74" t="s">
        <v>169</v>
      </c>
      <c r="AY63" s="74"/>
      <c r="AZ63" s="74"/>
      <c r="BA63" s="74"/>
      <c r="BB63" s="8"/>
      <c r="BC63" s="8"/>
      <c r="BD63" s="8"/>
      <c r="BE63" s="8"/>
      <c r="BF63" s="12">
        <v>0.44</v>
      </c>
      <c r="BG63" s="13">
        <v>171.28144667333333</v>
      </c>
      <c r="BH63" s="96" t="str">
        <f>+VLOOKUP(G63,Liste!$A$7:$G$50,3,FALSE)</f>
        <v>Pin sylvestre</v>
      </c>
      <c r="BI63" s="96" t="str">
        <f>+VLOOKUP(H63,Liste!$B$7:$G$50,5,FALSE)</f>
        <v>GS Pineraies des plaines du Centre et du Nord Ouest</v>
      </c>
      <c r="BJ63" s="135">
        <f t="shared" si="0"/>
        <v>37</v>
      </c>
      <c r="BK63" s="135" t="str">
        <f t="shared" si="2"/>
        <v>Pin sylvestre_F2_Eclaircie précoce_GS Pineraies des plaines du Centre et du Nord Ouest_37_</v>
      </c>
      <c r="BL63" s="322"/>
      <c r="BM63" s="13">
        <v>46.270781626666661</v>
      </c>
      <c r="BN63" s="13">
        <v>217.55222834571012</v>
      </c>
      <c r="BO63" s="13"/>
      <c r="BP63" s="13">
        <v>244.97</v>
      </c>
      <c r="BQ63" s="13">
        <v>11.6182575744954</v>
      </c>
      <c r="BT63" s="298" t="str">
        <f>+VLOOKUP(G63,Liste!$A$7:$H$50,8,FALSE)</f>
        <v>Résineux</v>
      </c>
      <c r="BU63" s="298">
        <f t="shared" si="3"/>
        <v>0</v>
      </c>
      <c r="BV63" s="300">
        <f t="shared" si="4"/>
        <v>1</v>
      </c>
      <c r="BW63" s="321">
        <v>0</v>
      </c>
      <c r="BX63" s="298">
        <f t="shared" si="5"/>
        <v>0.43</v>
      </c>
      <c r="BY63">
        <f t="shared" si="6"/>
        <v>0</v>
      </c>
      <c r="BZ63" s="304">
        <f t="shared" si="7"/>
        <v>0</v>
      </c>
      <c r="CB63" s="299">
        <v>0.6</v>
      </c>
      <c r="CC63" s="299">
        <v>0.4</v>
      </c>
      <c r="CD63">
        <f t="shared" si="8"/>
        <v>0</v>
      </c>
      <c r="CE63">
        <f t="shared" si="9"/>
        <v>0</v>
      </c>
      <c r="CF63">
        <f t="shared" si="10"/>
        <v>0</v>
      </c>
      <c r="CG63">
        <f t="shared" si="11"/>
        <v>0</v>
      </c>
      <c r="CH63">
        <f t="shared" si="12"/>
        <v>0</v>
      </c>
      <c r="CI63">
        <f t="shared" si="13"/>
        <v>0</v>
      </c>
      <c r="CJ63">
        <f t="shared" si="14"/>
        <v>0</v>
      </c>
      <c r="CK63">
        <f t="shared" si="15"/>
        <v>0</v>
      </c>
      <c r="CL63">
        <f t="shared" si="16"/>
        <v>0</v>
      </c>
      <c r="CM63">
        <f t="shared" si="26"/>
        <v>0</v>
      </c>
      <c r="CN63">
        <f t="shared" si="18"/>
        <v>0</v>
      </c>
      <c r="CO63">
        <f t="shared" si="1"/>
        <v>0</v>
      </c>
    </row>
    <row r="64" spans="1:93" s="12" customFormat="1" ht="14.65" customHeight="1" x14ac:dyDescent="0.25">
      <c r="A64" s="4">
        <v>2021</v>
      </c>
      <c r="B64" s="4"/>
      <c r="C64" s="4" t="s">
        <v>64</v>
      </c>
      <c r="D64" s="4" t="s">
        <v>65</v>
      </c>
      <c r="E64" s="4"/>
      <c r="F64" s="4" t="s">
        <v>90</v>
      </c>
      <c r="G64" s="5" t="s">
        <v>15</v>
      </c>
      <c r="H64" s="5" t="s">
        <v>21</v>
      </c>
      <c r="I64" s="5" t="s">
        <v>16</v>
      </c>
      <c r="J64" s="5" t="s">
        <v>10</v>
      </c>
      <c r="K64" s="5">
        <v>23</v>
      </c>
      <c r="L64" s="5" t="s">
        <v>192</v>
      </c>
      <c r="M64" s="5">
        <v>2500</v>
      </c>
      <c r="N64" s="5" t="s">
        <v>170</v>
      </c>
      <c r="O64" s="6" t="s">
        <v>78</v>
      </c>
      <c r="P64" s="6" t="s">
        <v>80</v>
      </c>
      <c r="Q64" s="6">
        <v>2003</v>
      </c>
      <c r="R64" s="6"/>
      <c r="S64" s="6">
        <v>24</v>
      </c>
      <c r="T64" s="6">
        <v>11.4</v>
      </c>
      <c r="U64" s="6">
        <v>2157</v>
      </c>
      <c r="V64" s="6">
        <v>40.299999999999997</v>
      </c>
      <c r="W64" s="6">
        <v>0</v>
      </c>
      <c r="X64" s="6">
        <v>600</v>
      </c>
      <c r="Y64" s="6">
        <v>1043</v>
      </c>
      <c r="Z64" s="6">
        <v>457</v>
      </c>
      <c r="AA64" s="6">
        <v>57</v>
      </c>
      <c r="AB64" s="6">
        <v>0</v>
      </c>
      <c r="AC64" s="2">
        <v>38</v>
      </c>
      <c r="AD64" s="2" t="s">
        <v>52</v>
      </c>
      <c r="AE64" s="7">
        <v>17.149999999999999</v>
      </c>
      <c r="AF64" s="7">
        <v>700</v>
      </c>
      <c r="AG64" s="7">
        <v>25.72</v>
      </c>
      <c r="AH64" s="7">
        <v>21.63</v>
      </c>
      <c r="AI64" s="7">
        <v>29.53</v>
      </c>
      <c r="AJ64" s="9">
        <v>189.06915733999799</v>
      </c>
      <c r="AK64" s="9">
        <v>191.07153510000001</v>
      </c>
      <c r="AL64" s="9">
        <v>235.93217548883999</v>
      </c>
      <c r="AM64" s="9">
        <v>55.974409147670698</v>
      </c>
      <c r="AN64" s="9">
        <v>1.47301076704397</v>
      </c>
      <c r="AO64" s="9">
        <v>0.82774206500099001</v>
      </c>
      <c r="AP64" s="9">
        <v>452.40223962772899</v>
      </c>
      <c r="AQ64" s="9">
        <v>11.9053220954665</v>
      </c>
      <c r="AR64" s="9">
        <v>11.723283684497201</v>
      </c>
      <c r="AS64" s="73" t="s">
        <v>169</v>
      </c>
      <c r="AT64" s="10"/>
      <c r="AU64" s="10" t="s">
        <v>169</v>
      </c>
      <c r="AV64" s="10">
        <v>0</v>
      </c>
      <c r="AW64" s="8"/>
      <c r="AX64" s="74" t="s">
        <v>169</v>
      </c>
      <c r="AY64" s="74"/>
      <c r="AZ64" s="74"/>
      <c r="BA64" s="74"/>
      <c r="BB64" s="8"/>
      <c r="BC64" s="8"/>
      <c r="BD64" s="8"/>
      <c r="BE64" s="8"/>
      <c r="BF64" s="12">
        <v>0.44</v>
      </c>
      <c r="BG64" s="13">
        <v>180.80269049333333</v>
      </c>
      <c r="BH64" s="96" t="str">
        <f>+VLOOKUP(G64,Liste!$A$7:$G$50,3,FALSE)</f>
        <v>Pin sylvestre</v>
      </c>
      <c r="BI64" s="96" t="str">
        <f>+VLOOKUP(H64,Liste!$B$7:$G$50,5,FALSE)</f>
        <v>GS Pineraies des plaines du Centre et du Nord Ouest</v>
      </c>
      <c r="BJ64" s="135">
        <f t="shared" si="0"/>
        <v>38</v>
      </c>
      <c r="BK64" s="135" t="str">
        <f t="shared" si="2"/>
        <v>Pin sylvestre_F2_Eclaircie précoce_GS Pineraies des plaines du Centre et du Nord Ouest_38_</v>
      </c>
      <c r="BL64" s="322"/>
      <c r="BM64" s="13">
        <v>48.536296506666673</v>
      </c>
      <c r="BN64" s="13">
        <v>229.33898701888202</v>
      </c>
      <c r="BO64" s="13"/>
      <c r="BP64" s="13">
        <v>244.97</v>
      </c>
      <c r="BQ64" s="13">
        <v>10.956477306114</v>
      </c>
      <c r="BT64" s="298" t="str">
        <f>+VLOOKUP(G64,Liste!$A$7:$H$50,8,FALSE)</f>
        <v>Résineux</v>
      </c>
      <c r="BU64" s="298">
        <f t="shared" si="3"/>
        <v>0</v>
      </c>
      <c r="BV64" s="300">
        <f t="shared" si="4"/>
        <v>1</v>
      </c>
      <c r="BW64" s="321">
        <v>0</v>
      </c>
      <c r="BX64" s="298">
        <f t="shared" si="5"/>
        <v>0.43</v>
      </c>
      <c r="BY64">
        <f t="shared" si="6"/>
        <v>0</v>
      </c>
      <c r="BZ64" s="304">
        <f t="shared" si="7"/>
        <v>0</v>
      </c>
      <c r="CB64" s="299">
        <v>0.6</v>
      </c>
      <c r="CC64" s="299">
        <v>0.4</v>
      </c>
      <c r="CD64">
        <f t="shared" si="8"/>
        <v>0</v>
      </c>
      <c r="CE64">
        <f t="shared" si="9"/>
        <v>0</v>
      </c>
      <c r="CF64">
        <f t="shared" si="10"/>
        <v>0</v>
      </c>
      <c r="CG64">
        <f t="shared" si="11"/>
        <v>0</v>
      </c>
      <c r="CH64">
        <f t="shared" si="12"/>
        <v>0</v>
      </c>
      <c r="CI64">
        <f t="shared" si="13"/>
        <v>0</v>
      </c>
      <c r="CJ64">
        <f t="shared" si="14"/>
        <v>0</v>
      </c>
      <c r="CK64">
        <f t="shared" si="15"/>
        <v>0</v>
      </c>
      <c r="CL64">
        <f t="shared" si="16"/>
        <v>0</v>
      </c>
      <c r="CM64">
        <f t="shared" si="26"/>
        <v>0</v>
      </c>
      <c r="CN64">
        <f t="shared" si="18"/>
        <v>0</v>
      </c>
      <c r="CO64">
        <f t="shared" si="1"/>
        <v>0</v>
      </c>
    </row>
    <row r="65" spans="1:93" s="12" customFormat="1" ht="14.65" customHeight="1" x14ac:dyDescent="0.25">
      <c r="A65" s="4">
        <v>2021</v>
      </c>
      <c r="B65" s="4"/>
      <c r="C65" s="4" t="s">
        <v>64</v>
      </c>
      <c r="D65" s="4" t="s">
        <v>65</v>
      </c>
      <c r="E65" s="4"/>
      <c r="F65" s="4" t="s">
        <v>90</v>
      </c>
      <c r="G65" s="5" t="s">
        <v>15</v>
      </c>
      <c r="H65" s="5" t="s">
        <v>21</v>
      </c>
      <c r="I65" s="5" t="s">
        <v>16</v>
      </c>
      <c r="J65" s="5" t="s">
        <v>10</v>
      </c>
      <c r="K65" s="5">
        <v>23</v>
      </c>
      <c r="L65" s="5" t="s">
        <v>192</v>
      </c>
      <c r="M65" s="5">
        <v>2500</v>
      </c>
      <c r="N65" s="5" t="s">
        <v>170</v>
      </c>
      <c r="O65" s="6" t="s">
        <v>78</v>
      </c>
      <c r="P65" s="6" t="s">
        <v>80</v>
      </c>
      <c r="Q65" s="6">
        <v>2003</v>
      </c>
      <c r="R65" s="6"/>
      <c r="S65" s="6">
        <v>24</v>
      </c>
      <c r="T65" s="6">
        <v>11.4</v>
      </c>
      <c r="U65" s="6">
        <v>2157</v>
      </c>
      <c r="V65" s="6">
        <v>40.299999999999997</v>
      </c>
      <c r="W65" s="6">
        <v>0</v>
      </c>
      <c r="X65" s="6">
        <v>600</v>
      </c>
      <c r="Y65" s="6">
        <v>1043</v>
      </c>
      <c r="Z65" s="6">
        <v>457</v>
      </c>
      <c r="AA65" s="6">
        <v>57</v>
      </c>
      <c r="AB65" s="6">
        <v>0</v>
      </c>
      <c r="AC65" s="2">
        <v>38</v>
      </c>
      <c r="AD65" s="2" t="s">
        <v>53</v>
      </c>
      <c r="AE65" s="7">
        <v>17.149999999999999</v>
      </c>
      <c r="AF65" s="7">
        <v>530</v>
      </c>
      <c r="AG65" s="7">
        <v>21.15</v>
      </c>
      <c r="AH65" s="7">
        <v>22.54</v>
      </c>
      <c r="AI65" s="7">
        <v>28.1</v>
      </c>
      <c r="AJ65" s="9">
        <v>156.532228892864</v>
      </c>
      <c r="AK65" s="9">
        <v>158.1725892</v>
      </c>
      <c r="AL65" s="9">
        <v>194.599116916014</v>
      </c>
      <c r="AM65" s="9">
        <v>55.974409147670698</v>
      </c>
      <c r="AN65" s="9">
        <v>1.47301076704397</v>
      </c>
      <c r="AO65" s="9">
        <v>0.82774206500099001</v>
      </c>
      <c r="AP65" s="9">
        <v>452.40223962772899</v>
      </c>
      <c r="AQ65" s="9">
        <v>11.9053220954665</v>
      </c>
      <c r="AR65" s="9">
        <v>11.723283684497201</v>
      </c>
      <c r="AS65" s="73">
        <v>170</v>
      </c>
      <c r="AT65" s="10">
        <v>4.6325569999390019</v>
      </c>
      <c r="AU65" s="10">
        <v>18.626917217646628</v>
      </c>
      <c r="AV65" s="10">
        <v>32.536928447133988</v>
      </c>
      <c r="AW65" s="10">
        <v>0.7389031142110436</v>
      </c>
      <c r="AX65" s="74">
        <v>0.19139369674784698</v>
      </c>
      <c r="AY65" s="74"/>
      <c r="AZ65" s="74"/>
      <c r="BA65" s="74"/>
      <c r="BB65" s="10"/>
      <c r="BC65" s="10"/>
      <c r="BD65" s="10"/>
      <c r="BE65" s="10"/>
      <c r="BF65" s="12">
        <v>0.44</v>
      </c>
      <c r="BG65" s="13">
        <v>149.12778994666667</v>
      </c>
      <c r="BH65" s="96" t="str">
        <f>+VLOOKUP(G65,Liste!$A$7:$G$50,3,FALSE)</f>
        <v>Pin sylvestre</v>
      </c>
      <c r="BI65" s="96" t="str">
        <f>+VLOOKUP(H65,Liste!$B$7:$G$50,5,FALSE)</f>
        <v>GS Pineraies des plaines du Centre et du Nord Ouest</v>
      </c>
      <c r="BJ65" s="135">
        <f t="shared" si="0"/>
        <v>38</v>
      </c>
      <c r="BK65" s="135" t="str">
        <f t="shared" si="2"/>
        <v>Pin sylvestre_F2_Eclaircie précoce_GS Pineraies des plaines du Centre et du Nord Ouest_38_</v>
      </c>
      <c r="BL65" s="322"/>
      <c r="BM65" s="13">
        <v>40.940840853333327</v>
      </c>
      <c r="BN65" s="13">
        <v>190.06863080513222</v>
      </c>
      <c r="BO65" s="13">
        <v>39.270356213749807</v>
      </c>
      <c r="BP65" s="13">
        <v>244.97</v>
      </c>
      <c r="BQ65" s="13">
        <v>10.956477306114</v>
      </c>
      <c r="BT65" s="298" t="str">
        <f>+VLOOKUP(G65,Liste!$A$7:$H$50,8,FALSE)</f>
        <v>Résineux</v>
      </c>
      <c r="BU65" s="298">
        <f t="shared" si="3"/>
        <v>0</v>
      </c>
      <c r="BV65" s="300">
        <f t="shared" si="4"/>
        <v>1</v>
      </c>
      <c r="BW65" s="321">
        <v>0</v>
      </c>
      <c r="BX65" s="298">
        <f t="shared" si="5"/>
        <v>0.43</v>
      </c>
      <c r="BY65">
        <f t="shared" si="6"/>
        <v>0</v>
      </c>
      <c r="BZ65" s="304">
        <f t="shared" si="7"/>
        <v>0</v>
      </c>
      <c r="CB65" s="299">
        <v>0.6</v>
      </c>
      <c r="CC65" s="299">
        <v>0.4</v>
      </c>
      <c r="CD65">
        <f t="shared" si="8"/>
        <v>0</v>
      </c>
      <c r="CE65">
        <f t="shared" si="9"/>
        <v>0</v>
      </c>
      <c r="CF65">
        <f t="shared" si="10"/>
        <v>0</v>
      </c>
      <c r="CG65">
        <f t="shared" si="11"/>
        <v>0</v>
      </c>
      <c r="CH65">
        <f t="shared" si="12"/>
        <v>0</v>
      </c>
      <c r="CI65">
        <f t="shared" si="13"/>
        <v>0</v>
      </c>
      <c r="CJ65">
        <f t="shared" si="14"/>
        <v>0</v>
      </c>
      <c r="CK65">
        <f t="shared" si="15"/>
        <v>0</v>
      </c>
      <c r="CL65">
        <f t="shared" si="16"/>
        <v>0</v>
      </c>
      <c r="CM65">
        <f t="shared" si="26"/>
        <v>0</v>
      </c>
      <c r="CN65">
        <f t="shared" si="18"/>
        <v>0</v>
      </c>
      <c r="CO65">
        <f t="shared" si="1"/>
        <v>0</v>
      </c>
    </row>
    <row r="66" spans="1:93" s="12" customFormat="1" ht="14.65" customHeight="1" x14ac:dyDescent="0.25">
      <c r="A66" s="4">
        <v>2021</v>
      </c>
      <c r="B66" s="4"/>
      <c r="C66" s="4" t="s">
        <v>64</v>
      </c>
      <c r="D66" s="4" t="s">
        <v>65</v>
      </c>
      <c r="E66" s="4"/>
      <c r="F66" s="4" t="s">
        <v>90</v>
      </c>
      <c r="G66" s="5" t="s">
        <v>15</v>
      </c>
      <c r="H66" s="5" t="s">
        <v>21</v>
      </c>
      <c r="I66" s="5" t="s">
        <v>16</v>
      </c>
      <c r="J66" s="5" t="s">
        <v>10</v>
      </c>
      <c r="K66" s="5">
        <v>23</v>
      </c>
      <c r="L66" s="5" t="s">
        <v>192</v>
      </c>
      <c r="M66" s="5">
        <v>2500</v>
      </c>
      <c r="N66" s="5" t="s">
        <v>170</v>
      </c>
      <c r="O66" s="6" t="s">
        <v>78</v>
      </c>
      <c r="P66" s="6" t="s">
        <v>80</v>
      </c>
      <c r="Q66" s="6">
        <v>2003</v>
      </c>
      <c r="R66" s="6"/>
      <c r="S66" s="6">
        <v>24</v>
      </c>
      <c r="T66" s="6">
        <v>11.4</v>
      </c>
      <c r="U66" s="6">
        <v>2157</v>
      </c>
      <c r="V66" s="6">
        <v>40.299999999999997</v>
      </c>
      <c r="W66" s="6">
        <v>0</v>
      </c>
      <c r="X66" s="6">
        <v>600</v>
      </c>
      <c r="Y66" s="6">
        <v>1043</v>
      </c>
      <c r="Z66" s="6">
        <v>457</v>
      </c>
      <c r="AA66" s="6">
        <v>57</v>
      </c>
      <c r="AB66" s="6">
        <v>0</v>
      </c>
      <c r="AC66" s="2">
        <v>39</v>
      </c>
      <c r="AD66" s="2" t="s">
        <v>52</v>
      </c>
      <c r="AE66" s="7">
        <v>17.510000000000002</v>
      </c>
      <c r="AF66" s="7">
        <v>530</v>
      </c>
      <c r="AG66" s="7">
        <v>21.98</v>
      </c>
      <c r="AH66" s="7">
        <v>22.98</v>
      </c>
      <c r="AI66" s="7">
        <v>28.68</v>
      </c>
      <c r="AJ66" s="9">
        <v>166.95898303964799</v>
      </c>
      <c r="AK66" s="9">
        <v>168.67988009999999</v>
      </c>
      <c r="AL66" s="9">
        <v>206.322400600511</v>
      </c>
      <c r="AM66" s="9">
        <v>56.802151212671703</v>
      </c>
      <c r="AN66" s="9">
        <v>1.45646541570953</v>
      </c>
      <c r="AO66" s="9">
        <v>0.81991375017898305</v>
      </c>
      <c r="AP66" s="9">
        <v>464.12552331222599</v>
      </c>
      <c r="AQ66" s="9">
        <v>11.9006544439032</v>
      </c>
      <c r="AR66" s="9">
        <v>10.9666778230297</v>
      </c>
      <c r="AS66" s="73" t="s">
        <v>169</v>
      </c>
      <c r="AT66" s="10"/>
      <c r="AU66" s="10" t="s">
        <v>169</v>
      </c>
      <c r="AV66" s="10">
        <v>0</v>
      </c>
      <c r="AW66" s="8"/>
      <c r="AX66" s="74" t="s">
        <v>169</v>
      </c>
      <c r="AY66" s="74"/>
      <c r="AZ66" s="74"/>
      <c r="BA66" s="74"/>
      <c r="BB66" s="8"/>
      <c r="BC66" s="8"/>
      <c r="BD66" s="8"/>
      <c r="BE66" s="8"/>
      <c r="BF66" s="12">
        <v>0.44</v>
      </c>
      <c r="BG66" s="13">
        <v>158.11173300999999</v>
      </c>
      <c r="BH66" s="96" t="str">
        <f>+VLOOKUP(G66,Liste!$A$7:$G$50,3,FALSE)</f>
        <v>Pin sylvestre</v>
      </c>
      <c r="BI66" s="96" t="str">
        <f>+VLOOKUP(H66,Liste!$B$7:$G$50,5,FALSE)</f>
        <v>GS Pineraies des plaines du Centre et du Nord Ouest</v>
      </c>
      <c r="BJ66" s="135">
        <f t="shared" si="0"/>
        <v>39</v>
      </c>
      <c r="BK66" s="135" t="str">
        <f t="shared" si="2"/>
        <v>Pin sylvestre_F2_Eclaircie précoce_GS Pineraies des plaines du Centre et du Nord Ouest_39_</v>
      </c>
      <c r="BL66" s="322"/>
      <c r="BM66" s="13">
        <v>43.112685190000008</v>
      </c>
      <c r="BN66" s="13">
        <v>201.22441821864541</v>
      </c>
      <c r="BO66" s="13"/>
      <c r="BP66" s="13">
        <v>244.97</v>
      </c>
      <c r="BQ66" s="13">
        <v>10.244113986137799</v>
      </c>
      <c r="BT66" s="298" t="str">
        <f>+VLOOKUP(G66,Liste!$A$7:$H$50,8,FALSE)</f>
        <v>Résineux</v>
      </c>
      <c r="BU66" s="298">
        <f t="shared" si="3"/>
        <v>0</v>
      </c>
      <c r="BV66" s="300">
        <f t="shared" si="4"/>
        <v>1</v>
      </c>
      <c r="BW66" s="321">
        <v>0</v>
      </c>
      <c r="BX66" s="298">
        <f t="shared" si="5"/>
        <v>0.43</v>
      </c>
      <c r="BY66">
        <f t="shared" si="6"/>
        <v>0</v>
      </c>
      <c r="BZ66" s="304">
        <f t="shared" si="7"/>
        <v>0</v>
      </c>
      <c r="CB66" s="299">
        <v>0.6</v>
      </c>
      <c r="CC66" s="299">
        <v>0.4</v>
      </c>
      <c r="CD66">
        <f t="shared" si="8"/>
        <v>0</v>
      </c>
      <c r="CE66">
        <f t="shared" si="9"/>
        <v>0</v>
      </c>
      <c r="CF66">
        <f t="shared" si="10"/>
        <v>0</v>
      </c>
      <c r="CG66">
        <f t="shared" si="11"/>
        <v>0</v>
      </c>
      <c r="CH66">
        <f t="shared" si="12"/>
        <v>0</v>
      </c>
      <c r="CI66">
        <f t="shared" si="13"/>
        <v>0</v>
      </c>
      <c r="CJ66">
        <f t="shared" si="14"/>
        <v>0</v>
      </c>
      <c r="CK66">
        <f t="shared" si="15"/>
        <v>0</v>
      </c>
      <c r="CL66">
        <f t="shared" si="16"/>
        <v>0</v>
      </c>
      <c r="CM66">
        <f t="shared" si="26"/>
        <v>0</v>
      </c>
      <c r="CN66">
        <f t="shared" si="18"/>
        <v>0</v>
      </c>
      <c r="CO66">
        <f t="shared" si="1"/>
        <v>0</v>
      </c>
    </row>
    <row r="67" spans="1:93" s="12" customFormat="1" ht="14.65" customHeight="1" x14ac:dyDescent="0.25">
      <c r="A67" s="4">
        <v>2021</v>
      </c>
      <c r="B67" s="4"/>
      <c r="C67" s="4" t="s">
        <v>64</v>
      </c>
      <c r="D67" s="4" t="s">
        <v>65</v>
      </c>
      <c r="E67" s="4"/>
      <c r="F67" s="4" t="s">
        <v>90</v>
      </c>
      <c r="G67" s="5" t="s">
        <v>15</v>
      </c>
      <c r="H67" s="5" t="s">
        <v>21</v>
      </c>
      <c r="I67" s="5" t="s">
        <v>16</v>
      </c>
      <c r="J67" s="5" t="s">
        <v>10</v>
      </c>
      <c r="K67" s="5">
        <v>23</v>
      </c>
      <c r="L67" s="5" t="s">
        <v>192</v>
      </c>
      <c r="M67" s="5">
        <v>2500</v>
      </c>
      <c r="N67" s="5" t="s">
        <v>170</v>
      </c>
      <c r="O67" s="6" t="s">
        <v>78</v>
      </c>
      <c r="P67" s="6" t="s">
        <v>80</v>
      </c>
      <c r="Q67" s="6">
        <v>2003</v>
      </c>
      <c r="R67" s="6"/>
      <c r="S67" s="6">
        <v>24</v>
      </c>
      <c r="T67" s="6">
        <v>11.4</v>
      </c>
      <c r="U67" s="6">
        <v>2157</v>
      </c>
      <c r="V67" s="6">
        <v>40.299999999999997</v>
      </c>
      <c r="W67" s="6">
        <v>0</v>
      </c>
      <c r="X67" s="6">
        <v>600</v>
      </c>
      <c r="Y67" s="6">
        <v>1043</v>
      </c>
      <c r="Z67" s="6">
        <v>457</v>
      </c>
      <c r="AA67" s="6">
        <v>57</v>
      </c>
      <c r="AB67" s="6">
        <v>0</v>
      </c>
      <c r="AC67" s="2">
        <v>40</v>
      </c>
      <c r="AD67" s="2" t="s">
        <v>52</v>
      </c>
      <c r="AE67" s="7">
        <v>17.87</v>
      </c>
      <c r="AF67" s="7">
        <v>530</v>
      </c>
      <c r="AG67" s="7">
        <v>22.8</v>
      </c>
      <c r="AH67" s="7">
        <v>23.4</v>
      </c>
      <c r="AI67" s="7">
        <v>29.24</v>
      </c>
      <c r="AJ67" s="9">
        <v>176.52307555832601</v>
      </c>
      <c r="AK67" s="9">
        <v>178.3426733</v>
      </c>
      <c r="AL67" s="9">
        <v>217.28907842354101</v>
      </c>
      <c r="AM67" s="9">
        <v>57.6220649628507</v>
      </c>
      <c r="AN67" s="9">
        <v>1.4405516240712699</v>
      </c>
      <c r="AO67" s="9">
        <v>0.81192846568006904</v>
      </c>
      <c r="AP67" s="9">
        <v>475.092201135256</v>
      </c>
      <c r="AQ67" s="9">
        <v>11.8773050283814</v>
      </c>
      <c r="AR67" s="9">
        <v>11.124846845157</v>
      </c>
      <c r="AS67" s="73" t="s">
        <v>169</v>
      </c>
      <c r="AT67" s="10"/>
      <c r="AU67" s="10" t="s">
        <v>169</v>
      </c>
      <c r="AV67" s="10">
        <v>0</v>
      </c>
      <c r="AW67" s="8"/>
      <c r="AX67" s="74" t="s">
        <v>169</v>
      </c>
      <c r="AY67" s="74"/>
      <c r="AZ67" s="74"/>
      <c r="BA67" s="74"/>
      <c r="BB67" s="8"/>
      <c r="BC67" s="8"/>
      <c r="BD67" s="8"/>
      <c r="BE67" s="8"/>
      <c r="BF67" s="12">
        <v>0.44</v>
      </c>
      <c r="BG67" s="13">
        <v>166.51586376333333</v>
      </c>
      <c r="BH67" s="96" t="str">
        <f>+VLOOKUP(G67,Liste!$A$7:$G$50,3,FALSE)</f>
        <v>Pin sylvestre</v>
      </c>
      <c r="BI67" s="96" t="str">
        <f>+VLOOKUP(H67,Liste!$B$7:$G$50,5,FALSE)</f>
        <v>GS Pineraies des plaines du Centre et du Nord Ouest</v>
      </c>
      <c r="BJ67" s="135">
        <f t="shared" ref="BJ67:BJ130" si="27">+AC67</f>
        <v>40</v>
      </c>
      <c r="BK67" s="135" t="str">
        <f t="shared" si="2"/>
        <v>Pin sylvestre_F2_Eclaircie précoce_GS Pineraies des plaines du Centre et du Nord Ouest_40_</v>
      </c>
      <c r="BL67" s="322"/>
      <c r="BM67" s="13">
        <v>45.13137613666666</v>
      </c>
      <c r="BN67" s="13">
        <v>211.64723994203132</v>
      </c>
      <c r="BO67" s="13"/>
      <c r="BP67" s="13">
        <v>244.97</v>
      </c>
      <c r="BQ67" s="13">
        <v>10.386817311244601</v>
      </c>
      <c r="BT67" s="298" t="str">
        <f>+VLOOKUP(G67,Liste!$A$7:$H$50,8,FALSE)</f>
        <v>Résineux</v>
      </c>
      <c r="BU67" s="298">
        <f t="shared" si="3"/>
        <v>0</v>
      </c>
      <c r="BV67" s="300">
        <f t="shared" si="4"/>
        <v>1</v>
      </c>
      <c r="BW67" s="321">
        <v>0</v>
      </c>
      <c r="BX67" s="298">
        <f t="shared" si="5"/>
        <v>0.43</v>
      </c>
      <c r="BY67">
        <f t="shared" si="6"/>
        <v>0</v>
      </c>
      <c r="BZ67" s="304">
        <f t="shared" si="7"/>
        <v>0</v>
      </c>
      <c r="CB67" s="299">
        <v>0.6</v>
      </c>
      <c r="CC67" s="299">
        <v>0.4</v>
      </c>
      <c r="CD67">
        <f t="shared" si="8"/>
        <v>0</v>
      </c>
      <c r="CE67">
        <f t="shared" si="9"/>
        <v>0</v>
      </c>
      <c r="CF67">
        <f t="shared" si="10"/>
        <v>0</v>
      </c>
      <c r="CG67">
        <f t="shared" si="11"/>
        <v>0</v>
      </c>
      <c r="CH67">
        <f t="shared" si="12"/>
        <v>0</v>
      </c>
      <c r="CI67">
        <f t="shared" si="13"/>
        <v>0</v>
      </c>
      <c r="CJ67">
        <f t="shared" si="14"/>
        <v>0</v>
      </c>
      <c r="CK67">
        <f t="shared" si="15"/>
        <v>0</v>
      </c>
      <c r="CL67">
        <f t="shared" si="16"/>
        <v>0</v>
      </c>
      <c r="CM67">
        <f t="shared" si="26"/>
        <v>0</v>
      </c>
      <c r="CN67">
        <f t="shared" si="18"/>
        <v>0</v>
      </c>
      <c r="CO67">
        <f t="shared" ref="CO67:CO130" si="28">+IF(BJ67=30,CN67/30,0)</f>
        <v>0</v>
      </c>
    </row>
    <row r="68" spans="1:93" s="12" customFormat="1" ht="14.65" customHeight="1" x14ac:dyDescent="0.25">
      <c r="A68" s="4">
        <v>2021</v>
      </c>
      <c r="B68" s="4"/>
      <c r="C68" s="4" t="s">
        <v>64</v>
      </c>
      <c r="D68" s="4" t="s">
        <v>65</v>
      </c>
      <c r="E68" s="4"/>
      <c r="F68" s="4" t="s">
        <v>90</v>
      </c>
      <c r="G68" s="5" t="s">
        <v>15</v>
      </c>
      <c r="H68" s="5" t="s">
        <v>21</v>
      </c>
      <c r="I68" s="5" t="s">
        <v>16</v>
      </c>
      <c r="J68" s="5" t="s">
        <v>10</v>
      </c>
      <c r="K68" s="5">
        <v>23</v>
      </c>
      <c r="L68" s="5" t="s">
        <v>192</v>
      </c>
      <c r="M68" s="5">
        <v>2500</v>
      </c>
      <c r="N68" s="5" t="s">
        <v>170</v>
      </c>
      <c r="O68" s="6" t="s">
        <v>78</v>
      </c>
      <c r="P68" s="6" t="s">
        <v>80</v>
      </c>
      <c r="Q68" s="6">
        <v>2003</v>
      </c>
      <c r="R68" s="6"/>
      <c r="S68" s="6">
        <v>24</v>
      </c>
      <c r="T68" s="6">
        <v>11.4</v>
      </c>
      <c r="U68" s="6">
        <v>2157</v>
      </c>
      <c r="V68" s="6">
        <v>40.299999999999997</v>
      </c>
      <c r="W68" s="6">
        <v>0</v>
      </c>
      <c r="X68" s="6">
        <v>600</v>
      </c>
      <c r="Y68" s="6">
        <v>1043</v>
      </c>
      <c r="Z68" s="6">
        <v>457</v>
      </c>
      <c r="AA68" s="6">
        <v>57</v>
      </c>
      <c r="AB68" s="6">
        <v>0</v>
      </c>
      <c r="AC68" s="2">
        <v>41</v>
      </c>
      <c r="AD68" s="2" t="s">
        <v>52</v>
      </c>
      <c r="AE68" s="7">
        <v>18.21</v>
      </c>
      <c r="AF68" s="7">
        <v>530</v>
      </c>
      <c r="AG68" s="7">
        <v>23.61</v>
      </c>
      <c r="AH68" s="7">
        <v>23.82</v>
      </c>
      <c r="AI68" s="7">
        <v>29.79</v>
      </c>
      <c r="AJ68" s="9">
        <v>186.26853122709201</v>
      </c>
      <c r="AK68" s="9">
        <v>188.1856583</v>
      </c>
      <c r="AL68" s="9">
        <v>228.41392526869799</v>
      </c>
      <c r="AM68" s="9">
        <v>58.433993428530798</v>
      </c>
      <c r="AN68" s="9">
        <v>1.42521935191538</v>
      </c>
      <c r="AO68" s="9">
        <v>0.805777360782017</v>
      </c>
      <c r="AP68" s="9">
        <v>486.21704798041299</v>
      </c>
      <c r="AQ68" s="9">
        <v>11.8589523897662</v>
      </c>
      <c r="AR68" s="9">
        <v>11.172696822981299</v>
      </c>
      <c r="AS68" s="73" t="s">
        <v>169</v>
      </c>
      <c r="AT68" s="10"/>
      <c r="AU68" s="10" t="s">
        <v>169</v>
      </c>
      <c r="AV68" s="10">
        <v>0</v>
      </c>
      <c r="AW68" s="8"/>
      <c r="AX68" s="74" t="s">
        <v>169</v>
      </c>
      <c r="AY68" s="74"/>
      <c r="AZ68" s="74"/>
      <c r="BA68" s="74"/>
      <c r="BB68" s="8"/>
      <c r="BC68" s="8"/>
      <c r="BD68" s="8"/>
      <c r="BE68" s="8"/>
      <c r="BF68" s="12">
        <v>0.44</v>
      </c>
      <c r="BG68" s="13">
        <v>175.04120472666668</v>
      </c>
      <c r="BH68" s="96" t="str">
        <f>+VLOOKUP(G68,Liste!$A$7:$G$50,3,FALSE)</f>
        <v>Pin sylvestre</v>
      </c>
      <c r="BI68" s="96" t="str">
        <f>+VLOOKUP(H68,Liste!$B$7:$G$50,5,FALSE)</f>
        <v>GS Pineraies des plaines du Centre et du Nord Ouest</v>
      </c>
      <c r="BJ68" s="135">
        <f t="shared" si="27"/>
        <v>41</v>
      </c>
      <c r="BK68" s="135" t="str">
        <f t="shared" ref="BK68:BK131" si="29">+_xlfn.CONCAT(BH68,"_",J68,"_",I68,"_",BI68,"_",BJ68,"_")</f>
        <v>Pin sylvestre_F2_Eclaircie précoce_GS Pineraies des plaines du Centre et du Nord Ouest_41_</v>
      </c>
      <c r="BL68" s="322"/>
      <c r="BM68" s="13">
        <v>47.167098273333323</v>
      </c>
      <c r="BN68" s="13">
        <v>222.20830298851504</v>
      </c>
      <c r="BO68" s="13"/>
      <c r="BP68" s="13">
        <v>244.97</v>
      </c>
      <c r="BQ68" s="13">
        <v>10.4265095856787</v>
      </c>
      <c r="BT68" s="298" t="str">
        <f>+VLOOKUP(G68,Liste!$A$7:$H$50,8,FALSE)</f>
        <v>Résineux</v>
      </c>
      <c r="BU68" s="298">
        <f t="shared" ref="BU68:BU131" si="30">IF(BT68="Résineux",0%,100%)</f>
        <v>0</v>
      </c>
      <c r="BV68" s="300">
        <f t="shared" ref="BV68:BV131" si="31">+IF(BT68="Résineux",100%,0%)</f>
        <v>1</v>
      </c>
      <c r="BW68" s="321">
        <v>0</v>
      </c>
      <c r="BX68" s="298">
        <f t="shared" ref="BX68:BX131" si="32">+IF(BV68&lt;&gt;0,0.43,0.25)</f>
        <v>0.43</v>
      </c>
      <c r="BY68">
        <f t="shared" ref="BY68:BY131" si="33">+IF(BJ68&lt;=30,AV68*BX68,0)</f>
        <v>0</v>
      </c>
      <c r="BZ68" s="304">
        <f t="shared" ref="BZ68:BZ131" si="34">+IF(BJ68&gt;=31,0,BY68+BZ67)</f>
        <v>0</v>
      </c>
      <c r="CB68" s="299">
        <v>0.6</v>
      </c>
      <c r="CC68" s="299">
        <v>0.4</v>
      </c>
      <c r="CD68">
        <f t="shared" ref="CD68:CD131" si="35">+IF(BJ68&lt;=31,AV68*CA68*0.5,0)</f>
        <v>0</v>
      </c>
      <c r="CE68">
        <f t="shared" ref="CE68:CE131" si="36">IF(BJ68&lt;=31,AV68*CB68,0)</f>
        <v>0</v>
      </c>
      <c r="CF68">
        <f t="shared" ref="CF68:CF131" si="37">IF(BJ68&lt;=31,AV68*CC68,0)</f>
        <v>0</v>
      </c>
      <c r="CG68">
        <f t="shared" ref="CG68:CG131" si="38">CD68*44/12*0.475*BF68</f>
        <v>0</v>
      </c>
      <c r="CH68">
        <f t="shared" ref="CH68:CH131" si="39">CE68*44/12*0.475*BF68</f>
        <v>0</v>
      </c>
      <c r="CI68">
        <f t="shared" ref="CI68:CI131" si="40">CF68*44/12*0.475*BF68</f>
        <v>0</v>
      </c>
      <c r="CJ68">
        <f t="shared" ref="CJ68:CJ131" si="41">+IF(BJ68&lt;=31,CJ67*EXP(-$CJ$1)+CG67*(1-EXP(-$CJ$1))/$CJ$1,0)</f>
        <v>0</v>
      </c>
      <c r="CK68">
        <f t="shared" ref="CK68:CK131" si="42">+IF(BJ68&lt;=31,CK67*EXP(-$CK$1)+CH67*(1-EXP(-$CK$1))/$CK$1,0)</f>
        <v>0</v>
      </c>
      <c r="CL68">
        <f t="shared" ref="CL68:CL131" si="43">+IF(BJ68&lt;=31,CL67*EXP(-$CL$1)+CI67*(1-EXP(-$CL$1))/$CL$1,0)</f>
        <v>0</v>
      </c>
      <c r="CM68">
        <f t="shared" si="26"/>
        <v>0</v>
      </c>
      <c r="CN68">
        <f t="shared" ref="CN68:CN131" si="44">+IF(BJ68&lt;=31,CM68+CN67,0)</f>
        <v>0</v>
      </c>
      <c r="CO68">
        <f t="shared" si="28"/>
        <v>0</v>
      </c>
    </row>
    <row r="69" spans="1:93" s="12" customFormat="1" ht="14.65" customHeight="1" x14ac:dyDescent="0.25">
      <c r="A69" s="4">
        <v>2021</v>
      </c>
      <c r="B69" s="4"/>
      <c r="C69" s="4" t="s">
        <v>64</v>
      </c>
      <c r="D69" s="4" t="s">
        <v>65</v>
      </c>
      <c r="E69" s="4"/>
      <c r="F69" s="4" t="s">
        <v>90</v>
      </c>
      <c r="G69" s="5" t="s">
        <v>15</v>
      </c>
      <c r="H69" s="5" t="s">
        <v>21</v>
      </c>
      <c r="I69" s="5" t="s">
        <v>16</v>
      </c>
      <c r="J69" s="5" t="s">
        <v>10</v>
      </c>
      <c r="K69" s="5">
        <v>23</v>
      </c>
      <c r="L69" s="5" t="s">
        <v>192</v>
      </c>
      <c r="M69" s="5">
        <v>2500</v>
      </c>
      <c r="N69" s="5" t="s">
        <v>170</v>
      </c>
      <c r="O69" s="6" t="s">
        <v>78</v>
      </c>
      <c r="P69" s="6" t="s">
        <v>80</v>
      </c>
      <c r="Q69" s="6">
        <v>2003</v>
      </c>
      <c r="R69" s="6"/>
      <c r="S69" s="6">
        <v>24</v>
      </c>
      <c r="T69" s="6">
        <v>11.4</v>
      </c>
      <c r="U69" s="6">
        <v>2157</v>
      </c>
      <c r="V69" s="6">
        <v>40.299999999999997</v>
      </c>
      <c r="W69" s="6">
        <v>0</v>
      </c>
      <c r="X69" s="6">
        <v>600</v>
      </c>
      <c r="Y69" s="6">
        <v>1043</v>
      </c>
      <c r="Z69" s="6">
        <v>457</v>
      </c>
      <c r="AA69" s="6">
        <v>57</v>
      </c>
      <c r="AB69" s="6">
        <v>0</v>
      </c>
      <c r="AC69" s="2">
        <v>42</v>
      </c>
      <c r="AD69" s="2" t="s">
        <v>52</v>
      </c>
      <c r="AE69" s="7">
        <v>18.559999999999999</v>
      </c>
      <c r="AF69" s="7">
        <v>530</v>
      </c>
      <c r="AG69" s="7">
        <v>24.41</v>
      </c>
      <c r="AH69" s="7">
        <v>24.22</v>
      </c>
      <c r="AI69" s="7">
        <v>30.33</v>
      </c>
      <c r="AJ69" s="9">
        <v>196.06465773207199</v>
      </c>
      <c r="AK69" s="9">
        <v>198.08089960000001</v>
      </c>
      <c r="AL69" s="9">
        <v>239.586622091679</v>
      </c>
      <c r="AM69" s="9">
        <v>59.2397707893128</v>
      </c>
      <c r="AN69" s="9">
        <v>1.4104707330788799</v>
      </c>
      <c r="AO69" s="9">
        <v>0.79750850827619502</v>
      </c>
      <c r="AP69" s="9">
        <v>497.38974480339402</v>
      </c>
      <c r="AQ69" s="9">
        <v>11.8426129715094</v>
      </c>
      <c r="AR69" s="9">
        <v>11.296971448600599</v>
      </c>
      <c r="AS69" s="73" t="s">
        <v>169</v>
      </c>
      <c r="AT69" s="10"/>
      <c r="AU69" s="10" t="s">
        <v>169</v>
      </c>
      <c r="AV69" s="10">
        <v>0</v>
      </c>
      <c r="AW69" s="8"/>
      <c r="AX69" s="74" t="s">
        <v>169</v>
      </c>
      <c r="AY69" s="74"/>
      <c r="AZ69" s="74"/>
      <c r="BA69" s="74"/>
      <c r="BB69" s="8"/>
      <c r="BC69" s="8"/>
      <c r="BD69" s="8"/>
      <c r="BE69" s="8"/>
      <c r="BF69" s="12">
        <v>0.44</v>
      </c>
      <c r="BG69" s="13">
        <v>183.60321474</v>
      </c>
      <c r="BH69" s="96" t="str">
        <f>+VLOOKUP(G69,Liste!$A$7:$G$50,3,FALSE)</f>
        <v>Pin sylvestre</v>
      </c>
      <c r="BI69" s="96" t="str">
        <f>+VLOOKUP(H69,Liste!$B$7:$G$50,5,FALSE)</f>
        <v>GS Pineraies des plaines du Centre et du Nord Ouest</v>
      </c>
      <c r="BJ69" s="135">
        <f t="shared" si="27"/>
        <v>42</v>
      </c>
      <c r="BK69" s="135" t="str">
        <f t="shared" si="29"/>
        <v>Pin sylvestre_F2_Eclaircie précoce_GS Pineraies des plaines du Centre et du Nord Ouest_42_</v>
      </c>
      <c r="BL69" s="322"/>
      <c r="BM69" s="13">
        <v>49.19998966</v>
      </c>
      <c r="BN69" s="13">
        <v>232.80320443127073</v>
      </c>
      <c r="BO69" s="13"/>
      <c r="BP69" s="13">
        <v>244.97</v>
      </c>
      <c r="BQ69" s="13">
        <v>10.537534151853301</v>
      </c>
      <c r="BT69" s="298" t="str">
        <f>+VLOOKUP(G69,Liste!$A$7:$H$50,8,FALSE)</f>
        <v>Résineux</v>
      </c>
      <c r="BU69" s="298">
        <f t="shared" si="30"/>
        <v>0</v>
      </c>
      <c r="BV69" s="300">
        <f t="shared" si="31"/>
        <v>1</v>
      </c>
      <c r="BW69" s="321">
        <v>0</v>
      </c>
      <c r="BX69" s="298">
        <f t="shared" si="32"/>
        <v>0.43</v>
      </c>
      <c r="BY69">
        <f t="shared" si="33"/>
        <v>0</v>
      </c>
      <c r="BZ69" s="304">
        <f t="shared" si="34"/>
        <v>0</v>
      </c>
      <c r="CB69" s="299">
        <v>0.6</v>
      </c>
      <c r="CC69" s="299">
        <v>0.4</v>
      </c>
      <c r="CD69">
        <f t="shared" si="35"/>
        <v>0</v>
      </c>
      <c r="CE69">
        <f t="shared" si="36"/>
        <v>0</v>
      </c>
      <c r="CF69">
        <f t="shared" si="37"/>
        <v>0</v>
      </c>
      <c r="CG69">
        <f t="shared" si="38"/>
        <v>0</v>
      </c>
      <c r="CH69">
        <f t="shared" si="39"/>
        <v>0</v>
      </c>
      <c r="CI69">
        <f t="shared" si="40"/>
        <v>0</v>
      </c>
      <c r="CJ69">
        <f t="shared" si="41"/>
        <v>0</v>
      </c>
      <c r="CK69">
        <f t="shared" si="42"/>
        <v>0</v>
      </c>
      <c r="CL69">
        <f t="shared" si="43"/>
        <v>0</v>
      </c>
      <c r="CM69">
        <f t="shared" ref="CM69:CM132" si="45">+CJ69+CK69+CL69</f>
        <v>0</v>
      </c>
      <c r="CN69">
        <f t="shared" si="44"/>
        <v>0</v>
      </c>
      <c r="CO69">
        <f t="shared" si="28"/>
        <v>0</v>
      </c>
    </row>
    <row r="70" spans="1:93" s="12" customFormat="1" ht="14.65" customHeight="1" x14ac:dyDescent="0.25">
      <c r="A70" s="4">
        <v>2021</v>
      </c>
      <c r="B70" s="4"/>
      <c r="C70" s="4" t="s">
        <v>64</v>
      </c>
      <c r="D70" s="4" t="s">
        <v>65</v>
      </c>
      <c r="E70" s="4"/>
      <c r="F70" s="4" t="s">
        <v>90</v>
      </c>
      <c r="G70" s="5" t="s">
        <v>15</v>
      </c>
      <c r="H70" s="5" t="s">
        <v>21</v>
      </c>
      <c r="I70" s="5" t="s">
        <v>16</v>
      </c>
      <c r="J70" s="5" t="s">
        <v>10</v>
      </c>
      <c r="K70" s="5">
        <v>23</v>
      </c>
      <c r="L70" s="5" t="s">
        <v>192</v>
      </c>
      <c r="M70" s="5">
        <v>2500</v>
      </c>
      <c r="N70" s="5" t="s">
        <v>170</v>
      </c>
      <c r="O70" s="6" t="s">
        <v>78</v>
      </c>
      <c r="P70" s="6" t="s">
        <v>80</v>
      </c>
      <c r="Q70" s="6">
        <v>2003</v>
      </c>
      <c r="R70" s="6"/>
      <c r="S70" s="6">
        <v>24</v>
      </c>
      <c r="T70" s="6">
        <v>11.4</v>
      </c>
      <c r="U70" s="6">
        <v>2157</v>
      </c>
      <c r="V70" s="6">
        <v>40.299999999999997</v>
      </c>
      <c r="W70" s="6">
        <v>0</v>
      </c>
      <c r="X70" s="6">
        <v>600</v>
      </c>
      <c r="Y70" s="6">
        <v>1043</v>
      </c>
      <c r="Z70" s="6">
        <v>457</v>
      </c>
      <c r="AA70" s="6">
        <v>57</v>
      </c>
      <c r="AB70" s="6">
        <v>0</v>
      </c>
      <c r="AC70" s="2">
        <v>43</v>
      </c>
      <c r="AD70" s="2" t="s">
        <v>52</v>
      </c>
      <c r="AE70" s="7">
        <v>18.89</v>
      </c>
      <c r="AF70" s="7">
        <v>530</v>
      </c>
      <c r="AG70" s="7">
        <v>25.21</v>
      </c>
      <c r="AH70" s="7">
        <v>24.61</v>
      </c>
      <c r="AI70" s="7">
        <v>30.85</v>
      </c>
      <c r="AJ70" s="9">
        <v>206.00745784551199</v>
      </c>
      <c r="AK70" s="9">
        <v>208.1217231</v>
      </c>
      <c r="AL70" s="9">
        <v>250.88359354027901</v>
      </c>
      <c r="AM70" s="9">
        <v>60.037279297589002</v>
      </c>
      <c r="AN70" s="9">
        <v>1.39621579761835</v>
      </c>
      <c r="AO70" s="9">
        <v>0.79103968625911103</v>
      </c>
      <c r="AP70" s="9">
        <v>508.68671625199499</v>
      </c>
      <c r="AQ70" s="9">
        <v>11.829923633767301</v>
      </c>
      <c r="AR70" s="9">
        <v>11.377348588288401</v>
      </c>
      <c r="AS70" s="73" t="s">
        <v>169</v>
      </c>
      <c r="AT70" s="10"/>
      <c r="AU70" s="10" t="s">
        <v>169</v>
      </c>
      <c r="AV70" s="10">
        <v>0</v>
      </c>
      <c r="AW70" s="8"/>
      <c r="AX70" s="74" t="s">
        <v>169</v>
      </c>
      <c r="AY70" s="74"/>
      <c r="AZ70" s="74"/>
      <c r="BA70" s="74"/>
      <c r="BB70" s="8"/>
      <c r="BC70" s="8"/>
      <c r="BD70" s="8"/>
      <c r="BE70" s="8"/>
      <c r="BF70" s="12">
        <v>0.44</v>
      </c>
      <c r="BG70" s="13">
        <v>192.26046051666665</v>
      </c>
      <c r="BH70" s="96" t="str">
        <f>+VLOOKUP(G70,Liste!$A$7:$G$50,3,FALSE)</f>
        <v>Pin sylvestre</v>
      </c>
      <c r="BI70" s="96" t="str">
        <f>+VLOOKUP(H70,Liste!$B$7:$G$50,5,FALSE)</f>
        <v>GS Pineraies des plaines du Centre et du Nord Ouest</v>
      </c>
      <c r="BJ70" s="135">
        <f t="shared" si="27"/>
        <v>43</v>
      </c>
      <c r="BK70" s="135" t="str">
        <f t="shared" si="29"/>
        <v>Pin sylvestre_F2_Eclaircie précoce_GS Pineraies des plaines du Centre et du Nord Ouest_43_</v>
      </c>
      <c r="BL70" s="322"/>
      <c r="BM70" s="13">
        <v>51.244301783333356</v>
      </c>
      <c r="BN70" s="13">
        <v>243.50476231897093</v>
      </c>
      <c r="BO70" s="13"/>
      <c r="BP70" s="13">
        <v>244.97</v>
      </c>
      <c r="BQ70" s="13">
        <v>10.6076015646439</v>
      </c>
      <c r="BT70" s="298" t="str">
        <f>+VLOOKUP(G70,Liste!$A$7:$H$50,8,FALSE)</f>
        <v>Résineux</v>
      </c>
      <c r="BU70" s="298">
        <f t="shared" si="30"/>
        <v>0</v>
      </c>
      <c r="BV70" s="300">
        <f t="shared" si="31"/>
        <v>1</v>
      </c>
      <c r="BW70" s="321">
        <v>0</v>
      </c>
      <c r="BX70" s="298">
        <f t="shared" si="32"/>
        <v>0.43</v>
      </c>
      <c r="BY70">
        <f t="shared" si="33"/>
        <v>0</v>
      </c>
      <c r="BZ70" s="304">
        <f t="shared" si="34"/>
        <v>0</v>
      </c>
      <c r="CB70" s="299">
        <v>0.6</v>
      </c>
      <c r="CC70" s="299">
        <v>0.4</v>
      </c>
      <c r="CD70">
        <f t="shared" si="35"/>
        <v>0</v>
      </c>
      <c r="CE70">
        <f t="shared" si="36"/>
        <v>0</v>
      </c>
      <c r="CF70">
        <f t="shared" si="37"/>
        <v>0</v>
      </c>
      <c r="CG70">
        <f t="shared" si="38"/>
        <v>0</v>
      </c>
      <c r="CH70">
        <f t="shared" si="39"/>
        <v>0</v>
      </c>
      <c r="CI70">
        <f t="shared" si="40"/>
        <v>0</v>
      </c>
      <c r="CJ70">
        <f t="shared" si="41"/>
        <v>0</v>
      </c>
      <c r="CK70">
        <f t="shared" si="42"/>
        <v>0</v>
      </c>
      <c r="CL70">
        <f t="shared" si="43"/>
        <v>0</v>
      </c>
      <c r="CM70">
        <f t="shared" si="45"/>
        <v>0</v>
      </c>
      <c r="CN70">
        <f t="shared" si="44"/>
        <v>0</v>
      </c>
      <c r="CO70">
        <f t="shared" si="28"/>
        <v>0</v>
      </c>
    </row>
    <row r="71" spans="1:93" s="12" customFormat="1" ht="14.65" customHeight="1" x14ac:dyDescent="0.25">
      <c r="A71" s="4">
        <v>2021</v>
      </c>
      <c r="B71" s="4"/>
      <c r="C71" s="4" t="s">
        <v>64</v>
      </c>
      <c r="D71" s="4" t="s">
        <v>65</v>
      </c>
      <c r="E71" s="4"/>
      <c r="F71" s="4" t="s">
        <v>90</v>
      </c>
      <c r="G71" s="5" t="s">
        <v>15</v>
      </c>
      <c r="H71" s="5" t="s">
        <v>21</v>
      </c>
      <c r="I71" s="5" t="s">
        <v>16</v>
      </c>
      <c r="J71" s="5" t="s">
        <v>10</v>
      </c>
      <c r="K71" s="5">
        <v>23</v>
      </c>
      <c r="L71" s="5" t="s">
        <v>192</v>
      </c>
      <c r="M71" s="5">
        <v>2500</v>
      </c>
      <c r="N71" s="5" t="s">
        <v>170</v>
      </c>
      <c r="O71" s="6" t="s">
        <v>78</v>
      </c>
      <c r="P71" s="6" t="s">
        <v>80</v>
      </c>
      <c r="Q71" s="6">
        <v>2003</v>
      </c>
      <c r="R71" s="6"/>
      <c r="S71" s="6">
        <v>24</v>
      </c>
      <c r="T71" s="6">
        <v>11.4</v>
      </c>
      <c r="U71" s="6">
        <v>2157</v>
      </c>
      <c r="V71" s="6">
        <v>40.299999999999997</v>
      </c>
      <c r="W71" s="6">
        <v>0</v>
      </c>
      <c r="X71" s="6">
        <v>600</v>
      </c>
      <c r="Y71" s="6">
        <v>1043</v>
      </c>
      <c r="Z71" s="6">
        <v>457</v>
      </c>
      <c r="AA71" s="6">
        <v>57</v>
      </c>
      <c r="AB71" s="6">
        <v>0</v>
      </c>
      <c r="AC71" s="2">
        <v>44</v>
      </c>
      <c r="AD71" s="2" t="s">
        <v>52</v>
      </c>
      <c r="AE71" s="7">
        <v>19.23</v>
      </c>
      <c r="AF71" s="7">
        <v>530</v>
      </c>
      <c r="AG71" s="7">
        <v>26</v>
      </c>
      <c r="AH71" s="7">
        <v>24.99</v>
      </c>
      <c r="AI71" s="7">
        <v>31.37</v>
      </c>
      <c r="AJ71" s="9">
        <v>216.041529918024</v>
      </c>
      <c r="AK71" s="9">
        <v>218.2540754</v>
      </c>
      <c r="AL71" s="9">
        <v>262.26094212856799</v>
      </c>
      <c r="AM71" s="9">
        <v>60.828318983848099</v>
      </c>
      <c r="AN71" s="9">
        <v>1.38246179508746</v>
      </c>
      <c r="AO71" s="9">
        <v>0.78407517589916897</v>
      </c>
      <c r="AP71" s="9">
        <v>520.06406484028298</v>
      </c>
      <c r="AQ71" s="9">
        <v>11.819637837279201</v>
      </c>
      <c r="AR71" s="9">
        <v>11.4266127172341</v>
      </c>
      <c r="AS71" s="73" t="s">
        <v>169</v>
      </c>
      <c r="AT71" s="10"/>
      <c r="AU71" s="10" t="s">
        <v>169</v>
      </c>
      <c r="AV71" s="10">
        <v>0</v>
      </c>
      <c r="AW71" s="8"/>
      <c r="AX71" s="74" t="s">
        <v>169</v>
      </c>
      <c r="AY71" s="74"/>
      <c r="AZ71" s="74"/>
      <c r="BA71" s="74"/>
      <c r="BB71" s="8"/>
      <c r="BC71" s="8"/>
      <c r="BD71" s="8"/>
      <c r="BE71" s="8"/>
      <c r="BF71" s="12">
        <v>0.44</v>
      </c>
      <c r="BG71" s="13">
        <v>200.97930196666667</v>
      </c>
      <c r="BH71" s="96" t="str">
        <f>+VLOOKUP(G71,Liste!$A$7:$G$50,3,FALSE)</f>
        <v>Pin sylvestre</v>
      </c>
      <c r="BI71" s="96" t="str">
        <f>+VLOOKUP(H71,Liste!$B$7:$G$50,5,FALSE)</f>
        <v>GS Pineraies des plaines du Centre et du Nord Ouest</v>
      </c>
      <c r="BJ71" s="135">
        <f t="shared" si="27"/>
        <v>44</v>
      </c>
      <c r="BK71" s="135" t="str">
        <f t="shared" si="29"/>
        <v>Pin sylvestre_F2_Eclaircie précoce_GS Pineraies des plaines du Centre et du Nord Ouest_44_</v>
      </c>
      <c r="BL71" s="322"/>
      <c r="BM71" s="13">
        <v>53.292355233333325</v>
      </c>
      <c r="BN71" s="13">
        <v>254.27165718535568</v>
      </c>
      <c r="BO71" s="13"/>
      <c r="BP71" s="13">
        <v>244.97</v>
      </c>
      <c r="BQ71" s="13">
        <v>10.6486976543117</v>
      </c>
      <c r="BT71" s="298" t="str">
        <f>+VLOOKUP(G71,Liste!$A$7:$H$50,8,FALSE)</f>
        <v>Résineux</v>
      </c>
      <c r="BU71" s="298">
        <f t="shared" si="30"/>
        <v>0</v>
      </c>
      <c r="BV71" s="300">
        <f t="shared" si="31"/>
        <v>1</v>
      </c>
      <c r="BW71" s="321">
        <v>0</v>
      </c>
      <c r="BX71" s="298">
        <f t="shared" si="32"/>
        <v>0.43</v>
      </c>
      <c r="BY71">
        <f t="shared" si="33"/>
        <v>0</v>
      </c>
      <c r="BZ71" s="304">
        <f t="shared" si="34"/>
        <v>0</v>
      </c>
      <c r="CB71" s="299">
        <v>0.6</v>
      </c>
      <c r="CC71" s="299">
        <v>0.4</v>
      </c>
      <c r="CD71">
        <f t="shared" si="35"/>
        <v>0</v>
      </c>
      <c r="CE71">
        <f t="shared" si="36"/>
        <v>0</v>
      </c>
      <c r="CF71">
        <f t="shared" si="37"/>
        <v>0</v>
      </c>
      <c r="CG71">
        <f t="shared" si="38"/>
        <v>0</v>
      </c>
      <c r="CH71">
        <f t="shared" si="39"/>
        <v>0</v>
      </c>
      <c r="CI71">
        <f t="shared" si="40"/>
        <v>0</v>
      </c>
      <c r="CJ71">
        <f t="shared" si="41"/>
        <v>0</v>
      </c>
      <c r="CK71">
        <f t="shared" si="42"/>
        <v>0</v>
      </c>
      <c r="CL71">
        <f t="shared" si="43"/>
        <v>0</v>
      </c>
      <c r="CM71">
        <f t="shared" si="45"/>
        <v>0</v>
      </c>
      <c r="CN71">
        <f t="shared" si="44"/>
        <v>0</v>
      </c>
      <c r="CO71">
        <f t="shared" si="28"/>
        <v>0</v>
      </c>
    </row>
    <row r="72" spans="1:93" s="12" customFormat="1" ht="14.65" customHeight="1" x14ac:dyDescent="0.25">
      <c r="A72" s="4">
        <v>2021</v>
      </c>
      <c r="B72" s="4"/>
      <c r="C72" s="4" t="s">
        <v>64</v>
      </c>
      <c r="D72" s="4" t="s">
        <v>65</v>
      </c>
      <c r="E72" s="4"/>
      <c r="F72" s="4" t="s">
        <v>90</v>
      </c>
      <c r="G72" s="5" t="s">
        <v>15</v>
      </c>
      <c r="H72" s="5" t="s">
        <v>21</v>
      </c>
      <c r="I72" s="5" t="s">
        <v>16</v>
      </c>
      <c r="J72" s="5" t="s">
        <v>10</v>
      </c>
      <c r="K72" s="5">
        <v>23</v>
      </c>
      <c r="L72" s="5" t="s">
        <v>192</v>
      </c>
      <c r="M72" s="5">
        <v>2500</v>
      </c>
      <c r="N72" s="5" t="s">
        <v>170</v>
      </c>
      <c r="O72" s="6" t="s">
        <v>78</v>
      </c>
      <c r="P72" s="6" t="s">
        <v>80</v>
      </c>
      <c r="Q72" s="6">
        <v>2003</v>
      </c>
      <c r="R72" s="6"/>
      <c r="S72" s="6">
        <v>24</v>
      </c>
      <c r="T72" s="6">
        <v>11.4</v>
      </c>
      <c r="U72" s="6">
        <v>2157</v>
      </c>
      <c r="V72" s="6">
        <v>40.299999999999997</v>
      </c>
      <c r="W72" s="6">
        <v>0</v>
      </c>
      <c r="X72" s="6">
        <v>600</v>
      </c>
      <c r="Y72" s="6">
        <v>1043</v>
      </c>
      <c r="Z72" s="6">
        <v>457</v>
      </c>
      <c r="AA72" s="6">
        <v>57</v>
      </c>
      <c r="AB72" s="6">
        <v>0</v>
      </c>
      <c r="AC72" s="2">
        <v>45</v>
      </c>
      <c r="AD72" s="2" t="s">
        <v>52</v>
      </c>
      <c r="AE72" s="7">
        <v>19.55</v>
      </c>
      <c r="AF72" s="7">
        <v>530</v>
      </c>
      <c r="AG72" s="7">
        <v>26.79</v>
      </c>
      <c r="AH72" s="7">
        <v>25.37</v>
      </c>
      <c r="AI72" s="7">
        <v>31.87</v>
      </c>
      <c r="AJ72" s="9">
        <v>226.134218828239</v>
      </c>
      <c r="AK72" s="9">
        <v>228.44560139999999</v>
      </c>
      <c r="AL72" s="9">
        <v>273.68755484580203</v>
      </c>
      <c r="AM72" s="9">
        <v>61.612394159747303</v>
      </c>
      <c r="AN72" s="9">
        <v>1.3691643146610499</v>
      </c>
      <c r="AO72" s="9">
        <v>0.77807181224964195</v>
      </c>
      <c r="AP72" s="9">
        <v>531.49067755751696</v>
      </c>
      <c r="AQ72" s="9">
        <v>11.8109039457226</v>
      </c>
      <c r="AR72" s="9">
        <v>11.523829105360401</v>
      </c>
      <c r="AS72" s="73" t="s">
        <v>169</v>
      </c>
      <c r="AT72" s="10"/>
      <c r="AU72" s="10" t="s">
        <v>169</v>
      </c>
      <c r="AV72" s="10">
        <v>0</v>
      </c>
      <c r="AW72" s="8"/>
      <c r="AX72" s="74" t="s">
        <v>169</v>
      </c>
      <c r="AY72" s="74"/>
      <c r="AZ72" s="74"/>
      <c r="BA72" s="74"/>
      <c r="BB72" s="8"/>
      <c r="BC72" s="8"/>
      <c r="BD72" s="8"/>
      <c r="BE72" s="8"/>
      <c r="BF72" s="12">
        <v>0.44</v>
      </c>
      <c r="BG72" s="13">
        <v>209.73589618666665</v>
      </c>
      <c r="BH72" s="96" t="str">
        <f>+VLOOKUP(G72,Liste!$A$7:$G$50,3,FALSE)</f>
        <v>Pin sylvestre</v>
      </c>
      <c r="BI72" s="96" t="str">
        <f>+VLOOKUP(H72,Liste!$B$7:$G$50,5,FALSE)</f>
        <v>GS Pineraies des plaines du Centre et du Nord Ouest</v>
      </c>
      <c r="BJ72" s="135">
        <f t="shared" si="27"/>
        <v>45</v>
      </c>
      <c r="BK72" s="135" t="str">
        <f t="shared" si="29"/>
        <v>Pin sylvestre_F2_Eclaircie précoce_GS Pineraies des plaines du Centre et du Nord Ouest_45_</v>
      </c>
      <c r="BL72" s="322"/>
      <c r="BM72" s="13">
        <v>55.338891013333352</v>
      </c>
      <c r="BN72" s="13">
        <v>265.07478721091172</v>
      </c>
      <c r="BO72" s="13"/>
      <c r="BP72" s="13">
        <v>244.97</v>
      </c>
      <c r="BQ72" s="13">
        <v>10.734505957168601</v>
      </c>
      <c r="BT72" s="298" t="str">
        <f>+VLOOKUP(G72,Liste!$A$7:$H$50,8,FALSE)</f>
        <v>Résineux</v>
      </c>
      <c r="BU72" s="298">
        <f t="shared" si="30"/>
        <v>0</v>
      </c>
      <c r="BV72" s="300">
        <f t="shared" si="31"/>
        <v>1</v>
      </c>
      <c r="BW72" s="321">
        <v>0</v>
      </c>
      <c r="BX72" s="298">
        <f t="shared" si="32"/>
        <v>0.43</v>
      </c>
      <c r="BY72">
        <f t="shared" si="33"/>
        <v>0</v>
      </c>
      <c r="BZ72" s="304">
        <f t="shared" si="34"/>
        <v>0</v>
      </c>
      <c r="CB72" s="299">
        <v>0.6</v>
      </c>
      <c r="CC72" s="299">
        <v>0.4</v>
      </c>
      <c r="CD72">
        <f t="shared" si="35"/>
        <v>0</v>
      </c>
      <c r="CE72">
        <f t="shared" si="36"/>
        <v>0</v>
      </c>
      <c r="CF72">
        <f t="shared" si="37"/>
        <v>0</v>
      </c>
      <c r="CG72">
        <f t="shared" si="38"/>
        <v>0</v>
      </c>
      <c r="CH72">
        <f t="shared" si="39"/>
        <v>0</v>
      </c>
      <c r="CI72">
        <f t="shared" si="40"/>
        <v>0</v>
      </c>
      <c r="CJ72">
        <f t="shared" si="41"/>
        <v>0</v>
      </c>
      <c r="CK72">
        <f t="shared" si="42"/>
        <v>0</v>
      </c>
      <c r="CL72">
        <f t="shared" si="43"/>
        <v>0</v>
      </c>
      <c r="CM72">
        <f t="shared" si="45"/>
        <v>0</v>
      </c>
      <c r="CN72">
        <f t="shared" si="44"/>
        <v>0</v>
      </c>
      <c r="CO72">
        <f t="shared" si="28"/>
        <v>0</v>
      </c>
    </row>
    <row r="73" spans="1:93" s="12" customFormat="1" ht="14.65" customHeight="1" x14ac:dyDescent="0.25">
      <c r="A73" s="4">
        <v>2021</v>
      </c>
      <c r="B73" s="4"/>
      <c r="C73" s="4" t="s">
        <v>64</v>
      </c>
      <c r="D73" s="4" t="s">
        <v>65</v>
      </c>
      <c r="E73" s="4"/>
      <c r="F73" s="4" t="s">
        <v>90</v>
      </c>
      <c r="G73" s="5" t="s">
        <v>15</v>
      </c>
      <c r="H73" s="5" t="s">
        <v>21</v>
      </c>
      <c r="I73" s="5" t="s">
        <v>16</v>
      </c>
      <c r="J73" s="5" t="s">
        <v>10</v>
      </c>
      <c r="K73" s="5">
        <v>23</v>
      </c>
      <c r="L73" s="5" t="s">
        <v>192</v>
      </c>
      <c r="M73" s="5">
        <v>2500</v>
      </c>
      <c r="N73" s="5" t="s">
        <v>170</v>
      </c>
      <c r="O73" s="6" t="s">
        <v>78</v>
      </c>
      <c r="P73" s="6" t="s">
        <v>80</v>
      </c>
      <c r="Q73" s="6">
        <v>2003</v>
      </c>
      <c r="R73" s="6"/>
      <c r="S73" s="6">
        <v>24</v>
      </c>
      <c r="T73" s="6">
        <v>11.4</v>
      </c>
      <c r="U73" s="6">
        <v>2157</v>
      </c>
      <c r="V73" s="6">
        <v>40.299999999999997</v>
      </c>
      <c r="W73" s="6">
        <v>0</v>
      </c>
      <c r="X73" s="6">
        <v>600</v>
      </c>
      <c r="Y73" s="6">
        <v>1043</v>
      </c>
      <c r="Z73" s="6">
        <v>457</v>
      </c>
      <c r="AA73" s="6">
        <v>57</v>
      </c>
      <c r="AB73" s="6">
        <v>0</v>
      </c>
      <c r="AC73" s="2">
        <v>46</v>
      </c>
      <c r="AD73" s="2" t="s">
        <v>52</v>
      </c>
      <c r="AE73" s="7">
        <v>19.87</v>
      </c>
      <c r="AF73" s="7">
        <v>530</v>
      </c>
      <c r="AG73" s="7">
        <v>27.57</v>
      </c>
      <c r="AH73" s="7">
        <v>25.73</v>
      </c>
      <c r="AI73" s="7">
        <v>32.36</v>
      </c>
      <c r="AJ73" s="9">
        <v>236.337309125719</v>
      </c>
      <c r="AK73" s="9">
        <v>238.74737210000001</v>
      </c>
      <c r="AL73" s="9">
        <v>285.21138395116202</v>
      </c>
      <c r="AM73" s="9">
        <v>62.390465971996903</v>
      </c>
      <c r="AN73" s="9">
        <v>1.3563144776521101</v>
      </c>
      <c r="AO73" s="9">
        <v>0.77156500052340204</v>
      </c>
      <c r="AP73" s="9">
        <v>543.01450666287701</v>
      </c>
      <c r="AQ73" s="9">
        <v>11.804663188323399</v>
      </c>
      <c r="AR73" s="9">
        <v>11.598937121288699</v>
      </c>
      <c r="AS73" s="73" t="s">
        <v>169</v>
      </c>
      <c r="AT73" s="10"/>
      <c r="AU73" s="10" t="s">
        <v>169</v>
      </c>
      <c r="AV73" s="10">
        <v>0</v>
      </c>
      <c r="AW73" s="8"/>
      <c r="AX73" s="74" t="s">
        <v>169</v>
      </c>
      <c r="AY73" s="74"/>
      <c r="AZ73" s="74"/>
      <c r="BA73" s="74"/>
      <c r="BB73" s="8"/>
      <c r="BC73" s="8"/>
      <c r="BD73" s="8"/>
      <c r="BE73" s="8"/>
      <c r="BF73" s="12">
        <v>0.44</v>
      </c>
      <c r="BG73" s="13">
        <v>218.56699058333334</v>
      </c>
      <c r="BH73" s="96" t="str">
        <f>+VLOOKUP(G73,Liste!$A$7:$G$50,3,FALSE)</f>
        <v>Pin sylvestre</v>
      </c>
      <c r="BI73" s="96" t="str">
        <f>+VLOOKUP(H73,Liste!$B$7:$G$50,5,FALSE)</f>
        <v>GS Pineraies des plaines du Centre et du Nord Ouest</v>
      </c>
      <c r="BJ73" s="135">
        <f t="shared" si="27"/>
        <v>46</v>
      </c>
      <c r="BK73" s="135" t="str">
        <f t="shared" si="29"/>
        <v>Pin sylvestre_F2_Eclaircie précoce_GS Pineraies des plaines du Centre et du Nord Ouest_46_</v>
      </c>
      <c r="BL73" s="322"/>
      <c r="BM73" s="13">
        <v>57.392788216666645</v>
      </c>
      <c r="BN73" s="13">
        <v>275.95977878165104</v>
      </c>
      <c r="BO73" s="13"/>
      <c r="BP73" s="13">
        <v>244.97</v>
      </c>
      <c r="BQ73" s="13">
        <v>10.799727241738401</v>
      </c>
      <c r="BT73" s="298" t="str">
        <f>+VLOOKUP(G73,Liste!$A$7:$H$50,8,FALSE)</f>
        <v>Résineux</v>
      </c>
      <c r="BU73" s="298">
        <f t="shared" si="30"/>
        <v>0</v>
      </c>
      <c r="BV73" s="300">
        <f t="shared" si="31"/>
        <v>1</v>
      </c>
      <c r="BW73" s="321">
        <v>0</v>
      </c>
      <c r="BX73" s="298">
        <f t="shared" si="32"/>
        <v>0.43</v>
      </c>
      <c r="BY73">
        <f t="shared" si="33"/>
        <v>0</v>
      </c>
      <c r="BZ73" s="304">
        <f t="shared" si="34"/>
        <v>0</v>
      </c>
      <c r="CB73" s="299">
        <v>0.6</v>
      </c>
      <c r="CC73" s="299">
        <v>0.4</v>
      </c>
      <c r="CD73">
        <f t="shared" si="35"/>
        <v>0</v>
      </c>
      <c r="CE73">
        <f t="shared" si="36"/>
        <v>0</v>
      </c>
      <c r="CF73">
        <f t="shared" si="37"/>
        <v>0</v>
      </c>
      <c r="CG73">
        <f t="shared" si="38"/>
        <v>0</v>
      </c>
      <c r="CH73">
        <f t="shared" si="39"/>
        <v>0</v>
      </c>
      <c r="CI73">
        <f t="shared" si="40"/>
        <v>0</v>
      </c>
      <c r="CJ73">
        <f t="shared" si="41"/>
        <v>0</v>
      </c>
      <c r="CK73">
        <f t="shared" si="42"/>
        <v>0</v>
      </c>
      <c r="CL73">
        <f t="shared" si="43"/>
        <v>0</v>
      </c>
      <c r="CM73">
        <f t="shared" si="45"/>
        <v>0</v>
      </c>
      <c r="CN73">
        <f t="shared" si="44"/>
        <v>0</v>
      </c>
      <c r="CO73">
        <f t="shared" si="28"/>
        <v>0</v>
      </c>
    </row>
    <row r="74" spans="1:93" s="12" customFormat="1" ht="14.65" customHeight="1" x14ac:dyDescent="0.25">
      <c r="A74" s="4">
        <v>2021</v>
      </c>
      <c r="B74" s="4"/>
      <c r="C74" s="4" t="s">
        <v>64</v>
      </c>
      <c r="D74" s="4" t="s">
        <v>65</v>
      </c>
      <c r="E74" s="4"/>
      <c r="F74" s="4" t="s">
        <v>90</v>
      </c>
      <c r="G74" s="5" t="s">
        <v>15</v>
      </c>
      <c r="H74" s="5" t="s">
        <v>21</v>
      </c>
      <c r="I74" s="5" t="s">
        <v>16</v>
      </c>
      <c r="J74" s="5" t="s">
        <v>10</v>
      </c>
      <c r="K74" s="5">
        <v>23</v>
      </c>
      <c r="L74" s="5" t="s">
        <v>192</v>
      </c>
      <c r="M74" s="5">
        <v>2500</v>
      </c>
      <c r="N74" s="5" t="s">
        <v>170</v>
      </c>
      <c r="O74" s="6" t="s">
        <v>78</v>
      </c>
      <c r="P74" s="6" t="s">
        <v>80</v>
      </c>
      <c r="Q74" s="6">
        <v>2003</v>
      </c>
      <c r="R74" s="6"/>
      <c r="S74" s="6">
        <v>24</v>
      </c>
      <c r="T74" s="6">
        <v>11.4</v>
      </c>
      <c r="U74" s="6">
        <v>2157</v>
      </c>
      <c r="V74" s="6">
        <v>40.299999999999997</v>
      </c>
      <c r="W74" s="6">
        <v>0</v>
      </c>
      <c r="X74" s="6">
        <v>600</v>
      </c>
      <c r="Y74" s="6">
        <v>1043</v>
      </c>
      <c r="Z74" s="6">
        <v>457</v>
      </c>
      <c r="AA74" s="6">
        <v>57</v>
      </c>
      <c r="AB74" s="6">
        <v>0</v>
      </c>
      <c r="AC74" s="2">
        <v>47</v>
      </c>
      <c r="AD74" s="2" t="s">
        <v>52</v>
      </c>
      <c r="AE74" s="7">
        <v>20.190000000000001</v>
      </c>
      <c r="AF74" s="7">
        <v>530</v>
      </c>
      <c r="AG74" s="7">
        <v>28.34</v>
      </c>
      <c r="AH74" s="7">
        <v>26.09</v>
      </c>
      <c r="AI74" s="7">
        <v>32.85</v>
      </c>
      <c r="AJ74" s="9">
        <v>246.62816386813699</v>
      </c>
      <c r="AK74" s="9">
        <v>249.13682120000001</v>
      </c>
      <c r="AL74" s="9">
        <v>296.81032107245102</v>
      </c>
      <c r="AM74" s="9">
        <v>63.162030972520299</v>
      </c>
      <c r="AN74" s="9">
        <v>1.34387299941533</v>
      </c>
      <c r="AO74" s="9">
        <v>0.63202312033701702</v>
      </c>
      <c r="AP74" s="9">
        <v>554.61344378416595</v>
      </c>
      <c r="AQ74" s="9">
        <v>11.800286037961</v>
      </c>
      <c r="AR74" s="9">
        <v>10.0067057933265</v>
      </c>
      <c r="AS74" s="73" t="s">
        <v>169</v>
      </c>
      <c r="AT74" s="10"/>
      <c r="AU74" s="10" t="s">
        <v>169</v>
      </c>
      <c r="AV74" s="10">
        <v>0</v>
      </c>
      <c r="AW74" s="8"/>
      <c r="AX74" s="74" t="s">
        <v>169</v>
      </c>
      <c r="AY74" s="74"/>
      <c r="AZ74" s="74"/>
      <c r="BA74" s="74"/>
      <c r="BB74" s="8"/>
      <c r="BC74" s="8"/>
      <c r="BD74" s="8"/>
      <c r="BE74" s="8"/>
      <c r="BF74" s="12">
        <v>0.44</v>
      </c>
      <c r="BG74" s="13">
        <v>227.4556427</v>
      </c>
      <c r="BH74" s="96" t="str">
        <f>+VLOOKUP(G74,Liste!$A$7:$G$50,3,FALSE)</f>
        <v>Pin sylvestre</v>
      </c>
      <c r="BI74" s="96" t="str">
        <f>+VLOOKUP(H74,Liste!$B$7:$G$50,5,FALSE)</f>
        <v>GS Pineraies des plaines du Centre et du Nord Ouest</v>
      </c>
      <c r="BJ74" s="135">
        <f t="shared" si="27"/>
        <v>47</v>
      </c>
      <c r="BK74" s="135" t="str">
        <f t="shared" si="29"/>
        <v>Pin sylvestre_F2_Eclaircie précoce_GS Pineraies des plaines du Centre et du Nord Ouest_47_</v>
      </c>
      <c r="BL74" s="322"/>
      <c r="BM74" s="13">
        <v>59.450338699999975</v>
      </c>
      <c r="BN74" s="13">
        <v>286.90598140472105</v>
      </c>
      <c r="BO74" s="13"/>
      <c r="BP74" s="13">
        <v>244.97</v>
      </c>
      <c r="BQ74" s="13">
        <v>9.3134687810695596</v>
      </c>
      <c r="BT74" s="298" t="str">
        <f>+VLOOKUP(G74,Liste!$A$7:$H$50,8,FALSE)</f>
        <v>Résineux</v>
      </c>
      <c r="BU74" s="298">
        <f t="shared" si="30"/>
        <v>0</v>
      </c>
      <c r="BV74" s="300">
        <f t="shared" si="31"/>
        <v>1</v>
      </c>
      <c r="BW74" s="321">
        <v>0</v>
      </c>
      <c r="BX74" s="298">
        <f t="shared" si="32"/>
        <v>0.43</v>
      </c>
      <c r="BY74">
        <f t="shared" si="33"/>
        <v>0</v>
      </c>
      <c r="BZ74" s="304">
        <f t="shared" si="34"/>
        <v>0</v>
      </c>
      <c r="CB74" s="299">
        <v>0.6</v>
      </c>
      <c r="CC74" s="299">
        <v>0.4</v>
      </c>
      <c r="CD74">
        <f t="shared" si="35"/>
        <v>0</v>
      </c>
      <c r="CE74">
        <f t="shared" si="36"/>
        <v>0</v>
      </c>
      <c r="CF74">
        <f t="shared" si="37"/>
        <v>0</v>
      </c>
      <c r="CG74">
        <f t="shared" si="38"/>
        <v>0</v>
      </c>
      <c r="CH74">
        <f t="shared" si="39"/>
        <v>0</v>
      </c>
      <c r="CI74">
        <f t="shared" si="40"/>
        <v>0</v>
      </c>
      <c r="CJ74">
        <f t="shared" si="41"/>
        <v>0</v>
      </c>
      <c r="CK74">
        <f t="shared" si="42"/>
        <v>0</v>
      </c>
      <c r="CL74">
        <f t="shared" si="43"/>
        <v>0</v>
      </c>
      <c r="CM74">
        <f t="shared" si="45"/>
        <v>0</v>
      </c>
      <c r="CN74">
        <f t="shared" si="44"/>
        <v>0</v>
      </c>
      <c r="CO74">
        <f t="shared" si="28"/>
        <v>0</v>
      </c>
    </row>
    <row r="75" spans="1:93" s="12" customFormat="1" ht="14.65" customHeight="1" x14ac:dyDescent="0.25">
      <c r="A75" s="4">
        <v>2021</v>
      </c>
      <c r="B75" s="4"/>
      <c r="C75" s="4" t="s">
        <v>64</v>
      </c>
      <c r="D75" s="4" t="s">
        <v>65</v>
      </c>
      <c r="E75" s="4"/>
      <c r="F75" s="4" t="s">
        <v>90</v>
      </c>
      <c r="G75" s="5" t="s">
        <v>15</v>
      </c>
      <c r="H75" s="5" t="s">
        <v>21</v>
      </c>
      <c r="I75" s="5" t="s">
        <v>16</v>
      </c>
      <c r="J75" s="5" t="s">
        <v>10</v>
      </c>
      <c r="K75" s="5">
        <v>23</v>
      </c>
      <c r="L75" s="5" t="s">
        <v>192</v>
      </c>
      <c r="M75" s="5">
        <v>2500</v>
      </c>
      <c r="N75" s="5" t="s">
        <v>170</v>
      </c>
      <c r="O75" s="6" t="s">
        <v>78</v>
      </c>
      <c r="P75" s="6" t="s">
        <v>80</v>
      </c>
      <c r="Q75" s="6">
        <v>2003</v>
      </c>
      <c r="R75" s="6"/>
      <c r="S75" s="6">
        <v>24</v>
      </c>
      <c r="T75" s="6">
        <v>11.4</v>
      </c>
      <c r="U75" s="6">
        <v>2157</v>
      </c>
      <c r="V75" s="6">
        <v>40.299999999999997</v>
      </c>
      <c r="W75" s="6">
        <v>0</v>
      </c>
      <c r="X75" s="6">
        <v>600</v>
      </c>
      <c r="Y75" s="6">
        <v>1043</v>
      </c>
      <c r="Z75" s="6">
        <v>457</v>
      </c>
      <c r="AA75" s="6">
        <v>57</v>
      </c>
      <c r="AB75" s="6">
        <v>0</v>
      </c>
      <c r="AC75" s="2">
        <v>47</v>
      </c>
      <c r="AD75" s="2" t="s">
        <v>53</v>
      </c>
      <c r="AE75" s="7">
        <v>20.190000000000001</v>
      </c>
      <c r="AF75" s="7">
        <v>400</v>
      </c>
      <c r="AG75" s="7">
        <v>21.91</v>
      </c>
      <c r="AH75" s="7">
        <v>26.41</v>
      </c>
      <c r="AI75" s="7">
        <v>31.76</v>
      </c>
      <c r="AJ75" s="9">
        <v>191.04954072366399</v>
      </c>
      <c r="AK75" s="9">
        <v>192.99685819999999</v>
      </c>
      <c r="AL75" s="9">
        <v>229.808983787183</v>
      </c>
      <c r="AM75" s="9">
        <v>63.162030972520299</v>
      </c>
      <c r="AN75" s="9">
        <v>1.34387299941533</v>
      </c>
      <c r="AO75" s="9">
        <v>0.63202312033701702</v>
      </c>
      <c r="AP75" s="9">
        <v>554.61344378416595</v>
      </c>
      <c r="AQ75" s="9">
        <v>11.800286037961</v>
      </c>
      <c r="AR75" s="9">
        <v>10.0067057933265</v>
      </c>
      <c r="AS75" s="73">
        <v>130</v>
      </c>
      <c r="AT75" s="10">
        <v>6.1974230431954993</v>
      </c>
      <c r="AU75" s="10">
        <v>24.637064157717653</v>
      </c>
      <c r="AV75" s="10">
        <v>55.578623144472999</v>
      </c>
      <c r="AW75" s="10">
        <v>0.9038523955026817</v>
      </c>
      <c r="AX75" s="74">
        <v>0.42752787034209999</v>
      </c>
      <c r="AY75" s="74"/>
      <c r="AZ75" s="74"/>
      <c r="BA75" s="74"/>
      <c r="BB75" s="10"/>
      <c r="BC75" s="10"/>
      <c r="BD75" s="10"/>
      <c r="BE75" s="10"/>
      <c r="BF75" s="12">
        <v>0.44</v>
      </c>
      <c r="BG75" s="13">
        <v>176.11028457</v>
      </c>
      <c r="BH75" s="96" t="str">
        <f>+VLOOKUP(G75,Liste!$A$7:$G$50,3,FALSE)</f>
        <v>Pin sylvestre</v>
      </c>
      <c r="BI75" s="96" t="str">
        <f>+VLOOKUP(H75,Liste!$B$7:$G$50,5,FALSE)</f>
        <v>GS Pineraies des plaines du Centre et du Nord Ouest</v>
      </c>
      <c r="BJ75" s="135">
        <f t="shared" si="27"/>
        <v>47</v>
      </c>
      <c r="BK75" s="135" t="str">
        <f t="shared" si="29"/>
        <v>Pin sylvestre_F2_Eclaircie précoce_GS Pineraies des plaines du Centre et du Nord Ouest_47_</v>
      </c>
      <c r="BL75" s="322"/>
      <c r="BM75" s="13">
        <v>47.421553029999984</v>
      </c>
      <c r="BN75" s="13">
        <v>223.53183764139874</v>
      </c>
      <c r="BO75" s="13">
        <v>63.374143763322309</v>
      </c>
      <c r="BP75" s="13">
        <v>244.97</v>
      </c>
      <c r="BQ75" s="13">
        <v>9.3134687810695596</v>
      </c>
      <c r="BT75" s="298" t="str">
        <f>+VLOOKUP(G75,Liste!$A$7:$H$50,8,FALSE)</f>
        <v>Résineux</v>
      </c>
      <c r="BU75" s="298">
        <f t="shared" si="30"/>
        <v>0</v>
      </c>
      <c r="BV75" s="300">
        <f t="shared" si="31"/>
        <v>1</v>
      </c>
      <c r="BW75" s="321">
        <v>0</v>
      </c>
      <c r="BX75" s="298">
        <f t="shared" si="32"/>
        <v>0.43</v>
      </c>
      <c r="BY75">
        <f t="shared" si="33"/>
        <v>0</v>
      </c>
      <c r="BZ75" s="304">
        <f t="shared" si="34"/>
        <v>0</v>
      </c>
      <c r="CB75" s="299">
        <v>0.6</v>
      </c>
      <c r="CC75" s="299">
        <v>0.4</v>
      </c>
      <c r="CD75">
        <f t="shared" si="35"/>
        <v>0</v>
      </c>
      <c r="CE75">
        <f t="shared" si="36"/>
        <v>0</v>
      </c>
      <c r="CF75">
        <f t="shared" si="37"/>
        <v>0</v>
      </c>
      <c r="CG75">
        <f t="shared" si="38"/>
        <v>0</v>
      </c>
      <c r="CH75">
        <f t="shared" si="39"/>
        <v>0</v>
      </c>
      <c r="CI75">
        <f t="shared" si="40"/>
        <v>0</v>
      </c>
      <c r="CJ75">
        <f t="shared" si="41"/>
        <v>0</v>
      </c>
      <c r="CK75">
        <f t="shared" si="42"/>
        <v>0</v>
      </c>
      <c r="CL75">
        <f t="shared" si="43"/>
        <v>0</v>
      </c>
      <c r="CM75">
        <f t="shared" si="45"/>
        <v>0</v>
      </c>
      <c r="CN75">
        <f t="shared" si="44"/>
        <v>0</v>
      </c>
      <c r="CO75">
        <f t="shared" si="28"/>
        <v>0</v>
      </c>
    </row>
    <row r="76" spans="1:93" s="12" customFormat="1" ht="14.65" customHeight="1" x14ac:dyDescent="0.25">
      <c r="A76" s="4">
        <v>2021</v>
      </c>
      <c r="B76" s="4"/>
      <c r="C76" s="4" t="s">
        <v>64</v>
      </c>
      <c r="D76" s="4" t="s">
        <v>65</v>
      </c>
      <c r="E76" s="4"/>
      <c r="F76" s="4" t="s">
        <v>90</v>
      </c>
      <c r="G76" s="5" t="s">
        <v>15</v>
      </c>
      <c r="H76" s="5" t="s">
        <v>21</v>
      </c>
      <c r="I76" s="5" t="s">
        <v>16</v>
      </c>
      <c r="J76" s="5" t="s">
        <v>10</v>
      </c>
      <c r="K76" s="5">
        <v>23</v>
      </c>
      <c r="L76" s="5" t="s">
        <v>192</v>
      </c>
      <c r="M76" s="5">
        <v>2500</v>
      </c>
      <c r="N76" s="5" t="s">
        <v>170</v>
      </c>
      <c r="O76" s="6" t="s">
        <v>78</v>
      </c>
      <c r="P76" s="6" t="s">
        <v>80</v>
      </c>
      <c r="Q76" s="6">
        <v>2003</v>
      </c>
      <c r="R76" s="6"/>
      <c r="S76" s="6">
        <v>24</v>
      </c>
      <c r="T76" s="6">
        <v>11.4</v>
      </c>
      <c r="U76" s="6">
        <v>2157</v>
      </c>
      <c r="V76" s="6">
        <v>40.299999999999997</v>
      </c>
      <c r="W76" s="6">
        <v>0</v>
      </c>
      <c r="X76" s="6">
        <v>600</v>
      </c>
      <c r="Y76" s="6">
        <v>1043</v>
      </c>
      <c r="Z76" s="6">
        <v>457</v>
      </c>
      <c r="AA76" s="6">
        <v>57</v>
      </c>
      <c r="AB76" s="6">
        <v>0</v>
      </c>
      <c r="AC76" s="2">
        <v>48</v>
      </c>
      <c r="AD76" s="2" t="s">
        <v>52</v>
      </c>
      <c r="AE76" s="7">
        <v>20.49</v>
      </c>
      <c r="AF76" s="7">
        <v>400</v>
      </c>
      <c r="AG76" s="7">
        <v>22.55</v>
      </c>
      <c r="AH76" s="7">
        <v>26.79</v>
      </c>
      <c r="AI76" s="7">
        <v>32.24</v>
      </c>
      <c r="AJ76" s="9">
        <v>200.03787662266399</v>
      </c>
      <c r="AK76" s="9">
        <v>202.05852569999999</v>
      </c>
      <c r="AL76" s="9">
        <v>239.815689580509</v>
      </c>
      <c r="AM76" s="9">
        <v>63.794054092857301</v>
      </c>
      <c r="AN76" s="9">
        <v>1.3290427936011899</v>
      </c>
      <c r="AO76" s="9">
        <v>0.62517207644972905</v>
      </c>
      <c r="AP76" s="9">
        <v>564.62014957749295</v>
      </c>
      <c r="AQ76" s="9">
        <v>11.762919782864399</v>
      </c>
      <c r="AR76" s="9">
        <v>9.5336014217087897</v>
      </c>
      <c r="AS76" s="73" t="s">
        <v>169</v>
      </c>
      <c r="AT76" s="10"/>
      <c r="AU76" s="10" t="s">
        <v>169</v>
      </c>
      <c r="AV76" s="10">
        <v>0</v>
      </c>
      <c r="AW76" s="8"/>
      <c r="AX76" s="74" t="s">
        <v>169</v>
      </c>
      <c r="AY76" s="74"/>
      <c r="AZ76" s="74"/>
      <c r="BA76" s="74"/>
      <c r="BB76" s="8"/>
      <c r="BC76" s="8"/>
      <c r="BD76" s="8"/>
      <c r="BE76" s="8"/>
      <c r="BF76" s="12">
        <v>0.44</v>
      </c>
      <c r="BG76" s="13">
        <v>183.7787567733333</v>
      </c>
      <c r="BH76" s="96" t="str">
        <f>+VLOOKUP(G76,Liste!$A$7:$G$50,3,FALSE)</f>
        <v>Pin sylvestre</v>
      </c>
      <c r="BI76" s="96" t="str">
        <f>+VLOOKUP(H76,Liste!$B$7:$G$50,5,FALSE)</f>
        <v>GS Pineraies des plaines du Centre et du Nord Ouest</v>
      </c>
      <c r="BJ76" s="135">
        <f t="shared" si="27"/>
        <v>48</v>
      </c>
      <c r="BK76" s="135" t="str">
        <f t="shared" si="29"/>
        <v>Pin sylvestre_F2_Eclaircie précoce_GS Pineraies des plaines du Centre et du Nord Ouest_48_</v>
      </c>
      <c r="BL76" s="322"/>
      <c r="BM76" s="13">
        <v>49.241551826666694</v>
      </c>
      <c r="BN76" s="13">
        <v>233.0203085805023</v>
      </c>
      <c r="BO76" s="13"/>
      <c r="BP76" s="13">
        <v>244.97</v>
      </c>
      <c r="BQ76" s="13">
        <v>8.8699852140001703</v>
      </c>
      <c r="BT76" s="298" t="str">
        <f>+VLOOKUP(G76,Liste!$A$7:$H$50,8,FALSE)</f>
        <v>Résineux</v>
      </c>
      <c r="BU76" s="298">
        <f t="shared" si="30"/>
        <v>0</v>
      </c>
      <c r="BV76" s="300">
        <f t="shared" si="31"/>
        <v>1</v>
      </c>
      <c r="BW76" s="321">
        <v>0</v>
      </c>
      <c r="BX76" s="298">
        <f t="shared" si="32"/>
        <v>0.43</v>
      </c>
      <c r="BY76">
        <f t="shared" si="33"/>
        <v>0</v>
      </c>
      <c r="BZ76" s="304">
        <f t="shared" si="34"/>
        <v>0</v>
      </c>
      <c r="CB76" s="299">
        <v>0.6</v>
      </c>
      <c r="CC76" s="299">
        <v>0.4</v>
      </c>
      <c r="CD76">
        <f t="shared" si="35"/>
        <v>0</v>
      </c>
      <c r="CE76">
        <f t="shared" si="36"/>
        <v>0</v>
      </c>
      <c r="CF76">
        <f t="shared" si="37"/>
        <v>0</v>
      </c>
      <c r="CG76">
        <f t="shared" si="38"/>
        <v>0</v>
      </c>
      <c r="CH76">
        <f t="shared" si="39"/>
        <v>0</v>
      </c>
      <c r="CI76">
        <f t="shared" si="40"/>
        <v>0</v>
      </c>
      <c r="CJ76">
        <f t="shared" si="41"/>
        <v>0</v>
      </c>
      <c r="CK76">
        <f t="shared" si="42"/>
        <v>0</v>
      </c>
      <c r="CL76">
        <f t="shared" si="43"/>
        <v>0</v>
      </c>
      <c r="CM76">
        <f t="shared" si="45"/>
        <v>0</v>
      </c>
      <c r="CN76">
        <f t="shared" si="44"/>
        <v>0</v>
      </c>
      <c r="CO76">
        <f t="shared" si="28"/>
        <v>0</v>
      </c>
    </row>
    <row r="77" spans="1:93" s="12" customFormat="1" ht="14.65" customHeight="1" x14ac:dyDescent="0.25">
      <c r="A77" s="4">
        <v>2021</v>
      </c>
      <c r="B77" s="4"/>
      <c r="C77" s="4" t="s">
        <v>64</v>
      </c>
      <c r="D77" s="4" t="s">
        <v>65</v>
      </c>
      <c r="E77" s="4"/>
      <c r="F77" s="4" t="s">
        <v>90</v>
      </c>
      <c r="G77" s="5" t="s">
        <v>15</v>
      </c>
      <c r="H77" s="5" t="s">
        <v>21</v>
      </c>
      <c r="I77" s="5" t="s">
        <v>16</v>
      </c>
      <c r="J77" s="5" t="s">
        <v>10</v>
      </c>
      <c r="K77" s="5">
        <v>23</v>
      </c>
      <c r="L77" s="5" t="s">
        <v>192</v>
      </c>
      <c r="M77" s="5">
        <v>2500</v>
      </c>
      <c r="N77" s="5" t="s">
        <v>170</v>
      </c>
      <c r="O77" s="6" t="s">
        <v>78</v>
      </c>
      <c r="P77" s="6" t="s">
        <v>80</v>
      </c>
      <c r="Q77" s="6">
        <v>2003</v>
      </c>
      <c r="R77" s="6"/>
      <c r="S77" s="6">
        <v>24</v>
      </c>
      <c r="T77" s="6">
        <v>11.4</v>
      </c>
      <c r="U77" s="6">
        <v>2157</v>
      </c>
      <c r="V77" s="6">
        <v>40.299999999999997</v>
      </c>
      <c r="W77" s="6">
        <v>0</v>
      </c>
      <c r="X77" s="6">
        <v>600</v>
      </c>
      <c r="Y77" s="6">
        <v>1043</v>
      </c>
      <c r="Z77" s="6">
        <v>457</v>
      </c>
      <c r="AA77" s="6">
        <v>57</v>
      </c>
      <c r="AB77" s="6">
        <v>0</v>
      </c>
      <c r="AC77" s="2">
        <v>49</v>
      </c>
      <c r="AD77" s="2" t="s">
        <v>52</v>
      </c>
      <c r="AE77" s="7">
        <v>20.8</v>
      </c>
      <c r="AF77" s="7">
        <v>400</v>
      </c>
      <c r="AG77" s="7">
        <v>23.17</v>
      </c>
      <c r="AH77" s="7">
        <v>27.16</v>
      </c>
      <c r="AI77" s="7">
        <v>32.71</v>
      </c>
      <c r="AJ77" s="9">
        <v>208.50065303454801</v>
      </c>
      <c r="AK77" s="9">
        <v>210.60409229999999</v>
      </c>
      <c r="AL77" s="9">
        <v>249.349291002218</v>
      </c>
      <c r="AM77" s="9">
        <v>64.419226169307095</v>
      </c>
      <c r="AN77" s="9">
        <v>1.3146780850879001</v>
      </c>
      <c r="AO77" s="9">
        <v>0.61970321552031704</v>
      </c>
      <c r="AP77" s="9">
        <v>574.15375099920197</v>
      </c>
      <c r="AQ77" s="9">
        <v>11.7174234897796</v>
      </c>
      <c r="AR77" s="9">
        <v>9.5694904850297497</v>
      </c>
      <c r="AS77" s="73" t="s">
        <v>169</v>
      </c>
      <c r="AT77" s="10"/>
      <c r="AU77" s="10" t="s">
        <v>169</v>
      </c>
      <c r="AV77" s="10">
        <v>0</v>
      </c>
      <c r="AW77" s="8"/>
      <c r="AX77" s="74" t="s">
        <v>169</v>
      </c>
      <c r="AY77" s="74"/>
      <c r="AZ77" s="74"/>
      <c r="BA77" s="74"/>
      <c r="BB77" s="8"/>
      <c r="BC77" s="8"/>
      <c r="BD77" s="8"/>
      <c r="BE77" s="8"/>
      <c r="BF77" s="12">
        <v>0.44</v>
      </c>
      <c r="BG77" s="13">
        <v>191.08467333999999</v>
      </c>
      <c r="BH77" s="96" t="str">
        <f>+VLOOKUP(G77,Liste!$A$7:$G$50,3,FALSE)</f>
        <v>Pin sylvestre</v>
      </c>
      <c r="BI77" s="96" t="str">
        <f>+VLOOKUP(H77,Liste!$B$7:$G$50,5,FALSE)</f>
        <v>GS Pineraies des plaines du Centre et du Nord Ouest</v>
      </c>
      <c r="BJ77" s="135">
        <f t="shared" si="27"/>
        <v>49</v>
      </c>
      <c r="BK77" s="135" t="str">
        <f t="shared" si="29"/>
        <v>Pin sylvestre_F2_Eclaircie précoce_GS Pineraies des plaines du Centre et du Nord Ouest_49_</v>
      </c>
      <c r="BL77" s="322"/>
      <c r="BM77" s="13">
        <v>50.96729216</v>
      </c>
      <c r="BN77" s="13">
        <v>242.05196546930958</v>
      </c>
      <c r="BO77" s="13"/>
      <c r="BP77" s="13">
        <v>244.97</v>
      </c>
      <c r="BQ77" s="13">
        <v>8.9003388775953507</v>
      </c>
      <c r="BT77" s="298" t="str">
        <f>+VLOOKUP(G77,Liste!$A$7:$H$50,8,FALSE)</f>
        <v>Résineux</v>
      </c>
      <c r="BU77" s="298">
        <f t="shared" si="30"/>
        <v>0</v>
      </c>
      <c r="BV77" s="300">
        <f t="shared" si="31"/>
        <v>1</v>
      </c>
      <c r="BW77" s="321">
        <v>0</v>
      </c>
      <c r="BX77" s="298">
        <f t="shared" si="32"/>
        <v>0.43</v>
      </c>
      <c r="BY77">
        <f t="shared" si="33"/>
        <v>0</v>
      </c>
      <c r="BZ77" s="304">
        <f t="shared" si="34"/>
        <v>0</v>
      </c>
      <c r="CB77" s="299">
        <v>0.6</v>
      </c>
      <c r="CC77" s="299">
        <v>0.4</v>
      </c>
      <c r="CD77">
        <f t="shared" si="35"/>
        <v>0</v>
      </c>
      <c r="CE77">
        <f t="shared" si="36"/>
        <v>0</v>
      </c>
      <c r="CF77">
        <f t="shared" si="37"/>
        <v>0</v>
      </c>
      <c r="CG77">
        <f t="shared" si="38"/>
        <v>0</v>
      </c>
      <c r="CH77">
        <f t="shared" si="39"/>
        <v>0</v>
      </c>
      <c r="CI77">
        <f t="shared" si="40"/>
        <v>0</v>
      </c>
      <c r="CJ77">
        <f t="shared" si="41"/>
        <v>0</v>
      </c>
      <c r="CK77">
        <f t="shared" si="42"/>
        <v>0</v>
      </c>
      <c r="CL77">
        <f t="shared" si="43"/>
        <v>0</v>
      </c>
      <c r="CM77">
        <f t="shared" si="45"/>
        <v>0</v>
      </c>
      <c r="CN77">
        <f t="shared" si="44"/>
        <v>0</v>
      </c>
      <c r="CO77">
        <f t="shared" si="28"/>
        <v>0</v>
      </c>
    </row>
    <row r="78" spans="1:93" s="12" customFormat="1" ht="14.65" customHeight="1" x14ac:dyDescent="0.25">
      <c r="A78" s="4">
        <v>2021</v>
      </c>
      <c r="B78" s="4"/>
      <c r="C78" s="4" t="s">
        <v>64</v>
      </c>
      <c r="D78" s="4" t="s">
        <v>65</v>
      </c>
      <c r="E78" s="4"/>
      <c r="F78" s="4" t="s">
        <v>90</v>
      </c>
      <c r="G78" s="5" t="s">
        <v>15</v>
      </c>
      <c r="H78" s="5" t="s">
        <v>21</v>
      </c>
      <c r="I78" s="5" t="s">
        <v>16</v>
      </c>
      <c r="J78" s="5" t="s">
        <v>10</v>
      </c>
      <c r="K78" s="5">
        <v>23</v>
      </c>
      <c r="L78" s="5" t="s">
        <v>192</v>
      </c>
      <c r="M78" s="5">
        <v>2500</v>
      </c>
      <c r="N78" s="5" t="s">
        <v>170</v>
      </c>
      <c r="O78" s="6" t="s">
        <v>78</v>
      </c>
      <c r="P78" s="6" t="s">
        <v>80</v>
      </c>
      <c r="Q78" s="6">
        <v>2003</v>
      </c>
      <c r="R78" s="6"/>
      <c r="S78" s="6">
        <v>24</v>
      </c>
      <c r="T78" s="6">
        <v>11.4</v>
      </c>
      <c r="U78" s="6">
        <v>2157</v>
      </c>
      <c r="V78" s="6">
        <v>40.299999999999997</v>
      </c>
      <c r="W78" s="6">
        <v>0</v>
      </c>
      <c r="X78" s="6">
        <v>600</v>
      </c>
      <c r="Y78" s="6">
        <v>1043</v>
      </c>
      <c r="Z78" s="6">
        <v>457</v>
      </c>
      <c r="AA78" s="6">
        <v>57</v>
      </c>
      <c r="AB78" s="6">
        <v>0</v>
      </c>
      <c r="AC78" s="2">
        <v>50</v>
      </c>
      <c r="AD78" s="2" t="s">
        <v>52</v>
      </c>
      <c r="AE78" s="7">
        <v>21.1</v>
      </c>
      <c r="AF78" s="7">
        <v>400</v>
      </c>
      <c r="AG78" s="7">
        <v>23.79</v>
      </c>
      <c r="AH78" s="7">
        <v>27.52</v>
      </c>
      <c r="AI78" s="7">
        <v>33.159999999999997</v>
      </c>
      <c r="AJ78" s="9">
        <v>217.00865869922899</v>
      </c>
      <c r="AK78" s="9">
        <v>219.1948994</v>
      </c>
      <c r="AL78" s="9">
        <v>258.918781487248</v>
      </c>
      <c r="AM78" s="9">
        <v>65.038929384827398</v>
      </c>
      <c r="AN78" s="9">
        <v>1.3007785876965501</v>
      </c>
      <c r="AO78" s="9">
        <v>0.61263036733771503</v>
      </c>
      <c r="AP78" s="9">
        <v>583.72324148423104</v>
      </c>
      <c r="AQ78" s="9">
        <v>11.674464829684601</v>
      </c>
      <c r="AR78" s="9">
        <v>9.5942029335425296</v>
      </c>
      <c r="AS78" s="73" t="s">
        <v>169</v>
      </c>
      <c r="AT78" s="10"/>
      <c r="AU78" s="10" t="s">
        <v>169</v>
      </c>
      <c r="AV78" s="10">
        <v>0</v>
      </c>
      <c r="AW78" s="8"/>
      <c r="AX78" s="74" t="s">
        <v>169</v>
      </c>
      <c r="AY78" s="74"/>
      <c r="AZ78" s="74"/>
      <c r="BA78" s="74"/>
      <c r="BB78" s="8"/>
      <c r="BC78" s="8"/>
      <c r="BD78" s="8"/>
      <c r="BE78" s="8"/>
      <c r="BF78" s="12">
        <v>0.44</v>
      </c>
      <c r="BG78" s="13">
        <v>198.41809287666663</v>
      </c>
      <c r="BH78" s="96" t="str">
        <f>+VLOOKUP(G78,Liste!$A$7:$G$50,3,FALSE)</f>
        <v>Pin sylvestre</v>
      </c>
      <c r="BI78" s="96" t="str">
        <f>+VLOOKUP(H78,Liste!$B$7:$G$50,5,FALSE)</f>
        <v>GS Pineraies des plaines du Centre et du Nord Ouest</v>
      </c>
      <c r="BJ78" s="135">
        <f t="shared" si="27"/>
        <v>50</v>
      </c>
      <c r="BK78" s="135" t="str">
        <f t="shared" si="29"/>
        <v>Pin sylvestre_F2_Eclaircie précoce_GS Pineraies des plaines du Centre et du Nord Ouest_50_</v>
      </c>
      <c r="BL78" s="322"/>
      <c r="BM78" s="13">
        <v>52.691820823333359</v>
      </c>
      <c r="BN78" s="13">
        <v>251.10991373629153</v>
      </c>
      <c r="BO78" s="13"/>
      <c r="BP78" s="13">
        <v>244.97</v>
      </c>
      <c r="BQ78" s="13">
        <v>8.9203243991810304</v>
      </c>
      <c r="BT78" s="298" t="str">
        <f>+VLOOKUP(G78,Liste!$A$7:$H$50,8,FALSE)</f>
        <v>Résineux</v>
      </c>
      <c r="BU78" s="298">
        <f t="shared" si="30"/>
        <v>0</v>
      </c>
      <c r="BV78" s="300">
        <f t="shared" si="31"/>
        <v>1</v>
      </c>
      <c r="BW78" s="321">
        <v>0</v>
      </c>
      <c r="BX78" s="298">
        <f t="shared" si="32"/>
        <v>0.43</v>
      </c>
      <c r="BY78">
        <f t="shared" si="33"/>
        <v>0</v>
      </c>
      <c r="BZ78" s="304">
        <f t="shared" si="34"/>
        <v>0</v>
      </c>
      <c r="CB78" s="299">
        <v>0.6</v>
      </c>
      <c r="CC78" s="299">
        <v>0.4</v>
      </c>
      <c r="CD78">
        <f t="shared" si="35"/>
        <v>0</v>
      </c>
      <c r="CE78">
        <f t="shared" si="36"/>
        <v>0</v>
      </c>
      <c r="CF78">
        <f t="shared" si="37"/>
        <v>0</v>
      </c>
      <c r="CG78">
        <f t="shared" si="38"/>
        <v>0</v>
      </c>
      <c r="CH78">
        <f t="shared" si="39"/>
        <v>0</v>
      </c>
      <c r="CI78">
        <f t="shared" si="40"/>
        <v>0</v>
      </c>
      <c r="CJ78">
        <f t="shared" si="41"/>
        <v>0</v>
      </c>
      <c r="CK78">
        <f t="shared" si="42"/>
        <v>0</v>
      </c>
      <c r="CL78">
        <f t="shared" si="43"/>
        <v>0</v>
      </c>
      <c r="CM78">
        <f t="shared" si="45"/>
        <v>0</v>
      </c>
      <c r="CN78">
        <f t="shared" si="44"/>
        <v>0</v>
      </c>
      <c r="CO78">
        <f t="shared" si="28"/>
        <v>0</v>
      </c>
    </row>
    <row r="79" spans="1:93" s="12" customFormat="1" ht="14.65" customHeight="1" x14ac:dyDescent="0.25">
      <c r="A79" s="4">
        <v>2021</v>
      </c>
      <c r="B79" s="4"/>
      <c r="C79" s="4" t="s">
        <v>64</v>
      </c>
      <c r="D79" s="4" t="s">
        <v>65</v>
      </c>
      <c r="E79" s="4"/>
      <c r="F79" s="4" t="s">
        <v>90</v>
      </c>
      <c r="G79" s="5" t="s">
        <v>15</v>
      </c>
      <c r="H79" s="5" t="s">
        <v>21</v>
      </c>
      <c r="I79" s="5" t="s">
        <v>16</v>
      </c>
      <c r="J79" s="5" t="s">
        <v>10</v>
      </c>
      <c r="K79" s="5">
        <v>23</v>
      </c>
      <c r="L79" s="5" t="s">
        <v>192</v>
      </c>
      <c r="M79" s="5">
        <v>2500</v>
      </c>
      <c r="N79" s="5" t="s">
        <v>170</v>
      </c>
      <c r="O79" s="6" t="s">
        <v>78</v>
      </c>
      <c r="P79" s="6" t="s">
        <v>80</v>
      </c>
      <c r="Q79" s="6">
        <v>2003</v>
      </c>
      <c r="R79" s="6"/>
      <c r="S79" s="6">
        <v>24</v>
      </c>
      <c r="T79" s="6">
        <v>11.4</v>
      </c>
      <c r="U79" s="6">
        <v>2157</v>
      </c>
      <c r="V79" s="6">
        <v>40.299999999999997</v>
      </c>
      <c r="W79" s="6">
        <v>0</v>
      </c>
      <c r="X79" s="6">
        <v>600</v>
      </c>
      <c r="Y79" s="6">
        <v>1043</v>
      </c>
      <c r="Z79" s="6">
        <v>457</v>
      </c>
      <c r="AA79" s="6">
        <v>57</v>
      </c>
      <c r="AB79" s="6">
        <v>0</v>
      </c>
      <c r="AC79" s="2">
        <v>51</v>
      </c>
      <c r="AD79" s="2" t="s">
        <v>52</v>
      </c>
      <c r="AE79" s="7">
        <v>21.39</v>
      </c>
      <c r="AF79" s="7">
        <v>400</v>
      </c>
      <c r="AG79" s="7">
        <v>24.4</v>
      </c>
      <c r="AH79" s="7">
        <v>27.87</v>
      </c>
      <c r="AI79" s="7">
        <v>33.61</v>
      </c>
      <c r="AJ79" s="9">
        <v>225.55565434777699</v>
      </c>
      <c r="AK79" s="9">
        <v>227.8241376</v>
      </c>
      <c r="AL79" s="9">
        <v>268.51298442079002</v>
      </c>
      <c r="AM79" s="9">
        <v>65.651559752165099</v>
      </c>
      <c r="AN79" s="9">
        <v>1.2872854853365701</v>
      </c>
      <c r="AO79" s="9">
        <v>0.60671851042819502</v>
      </c>
      <c r="AP79" s="9">
        <v>593.31744441777403</v>
      </c>
      <c r="AQ79" s="9">
        <v>11.6336753807407</v>
      </c>
      <c r="AR79" s="9">
        <v>9.6643108084339193</v>
      </c>
      <c r="AS79" s="73" t="s">
        <v>169</v>
      </c>
      <c r="AT79" s="10"/>
      <c r="AU79" s="10" t="s">
        <v>169</v>
      </c>
      <c r="AV79" s="10">
        <v>0</v>
      </c>
      <c r="AW79" s="8"/>
      <c r="AX79" s="74" t="s">
        <v>169</v>
      </c>
      <c r="AY79" s="74"/>
      <c r="AZ79" s="74"/>
      <c r="BA79" s="74"/>
      <c r="BB79" s="8"/>
      <c r="BC79" s="8"/>
      <c r="BD79" s="8"/>
      <c r="BE79" s="8"/>
      <c r="BF79" s="12">
        <v>0.44</v>
      </c>
      <c r="BG79" s="13">
        <v>205.77045037999997</v>
      </c>
      <c r="BH79" s="96" t="str">
        <f>+VLOOKUP(G79,Liste!$A$7:$G$50,3,FALSE)</f>
        <v>Pin sylvestre</v>
      </c>
      <c r="BI79" s="96" t="str">
        <f>+VLOOKUP(H79,Liste!$B$7:$G$50,5,FALSE)</f>
        <v>GS Pineraies des plaines du Centre et du Nord Ouest</v>
      </c>
      <c r="BJ79" s="135">
        <f t="shared" si="27"/>
        <v>51</v>
      </c>
      <c r="BK79" s="135" t="str">
        <f t="shared" si="29"/>
        <v>Pin sylvestre_F2_Eclaircie précoce_GS Pineraies des plaines du Centre et du Nord Ouest_51_</v>
      </c>
      <c r="BL79" s="322"/>
      <c r="BM79" s="13">
        <v>54.41336972000002</v>
      </c>
      <c r="BN79" s="13">
        <v>260.18382008382167</v>
      </c>
      <c r="BO79" s="13"/>
      <c r="BP79" s="13">
        <v>244.97</v>
      </c>
      <c r="BQ79" s="13">
        <v>8.9825271132207298</v>
      </c>
      <c r="BT79" s="298" t="str">
        <f>+VLOOKUP(G79,Liste!$A$7:$H$50,8,FALSE)</f>
        <v>Résineux</v>
      </c>
      <c r="BU79" s="298">
        <f t="shared" si="30"/>
        <v>0</v>
      </c>
      <c r="BV79" s="300">
        <f t="shared" si="31"/>
        <v>1</v>
      </c>
      <c r="BW79" s="321">
        <v>0</v>
      </c>
      <c r="BX79" s="298">
        <f t="shared" si="32"/>
        <v>0.43</v>
      </c>
      <c r="BY79">
        <f t="shared" si="33"/>
        <v>0</v>
      </c>
      <c r="BZ79" s="304">
        <f t="shared" si="34"/>
        <v>0</v>
      </c>
      <c r="CB79" s="299">
        <v>0.6</v>
      </c>
      <c r="CC79" s="299">
        <v>0.4</v>
      </c>
      <c r="CD79">
        <f t="shared" si="35"/>
        <v>0</v>
      </c>
      <c r="CE79">
        <f t="shared" si="36"/>
        <v>0</v>
      </c>
      <c r="CF79">
        <f t="shared" si="37"/>
        <v>0</v>
      </c>
      <c r="CG79">
        <f t="shared" si="38"/>
        <v>0</v>
      </c>
      <c r="CH79">
        <f t="shared" si="39"/>
        <v>0</v>
      </c>
      <c r="CI79">
        <f t="shared" si="40"/>
        <v>0</v>
      </c>
      <c r="CJ79">
        <f t="shared" si="41"/>
        <v>0</v>
      </c>
      <c r="CK79">
        <f t="shared" si="42"/>
        <v>0</v>
      </c>
      <c r="CL79">
        <f t="shared" si="43"/>
        <v>0</v>
      </c>
      <c r="CM79">
        <f t="shared" si="45"/>
        <v>0</v>
      </c>
      <c r="CN79">
        <f t="shared" si="44"/>
        <v>0</v>
      </c>
      <c r="CO79">
        <f t="shared" si="28"/>
        <v>0</v>
      </c>
    </row>
    <row r="80" spans="1:93" s="12" customFormat="1" ht="14.65" customHeight="1" x14ac:dyDescent="0.25">
      <c r="A80" s="4">
        <v>2021</v>
      </c>
      <c r="B80" s="4"/>
      <c r="C80" s="4" t="s">
        <v>64</v>
      </c>
      <c r="D80" s="4" t="s">
        <v>65</v>
      </c>
      <c r="E80" s="4"/>
      <c r="F80" s="4" t="s">
        <v>90</v>
      </c>
      <c r="G80" s="5" t="s">
        <v>15</v>
      </c>
      <c r="H80" s="5" t="s">
        <v>21</v>
      </c>
      <c r="I80" s="5" t="s">
        <v>16</v>
      </c>
      <c r="J80" s="5" t="s">
        <v>10</v>
      </c>
      <c r="K80" s="5">
        <v>23</v>
      </c>
      <c r="L80" s="5" t="s">
        <v>192</v>
      </c>
      <c r="M80" s="5">
        <v>2500</v>
      </c>
      <c r="N80" s="5" t="s">
        <v>170</v>
      </c>
      <c r="O80" s="6" t="s">
        <v>78</v>
      </c>
      <c r="P80" s="6" t="s">
        <v>80</v>
      </c>
      <c r="Q80" s="6">
        <v>2003</v>
      </c>
      <c r="R80" s="6"/>
      <c r="S80" s="6">
        <v>24</v>
      </c>
      <c r="T80" s="6">
        <v>11.4</v>
      </c>
      <c r="U80" s="6">
        <v>2157</v>
      </c>
      <c r="V80" s="6">
        <v>40.299999999999997</v>
      </c>
      <c r="W80" s="6">
        <v>0</v>
      </c>
      <c r="X80" s="6">
        <v>600</v>
      </c>
      <c r="Y80" s="6">
        <v>1043</v>
      </c>
      <c r="Z80" s="6">
        <v>457</v>
      </c>
      <c r="AA80" s="6">
        <v>57</v>
      </c>
      <c r="AB80" s="6">
        <v>0</v>
      </c>
      <c r="AC80" s="2">
        <v>52</v>
      </c>
      <c r="AD80" s="2" t="s">
        <v>52</v>
      </c>
      <c r="AE80" s="7">
        <v>21.67</v>
      </c>
      <c r="AF80" s="7">
        <v>400</v>
      </c>
      <c r="AG80" s="7">
        <v>25.01</v>
      </c>
      <c r="AH80" s="7">
        <v>28.22</v>
      </c>
      <c r="AI80" s="7">
        <v>34.049999999999997</v>
      </c>
      <c r="AJ80" s="9">
        <v>234.18881698938799</v>
      </c>
      <c r="AK80" s="9">
        <v>236.53858930000001</v>
      </c>
      <c r="AL80" s="9">
        <v>278.177295229224</v>
      </c>
      <c r="AM80" s="9">
        <v>66.258278262593294</v>
      </c>
      <c r="AN80" s="9">
        <v>1.27419765889602</v>
      </c>
      <c r="AO80" s="9">
        <v>0.59973576312290799</v>
      </c>
      <c r="AP80" s="9">
        <v>602.98175522620795</v>
      </c>
      <c r="AQ80" s="9">
        <v>11.5958029851194</v>
      </c>
      <c r="AR80" s="9">
        <v>9.6738809606226805</v>
      </c>
      <c r="AS80" s="73" t="s">
        <v>169</v>
      </c>
      <c r="AT80" s="10"/>
      <c r="AU80" s="10" t="s">
        <v>169</v>
      </c>
      <c r="AV80" s="10">
        <v>0</v>
      </c>
      <c r="AW80" s="8"/>
      <c r="AX80" s="74" t="s">
        <v>169</v>
      </c>
      <c r="AY80" s="74"/>
      <c r="AZ80" s="74"/>
      <c r="BA80" s="74"/>
      <c r="BB80" s="8"/>
      <c r="BC80" s="8"/>
      <c r="BD80" s="8"/>
      <c r="BE80" s="8"/>
      <c r="BF80" s="12">
        <v>0.44</v>
      </c>
      <c r="BG80" s="13">
        <v>213.17653390000001</v>
      </c>
      <c r="BH80" s="96" t="str">
        <f>+VLOOKUP(G80,Liste!$A$7:$G$50,3,FALSE)</f>
        <v>Pin sylvestre</v>
      </c>
      <c r="BI80" s="96" t="str">
        <f>+VLOOKUP(H80,Liste!$B$7:$G$50,5,FALSE)</f>
        <v>GS Pineraies des plaines du Centre et du Nord Ouest</v>
      </c>
      <c r="BJ80" s="135">
        <f t="shared" si="27"/>
        <v>52</v>
      </c>
      <c r="BK80" s="135" t="str">
        <f t="shared" si="29"/>
        <v>Pin sylvestre_F2_Eclaircie précoce_GS Pineraies des plaines du Centre et du Nord Ouest_52_</v>
      </c>
      <c r="BL80" s="322"/>
      <c r="BM80" s="13">
        <v>56.140273800000017</v>
      </c>
      <c r="BN80" s="13">
        <v>269.31680771165094</v>
      </c>
      <c r="BO80" s="13"/>
      <c r="BP80" s="13">
        <v>244.97</v>
      </c>
      <c r="BQ80" s="13">
        <v>8.9884793630162694</v>
      </c>
      <c r="BT80" s="298" t="str">
        <f>+VLOOKUP(G80,Liste!$A$7:$H$50,8,FALSE)</f>
        <v>Résineux</v>
      </c>
      <c r="BU80" s="298">
        <f t="shared" si="30"/>
        <v>0</v>
      </c>
      <c r="BV80" s="300">
        <f t="shared" si="31"/>
        <v>1</v>
      </c>
      <c r="BW80" s="321">
        <v>0</v>
      </c>
      <c r="BX80" s="298">
        <f t="shared" si="32"/>
        <v>0.43</v>
      </c>
      <c r="BY80">
        <f t="shared" si="33"/>
        <v>0</v>
      </c>
      <c r="BZ80" s="304">
        <f t="shared" si="34"/>
        <v>0</v>
      </c>
      <c r="CB80" s="299">
        <v>0.6</v>
      </c>
      <c r="CC80" s="299">
        <v>0.4</v>
      </c>
      <c r="CD80">
        <f t="shared" si="35"/>
        <v>0</v>
      </c>
      <c r="CE80">
        <f t="shared" si="36"/>
        <v>0</v>
      </c>
      <c r="CF80">
        <f t="shared" si="37"/>
        <v>0</v>
      </c>
      <c r="CG80">
        <f t="shared" si="38"/>
        <v>0</v>
      </c>
      <c r="CH80">
        <f t="shared" si="39"/>
        <v>0</v>
      </c>
      <c r="CI80">
        <f t="shared" si="40"/>
        <v>0</v>
      </c>
      <c r="CJ80">
        <f t="shared" si="41"/>
        <v>0</v>
      </c>
      <c r="CK80">
        <f t="shared" si="42"/>
        <v>0</v>
      </c>
      <c r="CL80">
        <f t="shared" si="43"/>
        <v>0</v>
      </c>
      <c r="CM80">
        <f t="shared" si="45"/>
        <v>0</v>
      </c>
      <c r="CN80">
        <f t="shared" si="44"/>
        <v>0</v>
      </c>
      <c r="CO80">
        <f t="shared" si="28"/>
        <v>0</v>
      </c>
    </row>
    <row r="81" spans="1:93" s="12" customFormat="1" ht="14.65" customHeight="1" x14ac:dyDescent="0.25">
      <c r="A81" s="4">
        <v>2021</v>
      </c>
      <c r="B81" s="4"/>
      <c r="C81" s="4" t="s">
        <v>64</v>
      </c>
      <c r="D81" s="4" t="s">
        <v>65</v>
      </c>
      <c r="E81" s="4"/>
      <c r="F81" s="4" t="s">
        <v>90</v>
      </c>
      <c r="G81" s="5" t="s">
        <v>15</v>
      </c>
      <c r="H81" s="5" t="s">
        <v>21</v>
      </c>
      <c r="I81" s="5" t="s">
        <v>16</v>
      </c>
      <c r="J81" s="5" t="s">
        <v>10</v>
      </c>
      <c r="K81" s="5">
        <v>23</v>
      </c>
      <c r="L81" s="5" t="s">
        <v>192</v>
      </c>
      <c r="M81" s="5">
        <v>2500</v>
      </c>
      <c r="N81" s="5" t="s">
        <v>170</v>
      </c>
      <c r="O81" s="6" t="s">
        <v>78</v>
      </c>
      <c r="P81" s="6" t="s">
        <v>80</v>
      </c>
      <c r="Q81" s="6">
        <v>2003</v>
      </c>
      <c r="R81" s="6"/>
      <c r="S81" s="6">
        <v>24</v>
      </c>
      <c r="T81" s="6">
        <v>11.4</v>
      </c>
      <c r="U81" s="6">
        <v>2157</v>
      </c>
      <c r="V81" s="6">
        <v>40.299999999999997</v>
      </c>
      <c r="W81" s="6">
        <v>0</v>
      </c>
      <c r="X81" s="6">
        <v>600</v>
      </c>
      <c r="Y81" s="6">
        <v>1043</v>
      </c>
      <c r="Z81" s="6">
        <v>457</v>
      </c>
      <c r="AA81" s="6">
        <v>57</v>
      </c>
      <c r="AB81" s="6">
        <v>0</v>
      </c>
      <c r="AC81" s="2">
        <v>53</v>
      </c>
      <c r="AD81" s="2" t="s">
        <v>52</v>
      </c>
      <c r="AE81" s="7">
        <v>21.96</v>
      </c>
      <c r="AF81" s="7">
        <v>400</v>
      </c>
      <c r="AG81" s="7">
        <v>25.61</v>
      </c>
      <c r="AH81" s="7">
        <v>28.55</v>
      </c>
      <c r="AI81" s="7">
        <v>34.479999999999997</v>
      </c>
      <c r="AJ81" s="9">
        <v>242.84512756524299</v>
      </c>
      <c r="AK81" s="9">
        <v>245.27567139999999</v>
      </c>
      <c r="AL81" s="9">
        <v>287.85117618984702</v>
      </c>
      <c r="AM81" s="9">
        <v>66.858014025716201</v>
      </c>
      <c r="AN81" s="9">
        <v>1.26147196274936</v>
      </c>
      <c r="AO81" s="9">
        <v>0.59474759728540505</v>
      </c>
      <c r="AP81" s="9">
        <v>612.65563618682995</v>
      </c>
      <c r="AQ81" s="9">
        <v>11.5595403054119</v>
      </c>
      <c r="AR81" s="9">
        <v>9.6036499959168395</v>
      </c>
      <c r="AS81" s="73" t="s">
        <v>169</v>
      </c>
      <c r="AT81" s="10"/>
      <c r="AU81" s="10" t="s">
        <v>169</v>
      </c>
      <c r="AV81" s="10">
        <v>0</v>
      </c>
      <c r="AW81" s="8"/>
      <c r="AX81" s="74" t="s">
        <v>169</v>
      </c>
      <c r="AY81" s="74"/>
      <c r="AZ81" s="74"/>
      <c r="BA81" s="74"/>
      <c r="BB81" s="8"/>
      <c r="BC81" s="8"/>
      <c r="BD81" s="8"/>
      <c r="BE81" s="8"/>
      <c r="BF81" s="12">
        <v>0.44</v>
      </c>
      <c r="BG81" s="13">
        <v>220.58995134</v>
      </c>
      <c r="BH81" s="96" t="str">
        <f>+VLOOKUP(G81,Liste!$A$7:$G$50,3,FALSE)</f>
        <v>Pin sylvestre</v>
      </c>
      <c r="BI81" s="96" t="str">
        <f>+VLOOKUP(H81,Liste!$B$7:$G$50,5,FALSE)</f>
        <v>GS Pineraies des plaines du Centre et du Nord Ouest</v>
      </c>
      <c r="BJ81" s="135">
        <f t="shared" si="27"/>
        <v>53</v>
      </c>
      <c r="BK81" s="135" t="str">
        <f t="shared" si="29"/>
        <v>Pin sylvestre_F2_Eclaircie précoce_GS Pineraies des plaines du Centre et du Nord Ouest_53_</v>
      </c>
      <c r="BL81" s="322"/>
      <c r="BM81" s="13">
        <v>57.861906860000005</v>
      </c>
      <c r="BN81" s="13">
        <v>278.45185823885578</v>
      </c>
      <c r="BO81" s="13"/>
      <c r="BP81" s="13">
        <v>244.97</v>
      </c>
      <c r="BQ81" s="13">
        <v>8.9203632366762804</v>
      </c>
      <c r="BT81" s="298" t="str">
        <f>+VLOOKUP(G81,Liste!$A$7:$H$50,8,FALSE)</f>
        <v>Résineux</v>
      </c>
      <c r="BU81" s="298">
        <f t="shared" si="30"/>
        <v>0</v>
      </c>
      <c r="BV81" s="300">
        <f t="shared" si="31"/>
        <v>1</v>
      </c>
      <c r="BW81" s="321">
        <v>0</v>
      </c>
      <c r="BX81" s="298">
        <f t="shared" si="32"/>
        <v>0.43</v>
      </c>
      <c r="BY81">
        <f t="shared" si="33"/>
        <v>0</v>
      </c>
      <c r="BZ81" s="304">
        <f t="shared" si="34"/>
        <v>0</v>
      </c>
      <c r="CB81" s="299">
        <v>0.6</v>
      </c>
      <c r="CC81" s="299">
        <v>0.4</v>
      </c>
      <c r="CD81">
        <f t="shared" si="35"/>
        <v>0</v>
      </c>
      <c r="CE81">
        <f t="shared" si="36"/>
        <v>0</v>
      </c>
      <c r="CF81">
        <f t="shared" si="37"/>
        <v>0</v>
      </c>
      <c r="CG81">
        <f t="shared" si="38"/>
        <v>0</v>
      </c>
      <c r="CH81">
        <f t="shared" si="39"/>
        <v>0</v>
      </c>
      <c r="CI81">
        <f t="shared" si="40"/>
        <v>0</v>
      </c>
      <c r="CJ81">
        <f t="shared" si="41"/>
        <v>0</v>
      </c>
      <c r="CK81">
        <f t="shared" si="42"/>
        <v>0</v>
      </c>
      <c r="CL81">
        <f t="shared" si="43"/>
        <v>0</v>
      </c>
      <c r="CM81">
        <f t="shared" si="45"/>
        <v>0</v>
      </c>
      <c r="CN81">
        <f t="shared" si="44"/>
        <v>0</v>
      </c>
      <c r="CO81">
        <f t="shared" si="28"/>
        <v>0</v>
      </c>
    </row>
    <row r="82" spans="1:93" s="12" customFormat="1" ht="14.65" customHeight="1" x14ac:dyDescent="0.25">
      <c r="A82" s="4">
        <v>2021</v>
      </c>
      <c r="B82" s="4"/>
      <c r="C82" s="4" t="s">
        <v>64</v>
      </c>
      <c r="D82" s="4" t="s">
        <v>65</v>
      </c>
      <c r="E82" s="4"/>
      <c r="F82" s="4" t="s">
        <v>90</v>
      </c>
      <c r="G82" s="5" t="s">
        <v>15</v>
      </c>
      <c r="H82" s="5" t="s">
        <v>21</v>
      </c>
      <c r="I82" s="5" t="s">
        <v>16</v>
      </c>
      <c r="J82" s="5" t="s">
        <v>10</v>
      </c>
      <c r="K82" s="5">
        <v>23</v>
      </c>
      <c r="L82" s="5" t="s">
        <v>192</v>
      </c>
      <c r="M82" s="5">
        <v>2500</v>
      </c>
      <c r="N82" s="5" t="s">
        <v>170</v>
      </c>
      <c r="O82" s="6" t="s">
        <v>78</v>
      </c>
      <c r="P82" s="6" t="s">
        <v>80</v>
      </c>
      <c r="Q82" s="6">
        <v>2003</v>
      </c>
      <c r="R82" s="6"/>
      <c r="S82" s="6">
        <v>24</v>
      </c>
      <c r="T82" s="6">
        <v>11.4</v>
      </c>
      <c r="U82" s="6">
        <v>2157</v>
      </c>
      <c r="V82" s="6">
        <v>40.299999999999997</v>
      </c>
      <c r="W82" s="6">
        <v>0</v>
      </c>
      <c r="X82" s="6">
        <v>600</v>
      </c>
      <c r="Y82" s="6">
        <v>1043</v>
      </c>
      <c r="Z82" s="6">
        <v>457</v>
      </c>
      <c r="AA82" s="6">
        <v>57</v>
      </c>
      <c r="AB82" s="6">
        <v>0</v>
      </c>
      <c r="AC82" s="2">
        <v>54</v>
      </c>
      <c r="AD82" s="2" t="s">
        <v>52</v>
      </c>
      <c r="AE82" s="7">
        <v>22.23</v>
      </c>
      <c r="AF82" s="7">
        <v>400</v>
      </c>
      <c r="AG82" s="7">
        <v>26.21</v>
      </c>
      <c r="AH82" s="7">
        <v>28.88</v>
      </c>
      <c r="AI82" s="7">
        <v>34.9</v>
      </c>
      <c r="AJ82" s="9">
        <v>251.429426859995</v>
      </c>
      <c r="AK82" s="9">
        <v>253.94215980000001</v>
      </c>
      <c r="AL82" s="9">
        <v>297.45482618576398</v>
      </c>
      <c r="AM82" s="9">
        <v>67.452761623001606</v>
      </c>
      <c r="AN82" s="9">
        <v>1.2491252152407699</v>
      </c>
      <c r="AO82" s="9">
        <v>0.588146938332613</v>
      </c>
      <c r="AP82" s="9">
        <v>622.25928618274702</v>
      </c>
      <c r="AQ82" s="9">
        <v>11.5233201144953</v>
      </c>
      <c r="AR82" s="9">
        <v>9.6767388750772607</v>
      </c>
      <c r="AS82" s="73" t="s">
        <v>169</v>
      </c>
      <c r="AT82" s="10"/>
      <c r="AU82" s="10" t="s">
        <v>169</v>
      </c>
      <c r="AV82" s="10">
        <v>0</v>
      </c>
      <c r="AW82" s="8"/>
      <c r="AX82" s="74" t="s">
        <v>169</v>
      </c>
      <c r="AY82" s="74"/>
      <c r="AZ82" s="74"/>
      <c r="BA82" s="74"/>
      <c r="BB82" s="8"/>
      <c r="BC82" s="8"/>
      <c r="BD82" s="8"/>
      <c r="BE82" s="8"/>
      <c r="BF82" s="12">
        <v>0.44</v>
      </c>
      <c r="BG82" s="13">
        <v>227.94954845666666</v>
      </c>
      <c r="BH82" s="96" t="str">
        <f>+VLOOKUP(G82,Liste!$A$7:$G$50,3,FALSE)</f>
        <v>Pin sylvestre</v>
      </c>
      <c r="BI82" s="96" t="str">
        <f>+VLOOKUP(H82,Liste!$B$7:$G$50,5,FALSE)</f>
        <v>GS Pineraies des plaines du Centre et du Nord Ouest</v>
      </c>
      <c r="BJ82" s="135">
        <f t="shared" si="27"/>
        <v>54</v>
      </c>
      <c r="BK82" s="135" t="str">
        <f t="shared" si="29"/>
        <v>Pin sylvestre_F2_Eclaircie précoce_GS Pineraies des plaines du Centre et du Nord Ouest_54_</v>
      </c>
      <c r="BL82" s="322"/>
      <c r="BM82" s="13">
        <v>59.564390643333354</v>
      </c>
      <c r="BN82" s="13">
        <v>287.51393906705579</v>
      </c>
      <c r="BO82" s="13"/>
      <c r="BP82" s="13">
        <v>244.97</v>
      </c>
      <c r="BQ82" s="13">
        <v>8.9854185445436805</v>
      </c>
      <c r="BT82" s="298" t="str">
        <f>+VLOOKUP(G82,Liste!$A$7:$H$50,8,FALSE)</f>
        <v>Résineux</v>
      </c>
      <c r="BU82" s="298">
        <f t="shared" si="30"/>
        <v>0</v>
      </c>
      <c r="BV82" s="300">
        <f t="shared" si="31"/>
        <v>1</v>
      </c>
      <c r="BW82" s="321">
        <v>0</v>
      </c>
      <c r="BX82" s="298">
        <f t="shared" si="32"/>
        <v>0.43</v>
      </c>
      <c r="BY82">
        <f t="shared" si="33"/>
        <v>0</v>
      </c>
      <c r="BZ82" s="304">
        <f t="shared" si="34"/>
        <v>0</v>
      </c>
      <c r="CB82" s="299">
        <v>0.6</v>
      </c>
      <c r="CC82" s="299">
        <v>0.4</v>
      </c>
      <c r="CD82">
        <f t="shared" si="35"/>
        <v>0</v>
      </c>
      <c r="CE82">
        <f t="shared" si="36"/>
        <v>0</v>
      </c>
      <c r="CF82">
        <f t="shared" si="37"/>
        <v>0</v>
      </c>
      <c r="CG82">
        <f t="shared" si="38"/>
        <v>0</v>
      </c>
      <c r="CH82">
        <f t="shared" si="39"/>
        <v>0</v>
      </c>
      <c r="CI82">
        <f t="shared" si="40"/>
        <v>0</v>
      </c>
      <c r="CJ82">
        <f t="shared" si="41"/>
        <v>0</v>
      </c>
      <c r="CK82">
        <f t="shared" si="42"/>
        <v>0</v>
      </c>
      <c r="CL82">
        <f t="shared" si="43"/>
        <v>0</v>
      </c>
      <c r="CM82">
        <f t="shared" si="45"/>
        <v>0</v>
      </c>
      <c r="CN82">
        <f t="shared" si="44"/>
        <v>0</v>
      </c>
      <c r="CO82">
        <f t="shared" si="28"/>
        <v>0</v>
      </c>
    </row>
    <row r="83" spans="1:93" s="12" customFormat="1" ht="14.65" customHeight="1" x14ac:dyDescent="0.25">
      <c r="A83" s="4">
        <v>2021</v>
      </c>
      <c r="B83" s="4"/>
      <c r="C83" s="4" t="s">
        <v>64</v>
      </c>
      <c r="D83" s="4" t="s">
        <v>65</v>
      </c>
      <c r="E83" s="4"/>
      <c r="F83" s="4" t="s">
        <v>90</v>
      </c>
      <c r="G83" s="5" t="s">
        <v>15</v>
      </c>
      <c r="H83" s="5" t="s">
        <v>21</v>
      </c>
      <c r="I83" s="5" t="s">
        <v>16</v>
      </c>
      <c r="J83" s="5" t="s">
        <v>10</v>
      </c>
      <c r="K83" s="5">
        <v>23</v>
      </c>
      <c r="L83" s="5" t="s">
        <v>192</v>
      </c>
      <c r="M83" s="5">
        <v>2500</v>
      </c>
      <c r="N83" s="5" t="s">
        <v>170</v>
      </c>
      <c r="O83" s="6" t="s">
        <v>78</v>
      </c>
      <c r="P83" s="6" t="s">
        <v>80</v>
      </c>
      <c r="Q83" s="6">
        <v>2003</v>
      </c>
      <c r="R83" s="6"/>
      <c r="S83" s="6">
        <v>24</v>
      </c>
      <c r="T83" s="6">
        <v>11.4</v>
      </c>
      <c r="U83" s="6">
        <v>2157</v>
      </c>
      <c r="V83" s="6">
        <v>40.299999999999997</v>
      </c>
      <c r="W83" s="6">
        <v>0</v>
      </c>
      <c r="X83" s="6">
        <v>600</v>
      </c>
      <c r="Y83" s="6">
        <v>1043</v>
      </c>
      <c r="Z83" s="6">
        <v>457</v>
      </c>
      <c r="AA83" s="6">
        <v>57</v>
      </c>
      <c r="AB83" s="6">
        <v>0</v>
      </c>
      <c r="AC83" s="2">
        <v>55</v>
      </c>
      <c r="AD83" s="2" t="s">
        <v>52</v>
      </c>
      <c r="AE83" s="7">
        <v>22.51</v>
      </c>
      <c r="AF83" s="7">
        <v>400</v>
      </c>
      <c r="AG83" s="7">
        <v>26.79</v>
      </c>
      <c r="AH83" s="7">
        <v>29.2</v>
      </c>
      <c r="AI83" s="7">
        <v>35.32</v>
      </c>
      <c r="AJ83" s="9">
        <v>260.10700555135799</v>
      </c>
      <c r="AK83" s="9">
        <v>262.70036229999999</v>
      </c>
      <c r="AL83" s="9">
        <v>307.13156506084101</v>
      </c>
      <c r="AM83" s="9">
        <v>68.040908561334206</v>
      </c>
      <c r="AN83" s="9">
        <v>1.23710742838789</v>
      </c>
      <c r="AO83" s="9">
        <v>0.583391682320482</v>
      </c>
      <c r="AP83" s="9">
        <v>631.93602505782496</v>
      </c>
      <c r="AQ83" s="9">
        <v>11.4897459101423</v>
      </c>
      <c r="AR83" s="9">
        <v>9.7021268793107502</v>
      </c>
      <c r="AS83" s="73" t="s">
        <v>169</v>
      </c>
      <c r="AT83" s="10"/>
      <c r="AU83" s="10" t="s">
        <v>169</v>
      </c>
      <c r="AV83" s="10">
        <v>0</v>
      </c>
      <c r="AW83" s="8"/>
      <c r="AX83" s="74" t="s">
        <v>169</v>
      </c>
      <c r="AY83" s="74"/>
      <c r="AZ83" s="74"/>
      <c r="BA83" s="74"/>
      <c r="BB83" s="8"/>
      <c r="BC83" s="8"/>
      <c r="BD83" s="8"/>
      <c r="BE83" s="8"/>
      <c r="BF83" s="12">
        <v>0.44</v>
      </c>
      <c r="BG83" s="13">
        <v>235.36515603333336</v>
      </c>
      <c r="BH83" s="96" t="str">
        <f>+VLOOKUP(G83,Liste!$A$7:$G$50,3,FALSE)</f>
        <v>Pin sylvestre</v>
      </c>
      <c r="BI83" s="96" t="str">
        <f>+VLOOKUP(H83,Liste!$B$7:$G$50,5,FALSE)</f>
        <v>GS Pineraies des plaines du Centre et du Nord Ouest</v>
      </c>
      <c r="BJ83" s="135">
        <f t="shared" si="27"/>
        <v>55</v>
      </c>
      <c r="BK83" s="135" t="str">
        <f t="shared" si="29"/>
        <v>Pin sylvestre_F2_Eclaircie précoce_GS Pineraies des plaines du Centre et du Nord Ouest_55_</v>
      </c>
      <c r="BL83" s="322"/>
      <c r="BM83" s="13">
        <v>61.273371366666623</v>
      </c>
      <c r="BN83" s="13">
        <v>296.63852735702096</v>
      </c>
      <c r="BO83" s="13"/>
      <c r="BP83" s="13">
        <v>244.97</v>
      </c>
      <c r="BQ83" s="13">
        <v>9.0061861442034097</v>
      </c>
      <c r="BT83" s="298" t="str">
        <f>+VLOOKUP(G83,Liste!$A$7:$H$50,8,FALSE)</f>
        <v>Résineux</v>
      </c>
      <c r="BU83" s="298">
        <f t="shared" si="30"/>
        <v>0</v>
      </c>
      <c r="BV83" s="300">
        <f t="shared" si="31"/>
        <v>1</v>
      </c>
      <c r="BW83" s="321">
        <v>0</v>
      </c>
      <c r="BX83" s="298">
        <f t="shared" si="32"/>
        <v>0.43</v>
      </c>
      <c r="BY83">
        <f t="shared" si="33"/>
        <v>0</v>
      </c>
      <c r="BZ83" s="304">
        <f t="shared" si="34"/>
        <v>0</v>
      </c>
      <c r="CB83" s="299">
        <v>0.6</v>
      </c>
      <c r="CC83" s="299">
        <v>0.4</v>
      </c>
      <c r="CD83">
        <f t="shared" si="35"/>
        <v>0</v>
      </c>
      <c r="CE83">
        <f t="shared" si="36"/>
        <v>0</v>
      </c>
      <c r="CF83">
        <f t="shared" si="37"/>
        <v>0</v>
      </c>
      <c r="CG83">
        <f t="shared" si="38"/>
        <v>0</v>
      </c>
      <c r="CH83">
        <f t="shared" si="39"/>
        <v>0</v>
      </c>
      <c r="CI83">
        <f t="shared" si="40"/>
        <v>0</v>
      </c>
      <c r="CJ83">
        <f t="shared" si="41"/>
        <v>0</v>
      </c>
      <c r="CK83">
        <f t="shared" si="42"/>
        <v>0</v>
      </c>
      <c r="CL83">
        <f t="shared" si="43"/>
        <v>0</v>
      </c>
      <c r="CM83">
        <f t="shared" si="45"/>
        <v>0</v>
      </c>
      <c r="CN83">
        <f t="shared" si="44"/>
        <v>0</v>
      </c>
      <c r="CO83">
        <f t="shared" si="28"/>
        <v>0</v>
      </c>
    </row>
    <row r="84" spans="1:93" s="12" customFormat="1" ht="14.65" customHeight="1" x14ac:dyDescent="0.25">
      <c r="A84" s="4">
        <v>2021</v>
      </c>
      <c r="B84" s="4"/>
      <c r="C84" s="4" t="s">
        <v>64</v>
      </c>
      <c r="D84" s="4" t="s">
        <v>65</v>
      </c>
      <c r="E84" s="4"/>
      <c r="F84" s="4" t="s">
        <v>90</v>
      </c>
      <c r="G84" s="5" t="s">
        <v>15</v>
      </c>
      <c r="H84" s="5" t="s">
        <v>21</v>
      </c>
      <c r="I84" s="5" t="s">
        <v>16</v>
      </c>
      <c r="J84" s="5" t="s">
        <v>10</v>
      </c>
      <c r="K84" s="5">
        <v>23</v>
      </c>
      <c r="L84" s="5" t="s">
        <v>192</v>
      </c>
      <c r="M84" s="5">
        <v>2500</v>
      </c>
      <c r="N84" s="5" t="s">
        <v>170</v>
      </c>
      <c r="O84" s="6" t="s">
        <v>78</v>
      </c>
      <c r="P84" s="6" t="s">
        <v>80</v>
      </c>
      <c r="Q84" s="6">
        <v>2003</v>
      </c>
      <c r="R84" s="6"/>
      <c r="S84" s="6">
        <v>24</v>
      </c>
      <c r="T84" s="6">
        <v>11.4</v>
      </c>
      <c r="U84" s="6">
        <v>2157</v>
      </c>
      <c r="V84" s="6">
        <v>40.299999999999997</v>
      </c>
      <c r="W84" s="6">
        <v>0</v>
      </c>
      <c r="X84" s="6">
        <v>600</v>
      </c>
      <c r="Y84" s="6">
        <v>1043</v>
      </c>
      <c r="Z84" s="6">
        <v>457</v>
      </c>
      <c r="AA84" s="6">
        <v>57</v>
      </c>
      <c r="AB84" s="6">
        <v>0</v>
      </c>
      <c r="AC84" s="2">
        <v>56</v>
      </c>
      <c r="AD84" s="2" t="s">
        <v>52</v>
      </c>
      <c r="AE84" s="7">
        <v>22.77</v>
      </c>
      <c r="AF84" s="7">
        <v>400</v>
      </c>
      <c r="AG84" s="7">
        <v>27.38</v>
      </c>
      <c r="AH84" s="7">
        <v>29.52</v>
      </c>
      <c r="AI84" s="7">
        <v>35.72</v>
      </c>
      <c r="AJ84" s="9">
        <v>268.81885418010398</v>
      </c>
      <c r="AK84" s="9">
        <v>271.49269279999999</v>
      </c>
      <c r="AL84" s="9">
        <v>316.83369194015199</v>
      </c>
      <c r="AM84" s="9">
        <v>68.624300243654702</v>
      </c>
      <c r="AN84" s="9">
        <v>1.22543393292241</v>
      </c>
      <c r="AO84" s="9">
        <v>0.513517281727218</v>
      </c>
      <c r="AP84" s="9">
        <v>641.63815193713504</v>
      </c>
      <c r="AQ84" s="9">
        <v>11.4578241417346</v>
      </c>
      <c r="AR84" s="9">
        <v>8.2915533176194494</v>
      </c>
      <c r="AS84" s="73" t="s">
        <v>169</v>
      </c>
      <c r="AT84" s="10"/>
      <c r="AU84" s="10" t="s">
        <v>169</v>
      </c>
      <c r="AV84" s="10">
        <v>0</v>
      </c>
      <c r="AW84" s="8"/>
      <c r="AX84" s="74" t="s">
        <v>169</v>
      </c>
      <c r="AY84" s="74"/>
      <c r="AZ84" s="74"/>
      <c r="BA84" s="74"/>
      <c r="BB84" s="8"/>
      <c r="BC84" s="8"/>
      <c r="BD84" s="8"/>
      <c r="BE84" s="8"/>
      <c r="BF84" s="12">
        <v>0.44</v>
      </c>
      <c r="BG84" s="13">
        <v>242.80021927333334</v>
      </c>
      <c r="BH84" s="96" t="str">
        <f>+VLOOKUP(G84,Liste!$A$7:$G$50,3,FALSE)</f>
        <v>Pin sylvestre</v>
      </c>
      <c r="BI84" s="96" t="str">
        <f>+VLOOKUP(H84,Liste!$B$7:$G$50,5,FALSE)</f>
        <v>GS Pineraies des plaines du Centre et du Nord Ouest</v>
      </c>
      <c r="BJ84" s="135">
        <f t="shared" si="27"/>
        <v>56</v>
      </c>
      <c r="BK84" s="135" t="str">
        <f t="shared" si="29"/>
        <v>Pin sylvestre_F2_Eclaircie précoce_GS Pineraies des plaines du Centre et du Nord Ouest_56_</v>
      </c>
      <c r="BL84" s="322"/>
      <c r="BM84" s="13">
        <v>62.980554126666647</v>
      </c>
      <c r="BN84" s="13">
        <v>305.78077344628332</v>
      </c>
      <c r="BO84" s="13"/>
      <c r="BP84" s="13">
        <v>244.97</v>
      </c>
      <c r="BQ84" s="13">
        <v>7.6946026753482801</v>
      </c>
      <c r="BT84" s="298" t="str">
        <f>+VLOOKUP(G84,Liste!$A$7:$H$50,8,FALSE)</f>
        <v>Résineux</v>
      </c>
      <c r="BU84" s="298">
        <f t="shared" si="30"/>
        <v>0</v>
      </c>
      <c r="BV84" s="300">
        <f t="shared" si="31"/>
        <v>1</v>
      </c>
      <c r="BW84" s="321">
        <v>0</v>
      </c>
      <c r="BX84" s="298">
        <f t="shared" si="32"/>
        <v>0.43</v>
      </c>
      <c r="BY84">
        <f t="shared" si="33"/>
        <v>0</v>
      </c>
      <c r="BZ84" s="304">
        <f t="shared" si="34"/>
        <v>0</v>
      </c>
      <c r="CB84" s="299">
        <v>0.6</v>
      </c>
      <c r="CC84" s="299">
        <v>0.4</v>
      </c>
      <c r="CD84">
        <f t="shared" si="35"/>
        <v>0</v>
      </c>
      <c r="CE84">
        <f t="shared" si="36"/>
        <v>0</v>
      </c>
      <c r="CF84">
        <f t="shared" si="37"/>
        <v>0</v>
      </c>
      <c r="CG84">
        <f t="shared" si="38"/>
        <v>0</v>
      </c>
      <c r="CH84">
        <f t="shared" si="39"/>
        <v>0</v>
      </c>
      <c r="CI84">
        <f t="shared" si="40"/>
        <v>0</v>
      </c>
      <c r="CJ84">
        <f t="shared" si="41"/>
        <v>0</v>
      </c>
      <c r="CK84">
        <f t="shared" si="42"/>
        <v>0</v>
      </c>
      <c r="CL84">
        <f t="shared" si="43"/>
        <v>0</v>
      </c>
      <c r="CM84">
        <f t="shared" si="45"/>
        <v>0</v>
      </c>
      <c r="CN84">
        <f t="shared" si="44"/>
        <v>0</v>
      </c>
      <c r="CO84">
        <f t="shared" si="28"/>
        <v>0</v>
      </c>
    </row>
    <row r="85" spans="1:93" s="12" customFormat="1" ht="14.65" customHeight="1" x14ac:dyDescent="0.25">
      <c r="A85" s="4">
        <v>2021</v>
      </c>
      <c r="B85" s="4"/>
      <c r="C85" s="4" t="s">
        <v>64</v>
      </c>
      <c r="D85" s="4" t="s">
        <v>65</v>
      </c>
      <c r="E85" s="4"/>
      <c r="F85" s="4" t="s">
        <v>90</v>
      </c>
      <c r="G85" s="5" t="s">
        <v>15</v>
      </c>
      <c r="H85" s="5" t="s">
        <v>21</v>
      </c>
      <c r="I85" s="5" t="s">
        <v>16</v>
      </c>
      <c r="J85" s="5" t="s">
        <v>10</v>
      </c>
      <c r="K85" s="5">
        <v>23</v>
      </c>
      <c r="L85" s="5" t="s">
        <v>192</v>
      </c>
      <c r="M85" s="5">
        <v>2500</v>
      </c>
      <c r="N85" s="5" t="s">
        <v>170</v>
      </c>
      <c r="O85" s="6" t="s">
        <v>78</v>
      </c>
      <c r="P85" s="6" t="s">
        <v>80</v>
      </c>
      <c r="Q85" s="6">
        <v>2003</v>
      </c>
      <c r="R85" s="6"/>
      <c r="S85" s="6">
        <v>24</v>
      </c>
      <c r="T85" s="6">
        <v>11.4</v>
      </c>
      <c r="U85" s="6">
        <v>2157</v>
      </c>
      <c r="V85" s="6">
        <v>40.299999999999997</v>
      </c>
      <c r="W85" s="6">
        <v>0</v>
      </c>
      <c r="X85" s="6">
        <v>600</v>
      </c>
      <c r="Y85" s="6">
        <v>1043</v>
      </c>
      <c r="Z85" s="6">
        <v>457</v>
      </c>
      <c r="AA85" s="6">
        <v>57</v>
      </c>
      <c r="AB85" s="6">
        <v>0</v>
      </c>
      <c r="AC85" s="2">
        <v>56</v>
      </c>
      <c r="AD85" s="2" t="s">
        <v>53</v>
      </c>
      <c r="AE85" s="7">
        <v>22.77</v>
      </c>
      <c r="AF85" s="7">
        <v>300</v>
      </c>
      <c r="AG85" s="7">
        <v>22.95</v>
      </c>
      <c r="AH85" s="7">
        <v>31.21</v>
      </c>
      <c r="AI85" s="7">
        <v>35.72</v>
      </c>
      <c r="AJ85" s="9">
        <v>227.16394217526599</v>
      </c>
      <c r="AK85" s="9">
        <v>229.59419890000001</v>
      </c>
      <c r="AL85" s="9">
        <v>268.05426756343797</v>
      </c>
      <c r="AM85" s="9">
        <v>68.624300243654702</v>
      </c>
      <c r="AN85" s="9">
        <v>1.2254339329224</v>
      </c>
      <c r="AO85" s="9">
        <v>0.513517281727218</v>
      </c>
      <c r="AP85" s="9">
        <v>641.63815193713504</v>
      </c>
      <c r="AQ85" s="9">
        <v>11.4578241417346</v>
      </c>
      <c r="AR85" s="9">
        <v>8.2915533176194494</v>
      </c>
      <c r="AS85" s="73">
        <v>100</v>
      </c>
      <c r="AT85" s="10">
        <v>4.3551187363831012</v>
      </c>
      <c r="AU85" s="10">
        <v>23.548055964728803</v>
      </c>
      <c r="AV85" s="10">
        <v>41.654912004837996</v>
      </c>
      <c r="AW85" s="10">
        <v>0.62970853947233996</v>
      </c>
      <c r="AX85" s="74">
        <v>0.41654912004837996</v>
      </c>
      <c r="AY85" s="74"/>
      <c r="AZ85" s="74"/>
      <c r="BA85" s="74"/>
      <c r="BB85" s="10"/>
      <c r="BC85" s="10"/>
      <c r="BD85" s="10"/>
      <c r="BE85" s="10"/>
      <c r="BF85" s="12">
        <v>0.44</v>
      </c>
      <c r="BG85" s="13">
        <v>205.41892037333332</v>
      </c>
      <c r="BH85" s="96" t="str">
        <f>+VLOOKUP(G85,Liste!$A$7:$G$50,3,FALSE)</f>
        <v>Pin sylvestre</v>
      </c>
      <c r="BI85" s="96" t="str">
        <f>+VLOOKUP(H85,Liste!$B$7:$G$50,5,FALSE)</f>
        <v>GS Pineraies des plaines du Centre et du Nord Ouest</v>
      </c>
      <c r="BJ85" s="135">
        <f t="shared" si="27"/>
        <v>56</v>
      </c>
      <c r="BK85" s="135" t="str">
        <f t="shared" si="29"/>
        <v>Pin sylvestre_F2_Eclaircie précoce_GS Pineraies des plaines du Centre et du Nord Ouest_56_</v>
      </c>
      <c r="BL85" s="322"/>
      <c r="BM85" s="13">
        <v>54.331224126666655</v>
      </c>
      <c r="BN85" s="13">
        <v>259.75014453412126</v>
      </c>
      <c r="BO85" s="13">
        <v>46.030628912162058</v>
      </c>
      <c r="BP85" s="13">
        <v>244.97</v>
      </c>
      <c r="BQ85" s="13">
        <v>7.6946026753482801</v>
      </c>
      <c r="BT85" s="298" t="str">
        <f>+VLOOKUP(G85,Liste!$A$7:$H$50,8,FALSE)</f>
        <v>Résineux</v>
      </c>
      <c r="BU85" s="298">
        <f t="shared" si="30"/>
        <v>0</v>
      </c>
      <c r="BV85" s="300">
        <f t="shared" si="31"/>
        <v>1</v>
      </c>
      <c r="BW85" s="321">
        <v>0</v>
      </c>
      <c r="BX85" s="298">
        <f t="shared" si="32"/>
        <v>0.43</v>
      </c>
      <c r="BY85">
        <f t="shared" si="33"/>
        <v>0</v>
      </c>
      <c r="BZ85" s="304">
        <f t="shared" si="34"/>
        <v>0</v>
      </c>
      <c r="CB85" s="299">
        <v>0.6</v>
      </c>
      <c r="CC85" s="299">
        <v>0.4</v>
      </c>
      <c r="CD85">
        <f t="shared" si="35"/>
        <v>0</v>
      </c>
      <c r="CE85">
        <f t="shared" si="36"/>
        <v>0</v>
      </c>
      <c r="CF85">
        <f t="shared" si="37"/>
        <v>0</v>
      </c>
      <c r="CG85">
        <f t="shared" si="38"/>
        <v>0</v>
      </c>
      <c r="CH85">
        <f t="shared" si="39"/>
        <v>0</v>
      </c>
      <c r="CI85">
        <f t="shared" si="40"/>
        <v>0</v>
      </c>
      <c r="CJ85">
        <f t="shared" si="41"/>
        <v>0</v>
      </c>
      <c r="CK85">
        <f t="shared" si="42"/>
        <v>0</v>
      </c>
      <c r="CL85">
        <f t="shared" si="43"/>
        <v>0</v>
      </c>
      <c r="CM85">
        <f t="shared" si="45"/>
        <v>0</v>
      </c>
      <c r="CN85">
        <f t="shared" si="44"/>
        <v>0</v>
      </c>
      <c r="CO85">
        <f t="shared" si="28"/>
        <v>0</v>
      </c>
    </row>
    <row r="86" spans="1:93" s="12" customFormat="1" ht="14.65" customHeight="1" x14ac:dyDescent="0.25">
      <c r="A86" s="4">
        <v>2021</v>
      </c>
      <c r="B86" s="4"/>
      <c r="C86" s="4" t="s">
        <v>64</v>
      </c>
      <c r="D86" s="4" t="s">
        <v>65</v>
      </c>
      <c r="E86" s="4"/>
      <c r="F86" s="4" t="s">
        <v>90</v>
      </c>
      <c r="G86" s="5" t="s">
        <v>15</v>
      </c>
      <c r="H86" s="5" t="s">
        <v>21</v>
      </c>
      <c r="I86" s="5" t="s">
        <v>16</v>
      </c>
      <c r="J86" s="5" t="s">
        <v>10</v>
      </c>
      <c r="K86" s="5">
        <v>23</v>
      </c>
      <c r="L86" s="5" t="s">
        <v>192</v>
      </c>
      <c r="M86" s="5">
        <v>2500</v>
      </c>
      <c r="N86" s="5" t="s">
        <v>170</v>
      </c>
      <c r="O86" s="6" t="s">
        <v>78</v>
      </c>
      <c r="P86" s="6" t="s">
        <v>80</v>
      </c>
      <c r="Q86" s="6">
        <v>2003</v>
      </c>
      <c r="R86" s="6"/>
      <c r="S86" s="6">
        <v>24</v>
      </c>
      <c r="T86" s="6">
        <v>11.4</v>
      </c>
      <c r="U86" s="6">
        <v>2157</v>
      </c>
      <c r="V86" s="6">
        <v>40.299999999999997</v>
      </c>
      <c r="W86" s="6">
        <v>0</v>
      </c>
      <c r="X86" s="6">
        <v>600</v>
      </c>
      <c r="Y86" s="6">
        <v>1043</v>
      </c>
      <c r="Z86" s="6">
        <v>457</v>
      </c>
      <c r="AA86" s="6">
        <v>57</v>
      </c>
      <c r="AB86" s="6">
        <v>0</v>
      </c>
      <c r="AC86" s="2">
        <v>57</v>
      </c>
      <c r="AD86" s="2" t="s">
        <v>52</v>
      </c>
      <c r="AE86" s="7">
        <v>23.04</v>
      </c>
      <c r="AF86" s="7">
        <v>300</v>
      </c>
      <c r="AG86" s="7">
        <v>23.47</v>
      </c>
      <c r="AH86" s="7">
        <v>31.56</v>
      </c>
      <c r="AI86" s="7">
        <v>36.14</v>
      </c>
      <c r="AJ86" s="9">
        <v>234.52277995604399</v>
      </c>
      <c r="AK86" s="9">
        <v>237.03415480000001</v>
      </c>
      <c r="AL86" s="9">
        <v>276.34582088105702</v>
      </c>
      <c r="AM86" s="9">
        <v>69.137817525381905</v>
      </c>
      <c r="AN86" s="9">
        <v>1.2129441671119601</v>
      </c>
      <c r="AO86" s="9">
        <v>0.50802607622004803</v>
      </c>
      <c r="AP86" s="9">
        <v>649.92970525475505</v>
      </c>
      <c r="AQ86" s="9">
        <v>11.4022755307852</v>
      </c>
      <c r="AR86" s="9">
        <v>8.5115559757862194</v>
      </c>
      <c r="AS86" s="73" t="s">
        <v>169</v>
      </c>
      <c r="AT86" s="10"/>
      <c r="AU86" s="10" t="s">
        <v>169</v>
      </c>
      <c r="AV86" s="10">
        <v>0</v>
      </c>
      <c r="AW86" s="8"/>
      <c r="AX86" s="74" t="s">
        <v>169</v>
      </c>
      <c r="AY86" s="74"/>
      <c r="AZ86" s="74"/>
      <c r="BA86" s="74"/>
      <c r="BB86" s="8"/>
      <c r="BC86" s="8"/>
      <c r="BD86" s="8"/>
      <c r="BE86" s="8"/>
      <c r="BF86" s="12">
        <v>0.44</v>
      </c>
      <c r="BG86" s="13">
        <v>211.77301405333333</v>
      </c>
      <c r="BH86" s="96" t="str">
        <f>+VLOOKUP(G86,Liste!$A$7:$G$50,3,FALSE)</f>
        <v>Pin sylvestre</v>
      </c>
      <c r="BI86" s="96" t="str">
        <f>+VLOOKUP(H86,Liste!$B$7:$G$50,5,FALSE)</f>
        <v>GS Pineraies des plaines du Centre et du Nord Ouest</v>
      </c>
      <c r="BJ86" s="135">
        <f t="shared" si="27"/>
        <v>57</v>
      </c>
      <c r="BK86" s="135" t="str">
        <f t="shared" si="29"/>
        <v>Pin sylvestre_F2_Eclaircie précoce_GS Pineraies des plaines du Centre et du Nord Ouest_57_</v>
      </c>
      <c r="BL86" s="322"/>
      <c r="BM86" s="13">
        <v>55.813553446666674</v>
      </c>
      <c r="BN86" s="13">
        <v>267.58656752105043</v>
      </c>
      <c r="BO86" s="13"/>
      <c r="BP86" s="13">
        <v>244.97</v>
      </c>
      <c r="BQ86" s="13">
        <v>7.89669740551403</v>
      </c>
      <c r="BT86" s="298" t="str">
        <f>+VLOOKUP(G86,Liste!$A$7:$H$50,8,FALSE)</f>
        <v>Résineux</v>
      </c>
      <c r="BU86" s="298">
        <f t="shared" si="30"/>
        <v>0</v>
      </c>
      <c r="BV86" s="300">
        <f t="shared" si="31"/>
        <v>1</v>
      </c>
      <c r="BW86" s="321">
        <v>0</v>
      </c>
      <c r="BX86" s="298">
        <f t="shared" si="32"/>
        <v>0.43</v>
      </c>
      <c r="BY86">
        <f t="shared" si="33"/>
        <v>0</v>
      </c>
      <c r="BZ86" s="304">
        <f t="shared" si="34"/>
        <v>0</v>
      </c>
      <c r="CB86" s="299">
        <v>0.6</v>
      </c>
      <c r="CC86" s="299">
        <v>0.4</v>
      </c>
      <c r="CD86">
        <f t="shared" si="35"/>
        <v>0</v>
      </c>
      <c r="CE86">
        <f t="shared" si="36"/>
        <v>0</v>
      </c>
      <c r="CF86">
        <f t="shared" si="37"/>
        <v>0</v>
      </c>
      <c r="CG86">
        <f t="shared" si="38"/>
        <v>0</v>
      </c>
      <c r="CH86">
        <f t="shared" si="39"/>
        <v>0</v>
      </c>
      <c r="CI86">
        <f t="shared" si="40"/>
        <v>0</v>
      </c>
      <c r="CJ86">
        <f t="shared" si="41"/>
        <v>0</v>
      </c>
      <c r="CK86">
        <f t="shared" si="42"/>
        <v>0</v>
      </c>
      <c r="CL86">
        <f t="shared" si="43"/>
        <v>0</v>
      </c>
      <c r="CM86">
        <f t="shared" si="45"/>
        <v>0</v>
      </c>
      <c r="CN86">
        <f t="shared" si="44"/>
        <v>0</v>
      </c>
      <c r="CO86">
        <f t="shared" si="28"/>
        <v>0</v>
      </c>
    </row>
    <row r="87" spans="1:93" s="12" customFormat="1" ht="14.65" customHeight="1" x14ac:dyDescent="0.25">
      <c r="A87" s="4">
        <v>2021</v>
      </c>
      <c r="B87" s="4"/>
      <c r="C87" s="4" t="s">
        <v>64</v>
      </c>
      <c r="D87" s="4" t="s">
        <v>65</v>
      </c>
      <c r="E87" s="4"/>
      <c r="F87" s="4" t="s">
        <v>90</v>
      </c>
      <c r="G87" s="5" t="s">
        <v>15</v>
      </c>
      <c r="H87" s="5" t="s">
        <v>21</v>
      </c>
      <c r="I87" s="5" t="s">
        <v>16</v>
      </c>
      <c r="J87" s="5" t="s">
        <v>10</v>
      </c>
      <c r="K87" s="5">
        <v>23</v>
      </c>
      <c r="L87" s="5" t="s">
        <v>192</v>
      </c>
      <c r="M87" s="5">
        <v>2500</v>
      </c>
      <c r="N87" s="5" t="s">
        <v>170</v>
      </c>
      <c r="O87" s="6" t="s">
        <v>78</v>
      </c>
      <c r="P87" s="6" t="s">
        <v>80</v>
      </c>
      <c r="Q87" s="6">
        <v>2003</v>
      </c>
      <c r="R87" s="6"/>
      <c r="S87" s="6">
        <v>24</v>
      </c>
      <c r="T87" s="6">
        <v>11.4</v>
      </c>
      <c r="U87" s="6">
        <v>2157</v>
      </c>
      <c r="V87" s="6">
        <v>40.299999999999997</v>
      </c>
      <c r="W87" s="6">
        <v>0</v>
      </c>
      <c r="X87" s="6">
        <v>600</v>
      </c>
      <c r="Y87" s="6">
        <v>1043</v>
      </c>
      <c r="Z87" s="6">
        <v>457</v>
      </c>
      <c r="AA87" s="6">
        <v>57</v>
      </c>
      <c r="AB87" s="6">
        <v>0</v>
      </c>
      <c r="AC87" s="2">
        <v>58</v>
      </c>
      <c r="AD87" s="2" t="s">
        <v>52</v>
      </c>
      <c r="AE87" s="7">
        <v>23.3</v>
      </c>
      <c r="AF87" s="7">
        <v>300</v>
      </c>
      <c r="AG87" s="7">
        <v>23.97</v>
      </c>
      <c r="AH87" s="7">
        <v>31.9</v>
      </c>
      <c r="AI87" s="7">
        <v>36.54</v>
      </c>
      <c r="AJ87" s="9">
        <v>242.13489483371001</v>
      </c>
      <c r="AK87" s="9">
        <v>244.7239495</v>
      </c>
      <c r="AL87" s="9">
        <v>284.85737685684302</v>
      </c>
      <c r="AM87" s="9">
        <v>69.645843601601896</v>
      </c>
      <c r="AN87" s="9">
        <v>1.2007904069241699</v>
      </c>
      <c r="AO87" s="9">
        <v>0.50314200705511802</v>
      </c>
      <c r="AP87" s="9">
        <v>658.44126123054104</v>
      </c>
      <c r="AQ87" s="9">
        <v>11.3524355384576</v>
      </c>
      <c r="AR87" s="9">
        <v>8.5514599746525199</v>
      </c>
      <c r="AS87" s="73" t="s">
        <v>169</v>
      </c>
      <c r="AT87" s="10"/>
      <c r="AU87" s="10" t="s">
        <v>169</v>
      </c>
      <c r="AV87" s="10">
        <v>0</v>
      </c>
      <c r="AW87" s="8"/>
      <c r="AX87" s="74" t="s">
        <v>169</v>
      </c>
      <c r="AY87" s="74"/>
      <c r="AZ87" s="74"/>
      <c r="BA87" s="74"/>
      <c r="BB87" s="8"/>
      <c r="BC87" s="8"/>
      <c r="BD87" s="8"/>
      <c r="BE87" s="8"/>
      <c r="BF87" s="12">
        <v>0.44</v>
      </c>
      <c r="BG87" s="13">
        <v>218.29570311999998</v>
      </c>
      <c r="BH87" s="96" t="str">
        <f>+VLOOKUP(G87,Liste!$A$7:$G$50,3,FALSE)</f>
        <v>Pin sylvestre</v>
      </c>
      <c r="BI87" s="96" t="str">
        <f>+VLOOKUP(H87,Liste!$B$7:$G$50,5,FALSE)</f>
        <v>GS Pineraies des plaines du Centre et du Nord Ouest</v>
      </c>
      <c r="BJ87" s="135">
        <f t="shared" si="27"/>
        <v>58</v>
      </c>
      <c r="BK87" s="135" t="str">
        <f t="shared" si="29"/>
        <v>Pin sylvestre_F2_Eclaircie précoce_GS Pineraies des plaines du Centre et du Nord Ouest_58_</v>
      </c>
      <c r="BL87" s="322"/>
      <c r="BM87" s="13">
        <v>57.329839079999999</v>
      </c>
      <c r="BN87" s="13">
        <v>275.62554224485353</v>
      </c>
      <c r="BO87" s="13"/>
      <c r="BP87" s="13">
        <v>244.97</v>
      </c>
      <c r="BQ87" s="13">
        <v>7.9316383584056203</v>
      </c>
      <c r="BT87" s="298" t="str">
        <f>+VLOOKUP(G87,Liste!$A$7:$H$50,8,FALSE)</f>
        <v>Résineux</v>
      </c>
      <c r="BU87" s="298">
        <f t="shared" si="30"/>
        <v>0</v>
      </c>
      <c r="BV87" s="300">
        <f t="shared" si="31"/>
        <v>1</v>
      </c>
      <c r="BW87" s="321">
        <v>0</v>
      </c>
      <c r="BX87" s="298">
        <f t="shared" si="32"/>
        <v>0.43</v>
      </c>
      <c r="BY87">
        <f t="shared" si="33"/>
        <v>0</v>
      </c>
      <c r="BZ87" s="304">
        <f t="shared" si="34"/>
        <v>0</v>
      </c>
      <c r="CB87" s="299">
        <v>0.6</v>
      </c>
      <c r="CC87" s="299">
        <v>0.4</v>
      </c>
      <c r="CD87">
        <f t="shared" si="35"/>
        <v>0</v>
      </c>
      <c r="CE87">
        <f t="shared" si="36"/>
        <v>0</v>
      </c>
      <c r="CF87">
        <f t="shared" si="37"/>
        <v>0</v>
      </c>
      <c r="CG87">
        <f t="shared" si="38"/>
        <v>0</v>
      </c>
      <c r="CH87">
        <f t="shared" si="39"/>
        <v>0</v>
      </c>
      <c r="CI87">
        <f t="shared" si="40"/>
        <v>0</v>
      </c>
      <c r="CJ87">
        <f t="shared" si="41"/>
        <v>0</v>
      </c>
      <c r="CK87">
        <f t="shared" si="42"/>
        <v>0</v>
      </c>
      <c r="CL87">
        <f t="shared" si="43"/>
        <v>0</v>
      </c>
      <c r="CM87">
        <f t="shared" si="45"/>
        <v>0</v>
      </c>
      <c r="CN87">
        <f t="shared" si="44"/>
        <v>0</v>
      </c>
      <c r="CO87">
        <f t="shared" si="28"/>
        <v>0</v>
      </c>
    </row>
    <row r="88" spans="1:93" s="12" customFormat="1" ht="14.65" customHeight="1" x14ac:dyDescent="0.25">
      <c r="A88" s="4">
        <v>2021</v>
      </c>
      <c r="B88" s="4"/>
      <c r="C88" s="4" t="s">
        <v>64</v>
      </c>
      <c r="D88" s="4" t="s">
        <v>65</v>
      </c>
      <c r="E88" s="4"/>
      <c r="F88" s="4" t="s">
        <v>90</v>
      </c>
      <c r="G88" s="5" t="s">
        <v>15</v>
      </c>
      <c r="H88" s="5" t="s">
        <v>21</v>
      </c>
      <c r="I88" s="5" t="s">
        <v>16</v>
      </c>
      <c r="J88" s="5" t="s">
        <v>10</v>
      </c>
      <c r="K88" s="5">
        <v>23</v>
      </c>
      <c r="L88" s="5" t="s">
        <v>192</v>
      </c>
      <c r="M88" s="5">
        <v>2500</v>
      </c>
      <c r="N88" s="5" t="s">
        <v>170</v>
      </c>
      <c r="O88" s="6" t="s">
        <v>78</v>
      </c>
      <c r="P88" s="6" t="s">
        <v>80</v>
      </c>
      <c r="Q88" s="6">
        <v>2003</v>
      </c>
      <c r="R88" s="6"/>
      <c r="S88" s="6">
        <v>24</v>
      </c>
      <c r="T88" s="6">
        <v>11.4</v>
      </c>
      <c r="U88" s="6">
        <v>2157</v>
      </c>
      <c r="V88" s="6">
        <v>40.299999999999997</v>
      </c>
      <c r="W88" s="6">
        <v>0</v>
      </c>
      <c r="X88" s="6">
        <v>600</v>
      </c>
      <c r="Y88" s="6">
        <v>1043</v>
      </c>
      <c r="Z88" s="6">
        <v>457</v>
      </c>
      <c r="AA88" s="6">
        <v>57</v>
      </c>
      <c r="AB88" s="6">
        <v>0</v>
      </c>
      <c r="AC88" s="2">
        <v>59</v>
      </c>
      <c r="AD88" s="2" t="s">
        <v>52</v>
      </c>
      <c r="AE88" s="7">
        <v>23.55</v>
      </c>
      <c r="AF88" s="7">
        <v>300</v>
      </c>
      <c r="AG88" s="7">
        <v>24.48</v>
      </c>
      <c r="AH88" s="7">
        <v>32.229999999999997</v>
      </c>
      <c r="AI88" s="7">
        <v>36.94</v>
      </c>
      <c r="AJ88" s="9">
        <v>249.80086886627001</v>
      </c>
      <c r="AK88" s="9">
        <v>252.4665608</v>
      </c>
      <c r="AL88" s="9">
        <v>293.40883683149599</v>
      </c>
      <c r="AM88" s="9">
        <v>70.1489856086571</v>
      </c>
      <c r="AN88" s="9">
        <v>1.18896585777385</v>
      </c>
      <c r="AO88" s="9">
        <v>0.497588032526735</v>
      </c>
      <c r="AP88" s="9">
        <v>666.99272120519299</v>
      </c>
      <c r="AQ88" s="9">
        <v>11.3049613763592</v>
      </c>
      <c r="AR88" s="9">
        <v>8.5137755691332604</v>
      </c>
      <c r="AS88" s="73" t="s">
        <v>169</v>
      </c>
      <c r="AT88" s="10"/>
      <c r="AU88" s="10" t="s">
        <v>169</v>
      </c>
      <c r="AV88" s="10">
        <v>0</v>
      </c>
      <c r="AW88" s="8"/>
      <c r="AX88" s="74" t="s">
        <v>169</v>
      </c>
      <c r="AY88" s="74"/>
      <c r="AZ88" s="74"/>
      <c r="BA88" s="74"/>
      <c r="BB88" s="8"/>
      <c r="BC88" s="8"/>
      <c r="BD88" s="8"/>
      <c r="BE88" s="8"/>
      <c r="BF88" s="12">
        <v>0.44</v>
      </c>
      <c r="BG88" s="13">
        <v>224.84897196666668</v>
      </c>
      <c r="BH88" s="96" t="str">
        <f>+VLOOKUP(G88,Liste!$A$7:$G$50,3,FALSE)</f>
        <v>Pin sylvestre</v>
      </c>
      <c r="BI88" s="96" t="str">
        <f>+VLOOKUP(H88,Liste!$B$7:$G$50,5,FALSE)</f>
        <v>GS Pineraies des plaines du Centre et du Nord Ouest</v>
      </c>
      <c r="BJ88" s="135">
        <f t="shared" si="27"/>
        <v>59</v>
      </c>
      <c r="BK88" s="135" t="str">
        <f t="shared" si="29"/>
        <v>Pin sylvestre_F2_Eclaircie précoce_GS Pineraies des plaines du Centre et du Nord Ouest_59_</v>
      </c>
      <c r="BL88" s="322"/>
      <c r="BM88" s="13">
        <v>58.847931233333327</v>
      </c>
      <c r="BN88" s="13">
        <v>283.69690322350522</v>
      </c>
      <c r="BO88" s="13"/>
      <c r="BP88" s="13">
        <v>244.97</v>
      </c>
      <c r="BQ88" s="13">
        <v>7.8946433533521896</v>
      </c>
      <c r="BT88" s="298" t="str">
        <f>+VLOOKUP(G88,Liste!$A$7:$H$50,8,FALSE)</f>
        <v>Résineux</v>
      </c>
      <c r="BU88" s="298">
        <f t="shared" si="30"/>
        <v>0</v>
      </c>
      <c r="BV88" s="300">
        <f t="shared" si="31"/>
        <v>1</v>
      </c>
      <c r="BW88" s="321">
        <v>0</v>
      </c>
      <c r="BX88" s="298">
        <f t="shared" si="32"/>
        <v>0.43</v>
      </c>
      <c r="BY88">
        <f t="shared" si="33"/>
        <v>0</v>
      </c>
      <c r="BZ88" s="304">
        <f t="shared" si="34"/>
        <v>0</v>
      </c>
      <c r="CB88" s="299">
        <v>0.6</v>
      </c>
      <c r="CC88" s="299">
        <v>0.4</v>
      </c>
      <c r="CD88">
        <f t="shared" si="35"/>
        <v>0</v>
      </c>
      <c r="CE88">
        <f t="shared" si="36"/>
        <v>0</v>
      </c>
      <c r="CF88">
        <f t="shared" si="37"/>
        <v>0</v>
      </c>
      <c r="CG88">
        <f t="shared" si="38"/>
        <v>0</v>
      </c>
      <c r="CH88">
        <f t="shared" si="39"/>
        <v>0</v>
      </c>
      <c r="CI88">
        <f t="shared" si="40"/>
        <v>0</v>
      </c>
      <c r="CJ88">
        <f t="shared" si="41"/>
        <v>0</v>
      </c>
      <c r="CK88">
        <f t="shared" si="42"/>
        <v>0</v>
      </c>
      <c r="CL88">
        <f t="shared" si="43"/>
        <v>0</v>
      </c>
      <c r="CM88">
        <f t="shared" si="45"/>
        <v>0</v>
      </c>
      <c r="CN88">
        <f t="shared" si="44"/>
        <v>0</v>
      </c>
      <c r="CO88">
        <f t="shared" si="28"/>
        <v>0</v>
      </c>
    </row>
    <row r="89" spans="1:93" s="12" customFormat="1" ht="14.65" customHeight="1" x14ac:dyDescent="0.25">
      <c r="A89" s="4">
        <v>2021</v>
      </c>
      <c r="B89" s="4"/>
      <c r="C89" s="4" t="s">
        <v>64</v>
      </c>
      <c r="D89" s="4" t="s">
        <v>65</v>
      </c>
      <c r="E89" s="4"/>
      <c r="F89" s="4" t="s">
        <v>90</v>
      </c>
      <c r="G89" s="5" t="s">
        <v>15</v>
      </c>
      <c r="H89" s="5" t="s">
        <v>21</v>
      </c>
      <c r="I89" s="5" t="s">
        <v>16</v>
      </c>
      <c r="J89" s="5" t="s">
        <v>10</v>
      </c>
      <c r="K89" s="5">
        <v>23</v>
      </c>
      <c r="L89" s="5" t="s">
        <v>192</v>
      </c>
      <c r="M89" s="5">
        <v>2500</v>
      </c>
      <c r="N89" s="5" t="s">
        <v>170</v>
      </c>
      <c r="O89" s="6" t="s">
        <v>78</v>
      </c>
      <c r="P89" s="6" t="s">
        <v>80</v>
      </c>
      <c r="Q89" s="6">
        <v>2003</v>
      </c>
      <c r="R89" s="6"/>
      <c r="S89" s="6">
        <v>24</v>
      </c>
      <c r="T89" s="6">
        <v>11.4</v>
      </c>
      <c r="U89" s="6">
        <v>2157</v>
      </c>
      <c r="V89" s="6">
        <v>40.299999999999997</v>
      </c>
      <c r="W89" s="6">
        <v>0</v>
      </c>
      <c r="X89" s="6">
        <v>600</v>
      </c>
      <c r="Y89" s="6">
        <v>1043</v>
      </c>
      <c r="Z89" s="6">
        <v>457</v>
      </c>
      <c r="AA89" s="6">
        <v>57</v>
      </c>
      <c r="AB89" s="6">
        <v>0</v>
      </c>
      <c r="AC89" s="2">
        <v>60</v>
      </c>
      <c r="AD89" s="2" t="s">
        <v>52</v>
      </c>
      <c r="AE89" s="7">
        <v>23.8</v>
      </c>
      <c r="AF89" s="7">
        <v>300</v>
      </c>
      <c r="AG89" s="7">
        <v>24.97</v>
      </c>
      <c r="AH89" s="7">
        <v>32.56</v>
      </c>
      <c r="AI89" s="7">
        <v>37.33</v>
      </c>
      <c r="AJ89" s="9">
        <v>257.436387822548</v>
      </c>
      <c r="AK89" s="9">
        <v>260.17872160000002</v>
      </c>
      <c r="AL89" s="9">
        <v>301.92261240062902</v>
      </c>
      <c r="AM89" s="9">
        <v>70.646573641183807</v>
      </c>
      <c r="AN89" s="9">
        <v>1.1774428940197299</v>
      </c>
      <c r="AO89" s="9">
        <v>0.49404537630100298</v>
      </c>
      <c r="AP89" s="9">
        <v>675.50649677432705</v>
      </c>
      <c r="AQ89" s="9">
        <v>11.258441612905401</v>
      </c>
      <c r="AR89" s="9">
        <v>8.5801364538049292</v>
      </c>
      <c r="AS89" s="73" t="s">
        <v>169</v>
      </c>
      <c r="AT89" s="10"/>
      <c r="AU89" s="10" t="s">
        <v>169</v>
      </c>
      <c r="AV89" s="10">
        <v>0</v>
      </c>
      <c r="AW89" s="8"/>
      <c r="AX89" s="74" t="s">
        <v>169</v>
      </c>
      <c r="AY89" s="74"/>
      <c r="AZ89" s="74"/>
      <c r="BA89" s="74"/>
      <c r="BB89" s="8"/>
      <c r="BC89" s="8"/>
      <c r="BD89" s="8"/>
      <c r="BE89" s="8"/>
      <c r="BF89" s="12">
        <v>0.44</v>
      </c>
      <c r="BG89" s="13">
        <v>231.37336196333334</v>
      </c>
      <c r="BH89" s="96" t="str">
        <f>+VLOOKUP(G89,Liste!$A$7:$G$50,3,FALSE)</f>
        <v>Pin sylvestre</v>
      </c>
      <c r="BI89" s="96" t="str">
        <f>+VLOOKUP(H89,Liste!$B$7:$G$50,5,FALSE)</f>
        <v>GS Pineraies des plaines du Centre et du Nord Ouest</v>
      </c>
      <c r="BJ89" s="135">
        <f t="shared" si="27"/>
        <v>60</v>
      </c>
      <c r="BK89" s="135" t="str">
        <f t="shared" si="29"/>
        <v>Pin sylvestre_F2_Eclaircie précoce_GS Pineraies des plaines du Centre et du Nord Ouest_60_</v>
      </c>
      <c r="BL89" s="322"/>
      <c r="BM89" s="13">
        <v>60.354225036666691</v>
      </c>
      <c r="BN89" s="13">
        <v>291.72758701446872</v>
      </c>
      <c r="BO89" s="13"/>
      <c r="BP89" s="13">
        <v>244.97</v>
      </c>
      <c r="BQ89" s="13">
        <v>7.9541461031495801</v>
      </c>
      <c r="BT89" s="298" t="str">
        <f>+VLOOKUP(G89,Liste!$A$7:$H$50,8,FALSE)</f>
        <v>Résineux</v>
      </c>
      <c r="BU89" s="298">
        <f t="shared" si="30"/>
        <v>0</v>
      </c>
      <c r="BV89" s="300">
        <f t="shared" si="31"/>
        <v>1</v>
      </c>
      <c r="BW89" s="321">
        <v>0</v>
      </c>
      <c r="BX89" s="298">
        <f t="shared" si="32"/>
        <v>0.43</v>
      </c>
      <c r="BY89">
        <f t="shared" si="33"/>
        <v>0</v>
      </c>
      <c r="BZ89" s="304">
        <f t="shared" si="34"/>
        <v>0</v>
      </c>
      <c r="CB89" s="299">
        <v>0.6</v>
      </c>
      <c r="CC89" s="299">
        <v>0.4</v>
      </c>
      <c r="CD89">
        <f t="shared" si="35"/>
        <v>0</v>
      </c>
      <c r="CE89">
        <f t="shared" si="36"/>
        <v>0</v>
      </c>
      <c r="CF89">
        <f t="shared" si="37"/>
        <v>0</v>
      </c>
      <c r="CG89">
        <f t="shared" si="38"/>
        <v>0</v>
      </c>
      <c r="CH89">
        <f t="shared" si="39"/>
        <v>0</v>
      </c>
      <c r="CI89">
        <f t="shared" si="40"/>
        <v>0</v>
      </c>
      <c r="CJ89">
        <f t="shared" si="41"/>
        <v>0</v>
      </c>
      <c r="CK89">
        <f t="shared" si="42"/>
        <v>0</v>
      </c>
      <c r="CL89">
        <f t="shared" si="43"/>
        <v>0</v>
      </c>
      <c r="CM89">
        <f t="shared" si="45"/>
        <v>0</v>
      </c>
      <c r="CN89">
        <f t="shared" si="44"/>
        <v>0</v>
      </c>
      <c r="CO89">
        <f t="shared" si="28"/>
        <v>0</v>
      </c>
    </row>
    <row r="90" spans="1:93" s="12" customFormat="1" ht="14.65" customHeight="1" x14ac:dyDescent="0.25">
      <c r="A90" s="4">
        <v>2021</v>
      </c>
      <c r="B90" s="4"/>
      <c r="C90" s="4" t="s">
        <v>64</v>
      </c>
      <c r="D90" s="4" t="s">
        <v>65</v>
      </c>
      <c r="E90" s="4"/>
      <c r="F90" s="4" t="s">
        <v>90</v>
      </c>
      <c r="G90" s="5" t="s">
        <v>15</v>
      </c>
      <c r="H90" s="5" t="s">
        <v>21</v>
      </c>
      <c r="I90" s="5" t="s">
        <v>16</v>
      </c>
      <c r="J90" s="5" t="s">
        <v>10</v>
      </c>
      <c r="K90" s="5">
        <v>23</v>
      </c>
      <c r="L90" s="5" t="s">
        <v>192</v>
      </c>
      <c r="M90" s="5">
        <v>2500</v>
      </c>
      <c r="N90" s="5" t="s">
        <v>170</v>
      </c>
      <c r="O90" s="6" t="s">
        <v>78</v>
      </c>
      <c r="P90" s="6" t="s">
        <v>80</v>
      </c>
      <c r="Q90" s="6">
        <v>2003</v>
      </c>
      <c r="R90" s="6"/>
      <c r="S90" s="6">
        <v>24</v>
      </c>
      <c r="T90" s="6">
        <v>11.4</v>
      </c>
      <c r="U90" s="6">
        <v>2157</v>
      </c>
      <c r="V90" s="6">
        <v>40.299999999999997</v>
      </c>
      <c r="W90" s="6">
        <v>0</v>
      </c>
      <c r="X90" s="6">
        <v>600</v>
      </c>
      <c r="Y90" s="6">
        <v>1043</v>
      </c>
      <c r="Z90" s="6">
        <v>457</v>
      </c>
      <c r="AA90" s="6">
        <v>57</v>
      </c>
      <c r="AB90" s="6">
        <v>0</v>
      </c>
      <c r="AC90" s="2">
        <v>61</v>
      </c>
      <c r="AD90" s="2" t="s">
        <v>52</v>
      </c>
      <c r="AE90" s="7">
        <v>24.04</v>
      </c>
      <c r="AF90" s="7">
        <v>300</v>
      </c>
      <c r="AG90" s="7">
        <v>25.47</v>
      </c>
      <c r="AH90" s="7">
        <v>32.880000000000003</v>
      </c>
      <c r="AI90" s="7">
        <v>37.71</v>
      </c>
      <c r="AJ90" s="9">
        <v>265.15046639562303</v>
      </c>
      <c r="AK90" s="9">
        <v>267.96849650000001</v>
      </c>
      <c r="AL90" s="9">
        <v>310.502748854434</v>
      </c>
      <c r="AM90" s="9">
        <v>71.140619017484795</v>
      </c>
      <c r="AN90" s="9">
        <v>1.16623965602434</v>
      </c>
      <c r="AO90" s="9">
        <v>0.48723986979924</v>
      </c>
      <c r="AP90" s="9">
        <v>684.08663322813197</v>
      </c>
      <c r="AQ90" s="9">
        <v>11.214534970953</v>
      </c>
      <c r="AR90" s="9">
        <v>8.4911819964445403</v>
      </c>
      <c r="AS90" s="73" t="s">
        <v>169</v>
      </c>
      <c r="AT90" s="10"/>
      <c r="AU90" s="10" t="s">
        <v>169</v>
      </c>
      <c r="AV90" s="10">
        <v>0</v>
      </c>
      <c r="AW90" s="8"/>
      <c r="AX90" s="74" t="s">
        <v>169</v>
      </c>
      <c r="AY90" s="74"/>
      <c r="AZ90" s="74"/>
      <c r="BA90" s="74"/>
      <c r="BB90" s="8"/>
      <c r="BC90" s="8"/>
      <c r="BD90" s="8"/>
      <c r="BE90" s="8"/>
      <c r="BF90" s="12">
        <v>0.44</v>
      </c>
      <c r="BG90" s="13">
        <v>237.94860653666669</v>
      </c>
      <c r="BH90" s="96" t="str">
        <f>+VLOOKUP(G90,Liste!$A$7:$G$50,3,FALSE)</f>
        <v>Pin sylvestre</v>
      </c>
      <c r="BI90" s="96" t="str">
        <f>+VLOOKUP(H90,Liste!$B$7:$G$50,5,FALSE)</f>
        <v>GS Pineraies des plaines du Centre et du Nord Ouest</v>
      </c>
      <c r="BJ90" s="135">
        <f t="shared" si="27"/>
        <v>61</v>
      </c>
      <c r="BK90" s="135" t="str">
        <f t="shared" si="29"/>
        <v>Pin sylvestre_F2_Eclaircie précoce_GS Pineraies des plaines du Centre et du Nord Ouest_61_</v>
      </c>
      <c r="BL90" s="322"/>
      <c r="BM90" s="13">
        <v>61.867265463333325</v>
      </c>
      <c r="BN90" s="13">
        <v>299.81587204141471</v>
      </c>
      <c r="BO90" s="13"/>
      <c r="BP90" s="13">
        <v>244.97</v>
      </c>
      <c r="BQ90" s="13">
        <v>7.8697009686833299</v>
      </c>
      <c r="BT90" s="298" t="str">
        <f>+VLOOKUP(G90,Liste!$A$7:$H$50,8,FALSE)</f>
        <v>Résineux</v>
      </c>
      <c r="BU90" s="298">
        <f t="shared" si="30"/>
        <v>0</v>
      </c>
      <c r="BV90" s="300">
        <f t="shared" si="31"/>
        <v>1</v>
      </c>
      <c r="BW90" s="321">
        <v>0</v>
      </c>
      <c r="BX90" s="298">
        <f t="shared" si="32"/>
        <v>0.43</v>
      </c>
      <c r="BY90">
        <f t="shared" si="33"/>
        <v>0</v>
      </c>
      <c r="BZ90" s="304">
        <f t="shared" si="34"/>
        <v>0</v>
      </c>
      <c r="CB90" s="299">
        <v>0.6</v>
      </c>
      <c r="CC90" s="299">
        <v>0.4</v>
      </c>
      <c r="CD90">
        <f t="shared" si="35"/>
        <v>0</v>
      </c>
      <c r="CE90">
        <f t="shared" si="36"/>
        <v>0</v>
      </c>
      <c r="CF90">
        <f t="shared" si="37"/>
        <v>0</v>
      </c>
      <c r="CG90">
        <f t="shared" si="38"/>
        <v>0</v>
      </c>
      <c r="CH90">
        <f t="shared" si="39"/>
        <v>0</v>
      </c>
      <c r="CI90">
        <f t="shared" si="40"/>
        <v>0</v>
      </c>
      <c r="CJ90">
        <f t="shared" si="41"/>
        <v>0</v>
      </c>
      <c r="CK90">
        <f t="shared" si="42"/>
        <v>0</v>
      </c>
      <c r="CL90">
        <f t="shared" si="43"/>
        <v>0</v>
      </c>
      <c r="CM90">
        <f t="shared" si="45"/>
        <v>0</v>
      </c>
      <c r="CN90">
        <f t="shared" si="44"/>
        <v>0</v>
      </c>
      <c r="CO90">
        <f t="shared" si="28"/>
        <v>0</v>
      </c>
    </row>
    <row r="91" spans="1:93" s="12" customFormat="1" ht="14.65" customHeight="1" x14ac:dyDescent="0.25">
      <c r="A91" s="4">
        <v>2021</v>
      </c>
      <c r="B91" s="4"/>
      <c r="C91" s="4" t="s">
        <v>64</v>
      </c>
      <c r="D91" s="4" t="s">
        <v>65</v>
      </c>
      <c r="E91" s="4"/>
      <c r="F91" s="4" t="s">
        <v>90</v>
      </c>
      <c r="G91" s="5" t="s">
        <v>15</v>
      </c>
      <c r="H91" s="5" t="s">
        <v>21</v>
      </c>
      <c r="I91" s="5" t="s">
        <v>16</v>
      </c>
      <c r="J91" s="5" t="s">
        <v>10</v>
      </c>
      <c r="K91" s="5">
        <v>23</v>
      </c>
      <c r="L91" s="5" t="s">
        <v>192</v>
      </c>
      <c r="M91" s="5">
        <v>2500</v>
      </c>
      <c r="N91" s="5" t="s">
        <v>170</v>
      </c>
      <c r="O91" s="6" t="s">
        <v>78</v>
      </c>
      <c r="P91" s="6" t="s">
        <v>80</v>
      </c>
      <c r="Q91" s="6">
        <v>2003</v>
      </c>
      <c r="R91" s="6"/>
      <c r="S91" s="6">
        <v>24</v>
      </c>
      <c r="T91" s="6">
        <v>11.4</v>
      </c>
      <c r="U91" s="6">
        <v>2157</v>
      </c>
      <c r="V91" s="6">
        <v>40.299999999999997</v>
      </c>
      <c r="W91" s="6">
        <v>0</v>
      </c>
      <c r="X91" s="6">
        <v>600</v>
      </c>
      <c r="Y91" s="6">
        <v>1043</v>
      </c>
      <c r="Z91" s="6">
        <v>457</v>
      </c>
      <c r="AA91" s="6">
        <v>57</v>
      </c>
      <c r="AB91" s="6">
        <v>0</v>
      </c>
      <c r="AC91" s="2">
        <v>62</v>
      </c>
      <c r="AD91" s="2" t="s">
        <v>52</v>
      </c>
      <c r="AE91" s="7">
        <v>24.28</v>
      </c>
      <c r="AF91" s="7">
        <v>300</v>
      </c>
      <c r="AG91" s="7">
        <v>25.96</v>
      </c>
      <c r="AH91" s="7">
        <v>33.19</v>
      </c>
      <c r="AI91" s="7">
        <v>38.090000000000003</v>
      </c>
      <c r="AJ91" s="9">
        <v>272.78324289152403</v>
      </c>
      <c r="AK91" s="9">
        <v>275.67693400000002</v>
      </c>
      <c r="AL91" s="9">
        <v>318.993930850879</v>
      </c>
      <c r="AM91" s="9">
        <v>71.627858887284006</v>
      </c>
      <c r="AN91" s="9">
        <v>1.1552880465691</v>
      </c>
      <c r="AO91" s="9">
        <v>0.482653851383333</v>
      </c>
      <c r="AP91" s="9">
        <v>692.57781522457606</v>
      </c>
      <c r="AQ91" s="9">
        <v>11.170609922977</v>
      </c>
      <c r="AR91" s="9">
        <v>8.5007264198527501</v>
      </c>
      <c r="AS91" s="73" t="s">
        <v>169</v>
      </c>
      <c r="AT91" s="10"/>
      <c r="AU91" s="10" t="s">
        <v>169</v>
      </c>
      <c r="AV91" s="10">
        <v>0</v>
      </c>
      <c r="AW91" s="8"/>
      <c r="AX91" s="74" t="s">
        <v>169</v>
      </c>
      <c r="AY91" s="74"/>
      <c r="AZ91" s="74"/>
      <c r="BA91" s="74"/>
      <c r="BB91" s="8"/>
      <c r="BC91" s="8"/>
      <c r="BD91" s="8"/>
      <c r="BE91" s="8"/>
      <c r="BF91" s="12">
        <v>0.44</v>
      </c>
      <c r="BG91" s="13">
        <v>244.45568234999996</v>
      </c>
      <c r="BH91" s="96" t="str">
        <f>+VLOOKUP(G91,Liste!$A$7:$G$50,3,FALSE)</f>
        <v>Pin sylvestre</v>
      </c>
      <c r="BI91" s="96" t="str">
        <f>+VLOOKUP(H91,Liste!$B$7:$G$50,5,FALSE)</f>
        <v>GS Pineraies des plaines du Centre et du Nord Ouest</v>
      </c>
      <c r="BJ91" s="135">
        <f t="shared" si="27"/>
        <v>62</v>
      </c>
      <c r="BK91" s="135" t="str">
        <f t="shared" si="29"/>
        <v>Pin sylvestre_F2_Eclaircie précoce_GS Pineraies des plaines du Centre et du Nord Ouest_62_</v>
      </c>
      <c r="BL91" s="322"/>
      <c r="BM91" s="13">
        <v>63.359834850000027</v>
      </c>
      <c r="BN91" s="13">
        <v>307.81551717264625</v>
      </c>
      <c r="BO91" s="13"/>
      <c r="BP91" s="13">
        <v>244.97</v>
      </c>
      <c r="BQ91" s="13">
        <v>7.8766002964890696</v>
      </c>
      <c r="BT91" s="298" t="str">
        <f>+VLOOKUP(G91,Liste!$A$7:$H$50,8,FALSE)</f>
        <v>Résineux</v>
      </c>
      <c r="BU91" s="298">
        <f t="shared" si="30"/>
        <v>0</v>
      </c>
      <c r="BV91" s="300">
        <f t="shared" si="31"/>
        <v>1</v>
      </c>
      <c r="BW91" s="321">
        <v>0</v>
      </c>
      <c r="BX91" s="298">
        <f t="shared" si="32"/>
        <v>0.43</v>
      </c>
      <c r="BY91">
        <f t="shared" si="33"/>
        <v>0</v>
      </c>
      <c r="BZ91" s="304">
        <f t="shared" si="34"/>
        <v>0</v>
      </c>
      <c r="CB91" s="299">
        <v>0.6</v>
      </c>
      <c r="CC91" s="299">
        <v>0.4</v>
      </c>
      <c r="CD91">
        <f t="shared" si="35"/>
        <v>0</v>
      </c>
      <c r="CE91">
        <f t="shared" si="36"/>
        <v>0</v>
      </c>
      <c r="CF91">
        <f t="shared" si="37"/>
        <v>0</v>
      </c>
      <c r="CG91">
        <f t="shared" si="38"/>
        <v>0</v>
      </c>
      <c r="CH91">
        <f t="shared" si="39"/>
        <v>0</v>
      </c>
      <c r="CI91">
        <f t="shared" si="40"/>
        <v>0</v>
      </c>
      <c r="CJ91">
        <f t="shared" si="41"/>
        <v>0</v>
      </c>
      <c r="CK91">
        <f t="shared" si="42"/>
        <v>0</v>
      </c>
      <c r="CL91">
        <f t="shared" si="43"/>
        <v>0</v>
      </c>
      <c r="CM91">
        <f t="shared" si="45"/>
        <v>0</v>
      </c>
      <c r="CN91">
        <f t="shared" si="44"/>
        <v>0</v>
      </c>
      <c r="CO91">
        <f t="shared" si="28"/>
        <v>0</v>
      </c>
    </row>
    <row r="92" spans="1:93" s="12" customFormat="1" ht="14.65" customHeight="1" x14ac:dyDescent="0.25">
      <c r="A92" s="4">
        <v>2021</v>
      </c>
      <c r="B92" s="4"/>
      <c r="C92" s="4" t="s">
        <v>64</v>
      </c>
      <c r="D92" s="4" t="s">
        <v>65</v>
      </c>
      <c r="E92" s="4"/>
      <c r="F92" s="4" t="s">
        <v>90</v>
      </c>
      <c r="G92" s="5" t="s">
        <v>15</v>
      </c>
      <c r="H92" s="5" t="s">
        <v>21</v>
      </c>
      <c r="I92" s="5" t="s">
        <v>16</v>
      </c>
      <c r="J92" s="5" t="s">
        <v>10</v>
      </c>
      <c r="K92" s="5">
        <v>23</v>
      </c>
      <c r="L92" s="5" t="s">
        <v>192</v>
      </c>
      <c r="M92" s="5">
        <v>2500</v>
      </c>
      <c r="N92" s="5" t="s">
        <v>170</v>
      </c>
      <c r="O92" s="6" t="s">
        <v>78</v>
      </c>
      <c r="P92" s="6" t="s">
        <v>80</v>
      </c>
      <c r="Q92" s="6">
        <v>2003</v>
      </c>
      <c r="R92" s="6"/>
      <c r="S92" s="6">
        <v>24</v>
      </c>
      <c r="T92" s="6">
        <v>11.4</v>
      </c>
      <c r="U92" s="6">
        <v>2157</v>
      </c>
      <c r="V92" s="6">
        <v>40.299999999999997</v>
      </c>
      <c r="W92" s="6">
        <v>0</v>
      </c>
      <c r="X92" s="6">
        <v>600</v>
      </c>
      <c r="Y92" s="6">
        <v>1043</v>
      </c>
      <c r="Z92" s="6">
        <v>457</v>
      </c>
      <c r="AA92" s="6">
        <v>57</v>
      </c>
      <c r="AB92" s="6">
        <v>0</v>
      </c>
      <c r="AC92" s="2">
        <v>63</v>
      </c>
      <c r="AD92" s="2" t="s">
        <v>52</v>
      </c>
      <c r="AE92" s="7">
        <v>24.52</v>
      </c>
      <c r="AF92" s="7">
        <v>300</v>
      </c>
      <c r="AG92" s="7">
        <v>26.44</v>
      </c>
      <c r="AH92" s="7">
        <v>33.5</v>
      </c>
      <c r="AI92" s="7">
        <v>38.450000000000003</v>
      </c>
      <c r="AJ92" s="9">
        <v>280.43554171091802</v>
      </c>
      <c r="AK92" s="9">
        <v>283.40440810000001</v>
      </c>
      <c r="AL92" s="9">
        <v>327.49465727073101</v>
      </c>
      <c r="AM92" s="9">
        <v>72.110512738667396</v>
      </c>
      <c r="AN92" s="9">
        <v>1.14461131331218</v>
      </c>
      <c r="AO92" s="9">
        <v>0.47831195827858197</v>
      </c>
      <c r="AP92" s="9">
        <v>701.07854164442904</v>
      </c>
      <c r="AQ92" s="9">
        <v>11.128230819752799</v>
      </c>
      <c r="AR92" s="9">
        <v>8.5203545043966606</v>
      </c>
      <c r="AS92" s="73" t="s">
        <v>169</v>
      </c>
      <c r="AT92" s="10"/>
      <c r="AU92" s="10" t="s">
        <v>169</v>
      </c>
      <c r="AV92" s="10">
        <v>0</v>
      </c>
      <c r="AW92" s="8"/>
      <c r="AX92" s="74" t="s">
        <v>169</v>
      </c>
      <c r="AY92" s="74"/>
      <c r="AZ92" s="74"/>
      <c r="BA92" s="74"/>
      <c r="BB92" s="8"/>
      <c r="BC92" s="8"/>
      <c r="BD92" s="8"/>
      <c r="BE92" s="8"/>
      <c r="BF92" s="12">
        <v>0.44</v>
      </c>
      <c r="BG92" s="13">
        <v>250.97007235666669</v>
      </c>
      <c r="BH92" s="96" t="str">
        <f>+VLOOKUP(G92,Liste!$A$7:$G$50,3,FALSE)</f>
        <v>Pin sylvestre</v>
      </c>
      <c r="BI92" s="96" t="str">
        <f>+VLOOKUP(H92,Liste!$B$7:$G$50,5,FALSE)</f>
        <v>GS Pineraies des plaines du Centre et du Nord Ouest</v>
      </c>
      <c r="BJ92" s="135">
        <f t="shared" si="27"/>
        <v>63</v>
      </c>
      <c r="BK92" s="135" t="str">
        <f t="shared" si="29"/>
        <v>Pin sylvestre_F2_Eclaircie précoce_GS Pineraies des plaines du Centre et du Nord Ouest_63_</v>
      </c>
      <c r="BL92" s="322"/>
      <c r="BM92" s="13">
        <v>64.849456143333299</v>
      </c>
      <c r="BN92" s="13">
        <v>315.81952847299908</v>
      </c>
      <c r="BO92" s="13"/>
      <c r="BP92" s="13">
        <v>244.97</v>
      </c>
      <c r="BQ92" s="13">
        <v>7.8928593582484199</v>
      </c>
      <c r="BT92" s="298" t="str">
        <f>+VLOOKUP(G92,Liste!$A$7:$H$50,8,FALSE)</f>
        <v>Résineux</v>
      </c>
      <c r="BU92" s="298">
        <f t="shared" si="30"/>
        <v>0</v>
      </c>
      <c r="BV92" s="300">
        <f t="shared" si="31"/>
        <v>1</v>
      </c>
      <c r="BW92" s="321">
        <v>0</v>
      </c>
      <c r="BX92" s="298">
        <f t="shared" si="32"/>
        <v>0.43</v>
      </c>
      <c r="BY92">
        <f t="shared" si="33"/>
        <v>0</v>
      </c>
      <c r="BZ92" s="304">
        <f t="shared" si="34"/>
        <v>0</v>
      </c>
      <c r="CB92" s="299">
        <v>0.6</v>
      </c>
      <c r="CC92" s="299">
        <v>0.4</v>
      </c>
      <c r="CD92">
        <f t="shared" si="35"/>
        <v>0</v>
      </c>
      <c r="CE92">
        <f t="shared" si="36"/>
        <v>0</v>
      </c>
      <c r="CF92">
        <f t="shared" si="37"/>
        <v>0</v>
      </c>
      <c r="CG92">
        <f t="shared" si="38"/>
        <v>0</v>
      </c>
      <c r="CH92">
        <f t="shared" si="39"/>
        <v>0</v>
      </c>
      <c r="CI92">
        <f t="shared" si="40"/>
        <v>0</v>
      </c>
      <c r="CJ92">
        <f t="shared" si="41"/>
        <v>0</v>
      </c>
      <c r="CK92">
        <f t="shared" si="42"/>
        <v>0</v>
      </c>
      <c r="CL92">
        <f t="shared" si="43"/>
        <v>0</v>
      </c>
      <c r="CM92">
        <f t="shared" si="45"/>
        <v>0</v>
      </c>
      <c r="CN92">
        <f t="shared" si="44"/>
        <v>0</v>
      </c>
      <c r="CO92">
        <f t="shared" si="28"/>
        <v>0</v>
      </c>
    </row>
    <row r="93" spans="1:93" s="12" customFormat="1" ht="14.65" customHeight="1" x14ac:dyDescent="0.25">
      <c r="A93" s="4">
        <v>2021</v>
      </c>
      <c r="B93" s="4"/>
      <c r="C93" s="4" t="s">
        <v>64</v>
      </c>
      <c r="D93" s="4" t="s">
        <v>65</v>
      </c>
      <c r="E93" s="4"/>
      <c r="F93" s="4" t="s">
        <v>90</v>
      </c>
      <c r="G93" s="5" t="s">
        <v>15</v>
      </c>
      <c r="H93" s="5" t="s">
        <v>21</v>
      </c>
      <c r="I93" s="5" t="s">
        <v>16</v>
      </c>
      <c r="J93" s="5" t="s">
        <v>10</v>
      </c>
      <c r="K93" s="5">
        <v>23</v>
      </c>
      <c r="L93" s="5" t="s">
        <v>192</v>
      </c>
      <c r="M93" s="5">
        <v>2500</v>
      </c>
      <c r="N93" s="5" t="s">
        <v>170</v>
      </c>
      <c r="O93" s="6" t="s">
        <v>78</v>
      </c>
      <c r="P93" s="6" t="s">
        <v>80</v>
      </c>
      <c r="Q93" s="6">
        <v>2003</v>
      </c>
      <c r="R93" s="6"/>
      <c r="S93" s="6">
        <v>24</v>
      </c>
      <c r="T93" s="6">
        <v>11.4</v>
      </c>
      <c r="U93" s="6">
        <v>2157</v>
      </c>
      <c r="V93" s="6">
        <v>40.299999999999997</v>
      </c>
      <c r="W93" s="6">
        <v>0</v>
      </c>
      <c r="X93" s="6">
        <v>600</v>
      </c>
      <c r="Y93" s="6">
        <v>1043</v>
      </c>
      <c r="Z93" s="6">
        <v>457</v>
      </c>
      <c r="AA93" s="6">
        <v>57</v>
      </c>
      <c r="AB93" s="6">
        <v>0</v>
      </c>
      <c r="AC93" s="2">
        <v>64</v>
      </c>
      <c r="AD93" s="2" t="s">
        <v>52</v>
      </c>
      <c r="AE93" s="7">
        <v>24.75</v>
      </c>
      <c r="AF93" s="7">
        <v>300</v>
      </c>
      <c r="AG93" s="7">
        <v>26.92</v>
      </c>
      <c r="AH93" s="7">
        <v>33.799999999999997</v>
      </c>
      <c r="AI93" s="7">
        <v>38.82</v>
      </c>
      <c r="AJ93" s="9">
        <v>288.118561901551</v>
      </c>
      <c r="AK93" s="9">
        <v>291.16181239999997</v>
      </c>
      <c r="AL93" s="9">
        <v>336.01501177512802</v>
      </c>
      <c r="AM93" s="9">
        <v>72.588824696945906</v>
      </c>
      <c r="AN93" s="9">
        <v>1.13420038588978</v>
      </c>
      <c r="AO93" s="9">
        <v>0.47373058156583198</v>
      </c>
      <c r="AP93" s="9">
        <v>709.59889614882604</v>
      </c>
      <c r="AQ93" s="9">
        <v>11.0874827523254</v>
      </c>
      <c r="AR93" s="9">
        <v>8.5111548078808692</v>
      </c>
      <c r="AS93" s="73" t="s">
        <v>169</v>
      </c>
      <c r="AT93" s="10"/>
      <c r="AU93" s="10" t="s">
        <v>169</v>
      </c>
      <c r="AV93" s="10">
        <v>0</v>
      </c>
      <c r="AW93" s="8"/>
      <c r="AX93" s="74" t="s">
        <v>169</v>
      </c>
      <c r="AY93" s="74"/>
      <c r="AZ93" s="74"/>
      <c r="BA93" s="74"/>
      <c r="BB93" s="8"/>
      <c r="BC93" s="8"/>
      <c r="BD93" s="8"/>
      <c r="BE93" s="8"/>
      <c r="BF93" s="12">
        <v>0.44</v>
      </c>
      <c r="BG93" s="13">
        <v>257.49950401999996</v>
      </c>
      <c r="BH93" s="96" t="str">
        <f>+VLOOKUP(G93,Liste!$A$7:$G$50,3,FALSE)</f>
        <v>Pin sylvestre</v>
      </c>
      <c r="BI93" s="96" t="str">
        <f>+VLOOKUP(H93,Liste!$B$7:$G$50,5,FALSE)</f>
        <v>GS Pineraies des plaines du Centre et du Nord Ouest</v>
      </c>
      <c r="BJ93" s="135">
        <f t="shared" si="27"/>
        <v>64</v>
      </c>
      <c r="BK93" s="135" t="str">
        <f t="shared" si="29"/>
        <v>Pin sylvestre_F2_Eclaircie précoce_GS Pineraies des plaines du Centre et du Nord Ouest_64_</v>
      </c>
      <c r="BL93" s="322"/>
      <c r="BM93" s="13">
        <v>66.338006980000046</v>
      </c>
      <c r="BN93" s="13">
        <v>323.8375110216187</v>
      </c>
      <c r="BO93" s="13"/>
      <c r="BP93" s="13">
        <v>244.97</v>
      </c>
      <c r="BQ93" s="13">
        <v>7.8824359531870396</v>
      </c>
      <c r="BT93" s="298" t="str">
        <f>+VLOOKUP(G93,Liste!$A$7:$H$50,8,FALSE)</f>
        <v>Résineux</v>
      </c>
      <c r="BU93" s="298">
        <f t="shared" si="30"/>
        <v>0</v>
      </c>
      <c r="BV93" s="300">
        <f t="shared" si="31"/>
        <v>1</v>
      </c>
      <c r="BW93" s="321">
        <v>0</v>
      </c>
      <c r="BX93" s="298">
        <f t="shared" si="32"/>
        <v>0.43</v>
      </c>
      <c r="BY93">
        <f t="shared" si="33"/>
        <v>0</v>
      </c>
      <c r="BZ93" s="304">
        <f t="shared" si="34"/>
        <v>0</v>
      </c>
      <c r="CB93" s="299">
        <v>0.6</v>
      </c>
      <c r="CC93" s="299">
        <v>0.4</v>
      </c>
      <c r="CD93">
        <f t="shared" si="35"/>
        <v>0</v>
      </c>
      <c r="CE93">
        <f t="shared" si="36"/>
        <v>0</v>
      </c>
      <c r="CF93">
        <f t="shared" si="37"/>
        <v>0</v>
      </c>
      <c r="CG93">
        <f t="shared" si="38"/>
        <v>0</v>
      </c>
      <c r="CH93">
        <f t="shared" si="39"/>
        <v>0</v>
      </c>
      <c r="CI93">
        <f t="shared" si="40"/>
        <v>0</v>
      </c>
      <c r="CJ93">
        <f t="shared" si="41"/>
        <v>0</v>
      </c>
      <c r="CK93">
        <f t="shared" si="42"/>
        <v>0</v>
      </c>
      <c r="CL93">
        <f t="shared" si="43"/>
        <v>0</v>
      </c>
      <c r="CM93">
        <f t="shared" si="45"/>
        <v>0</v>
      </c>
      <c r="CN93">
        <f t="shared" si="44"/>
        <v>0</v>
      </c>
      <c r="CO93">
        <f t="shared" si="28"/>
        <v>0</v>
      </c>
    </row>
    <row r="94" spans="1:93" s="12" customFormat="1" ht="14.65" customHeight="1" x14ac:dyDescent="0.25">
      <c r="A94" s="4">
        <v>2021</v>
      </c>
      <c r="B94" s="4"/>
      <c r="C94" s="4" t="s">
        <v>64</v>
      </c>
      <c r="D94" s="4" t="s">
        <v>65</v>
      </c>
      <c r="E94" s="4"/>
      <c r="F94" s="4" t="s">
        <v>90</v>
      </c>
      <c r="G94" s="5" t="s">
        <v>15</v>
      </c>
      <c r="H94" s="5" t="s">
        <v>21</v>
      </c>
      <c r="I94" s="5" t="s">
        <v>16</v>
      </c>
      <c r="J94" s="5" t="s">
        <v>10</v>
      </c>
      <c r="K94" s="5">
        <v>23</v>
      </c>
      <c r="L94" s="5" t="s">
        <v>192</v>
      </c>
      <c r="M94" s="5">
        <v>2500</v>
      </c>
      <c r="N94" s="5" t="s">
        <v>170</v>
      </c>
      <c r="O94" s="6" t="s">
        <v>78</v>
      </c>
      <c r="P94" s="6" t="s">
        <v>80</v>
      </c>
      <c r="Q94" s="6">
        <v>2003</v>
      </c>
      <c r="R94" s="6"/>
      <c r="S94" s="6">
        <v>24</v>
      </c>
      <c r="T94" s="6">
        <v>11.4</v>
      </c>
      <c r="U94" s="6">
        <v>2157</v>
      </c>
      <c r="V94" s="6">
        <v>40.299999999999997</v>
      </c>
      <c r="W94" s="6">
        <v>0</v>
      </c>
      <c r="X94" s="6">
        <v>600</v>
      </c>
      <c r="Y94" s="6">
        <v>1043</v>
      </c>
      <c r="Z94" s="6">
        <v>457</v>
      </c>
      <c r="AA94" s="6">
        <v>57</v>
      </c>
      <c r="AB94" s="6">
        <v>0</v>
      </c>
      <c r="AC94" s="2">
        <v>65</v>
      </c>
      <c r="AD94" s="2" t="s">
        <v>52</v>
      </c>
      <c r="AE94" s="7">
        <v>24.98</v>
      </c>
      <c r="AF94" s="7">
        <v>300</v>
      </c>
      <c r="AG94" s="7">
        <v>27.39</v>
      </c>
      <c r="AH94" s="7">
        <v>34.1</v>
      </c>
      <c r="AI94" s="7">
        <v>39.17</v>
      </c>
      <c r="AJ94" s="9">
        <v>295.80157047970403</v>
      </c>
      <c r="AK94" s="9">
        <v>298.91865039999999</v>
      </c>
      <c r="AL94" s="9">
        <v>344.526166583009</v>
      </c>
      <c r="AM94" s="9">
        <v>73.062555278511795</v>
      </c>
      <c r="AN94" s="9">
        <v>1.1240393119770999</v>
      </c>
      <c r="AO94" s="9">
        <v>0.40921814921196598</v>
      </c>
      <c r="AP94" s="9">
        <v>718.110050956706</v>
      </c>
      <c r="AQ94" s="9">
        <v>11.0478469377955</v>
      </c>
      <c r="AR94" s="9">
        <v>8.5077376912892095</v>
      </c>
      <c r="AS94" s="73" t="s">
        <v>169</v>
      </c>
      <c r="AT94" s="10"/>
      <c r="AU94" s="10" t="s">
        <v>169</v>
      </c>
      <c r="AV94" s="10">
        <v>0</v>
      </c>
      <c r="AW94" s="8"/>
      <c r="AX94" s="74" t="s">
        <v>169</v>
      </c>
      <c r="AY94" s="74"/>
      <c r="AZ94" s="74"/>
      <c r="BA94" s="74"/>
      <c r="BB94" s="8"/>
      <c r="BC94" s="8"/>
      <c r="BD94" s="8"/>
      <c r="BE94" s="8"/>
      <c r="BF94" s="12">
        <v>0.44</v>
      </c>
      <c r="BG94" s="13">
        <v>264.02188567333337</v>
      </c>
      <c r="BH94" s="96" t="str">
        <f>+VLOOKUP(G94,Liste!$A$7:$G$50,3,FALSE)</f>
        <v>Pin sylvestre</v>
      </c>
      <c r="BI94" s="96" t="str">
        <f>+VLOOKUP(H94,Liste!$B$7:$G$50,5,FALSE)</f>
        <v>GS Pineraies des plaines du Centre et du Nord Ouest</v>
      </c>
      <c r="BJ94" s="135">
        <f t="shared" si="27"/>
        <v>65</v>
      </c>
      <c r="BK94" s="135" t="str">
        <f t="shared" si="29"/>
        <v>Pin sylvestre_F2_Eclaircie précoce_GS Pineraies des plaines du Centre et du Nord Ouest_65_</v>
      </c>
      <c r="BL94" s="322"/>
      <c r="BM94" s="13">
        <v>67.82057012666661</v>
      </c>
      <c r="BN94" s="13">
        <v>331.84245579000964</v>
      </c>
      <c r="BO94" s="13"/>
      <c r="BP94" s="13">
        <v>244.97</v>
      </c>
      <c r="BQ94" s="13">
        <v>7.8773973127882799</v>
      </c>
      <c r="BT94" s="298" t="str">
        <f>+VLOOKUP(G94,Liste!$A$7:$H$50,8,FALSE)</f>
        <v>Résineux</v>
      </c>
      <c r="BU94" s="298">
        <f t="shared" si="30"/>
        <v>0</v>
      </c>
      <c r="BV94" s="300">
        <f t="shared" si="31"/>
        <v>1</v>
      </c>
      <c r="BW94" s="321">
        <v>0</v>
      </c>
      <c r="BX94" s="298">
        <f t="shared" si="32"/>
        <v>0.43</v>
      </c>
      <c r="BY94">
        <f t="shared" si="33"/>
        <v>0</v>
      </c>
      <c r="BZ94" s="304">
        <f t="shared" si="34"/>
        <v>0</v>
      </c>
      <c r="CB94" s="299">
        <v>0.6</v>
      </c>
      <c r="CC94" s="299">
        <v>0.4</v>
      </c>
      <c r="CD94">
        <f t="shared" si="35"/>
        <v>0</v>
      </c>
      <c r="CE94">
        <f t="shared" si="36"/>
        <v>0</v>
      </c>
      <c r="CF94">
        <f t="shared" si="37"/>
        <v>0</v>
      </c>
      <c r="CG94">
        <f t="shared" si="38"/>
        <v>0</v>
      </c>
      <c r="CH94">
        <f t="shared" si="39"/>
        <v>0</v>
      </c>
      <c r="CI94">
        <f t="shared" si="40"/>
        <v>0</v>
      </c>
      <c r="CJ94">
        <f t="shared" si="41"/>
        <v>0</v>
      </c>
      <c r="CK94">
        <f t="shared" si="42"/>
        <v>0</v>
      </c>
      <c r="CL94">
        <f t="shared" si="43"/>
        <v>0</v>
      </c>
      <c r="CM94">
        <f t="shared" si="45"/>
        <v>0</v>
      </c>
      <c r="CN94">
        <f t="shared" si="44"/>
        <v>0</v>
      </c>
      <c r="CO94">
        <f t="shared" si="28"/>
        <v>0</v>
      </c>
    </row>
    <row r="95" spans="1:93" s="12" customFormat="1" ht="14.65" customHeight="1" x14ac:dyDescent="0.25">
      <c r="A95" s="4">
        <v>2021</v>
      </c>
      <c r="B95" s="4"/>
      <c r="C95" s="4" t="s">
        <v>64</v>
      </c>
      <c r="D95" s="4" t="s">
        <v>65</v>
      </c>
      <c r="E95" s="4"/>
      <c r="F95" s="4" t="s">
        <v>90</v>
      </c>
      <c r="G95" s="5" t="s">
        <v>15</v>
      </c>
      <c r="H95" s="5" t="s">
        <v>21</v>
      </c>
      <c r="I95" s="5" t="s">
        <v>16</v>
      </c>
      <c r="J95" s="5" t="s">
        <v>10</v>
      </c>
      <c r="K95" s="5">
        <v>23</v>
      </c>
      <c r="L95" s="5" t="s">
        <v>192</v>
      </c>
      <c r="M95" s="5">
        <v>2500</v>
      </c>
      <c r="N95" s="5" t="s">
        <v>170</v>
      </c>
      <c r="O95" s="6" t="s">
        <v>78</v>
      </c>
      <c r="P95" s="6" t="s">
        <v>80</v>
      </c>
      <c r="Q95" s="6">
        <v>2003</v>
      </c>
      <c r="R95" s="6"/>
      <c r="S95" s="6">
        <v>24</v>
      </c>
      <c r="T95" s="6">
        <v>11.4</v>
      </c>
      <c r="U95" s="6">
        <v>2157</v>
      </c>
      <c r="V95" s="6">
        <v>40.299999999999997</v>
      </c>
      <c r="W95" s="6">
        <v>0</v>
      </c>
      <c r="X95" s="6">
        <v>600</v>
      </c>
      <c r="Y95" s="6">
        <v>1043</v>
      </c>
      <c r="Z95" s="6">
        <v>457</v>
      </c>
      <c r="AA95" s="6">
        <v>57</v>
      </c>
      <c r="AB95" s="6">
        <v>0</v>
      </c>
      <c r="AC95" s="2">
        <v>65</v>
      </c>
      <c r="AD95" s="2" t="s">
        <v>53</v>
      </c>
      <c r="AE95" s="7">
        <v>24.98</v>
      </c>
      <c r="AF95" s="7">
        <v>250</v>
      </c>
      <c r="AG95" s="7">
        <v>22.97</v>
      </c>
      <c r="AH95" s="7">
        <v>34.200000000000003</v>
      </c>
      <c r="AI95" s="7">
        <v>37.72</v>
      </c>
      <c r="AJ95" s="9">
        <v>248.015712236334</v>
      </c>
      <c r="AK95" s="9">
        <v>250.58542109999999</v>
      </c>
      <c r="AL95" s="9">
        <v>288.67065945012399</v>
      </c>
      <c r="AM95" s="9">
        <v>73.062555278511795</v>
      </c>
      <c r="AN95" s="9">
        <v>1.1240393119770999</v>
      </c>
      <c r="AO95" s="9">
        <v>0.40921814921196598</v>
      </c>
      <c r="AP95" s="9">
        <v>718.11005095670703</v>
      </c>
      <c r="AQ95" s="9">
        <v>11.0478469377955</v>
      </c>
      <c r="AR95" s="9">
        <v>8.5077376912892095</v>
      </c>
      <c r="AS95" s="73">
        <v>50</v>
      </c>
      <c r="AT95" s="10">
        <v>4.5063651948437986</v>
      </c>
      <c r="AU95" s="10">
        <v>33.875307730242987</v>
      </c>
      <c r="AV95" s="10">
        <v>47.785858243370029</v>
      </c>
      <c r="AW95" s="10">
        <v>1.0019322789631395</v>
      </c>
      <c r="AX95" s="74">
        <v>0.95571716486740055</v>
      </c>
      <c r="AY95" s="74"/>
      <c r="AZ95" s="74"/>
      <c r="BA95" s="74"/>
      <c r="BB95" s="10"/>
      <c r="BC95" s="10"/>
      <c r="BD95" s="10"/>
      <c r="BE95" s="10"/>
      <c r="BF95" s="12">
        <v>0.44</v>
      </c>
      <c r="BG95" s="13">
        <v>221.21794871</v>
      </c>
      <c r="BH95" s="96" t="str">
        <f>+VLOOKUP(G95,Liste!$A$7:$G$50,3,FALSE)</f>
        <v>Pin sylvestre</v>
      </c>
      <c r="BI95" s="96" t="str">
        <f>+VLOOKUP(H95,Liste!$B$7:$G$50,5,FALSE)</f>
        <v>GS Pineraies des plaines du Centre et du Nord Ouest</v>
      </c>
      <c r="BJ95" s="135">
        <f t="shared" si="27"/>
        <v>65</v>
      </c>
      <c r="BK95" s="135" t="str">
        <f t="shared" si="29"/>
        <v>Pin sylvestre_F2_Eclaircie précoce_GS Pineraies des plaines du Centre et du Nord Ouest_65_</v>
      </c>
      <c r="BL95" s="322"/>
      <c r="BM95" s="13">
        <v>58.007435589999972</v>
      </c>
      <c r="BN95" s="13">
        <v>279.22538427388992</v>
      </c>
      <c r="BO95" s="13">
        <v>52.617071516119722</v>
      </c>
      <c r="BP95" s="13">
        <v>244.97</v>
      </c>
      <c r="BQ95" s="13">
        <v>7.8773973127882799</v>
      </c>
      <c r="BT95" s="298" t="str">
        <f>+VLOOKUP(G95,Liste!$A$7:$H$50,8,FALSE)</f>
        <v>Résineux</v>
      </c>
      <c r="BU95" s="298">
        <f t="shared" si="30"/>
        <v>0</v>
      </c>
      <c r="BV95" s="300">
        <f t="shared" si="31"/>
        <v>1</v>
      </c>
      <c r="BW95" s="321">
        <v>0</v>
      </c>
      <c r="BX95" s="298">
        <f t="shared" si="32"/>
        <v>0.43</v>
      </c>
      <c r="BY95">
        <f t="shared" si="33"/>
        <v>0</v>
      </c>
      <c r="BZ95" s="304">
        <f t="shared" si="34"/>
        <v>0</v>
      </c>
      <c r="CB95" s="299">
        <v>0.6</v>
      </c>
      <c r="CC95" s="299">
        <v>0.4</v>
      </c>
      <c r="CD95">
        <f t="shared" si="35"/>
        <v>0</v>
      </c>
      <c r="CE95">
        <f t="shared" si="36"/>
        <v>0</v>
      </c>
      <c r="CF95">
        <f t="shared" si="37"/>
        <v>0</v>
      </c>
      <c r="CG95">
        <f t="shared" si="38"/>
        <v>0</v>
      </c>
      <c r="CH95">
        <f t="shared" si="39"/>
        <v>0</v>
      </c>
      <c r="CI95">
        <f t="shared" si="40"/>
        <v>0</v>
      </c>
      <c r="CJ95">
        <f t="shared" si="41"/>
        <v>0</v>
      </c>
      <c r="CK95">
        <f t="shared" si="42"/>
        <v>0</v>
      </c>
      <c r="CL95">
        <f t="shared" si="43"/>
        <v>0</v>
      </c>
      <c r="CM95">
        <f t="shared" si="45"/>
        <v>0</v>
      </c>
      <c r="CN95">
        <f t="shared" si="44"/>
        <v>0</v>
      </c>
      <c r="CO95">
        <f t="shared" si="28"/>
        <v>0</v>
      </c>
    </row>
    <row r="96" spans="1:93" s="12" customFormat="1" ht="14.65" customHeight="1" x14ac:dyDescent="0.25">
      <c r="A96" s="4">
        <v>2021</v>
      </c>
      <c r="B96" s="4"/>
      <c r="C96" s="4" t="s">
        <v>64</v>
      </c>
      <c r="D96" s="4" t="s">
        <v>65</v>
      </c>
      <c r="E96" s="4"/>
      <c r="F96" s="4" t="s">
        <v>90</v>
      </c>
      <c r="G96" s="5" t="s">
        <v>15</v>
      </c>
      <c r="H96" s="5" t="s">
        <v>21</v>
      </c>
      <c r="I96" s="5" t="s">
        <v>16</v>
      </c>
      <c r="J96" s="5" t="s">
        <v>10</v>
      </c>
      <c r="K96" s="5">
        <v>23</v>
      </c>
      <c r="L96" s="5" t="s">
        <v>192</v>
      </c>
      <c r="M96" s="5">
        <v>2500</v>
      </c>
      <c r="N96" s="5" t="s">
        <v>170</v>
      </c>
      <c r="O96" s="6" t="s">
        <v>78</v>
      </c>
      <c r="P96" s="6" t="s">
        <v>80</v>
      </c>
      <c r="Q96" s="6">
        <v>2003</v>
      </c>
      <c r="R96" s="6"/>
      <c r="S96" s="6">
        <v>24</v>
      </c>
      <c r="T96" s="6">
        <v>11.4</v>
      </c>
      <c r="U96" s="6">
        <v>2157</v>
      </c>
      <c r="V96" s="6">
        <v>40.299999999999997</v>
      </c>
      <c r="W96" s="6">
        <v>0</v>
      </c>
      <c r="X96" s="6">
        <v>600</v>
      </c>
      <c r="Y96" s="6">
        <v>1043</v>
      </c>
      <c r="Z96" s="6">
        <v>457</v>
      </c>
      <c r="AA96" s="6">
        <v>57</v>
      </c>
      <c r="AB96" s="6">
        <v>0</v>
      </c>
      <c r="AC96" s="2">
        <v>66</v>
      </c>
      <c r="AD96" s="2" t="s">
        <v>52</v>
      </c>
      <c r="AE96" s="7">
        <v>25.21</v>
      </c>
      <c r="AF96" s="7">
        <v>250</v>
      </c>
      <c r="AG96" s="7">
        <v>23.38</v>
      </c>
      <c r="AH96" s="7">
        <v>34.5</v>
      </c>
      <c r="AI96" s="7">
        <v>38.06</v>
      </c>
      <c r="AJ96" s="9">
        <v>255.93437360612899</v>
      </c>
      <c r="AK96" s="9">
        <v>258.54944160000002</v>
      </c>
      <c r="AL96" s="9">
        <v>297.17839714141297</v>
      </c>
      <c r="AM96" s="9">
        <v>73.471773427723704</v>
      </c>
      <c r="AN96" s="9">
        <v>1.1132086882988399</v>
      </c>
      <c r="AO96" s="9">
        <v>0.40438388999855601</v>
      </c>
      <c r="AP96" s="9">
        <v>726.61778864799601</v>
      </c>
      <c r="AQ96" s="9">
        <v>11.0093604340605</v>
      </c>
      <c r="AR96" s="9">
        <v>7.2671613842848002</v>
      </c>
      <c r="AS96" s="73" t="s">
        <v>169</v>
      </c>
      <c r="AT96" s="10"/>
      <c r="AU96" s="10" t="s">
        <v>169</v>
      </c>
      <c r="AV96" s="10">
        <v>0</v>
      </c>
      <c r="AW96" s="8"/>
      <c r="AX96" s="74" t="s">
        <v>169</v>
      </c>
      <c r="AY96" s="74"/>
      <c r="AZ96" s="74"/>
      <c r="BA96" s="74"/>
      <c r="BB96" s="8"/>
      <c r="BC96" s="8"/>
      <c r="BD96" s="8"/>
      <c r="BE96" s="8"/>
      <c r="BF96" s="12">
        <v>0.44</v>
      </c>
      <c r="BG96" s="13">
        <v>227.73771166666666</v>
      </c>
      <c r="BH96" s="96" t="str">
        <f>+VLOOKUP(G96,Liste!$A$7:$G$50,3,FALSE)</f>
        <v>Pin sylvestre</v>
      </c>
      <c r="BI96" s="96" t="str">
        <f>+VLOOKUP(H96,Liste!$B$7:$G$50,5,FALSE)</f>
        <v>GS Pineraies des plaines du Centre et du Nord Ouest</v>
      </c>
      <c r="BJ96" s="135">
        <f t="shared" si="27"/>
        <v>66</v>
      </c>
      <c r="BK96" s="135" t="str">
        <f t="shared" si="29"/>
        <v>Pin sylvestre_F2_Eclaircie précoce_GS Pineraies des plaines du Centre et du Nord Ouest_66_</v>
      </c>
      <c r="BL96" s="322"/>
      <c r="BM96" s="13">
        <v>59.51547713333332</v>
      </c>
      <c r="BN96" s="13">
        <v>287.25318879637712</v>
      </c>
      <c r="BO96" s="13"/>
      <c r="BP96" s="13">
        <v>244.97</v>
      </c>
      <c r="BQ96" s="13">
        <v>6.7272703787213004</v>
      </c>
      <c r="BT96" s="298" t="str">
        <f>+VLOOKUP(G96,Liste!$A$7:$H$50,8,FALSE)</f>
        <v>Résineux</v>
      </c>
      <c r="BU96" s="298">
        <f t="shared" si="30"/>
        <v>0</v>
      </c>
      <c r="BV96" s="300">
        <f t="shared" si="31"/>
        <v>1</v>
      </c>
      <c r="BW96" s="321">
        <v>0</v>
      </c>
      <c r="BX96" s="298">
        <f t="shared" si="32"/>
        <v>0.43</v>
      </c>
      <c r="BY96">
        <f t="shared" si="33"/>
        <v>0</v>
      </c>
      <c r="BZ96" s="304">
        <f t="shared" si="34"/>
        <v>0</v>
      </c>
      <c r="CB96" s="299">
        <v>0.6</v>
      </c>
      <c r="CC96" s="299">
        <v>0.4</v>
      </c>
      <c r="CD96">
        <f t="shared" si="35"/>
        <v>0</v>
      </c>
      <c r="CE96">
        <f t="shared" si="36"/>
        <v>0</v>
      </c>
      <c r="CF96">
        <f t="shared" si="37"/>
        <v>0</v>
      </c>
      <c r="CG96">
        <f t="shared" si="38"/>
        <v>0</v>
      </c>
      <c r="CH96">
        <f t="shared" si="39"/>
        <v>0</v>
      </c>
      <c r="CI96">
        <f t="shared" si="40"/>
        <v>0</v>
      </c>
      <c r="CJ96">
        <f t="shared" si="41"/>
        <v>0</v>
      </c>
      <c r="CK96">
        <f t="shared" si="42"/>
        <v>0</v>
      </c>
      <c r="CL96">
        <f t="shared" si="43"/>
        <v>0</v>
      </c>
      <c r="CM96">
        <f t="shared" si="45"/>
        <v>0</v>
      </c>
      <c r="CN96">
        <f t="shared" si="44"/>
        <v>0</v>
      </c>
      <c r="CO96">
        <f t="shared" si="28"/>
        <v>0</v>
      </c>
    </row>
    <row r="97" spans="1:93" s="12" customFormat="1" ht="14.65" customHeight="1" x14ac:dyDescent="0.25">
      <c r="A97" s="4">
        <v>2021</v>
      </c>
      <c r="B97" s="4"/>
      <c r="C97" s="4" t="s">
        <v>64</v>
      </c>
      <c r="D97" s="4" t="s">
        <v>65</v>
      </c>
      <c r="E97" s="4"/>
      <c r="F97" s="4" t="s">
        <v>90</v>
      </c>
      <c r="G97" s="5" t="s">
        <v>15</v>
      </c>
      <c r="H97" s="5" t="s">
        <v>21</v>
      </c>
      <c r="I97" s="5" t="s">
        <v>16</v>
      </c>
      <c r="J97" s="5" t="s">
        <v>10</v>
      </c>
      <c r="K97" s="5">
        <v>23</v>
      </c>
      <c r="L97" s="5" t="s">
        <v>192</v>
      </c>
      <c r="M97" s="5">
        <v>2500</v>
      </c>
      <c r="N97" s="5" t="s">
        <v>170</v>
      </c>
      <c r="O97" s="6" t="s">
        <v>78</v>
      </c>
      <c r="P97" s="6" t="s">
        <v>80</v>
      </c>
      <c r="Q97" s="6">
        <v>2003</v>
      </c>
      <c r="R97" s="6"/>
      <c r="S97" s="6">
        <v>24</v>
      </c>
      <c r="T97" s="6">
        <v>11.4</v>
      </c>
      <c r="U97" s="6">
        <v>2157</v>
      </c>
      <c r="V97" s="6">
        <v>40.299999999999997</v>
      </c>
      <c r="W97" s="6">
        <v>0</v>
      </c>
      <c r="X97" s="6">
        <v>600</v>
      </c>
      <c r="Y97" s="6">
        <v>1043</v>
      </c>
      <c r="Z97" s="6">
        <v>457</v>
      </c>
      <c r="AA97" s="6">
        <v>57</v>
      </c>
      <c r="AB97" s="6">
        <v>0</v>
      </c>
      <c r="AC97" s="2">
        <v>67</v>
      </c>
      <c r="AD97" s="2" t="s">
        <v>52</v>
      </c>
      <c r="AE97" s="7">
        <v>25.43</v>
      </c>
      <c r="AF97" s="7">
        <v>250</v>
      </c>
      <c r="AG97" s="7">
        <v>23.78</v>
      </c>
      <c r="AH97" s="7">
        <v>34.799999999999997</v>
      </c>
      <c r="AI97" s="7">
        <v>38.4</v>
      </c>
      <c r="AJ97" s="9">
        <v>262.48887263190699</v>
      </c>
      <c r="AK97" s="9">
        <v>265.16792729999997</v>
      </c>
      <c r="AL97" s="9">
        <v>304.445558525698</v>
      </c>
      <c r="AM97" s="9">
        <v>73.876157317722303</v>
      </c>
      <c r="AN97" s="9">
        <v>1.1026292136973499</v>
      </c>
      <c r="AO97" s="9">
        <v>0.40018421679322103</v>
      </c>
      <c r="AP97" s="9">
        <v>733.88495003228104</v>
      </c>
      <c r="AQ97" s="9">
        <v>10.9535067168997</v>
      </c>
      <c r="AR97" s="9">
        <v>7.3087960033371902</v>
      </c>
      <c r="AS97" s="73" t="s">
        <v>169</v>
      </c>
      <c r="AT97" s="10"/>
      <c r="AU97" s="10" t="s">
        <v>169</v>
      </c>
      <c r="AV97" s="10">
        <v>0</v>
      </c>
      <c r="AW97" s="8"/>
      <c r="AX97" s="74" t="s">
        <v>169</v>
      </c>
      <c r="AY97" s="74"/>
      <c r="AZ97" s="74"/>
      <c r="BA97" s="74"/>
      <c r="BB97" s="8"/>
      <c r="BC97" s="8"/>
      <c r="BD97" s="8"/>
      <c r="BE97" s="8"/>
      <c r="BF97" s="12">
        <v>0.44</v>
      </c>
      <c r="BG97" s="13">
        <v>233.30677967666668</v>
      </c>
      <c r="BH97" s="96" t="str">
        <f>+VLOOKUP(G97,Liste!$A$7:$G$50,3,FALSE)</f>
        <v>Pin sylvestre</v>
      </c>
      <c r="BI97" s="96" t="str">
        <f>+VLOOKUP(H97,Liste!$B$7:$G$50,5,FALSE)</f>
        <v>GS Pineraies des plaines du Centre et du Nord Ouest</v>
      </c>
      <c r="BJ97" s="135">
        <f t="shared" si="27"/>
        <v>67</v>
      </c>
      <c r="BK97" s="135" t="str">
        <f t="shared" si="29"/>
        <v>Pin sylvestre_F2_Eclaircie précoce_GS Pineraies des plaines du Centre et du Nord Ouest_67_</v>
      </c>
      <c r="BL97" s="322"/>
      <c r="BM97" s="13">
        <v>60.799640323333335</v>
      </c>
      <c r="BN97" s="13">
        <v>294.10642000841568</v>
      </c>
      <c r="BO97" s="13"/>
      <c r="BP97" s="13">
        <v>244.97</v>
      </c>
      <c r="BQ97" s="13">
        <v>6.76446619200249</v>
      </c>
      <c r="BT97" s="298" t="str">
        <f>+VLOOKUP(G97,Liste!$A$7:$H$50,8,FALSE)</f>
        <v>Résineux</v>
      </c>
      <c r="BU97" s="298">
        <f t="shared" si="30"/>
        <v>0</v>
      </c>
      <c r="BV97" s="300">
        <f t="shared" si="31"/>
        <v>1</v>
      </c>
      <c r="BW97" s="321">
        <v>0</v>
      </c>
      <c r="BX97" s="298">
        <f t="shared" si="32"/>
        <v>0.43</v>
      </c>
      <c r="BY97">
        <f t="shared" si="33"/>
        <v>0</v>
      </c>
      <c r="BZ97" s="304">
        <f t="shared" si="34"/>
        <v>0</v>
      </c>
      <c r="CB97" s="299">
        <v>0.6</v>
      </c>
      <c r="CC97" s="299">
        <v>0.4</v>
      </c>
      <c r="CD97">
        <f t="shared" si="35"/>
        <v>0</v>
      </c>
      <c r="CE97">
        <f t="shared" si="36"/>
        <v>0</v>
      </c>
      <c r="CF97">
        <f t="shared" si="37"/>
        <v>0</v>
      </c>
      <c r="CG97">
        <f t="shared" si="38"/>
        <v>0</v>
      </c>
      <c r="CH97">
        <f t="shared" si="39"/>
        <v>0</v>
      </c>
      <c r="CI97">
        <f t="shared" si="40"/>
        <v>0</v>
      </c>
      <c r="CJ97">
        <f t="shared" si="41"/>
        <v>0</v>
      </c>
      <c r="CK97">
        <f t="shared" si="42"/>
        <v>0</v>
      </c>
      <c r="CL97">
        <f t="shared" si="43"/>
        <v>0</v>
      </c>
      <c r="CM97">
        <f t="shared" si="45"/>
        <v>0</v>
      </c>
      <c r="CN97">
        <f t="shared" si="44"/>
        <v>0</v>
      </c>
      <c r="CO97">
        <f t="shared" si="28"/>
        <v>0</v>
      </c>
    </row>
    <row r="98" spans="1:93" s="12" customFormat="1" ht="14.65" customHeight="1" x14ac:dyDescent="0.25">
      <c r="A98" s="4">
        <v>2021</v>
      </c>
      <c r="B98" s="4"/>
      <c r="C98" s="4" t="s">
        <v>64</v>
      </c>
      <c r="D98" s="4" t="s">
        <v>65</v>
      </c>
      <c r="E98" s="4"/>
      <c r="F98" s="4" t="s">
        <v>90</v>
      </c>
      <c r="G98" s="5" t="s">
        <v>15</v>
      </c>
      <c r="H98" s="5" t="s">
        <v>21</v>
      </c>
      <c r="I98" s="5" t="s">
        <v>16</v>
      </c>
      <c r="J98" s="5" t="s">
        <v>10</v>
      </c>
      <c r="K98" s="5">
        <v>23</v>
      </c>
      <c r="L98" s="5" t="s">
        <v>192</v>
      </c>
      <c r="M98" s="5">
        <v>2500</v>
      </c>
      <c r="N98" s="5" t="s">
        <v>170</v>
      </c>
      <c r="O98" s="6" t="s">
        <v>78</v>
      </c>
      <c r="P98" s="6" t="s">
        <v>80</v>
      </c>
      <c r="Q98" s="6">
        <v>2003</v>
      </c>
      <c r="R98" s="6"/>
      <c r="S98" s="6">
        <v>24</v>
      </c>
      <c r="T98" s="6">
        <v>11.4</v>
      </c>
      <c r="U98" s="6">
        <v>2157</v>
      </c>
      <c r="V98" s="6">
        <v>40.299999999999997</v>
      </c>
      <c r="W98" s="6">
        <v>0</v>
      </c>
      <c r="X98" s="6">
        <v>600</v>
      </c>
      <c r="Y98" s="6">
        <v>1043</v>
      </c>
      <c r="Z98" s="6">
        <v>457</v>
      </c>
      <c r="AA98" s="6">
        <v>57</v>
      </c>
      <c r="AB98" s="6">
        <v>0</v>
      </c>
      <c r="AC98" s="2">
        <v>68</v>
      </c>
      <c r="AD98" s="2" t="s">
        <v>52</v>
      </c>
      <c r="AE98" s="7">
        <v>25.64</v>
      </c>
      <c r="AF98" s="7">
        <v>250</v>
      </c>
      <c r="AG98" s="7">
        <v>24.18</v>
      </c>
      <c r="AH98" s="7">
        <v>35.090000000000003</v>
      </c>
      <c r="AI98" s="7">
        <v>38.729999999999997</v>
      </c>
      <c r="AJ98" s="9">
        <v>269.09941443724802</v>
      </c>
      <c r="AK98" s="9">
        <v>271.84109740000002</v>
      </c>
      <c r="AL98" s="9">
        <v>311.75435452903503</v>
      </c>
      <c r="AM98" s="9">
        <v>74.276341534515495</v>
      </c>
      <c r="AN98" s="9">
        <v>1.0922991402134601</v>
      </c>
      <c r="AO98" s="9">
        <v>0.39653550825349299</v>
      </c>
      <c r="AP98" s="9">
        <v>741.19374603561801</v>
      </c>
      <c r="AQ98" s="9">
        <v>10.899908029935601</v>
      </c>
      <c r="AR98" s="9">
        <v>7.2795150801987303</v>
      </c>
      <c r="AS98" s="73" t="s">
        <v>169</v>
      </c>
      <c r="AT98" s="10"/>
      <c r="AU98" s="10" t="s">
        <v>169</v>
      </c>
      <c r="AV98" s="10">
        <v>0</v>
      </c>
      <c r="AW98" s="8"/>
      <c r="AX98" s="74" t="s">
        <v>169</v>
      </c>
      <c r="AY98" s="74"/>
      <c r="AZ98" s="74"/>
      <c r="BA98" s="74"/>
      <c r="BB98" s="8"/>
      <c r="BC98" s="8"/>
      <c r="BD98" s="8"/>
      <c r="BE98" s="8"/>
      <c r="BF98" s="12">
        <v>0.44</v>
      </c>
      <c r="BG98" s="13">
        <v>238.90775369999997</v>
      </c>
      <c r="BH98" s="96" t="str">
        <f>+VLOOKUP(G98,Liste!$A$7:$G$50,3,FALSE)</f>
        <v>Pin sylvestre</v>
      </c>
      <c r="BI98" s="96" t="str">
        <f>+VLOOKUP(H98,Liste!$B$7:$G$50,5,FALSE)</f>
        <v>GS Pineraies des plaines du Centre et du Nord Ouest</v>
      </c>
      <c r="BJ98" s="135">
        <f t="shared" si="27"/>
        <v>68</v>
      </c>
      <c r="BK98" s="135" t="str">
        <f t="shared" si="29"/>
        <v>Pin sylvestre_F2_Eclaircie précoce_GS Pineraies des plaines du Centre et du Nord Ouest_68_</v>
      </c>
      <c r="BL98" s="322"/>
      <c r="BM98" s="13">
        <v>62.087566700000053</v>
      </c>
      <c r="BN98" s="13">
        <v>300.99532043838292</v>
      </c>
      <c r="BO98" s="13"/>
      <c r="BP98" s="13">
        <v>244.97</v>
      </c>
      <c r="BQ98" s="13">
        <v>6.7360392695763904</v>
      </c>
      <c r="BT98" s="298" t="str">
        <f>+VLOOKUP(G98,Liste!$A$7:$H$50,8,FALSE)</f>
        <v>Résineux</v>
      </c>
      <c r="BU98" s="298">
        <f t="shared" si="30"/>
        <v>0</v>
      </c>
      <c r="BV98" s="300">
        <f t="shared" si="31"/>
        <v>1</v>
      </c>
      <c r="BW98" s="321">
        <v>0</v>
      </c>
      <c r="BX98" s="298">
        <f t="shared" si="32"/>
        <v>0.43</v>
      </c>
      <c r="BY98">
        <f t="shared" si="33"/>
        <v>0</v>
      </c>
      <c r="BZ98" s="304">
        <f t="shared" si="34"/>
        <v>0</v>
      </c>
      <c r="CB98" s="299">
        <v>0.6</v>
      </c>
      <c r="CC98" s="299">
        <v>0.4</v>
      </c>
      <c r="CD98">
        <f t="shared" si="35"/>
        <v>0</v>
      </c>
      <c r="CE98">
        <f t="shared" si="36"/>
        <v>0</v>
      </c>
      <c r="CF98">
        <f t="shared" si="37"/>
        <v>0</v>
      </c>
      <c r="CG98">
        <f t="shared" si="38"/>
        <v>0</v>
      </c>
      <c r="CH98">
        <f t="shared" si="39"/>
        <v>0</v>
      </c>
      <c r="CI98">
        <f t="shared" si="40"/>
        <v>0</v>
      </c>
      <c r="CJ98">
        <f t="shared" si="41"/>
        <v>0</v>
      </c>
      <c r="CK98">
        <f t="shared" si="42"/>
        <v>0</v>
      </c>
      <c r="CL98">
        <f t="shared" si="43"/>
        <v>0</v>
      </c>
      <c r="CM98">
        <f t="shared" si="45"/>
        <v>0</v>
      </c>
      <c r="CN98">
        <f t="shared" si="44"/>
        <v>0</v>
      </c>
      <c r="CO98">
        <f t="shared" si="28"/>
        <v>0</v>
      </c>
    </row>
    <row r="99" spans="1:93" s="12" customFormat="1" ht="14.65" customHeight="1" x14ac:dyDescent="0.25">
      <c r="A99" s="4">
        <v>2021</v>
      </c>
      <c r="B99" s="4"/>
      <c r="C99" s="4" t="s">
        <v>64</v>
      </c>
      <c r="D99" s="4" t="s">
        <v>65</v>
      </c>
      <c r="E99" s="4"/>
      <c r="F99" s="4" t="s">
        <v>90</v>
      </c>
      <c r="G99" s="5" t="s">
        <v>15</v>
      </c>
      <c r="H99" s="5" t="s">
        <v>21</v>
      </c>
      <c r="I99" s="5" t="s">
        <v>16</v>
      </c>
      <c r="J99" s="5" t="s">
        <v>10</v>
      </c>
      <c r="K99" s="5">
        <v>23</v>
      </c>
      <c r="L99" s="5" t="s">
        <v>192</v>
      </c>
      <c r="M99" s="5">
        <v>2500</v>
      </c>
      <c r="N99" s="5" t="s">
        <v>170</v>
      </c>
      <c r="O99" s="6" t="s">
        <v>78</v>
      </c>
      <c r="P99" s="6" t="s">
        <v>80</v>
      </c>
      <c r="Q99" s="6">
        <v>2003</v>
      </c>
      <c r="R99" s="6"/>
      <c r="S99" s="6">
        <v>24</v>
      </c>
      <c r="T99" s="6">
        <v>11.4</v>
      </c>
      <c r="U99" s="6">
        <v>2157</v>
      </c>
      <c r="V99" s="6">
        <v>40.299999999999997</v>
      </c>
      <c r="W99" s="6">
        <v>0</v>
      </c>
      <c r="X99" s="6">
        <v>600</v>
      </c>
      <c r="Y99" s="6">
        <v>1043</v>
      </c>
      <c r="Z99" s="6">
        <v>457</v>
      </c>
      <c r="AA99" s="6">
        <v>57</v>
      </c>
      <c r="AB99" s="6">
        <v>0</v>
      </c>
      <c r="AC99" s="2">
        <v>69</v>
      </c>
      <c r="AD99" s="2" t="s">
        <v>52</v>
      </c>
      <c r="AE99" s="7">
        <v>25.86</v>
      </c>
      <c r="AF99" s="7">
        <v>250</v>
      </c>
      <c r="AG99" s="7">
        <v>24.58</v>
      </c>
      <c r="AH99" s="7">
        <v>35.380000000000003</v>
      </c>
      <c r="AI99" s="7">
        <v>39.049999999999997</v>
      </c>
      <c r="AJ99" s="9">
        <v>275.68604829597399</v>
      </c>
      <c r="AK99" s="9">
        <v>278.49018180000002</v>
      </c>
      <c r="AL99" s="9">
        <v>319.03386960923399</v>
      </c>
      <c r="AM99" s="9">
        <v>74.672877042769002</v>
      </c>
      <c r="AN99" s="9">
        <v>1.08221560931549</v>
      </c>
      <c r="AO99" s="9">
        <v>0.391240510915495</v>
      </c>
      <c r="AP99" s="9">
        <v>748.47326111581697</v>
      </c>
      <c r="AQ99" s="9">
        <v>10.847438566895899</v>
      </c>
      <c r="AR99" s="9">
        <v>7.2050701418849004</v>
      </c>
      <c r="AS99" s="73" t="s">
        <v>169</v>
      </c>
      <c r="AT99" s="10"/>
      <c r="AU99" s="10" t="s">
        <v>169</v>
      </c>
      <c r="AV99" s="10">
        <v>0</v>
      </c>
      <c r="AW99" s="8"/>
      <c r="AX99" s="74" t="s">
        <v>169</v>
      </c>
      <c r="AY99" s="74"/>
      <c r="AZ99" s="74"/>
      <c r="BA99" s="74"/>
      <c r="BB99" s="8"/>
      <c r="BC99" s="8"/>
      <c r="BD99" s="8"/>
      <c r="BE99" s="8"/>
      <c r="BF99" s="12">
        <v>0.44</v>
      </c>
      <c r="BG99" s="13">
        <v>244.48628875</v>
      </c>
      <c r="BH99" s="96" t="str">
        <f>+VLOOKUP(G99,Liste!$A$7:$G$50,3,FALSE)</f>
        <v>Pin sylvestre</v>
      </c>
      <c r="BI99" s="96" t="str">
        <f>+VLOOKUP(H99,Liste!$B$7:$G$50,5,FALSE)</f>
        <v>GS Pineraies des plaines du Centre et du Nord Ouest</v>
      </c>
      <c r="BJ99" s="135">
        <f t="shared" si="27"/>
        <v>69</v>
      </c>
      <c r="BK99" s="135" t="str">
        <f t="shared" si="29"/>
        <v>Pin sylvestre_F2_Eclaircie précoce_GS Pineraies des plaines du Centre et du Nord Ouest_69_</v>
      </c>
      <c r="BL99" s="322"/>
      <c r="BM99" s="13">
        <v>63.366844149999991</v>
      </c>
      <c r="BN99" s="13">
        <v>307.85313294014838</v>
      </c>
      <c r="BO99" s="13"/>
      <c r="BP99" s="13">
        <v>244.97</v>
      </c>
      <c r="BQ99" s="13">
        <v>6.6658625601112398</v>
      </c>
      <c r="BT99" s="298" t="str">
        <f>+VLOOKUP(G99,Liste!$A$7:$H$50,8,FALSE)</f>
        <v>Résineux</v>
      </c>
      <c r="BU99" s="298">
        <f t="shared" si="30"/>
        <v>0</v>
      </c>
      <c r="BV99" s="300">
        <f t="shared" si="31"/>
        <v>1</v>
      </c>
      <c r="BW99" s="321">
        <v>0</v>
      </c>
      <c r="BX99" s="298">
        <f t="shared" si="32"/>
        <v>0.43</v>
      </c>
      <c r="BY99">
        <f t="shared" si="33"/>
        <v>0</v>
      </c>
      <c r="BZ99" s="304">
        <f t="shared" si="34"/>
        <v>0</v>
      </c>
      <c r="CB99" s="299">
        <v>0.6</v>
      </c>
      <c r="CC99" s="299">
        <v>0.4</v>
      </c>
      <c r="CD99">
        <f t="shared" si="35"/>
        <v>0</v>
      </c>
      <c r="CE99">
        <f t="shared" si="36"/>
        <v>0</v>
      </c>
      <c r="CF99">
        <f t="shared" si="37"/>
        <v>0</v>
      </c>
      <c r="CG99">
        <f t="shared" si="38"/>
        <v>0</v>
      </c>
      <c r="CH99">
        <f t="shared" si="39"/>
        <v>0</v>
      </c>
      <c r="CI99">
        <f t="shared" si="40"/>
        <v>0</v>
      </c>
      <c r="CJ99">
        <f t="shared" si="41"/>
        <v>0</v>
      </c>
      <c r="CK99">
        <f t="shared" si="42"/>
        <v>0</v>
      </c>
      <c r="CL99">
        <f t="shared" si="43"/>
        <v>0</v>
      </c>
      <c r="CM99">
        <f t="shared" si="45"/>
        <v>0</v>
      </c>
      <c r="CN99">
        <f t="shared" si="44"/>
        <v>0</v>
      </c>
      <c r="CO99">
        <f t="shared" si="28"/>
        <v>0</v>
      </c>
    </row>
    <row r="100" spans="1:93" s="12" customFormat="1" ht="14.65" customHeight="1" x14ac:dyDescent="0.25">
      <c r="A100" s="4">
        <v>2021</v>
      </c>
      <c r="B100" s="4"/>
      <c r="C100" s="4" t="s">
        <v>64</v>
      </c>
      <c r="D100" s="4" t="s">
        <v>65</v>
      </c>
      <c r="E100" s="4"/>
      <c r="F100" s="4" t="s">
        <v>90</v>
      </c>
      <c r="G100" s="5" t="s">
        <v>15</v>
      </c>
      <c r="H100" s="5" t="s">
        <v>21</v>
      </c>
      <c r="I100" s="5" t="s">
        <v>16</v>
      </c>
      <c r="J100" s="5" t="s">
        <v>10</v>
      </c>
      <c r="K100" s="5">
        <v>23</v>
      </c>
      <c r="L100" s="5" t="s">
        <v>192</v>
      </c>
      <c r="M100" s="5">
        <v>2500</v>
      </c>
      <c r="N100" s="5" t="s">
        <v>170</v>
      </c>
      <c r="O100" s="6" t="s">
        <v>78</v>
      </c>
      <c r="P100" s="6" t="s">
        <v>80</v>
      </c>
      <c r="Q100" s="6">
        <v>2003</v>
      </c>
      <c r="R100" s="6"/>
      <c r="S100" s="6">
        <v>24</v>
      </c>
      <c r="T100" s="6">
        <v>11.4</v>
      </c>
      <c r="U100" s="6">
        <v>2157</v>
      </c>
      <c r="V100" s="6">
        <v>40.299999999999997</v>
      </c>
      <c r="W100" s="6">
        <v>0</v>
      </c>
      <c r="X100" s="6">
        <v>600</v>
      </c>
      <c r="Y100" s="6">
        <v>1043</v>
      </c>
      <c r="Z100" s="6">
        <v>457</v>
      </c>
      <c r="AA100" s="6">
        <v>57</v>
      </c>
      <c r="AB100" s="6">
        <v>0</v>
      </c>
      <c r="AC100" s="2">
        <v>70</v>
      </c>
      <c r="AD100" s="2" t="s">
        <v>52</v>
      </c>
      <c r="AE100" s="7">
        <v>26.07</v>
      </c>
      <c r="AF100" s="7">
        <v>250</v>
      </c>
      <c r="AG100" s="7">
        <v>24.97</v>
      </c>
      <c r="AH100" s="7">
        <v>35.659999999999997</v>
      </c>
      <c r="AI100" s="7">
        <v>39.369999999999997</v>
      </c>
      <c r="AJ100" s="9">
        <v>282.20475028819698</v>
      </c>
      <c r="AK100" s="9">
        <v>285.07119139999998</v>
      </c>
      <c r="AL100" s="9">
        <v>326.23893975111901</v>
      </c>
      <c r="AM100" s="9">
        <v>75.064117553684497</v>
      </c>
      <c r="AN100" s="9">
        <v>1.0723445364812101</v>
      </c>
      <c r="AO100" s="9">
        <v>0.38769202703539901</v>
      </c>
      <c r="AP100" s="9">
        <v>755.67833125770096</v>
      </c>
      <c r="AQ100" s="9">
        <v>10.7954047322529</v>
      </c>
      <c r="AR100" s="9">
        <v>7.2674047252156697</v>
      </c>
      <c r="AS100" s="73" t="s">
        <v>169</v>
      </c>
      <c r="AT100" s="10"/>
      <c r="AU100" s="10" t="s">
        <v>169</v>
      </c>
      <c r="AV100" s="10">
        <v>0</v>
      </c>
      <c r="AW100" s="8"/>
      <c r="AX100" s="74" t="s">
        <v>169</v>
      </c>
      <c r="AY100" s="74"/>
      <c r="AZ100" s="74"/>
      <c r="BA100" s="74"/>
      <c r="BB100" s="8"/>
      <c r="BC100" s="8"/>
      <c r="BD100" s="8"/>
      <c r="BE100" s="8"/>
      <c r="BF100" s="12">
        <v>0.44</v>
      </c>
      <c r="BG100" s="13">
        <v>250.00777416999998</v>
      </c>
      <c r="BH100" s="96" t="str">
        <f>+VLOOKUP(G100,Liste!$A$7:$G$50,3,FALSE)</f>
        <v>Pin sylvestre</v>
      </c>
      <c r="BI100" s="96" t="str">
        <f>+VLOOKUP(H100,Liste!$B$7:$G$50,5,FALSE)</f>
        <v>GS Pineraies des plaines du Centre et du Nord Ouest</v>
      </c>
      <c r="BJ100" s="135">
        <f t="shared" si="27"/>
        <v>70</v>
      </c>
      <c r="BK100" s="135" t="str">
        <f t="shared" si="29"/>
        <v>Pin sylvestre_F2_Eclaircie précoce_GS Pineraies des plaines du Centre et du Nord Ouest_70_</v>
      </c>
      <c r="BL100" s="322"/>
      <c r="BM100" s="13">
        <v>64.629697030000017</v>
      </c>
      <c r="BN100" s="13">
        <v>314.63747120309938</v>
      </c>
      <c r="BO100" s="13"/>
      <c r="BP100" s="13">
        <v>244.97</v>
      </c>
      <c r="BQ100" s="13">
        <v>6.7222463405483897</v>
      </c>
      <c r="BT100" s="298" t="str">
        <f>+VLOOKUP(G100,Liste!$A$7:$H$50,8,FALSE)</f>
        <v>Résineux</v>
      </c>
      <c r="BU100" s="298">
        <f t="shared" si="30"/>
        <v>0</v>
      </c>
      <c r="BV100" s="300">
        <f t="shared" si="31"/>
        <v>1</v>
      </c>
      <c r="BW100" s="321">
        <v>0</v>
      </c>
      <c r="BX100" s="298">
        <f t="shared" si="32"/>
        <v>0.43</v>
      </c>
      <c r="BY100">
        <f t="shared" si="33"/>
        <v>0</v>
      </c>
      <c r="BZ100" s="304">
        <f t="shared" si="34"/>
        <v>0</v>
      </c>
      <c r="CB100" s="299">
        <v>0.6</v>
      </c>
      <c r="CC100" s="299">
        <v>0.4</v>
      </c>
      <c r="CD100">
        <f t="shared" si="35"/>
        <v>0</v>
      </c>
      <c r="CE100">
        <f t="shared" si="36"/>
        <v>0</v>
      </c>
      <c r="CF100">
        <f t="shared" si="37"/>
        <v>0</v>
      </c>
      <c r="CG100">
        <f t="shared" si="38"/>
        <v>0</v>
      </c>
      <c r="CH100">
        <f t="shared" si="39"/>
        <v>0</v>
      </c>
      <c r="CI100">
        <f t="shared" si="40"/>
        <v>0</v>
      </c>
      <c r="CJ100">
        <f t="shared" si="41"/>
        <v>0</v>
      </c>
      <c r="CK100">
        <f t="shared" si="42"/>
        <v>0</v>
      </c>
      <c r="CL100">
        <f t="shared" si="43"/>
        <v>0</v>
      </c>
      <c r="CM100">
        <f t="shared" si="45"/>
        <v>0</v>
      </c>
      <c r="CN100">
        <f t="shared" si="44"/>
        <v>0</v>
      </c>
      <c r="CO100">
        <f t="shared" si="28"/>
        <v>0</v>
      </c>
    </row>
    <row r="101" spans="1:93" s="12" customFormat="1" ht="14.65" customHeight="1" x14ac:dyDescent="0.25">
      <c r="A101" s="4">
        <v>2021</v>
      </c>
      <c r="B101" s="4"/>
      <c r="C101" s="4" t="s">
        <v>64</v>
      </c>
      <c r="D101" s="4" t="s">
        <v>65</v>
      </c>
      <c r="E101" s="4"/>
      <c r="F101" s="4" t="s">
        <v>90</v>
      </c>
      <c r="G101" s="5" t="s">
        <v>15</v>
      </c>
      <c r="H101" s="5" t="s">
        <v>21</v>
      </c>
      <c r="I101" s="5" t="s">
        <v>16</v>
      </c>
      <c r="J101" s="5" t="s">
        <v>10</v>
      </c>
      <c r="K101" s="5">
        <v>23</v>
      </c>
      <c r="L101" s="5" t="s">
        <v>192</v>
      </c>
      <c r="M101" s="5">
        <v>2500</v>
      </c>
      <c r="N101" s="5" t="s">
        <v>170</v>
      </c>
      <c r="O101" s="6" t="s">
        <v>78</v>
      </c>
      <c r="P101" s="6" t="s">
        <v>80</v>
      </c>
      <c r="Q101" s="6">
        <v>2003</v>
      </c>
      <c r="R101" s="6"/>
      <c r="S101" s="6">
        <v>24</v>
      </c>
      <c r="T101" s="6">
        <v>11.4</v>
      </c>
      <c r="U101" s="6">
        <v>2157</v>
      </c>
      <c r="V101" s="6">
        <v>40.299999999999997</v>
      </c>
      <c r="W101" s="6">
        <v>0</v>
      </c>
      <c r="X101" s="6">
        <v>600</v>
      </c>
      <c r="Y101" s="6">
        <v>1043</v>
      </c>
      <c r="Z101" s="6">
        <v>457</v>
      </c>
      <c r="AA101" s="6">
        <v>57</v>
      </c>
      <c r="AB101" s="6">
        <v>0</v>
      </c>
      <c r="AC101" s="2">
        <v>71</v>
      </c>
      <c r="AD101" s="2" t="s">
        <v>52</v>
      </c>
      <c r="AE101" s="7">
        <v>26.27</v>
      </c>
      <c r="AF101" s="7">
        <v>250</v>
      </c>
      <c r="AG101" s="7">
        <v>25.36</v>
      </c>
      <c r="AH101" s="7">
        <v>35.94</v>
      </c>
      <c r="AI101" s="7">
        <v>39.69</v>
      </c>
      <c r="AJ101" s="9">
        <v>288.80063928635201</v>
      </c>
      <c r="AK101" s="9">
        <v>291.7279024</v>
      </c>
      <c r="AL101" s="9">
        <v>333.50634447633399</v>
      </c>
      <c r="AM101" s="9">
        <v>75.451809580719896</v>
      </c>
      <c r="AN101" s="9">
        <v>1.0627015433904199</v>
      </c>
      <c r="AO101" s="9">
        <v>0.38390406740128902</v>
      </c>
      <c r="AP101" s="9">
        <v>762.94573598291697</v>
      </c>
      <c r="AQ101" s="9">
        <v>10.745714591308699</v>
      </c>
      <c r="AR101" s="9">
        <v>7.2083648021080098</v>
      </c>
      <c r="AS101" s="73" t="s">
        <v>169</v>
      </c>
      <c r="AT101" s="10"/>
      <c r="AU101" s="10" t="s">
        <v>169</v>
      </c>
      <c r="AV101" s="10">
        <v>0</v>
      </c>
      <c r="AW101" s="8"/>
      <c r="AX101" s="74" t="s">
        <v>169</v>
      </c>
      <c r="AY101" s="74"/>
      <c r="AZ101" s="74"/>
      <c r="BA101" s="74"/>
      <c r="BB101" s="8"/>
      <c r="BC101" s="8"/>
      <c r="BD101" s="8"/>
      <c r="BE101" s="8"/>
      <c r="BF101" s="12">
        <v>0.44</v>
      </c>
      <c r="BG101" s="13">
        <v>255.57702866666668</v>
      </c>
      <c r="BH101" s="96" t="str">
        <f>+VLOOKUP(G101,Liste!$A$7:$G$50,3,FALSE)</f>
        <v>Pin sylvestre</v>
      </c>
      <c r="BI101" s="96" t="str">
        <f>+VLOOKUP(H101,Liste!$B$7:$G$50,5,FALSE)</f>
        <v>GS Pineraies des plaines du Centre et du Nord Ouest</v>
      </c>
      <c r="BJ101" s="135">
        <f t="shared" si="27"/>
        <v>71</v>
      </c>
      <c r="BK101" s="135" t="str">
        <f t="shared" si="29"/>
        <v>Pin sylvestre_F2_Eclaircie précoce_GS Pineraies des plaines du Centre et du Nord Ouest_71_</v>
      </c>
      <c r="BL101" s="322"/>
      <c r="BM101" s="13">
        <v>65.900190933333334</v>
      </c>
      <c r="BN101" s="13">
        <v>321.47721956734887</v>
      </c>
      <c r="BO101" s="13"/>
      <c r="BP101" s="13">
        <v>244.97</v>
      </c>
      <c r="BQ101" s="13">
        <v>6.6663730338177603</v>
      </c>
      <c r="BT101" s="298" t="str">
        <f>+VLOOKUP(G101,Liste!$A$7:$H$50,8,FALSE)</f>
        <v>Résineux</v>
      </c>
      <c r="BU101" s="298">
        <f t="shared" si="30"/>
        <v>0</v>
      </c>
      <c r="BV101" s="300">
        <f t="shared" si="31"/>
        <v>1</v>
      </c>
      <c r="BW101" s="321">
        <v>0</v>
      </c>
      <c r="BX101" s="298">
        <f t="shared" si="32"/>
        <v>0.43</v>
      </c>
      <c r="BY101">
        <f t="shared" si="33"/>
        <v>0</v>
      </c>
      <c r="BZ101" s="304">
        <f t="shared" si="34"/>
        <v>0</v>
      </c>
      <c r="CB101" s="299">
        <v>0.6</v>
      </c>
      <c r="CC101" s="299">
        <v>0.4</v>
      </c>
      <c r="CD101">
        <f t="shared" si="35"/>
        <v>0</v>
      </c>
      <c r="CE101">
        <f t="shared" si="36"/>
        <v>0</v>
      </c>
      <c r="CF101">
        <f t="shared" si="37"/>
        <v>0</v>
      </c>
      <c r="CG101">
        <f t="shared" si="38"/>
        <v>0</v>
      </c>
      <c r="CH101">
        <f t="shared" si="39"/>
        <v>0</v>
      </c>
      <c r="CI101">
        <f t="shared" si="40"/>
        <v>0</v>
      </c>
      <c r="CJ101">
        <f t="shared" si="41"/>
        <v>0</v>
      </c>
      <c r="CK101">
        <f t="shared" si="42"/>
        <v>0</v>
      </c>
      <c r="CL101">
        <f t="shared" si="43"/>
        <v>0</v>
      </c>
      <c r="CM101">
        <f t="shared" si="45"/>
        <v>0</v>
      </c>
      <c r="CN101">
        <f t="shared" si="44"/>
        <v>0</v>
      </c>
      <c r="CO101">
        <f t="shared" si="28"/>
        <v>0</v>
      </c>
    </row>
    <row r="102" spans="1:93" s="12" customFormat="1" ht="14.65" customHeight="1" x14ac:dyDescent="0.25">
      <c r="A102" s="4">
        <v>2021</v>
      </c>
      <c r="B102" s="4"/>
      <c r="C102" s="4" t="s">
        <v>64</v>
      </c>
      <c r="D102" s="4" t="s">
        <v>65</v>
      </c>
      <c r="E102" s="4"/>
      <c r="F102" s="4" t="s">
        <v>90</v>
      </c>
      <c r="G102" s="5" t="s">
        <v>15</v>
      </c>
      <c r="H102" s="5" t="s">
        <v>21</v>
      </c>
      <c r="I102" s="5" t="s">
        <v>16</v>
      </c>
      <c r="J102" s="5" t="s">
        <v>10</v>
      </c>
      <c r="K102" s="5">
        <v>23</v>
      </c>
      <c r="L102" s="5" t="s">
        <v>192</v>
      </c>
      <c r="M102" s="5">
        <v>2500</v>
      </c>
      <c r="N102" s="5" t="s">
        <v>170</v>
      </c>
      <c r="O102" s="6" t="s">
        <v>78</v>
      </c>
      <c r="P102" s="6" t="s">
        <v>80</v>
      </c>
      <c r="Q102" s="6">
        <v>2003</v>
      </c>
      <c r="R102" s="6"/>
      <c r="S102" s="6">
        <v>24</v>
      </c>
      <c r="T102" s="6">
        <v>11.4</v>
      </c>
      <c r="U102" s="6">
        <v>2157</v>
      </c>
      <c r="V102" s="6">
        <v>40.299999999999997</v>
      </c>
      <c r="W102" s="6">
        <v>0</v>
      </c>
      <c r="X102" s="6">
        <v>600</v>
      </c>
      <c r="Y102" s="6">
        <v>1043</v>
      </c>
      <c r="Z102" s="6">
        <v>457</v>
      </c>
      <c r="AA102" s="6">
        <v>57</v>
      </c>
      <c r="AB102" s="6">
        <v>0</v>
      </c>
      <c r="AC102" s="2">
        <v>72</v>
      </c>
      <c r="AD102" s="2" t="s">
        <v>52</v>
      </c>
      <c r="AE102" s="7">
        <v>26.48</v>
      </c>
      <c r="AF102" s="7">
        <v>250</v>
      </c>
      <c r="AG102" s="7">
        <v>25.74</v>
      </c>
      <c r="AH102" s="7">
        <v>36.21</v>
      </c>
      <c r="AI102" s="7">
        <v>40</v>
      </c>
      <c r="AJ102" s="9">
        <v>295.34061045043399</v>
      </c>
      <c r="AK102" s="9">
        <v>298.32885620000002</v>
      </c>
      <c r="AL102" s="9">
        <v>340.714709278442</v>
      </c>
      <c r="AM102" s="9">
        <v>75.8357136481212</v>
      </c>
      <c r="AN102" s="9">
        <v>1.05327380066835</v>
      </c>
      <c r="AO102" s="9">
        <v>0.37942586844526699</v>
      </c>
      <c r="AP102" s="9">
        <v>770.15410078502498</v>
      </c>
      <c r="AQ102" s="9">
        <v>10.696584733125301</v>
      </c>
      <c r="AR102" s="9">
        <v>7.1713520391142502</v>
      </c>
      <c r="AS102" s="73" t="s">
        <v>169</v>
      </c>
      <c r="AT102" s="10"/>
      <c r="AU102" s="10" t="s">
        <v>169</v>
      </c>
      <c r="AV102" s="10">
        <v>0</v>
      </c>
      <c r="AW102" s="8"/>
      <c r="AX102" s="74" t="s">
        <v>169</v>
      </c>
      <c r="AY102" s="74"/>
      <c r="AZ102" s="74"/>
      <c r="BA102" s="74"/>
      <c r="BB102" s="8"/>
      <c r="BC102" s="8"/>
      <c r="BD102" s="8"/>
      <c r="BE102" s="8"/>
      <c r="BF102" s="12">
        <v>0.44</v>
      </c>
      <c r="BG102" s="13">
        <v>261.10103887999998</v>
      </c>
      <c r="BH102" s="96" t="str">
        <f>+VLOOKUP(G102,Liste!$A$7:$G$50,3,FALSE)</f>
        <v>Pin sylvestre</v>
      </c>
      <c r="BI102" s="96" t="str">
        <f>+VLOOKUP(H102,Liste!$B$7:$G$50,5,FALSE)</f>
        <v>GS Pineraies des plaines du Centre et du Nord Ouest</v>
      </c>
      <c r="BJ102" s="135">
        <f t="shared" si="27"/>
        <v>72</v>
      </c>
      <c r="BK102" s="135" t="str">
        <f t="shared" si="29"/>
        <v>Pin sylvestre_F2_Eclaircie précoce_GS Pineraies des plaines du Centre et du Nord Ouest_72_</v>
      </c>
      <c r="BL102" s="322"/>
      <c r="BM102" s="13">
        <v>67.157183520000046</v>
      </c>
      <c r="BN102" s="13">
        <v>328.25822242670529</v>
      </c>
      <c r="BO102" s="13"/>
      <c r="BP102" s="13">
        <v>244.97</v>
      </c>
      <c r="BQ102" s="13">
        <v>6.6309088736703599</v>
      </c>
      <c r="BT102" s="298" t="str">
        <f>+VLOOKUP(G102,Liste!$A$7:$H$50,8,FALSE)</f>
        <v>Résineux</v>
      </c>
      <c r="BU102" s="298">
        <f t="shared" si="30"/>
        <v>0</v>
      </c>
      <c r="BV102" s="300">
        <f t="shared" si="31"/>
        <v>1</v>
      </c>
      <c r="BW102" s="321">
        <v>0</v>
      </c>
      <c r="BX102" s="298">
        <f t="shared" si="32"/>
        <v>0.43</v>
      </c>
      <c r="BY102">
        <f t="shared" si="33"/>
        <v>0</v>
      </c>
      <c r="BZ102" s="304">
        <f t="shared" si="34"/>
        <v>0</v>
      </c>
      <c r="CB102" s="299">
        <v>0.6</v>
      </c>
      <c r="CC102" s="299">
        <v>0.4</v>
      </c>
      <c r="CD102">
        <f t="shared" si="35"/>
        <v>0</v>
      </c>
      <c r="CE102">
        <f t="shared" si="36"/>
        <v>0</v>
      </c>
      <c r="CF102">
        <f t="shared" si="37"/>
        <v>0</v>
      </c>
      <c r="CG102">
        <f t="shared" si="38"/>
        <v>0</v>
      </c>
      <c r="CH102">
        <f t="shared" si="39"/>
        <v>0</v>
      </c>
      <c r="CI102">
        <f t="shared" si="40"/>
        <v>0</v>
      </c>
      <c r="CJ102">
        <f t="shared" si="41"/>
        <v>0</v>
      </c>
      <c r="CK102">
        <f t="shared" si="42"/>
        <v>0</v>
      </c>
      <c r="CL102">
        <f t="shared" si="43"/>
        <v>0</v>
      </c>
      <c r="CM102">
        <f t="shared" si="45"/>
        <v>0</v>
      </c>
      <c r="CN102">
        <f t="shared" si="44"/>
        <v>0</v>
      </c>
      <c r="CO102">
        <f t="shared" si="28"/>
        <v>0</v>
      </c>
    </row>
    <row r="103" spans="1:93" s="12" customFormat="1" ht="14.65" customHeight="1" x14ac:dyDescent="0.25">
      <c r="A103" s="4">
        <v>2021</v>
      </c>
      <c r="B103" s="4"/>
      <c r="C103" s="4" t="s">
        <v>64</v>
      </c>
      <c r="D103" s="4" t="s">
        <v>65</v>
      </c>
      <c r="E103" s="4"/>
      <c r="F103" s="4" t="s">
        <v>90</v>
      </c>
      <c r="G103" s="5" t="s">
        <v>15</v>
      </c>
      <c r="H103" s="5" t="s">
        <v>21</v>
      </c>
      <c r="I103" s="5" t="s">
        <v>16</v>
      </c>
      <c r="J103" s="5" t="s">
        <v>10</v>
      </c>
      <c r="K103" s="5">
        <v>23</v>
      </c>
      <c r="L103" s="5" t="s">
        <v>192</v>
      </c>
      <c r="M103" s="5">
        <v>2500</v>
      </c>
      <c r="N103" s="5" t="s">
        <v>170</v>
      </c>
      <c r="O103" s="6" t="s">
        <v>78</v>
      </c>
      <c r="P103" s="6" t="s">
        <v>80</v>
      </c>
      <c r="Q103" s="6">
        <v>2003</v>
      </c>
      <c r="R103" s="6"/>
      <c r="S103" s="6">
        <v>24</v>
      </c>
      <c r="T103" s="6">
        <v>11.4</v>
      </c>
      <c r="U103" s="6">
        <v>2157</v>
      </c>
      <c r="V103" s="6">
        <v>40.299999999999997</v>
      </c>
      <c r="W103" s="6">
        <v>0</v>
      </c>
      <c r="X103" s="6">
        <v>600</v>
      </c>
      <c r="Y103" s="6">
        <v>1043</v>
      </c>
      <c r="Z103" s="6">
        <v>457</v>
      </c>
      <c r="AA103" s="6">
        <v>57</v>
      </c>
      <c r="AB103" s="6">
        <v>0</v>
      </c>
      <c r="AC103" s="2">
        <v>73</v>
      </c>
      <c r="AD103" s="2" t="s">
        <v>52</v>
      </c>
      <c r="AE103" s="7">
        <v>26.68</v>
      </c>
      <c r="AF103" s="7">
        <v>250</v>
      </c>
      <c r="AG103" s="7">
        <v>26.12</v>
      </c>
      <c r="AH103" s="7">
        <v>36.47</v>
      </c>
      <c r="AI103" s="7">
        <v>40.299999999999997</v>
      </c>
      <c r="AJ103" s="9">
        <v>301.85180049824299</v>
      </c>
      <c r="AK103" s="9">
        <v>304.90051340000002</v>
      </c>
      <c r="AL103" s="9">
        <v>347.88606131755603</v>
      </c>
      <c r="AM103" s="9">
        <v>76.215139516566495</v>
      </c>
      <c r="AN103" s="9">
        <v>1.0440430070762501</v>
      </c>
      <c r="AO103" s="9">
        <v>0.37596002415992302</v>
      </c>
      <c r="AP103" s="9">
        <v>777.32545282413901</v>
      </c>
      <c r="AQ103" s="9">
        <v>10.648293874303301</v>
      </c>
      <c r="AR103" s="9">
        <v>7.1337705914593199</v>
      </c>
      <c r="AS103" s="73" t="s">
        <v>169</v>
      </c>
      <c r="AT103" s="10"/>
      <c r="AU103" s="10" t="s">
        <v>169</v>
      </c>
      <c r="AV103" s="10">
        <v>0</v>
      </c>
      <c r="AW103" s="8"/>
      <c r="AX103" s="74" t="s">
        <v>169</v>
      </c>
      <c r="AY103" s="74"/>
      <c r="AZ103" s="74"/>
      <c r="BA103" s="74"/>
      <c r="BB103" s="8"/>
      <c r="BC103" s="8"/>
      <c r="BD103" s="8"/>
      <c r="BE103" s="8"/>
      <c r="BF103" s="12">
        <v>0.44</v>
      </c>
      <c r="BG103" s="13">
        <v>266.59668500666663</v>
      </c>
      <c r="BH103" s="96" t="str">
        <f>+VLOOKUP(G103,Liste!$A$7:$G$50,3,FALSE)</f>
        <v>Pin sylvestre</v>
      </c>
      <c r="BI103" s="96" t="str">
        <f>+VLOOKUP(H103,Liste!$B$7:$G$50,5,FALSE)</f>
        <v>GS Pineraies des plaines du Centre et du Nord Ouest</v>
      </c>
      <c r="BJ103" s="135">
        <f t="shared" si="27"/>
        <v>73</v>
      </c>
      <c r="BK103" s="135" t="str">
        <f t="shared" si="29"/>
        <v>Pin sylvestre_F2_Eclaircie précoce_GS Pineraies des plaines du Centre et du Nord Ouest_73_</v>
      </c>
      <c r="BL103" s="322"/>
      <c r="BM103" s="13">
        <v>68.404653593333364</v>
      </c>
      <c r="BN103" s="13">
        <v>335.00133860667432</v>
      </c>
      <c r="BO103" s="13"/>
      <c r="BP103" s="13">
        <v>244.97</v>
      </c>
      <c r="BQ103" s="13">
        <v>6.5949506696192701</v>
      </c>
      <c r="BT103" s="298" t="str">
        <f>+VLOOKUP(G103,Liste!$A$7:$H$50,8,FALSE)</f>
        <v>Résineux</v>
      </c>
      <c r="BU103" s="298">
        <f t="shared" si="30"/>
        <v>0</v>
      </c>
      <c r="BV103" s="300">
        <f t="shared" si="31"/>
        <v>1</v>
      </c>
      <c r="BW103" s="321">
        <v>0</v>
      </c>
      <c r="BX103" s="298">
        <f t="shared" si="32"/>
        <v>0.43</v>
      </c>
      <c r="BY103">
        <f t="shared" si="33"/>
        <v>0</v>
      </c>
      <c r="BZ103" s="304">
        <f t="shared" si="34"/>
        <v>0</v>
      </c>
      <c r="CB103" s="299">
        <v>0.6</v>
      </c>
      <c r="CC103" s="299">
        <v>0.4</v>
      </c>
      <c r="CD103">
        <f t="shared" si="35"/>
        <v>0</v>
      </c>
      <c r="CE103">
        <f t="shared" si="36"/>
        <v>0</v>
      </c>
      <c r="CF103">
        <f t="shared" si="37"/>
        <v>0</v>
      </c>
      <c r="CG103">
        <f t="shared" si="38"/>
        <v>0</v>
      </c>
      <c r="CH103">
        <f t="shared" si="39"/>
        <v>0</v>
      </c>
      <c r="CI103">
        <f t="shared" si="40"/>
        <v>0</v>
      </c>
      <c r="CJ103">
        <f t="shared" si="41"/>
        <v>0</v>
      </c>
      <c r="CK103">
        <f t="shared" si="42"/>
        <v>0</v>
      </c>
      <c r="CL103">
        <f t="shared" si="43"/>
        <v>0</v>
      </c>
      <c r="CM103">
        <f t="shared" si="45"/>
        <v>0</v>
      </c>
      <c r="CN103">
        <f t="shared" si="44"/>
        <v>0</v>
      </c>
      <c r="CO103">
        <f t="shared" si="28"/>
        <v>0</v>
      </c>
    </row>
    <row r="104" spans="1:93" s="12" customFormat="1" ht="14.65" customHeight="1" x14ac:dyDescent="0.25">
      <c r="A104" s="4">
        <v>2021</v>
      </c>
      <c r="B104" s="4"/>
      <c r="C104" s="4" t="s">
        <v>64</v>
      </c>
      <c r="D104" s="4" t="s">
        <v>65</v>
      </c>
      <c r="E104" s="4"/>
      <c r="F104" s="4" t="s">
        <v>90</v>
      </c>
      <c r="G104" s="5" t="s">
        <v>15</v>
      </c>
      <c r="H104" s="5" t="s">
        <v>21</v>
      </c>
      <c r="I104" s="5" t="s">
        <v>16</v>
      </c>
      <c r="J104" s="5" t="s">
        <v>10</v>
      </c>
      <c r="K104" s="5">
        <v>23</v>
      </c>
      <c r="L104" s="5" t="s">
        <v>192</v>
      </c>
      <c r="M104" s="5">
        <v>2500</v>
      </c>
      <c r="N104" s="5" t="s">
        <v>170</v>
      </c>
      <c r="O104" s="6" t="s">
        <v>78</v>
      </c>
      <c r="P104" s="6" t="s">
        <v>80</v>
      </c>
      <c r="Q104" s="6">
        <v>2003</v>
      </c>
      <c r="R104" s="6"/>
      <c r="S104" s="6">
        <v>24</v>
      </c>
      <c r="T104" s="6">
        <v>11.4</v>
      </c>
      <c r="U104" s="6">
        <v>2157</v>
      </c>
      <c r="V104" s="6">
        <v>40.299999999999997</v>
      </c>
      <c r="W104" s="6">
        <v>0</v>
      </c>
      <c r="X104" s="6">
        <v>600</v>
      </c>
      <c r="Y104" s="6">
        <v>1043</v>
      </c>
      <c r="Z104" s="6">
        <v>457</v>
      </c>
      <c r="AA104" s="6">
        <v>57</v>
      </c>
      <c r="AB104" s="6">
        <v>0</v>
      </c>
      <c r="AC104" s="2">
        <v>74</v>
      </c>
      <c r="AD104" s="2" t="s">
        <v>52</v>
      </c>
      <c r="AE104" s="7">
        <v>26.87</v>
      </c>
      <c r="AF104" s="7">
        <v>250</v>
      </c>
      <c r="AG104" s="7">
        <v>26.5</v>
      </c>
      <c r="AH104" s="7">
        <v>36.729999999999997</v>
      </c>
      <c r="AI104" s="7">
        <v>40.6</v>
      </c>
      <c r="AJ104" s="9">
        <v>308.32997027981497</v>
      </c>
      <c r="AK104" s="9">
        <v>311.43904579999997</v>
      </c>
      <c r="AL104" s="9">
        <v>355.01983190901598</v>
      </c>
      <c r="AM104" s="9">
        <v>76.591099540726404</v>
      </c>
      <c r="AN104" s="9">
        <v>1.03501485865846</v>
      </c>
      <c r="AO104" s="9">
        <v>0.34495995809756202</v>
      </c>
      <c r="AP104" s="9">
        <v>784.45922341559901</v>
      </c>
      <c r="AQ104" s="9">
        <v>10.600800316427</v>
      </c>
      <c r="AR104" s="9">
        <v>6.4878109152120897</v>
      </c>
      <c r="AS104" s="73" t="s">
        <v>169</v>
      </c>
      <c r="AT104" s="10"/>
      <c r="AU104" s="10" t="s">
        <v>169</v>
      </c>
      <c r="AV104" s="10">
        <v>0</v>
      </c>
      <c r="AW104" s="8"/>
      <c r="AX104" s="74" t="s">
        <v>169</v>
      </c>
      <c r="AY104" s="74"/>
      <c r="AZ104" s="74"/>
      <c r="BA104" s="74"/>
      <c r="BB104" s="8"/>
      <c r="BC104" s="8"/>
      <c r="BD104" s="8"/>
      <c r="BE104" s="8"/>
      <c r="BF104" s="12">
        <v>0.44</v>
      </c>
      <c r="BG104" s="13">
        <v>272.06353118999999</v>
      </c>
      <c r="BH104" s="96" t="str">
        <f>+VLOOKUP(G104,Liste!$A$7:$G$50,3,FALSE)</f>
        <v>Pin sylvestre</v>
      </c>
      <c r="BI104" s="96" t="str">
        <f>+VLOOKUP(H104,Liste!$B$7:$G$50,5,FALSE)</f>
        <v>GS Pineraies des plaines du Centre et du Nord Ouest</v>
      </c>
      <c r="BJ104" s="135">
        <f t="shared" si="27"/>
        <v>74</v>
      </c>
      <c r="BK104" s="135" t="str">
        <f t="shared" si="29"/>
        <v>Pin sylvestre_F2_Eclaircie précoce_GS Pineraies des plaines du Centre et du Nord Ouest_74_</v>
      </c>
      <c r="BL104" s="322"/>
      <c r="BM104" s="13">
        <v>69.642619710000019</v>
      </c>
      <c r="BN104" s="13">
        <v>341.70615093750411</v>
      </c>
      <c r="BO104" s="13"/>
      <c r="BP104" s="13">
        <v>244.97</v>
      </c>
      <c r="BQ104" s="13">
        <v>5.9967442767572301</v>
      </c>
      <c r="BT104" s="298" t="str">
        <f>+VLOOKUP(G104,Liste!$A$7:$H$50,8,FALSE)</f>
        <v>Résineux</v>
      </c>
      <c r="BU104" s="298">
        <f t="shared" si="30"/>
        <v>0</v>
      </c>
      <c r="BV104" s="300">
        <f t="shared" si="31"/>
        <v>1</v>
      </c>
      <c r="BW104" s="321">
        <v>0</v>
      </c>
      <c r="BX104" s="298">
        <f t="shared" si="32"/>
        <v>0.43</v>
      </c>
      <c r="BY104">
        <f t="shared" si="33"/>
        <v>0</v>
      </c>
      <c r="BZ104" s="304">
        <f t="shared" si="34"/>
        <v>0</v>
      </c>
      <c r="CB104" s="299">
        <v>0.6</v>
      </c>
      <c r="CC104" s="299">
        <v>0.4</v>
      </c>
      <c r="CD104">
        <f t="shared" si="35"/>
        <v>0</v>
      </c>
      <c r="CE104">
        <f t="shared" si="36"/>
        <v>0</v>
      </c>
      <c r="CF104">
        <f t="shared" si="37"/>
        <v>0</v>
      </c>
      <c r="CG104">
        <f t="shared" si="38"/>
        <v>0</v>
      </c>
      <c r="CH104">
        <f t="shared" si="39"/>
        <v>0</v>
      </c>
      <c r="CI104">
        <f t="shared" si="40"/>
        <v>0</v>
      </c>
      <c r="CJ104">
        <f t="shared" si="41"/>
        <v>0</v>
      </c>
      <c r="CK104">
        <f t="shared" si="42"/>
        <v>0</v>
      </c>
      <c r="CL104">
        <f t="shared" si="43"/>
        <v>0</v>
      </c>
      <c r="CM104">
        <f t="shared" si="45"/>
        <v>0</v>
      </c>
      <c r="CN104">
        <f t="shared" si="44"/>
        <v>0</v>
      </c>
      <c r="CO104">
        <f t="shared" si="28"/>
        <v>0</v>
      </c>
    </row>
    <row r="105" spans="1:93" s="12" customFormat="1" ht="14.65" customHeight="1" x14ac:dyDescent="0.25">
      <c r="A105" s="4">
        <v>2021</v>
      </c>
      <c r="B105" s="4"/>
      <c r="C105" s="4" t="s">
        <v>64</v>
      </c>
      <c r="D105" s="4" t="s">
        <v>65</v>
      </c>
      <c r="E105" s="4"/>
      <c r="F105" s="4" t="s">
        <v>90</v>
      </c>
      <c r="G105" s="5" t="s">
        <v>15</v>
      </c>
      <c r="H105" s="5" t="s">
        <v>21</v>
      </c>
      <c r="I105" s="5" t="s">
        <v>16</v>
      </c>
      <c r="J105" s="5" t="s">
        <v>10</v>
      </c>
      <c r="K105" s="5">
        <v>23</v>
      </c>
      <c r="L105" s="5" t="s">
        <v>192</v>
      </c>
      <c r="M105" s="5">
        <v>2500</v>
      </c>
      <c r="N105" s="5" t="s">
        <v>170</v>
      </c>
      <c r="O105" s="6" t="s">
        <v>78</v>
      </c>
      <c r="P105" s="6" t="s">
        <v>80</v>
      </c>
      <c r="Q105" s="6">
        <v>2003</v>
      </c>
      <c r="R105" s="6"/>
      <c r="S105" s="6">
        <v>24</v>
      </c>
      <c r="T105" s="6">
        <v>11.4</v>
      </c>
      <c r="U105" s="6">
        <v>2157</v>
      </c>
      <c r="V105" s="6">
        <v>40.299999999999997</v>
      </c>
      <c r="W105" s="6">
        <v>0</v>
      </c>
      <c r="X105" s="6">
        <v>600</v>
      </c>
      <c r="Y105" s="6">
        <v>1043</v>
      </c>
      <c r="Z105" s="6">
        <v>457</v>
      </c>
      <c r="AA105" s="6">
        <v>57</v>
      </c>
      <c r="AB105" s="6">
        <v>0</v>
      </c>
      <c r="AC105" s="2">
        <v>74</v>
      </c>
      <c r="AD105" s="2" t="s">
        <v>53</v>
      </c>
      <c r="AE105" s="7">
        <v>26.87</v>
      </c>
      <c r="AF105" s="7">
        <v>214</v>
      </c>
      <c r="AG105" s="7">
        <v>23.84</v>
      </c>
      <c r="AH105" s="7">
        <v>37.659999999999997</v>
      </c>
      <c r="AI105" s="7">
        <v>40.6</v>
      </c>
      <c r="AJ105" s="9">
        <v>278.31368016116602</v>
      </c>
      <c r="AK105" s="9">
        <v>281.21435500000001</v>
      </c>
      <c r="AL105" s="9">
        <v>320.740918355541</v>
      </c>
      <c r="AM105" s="9">
        <v>76.591099540726404</v>
      </c>
      <c r="AN105" s="9">
        <v>1.03501485865846</v>
      </c>
      <c r="AO105" s="9">
        <v>0.34495995809756202</v>
      </c>
      <c r="AP105" s="9">
        <v>784.45922341559901</v>
      </c>
      <c r="AQ105" s="9">
        <v>10.600800316427</v>
      </c>
      <c r="AR105" s="9">
        <v>6.4878109152120897</v>
      </c>
      <c r="AS105" s="73">
        <v>36</v>
      </c>
      <c r="AT105" s="10">
        <v>2.560567168047502</v>
      </c>
      <c r="AU105" s="10">
        <v>30.093444170286798</v>
      </c>
      <c r="AV105" s="10">
        <v>30.016290118648953</v>
      </c>
      <c r="AW105" s="10">
        <v>0.65298995898531709</v>
      </c>
      <c r="AX105" s="74">
        <v>0.83378583662913763</v>
      </c>
      <c r="AY105" s="74"/>
      <c r="AZ105" s="74"/>
      <c r="BA105" s="74"/>
      <c r="BB105" s="10"/>
      <c r="BC105" s="10"/>
      <c r="BD105" s="10"/>
      <c r="BE105" s="10"/>
      <c r="BF105" s="12">
        <v>0.44</v>
      </c>
      <c r="BG105" s="13">
        <v>245.79445711333332</v>
      </c>
      <c r="BH105" s="96" t="str">
        <f>+VLOOKUP(G105,Liste!$A$7:$G$50,3,FALSE)</f>
        <v>Pin sylvestre</v>
      </c>
      <c r="BI105" s="96" t="str">
        <f>+VLOOKUP(H105,Liste!$B$7:$G$50,5,FALSE)</f>
        <v>GS Pineraies des plaines du Centre et du Nord Ouest</v>
      </c>
      <c r="BJ105" s="135">
        <f t="shared" si="27"/>
        <v>74</v>
      </c>
      <c r="BK105" s="135" t="str">
        <f t="shared" si="29"/>
        <v>Pin sylvestre_F2_Eclaircie précoce_GS Pineraies des plaines du Centre et du Nord Ouest_74_</v>
      </c>
      <c r="BL105" s="322"/>
      <c r="BM105" s="13">
        <v>63.666340786666666</v>
      </c>
      <c r="BN105" s="13">
        <v>309.46079791335723</v>
      </c>
      <c r="BO105" s="13">
        <v>32.24535302414688</v>
      </c>
      <c r="BP105" s="13">
        <v>244.97</v>
      </c>
      <c r="BQ105" s="13">
        <v>5.9967442767572301</v>
      </c>
      <c r="BT105" s="298" t="str">
        <f>+VLOOKUP(G105,Liste!$A$7:$H$50,8,FALSE)</f>
        <v>Résineux</v>
      </c>
      <c r="BU105" s="298">
        <f t="shared" si="30"/>
        <v>0</v>
      </c>
      <c r="BV105" s="300">
        <f t="shared" si="31"/>
        <v>1</v>
      </c>
      <c r="BW105" s="321">
        <v>0</v>
      </c>
      <c r="BX105" s="298">
        <f t="shared" si="32"/>
        <v>0.43</v>
      </c>
      <c r="BY105">
        <f t="shared" si="33"/>
        <v>0</v>
      </c>
      <c r="BZ105" s="304">
        <f t="shared" si="34"/>
        <v>0</v>
      </c>
      <c r="CB105" s="299">
        <v>0.6</v>
      </c>
      <c r="CC105" s="299">
        <v>0.4</v>
      </c>
      <c r="CD105">
        <f t="shared" si="35"/>
        <v>0</v>
      </c>
      <c r="CE105">
        <f t="shared" si="36"/>
        <v>0</v>
      </c>
      <c r="CF105">
        <f t="shared" si="37"/>
        <v>0</v>
      </c>
      <c r="CG105">
        <f t="shared" si="38"/>
        <v>0</v>
      </c>
      <c r="CH105">
        <f t="shared" si="39"/>
        <v>0</v>
      </c>
      <c r="CI105">
        <f t="shared" si="40"/>
        <v>0</v>
      </c>
      <c r="CJ105">
        <f t="shared" si="41"/>
        <v>0</v>
      </c>
      <c r="CK105">
        <f t="shared" si="42"/>
        <v>0</v>
      </c>
      <c r="CL105">
        <f t="shared" si="43"/>
        <v>0</v>
      </c>
      <c r="CM105">
        <f t="shared" si="45"/>
        <v>0</v>
      </c>
      <c r="CN105">
        <f t="shared" si="44"/>
        <v>0</v>
      </c>
      <c r="CO105">
        <f t="shared" si="28"/>
        <v>0</v>
      </c>
    </row>
    <row r="106" spans="1:93" s="12" customFormat="1" ht="14.65" customHeight="1" x14ac:dyDescent="0.25">
      <c r="A106" s="4">
        <v>2021</v>
      </c>
      <c r="B106" s="4"/>
      <c r="C106" s="4" t="s">
        <v>64</v>
      </c>
      <c r="D106" s="4" t="s">
        <v>65</v>
      </c>
      <c r="E106" s="4"/>
      <c r="F106" s="4" t="s">
        <v>90</v>
      </c>
      <c r="G106" s="5" t="s">
        <v>15</v>
      </c>
      <c r="H106" s="5" t="s">
        <v>21</v>
      </c>
      <c r="I106" s="5" t="s">
        <v>16</v>
      </c>
      <c r="J106" s="5" t="s">
        <v>10</v>
      </c>
      <c r="K106" s="5">
        <v>23</v>
      </c>
      <c r="L106" s="5" t="s">
        <v>192</v>
      </c>
      <c r="M106" s="5">
        <v>2500</v>
      </c>
      <c r="N106" s="5" t="s">
        <v>170</v>
      </c>
      <c r="O106" s="6" t="s">
        <v>78</v>
      </c>
      <c r="P106" s="6" t="s">
        <v>80</v>
      </c>
      <c r="Q106" s="6">
        <v>2003</v>
      </c>
      <c r="R106" s="6"/>
      <c r="S106" s="6">
        <v>24</v>
      </c>
      <c r="T106" s="6">
        <v>11.4</v>
      </c>
      <c r="U106" s="6">
        <v>2157</v>
      </c>
      <c r="V106" s="6">
        <v>40.299999999999997</v>
      </c>
      <c r="W106" s="6">
        <v>0</v>
      </c>
      <c r="X106" s="6">
        <v>600</v>
      </c>
      <c r="Y106" s="6">
        <v>1043</v>
      </c>
      <c r="Z106" s="6">
        <v>457</v>
      </c>
      <c r="AA106" s="6">
        <v>57</v>
      </c>
      <c r="AB106" s="6">
        <v>0</v>
      </c>
      <c r="AC106" s="2">
        <v>75</v>
      </c>
      <c r="AD106" s="2" t="s">
        <v>52</v>
      </c>
      <c r="AE106" s="7">
        <v>27.07</v>
      </c>
      <c r="AF106" s="7">
        <v>214</v>
      </c>
      <c r="AG106" s="7">
        <v>24.19</v>
      </c>
      <c r="AH106" s="7">
        <v>37.94</v>
      </c>
      <c r="AI106" s="7">
        <v>40.9</v>
      </c>
      <c r="AJ106" s="9">
        <v>284.180744161463</v>
      </c>
      <c r="AK106" s="9">
        <v>287.140197</v>
      </c>
      <c r="AL106" s="9">
        <v>327.22872927075298</v>
      </c>
      <c r="AM106" s="9">
        <v>76.936059498823994</v>
      </c>
      <c r="AN106" s="9">
        <v>1.0258141266509899</v>
      </c>
      <c r="AO106" s="9">
        <v>0.341834568208085</v>
      </c>
      <c r="AP106" s="9">
        <v>790.94703433081099</v>
      </c>
      <c r="AQ106" s="9">
        <v>10.5459604577441</v>
      </c>
      <c r="AR106" s="9">
        <v>6.5643912827269997</v>
      </c>
      <c r="AS106" s="73" t="s">
        <v>169</v>
      </c>
      <c r="AT106" s="10"/>
      <c r="AU106" s="10" t="s">
        <v>169</v>
      </c>
      <c r="AV106" s="10">
        <v>0</v>
      </c>
      <c r="AW106" s="8"/>
      <c r="AX106" s="74" t="s">
        <v>169</v>
      </c>
      <c r="AY106" s="74"/>
      <c r="AZ106" s="74"/>
      <c r="BA106" s="74"/>
      <c r="BB106" s="8"/>
      <c r="BC106" s="8"/>
      <c r="BD106" s="8"/>
      <c r="BE106" s="8"/>
      <c r="BF106" s="12">
        <v>0.44</v>
      </c>
      <c r="BG106" s="13">
        <v>250.76628287333332</v>
      </c>
      <c r="BH106" s="96" t="str">
        <f>+VLOOKUP(G106,Liste!$A$7:$G$50,3,FALSE)</f>
        <v>Pin sylvestre</v>
      </c>
      <c r="BI106" s="96" t="str">
        <f>+VLOOKUP(H106,Liste!$B$7:$G$50,5,FALSE)</f>
        <v>GS Pineraies des plaines du Centre et du Nord Ouest</v>
      </c>
      <c r="BJ106" s="135">
        <f t="shared" si="27"/>
        <v>75</v>
      </c>
      <c r="BK106" s="135" t="str">
        <f t="shared" si="29"/>
        <v>Pin sylvestre_F2_Eclaircie précoce_GS Pineraies des plaines du Centre et du Nord Ouest_75_</v>
      </c>
      <c r="BL106" s="322"/>
      <c r="BM106" s="13">
        <v>64.802925126666679</v>
      </c>
      <c r="BN106" s="13">
        <v>315.56920797837159</v>
      </c>
      <c r="BO106" s="13"/>
      <c r="BP106" s="13">
        <v>244.97</v>
      </c>
      <c r="BQ106" s="13">
        <v>6.0665327584480302</v>
      </c>
      <c r="BT106" s="298" t="str">
        <f>+VLOOKUP(G106,Liste!$A$7:$H$50,8,FALSE)</f>
        <v>Résineux</v>
      </c>
      <c r="BU106" s="298">
        <f t="shared" si="30"/>
        <v>0</v>
      </c>
      <c r="BV106" s="300">
        <f t="shared" si="31"/>
        <v>1</v>
      </c>
      <c r="BW106" s="321">
        <v>0</v>
      </c>
      <c r="BX106" s="298">
        <f t="shared" si="32"/>
        <v>0.43</v>
      </c>
      <c r="BY106">
        <f t="shared" si="33"/>
        <v>0</v>
      </c>
      <c r="BZ106" s="304">
        <f t="shared" si="34"/>
        <v>0</v>
      </c>
      <c r="CB106" s="299">
        <v>0.6</v>
      </c>
      <c r="CC106" s="299">
        <v>0.4</v>
      </c>
      <c r="CD106">
        <f t="shared" si="35"/>
        <v>0</v>
      </c>
      <c r="CE106">
        <f t="shared" si="36"/>
        <v>0</v>
      </c>
      <c r="CF106">
        <f t="shared" si="37"/>
        <v>0</v>
      </c>
      <c r="CG106">
        <f t="shared" si="38"/>
        <v>0</v>
      </c>
      <c r="CH106">
        <f t="shared" si="39"/>
        <v>0</v>
      </c>
      <c r="CI106">
        <f t="shared" si="40"/>
        <v>0</v>
      </c>
      <c r="CJ106">
        <f t="shared" si="41"/>
        <v>0</v>
      </c>
      <c r="CK106">
        <f t="shared" si="42"/>
        <v>0</v>
      </c>
      <c r="CL106">
        <f t="shared" si="43"/>
        <v>0</v>
      </c>
      <c r="CM106">
        <f t="shared" si="45"/>
        <v>0</v>
      </c>
      <c r="CN106">
        <f t="shared" si="44"/>
        <v>0</v>
      </c>
      <c r="CO106">
        <f t="shared" si="28"/>
        <v>0</v>
      </c>
    </row>
    <row r="107" spans="1:93" s="12" customFormat="1" ht="14.65" customHeight="1" x14ac:dyDescent="0.25">
      <c r="A107" s="4">
        <v>2021</v>
      </c>
      <c r="B107" s="4"/>
      <c r="C107" s="4" t="s">
        <v>64</v>
      </c>
      <c r="D107" s="4" t="s">
        <v>65</v>
      </c>
      <c r="E107" s="4"/>
      <c r="F107" s="4" t="s">
        <v>90</v>
      </c>
      <c r="G107" s="5" t="s">
        <v>15</v>
      </c>
      <c r="H107" s="5" t="s">
        <v>21</v>
      </c>
      <c r="I107" s="5" t="s">
        <v>16</v>
      </c>
      <c r="J107" s="5" t="s">
        <v>10</v>
      </c>
      <c r="K107" s="5">
        <v>23</v>
      </c>
      <c r="L107" s="5" t="s">
        <v>192</v>
      </c>
      <c r="M107" s="5">
        <v>2500</v>
      </c>
      <c r="N107" s="5" t="s">
        <v>170</v>
      </c>
      <c r="O107" s="6" t="s">
        <v>78</v>
      </c>
      <c r="P107" s="6" t="s">
        <v>80</v>
      </c>
      <c r="Q107" s="6">
        <v>2003</v>
      </c>
      <c r="R107" s="6"/>
      <c r="S107" s="6">
        <v>24</v>
      </c>
      <c r="T107" s="6">
        <v>11.4</v>
      </c>
      <c r="U107" s="6">
        <v>2157</v>
      </c>
      <c r="V107" s="6">
        <v>40.299999999999997</v>
      </c>
      <c r="W107" s="6">
        <v>0</v>
      </c>
      <c r="X107" s="6">
        <v>600</v>
      </c>
      <c r="Y107" s="6">
        <v>1043</v>
      </c>
      <c r="Z107" s="6">
        <v>457</v>
      </c>
      <c r="AA107" s="6">
        <v>57</v>
      </c>
      <c r="AB107" s="6">
        <v>0</v>
      </c>
      <c r="AC107" s="2">
        <v>76</v>
      </c>
      <c r="AD107" s="2" t="s">
        <v>52</v>
      </c>
      <c r="AE107" s="7">
        <v>27.26</v>
      </c>
      <c r="AF107" s="7">
        <v>214</v>
      </c>
      <c r="AG107" s="7">
        <v>24.53</v>
      </c>
      <c r="AH107" s="7">
        <v>38.200000000000003</v>
      </c>
      <c r="AI107" s="7">
        <v>41.19</v>
      </c>
      <c r="AJ107" s="9">
        <v>290.14014335072</v>
      </c>
      <c r="AK107" s="9">
        <v>293.1566919</v>
      </c>
      <c r="AL107" s="9">
        <v>333.79312055347998</v>
      </c>
      <c r="AM107" s="9">
        <v>77.277894067031994</v>
      </c>
      <c r="AN107" s="9">
        <v>1.01681439561884</v>
      </c>
      <c r="AO107" s="9">
        <v>0.33796762893466298</v>
      </c>
      <c r="AP107" s="9">
        <v>797.51142561353799</v>
      </c>
      <c r="AQ107" s="9">
        <v>10.4935713896518</v>
      </c>
      <c r="AR107" s="9">
        <v>6.49977610005726</v>
      </c>
      <c r="AS107" s="73" t="s">
        <v>169</v>
      </c>
      <c r="AT107" s="10"/>
      <c r="AU107" s="10" t="s">
        <v>169</v>
      </c>
      <c r="AV107" s="10">
        <v>0</v>
      </c>
      <c r="AW107" s="8"/>
      <c r="AX107" s="74" t="s">
        <v>169</v>
      </c>
      <c r="AY107" s="74"/>
      <c r="AZ107" s="74"/>
      <c r="BA107" s="74"/>
      <c r="BB107" s="8"/>
      <c r="BC107" s="8"/>
      <c r="BD107" s="8"/>
      <c r="BE107" s="8"/>
      <c r="BF107" s="12">
        <v>0.44</v>
      </c>
      <c r="BG107" s="13">
        <v>255.79679473333331</v>
      </c>
      <c r="BH107" s="96" t="str">
        <f>+VLOOKUP(G107,Liste!$A$7:$G$50,3,FALSE)</f>
        <v>Pin sylvestre</v>
      </c>
      <c r="BI107" s="96" t="str">
        <f>+VLOOKUP(H107,Liste!$B$7:$G$50,5,FALSE)</f>
        <v>GS Pineraies des plaines du Centre et du Nord Ouest</v>
      </c>
      <c r="BJ107" s="135">
        <f t="shared" si="27"/>
        <v>76</v>
      </c>
      <c r="BK107" s="135" t="str">
        <f t="shared" si="29"/>
        <v>Pin sylvestre_F2_Eclaircie précoce_GS Pineraies des plaines du Centre et du Nord Ouest_76_</v>
      </c>
      <c r="BL107" s="322"/>
      <c r="BM107" s="13">
        <v>65.950258766666678</v>
      </c>
      <c r="BN107" s="13">
        <v>321.74705354546848</v>
      </c>
      <c r="BO107" s="13"/>
      <c r="BP107" s="13">
        <v>244.97</v>
      </c>
      <c r="BQ107" s="13">
        <v>6.0058405639306303</v>
      </c>
      <c r="BT107" s="298" t="str">
        <f>+VLOOKUP(G107,Liste!$A$7:$H$50,8,FALSE)</f>
        <v>Résineux</v>
      </c>
      <c r="BU107" s="298">
        <f t="shared" si="30"/>
        <v>0</v>
      </c>
      <c r="BV107" s="300">
        <f t="shared" si="31"/>
        <v>1</v>
      </c>
      <c r="BW107" s="321">
        <v>0</v>
      </c>
      <c r="BX107" s="298">
        <f t="shared" si="32"/>
        <v>0.43</v>
      </c>
      <c r="BY107">
        <f t="shared" si="33"/>
        <v>0</v>
      </c>
      <c r="BZ107" s="304">
        <f t="shared" si="34"/>
        <v>0</v>
      </c>
      <c r="CB107" s="299">
        <v>0.6</v>
      </c>
      <c r="CC107" s="299">
        <v>0.4</v>
      </c>
      <c r="CD107">
        <f t="shared" si="35"/>
        <v>0</v>
      </c>
      <c r="CE107">
        <f t="shared" si="36"/>
        <v>0</v>
      </c>
      <c r="CF107">
        <f t="shared" si="37"/>
        <v>0</v>
      </c>
      <c r="CG107">
        <f t="shared" si="38"/>
        <v>0</v>
      </c>
      <c r="CH107">
        <f t="shared" si="39"/>
        <v>0</v>
      </c>
      <c r="CI107">
        <f t="shared" si="40"/>
        <v>0</v>
      </c>
      <c r="CJ107">
        <f t="shared" si="41"/>
        <v>0</v>
      </c>
      <c r="CK107">
        <f t="shared" si="42"/>
        <v>0</v>
      </c>
      <c r="CL107">
        <f t="shared" si="43"/>
        <v>0</v>
      </c>
      <c r="CM107">
        <f t="shared" si="45"/>
        <v>0</v>
      </c>
      <c r="CN107">
        <f t="shared" si="44"/>
        <v>0</v>
      </c>
      <c r="CO107">
        <f t="shared" si="28"/>
        <v>0</v>
      </c>
    </row>
    <row r="108" spans="1:93" s="12" customFormat="1" ht="14.65" customHeight="1" x14ac:dyDescent="0.25">
      <c r="A108" s="4">
        <v>2021</v>
      </c>
      <c r="B108" s="4"/>
      <c r="C108" s="4" t="s">
        <v>64</v>
      </c>
      <c r="D108" s="4" t="s">
        <v>65</v>
      </c>
      <c r="E108" s="4"/>
      <c r="F108" s="4" t="s">
        <v>90</v>
      </c>
      <c r="G108" s="5" t="s">
        <v>15</v>
      </c>
      <c r="H108" s="5" t="s">
        <v>21</v>
      </c>
      <c r="I108" s="5" t="s">
        <v>16</v>
      </c>
      <c r="J108" s="5" t="s">
        <v>10</v>
      </c>
      <c r="K108" s="5">
        <v>23</v>
      </c>
      <c r="L108" s="5" t="s">
        <v>192</v>
      </c>
      <c r="M108" s="5">
        <v>2500</v>
      </c>
      <c r="N108" s="5" t="s">
        <v>170</v>
      </c>
      <c r="O108" s="6" t="s">
        <v>78</v>
      </c>
      <c r="P108" s="6" t="s">
        <v>80</v>
      </c>
      <c r="Q108" s="6">
        <v>2003</v>
      </c>
      <c r="R108" s="6"/>
      <c r="S108" s="6">
        <v>24</v>
      </c>
      <c r="T108" s="6">
        <v>11.4</v>
      </c>
      <c r="U108" s="6">
        <v>2157</v>
      </c>
      <c r="V108" s="6">
        <v>40.299999999999997</v>
      </c>
      <c r="W108" s="6">
        <v>0</v>
      </c>
      <c r="X108" s="6">
        <v>600</v>
      </c>
      <c r="Y108" s="6">
        <v>1043</v>
      </c>
      <c r="Z108" s="6">
        <v>457</v>
      </c>
      <c r="AA108" s="6">
        <v>57</v>
      </c>
      <c r="AB108" s="6">
        <v>0</v>
      </c>
      <c r="AC108" s="2">
        <v>77</v>
      </c>
      <c r="AD108" s="2" t="s">
        <v>52</v>
      </c>
      <c r="AE108" s="7">
        <v>27.44</v>
      </c>
      <c r="AF108" s="7">
        <v>214</v>
      </c>
      <c r="AG108" s="7">
        <v>24.87</v>
      </c>
      <c r="AH108" s="7">
        <v>38.47</v>
      </c>
      <c r="AI108" s="7">
        <v>41.48</v>
      </c>
      <c r="AJ108" s="9">
        <v>296.03893516418901</v>
      </c>
      <c r="AK108" s="9">
        <v>299.11256259999999</v>
      </c>
      <c r="AL108" s="9">
        <v>340.29289665353701</v>
      </c>
      <c r="AM108" s="9">
        <v>77.6158616959667</v>
      </c>
      <c r="AN108" s="9">
        <v>1.0079982038437201</v>
      </c>
      <c r="AO108" s="9">
        <v>0.33442995213330601</v>
      </c>
      <c r="AP108" s="9">
        <v>804.01120171359503</v>
      </c>
      <c r="AQ108" s="9">
        <v>10.4417039183584</v>
      </c>
      <c r="AR108" s="9">
        <v>6.5239854606772996</v>
      </c>
      <c r="AS108" s="73" t="s">
        <v>169</v>
      </c>
      <c r="AT108" s="10"/>
      <c r="AU108" s="10" t="s">
        <v>169</v>
      </c>
      <c r="AV108" s="10">
        <v>0</v>
      </c>
      <c r="AW108" s="8"/>
      <c r="AX108" s="74" t="s">
        <v>169</v>
      </c>
      <c r="AY108" s="74"/>
      <c r="AZ108" s="74"/>
      <c r="BA108" s="74"/>
      <c r="BB108" s="8"/>
      <c r="BC108" s="8"/>
      <c r="BD108" s="8"/>
      <c r="BE108" s="8"/>
      <c r="BF108" s="12">
        <v>0.44</v>
      </c>
      <c r="BG108" s="13">
        <v>260.77778979999999</v>
      </c>
      <c r="BH108" s="96" t="str">
        <f>+VLOOKUP(G108,Liste!$A$7:$G$50,3,FALSE)</f>
        <v>Pin sylvestre</v>
      </c>
      <c r="BI108" s="96" t="str">
        <f>+VLOOKUP(H108,Liste!$B$7:$G$50,5,FALSE)</f>
        <v>GS Pineraies des plaines du Centre et du Nord Ouest</v>
      </c>
      <c r="BJ108" s="135">
        <f t="shared" si="27"/>
        <v>77</v>
      </c>
      <c r="BK108" s="135" t="str">
        <f t="shared" si="29"/>
        <v>Pin sylvestre_F2_Eclaircie précoce_GS Pineraies des plaines du Centre et du Nord Ouest_77_</v>
      </c>
      <c r="BL108" s="322"/>
      <c r="BM108" s="13">
        <v>67.083713900000021</v>
      </c>
      <c r="BN108" s="13">
        <v>327.86150366681579</v>
      </c>
      <c r="BO108" s="13"/>
      <c r="BP108" s="13">
        <v>244.97</v>
      </c>
      <c r="BQ108" s="13">
        <v>6.0272408721804096</v>
      </c>
      <c r="BT108" s="298" t="str">
        <f>+VLOOKUP(G108,Liste!$A$7:$H$50,8,FALSE)</f>
        <v>Résineux</v>
      </c>
      <c r="BU108" s="298">
        <f t="shared" si="30"/>
        <v>0</v>
      </c>
      <c r="BV108" s="300">
        <f t="shared" si="31"/>
        <v>1</v>
      </c>
      <c r="BW108" s="321">
        <v>0</v>
      </c>
      <c r="BX108" s="298">
        <f t="shared" si="32"/>
        <v>0.43</v>
      </c>
      <c r="BY108">
        <f t="shared" si="33"/>
        <v>0</v>
      </c>
      <c r="BZ108" s="304">
        <f t="shared" si="34"/>
        <v>0</v>
      </c>
      <c r="CB108" s="299">
        <v>0.6</v>
      </c>
      <c r="CC108" s="299">
        <v>0.4</v>
      </c>
      <c r="CD108">
        <f t="shared" si="35"/>
        <v>0</v>
      </c>
      <c r="CE108">
        <f t="shared" si="36"/>
        <v>0</v>
      </c>
      <c r="CF108">
        <f t="shared" si="37"/>
        <v>0</v>
      </c>
      <c r="CG108">
        <f t="shared" si="38"/>
        <v>0</v>
      </c>
      <c r="CH108">
        <f t="shared" si="39"/>
        <v>0</v>
      </c>
      <c r="CI108">
        <f t="shared" si="40"/>
        <v>0</v>
      </c>
      <c r="CJ108">
        <f t="shared" si="41"/>
        <v>0</v>
      </c>
      <c r="CK108">
        <f t="shared" si="42"/>
        <v>0</v>
      </c>
      <c r="CL108">
        <f t="shared" si="43"/>
        <v>0</v>
      </c>
      <c r="CM108">
        <f t="shared" si="45"/>
        <v>0</v>
      </c>
      <c r="CN108">
        <f t="shared" si="44"/>
        <v>0</v>
      </c>
      <c r="CO108">
        <f t="shared" si="28"/>
        <v>0</v>
      </c>
    </row>
    <row r="109" spans="1:93" s="12" customFormat="1" ht="14.65" customHeight="1" x14ac:dyDescent="0.25">
      <c r="A109" s="4">
        <v>2021</v>
      </c>
      <c r="B109" s="4"/>
      <c r="C109" s="4" t="s">
        <v>64</v>
      </c>
      <c r="D109" s="4" t="s">
        <v>65</v>
      </c>
      <c r="E109" s="4"/>
      <c r="F109" s="4" t="s">
        <v>90</v>
      </c>
      <c r="G109" s="5" t="s">
        <v>15</v>
      </c>
      <c r="H109" s="5" t="s">
        <v>21</v>
      </c>
      <c r="I109" s="5" t="s">
        <v>16</v>
      </c>
      <c r="J109" s="5" t="s">
        <v>10</v>
      </c>
      <c r="K109" s="5">
        <v>23</v>
      </c>
      <c r="L109" s="5" t="s">
        <v>192</v>
      </c>
      <c r="M109" s="5">
        <v>2500</v>
      </c>
      <c r="N109" s="5" t="s">
        <v>170</v>
      </c>
      <c r="O109" s="6" t="s">
        <v>78</v>
      </c>
      <c r="P109" s="6" t="s">
        <v>80</v>
      </c>
      <c r="Q109" s="6">
        <v>2003</v>
      </c>
      <c r="R109" s="6"/>
      <c r="S109" s="6">
        <v>24</v>
      </c>
      <c r="T109" s="6">
        <v>11.4</v>
      </c>
      <c r="U109" s="6">
        <v>2157</v>
      </c>
      <c r="V109" s="6">
        <v>40.299999999999997</v>
      </c>
      <c r="W109" s="6">
        <v>0</v>
      </c>
      <c r="X109" s="6">
        <v>600</v>
      </c>
      <c r="Y109" s="6">
        <v>1043</v>
      </c>
      <c r="Z109" s="6">
        <v>457</v>
      </c>
      <c r="AA109" s="6">
        <v>57</v>
      </c>
      <c r="AB109" s="6">
        <v>0</v>
      </c>
      <c r="AC109" s="2">
        <v>78</v>
      </c>
      <c r="AD109" s="2" t="s">
        <v>52</v>
      </c>
      <c r="AE109" s="7">
        <v>27.63</v>
      </c>
      <c r="AF109" s="7">
        <v>214</v>
      </c>
      <c r="AG109" s="7">
        <v>25.2</v>
      </c>
      <c r="AH109" s="7">
        <v>38.72</v>
      </c>
      <c r="AI109" s="7">
        <v>41.77</v>
      </c>
      <c r="AJ109" s="9">
        <v>301.974212173083</v>
      </c>
      <c r="AK109" s="9">
        <v>305.10371370000001</v>
      </c>
      <c r="AL109" s="9">
        <v>346.81688211421402</v>
      </c>
      <c r="AM109" s="9">
        <v>77.950291648100006</v>
      </c>
      <c r="AN109" s="9">
        <v>0.99936271343717997</v>
      </c>
      <c r="AO109" s="9">
        <v>0.331235714240805</v>
      </c>
      <c r="AP109" s="9">
        <v>810.53518717427198</v>
      </c>
      <c r="AQ109" s="9">
        <v>10.391476758644499</v>
      </c>
      <c r="AR109" s="9">
        <v>6.5174856503397196</v>
      </c>
      <c r="AS109" s="73" t="s">
        <v>169</v>
      </c>
      <c r="AT109" s="10"/>
      <c r="AU109" s="10" t="s">
        <v>169</v>
      </c>
      <c r="AV109" s="10">
        <v>0</v>
      </c>
      <c r="AW109" s="8"/>
      <c r="AX109" s="74" t="s">
        <v>169</v>
      </c>
      <c r="AY109" s="74"/>
      <c r="AZ109" s="74"/>
      <c r="BA109" s="74"/>
      <c r="BB109" s="8"/>
      <c r="BC109" s="8"/>
      <c r="BD109" s="8"/>
      <c r="BE109" s="8"/>
      <c r="BF109" s="12">
        <v>0.44</v>
      </c>
      <c r="BG109" s="13">
        <v>265.77733732000002</v>
      </c>
      <c r="BH109" s="96" t="str">
        <f>+VLOOKUP(G109,Liste!$A$7:$G$50,3,FALSE)</f>
        <v>Pin sylvestre</v>
      </c>
      <c r="BI109" s="96" t="str">
        <f>+VLOOKUP(H109,Liste!$B$7:$G$50,5,FALSE)</f>
        <v>GS Pineraies des plaines du Centre et du Nord Ouest</v>
      </c>
      <c r="BJ109" s="135">
        <f t="shared" si="27"/>
        <v>78</v>
      </c>
      <c r="BK109" s="135" t="str">
        <f t="shared" si="29"/>
        <v>Pin sylvestre_F2_Eclaircie précoce_GS Pineraies des plaines du Centre et du Nord Ouest_78_</v>
      </c>
      <c r="BL109" s="322"/>
      <c r="BM109" s="13">
        <v>68.218859280000004</v>
      </c>
      <c r="BN109" s="13">
        <v>333.99619655501004</v>
      </c>
      <c r="BO109" s="13"/>
      <c r="BP109" s="13">
        <v>244.97</v>
      </c>
      <c r="BQ109" s="13">
        <v>6.0202749927630101</v>
      </c>
      <c r="BT109" s="298" t="str">
        <f>+VLOOKUP(G109,Liste!$A$7:$H$50,8,FALSE)</f>
        <v>Résineux</v>
      </c>
      <c r="BU109" s="298">
        <f t="shared" si="30"/>
        <v>0</v>
      </c>
      <c r="BV109" s="300">
        <f t="shared" si="31"/>
        <v>1</v>
      </c>
      <c r="BW109" s="321">
        <v>0</v>
      </c>
      <c r="BX109" s="298">
        <f t="shared" si="32"/>
        <v>0.43</v>
      </c>
      <c r="BY109">
        <f t="shared" si="33"/>
        <v>0</v>
      </c>
      <c r="BZ109" s="304">
        <f t="shared" si="34"/>
        <v>0</v>
      </c>
      <c r="CB109" s="299">
        <v>0.6</v>
      </c>
      <c r="CC109" s="299">
        <v>0.4</v>
      </c>
      <c r="CD109">
        <f t="shared" si="35"/>
        <v>0</v>
      </c>
      <c r="CE109">
        <f t="shared" si="36"/>
        <v>0</v>
      </c>
      <c r="CF109">
        <f t="shared" si="37"/>
        <v>0</v>
      </c>
      <c r="CG109">
        <f t="shared" si="38"/>
        <v>0</v>
      </c>
      <c r="CH109">
        <f t="shared" si="39"/>
        <v>0</v>
      </c>
      <c r="CI109">
        <f t="shared" si="40"/>
        <v>0</v>
      </c>
      <c r="CJ109">
        <f t="shared" si="41"/>
        <v>0</v>
      </c>
      <c r="CK109">
        <f t="shared" si="42"/>
        <v>0</v>
      </c>
      <c r="CL109">
        <f t="shared" si="43"/>
        <v>0</v>
      </c>
      <c r="CM109">
        <f t="shared" si="45"/>
        <v>0</v>
      </c>
      <c r="CN109">
        <f t="shared" si="44"/>
        <v>0</v>
      </c>
      <c r="CO109">
        <f t="shared" si="28"/>
        <v>0</v>
      </c>
    </row>
    <row r="110" spans="1:93" s="12" customFormat="1" ht="14.65" customHeight="1" x14ac:dyDescent="0.25">
      <c r="A110" s="4">
        <v>2021</v>
      </c>
      <c r="B110" s="4"/>
      <c r="C110" s="4" t="s">
        <v>64</v>
      </c>
      <c r="D110" s="4" t="s">
        <v>65</v>
      </c>
      <c r="E110" s="4"/>
      <c r="F110" s="4" t="s">
        <v>90</v>
      </c>
      <c r="G110" s="5" t="s">
        <v>15</v>
      </c>
      <c r="H110" s="5" t="s">
        <v>21</v>
      </c>
      <c r="I110" s="5" t="s">
        <v>16</v>
      </c>
      <c r="J110" s="5" t="s">
        <v>10</v>
      </c>
      <c r="K110" s="5">
        <v>23</v>
      </c>
      <c r="L110" s="5" t="s">
        <v>192</v>
      </c>
      <c r="M110" s="5">
        <v>2500</v>
      </c>
      <c r="N110" s="5" t="s">
        <v>170</v>
      </c>
      <c r="O110" s="6" t="s">
        <v>78</v>
      </c>
      <c r="P110" s="6" t="s">
        <v>80</v>
      </c>
      <c r="Q110" s="6">
        <v>2003</v>
      </c>
      <c r="R110" s="6"/>
      <c r="S110" s="6">
        <v>24</v>
      </c>
      <c r="T110" s="6">
        <v>11.4</v>
      </c>
      <c r="U110" s="6">
        <v>2157</v>
      </c>
      <c r="V110" s="6">
        <v>40.299999999999997</v>
      </c>
      <c r="W110" s="6">
        <v>0</v>
      </c>
      <c r="X110" s="6">
        <v>600</v>
      </c>
      <c r="Y110" s="6">
        <v>1043</v>
      </c>
      <c r="Z110" s="6">
        <v>457</v>
      </c>
      <c r="AA110" s="6">
        <v>57</v>
      </c>
      <c r="AB110" s="6">
        <v>0</v>
      </c>
      <c r="AC110" s="2">
        <v>79</v>
      </c>
      <c r="AD110" s="2" t="s">
        <v>52</v>
      </c>
      <c r="AE110" s="7">
        <v>27.81</v>
      </c>
      <c r="AF110" s="7">
        <v>214</v>
      </c>
      <c r="AG110" s="7">
        <v>25.53</v>
      </c>
      <c r="AH110" s="7">
        <v>38.979999999999997</v>
      </c>
      <c r="AI110" s="7">
        <v>42.05</v>
      </c>
      <c r="AJ110" s="9">
        <v>307.91088766321798</v>
      </c>
      <c r="AK110" s="9">
        <v>311.0956066</v>
      </c>
      <c r="AL110" s="9">
        <v>353.33436776455397</v>
      </c>
      <c r="AM110" s="9">
        <v>78.281527362340796</v>
      </c>
      <c r="AN110" s="9">
        <v>0.99090540964988405</v>
      </c>
      <c r="AO110" s="9">
        <v>0.327448477173022</v>
      </c>
      <c r="AP110" s="9">
        <v>817.05267282461205</v>
      </c>
      <c r="AQ110" s="9">
        <v>10.3424388965141</v>
      </c>
      <c r="AR110" s="9">
        <v>6.4134845224186803</v>
      </c>
      <c r="AS110" s="73" t="s">
        <v>169</v>
      </c>
      <c r="AT110" s="10"/>
      <c r="AU110" s="10" t="s">
        <v>169</v>
      </c>
      <c r="AV110" s="10">
        <v>0</v>
      </c>
      <c r="AW110" s="8"/>
      <c r="AX110" s="74" t="s">
        <v>169</v>
      </c>
      <c r="AY110" s="74"/>
      <c r="AZ110" s="74"/>
      <c r="BA110" s="74"/>
      <c r="BB110" s="8"/>
      <c r="BC110" s="8"/>
      <c r="BD110" s="8"/>
      <c r="BE110" s="8"/>
      <c r="BF110" s="12">
        <v>0.44</v>
      </c>
      <c r="BG110" s="13">
        <v>270.77190381999998</v>
      </c>
      <c r="BH110" s="96" t="str">
        <f>+VLOOKUP(G110,Liste!$A$7:$G$50,3,FALSE)</f>
        <v>Pin sylvestre</v>
      </c>
      <c r="BI110" s="96" t="str">
        <f>+VLOOKUP(H110,Liste!$B$7:$G$50,5,FALSE)</f>
        <v>GS Pineraies des plaines du Centre et du Nord Ouest</v>
      </c>
      <c r="BJ110" s="135">
        <f t="shared" si="27"/>
        <v>79</v>
      </c>
      <c r="BK110" s="135" t="str">
        <f t="shared" si="29"/>
        <v>Pin sylvestre_F2_Eclaircie précoce_GS Pineraies des plaines du Centre et du Nord Ouest_79_</v>
      </c>
      <c r="BL110" s="322"/>
      <c r="BM110" s="13">
        <v>69.350394380000012</v>
      </c>
      <c r="BN110" s="13">
        <v>340.12229821980151</v>
      </c>
      <c r="BO110" s="13"/>
      <c r="BP110" s="13">
        <v>244.97</v>
      </c>
      <c r="BQ110" s="13">
        <v>5.92327865717425</v>
      </c>
      <c r="BT110" s="298" t="str">
        <f>+VLOOKUP(G110,Liste!$A$7:$H$50,8,FALSE)</f>
        <v>Résineux</v>
      </c>
      <c r="BU110" s="298">
        <f t="shared" si="30"/>
        <v>0</v>
      </c>
      <c r="BV110" s="300">
        <f t="shared" si="31"/>
        <v>1</v>
      </c>
      <c r="BW110" s="321">
        <v>0</v>
      </c>
      <c r="BX110" s="298">
        <f t="shared" si="32"/>
        <v>0.43</v>
      </c>
      <c r="BY110">
        <f t="shared" si="33"/>
        <v>0</v>
      </c>
      <c r="BZ110" s="304">
        <f t="shared" si="34"/>
        <v>0</v>
      </c>
      <c r="CB110" s="299">
        <v>0.6</v>
      </c>
      <c r="CC110" s="299">
        <v>0.4</v>
      </c>
      <c r="CD110">
        <f t="shared" si="35"/>
        <v>0</v>
      </c>
      <c r="CE110">
        <f t="shared" si="36"/>
        <v>0</v>
      </c>
      <c r="CF110">
        <f t="shared" si="37"/>
        <v>0</v>
      </c>
      <c r="CG110">
        <f t="shared" si="38"/>
        <v>0</v>
      </c>
      <c r="CH110">
        <f t="shared" si="39"/>
        <v>0</v>
      </c>
      <c r="CI110">
        <f t="shared" si="40"/>
        <v>0</v>
      </c>
      <c r="CJ110">
        <f t="shared" si="41"/>
        <v>0</v>
      </c>
      <c r="CK110">
        <f t="shared" si="42"/>
        <v>0</v>
      </c>
      <c r="CL110">
        <f t="shared" si="43"/>
        <v>0</v>
      </c>
      <c r="CM110">
        <f t="shared" si="45"/>
        <v>0</v>
      </c>
      <c r="CN110">
        <f t="shared" si="44"/>
        <v>0</v>
      </c>
      <c r="CO110">
        <f t="shared" si="28"/>
        <v>0</v>
      </c>
    </row>
    <row r="111" spans="1:93" s="12" customFormat="1" ht="14.65" customHeight="1" x14ac:dyDescent="0.25">
      <c r="A111" s="4">
        <v>2021</v>
      </c>
      <c r="B111" s="4"/>
      <c r="C111" s="4" t="s">
        <v>64</v>
      </c>
      <c r="D111" s="4" t="s">
        <v>65</v>
      </c>
      <c r="E111" s="4"/>
      <c r="F111" s="4" t="s">
        <v>90</v>
      </c>
      <c r="G111" s="5" t="s">
        <v>15</v>
      </c>
      <c r="H111" s="5" t="s">
        <v>21</v>
      </c>
      <c r="I111" s="5" t="s">
        <v>16</v>
      </c>
      <c r="J111" s="5" t="s">
        <v>10</v>
      </c>
      <c r="K111" s="5">
        <v>23</v>
      </c>
      <c r="L111" s="5" t="s">
        <v>192</v>
      </c>
      <c r="M111" s="5">
        <v>2500</v>
      </c>
      <c r="N111" s="5" t="s">
        <v>170</v>
      </c>
      <c r="O111" s="6" t="s">
        <v>78</v>
      </c>
      <c r="P111" s="6" t="s">
        <v>80</v>
      </c>
      <c r="Q111" s="6">
        <v>2003</v>
      </c>
      <c r="R111" s="6"/>
      <c r="S111" s="6">
        <v>24</v>
      </c>
      <c r="T111" s="6">
        <v>11.4</v>
      </c>
      <c r="U111" s="6">
        <v>2157</v>
      </c>
      <c r="V111" s="6">
        <v>40.299999999999997</v>
      </c>
      <c r="W111" s="6">
        <v>0</v>
      </c>
      <c r="X111" s="6">
        <v>600</v>
      </c>
      <c r="Y111" s="6">
        <v>1043</v>
      </c>
      <c r="Z111" s="6">
        <v>457</v>
      </c>
      <c r="AA111" s="6">
        <v>57</v>
      </c>
      <c r="AB111" s="6">
        <v>0</v>
      </c>
      <c r="AC111" s="2">
        <v>80</v>
      </c>
      <c r="AD111" s="2" t="s">
        <v>52</v>
      </c>
      <c r="AE111" s="7">
        <v>27.99</v>
      </c>
      <c r="AF111" s="7">
        <v>214</v>
      </c>
      <c r="AG111" s="7">
        <v>25.86</v>
      </c>
      <c r="AH111" s="7">
        <v>39.229999999999997</v>
      </c>
      <c r="AI111" s="7">
        <v>42.32</v>
      </c>
      <c r="AJ111" s="9">
        <v>313.74383747650597</v>
      </c>
      <c r="AK111" s="9">
        <v>316.98420190000002</v>
      </c>
      <c r="AL111" s="9">
        <v>359.747852286973</v>
      </c>
      <c r="AM111" s="9">
        <v>78.608975839513803</v>
      </c>
      <c r="AN111" s="9">
        <v>0.98261219799392296</v>
      </c>
      <c r="AO111" s="9">
        <v>0.32391368278291599</v>
      </c>
      <c r="AP111" s="9">
        <v>823.46615734703096</v>
      </c>
      <c r="AQ111" s="9">
        <v>10.293326966837901</v>
      </c>
      <c r="AR111" s="9">
        <v>6.4000446993063598</v>
      </c>
      <c r="AS111" s="73" t="s">
        <v>169</v>
      </c>
      <c r="AT111" s="10"/>
      <c r="AU111" s="10" t="s">
        <v>169</v>
      </c>
      <c r="AV111" s="10">
        <v>0</v>
      </c>
      <c r="AW111" s="8"/>
      <c r="AX111" s="74" t="s">
        <v>169</v>
      </c>
      <c r="AY111" s="74"/>
      <c r="AZ111" s="74"/>
      <c r="BA111" s="74"/>
      <c r="BB111" s="8"/>
      <c r="BC111" s="8"/>
      <c r="BD111" s="8"/>
      <c r="BE111" s="8"/>
      <c r="BF111" s="12">
        <v>0.44</v>
      </c>
      <c r="BG111" s="13">
        <v>275.68677080999998</v>
      </c>
      <c r="BH111" s="96" t="str">
        <f>+VLOOKUP(G111,Liste!$A$7:$G$50,3,FALSE)</f>
        <v>Pin sylvestre</v>
      </c>
      <c r="BI111" s="96" t="str">
        <f>+VLOOKUP(H111,Liste!$B$7:$G$50,5,FALSE)</f>
        <v>GS Pineraies des plaines du Centre et du Nord Ouest</v>
      </c>
      <c r="BJ111" s="135">
        <f t="shared" si="27"/>
        <v>80</v>
      </c>
      <c r="BK111" s="135" t="str">
        <f t="shared" si="29"/>
        <v>Pin sylvestre_F2_Eclaircie précoce_GS Pineraies des plaines du Centre et du Nord Ouest_80_</v>
      </c>
      <c r="BL111" s="322"/>
      <c r="BM111" s="13">
        <v>70.461503890000017</v>
      </c>
      <c r="BN111" s="13">
        <v>346.14827466470274</v>
      </c>
      <c r="BO111" s="13"/>
      <c r="BP111" s="13">
        <v>244.97</v>
      </c>
      <c r="BQ111" s="13">
        <v>5.9099551621409301</v>
      </c>
      <c r="BT111" s="298" t="str">
        <f>+VLOOKUP(G111,Liste!$A$7:$H$50,8,FALSE)</f>
        <v>Résineux</v>
      </c>
      <c r="BU111" s="298">
        <f t="shared" si="30"/>
        <v>0</v>
      </c>
      <c r="BV111" s="300">
        <f t="shared" si="31"/>
        <v>1</v>
      </c>
      <c r="BW111" s="321">
        <v>0</v>
      </c>
      <c r="BX111" s="298">
        <f t="shared" si="32"/>
        <v>0.43</v>
      </c>
      <c r="BY111">
        <f t="shared" si="33"/>
        <v>0</v>
      </c>
      <c r="BZ111" s="304">
        <f t="shared" si="34"/>
        <v>0</v>
      </c>
      <c r="CB111" s="299">
        <v>0.6</v>
      </c>
      <c r="CC111" s="299">
        <v>0.4</v>
      </c>
      <c r="CD111">
        <f t="shared" si="35"/>
        <v>0</v>
      </c>
      <c r="CE111">
        <f t="shared" si="36"/>
        <v>0</v>
      </c>
      <c r="CF111">
        <f t="shared" si="37"/>
        <v>0</v>
      </c>
      <c r="CG111">
        <f t="shared" si="38"/>
        <v>0</v>
      </c>
      <c r="CH111">
        <f t="shared" si="39"/>
        <v>0</v>
      </c>
      <c r="CI111">
        <f t="shared" si="40"/>
        <v>0</v>
      </c>
      <c r="CJ111">
        <f t="shared" si="41"/>
        <v>0</v>
      </c>
      <c r="CK111">
        <f t="shared" si="42"/>
        <v>0</v>
      </c>
      <c r="CL111">
        <f t="shared" si="43"/>
        <v>0</v>
      </c>
      <c r="CM111">
        <f t="shared" si="45"/>
        <v>0</v>
      </c>
      <c r="CN111">
        <f t="shared" si="44"/>
        <v>0</v>
      </c>
      <c r="CO111">
        <f t="shared" si="28"/>
        <v>0</v>
      </c>
    </row>
    <row r="112" spans="1:93" s="12" customFormat="1" ht="14.65" customHeight="1" x14ac:dyDescent="0.25">
      <c r="A112" s="4">
        <v>2021</v>
      </c>
      <c r="B112" s="4"/>
      <c r="C112" s="4" t="s">
        <v>64</v>
      </c>
      <c r="D112" s="4" t="s">
        <v>65</v>
      </c>
      <c r="E112" s="4"/>
      <c r="F112" s="4" t="s">
        <v>90</v>
      </c>
      <c r="G112" s="5" t="s">
        <v>15</v>
      </c>
      <c r="H112" s="5" t="s">
        <v>21</v>
      </c>
      <c r="I112" s="5" t="s">
        <v>16</v>
      </c>
      <c r="J112" s="5" t="s">
        <v>10</v>
      </c>
      <c r="K112" s="5">
        <v>23</v>
      </c>
      <c r="L112" s="5" t="s">
        <v>192</v>
      </c>
      <c r="M112" s="5">
        <v>2500</v>
      </c>
      <c r="N112" s="5" t="s">
        <v>170</v>
      </c>
      <c r="O112" s="6" t="s">
        <v>78</v>
      </c>
      <c r="P112" s="6" t="s">
        <v>80</v>
      </c>
      <c r="Q112" s="6">
        <v>2003</v>
      </c>
      <c r="R112" s="6"/>
      <c r="S112" s="6">
        <v>24</v>
      </c>
      <c r="T112" s="6">
        <v>11.4</v>
      </c>
      <c r="U112" s="6">
        <v>2157</v>
      </c>
      <c r="V112" s="6">
        <v>40.299999999999997</v>
      </c>
      <c r="W112" s="6">
        <v>0</v>
      </c>
      <c r="X112" s="6">
        <v>600</v>
      </c>
      <c r="Y112" s="6">
        <v>1043</v>
      </c>
      <c r="Z112" s="6">
        <v>457</v>
      </c>
      <c r="AA112" s="6">
        <v>57</v>
      </c>
      <c r="AB112" s="6">
        <v>0</v>
      </c>
      <c r="AC112" s="2">
        <v>81</v>
      </c>
      <c r="AD112" s="2" t="s">
        <v>52</v>
      </c>
      <c r="AE112" s="7">
        <v>28.16</v>
      </c>
      <c r="AF112" s="7">
        <v>214</v>
      </c>
      <c r="AG112" s="7">
        <v>26.19</v>
      </c>
      <c r="AH112" s="7">
        <v>39.47</v>
      </c>
      <c r="AI112" s="7">
        <v>42.59</v>
      </c>
      <c r="AJ112" s="9">
        <v>319.57203150893002</v>
      </c>
      <c r="AK112" s="9">
        <v>322.86733199999998</v>
      </c>
      <c r="AL112" s="9">
        <v>366.14789698627902</v>
      </c>
      <c r="AM112" s="9">
        <v>78.932889522296705</v>
      </c>
      <c r="AN112" s="9">
        <v>0.97448011755921904</v>
      </c>
      <c r="AO112" s="9">
        <v>0.32136083244658697</v>
      </c>
      <c r="AP112" s="9">
        <v>829.86620204633698</v>
      </c>
      <c r="AQ112" s="9">
        <v>10.2452617536585</v>
      </c>
      <c r="AR112" s="9">
        <v>6.36178211069989</v>
      </c>
      <c r="AS112" s="73" t="s">
        <v>169</v>
      </c>
      <c r="AT112" s="10"/>
      <c r="AU112" s="10" t="s">
        <v>169</v>
      </c>
      <c r="AV112" s="10">
        <v>0</v>
      </c>
      <c r="AW112" s="8"/>
      <c r="AX112" s="74" t="s">
        <v>169</v>
      </c>
      <c r="AY112" s="74"/>
      <c r="AZ112" s="74"/>
      <c r="BA112" s="74"/>
      <c r="BB112" s="8"/>
      <c r="BC112" s="8"/>
      <c r="BD112" s="8"/>
      <c r="BE112" s="8"/>
      <c r="BF112" s="12">
        <v>0.44</v>
      </c>
      <c r="BG112" s="13">
        <v>280.59133838999998</v>
      </c>
      <c r="BH112" s="96" t="str">
        <f>+VLOOKUP(G112,Liste!$A$7:$G$50,3,FALSE)</f>
        <v>Pin sylvestre</v>
      </c>
      <c r="BI112" s="96" t="str">
        <f>+VLOOKUP(H112,Liste!$B$7:$G$50,5,FALSE)</f>
        <v>GS Pineraies des plaines du Centre et du Nord Ouest</v>
      </c>
      <c r="BJ112" s="135">
        <f t="shared" si="27"/>
        <v>81</v>
      </c>
      <c r="BK112" s="135" t="str">
        <f t="shared" si="29"/>
        <v>Pin sylvestre_F2_Eclaircie précoce_GS Pineraies des plaines du Centre et du Nord Ouest_81_</v>
      </c>
      <c r="BL112" s="322"/>
      <c r="BM112" s="13">
        <v>71.567988710000009</v>
      </c>
      <c r="BN112" s="13">
        <v>352.15932708209556</v>
      </c>
      <c r="BO112" s="13"/>
      <c r="BP112" s="13">
        <v>244.97</v>
      </c>
      <c r="BQ112" s="13">
        <v>5.8737284924874302</v>
      </c>
      <c r="BT112" s="298" t="str">
        <f>+VLOOKUP(G112,Liste!$A$7:$H$50,8,FALSE)</f>
        <v>Résineux</v>
      </c>
      <c r="BU112" s="298">
        <f t="shared" si="30"/>
        <v>0</v>
      </c>
      <c r="BV112" s="300">
        <f t="shared" si="31"/>
        <v>1</v>
      </c>
      <c r="BW112" s="321">
        <v>0</v>
      </c>
      <c r="BX112" s="298">
        <f t="shared" si="32"/>
        <v>0.43</v>
      </c>
      <c r="BY112">
        <f t="shared" si="33"/>
        <v>0</v>
      </c>
      <c r="BZ112" s="304">
        <f t="shared" si="34"/>
        <v>0</v>
      </c>
      <c r="CB112" s="299">
        <v>0.6</v>
      </c>
      <c r="CC112" s="299">
        <v>0.4</v>
      </c>
      <c r="CD112">
        <f t="shared" si="35"/>
        <v>0</v>
      </c>
      <c r="CE112">
        <f t="shared" si="36"/>
        <v>0</v>
      </c>
      <c r="CF112">
        <f t="shared" si="37"/>
        <v>0</v>
      </c>
      <c r="CG112">
        <f t="shared" si="38"/>
        <v>0</v>
      </c>
      <c r="CH112">
        <f t="shared" si="39"/>
        <v>0</v>
      </c>
      <c r="CI112">
        <f t="shared" si="40"/>
        <v>0</v>
      </c>
      <c r="CJ112">
        <f t="shared" si="41"/>
        <v>0</v>
      </c>
      <c r="CK112">
        <f t="shared" si="42"/>
        <v>0</v>
      </c>
      <c r="CL112">
        <f t="shared" si="43"/>
        <v>0</v>
      </c>
      <c r="CM112">
        <f t="shared" si="45"/>
        <v>0</v>
      </c>
      <c r="CN112">
        <f t="shared" si="44"/>
        <v>0</v>
      </c>
      <c r="CO112">
        <f t="shared" si="28"/>
        <v>0</v>
      </c>
    </row>
    <row r="113" spans="1:93" s="12" customFormat="1" ht="14.65" customHeight="1" x14ac:dyDescent="0.25">
      <c r="A113" s="4">
        <v>2021</v>
      </c>
      <c r="B113" s="4"/>
      <c r="C113" s="4" t="s">
        <v>64</v>
      </c>
      <c r="D113" s="4" t="s">
        <v>65</v>
      </c>
      <c r="E113" s="4"/>
      <c r="F113" s="4" t="s">
        <v>90</v>
      </c>
      <c r="G113" s="5" t="s">
        <v>15</v>
      </c>
      <c r="H113" s="5" t="s">
        <v>21</v>
      </c>
      <c r="I113" s="5" t="s">
        <v>16</v>
      </c>
      <c r="J113" s="5" t="s">
        <v>10</v>
      </c>
      <c r="K113" s="5">
        <v>23</v>
      </c>
      <c r="L113" s="5" t="s">
        <v>192</v>
      </c>
      <c r="M113" s="5">
        <v>2500</v>
      </c>
      <c r="N113" s="5" t="s">
        <v>170</v>
      </c>
      <c r="O113" s="6" t="s">
        <v>78</v>
      </c>
      <c r="P113" s="6" t="s">
        <v>80</v>
      </c>
      <c r="Q113" s="6">
        <v>2003</v>
      </c>
      <c r="R113" s="6"/>
      <c r="S113" s="6">
        <v>24</v>
      </c>
      <c r="T113" s="6">
        <v>11.4</v>
      </c>
      <c r="U113" s="6">
        <v>2157</v>
      </c>
      <c r="V113" s="6">
        <v>40.299999999999997</v>
      </c>
      <c r="W113" s="6">
        <v>0</v>
      </c>
      <c r="X113" s="6">
        <v>600</v>
      </c>
      <c r="Y113" s="6">
        <v>1043</v>
      </c>
      <c r="Z113" s="6">
        <v>457</v>
      </c>
      <c r="AA113" s="6">
        <v>57</v>
      </c>
      <c r="AB113" s="6">
        <v>0</v>
      </c>
      <c r="AC113" s="2">
        <v>82</v>
      </c>
      <c r="AD113" s="2" t="s">
        <v>52</v>
      </c>
      <c r="AE113" s="7">
        <v>28.34</v>
      </c>
      <c r="AF113" s="7">
        <v>214</v>
      </c>
      <c r="AG113" s="7">
        <v>26.51</v>
      </c>
      <c r="AH113" s="7">
        <v>39.71</v>
      </c>
      <c r="AI113" s="7">
        <v>42.86</v>
      </c>
      <c r="AJ113" s="9">
        <v>325.36468705653999</v>
      </c>
      <c r="AK113" s="9">
        <v>328.71488590000001</v>
      </c>
      <c r="AL113" s="9">
        <v>372.50967909697903</v>
      </c>
      <c r="AM113" s="9">
        <v>79.254250354743306</v>
      </c>
      <c r="AN113" s="9">
        <v>0.96651524822857704</v>
      </c>
      <c r="AO113" s="9">
        <v>0.31786721648217098</v>
      </c>
      <c r="AP113" s="9">
        <v>836.22798415703699</v>
      </c>
      <c r="AQ113" s="9">
        <v>10.197902245817501</v>
      </c>
      <c r="AR113" s="9">
        <v>6.4060652668784996</v>
      </c>
      <c r="AS113" s="73" t="s">
        <v>169</v>
      </c>
      <c r="AT113" s="10"/>
      <c r="AU113" s="10" t="s">
        <v>169</v>
      </c>
      <c r="AV113" s="10">
        <v>0</v>
      </c>
      <c r="AW113" s="8"/>
      <c r="AX113" s="74" t="s">
        <v>169</v>
      </c>
      <c r="AY113" s="74"/>
      <c r="AZ113" s="74"/>
      <c r="BA113" s="74"/>
      <c r="BB113" s="8"/>
      <c r="BC113" s="8"/>
      <c r="BD113" s="8"/>
      <c r="BE113" s="8"/>
      <c r="BF113" s="12">
        <v>0.44</v>
      </c>
      <c r="BG113" s="13">
        <v>285.46658407666666</v>
      </c>
      <c r="BH113" s="96" t="str">
        <f>+VLOOKUP(G113,Liste!$A$7:$G$50,3,FALSE)</f>
        <v>Pin sylvestre</v>
      </c>
      <c r="BI113" s="96" t="str">
        <f>+VLOOKUP(H113,Liste!$B$7:$G$50,5,FALSE)</f>
        <v>GS Pineraies des plaines du Centre et du Nord Ouest</v>
      </c>
      <c r="BJ113" s="135">
        <f t="shared" si="27"/>
        <v>82</v>
      </c>
      <c r="BK113" s="135" t="str">
        <f t="shared" si="29"/>
        <v>Pin sylvestre_F2_Eclaircie précoce_GS Pineraies des plaines du Centre et du Nord Ouest_82_</v>
      </c>
      <c r="BL113" s="322"/>
      <c r="BM113" s="13">
        <v>72.665629423333314</v>
      </c>
      <c r="BN113" s="13">
        <v>358.13221345104353</v>
      </c>
      <c r="BO113" s="13"/>
      <c r="BP113" s="13">
        <v>244.97</v>
      </c>
      <c r="BQ113" s="13">
        <v>5.91372135639301</v>
      </c>
      <c r="BT113" s="298" t="str">
        <f>+VLOOKUP(G113,Liste!$A$7:$H$50,8,FALSE)</f>
        <v>Résineux</v>
      </c>
      <c r="BU113" s="298">
        <f t="shared" si="30"/>
        <v>0</v>
      </c>
      <c r="BV113" s="300">
        <f t="shared" si="31"/>
        <v>1</v>
      </c>
      <c r="BW113" s="321">
        <v>0</v>
      </c>
      <c r="BX113" s="298">
        <f t="shared" si="32"/>
        <v>0.43</v>
      </c>
      <c r="BY113">
        <f t="shared" si="33"/>
        <v>0</v>
      </c>
      <c r="BZ113" s="304">
        <f t="shared" si="34"/>
        <v>0</v>
      </c>
      <c r="CB113" s="299">
        <v>0.6</v>
      </c>
      <c r="CC113" s="299">
        <v>0.4</v>
      </c>
      <c r="CD113">
        <f t="shared" si="35"/>
        <v>0</v>
      </c>
      <c r="CE113">
        <f t="shared" si="36"/>
        <v>0</v>
      </c>
      <c r="CF113">
        <f t="shared" si="37"/>
        <v>0</v>
      </c>
      <c r="CG113">
        <f t="shared" si="38"/>
        <v>0</v>
      </c>
      <c r="CH113">
        <f t="shared" si="39"/>
        <v>0</v>
      </c>
      <c r="CI113">
        <f t="shared" si="40"/>
        <v>0</v>
      </c>
      <c r="CJ113">
        <f t="shared" si="41"/>
        <v>0</v>
      </c>
      <c r="CK113">
        <f t="shared" si="42"/>
        <v>0</v>
      </c>
      <c r="CL113">
        <f t="shared" si="43"/>
        <v>0</v>
      </c>
      <c r="CM113">
        <f t="shared" si="45"/>
        <v>0</v>
      </c>
      <c r="CN113">
        <f t="shared" si="44"/>
        <v>0</v>
      </c>
      <c r="CO113">
        <f t="shared" si="28"/>
        <v>0</v>
      </c>
    </row>
    <row r="114" spans="1:93" s="12" customFormat="1" ht="14.65" customHeight="1" x14ac:dyDescent="0.25">
      <c r="A114" s="4">
        <v>2021</v>
      </c>
      <c r="B114" s="4"/>
      <c r="C114" s="4" t="s">
        <v>64</v>
      </c>
      <c r="D114" s="4" t="s">
        <v>65</v>
      </c>
      <c r="E114" s="4"/>
      <c r="F114" s="4" t="s">
        <v>90</v>
      </c>
      <c r="G114" s="5" t="s">
        <v>15</v>
      </c>
      <c r="H114" s="5" t="s">
        <v>21</v>
      </c>
      <c r="I114" s="5" t="s">
        <v>16</v>
      </c>
      <c r="J114" s="5" t="s">
        <v>10</v>
      </c>
      <c r="K114" s="5">
        <v>23</v>
      </c>
      <c r="L114" s="5" t="s">
        <v>192</v>
      </c>
      <c r="M114" s="5">
        <v>2500</v>
      </c>
      <c r="N114" s="5" t="s">
        <v>170</v>
      </c>
      <c r="O114" s="6" t="s">
        <v>78</v>
      </c>
      <c r="P114" s="6" t="s">
        <v>80</v>
      </c>
      <c r="Q114" s="6">
        <v>2003</v>
      </c>
      <c r="R114" s="6"/>
      <c r="S114" s="6">
        <v>24</v>
      </c>
      <c r="T114" s="6">
        <v>11.4</v>
      </c>
      <c r="U114" s="6">
        <v>2157</v>
      </c>
      <c r="V114" s="6">
        <v>40.299999999999997</v>
      </c>
      <c r="W114" s="6">
        <v>0</v>
      </c>
      <c r="X114" s="6">
        <v>600</v>
      </c>
      <c r="Y114" s="6">
        <v>1043</v>
      </c>
      <c r="Z114" s="6">
        <v>457</v>
      </c>
      <c r="AA114" s="6">
        <v>57</v>
      </c>
      <c r="AB114" s="6">
        <v>0</v>
      </c>
      <c r="AC114" s="2">
        <v>83</v>
      </c>
      <c r="AD114" s="2" t="s">
        <v>52</v>
      </c>
      <c r="AE114" s="7">
        <v>28.51</v>
      </c>
      <c r="AF114" s="7">
        <v>214</v>
      </c>
      <c r="AG114" s="7">
        <v>26.82</v>
      </c>
      <c r="AH114" s="7">
        <v>39.950000000000003</v>
      </c>
      <c r="AI114" s="7">
        <v>43.12</v>
      </c>
      <c r="AJ114" s="9">
        <v>331.21632278403098</v>
      </c>
      <c r="AK114" s="9">
        <v>334.61984710000002</v>
      </c>
      <c r="AL114" s="9">
        <v>378.91574436385702</v>
      </c>
      <c r="AM114" s="9">
        <v>79.572117571225505</v>
      </c>
      <c r="AN114" s="9">
        <v>0.95870021170151198</v>
      </c>
      <c r="AO114" s="9">
        <v>0.28962330892471799</v>
      </c>
      <c r="AP114" s="9">
        <v>842.63404942391503</v>
      </c>
      <c r="AQ114" s="9">
        <v>10.152217462938699</v>
      </c>
      <c r="AR114" s="9">
        <v>5.6840188083722296</v>
      </c>
      <c r="AS114" s="73" t="s">
        <v>169</v>
      </c>
      <c r="AT114" s="10"/>
      <c r="AU114" s="10" t="s">
        <v>169</v>
      </c>
      <c r="AV114" s="10">
        <v>0</v>
      </c>
      <c r="AW114" s="8"/>
      <c r="AX114" s="74" t="s">
        <v>169</v>
      </c>
      <c r="AY114" s="74"/>
      <c r="AZ114" s="74"/>
      <c r="BA114" s="74"/>
      <c r="BB114" s="8"/>
      <c r="BC114" s="8"/>
      <c r="BD114" s="8"/>
      <c r="BE114" s="8"/>
      <c r="BF114" s="12">
        <v>0.44</v>
      </c>
      <c r="BG114" s="13">
        <v>290.37576542333335</v>
      </c>
      <c r="BH114" s="96" t="str">
        <f>+VLOOKUP(G114,Liste!$A$7:$G$50,3,FALSE)</f>
        <v>Pin sylvestre</v>
      </c>
      <c r="BI114" s="96" t="str">
        <f>+VLOOKUP(H114,Liste!$B$7:$G$50,5,FALSE)</f>
        <v>GS Pineraies des plaines du Centre et du Nord Ouest</v>
      </c>
      <c r="BJ114" s="135">
        <f t="shared" si="27"/>
        <v>83</v>
      </c>
      <c r="BK114" s="135" t="str">
        <f t="shared" si="29"/>
        <v>Pin sylvestre_F2_Eclaircie précoce_GS Pineraies des plaines du Centre et du Nord Ouest_83_</v>
      </c>
      <c r="BL114" s="322"/>
      <c r="BM114" s="13">
        <v>73.768707876666667</v>
      </c>
      <c r="BN114" s="13">
        <v>364.14447328638499</v>
      </c>
      <c r="BO114" s="13"/>
      <c r="BP114" s="13">
        <v>244.97</v>
      </c>
      <c r="BQ114" s="13">
        <v>5.2464242191379098</v>
      </c>
      <c r="BT114" s="298" t="str">
        <f>+VLOOKUP(G114,Liste!$A$7:$H$50,8,FALSE)</f>
        <v>Résineux</v>
      </c>
      <c r="BU114" s="298">
        <f t="shared" si="30"/>
        <v>0</v>
      </c>
      <c r="BV114" s="300">
        <f t="shared" si="31"/>
        <v>1</v>
      </c>
      <c r="BW114" s="321">
        <v>0</v>
      </c>
      <c r="BX114" s="298">
        <f t="shared" si="32"/>
        <v>0.43</v>
      </c>
      <c r="BY114">
        <f t="shared" si="33"/>
        <v>0</v>
      </c>
      <c r="BZ114" s="304">
        <f t="shared" si="34"/>
        <v>0</v>
      </c>
      <c r="CB114" s="299">
        <v>0.6</v>
      </c>
      <c r="CC114" s="299">
        <v>0.4</v>
      </c>
      <c r="CD114">
        <f t="shared" si="35"/>
        <v>0</v>
      </c>
      <c r="CE114">
        <f t="shared" si="36"/>
        <v>0</v>
      </c>
      <c r="CF114">
        <f t="shared" si="37"/>
        <v>0</v>
      </c>
      <c r="CG114">
        <f t="shared" si="38"/>
        <v>0</v>
      </c>
      <c r="CH114">
        <f t="shared" si="39"/>
        <v>0</v>
      </c>
      <c r="CI114">
        <f t="shared" si="40"/>
        <v>0</v>
      </c>
      <c r="CJ114">
        <f t="shared" si="41"/>
        <v>0</v>
      </c>
      <c r="CK114">
        <f t="shared" si="42"/>
        <v>0</v>
      </c>
      <c r="CL114">
        <f t="shared" si="43"/>
        <v>0</v>
      </c>
      <c r="CM114">
        <f t="shared" si="45"/>
        <v>0</v>
      </c>
      <c r="CN114">
        <f t="shared" si="44"/>
        <v>0</v>
      </c>
      <c r="CO114">
        <f t="shared" si="28"/>
        <v>0</v>
      </c>
    </row>
    <row r="115" spans="1:93" s="12" customFormat="1" ht="14.65" customHeight="1" x14ac:dyDescent="0.25">
      <c r="A115" s="4">
        <v>2021</v>
      </c>
      <c r="B115" s="4"/>
      <c r="C115" s="4" t="s">
        <v>64</v>
      </c>
      <c r="D115" s="4" t="s">
        <v>65</v>
      </c>
      <c r="E115" s="4"/>
      <c r="F115" s="4" t="s">
        <v>90</v>
      </c>
      <c r="G115" s="5" t="s">
        <v>15</v>
      </c>
      <c r="H115" s="5" t="s">
        <v>21</v>
      </c>
      <c r="I115" s="5" t="s">
        <v>16</v>
      </c>
      <c r="J115" s="5" t="s">
        <v>10</v>
      </c>
      <c r="K115" s="5">
        <v>23</v>
      </c>
      <c r="L115" s="5" t="s">
        <v>192</v>
      </c>
      <c r="M115" s="5">
        <v>2500</v>
      </c>
      <c r="N115" s="5" t="s">
        <v>170</v>
      </c>
      <c r="O115" s="6" t="s">
        <v>78</v>
      </c>
      <c r="P115" s="6" t="s">
        <v>80</v>
      </c>
      <c r="Q115" s="6">
        <v>2003</v>
      </c>
      <c r="R115" s="6"/>
      <c r="S115" s="6">
        <v>24</v>
      </c>
      <c r="T115" s="6">
        <v>11.4</v>
      </c>
      <c r="U115" s="6">
        <v>2157</v>
      </c>
      <c r="V115" s="6">
        <v>40.299999999999997</v>
      </c>
      <c r="W115" s="6">
        <v>0</v>
      </c>
      <c r="X115" s="6">
        <v>600</v>
      </c>
      <c r="Y115" s="6">
        <v>1043</v>
      </c>
      <c r="Z115" s="6">
        <v>457</v>
      </c>
      <c r="AA115" s="6">
        <v>57</v>
      </c>
      <c r="AB115" s="6">
        <v>0</v>
      </c>
      <c r="AC115" s="2">
        <v>83</v>
      </c>
      <c r="AD115" s="2" t="s">
        <v>53</v>
      </c>
      <c r="AE115" s="7">
        <v>28.51</v>
      </c>
      <c r="AF115" s="7">
        <v>185</v>
      </c>
      <c r="AG115" s="7">
        <v>23.91</v>
      </c>
      <c r="AH115" s="7">
        <v>40.57</v>
      </c>
      <c r="AI115" s="7">
        <v>43.12</v>
      </c>
      <c r="AJ115" s="9">
        <v>295.78945958192099</v>
      </c>
      <c r="AK115" s="9">
        <v>298.89986720000002</v>
      </c>
      <c r="AL115" s="9">
        <v>338.626293581482</v>
      </c>
      <c r="AM115" s="9">
        <v>79.572117571225505</v>
      </c>
      <c r="AN115" s="9">
        <v>0.95870021170151198</v>
      </c>
      <c r="AO115" s="9">
        <v>0.28962330892471799</v>
      </c>
      <c r="AP115" s="9">
        <v>842.63404942391503</v>
      </c>
      <c r="AQ115" s="9">
        <v>10.152217462938699</v>
      </c>
      <c r="AR115" s="9">
        <v>5.6840188083722296</v>
      </c>
      <c r="AS115" s="73">
        <v>29</v>
      </c>
      <c r="AT115" s="10">
        <v>2.963943245412402</v>
      </c>
      <c r="AU115" s="10">
        <v>36.07372598371547</v>
      </c>
      <c r="AV115" s="10">
        <v>35.426863202109985</v>
      </c>
      <c r="AW115" s="10">
        <v>0.75567457753779221</v>
      </c>
      <c r="AX115" s="74">
        <v>1.2216159724865512</v>
      </c>
      <c r="AY115" s="74"/>
      <c r="AZ115" s="74"/>
      <c r="BA115" s="74"/>
      <c r="BB115" s="10"/>
      <c r="BC115" s="10"/>
      <c r="BD115" s="10"/>
      <c r="BE115" s="10"/>
      <c r="BF115" s="12">
        <v>0.44</v>
      </c>
      <c r="BG115" s="13">
        <v>259.50061632000001</v>
      </c>
      <c r="BH115" s="96" t="str">
        <f>+VLOOKUP(G115,Liste!$A$7:$G$50,3,FALSE)</f>
        <v>Pin sylvestre</v>
      </c>
      <c r="BI115" s="96" t="str">
        <f>+VLOOKUP(H115,Liste!$B$7:$G$50,5,FALSE)</f>
        <v>GS Pineraies des plaines du Centre et du Nord Ouest</v>
      </c>
      <c r="BJ115" s="135">
        <f t="shared" si="27"/>
        <v>83</v>
      </c>
      <c r="BK115" s="135" t="str">
        <f t="shared" si="29"/>
        <v>Pin sylvestre_F2_Eclaircie précoce_GS Pineraies des plaines du Centre et du Nord Ouest_83_</v>
      </c>
      <c r="BL115" s="322"/>
      <c r="BM115" s="13">
        <v>66.793327579999982</v>
      </c>
      <c r="BN115" s="13">
        <v>326.29394389591232</v>
      </c>
      <c r="BO115" s="13">
        <v>37.850529390472673</v>
      </c>
      <c r="BP115" s="13">
        <v>244.97</v>
      </c>
      <c r="BQ115" s="13">
        <v>5.2464242191379098</v>
      </c>
      <c r="BT115" s="298" t="str">
        <f>+VLOOKUP(G115,Liste!$A$7:$H$50,8,FALSE)</f>
        <v>Résineux</v>
      </c>
      <c r="BU115" s="298">
        <f t="shared" si="30"/>
        <v>0</v>
      </c>
      <c r="BV115" s="300">
        <f t="shared" si="31"/>
        <v>1</v>
      </c>
      <c r="BW115" s="321">
        <v>0</v>
      </c>
      <c r="BX115" s="298">
        <f t="shared" si="32"/>
        <v>0.43</v>
      </c>
      <c r="BY115">
        <f t="shared" si="33"/>
        <v>0</v>
      </c>
      <c r="BZ115" s="304">
        <f t="shared" si="34"/>
        <v>0</v>
      </c>
      <c r="CB115" s="299">
        <v>0.6</v>
      </c>
      <c r="CC115" s="299">
        <v>0.4</v>
      </c>
      <c r="CD115">
        <f t="shared" si="35"/>
        <v>0</v>
      </c>
      <c r="CE115">
        <f t="shared" si="36"/>
        <v>0</v>
      </c>
      <c r="CF115">
        <f t="shared" si="37"/>
        <v>0</v>
      </c>
      <c r="CG115">
        <f t="shared" si="38"/>
        <v>0</v>
      </c>
      <c r="CH115">
        <f t="shared" si="39"/>
        <v>0</v>
      </c>
      <c r="CI115">
        <f t="shared" si="40"/>
        <v>0</v>
      </c>
      <c r="CJ115">
        <f t="shared" si="41"/>
        <v>0</v>
      </c>
      <c r="CK115">
        <f t="shared" si="42"/>
        <v>0</v>
      </c>
      <c r="CL115">
        <f t="shared" si="43"/>
        <v>0</v>
      </c>
      <c r="CM115">
        <f t="shared" si="45"/>
        <v>0</v>
      </c>
      <c r="CN115">
        <f t="shared" si="44"/>
        <v>0</v>
      </c>
      <c r="CO115">
        <f t="shared" si="28"/>
        <v>0</v>
      </c>
    </row>
    <row r="116" spans="1:93" s="12" customFormat="1" ht="14.65" customHeight="1" x14ac:dyDescent="0.25">
      <c r="A116" s="4">
        <v>2021</v>
      </c>
      <c r="B116" s="4"/>
      <c r="C116" s="4" t="s">
        <v>64</v>
      </c>
      <c r="D116" s="4" t="s">
        <v>65</v>
      </c>
      <c r="E116" s="4"/>
      <c r="F116" s="4" t="s">
        <v>90</v>
      </c>
      <c r="G116" s="5" t="s">
        <v>15</v>
      </c>
      <c r="H116" s="5" t="s">
        <v>21</v>
      </c>
      <c r="I116" s="5" t="s">
        <v>16</v>
      </c>
      <c r="J116" s="5" t="s">
        <v>10</v>
      </c>
      <c r="K116" s="5">
        <v>23</v>
      </c>
      <c r="L116" s="5" t="s">
        <v>192</v>
      </c>
      <c r="M116" s="5">
        <v>2500</v>
      </c>
      <c r="N116" s="5" t="s">
        <v>170</v>
      </c>
      <c r="O116" s="6" t="s">
        <v>78</v>
      </c>
      <c r="P116" s="6" t="s">
        <v>80</v>
      </c>
      <c r="Q116" s="6">
        <v>2003</v>
      </c>
      <c r="R116" s="6"/>
      <c r="S116" s="6">
        <v>24</v>
      </c>
      <c r="T116" s="6">
        <v>11.4</v>
      </c>
      <c r="U116" s="6">
        <v>2157</v>
      </c>
      <c r="V116" s="6">
        <v>40.299999999999997</v>
      </c>
      <c r="W116" s="6">
        <v>0</v>
      </c>
      <c r="X116" s="6">
        <v>600</v>
      </c>
      <c r="Y116" s="6">
        <v>1043</v>
      </c>
      <c r="Z116" s="6">
        <v>457</v>
      </c>
      <c r="AA116" s="6">
        <v>57</v>
      </c>
      <c r="AB116" s="6">
        <v>0</v>
      </c>
      <c r="AC116" s="2">
        <v>84</v>
      </c>
      <c r="AD116" s="2" t="s">
        <v>52</v>
      </c>
      <c r="AE116" s="7">
        <v>28.67</v>
      </c>
      <c r="AF116" s="7">
        <v>185</v>
      </c>
      <c r="AG116" s="7">
        <v>24.2</v>
      </c>
      <c r="AH116" s="7">
        <v>40.81</v>
      </c>
      <c r="AI116" s="7">
        <v>43.39</v>
      </c>
      <c r="AJ116" s="9">
        <v>300.94410732564</v>
      </c>
      <c r="AK116" s="9">
        <v>304.10696159999998</v>
      </c>
      <c r="AL116" s="9">
        <v>344.310312389854</v>
      </c>
      <c r="AM116" s="9">
        <v>79.861740880150194</v>
      </c>
      <c r="AN116" s="9">
        <v>0.95073501047797904</v>
      </c>
      <c r="AO116" s="9">
        <v>0.28552276082157801</v>
      </c>
      <c r="AP116" s="9">
        <v>848.31806823228806</v>
      </c>
      <c r="AQ116" s="9">
        <v>10.0990246218129</v>
      </c>
      <c r="AR116" s="9">
        <v>5.7183125695928503</v>
      </c>
      <c r="AS116" s="73" t="s">
        <v>169</v>
      </c>
      <c r="AT116" s="10"/>
      <c r="AU116" s="10" t="s">
        <v>169</v>
      </c>
      <c r="AV116" s="10">
        <v>0</v>
      </c>
      <c r="AW116" s="8"/>
      <c r="AX116" s="74" t="s">
        <v>169</v>
      </c>
      <c r="AY116" s="74"/>
      <c r="AZ116" s="74"/>
      <c r="BA116" s="74"/>
      <c r="BB116" s="8"/>
      <c r="BC116" s="8"/>
      <c r="BD116" s="8"/>
      <c r="BE116" s="8"/>
      <c r="BF116" s="12">
        <v>0.44</v>
      </c>
      <c r="BG116" s="13">
        <v>263.85646939666668</v>
      </c>
      <c r="BH116" s="96" t="str">
        <f>+VLOOKUP(G116,Liste!$A$7:$G$50,3,FALSE)</f>
        <v>Pin sylvestre</v>
      </c>
      <c r="BI116" s="96" t="str">
        <f>+VLOOKUP(H116,Liste!$B$7:$G$50,5,FALSE)</f>
        <v>GS Pineraies des plaines du Centre et du Nord Ouest</v>
      </c>
      <c r="BJ116" s="135">
        <f t="shared" si="27"/>
        <v>84</v>
      </c>
      <c r="BK116" s="135" t="str">
        <f t="shared" si="29"/>
        <v>Pin sylvestre_F2_Eclaircie précoce_GS Pineraies des plaines du Centre et du Nord Ouest_84_</v>
      </c>
      <c r="BL116" s="322"/>
      <c r="BM116" s="13">
        <v>67.783023503333311</v>
      </c>
      <c r="BN116" s="13">
        <v>331.63949287092026</v>
      </c>
      <c r="BO116" s="13"/>
      <c r="BP116" s="13">
        <v>244.97</v>
      </c>
      <c r="BQ116" s="13">
        <v>5.2773772182443999</v>
      </c>
      <c r="BT116" s="298" t="str">
        <f>+VLOOKUP(G116,Liste!$A$7:$H$50,8,FALSE)</f>
        <v>Résineux</v>
      </c>
      <c r="BU116" s="298">
        <f t="shared" si="30"/>
        <v>0</v>
      </c>
      <c r="BV116" s="300">
        <f t="shared" si="31"/>
        <v>1</v>
      </c>
      <c r="BW116" s="321">
        <v>0</v>
      </c>
      <c r="BX116" s="298">
        <f t="shared" si="32"/>
        <v>0.43</v>
      </c>
      <c r="BY116">
        <f t="shared" si="33"/>
        <v>0</v>
      </c>
      <c r="BZ116" s="304">
        <f t="shared" si="34"/>
        <v>0</v>
      </c>
      <c r="CB116" s="299">
        <v>0.6</v>
      </c>
      <c r="CC116" s="299">
        <v>0.4</v>
      </c>
      <c r="CD116">
        <f t="shared" si="35"/>
        <v>0</v>
      </c>
      <c r="CE116">
        <f t="shared" si="36"/>
        <v>0</v>
      </c>
      <c r="CF116">
        <f t="shared" si="37"/>
        <v>0</v>
      </c>
      <c r="CG116">
        <f t="shared" si="38"/>
        <v>0</v>
      </c>
      <c r="CH116">
        <f t="shared" si="39"/>
        <v>0</v>
      </c>
      <c r="CI116">
        <f t="shared" si="40"/>
        <v>0</v>
      </c>
      <c r="CJ116">
        <f t="shared" si="41"/>
        <v>0</v>
      </c>
      <c r="CK116">
        <f t="shared" si="42"/>
        <v>0</v>
      </c>
      <c r="CL116">
        <f t="shared" si="43"/>
        <v>0</v>
      </c>
      <c r="CM116">
        <f t="shared" si="45"/>
        <v>0</v>
      </c>
      <c r="CN116">
        <f t="shared" si="44"/>
        <v>0</v>
      </c>
      <c r="CO116">
        <f t="shared" si="28"/>
        <v>0</v>
      </c>
    </row>
    <row r="117" spans="1:93" s="12" customFormat="1" ht="14.65" customHeight="1" x14ac:dyDescent="0.25">
      <c r="A117" s="4">
        <v>2021</v>
      </c>
      <c r="B117" s="4"/>
      <c r="C117" s="4" t="s">
        <v>64</v>
      </c>
      <c r="D117" s="4" t="s">
        <v>65</v>
      </c>
      <c r="E117" s="4"/>
      <c r="F117" s="4" t="s">
        <v>90</v>
      </c>
      <c r="G117" s="5" t="s">
        <v>15</v>
      </c>
      <c r="H117" s="5" t="s">
        <v>21</v>
      </c>
      <c r="I117" s="5" t="s">
        <v>16</v>
      </c>
      <c r="J117" s="5" t="s">
        <v>10</v>
      </c>
      <c r="K117" s="5">
        <v>23</v>
      </c>
      <c r="L117" s="5" t="s">
        <v>192</v>
      </c>
      <c r="M117" s="5">
        <v>2500</v>
      </c>
      <c r="N117" s="5" t="s">
        <v>170</v>
      </c>
      <c r="O117" s="6" t="s">
        <v>78</v>
      </c>
      <c r="P117" s="6" t="s">
        <v>80</v>
      </c>
      <c r="Q117" s="6">
        <v>2003</v>
      </c>
      <c r="R117" s="6"/>
      <c r="S117" s="6">
        <v>24</v>
      </c>
      <c r="T117" s="6">
        <v>11.4</v>
      </c>
      <c r="U117" s="6">
        <v>2157</v>
      </c>
      <c r="V117" s="6">
        <v>40.299999999999997</v>
      </c>
      <c r="W117" s="6">
        <v>0</v>
      </c>
      <c r="X117" s="6">
        <v>600</v>
      </c>
      <c r="Y117" s="6">
        <v>1043</v>
      </c>
      <c r="Z117" s="6">
        <v>457</v>
      </c>
      <c r="AA117" s="6">
        <v>57</v>
      </c>
      <c r="AB117" s="6">
        <v>0</v>
      </c>
      <c r="AC117" s="2">
        <v>85</v>
      </c>
      <c r="AD117" s="2" t="s">
        <v>52</v>
      </c>
      <c r="AE117" s="7">
        <v>28.84</v>
      </c>
      <c r="AF117" s="7">
        <v>185</v>
      </c>
      <c r="AG117" s="7">
        <v>24.49</v>
      </c>
      <c r="AH117" s="7">
        <v>41.05</v>
      </c>
      <c r="AI117" s="7">
        <v>43.65</v>
      </c>
      <c r="AJ117" s="9">
        <v>306.14929509841301</v>
      </c>
      <c r="AK117" s="9">
        <v>309.36286130000002</v>
      </c>
      <c r="AL117" s="9">
        <v>350.02862495944697</v>
      </c>
      <c r="AM117" s="9">
        <v>80.147263640971801</v>
      </c>
      <c r="AN117" s="9">
        <v>0.94290898401143297</v>
      </c>
      <c r="AO117" s="9">
        <v>0.28358586684888099</v>
      </c>
      <c r="AP117" s="9">
        <v>854.03638080188102</v>
      </c>
      <c r="AQ117" s="9">
        <v>10.047486832963299</v>
      </c>
      <c r="AR117" s="9">
        <v>5.76692651472933</v>
      </c>
      <c r="AS117" s="73" t="s">
        <v>169</v>
      </c>
      <c r="AT117" s="10"/>
      <c r="AU117" s="10" t="s">
        <v>169</v>
      </c>
      <c r="AV117" s="10">
        <v>0</v>
      </c>
      <c r="AW117" s="8"/>
      <c r="AX117" s="74" t="s">
        <v>169</v>
      </c>
      <c r="AY117" s="74"/>
      <c r="AZ117" s="74"/>
      <c r="BA117" s="74"/>
      <c r="BB117" s="8"/>
      <c r="BC117" s="8"/>
      <c r="BD117" s="8"/>
      <c r="BE117" s="8"/>
      <c r="BF117" s="12">
        <v>0.44</v>
      </c>
      <c r="BG117" s="13">
        <v>268.23860294000002</v>
      </c>
      <c r="BH117" s="96" t="str">
        <f>+VLOOKUP(G117,Liste!$A$7:$G$50,3,FALSE)</f>
        <v>Pin sylvestre</v>
      </c>
      <c r="BI117" s="96" t="str">
        <f>+VLOOKUP(H117,Liste!$B$7:$G$50,5,FALSE)</f>
        <v>GS Pineraies des plaines du Centre et du Nord Ouest</v>
      </c>
      <c r="BJ117" s="135">
        <f t="shared" si="27"/>
        <v>85</v>
      </c>
      <c r="BK117" s="135" t="str">
        <f t="shared" si="29"/>
        <v>Pin sylvestre_F2_Eclaircie précoce_GS Pineraies des plaines du Centre et du Nord Ouest_85_</v>
      </c>
      <c r="BL117" s="322"/>
      <c r="BM117" s="13">
        <v>68.776773359999993</v>
      </c>
      <c r="BN117" s="13">
        <v>337.01537629042582</v>
      </c>
      <c r="BO117" s="13"/>
      <c r="BP117" s="13">
        <v>244.97</v>
      </c>
      <c r="BQ117" s="13">
        <v>5.3215362082804596</v>
      </c>
      <c r="BT117" s="298" t="str">
        <f>+VLOOKUP(G117,Liste!$A$7:$H$50,8,FALSE)</f>
        <v>Résineux</v>
      </c>
      <c r="BU117" s="298">
        <f t="shared" si="30"/>
        <v>0</v>
      </c>
      <c r="BV117" s="300">
        <f t="shared" si="31"/>
        <v>1</v>
      </c>
      <c r="BW117" s="321">
        <v>0</v>
      </c>
      <c r="BX117" s="298">
        <f t="shared" si="32"/>
        <v>0.43</v>
      </c>
      <c r="BY117">
        <f t="shared" si="33"/>
        <v>0</v>
      </c>
      <c r="BZ117" s="304">
        <f t="shared" si="34"/>
        <v>0</v>
      </c>
      <c r="CB117" s="299">
        <v>0.6</v>
      </c>
      <c r="CC117" s="299">
        <v>0.4</v>
      </c>
      <c r="CD117">
        <f t="shared" si="35"/>
        <v>0</v>
      </c>
      <c r="CE117">
        <f t="shared" si="36"/>
        <v>0</v>
      </c>
      <c r="CF117">
        <f t="shared" si="37"/>
        <v>0</v>
      </c>
      <c r="CG117">
        <f t="shared" si="38"/>
        <v>0</v>
      </c>
      <c r="CH117">
        <f t="shared" si="39"/>
        <v>0</v>
      </c>
      <c r="CI117">
        <f t="shared" si="40"/>
        <v>0</v>
      </c>
      <c r="CJ117">
        <f t="shared" si="41"/>
        <v>0</v>
      </c>
      <c r="CK117">
        <f t="shared" si="42"/>
        <v>0</v>
      </c>
      <c r="CL117">
        <f t="shared" si="43"/>
        <v>0</v>
      </c>
      <c r="CM117">
        <f t="shared" si="45"/>
        <v>0</v>
      </c>
      <c r="CN117">
        <f t="shared" si="44"/>
        <v>0</v>
      </c>
      <c r="CO117">
        <f t="shared" si="28"/>
        <v>0</v>
      </c>
    </row>
    <row r="118" spans="1:93" s="12" customFormat="1" ht="14.65" customHeight="1" x14ac:dyDescent="0.25">
      <c r="A118" s="4">
        <v>2021</v>
      </c>
      <c r="B118" s="4"/>
      <c r="C118" s="4" t="s">
        <v>64</v>
      </c>
      <c r="D118" s="4" t="s">
        <v>65</v>
      </c>
      <c r="E118" s="4"/>
      <c r="F118" s="4" t="s">
        <v>90</v>
      </c>
      <c r="G118" s="5" t="s">
        <v>15</v>
      </c>
      <c r="H118" s="5" t="s">
        <v>21</v>
      </c>
      <c r="I118" s="5" t="s">
        <v>16</v>
      </c>
      <c r="J118" s="5" t="s">
        <v>10</v>
      </c>
      <c r="K118" s="5">
        <v>23</v>
      </c>
      <c r="L118" s="5" t="s">
        <v>192</v>
      </c>
      <c r="M118" s="5">
        <v>2500</v>
      </c>
      <c r="N118" s="5" t="s">
        <v>170</v>
      </c>
      <c r="O118" s="6" t="s">
        <v>78</v>
      </c>
      <c r="P118" s="6" t="s">
        <v>80</v>
      </c>
      <c r="Q118" s="6">
        <v>2003</v>
      </c>
      <c r="R118" s="6"/>
      <c r="S118" s="6">
        <v>24</v>
      </c>
      <c r="T118" s="6">
        <v>11.4</v>
      </c>
      <c r="U118" s="6">
        <v>2157</v>
      </c>
      <c r="V118" s="6">
        <v>40.299999999999997</v>
      </c>
      <c r="W118" s="6">
        <v>0</v>
      </c>
      <c r="X118" s="6">
        <v>600</v>
      </c>
      <c r="Y118" s="6">
        <v>1043</v>
      </c>
      <c r="Z118" s="6">
        <v>457</v>
      </c>
      <c r="AA118" s="6">
        <v>57</v>
      </c>
      <c r="AB118" s="6">
        <v>0</v>
      </c>
      <c r="AC118" s="2">
        <v>86</v>
      </c>
      <c r="AD118" s="2" t="s">
        <v>52</v>
      </c>
      <c r="AE118" s="7">
        <v>29</v>
      </c>
      <c r="AF118" s="7">
        <v>185</v>
      </c>
      <c r="AG118" s="7">
        <v>24.77</v>
      </c>
      <c r="AH118" s="7">
        <v>41.29</v>
      </c>
      <c r="AI118" s="7">
        <v>43.9</v>
      </c>
      <c r="AJ118" s="9">
        <v>311.41339938637299</v>
      </c>
      <c r="AK118" s="9">
        <v>314.67645690000001</v>
      </c>
      <c r="AL118" s="9">
        <v>355.79555147417699</v>
      </c>
      <c r="AM118" s="9">
        <v>80.430849507820696</v>
      </c>
      <c r="AN118" s="9">
        <v>0.93524243613744995</v>
      </c>
      <c r="AO118" s="9">
        <v>0.27976677403158601</v>
      </c>
      <c r="AP118" s="9">
        <v>859.80330731661002</v>
      </c>
      <c r="AQ118" s="9">
        <v>9.9977128757745302</v>
      </c>
      <c r="AR118" s="9">
        <v>5.6417902093029397</v>
      </c>
      <c r="AS118" s="73" t="s">
        <v>169</v>
      </c>
      <c r="AT118" s="10"/>
      <c r="AU118" s="10" t="s">
        <v>169</v>
      </c>
      <c r="AV118" s="10">
        <v>0</v>
      </c>
      <c r="AW118" s="8"/>
      <c r="AX118" s="74" t="s">
        <v>169</v>
      </c>
      <c r="AY118" s="74"/>
      <c r="AZ118" s="74"/>
      <c r="BA118" s="74"/>
      <c r="BB118" s="8"/>
      <c r="BC118" s="8"/>
      <c r="BD118" s="8"/>
      <c r="BE118" s="8"/>
      <c r="BF118" s="12">
        <v>0.44</v>
      </c>
      <c r="BG118" s="13">
        <v>272.65799095333335</v>
      </c>
      <c r="BH118" s="96" t="str">
        <f>+VLOOKUP(G118,Liste!$A$7:$G$50,3,FALSE)</f>
        <v>Pin sylvestre</v>
      </c>
      <c r="BI118" s="96" t="str">
        <f>+VLOOKUP(H118,Liste!$B$7:$G$50,5,FALSE)</f>
        <v>GS Pineraies des plaines du Centre et du Nord Ouest</v>
      </c>
      <c r="BJ118" s="135">
        <f t="shared" si="27"/>
        <v>86</v>
      </c>
      <c r="BK118" s="135" t="str">
        <f t="shared" si="29"/>
        <v>Pin sylvestre_F2_Eclaircie précoce_GS Pineraies des plaines du Centre et du Nord Ouest_86_</v>
      </c>
      <c r="BL118" s="322"/>
      <c r="BM118" s="13">
        <v>69.777059546666635</v>
      </c>
      <c r="BN118" s="13">
        <v>342.43505046471637</v>
      </c>
      <c r="BO118" s="13"/>
      <c r="BP118" s="13">
        <v>244.97</v>
      </c>
      <c r="BQ118" s="13">
        <v>5.2053830619884103</v>
      </c>
      <c r="BT118" s="298" t="str">
        <f>+VLOOKUP(G118,Liste!$A$7:$H$50,8,FALSE)</f>
        <v>Résineux</v>
      </c>
      <c r="BU118" s="298">
        <f t="shared" si="30"/>
        <v>0</v>
      </c>
      <c r="BV118" s="300">
        <f t="shared" si="31"/>
        <v>1</v>
      </c>
      <c r="BW118" s="321">
        <v>0</v>
      </c>
      <c r="BX118" s="298">
        <f t="shared" si="32"/>
        <v>0.43</v>
      </c>
      <c r="BY118">
        <f t="shared" si="33"/>
        <v>0</v>
      </c>
      <c r="BZ118" s="304">
        <f t="shared" si="34"/>
        <v>0</v>
      </c>
      <c r="CB118" s="299">
        <v>0.6</v>
      </c>
      <c r="CC118" s="299">
        <v>0.4</v>
      </c>
      <c r="CD118">
        <f t="shared" si="35"/>
        <v>0</v>
      </c>
      <c r="CE118">
        <f t="shared" si="36"/>
        <v>0</v>
      </c>
      <c r="CF118">
        <f t="shared" si="37"/>
        <v>0</v>
      </c>
      <c r="CG118">
        <f t="shared" si="38"/>
        <v>0</v>
      </c>
      <c r="CH118">
        <f t="shared" si="39"/>
        <v>0</v>
      </c>
      <c r="CI118">
        <f t="shared" si="40"/>
        <v>0</v>
      </c>
      <c r="CJ118">
        <f t="shared" si="41"/>
        <v>0</v>
      </c>
      <c r="CK118">
        <f t="shared" si="42"/>
        <v>0</v>
      </c>
      <c r="CL118">
        <f t="shared" si="43"/>
        <v>0</v>
      </c>
      <c r="CM118">
        <f t="shared" si="45"/>
        <v>0</v>
      </c>
      <c r="CN118">
        <f t="shared" si="44"/>
        <v>0</v>
      </c>
      <c r="CO118">
        <f t="shared" si="28"/>
        <v>0</v>
      </c>
    </row>
    <row r="119" spans="1:93" s="12" customFormat="1" ht="14.65" customHeight="1" x14ac:dyDescent="0.25">
      <c r="A119" s="4">
        <v>2021</v>
      </c>
      <c r="B119" s="4"/>
      <c r="C119" s="4" t="s">
        <v>64</v>
      </c>
      <c r="D119" s="4" t="s">
        <v>65</v>
      </c>
      <c r="E119" s="4"/>
      <c r="F119" s="4" t="s">
        <v>90</v>
      </c>
      <c r="G119" s="5" t="s">
        <v>15</v>
      </c>
      <c r="H119" s="5" t="s">
        <v>21</v>
      </c>
      <c r="I119" s="5" t="s">
        <v>16</v>
      </c>
      <c r="J119" s="5" t="s">
        <v>10</v>
      </c>
      <c r="K119" s="5">
        <v>23</v>
      </c>
      <c r="L119" s="5" t="s">
        <v>192</v>
      </c>
      <c r="M119" s="5">
        <v>2500</v>
      </c>
      <c r="N119" s="5" t="s">
        <v>170</v>
      </c>
      <c r="O119" s="6" t="s">
        <v>78</v>
      </c>
      <c r="P119" s="6" t="s">
        <v>80</v>
      </c>
      <c r="Q119" s="6">
        <v>2003</v>
      </c>
      <c r="R119" s="6"/>
      <c r="S119" s="6">
        <v>24</v>
      </c>
      <c r="T119" s="6">
        <v>11.4</v>
      </c>
      <c r="U119" s="6">
        <v>2157</v>
      </c>
      <c r="V119" s="6">
        <v>40.299999999999997</v>
      </c>
      <c r="W119" s="6">
        <v>0</v>
      </c>
      <c r="X119" s="6">
        <v>600</v>
      </c>
      <c r="Y119" s="6">
        <v>1043</v>
      </c>
      <c r="Z119" s="6">
        <v>457</v>
      </c>
      <c r="AA119" s="6">
        <v>57</v>
      </c>
      <c r="AB119" s="6">
        <v>0</v>
      </c>
      <c r="AC119" s="2">
        <v>87</v>
      </c>
      <c r="AD119" s="2" t="s">
        <v>52</v>
      </c>
      <c r="AE119" s="7">
        <v>29.16</v>
      </c>
      <c r="AF119" s="7">
        <v>185</v>
      </c>
      <c r="AG119" s="7">
        <v>25.05</v>
      </c>
      <c r="AH119" s="7">
        <v>41.52</v>
      </c>
      <c r="AI119" s="7">
        <v>44.16</v>
      </c>
      <c r="AJ119" s="9">
        <v>316.551194525406</v>
      </c>
      <c r="AK119" s="9">
        <v>319.86446969999997</v>
      </c>
      <c r="AL119" s="9">
        <v>361.43734168347999</v>
      </c>
      <c r="AM119" s="9">
        <v>80.710616281852296</v>
      </c>
      <c r="AN119" s="9">
        <v>0.92770823312473905</v>
      </c>
      <c r="AO119" s="9">
        <v>0.27833687028132198</v>
      </c>
      <c r="AP119" s="9">
        <v>865.44509752591296</v>
      </c>
      <c r="AQ119" s="9">
        <v>9.9476447991484207</v>
      </c>
      <c r="AR119" s="9">
        <v>5.7123217713685799</v>
      </c>
      <c r="AS119" s="73" t="s">
        <v>169</v>
      </c>
      <c r="AT119" s="10"/>
      <c r="AU119" s="10" t="s">
        <v>169</v>
      </c>
      <c r="AV119" s="10">
        <v>0</v>
      </c>
      <c r="AW119" s="8"/>
      <c r="AX119" s="74" t="s">
        <v>169</v>
      </c>
      <c r="AY119" s="74"/>
      <c r="AZ119" s="74"/>
      <c r="BA119" s="74"/>
      <c r="BB119" s="8"/>
      <c r="BC119" s="8"/>
      <c r="BD119" s="8"/>
      <c r="BE119" s="8"/>
      <c r="BF119" s="12">
        <v>0.44</v>
      </c>
      <c r="BG119" s="13">
        <v>276.98148283666666</v>
      </c>
      <c r="BH119" s="96" t="str">
        <f>+VLOOKUP(G119,Liste!$A$7:$G$50,3,FALSE)</f>
        <v>Pin sylvestre</v>
      </c>
      <c r="BI119" s="96" t="str">
        <f>+VLOOKUP(H119,Liste!$B$7:$G$50,5,FALSE)</f>
        <v>GS Pineraies des plaines du Centre et du Nord Ouest</v>
      </c>
      <c r="BJ119" s="135">
        <f t="shared" si="27"/>
        <v>87</v>
      </c>
      <c r="BK119" s="135" t="str">
        <f t="shared" si="29"/>
        <v>Pin sylvestre_F2_Eclaircie précoce_GS Pineraies des plaines du Centre et du Nord Ouest_87_</v>
      </c>
      <c r="BL119" s="322"/>
      <c r="BM119" s="13">
        <v>70.753815663333341</v>
      </c>
      <c r="BN119" s="13">
        <v>347.73529851606628</v>
      </c>
      <c r="BO119" s="13"/>
      <c r="BP119" s="13">
        <v>244.97</v>
      </c>
      <c r="BQ119" s="13">
        <v>5.2697773135012103</v>
      </c>
      <c r="BT119" s="298" t="str">
        <f>+VLOOKUP(G119,Liste!$A$7:$H$50,8,FALSE)</f>
        <v>Résineux</v>
      </c>
      <c r="BU119" s="298">
        <f t="shared" si="30"/>
        <v>0</v>
      </c>
      <c r="BV119" s="300">
        <f t="shared" si="31"/>
        <v>1</v>
      </c>
      <c r="BW119" s="321">
        <v>0</v>
      </c>
      <c r="BX119" s="298">
        <f t="shared" si="32"/>
        <v>0.43</v>
      </c>
      <c r="BY119">
        <f t="shared" si="33"/>
        <v>0</v>
      </c>
      <c r="BZ119" s="304">
        <f t="shared" si="34"/>
        <v>0</v>
      </c>
      <c r="CB119" s="299">
        <v>0.6</v>
      </c>
      <c r="CC119" s="299">
        <v>0.4</v>
      </c>
      <c r="CD119">
        <f t="shared" si="35"/>
        <v>0</v>
      </c>
      <c r="CE119">
        <f t="shared" si="36"/>
        <v>0</v>
      </c>
      <c r="CF119">
        <f t="shared" si="37"/>
        <v>0</v>
      </c>
      <c r="CG119">
        <f t="shared" si="38"/>
        <v>0</v>
      </c>
      <c r="CH119">
        <f t="shared" si="39"/>
        <v>0</v>
      </c>
      <c r="CI119">
        <f t="shared" si="40"/>
        <v>0</v>
      </c>
      <c r="CJ119">
        <f t="shared" si="41"/>
        <v>0</v>
      </c>
      <c r="CK119">
        <f t="shared" si="42"/>
        <v>0</v>
      </c>
      <c r="CL119">
        <f t="shared" si="43"/>
        <v>0</v>
      </c>
      <c r="CM119">
        <f t="shared" si="45"/>
        <v>0</v>
      </c>
      <c r="CN119">
        <f t="shared" si="44"/>
        <v>0</v>
      </c>
      <c r="CO119">
        <f t="shared" si="28"/>
        <v>0</v>
      </c>
    </row>
    <row r="120" spans="1:93" s="12" customFormat="1" ht="14.65" customHeight="1" x14ac:dyDescent="0.25">
      <c r="A120" s="4">
        <v>2021</v>
      </c>
      <c r="B120" s="4"/>
      <c r="C120" s="4" t="s">
        <v>64</v>
      </c>
      <c r="D120" s="4" t="s">
        <v>65</v>
      </c>
      <c r="E120" s="4"/>
      <c r="F120" s="4" t="s">
        <v>90</v>
      </c>
      <c r="G120" s="5" t="s">
        <v>15</v>
      </c>
      <c r="H120" s="5" t="s">
        <v>21</v>
      </c>
      <c r="I120" s="5" t="s">
        <v>16</v>
      </c>
      <c r="J120" s="5" t="s">
        <v>10</v>
      </c>
      <c r="K120" s="5">
        <v>23</v>
      </c>
      <c r="L120" s="5" t="s">
        <v>192</v>
      </c>
      <c r="M120" s="5">
        <v>2500</v>
      </c>
      <c r="N120" s="5" t="s">
        <v>170</v>
      </c>
      <c r="O120" s="6" t="s">
        <v>78</v>
      </c>
      <c r="P120" s="6" t="s">
        <v>80</v>
      </c>
      <c r="Q120" s="6">
        <v>2003</v>
      </c>
      <c r="R120" s="6"/>
      <c r="S120" s="6">
        <v>24</v>
      </c>
      <c r="T120" s="6">
        <v>11.4</v>
      </c>
      <c r="U120" s="6">
        <v>2157</v>
      </c>
      <c r="V120" s="6">
        <v>40.299999999999997</v>
      </c>
      <c r="W120" s="6">
        <v>0</v>
      </c>
      <c r="X120" s="6">
        <v>600</v>
      </c>
      <c r="Y120" s="6">
        <v>1043</v>
      </c>
      <c r="Z120" s="6">
        <v>457</v>
      </c>
      <c r="AA120" s="6">
        <v>57</v>
      </c>
      <c r="AB120" s="6">
        <v>0</v>
      </c>
      <c r="AC120" s="2">
        <v>88</v>
      </c>
      <c r="AD120" s="2" t="s">
        <v>52</v>
      </c>
      <c r="AE120" s="7">
        <v>29.32</v>
      </c>
      <c r="AF120" s="7">
        <v>185</v>
      </c>
      <c r="AG120" s="7">
        <v>25.33</v>
      </c>
      <c r="AH120" s="7">
        <v>41.75</v>
      </c>
      <c r="AI120" s="7">
        <v>44.41</v>
      </c>
      <c r="AJ120" s="9">
        <v>321.77008085137697</v>
      </c>
      <c r="AK120" s="9">
        <v>325.13223799999997</v>
      </c>
      <c r="AL120" s="9">
        <v>367.149663454848</v>
      </c>
      <c r="AM120" s="9">
        <v>80.988953152133604</v>
      </c>
      <c r="AN120" s="9">
        <v>0.92032901309242698</v>
      </c>
      <c r="AO120" s="9">
        <v>0.274163704263998</v>
      </c>
      <c r="AP120" s="9">
        <v>871.15741929728097</v>
      </c>
      <c r="AQ120" s="9">
        <v>9.8995161283782007</v>
      </c>
      <c r="AR120" s="9">
        <v>5.5979099219359796</v>
      </c>
      <c r="AS120" s="73" t="s">
        <v>169</v>
      </c>
      <c r="AT120" s="10"/>
      <c r="AU120" s="10" t="s">
        <v>169</v>
      </c>
      <c r="AV120" s="10">
        <v>0</v>
      </c>
      <c r="AW120" s="8"/>
      <c r="AX120" s="74" t="s">
        <v>169</v>
      </c>
      <c r="AY120" s="74"/>
      <c r="AZ120" s="74"/>
      <c r="BA120" s="74"/>
      <c r="BB120" s="8"/>
      <c r="BC120" s="8"/>
      <c r="BD120" s="8"/>
      <c r="BE120" s="8"/>
      <c r="BF120" s="12">
        <v>0.44</v>
      </c>
      <c r="BG120" s="13">
        <v>281.35902542000002</v>
      </c>
      <c r="BH120" s="96" t="str">
        <f>+VLOOKUP(G120,Liste!$A$7:$G$50,3,FALSE)</f>
        <v>Pin sylvestre</v>
      </c>
      <c r="BI120" s="96" t="str">
        <f>+VLOOKUP(H120,Liste!$B$7:$G$50,5,FALSE)</f>
        <v>GS Pineraies des plaines du Centre et du Nord Ouest</v>
      </c>
      <c r="BJ120" s="135">
        <f t="shared" si="27"/>
        <v>88</v>
      </c>
      <c r="BK120" s="135" t="str">
        <f t="shared" si="29"/>
        <v>Pin sylvestre_F2_Eclaircie précoce_GS Pineraies des plaines du Centre et du Nord Ouest_88_</v>
      </c>
      <c r="BL120" s="322"/>
      <c r="BM120" s="13">
        <v>71.740976479999972</v>
      </c>
      <c r="BN120" s="13">
        <v>353.1000018799125</v>
      </c>
      <c r="BO120" s="13"/>
      <c r="BP120" s="13">
        <v>244.97</v>
      </c>
      <c r="BQ120" s="13">
        <v>5.1635687044988599</v>
      </c>
      <c r="BT120" s="298" t="str">
        <f>+VLOOKUP(G120,Liste!$A$7:$H$50,8,FALSE)</f>
        <v>Résineux</v>
      </c>
      <c r="BU120" s="298">
        <f t="shared" si="30"/>
        <v>0</v>
      </c>
      <c r="BV120" s="300">
        <f t="shared" si="31"/>
        <v>1</v>
      </c>
      <c r="BW120" s="321">
        <v>0</v>
      </c>
      <c r="BX120" s="298">
        <f t="shared" si="32"/>
        <v>0.43</v>
      </c>
      <c r="BY120">
        <f t="shared" si="33"/>
        <v>0</v>
      </c>
      <c r="BZ120" s="304">
        <f t="shared" si="34"/>
        <v>0</v>
      </c>
      <c r="CB120" s="299">
        <v>0.6</v>
      </c>
      <c r="CC120" s="299">
        <v>0.4</v>
      </c>
      <c r="CD120">
        <f t="shared" si="35"/>
        <v>0</v>
      </c>
      <c r="CE120">
        <f t="shared" si="36"/>
        <v>0</v>
      </c>
      <c r="CF120">
        <f t="shared" si="37"/>
        <v>0</v>
      </c>
      <c r="CG120">
        <f t="shared" si="38"/>
        <v>0</v>
      </c>
      <c r="CH120">
        <f t="shared" si="39"/>
        <v>0</v>
      </c>
      <c r="CI120">
        <f t="shared" si="40"/>
        <v>0</v>
      </c>
      <c r="CJ120">
        <f t="shared" si="41"/>
        <v>0</v>
      </c>
      <c r="CK120">
        <f t="shared" si="42"/>
        <v>0</v>
      </c>
      <c r="CL120">
        <f t="shared" si="43"/>
        <v>0</v>
      </c>
      <c r="CM120">
        <f t="shared" si="45"/>
        <v>0</v>
      </c>
      <c r="CN120">
        <f t="shared" si="44"/>
        <v>0</v>
      </c>
      <c r="CO120">
        <f t="shared" si="28"/>
        <v>0</v>
      </c>
    </row>
    <row r="121" spans="1:93" s="12" customFormat="1" ht="14.65" customHeight="1" x14ac:dyDescent="0.25">
      <c r="A121" s="4">
        <v>2021</v>
      </c>
      <c r="B121" s="4"/>
      <c r="C121" s="4" t="s">
        <v>64</v>
      </c>
      <c r="D121" s="4" t="s">
        <v>65</v>
      </c>
      <c r="E121" s="4"/>
      <c r="F121" s="4" t="s">
        <v>90</v>
      </c>
      <c r="G121" s="5" t="s">
        <v>15</v>
      </c>
      <c r="H121" s="5" t="s">
        <v>21</v>
      </c>
      <c r="I121" s="5" t="s">
        <v>16</v>
      </c>
      <c r="J121" s="5" t="s">
        <v>10</v>
      </c>
      <c r="K121" s="5">
        <v>23</v>
      </c>
      <c r="L121" s="5" t="s">
        <v>192</v>
      </c>
      <c r="M121" s="5">
        <v>2500</v>
      </c>
      <c r="N121" s="5" t="s">
        <v>170</v>
      </c>
      <c r="O121" s="6" t="s">
        <v>78</v>
      </c>
      <c r="P121" s="6" t="s">
        <v>80</v>
      </c>
      <c r="Q121" s="6">
        <v>2003</v>
      </c>
      <c r="R121" s="6"/>
      <c r="S121" s="6">
        <v>24</v>
      </c>
      <c r="T121" s="6">
        <v>11.4</v>
      </c>
      <c r="U121" s="6">
        <v>2157</v>
      </c>
      <c r="V121" s="6">
        <v>40.299999999999997</v>
      </c>
      <c r="W121" s="6">
        <v>0</v>
      </c>
      <c r="X121" s="6">
        <v>600</v>
      </c>
      <c r="Y121" s="6">
        <v>1043</v>
      </c>
      <c r="Z121" s="6">
        <v>457</v>
      </c>
      <c r="AA121" s="6">
        <v>57</v>
      </c>
      <c r="AB121" s="6">
        <v>0</v>
      </c>
      <c r="AC121" s="2">
        <v>89</v>
      </c>
      <c r="AD121" s="2" t="s">
        <v>52</v>
      </c>
      <c r="AE121" s="7">
        <v>29.47</v>
      </c>
      <c r="AF121" s="7">
        <v>185</v>
      </c>
      <c r="AG121" s="7">
        <v>25.6</v>
      </c>
      <c r="AH121" s="7">
        <v>41.98</v>
      </c>
      <c r="AI121" s="7">
        <v>44.65</v>
      </c>
      <c r="AJ121" s="9">
        <v>326.87653725121203</v>
      </c>
      <c r="AK121" s="9">
        <v>330.2878144</v>
      </c>
      <c r="AL121" s="9">
        <v>372.74757337678398</v>
      </c>
      <c r="AM121" s="9">
        <v>81.263116856397602</v>
      </c>
      <c r="AN121" s="9">
        <v>0.91306872872356803</v>
      </c>
      <c r="AO121" s="9">
        <v>0.272804863339559</v>
      </c>
      <c r="AP121" s="9">
        <v>876.75532921921695</v>
      </c>
      <c r="AQ121" s="9">
        <v>9.8511834743732294</v>
      </c>
      <c r="AR121" s="9">
        <v>5.6086787137053298</v>
      </c>
      <c r="AS121" s="73" t="s">
        <v>169</v>
      </c>
      <c r="AT121" s="10"/>
      <c r="AU121" s="10" t="s">
        <v>169</v>
      </c>
      <c r="AV121" s="10">
        <v>0</v>
      </c>
      <c r="AW121" s="8"/>
      <c r="AX121" s="74" t="s">
        <v>169</v>
      </c>
      <c r="AY121" s="74"/>
      <c r="AZ121" s="74"/>
      <c r="BA121" s="74"/>
      <c r="BB121" s="8"/>
      <c r="BC121" s="8"/>
      <c r="BD121" s="8"/>
      <c r="BE121" s="8"/>
      <c r="BF121" s="12">
        <v>0.44</v>
      </c>
      <c r="BG121" s="13">
        <v>285.64889041333328</v>
      </c>
      <c r="BH121" s="96" t="str">
        <f>+VLOOKUP(G121,Liste!$A$7:$G$50,3,FALSE)</f>
        <v>Pin sylvestre</v>
      </c>
      <c r="BI121" s="96" t="str">
        <f>+VLOOKUP(H121,Liste!$B$7:$G$50,5,FALSE)</f>
        <v>GS Pineraies des plaines du Centre et du Nord Ouest</v>
      </c>
      <c r="BJ121" s="135">
        <f t="shared" si="27"/>
        <v>89</v>
      </c>
      <c r="BK121" s="135" t="str">
        <f t="shared" si="29"/>
        <v>Pin sylvestre_F2_Eclaircie précoce_GS Pineraies des plaines du Centre et du Nord Ouest_89_</v>
      </c>
      <c r="BL121" s="322"/>
      <c r="BM121" s="13">
        <v>72.706632286666718</v>
      </c>
      <c r="BN121" s="13">
        <v>358.35552271203414</v>
      </c>
      <c r="BO121" s="13"/>
      <c r="BP121" s="13">
        <v>244.97</v>
      </c>
      <c r="BQ121" s="13">
        <v>5.1728509834207399</v>
      </c>
      <c r="BT121" s="298" t="str">
        <f>+VLOOKUP(G121,Liste!$A$7:$H$50,8,FALSE)</f>
        <v>Résineux</v>
      </c>
      <c r="BU121" s="298">
        <f t="shared" si="30"/>
        <v>0</v>
      </c>
      <c r="BV121" s="300">
        <f t="shared" si="31"/>
        <v>1</v>
      </c>
      <c r="BW121" s="321">
        <v>0</v>
      </c>
      <c r="BX121" s="298">
        <f t="shared" si="32"/>
        <v>0.43</v>
      </c>
      <c r="BY121">
        <f t="shared" si="33"/>
        <v>0</v>
      </c>
      <c r="BZ121" s="304">
        <f t="shared" si="34"/>
        <v>0</v>
      </c>
      <c r="CB121" s="299">
        <v>0.6</v>
      </c>
      <c r="CC121" s="299">
        <v>0.4</v>
      </c>
      <c r="CD121">
        <f t="shared" si="35"/>
        <v>0</v>
      </c>
      <c r="CE121">
        <f t="shared" si="36"/>
        <v>0</v>
      </c>
      <c r="CF121">
        <f t="shared" si="37"/>
        <v>0</v>
      </c>
      <c r="CG121">
        <f t="shared" si="38"/>
        <v>0</v>
      </c>
      <c r="CH121">
        <f t="shared" si="39"/>
        <v>0</v>
      </c>
      <c r="CI121">
        <f t="shared" si="40"/>
        <v>0</v>
      </c>
      <c r="CJ121">
        <f t="shared" si="41"/>
        <v>0</v>
      </c>
      <c r="CK121">
        <f t="shared" si="42"/>
        <v>0</v>
      </c>
      <c r="CL121">
        <f t="shared" si="43"/>
        <v>0</v>
      </c>
      <c r="CM121">
        <f t="shared" si="45"/>
        <v>0</v>
      </c>
      <c r="CN121">
        <f t="shared" si="44"/>
        <v>0</v>
      </c>
      <c r="CO121">
        <f t="shared" si="28"/>
        <v>0</v>
      </c>
    </row>
    <row r="122" spans="1:93" s="12" customFormat="1" ht="14.65" customHeight="1" x14ac:dyDescent="0.25">
      <c r="A122" s="4">
        <v>2021</v>
      </c>
      <c r="B122" s="4"/>
      <c r="C122" s="4" t="s">
        <v>64</v>
      </c>
      <c r="D122" s="4" t="s">
        <v>65</v>
      </c>
      <c r="E122" s="4"/>
      <c r="F122" s="4" t="s">
        <v>90</v>
      </c>
      <c r="G122" s="5" t="s">
        <v>15</v>
      </c>
      <c r="H122" s="5" t="s">
        <v>21</v>
      </c>
      <c r="I122" s="5" t="s">
        <v>16</v>
      </c>
      <c r="J122" s="5" t="s">
        <v>10</v>
      </c>
      <c r="K122" s="5">
        <v>23</v>
      </c>
      <c r="L122" s="5" t="s">
        <v>192</v>
      </c>
      <c r="M122" s="5">
        <v>2500</v>
      </c>
      <c r="N122" s="5" t="s">
        <v>170</v>
      </c>
      <c r="O122" s="6" t="s">
        <v>78</v>
      </c>
      <c r="P122" s="6" t="s">
        <v>80</v>
      </c>
      <c r="Q122" s="6">
        <v>2003</v>
      </c>
      <c r="R122" s="6"/>
      <c r="S122" s="6">
        <v>24</v>
      </c>
      <c r="T122" s="6">
        <v>11.4</v>
      </c>
      <c r="U122" s="6">
        <v>2157</v>
      </c>
      <c r="V122" s="6">
        <v>40.299999999999997</v>
      </c>
      <c r="W122" s="6">
        <v>0</v>
      </c>
      <c r="X122" s="6">
        <v>600</v>
      </c>
      <c r="Y122" s="6">
        <v>1043</v>
      </c>
      <c r="Z122" s="6">
        <v>457</v>
      </c>
      <c r="AA122" s="6">
        <v>57</v>
      </c>
      <c r="AB122" s="6">
        <v>0</v>
      </c>
      <c r="AC122" s="2">
        <v>90</v>
      </c>
      <c r="AD122" s="2" t="s">
        <v>52</v>
      </c>
      <c r="AE122" s="7">
        <v>29.63</v>
      </c>
      <c r="AF122" s="7">
        <v>185</v>
      </c>
      <c r="AG122" s="7">
        <v>25.87</v>
      </c>
      <c r="AH122" s="7">
        <v>42.2</v>
      </c>
      <c r="AI122" s="7">
        <v>44.89</v>
      </c>
      <c r="AJ122" s="9">
        <v>331.99782137577301</v>
      </c>
      <c r="AK122" s="9">
        <v>335.45782120000001</v>
      </c>
      <c r="AL122" s="9">
        <v>378.35625209048902</v>
      </c>
      <c r="AM122" s="9">
        <v>81.535921719737104</v>
      </c>
      <c r="AN122" s="9">
        <v>0.90595468577485705</v>
      </c>
      <c r="AO122" s="9">
        <v>0.26915386143720399</v>
      </c>
      <c r="AP122" s="9">
        <v>882.36400793292296</v>
      </c>
      <c r="AQ122" s="9">
        <v>9.8040445325880299</v>
      </c>
      <c r="AR122" s="9">
        <v>5.5725333065895502</v>
      </c>
      <c r="AS122" s="73" t="s">
        <v>169</v>
      </c>
      <c r="AT122" s="10"/>
      <c r="AU122" s="10" t="s">
        <v>169</v>
      </c>
      <c r="AV122" s="10">
        <v>0</v>
      </c>
      <c r="AW122" s="8"/>
      <c r="AX122" s="74" t="s">
        <v>169</v>
      </c>
      <c r="AY122" s="74"/>
      <c r="AZ122" s="74"/>
      <c r="BA122" s="74"/>
      <c r="BB122" s="8"/>
      <c r="BC122" s="8"/>
      <c r="BD122" s="8"/>
      <c r="BE122" s="8"/>
      <c r="BF122" s="12">
        <v>0.44</v>
      </c>
      <c r="BG122" s="13">
        <v>289.94700786333334</v>
      </c>
      <c r="BH122" s="96" t="str">
        <f>+VLOOKUP(G122,Liste!$A$7:$G$50,3,FALSE)</f>
        <v>Pin sylvestre</v>
      </c>
      <c r="BI122" s="96" t="str">
        <f>+VLOOKUP(H122,Liste!$B$7:$G$50,5,FALSE)</f>
        <v>GS Pineraies des plaines du Centre et du Nord Ouest</v>
      </c>
      <c r="BJ122" s="135">
        <f t="shared" si="27"/>
        <v>90</v>
      </c>
      <c r="BK122" s="135" t="str">
        <f t="shared" si="29"/>
        <v>Pin sylvestre_F2_Eclaircie précoce_GS Pineraies des plaines du Centre et du Nord Ouest_90_</v>
      </c>
      <c r="BL122" s="322"/>
      <c r="BM122" s="13">
        <v>73.672454336666647</v>
      </c>
      <c r="BN122" s="13">
        <v>363.61946217747987</v>
      </c>
      <c r="BO122" s="13"/>
      <c r="BP122" s="13">
        <v>244.97</v>
      </c>
      <c r="BQ122" s="13">
        <v>5.13887355087763</v>
      </c>
      <c r="BT122" s="298" t="str">
        <f>+VLOOKUP(G122,Liste!$A$7:$H$50,8,FALSE)</f>
        <v>Résineux</v>
      </c>
      <c r="BU122" s="298">
        <f t="shared" si="30"/>
        <v>0</v>
      </c>
      <c r="BV122" s="300">
        <f t="shared" si="31"/>
        <v>1</v>
      </c>
      <c r="BW122" s="321">
        <v>0</v>
      </c>
      <c r="BX122" s="298">
        <f t="shared" si="32"/>
        <v>0.43</v>
      </c>
      <c r="BY122">
        <f t="shared" si="33"/>
        <v>0</v>
      </c>
      <c r="BZ122" s="304">
        <f t="shared" si="34"/>
        <v>0</v>
      </c>
      <c r="CB122" s="299">
        <v>0.6</v>
      </c>
      <c r="CC122" s="299">
        <v>0.4</v>
      </c>
      <c r="CD122">
        <f t="shared" si="35"/>
        <v>0</v>
      </c>
      <c r="CE122">
        <f t="shared" si="36"/>
        <v>0</v>
      </c>
      <c r="CF122">
        <f t="shared" si="37"/>
        <v>0</v>
      </c>
      <c r="CG122">
        <f t="shared" si="38"/>
        <v>0</v>
      </c>
      <c r="CH122">
        <f t="shared" si="39"/>
        <v>0</v>
      </c>
      <c r="CI122">
        <f t="shared" si="40"/>
        <v>0</v>
      </c>
      <c r="CJ122">
        <f t="shared" si="41"/>
        <v>0</v>
      </c>
      <c r="CK122">
        <f t="shared" si="42"/>
        <v>0</v>
      </c>
      <c r="CL122">
        <f t="shared" si="43"/>
        <v>0</v>
      </c>
      <c r="CM122">
        <f t="shared" si="45"/>
        <v>0</v>
      </c>
      <c r="CN122">
        <f t="shared" si="44"/>
        <v>0</v>
      </c>
      <c r="CO122">
        <f t="shared" si="28"/>
        <v>0</v>
      </c>
    </row>
    <row r="123" spans="1:93" s="12" customFormat="1" ht="14.65" customHeight="1" x14ac:dyDescent="0.25">
      <c r="A123" s="4">
        <v>2021</v>
      </c>
      <c r="B123" s="4"/>
      <c r="C123" s="4" t="s">
        <v>64</v>
      </c>
      <c r="D123" s="4" t="s">
        <v>65</v>
      </c>
      <c r="E123" s="4"/>
      <c r="F123" s="4" t="s">
        <v>90</v>
      </c>
      <c r="G123" s="5" t="s">
        <v>15</v>
      </c>
      <c r="H123" s="5" t="s">
        <v>21</v>
      </c>
      <c r="I123" s="5" t="s">
        <v>16</v>
      </c>
      <c r="J123" s="5" t="s">
        <v>10</v>
      </c>
      <c r="K123" s="5">
        <v>23</v>
      </c>
      <c r="L123" s="5" t="s">
        <v>192</v>
      </c>
      <c r="M123" s="5">
        <v>2500</v>
      </c>
      <c r="N123" s="5" t="s">
        <v>170</v>
      </c>
      <c r="O123" s="6" t="s">
        <v>78</v>
      </c>
      <c r="P123" s="6" t="s">
        <v>80</v>
      </c>
      <c r="Q123" s="6">
        <v>2003</v>
      </c>
      <c r="R123" s="6"/>
      <c r="S123" s="6">
        <v>24</v>
      </c>
      <c r="T123" s="6">
        <v>11.4</v>
      </c>
      <c r="U123" s="6">
        <v>2157</v>
      </c>
      <c r="V123" s="6">
        <v>40.299999999999997</v>
      </c>
      <c r="W123" s="6">
        <v>0</v>
      </c>
      <c r="X123" s="6">
        <v>600</v>
      </c>
      <c r="Y123" s="6">
        <v>1043</v>
      </c>
      <c r="Z123" s="6">
        <v>457</v>
      </c>
      <c r="AA123" s="6">
        <v>57</v>
      </c>
      <c r="AB123" s="6">
        <v>0</v>
      </c>
      <c r="AC123" s="2">
        <v>91</v>
      </c>
      <c r="AD123" s="2" t="s">
        <v>52</v>
      </c>
      <c r="AE123" s="7">
        <v>29.78</v>
      </c>
      <c r="AF123" s="7">
        <v>185</v>
      </c>
      <c r="AG123" s="7">
        <v>26.14</v>
      </c>
      <c r="AH123" s="7">
        <v>42.42</v>
      </c>
      <c r="AI123" s="7">
        <v>45.13</v>
      </c>
      <c r="AJ123" s="9">
        <v>337.09113775655601</v>
      </c>
      <c r="AK123" s="9">
        <v>340.59918320000003</v>
      </c>
      <c r="AL123" s="9">
        <v>383.92878539707903</v>
      </c>
      <c r="AM123" s="9">
        <v>81.805075581174293</v>
      </c>
      <c r="AN123" s="9">
        <v>0.89895687451839901</v>
      </c>
      <c r="AO123" s="9">
        <v>0.26700468219489398</v>
      </c>
      <c r="AP123" s="9">
        <v>887.93654123951205</v>
      </c>
      <c r="AQ123" s="9">
        <v>9.7575444092254102</v>
      </c>
      <c r="AR123" s="9">
        <v>5.5488573111410897</v>
      </c>
      <c r="AS123" s="73" t="s">
        <v>169</v>
      </c>
      <c r="AT123" s="10"/>
      <c r="AU123" s="10" t="s">
        <v>169</v>
      </c>
      <c r="AV123" s="10">
        <v>0</v>
      </c>
      <c r="AW123" s="8"/>
      <c r="AX123" s="74" t="s">
        <v>169</v>
      </c>
      <c r="AY123" s="74"/>
      <c r="AZ123" s="74"/>
      <c r="BA123" s="74"/>
      <c r="BB123" s="8"/>
      <c r="BC123" s="8"/>
      <c r="BD123" s="8"/>
      <c r="BE123" s="8"/>
      <c r="BF123" s="12">
        <v>0.44</v>
      </c>
      <c r="BG123" s="13">
        <v>294.21742588333331</v>
      </c>
      <c r="BH123" s="96" t="str">
        <f>+VLOOKUP(G123,Liste!$A$7:$G$50,3,FALSE)</f>
        <v>Pin sylvestre</v>
      </c>
      <c r="BI123" s="96" t="str">
        <f>+VLOOKUP(H123,Liste!$B$7:$G$50,5,FALSE)</f>
        <v>GS Pineraies des plaines du Centre et du Nord Ouest</v>
      </c>
      <c r="BJ123" s="135">
        <f t="shared" si="27"/>
        <v>91</v>
      </c>
      <c r="BK123" s="135" t="str">
        <f t="shared" si="29"/>
        <v>Pin sylvestre_F2_Eclaircie précoce_GS Pineraies des plaines du Centre et du Nord Ouest_91_</v>
      </c>
      <c r="BL123" s="322"/>
      <c r="BM123" s="13">
        <v>74.630402916666696</v>
      </c>
      <c r="BN123" s="13">
        <v>368.84782878438733</v>
      </c>
      <c r="BO123" s="13"/>
      <c r="BP123" s="13">
        <v>244.97</v>
      </c>
      <c r="BQ123" s="13">
        <v>5.1164098886562197</v>
      </c>
      <c r="BT123" s="298" t="str">
        <f>+VLOOKUP(G123,Liste!$A$7:$H$50,8,FALSE)</f>
        <v>Résineux</v>
      </c>
      <c r="BU123" s="298">
        <f t="shared" si="30"/>
        <v>0</v>
      </c>
      <c r="BV123" s="300">
        <f t="shared" si="31"/>
        <v>1</v>
      </c>
      <c r="BW123" s="321">
        <v>0</v>
      </c>
      <c r="BX123" s="298">
        <f t="shared" si="32"/>
        <v>0.43</v>
      </c>
      <c r="BY123">
        <f t="shared" si="33"/>
        <v>0</v>
      </c>
      <c r="BZ123" s="304">
        <f t="shared" si="34"/>
        <v>0</v>
      </c>
      <c r="CB123" s="299">
        <v>0.6</v>
      </c>
      <c r="CC123" s="299">
        <v>0.4</v>
      </c>
      <c r="CD123">
        <f t="shared" si="35"/>
        <v>0</v>
      </c>
      <c r="CE123">
        <f t="shared" si="36"/>
        <v>0</v>
      </c>
      <c r="CF123">
        <f t="shared" si="37"/>
        <v>0</v>
      </c>
      <c r="CG123">
        <f t="shared" si="38"/>
        <v>0</v>
      </c>
      <c r="CH123">
        <f t="shared" si="39"/>
        <v>0</v>
      </c>
      <c r="CI123">
        <f t="shared" si="40"/>
        <v>0</v>
      </c>
      <c r="CJ123">
        <f t="shared" si="41"/>
        <v>0</v>
      </c>
      <c r="CK123">
        <f t="shared" si="42"/>
        <v>0</v>
      </c>
      <c r="CL123">
        <f t="shared" si="43"/>
        <v>0</v>
      </c>
      <c r="CM123">
        <f t="shared" si="45"/>
        <v>0</v>
      </c>
      <c r="CN123">
        <f t="shared" si="44"/>
        <v>0</v>
      </c>
      <c r="CO123">
        <f t="shared" si="28"/>
        <v>0</v>
      </c>
    </row>
    <row r="124" spans="1:93" s="12" customFormat="1" ht="14.65" customHeight="1" x14ac:dyDescent="0.25">
      <c r="A124" s="4">
        <v>2021</v>
      </c>
      <c r="B124" s="4"/>
      <c r="C124" s="4" t="s">
        <v>64</v>
      </c>
      <c r="D124" s="4" t="s">
        <v>65</v>
      </c>
      <c r="E124" s="4"/>
      <c r="F124" s="4" t="s">
        <v>90</v>
      </c>
      <c r="G124" s="5" t="s">
        <v>15</v>
      </c>
      <c r="H124" s="5" t="s">
        <v>21</v>
      </c>
      <c r="I124" s="5" t="s">
        <v>16</v>
      </c>
      <c r="J124" s="5" t="s">
        <v>10</v>
      </c>
      <c r="K124" s="5">
        <v>23</v>
      </c>
      <c r="L124" s="5" t="s">
        <v>192</v>
      </c>
      <c r="M124" s="5">
        <v>2500</v>
      </c>
      <c r="N124" s="5" t="s">
        <v>170</v>
      </c>
      <c r="O124" s="6" t="s">
        <v>78</v>
      </c>
      <c r="P124" s="6" t="s">
        <v>80</v>
      </c>
      <c r="Q124" s="6">
        <v>2003</v>
      </c>
      <c r="R124" s="6"/>
      <c r="S124" s="6">
        <v>24</v>
      </c>
      <c r="T124" s="6">
        <v>11.4</v>
      </c>
      <c r="U124" s="6">
        <v>2157</v>
      </c>
      <c r="V124" s="6">
        <v>40.299999999999997</v>
      </c>
      <c r="W124" s="6">
        <v>0</v>
      </c>
      <c r="X124" s="6">
        <v>600</v>
      </c>
      <c r="Y124" s="6">
        <v>1043</v>
      </c>
      <c r="Z124" s="6">
        <v>457</v>
      </c>
      <c r="AA124" s="6">
        <v>57</v>
      </c>
      <c r="AB124" s="6">
        <v>0</v>
      </c>
      <c r="AC124" s="2">
        <v>92</v>
      </c>
      <c r="AD124" s="2" t="s">
        <v>52</v>
      </c>
      <c r="AE124" s="7">
        <v>29.93</v>
      </c>
      <c r="AF124" s="7">
        <v>185</v>
      </c>
      <c r="AG124" s="7">
        <v>26.41</v>
      </c>
      <c r="AH124" s="7">
        <v>42.63</v>
      </c>
      <c r="AI124" s="7">
        <v>45.36</v>
      </c>
      <c r="AJ124" s="9">
        <v>342.16470235188802</v>
      </c>
      <c r="AK124" s="9">
        <v>345.72044019999998</v>
      </c>
      <c r="AL124" s="9">
        <v>389.47764270822</v>
      </c>
      <c r="AM124" s="9">
        <v>82.072080263369202</v>
      </c>
      <c r="AN124" s="9">
        <v>0.89208782894966598</v>
      </c>
      <c r="AO124" s="9">
        <v>0.24625942643433499</v>
      </c>
      <c r="AP124" s="9">
        <v>893.48539855065303</v>
      </c>
      <c r="AQ124" s="9">
        <v>9.7117978103331897</v>
      </c>
      <c r="AR124" s="9">
        <v>5.0779676068641502</v>
      </c>
      <c r="AS124" s="73" t="s">
        <v>169</v>
      </c>
      <c r="AT124" s="10"/>
      <c r="AU124" s="10" t="s">
        <v>169</v>
      </c>
      <c r="AV124" s="10">
        <v>0</v>
      </c>
      <c r="AW124" s="8"/>
      <c r="AX124" s="74" t="s">
        <v>169</v>
      </c>
      <c r="AY124" s="74"/>
      <c r="AZ124" s="74"/>
      <c r="BA124" s="74"/>
      <c r="BB124" s="8"/>
      <c r="BC124" s="8"/>
      <c r="BD124" s="8"/>
      <c r="BE124" s="8"/>
      <c r="BF124" s="12">
        <v>0.44</v>
      </c>
      <c r="BG124" s="13">
        <v>298.46970020999998</v>
      </c>
      <c r="BH124" s="96" t="str">
        <f>+VLOOKUP(G124,Liste!$A$7:$G$50,3,FALSE)</f>
        <v>Pin sylvestre</v>
      </c>
      <c r="BI124" s="96" t="str">
        <f>+VLOOKUP(H124,Liste!$B$7:$G$50,5,FALSE)</f>
        <v>GS Pineraies des plaines du Centre et du Nord Ouest</v>
      </c>
      <c r="BJ124" s="135">
        <f t="shared" si="27"/>
        <v>92</v>
      </c>
      <c r="BK124" s="135" t="str">
        <f t="shared" si="29"/>
        <v>Pin sylvestre_F2_Eclaircie précoce_GS Pineraies des plaines du Centre et du Nord Ouest_92_</v>
      </c>
      <c r="BL124" s="322"/>
      <c r="BM124" s="13">
        <v>75.582674590000011</v>
      </c>
      <c r="BN124" s="13">
        <v>374.05237477435298</v>
      </c>
      <c r="BO124" s="13"/>
      <c r="BP124" s="13">
        <v>244.97</v>
      </c>
      <c r="BQ124" s="13">
        <v>4.68167142216305</v>
      </c>
      <c r="BT124" s="298" t="str">
        <f>+VLOOKUP(G124,Liste!$A$7:$H$50,8,FALSE)</f>
        <v>Résineux</v>
      </c>
      <c r="BU124" s="298">
        <f t="shared" si="30"/>
        <v>0</v>
      </c>
      <c r="BV124" s="300">
        <f t="shared" si="31"/>
        <v>1</v>
      </c>
      <c r="BW124" s="321">
        <v>0</v>
      </c>
      <c r="BX124" s="298">
        <f t="shared" si="32"/>
        <v>0.43</v>
      </c>
      <c r="BY124">
        <f t="shared" si="33"/>
        <v>0</v>
      </c>
      <c r="BZ124" s="304">
        <f t="shared" si="34"/>
        <v>0</v>
      </c>
      <c r="CB124" s="299">
        <v>0.6</v>
      </c>
      <c r="CC124" s="299">
        <v>0.4</v>
      </c>
      <c r="CD124">
        <f t="shared" si="35"/>
        <v>0</v>
      </c>
      <c r="CE124">
        <f t="shared" si="36"/>
        <v>0</v>
      </c>
      <c r="CF124">
        <f t="shared" si="37"/>
        <v>0</v>
      </c>
      <c r="CG124">
        <f t="shared" si="38"/>
        <v>0</v>
      </c>
      <c r="CH124">
        <f t="shared" si="39"/>
        <v>0</v>
      </c>
      <c r="CI124">
        <f t="shared" si="40"/>
        <v>0</v>
      </c>
      <c r="CJ124">
        <f t="shared" si="41"/>
        <v>0</v>
      </c>
      <c r="CK124">
        <f t="shared" si="42"/>
        <v>0</v>
      </c>
      <c r="CL124">
        <f t="shared" si="43"/>
        <v>0</v>
      </c>
      <c r="CM124">
        <f t="shared" si="45"/>
        <v>0</v>
      </c>
      <c r="CN124">
        <f t="shared" si="44"/>
        <v>0</v>
      </c>
      <c r="CO124">
        <f t="shared" si="28"/>
        <v>0</v>
      </c>
    </row>
    <row r="125" spans="1:93" s="12" customFormat="1" ht="14.65" customHeight="1" x14ac:dyDescent="0.25">
      <c r="A125" s="4">
        <v>2021</v>
      </c>
      <c r="B125" s="4"/>
      <c r="C125" s="4" t="s">
        <v>64</v>
      </c>
      <c r="D125" s="4" t="s">
        <v>65</v>
      </c>
      <c r="E125" s="4"/>
      <c r="F125" s="4" t="s">
        <v>90</v>
      </c>
      <c r="G125" s="5" t="s">
        <v>15</v>
      </c>
      <c r="H125" s="5" t="s">
        <v>21</v>
      </c>
      <c r="I125" s="5" t="s">
        <v>16</v>
      </c>
      <c r="J125" s="5" t="s">
        <v>10</v>
      </c>
      <c r="K125" s="5">
        <v>23</v>
      </c>
      <c r="L125" s="5" t="s">
        <v>192</v>
      </c>
      <c r="M125" s="5">
        <v>2500</v>
      </c>
      <c r="N125" s="5" t="s">
        <v>170</v>
      </c>
      <c r="O125" s="6" t="s">
        <v>78</v>
      </c>
      <c r="P125" s="6" t="s">
        <v>80</v>
      </c>
      <c r="Q125" s="6">
        <v>2003</v>
      </c>
      <c r="R125" s="6"/>
      <c r="S125" s="6">
        <v>24</v>
      </c>
      <c r="T125" s="6">
        <v>11.4</v>
      </c>
      <c r="U125" s="6">
        <v>2157</v>
      </c>
      <c r="V125" s="6">
        <v>40.299999999999997</v>
      </c>
      <c r="W125" s="6">
        <v>0</v>
      </c>
      <c r="X125" s="6">
        <v>600</v>
      </c>
      <c r="Y125" s="6">
        <v>1043</v>
      </c>
      <c r="Z125" s="6">
        <v>457</v>
      </c>
      <c r="AA125" s="6">
        <v>57</v>
      </c>
      <c r="AB125" s="6">
        <v>0</v>
      </c>
      <c r="AC125" s="2">
        <v>92</v>
      </c>
      <c r="AD125" s="2" t="s">
        <v>53</v>
      </c>
      <c r="AE125" s="7">
        <v>29.93</v>
      </c>
      <c r="AF125" s="7">
        <v>164</v>
      </c>
      <c r="AG125" s="7">
        <v>24.01</v>
      </c>
      <c r="AH125" s="7">
        <v>43.18</v>
      </c>
      <c r="AI125" s="7">
        <v>45.35</v>
      </c>
      <c r="AJ125" s="9">
        <v>311.53630822344002</v>
      </c>
      <c r="AK125" s="9">
        <v>314.8319032</v>
      </c>
      <c r="AL125" s="9">
        <v>354.81512856887599</v>
      </c>
      <c r="AM125" s="9">
        <v>82.072080263369301</v>
      </c>
      <c r="AN125" s="9">
        <v>0.89208782894966598</v>
      </c>
      <c r="AO125" s="9">
        <v>0.24625942643433499</v>
      </c>
      <c r="AP125" s="9">
        <v>893.48539855065303</v>
      </c>
      <c r="AQ125" s="9">
        <v>9.7117978103331897</v>
      </c>
      <c r="AR125" s="9">
        <v>5.0779676068641502</v>
      </c>
      <c r="AS125" s="73">
        <v>21</v>
      </c>
      <c r="AT125" s="10">
        <v>2.4742097908673024</v>
      </c>
      <c r="AU125" s="10">
        <v>38.731442546894797</v>
      </c>
      <c r="AV125" s="10">
        <v>30.628394128448008</v>
      </c>
      <c r="AW125" s="10">
        <v>0.73985113713154815</v>
      </c>
      <c r="AX125" s="74">
        <v>1.4584949584975242</v>
      </c>
      <c r="AY125" s="74"/>
      <c r="AZ125" s="74"/>
      <c r="BA125" s="74"/>
      <c r="BB125" s="10"/>
      <c r="BC125" s="10"/>
      <c r="BD125" s="10"/>
      <c r="BE125" s="10"/>
      <c r="BF125" s="12">
        <v>0.44</v>
      </c>
      <c r="BG125" s="13">
        <v>271.90666018999997</v>
      </c>
      <c r="BH125" s="96" t="str">
        <f>+VLOOKUP(G125,Liste!$A$7:$G$50,3,FALSE)</f>
        <v>Pin sylvestre</v>
      </c>
      <c r="BI125" s="96" t="str">
        <f>+VLOOKUP(H125,Liste!$B$7:$G$50,5,FALSE)</f>
        <v>GS Pineraies des plaines du Centre et du Nord Ouest</v>
      </c>
      <c r="BJ125" s="135">
        <f t="shared" si="27"/>
        <v>92</v>
      </c>
      <c r="BK125" s="135" t="str">
        <f t="shared" si="29"/>
        <v>Pin sylvestre_F2_Eclaircie précoce_GS Pineraies des plaines du Centre et du Nord Ouest_92_</v>
      </c>
      <c r="BL125" s="322"/>
      <c r="BM125" s="13">
        <v>69.607137010000031</v>
      </c>
      <c r="BN125" s="13">
        <v>341.51379715958564</v>
      </c>
      <c r="BO125" s="13">
        <v>32.538577614767348</v>
      </c>
      <c r="BP125" s="13">
        <v>244.97</v>
      </c>
      <c r="BQ125" s="13">
        <v>4.68167142216305</v>
      </c>
      <c r="BT125" s="298" t="str">
        <f>+VLOOKUP(G125,Liste!$A$7:$H$50,8,FALSE)</f>
        <v>Résineux</v>
      </c>
      <c r="BU125" s="298">
        <f t="shared" si="30"/>
        <v>0</v>
      </c>
      <c r="BV125" s="300">
        <f t="shared" si="31"/>
        <v>1</v>
      </c>
      <c r="BW125" s="321">
        <v>0</v>
      </c>
      <c r="BX125" s="298">
        <f t="shared" si="32"/>
        <v>0.43</v>
      </c>
      <c r="BY125">
        <f t="shared" si="33"/>
        <v>0</v>
      </c>
      <c r="BZ125" s="304">
        <f t="shared" si="34"/>
        <v>0</v>
      </c>
      <c r="CB125" s="299">
        <v>0.6</v>
      </c>
      <c r="CC125" s="299">
        <v>0.4</v>
      </c>
      <c r="CD125">
        <f t="shared" si="35"/>
        <v>0</v>
      </c>
      <c r="CE125">
        <f t="shared" si="36"/>
        <v>0</v>
      </c>
      <c r="CF125">
        <f t="shared" si="37"/>
        <v>0</v>
      </c>
      <c r="CG125">
        <f t="shared" si="38"/>
        <v>0</v>
      </c>
      <c r="CH125">
        <f t="shared" si="39"/>
        <v>0</v>
      </c>
      <c r="CI125">
        <f t="shared" si="40"/>
        <v>0</v>
      </c>
      <c r="CJ125">
        <f t="shared" si="41"/>
        <v>0</v>
      </c>
      <c r="CK125">
        <f t="shared" si="42"/>
        <v>0</v>
      </c>
      <c r="CL125">
        <f t="shared" si="43"/>
        <v>0</v>
      </c>
      <c r="CM125">
        <f t="shared" si="45"/>
        <v>0</v>
      </c>
      <c r="CN125">
        <f t="shared" si="44"/>
        <v>0</v>
      </c>
      <c r="CO125">
        <f t="shared" si="28"/>
        <v>0</v>
      </c>
    </row>
    <row r="126" spans="1:93" s="12" customFormat="1" ht="14.65" customHeight="1" x14ac:dyDescent="0.25">
      <c r="A126" s="4">
        <v>2021</v>
      </c>
      <c r="B126" s="4"/>
      <c r="C126" s="4" t="s">
        <v>64</v>
      </c>
      <c r="D126" s="4" t="s">
        <v>65</v>
      </c>
      <c r="E126" s="4"/>
      <c r="F126" s="4" t="s">
        <v>90</v>
      </c>
      <c r="G126" s="5" t="s">
        <v>15</v>
      </c>
      <c r="H126" s="5" t="s">
        <v>21</v>
      </c>
      <c r="I126" s="5" t="s">
        <v>16</v>
      </c>
      <c r="J126" s="5" t="s">
        <v>10</v>
      </c>
      <c r="K126" s="5">
        <v>23</v>
      </c>
      <c r="L126" s="5" t="s">
        <v>192</v>
      </c>
      <c r="M126" s="5">
        <v>2500</v>
      </c>
      <c r="N126" s="5" t="s">
        <v>170</v>
      </c>
      <c r="O126" s="6" t="s">
        <v>78</v>
      </c>
      <c r="P126" s="6" t="s">
        <v>80</v>
      </c>
      <c r="Q126" s="6">
        <v>2003</v>
      </c>
      <c r="R126" s="6"/>
      <c r="S126" s="6">
        <v>24</v>
      </c>
      <c r="T126" s="6">
        <v>11.4</v>
      </c>
      <c r="U126" s="6">
        <v>2157</v>
      </c>
      <c r="V126" s="6">
        <v>40.299999999999997</v>
      </c>
      <c r="W126" s="6">
        <v>0</v>
      </c>
      <c r="X126" s="6">
        <v>600</v>
      </c>
      <c r="Y126" s="6">
        <v>1043</v>
      </c>
      <c r="Z126" s="6">
        <v>457</v>
      </c>
      <c r="AA126" s="6">
        <v>57</v>
      </c>
      <c r="AB126" s="6">
        <v>0</v>
      </c>
      <c r="AC126" s="2">
        <v>93</v>
      </c>
      <c r="AD126" s="2" t="s">
        <v>52</v>
      </c>
      <c r="AE126" s="7">
        <v>30.08</v>
      </c>
      <c r="AF126" s="7">
        <v>164</v>
      </c>
      <c r="AG126" s="7">
        <v>24.26</v>
      </c>
      <c r="AH126" s="7">
        <v>43.4</v>
      </c>
      <c r="AI126" s="7">
        <v>45.59</v>
      </c>
      <c r="AJ126" s="9">
        <v>316.16583315970399</v>
      </c>
      <c r="AK126" s="9">
        <v>319.50721659999999</v>
      </c>
      <c r="AL126" s="9">
        <v>359.89309617574003</v>
      </c>
      <c r="AM126" s="9">
        <v>82.318339689803594</v>
      </c>
      <c r="AN126" s="9">
        <v>0.88514343752476998</v>
      </c>
      <c r="AO126" s="9">
        <v>0.2442286852351</v>
      </c>
      <c r="AP126" s="9">
        <v>898.56336615751798</v>
      </c>
      <c r="AQ126" s="9">
        <v>9.6619716791130905</v>
      </c>
      <c r="AR126" s="9">
        <v>5.1095471086641702</v>
      </c>
      <c r="AS126" s="73" t="s">
        <v>169</v>
      </c>
      <c r="AT126" s="10"/>
      <c r="AU126" s="10" t="s">
        <v>169</v>
      </c>
      <c r="AV126" s="10">
        <v>0</v>
      </c>
      <c r="AW126" s="8"/>
      <c r="AX126" s="74" t="s">
        <v>169</v>
      </c>
      <c r="AY126" s="74"/>
      <c r="AZ126" s="74"/>
      <c r="BA126" s="74"/>
      <c r="BB126" s="8"/>
      <c r="BC126" s="8"/>
      <c r="BD126" s="8"/>
      <c r="BE126" s="8"/>
      <c r="BF126" s="12">
        <v>0.44</v>
      </c>
      <c r="BG126" s="13">
        <v>275.7980760333333</v>
      </c>
      <c r="BH126" s="96" t="str">
        <f>+VLOOKUP(G126,Liste!$A$7:$G$50,3,FALSE)</f>
        <v>Pin sylvestre</v>
      </c>
      <c r="BI126" s="96" t="str">
        <f>+VLOOKUP(H126,Liste!$B$7:$G$50,5,FALSE)</f>
        <v>GS Pineraies des plaines du Centre et du Nord Ouest</v>
      </c>
      <c r="BJ126" s="135">
        <f t="shared" si="27"/>
        <v>93</v>
      </c>
      <c r="BK126" s="135" t="str">
        <f t="shared" si="29"/>
        <v>Pin sylvestre_F2_Eclaircie précoce_GS Pineraies des plaines du Centre et du Nord Ouest_93_</v>
      </c>
      <c r="BL126" s="322"/>
      <c r="BM126" s="13">
        <v>70.486639966666701</v>
      </c>
      <c r="BN126" s="13">
        <v>346.28471595036399</v>
      </c>
      <c r="BO126" s="13"/>
      <c r="BP126" s="13">
        <v>244.97</v>
      </c>
      <c r="BQ126" s="13">
        <v>4.7102618742210298</v>
      </c>
      <c r="BT126" s="298" t="str">
        <f>+VLOOKUP(G126,Liste!$A$7:$H$50,8,FALSE)</f>
        <v>Résineux</v>
      </c>
      <c r="BU126" s="298">
        <f t="shared" si="30"/>
        <v>0</v>
      </c>
      <c r="BV126" s="300">
        <f t="shared" si="31"/>
        <v>1</v>
      </c>
      <c r="BW126" s="321">
        <v>0</v>
      </c>
      <c r="BX126" s="298">
        <f t="shared" si="32"/>
        <v>0.43</v>
      </c>
      <c r="BY126">
        <f t="shared" si="33"/>
        <v>0</v>
      </c>
      <c r="BZ126" s="304">
        <f t="shared" si="34"/>
        <v>0</v>
      </c>
      <c r="CB126" s="299">
        <v>0.6</v>
      </c>
      <c r="CC126" s="299">
        <v>0.4</v>
      </c>
      <c r="CD126">
        <f t="shared" si="35"/>
        <v>0</v>
      </c>
      <c r="CE126">
        <f t="shared" si="36"/>
        <v>0</v>
      </c>
      <c r="CF126">
        <f t="shared" si="37"/>
        <v>0</v>
      </c>
      <c r="CG126">
        <f t="shared" si="38"/>
        <v>0</v>
      </c>
      <c r="CH126">
        <f t="shared" si="39"/>
        <v>0</v>
      </c>
      <c r="CI126">
        <f t="shared" si="40"/>
        <v>0</v>
      </c>
      <c r="CJ126">
        <f t="shared" si="41"/>
        <v>0</v>
      </c>
      <c r="CK126">
        <f t="shared" si="42"/>
        <v>0</v>
      </c>
      <c r="CL126">
        <f t="shared" si="43"/>
        <v>0</v>
      </c>
      <c r="CM126">
        <f t="shared" si="45"/>
        <v>0</v>
      </c>
      <c r="CN126">
        <f t="shared" si="44"/>
        <v>0</v>
      </c>
      <c r="CO126">
        <f t="shared" si="28"/>
        <v>0</v>
      </c>
    </row>
    <row r="127" spans="1:93" s="12" customFormat="1" ht="14.65" customHeight="1" x14ac:dyDescent="0.25">
      <c r="A127" s="4">
        <v>2021</v>
      </c>
      <c r="B127" s="4"/>
      <c r="C127" s="4" t="s">
        <v>64</v>
      </c>
      <c r="D127" s="4" t="s">
        <v>65</v>
      </c>
      <c r="E127" s="4"/>
      <c r="F127" s="4" t="s">
        <v>90</v>
      </c>
      <c r="G127" s="5" t="s">
        <v>15</v>
      </c>
      <c r="H127" s="5" t="s">
        <v>21</v>
      </c>
      <c r="I127" s="5" t="s">
        <v>16</v>
      </c>
      <c r="J127" s="5" t="s">
        <v>10</v>
      </c>
      <c r="K127" s="5">
        <v>23</v>
      </c>
      <c r="L127" s="5" t="s">
        <v>192</v>
      </c>
      <c r="M127" s="5">
        <v>2500</v>
      </c>
      <c r="N127" s="5" t="s">
        <v>170</v>
      </c>
      <c r="O127" s="6" t="s">
        <v>78</v>
      </c>
      <c r="P127" s="6" t="s">
        <v>80</v>
      </c>
      <c r="Q127" s="6">
        <v>2003</v>
      </c>
      <c r="R127" s="6"/>
      <c r="S127" s="6">
        <v>24</v>
      </c>
      <c r="T127" s="6">
        <v>11.4</v>
      </c>
      <c r="U127" s="6">
        <v>2157</v>
      </c>
      <c r="V127" s="6">
        <v>40.299999999999997</v>
      </c>
      <c r="W127" s="6">
        <v>0</v>
      </c>
      <c r="X127" s="6">
        <v>600</v>
      </c>
      <c r="Y127" s="6">
        <v>1043</v>
      </c>
      <c r="Z127" s="6">
        <v>457</v>
      </c>
      <c r="AA127" s="6">
        <v>57</v>
      </c>
      <c r="AB127" s="6">
        <v>0</v>
      </c>
      <c r="AC127" s="2">
        <v>94</v>
      </c>
      <c r="AD127" s="2" t="s">
        <v>52</v>
      </c>
      <c r="AE127" s="7">
        <v>30.22</v>
      </c>
      <c r="AF127" s="7">
        <v>164</v>
      </c>
      <c r="AG127" s="7">
        <v>24.5</v>
      </c>
      <c r="AH127" s="7">
        <v>43.61</v>
      </c>
      <c r="AI127" s="7">
        <v>45.82</v>
      </c>
      <c r="AJ127" s="9">
        <v>320.83617202590102</v>
      </c>
      <c r="AK127" s="9">
        <v>324.22229570000002</v>
      </c>
      <c r="AL127" s="9">
        <v>365.00264328440397</v>
      </c>
      <c r="AM127" s="9">
        <v>82.562568375038694</v>
      </c>
      <c r="AN127" s="9">
        <v>0.87832519547913501</v>
      </c>
      <c r="AO127" s="9">
        <v>0.24063856739834899</v>
      </c>
      <c r="AP127" s="9">
        <v>903.67291326618204</v>
      </c>
      <c r="AQ127" s="9">
        <v>9.6135416304912908</v>
      </c>
      <c r="AR127" s="9">
        <v>5.0028791745182799</v>
      </c>
      <c r="AS127" s="73" t="s">
        <v>169</v>
      </c>
      <c r="AT127" s="10"/>
      <c r="AU127" s="10" t="s">
        <v>169</v>
      </c>
      <c r="AV127" s="10">
        <v>0</v>
      </c>
      <c r="AW127" s="8"/>
      <c r="AX127" s="74" t="s">
        <v>169</v>
      </c>
      <c r="AY127" s="74"/>
      <c r="AZ127" s="74"/>
      <c r="BA127" s="74"/>
      <c r="BB127" s="8"/>
      <c r="BC127" s="8"/>
      <c r="BD127" s="8"/>
      <c r="BE127" s="8"/>
      <c r="BF127" s="12">
        <v>0.44</v>
      </c>
      <c r="BG127" s="13">
        <v>279.71369231666665</v>
      </c>
      <c r="BH127" s="96" t="str">
        <f>+VLOOKUP(G127,Liste!$A$7:$G$50,3,FALSE)</f>
        <v>Pin sylvestre</v>
      </c>
      <c r="BI127" s="96" t="str">
        <f>+VLOOKUP(H127,Liste!$B$7:$G$50,5,FALSE)</f>
        <v>GS Pineraies des plaines du Centre et du Nord Ouest</v>
      </c>
      <c r="BJ127" s="135">
        <f t="shared" si="27"/>
        <v>94</v>
      </c>
      <c r="BK127" s="135" t="str">
        <f t="shared" si="29"/>
        <v>Pin sylvestre_F2_Eclaircie précoce_GS Pineraies des plaines du Centre et du Nord Ouest_94_</v>
      </c>
      <c r="BL127" s="322"/>
      <c r="BM127" s="13">
        <v>71.370155683333337</v>
      </c>
      <c r="BN127" s="13">
        <v>351.08384795561875</v>
      </c>
      <c r="BO127" s="13"/>
      <c r="BP127" s="13">
        <v>244.97</v>
      </c>
      <c r="BQ127" s="13">
        <v>4.6114229088652801</v>
      </c>
      <c r="BT127" s="298" t="str">
        <f>+VLOOKUP(G127,Liste!$A$7:$H$50,8,FALSE)</f>
        <v>Résineux</v>
      </c>
      <c r="BU127" s="298">
        <f t="shared" si="30"/>
        <v>0</v>
      </c>
      <c r="BV127" s="300">
        <f t="shared" si="31"/>
        <v>1</v>
      </c>
      <c r="BW127" s="321">
        <v>0</v>
      </c>
      <c r="BX127" s="298">
        <f t="shared" si="32"/>
        <v>0.43</v>
      </c>
      <c r="BY127">
        <f t="shared" si="33"/>
        <v>0</v>
      </c>
      <c r="BZ127" s="304">
        <f t="shared" si="34"/>
        <v>0</v>
      </c>
      <c r="CB127" s="299">
        <v>0.6</v>
      </c>
      <c r="CC127" s="299">
        <v>0.4</v>
      </c>
      <c r="CD127">
        <f t="shared" si="35"/>
        <v>0</v>
      </c>
      <c r="CE127">
        <f t="shared" si="36"/>
        <v>0</v>
      </c>
      <c r="CF127">
        <f t="shared" si="37"/>
        <v>0</v>
      </c>
      <c r="CG127">
        <f t="shared" si="38"/>
        <v>0</v>
      </c>
      <c r="CH127">
        <f t="shared" si="39"/>
        <v>0</v>
      </c>
      <c r="CI127">
        <f t="shared" si="40"/>
        <v>0</v>
      </c>
      <c r="CJ127">
        <f t="shared" si="41"/>
        <v>0</v>
      </c>
      <c r="CK127">
        <f t="shared" si="42"/>
        <v>0</v>
      </c>
      <c r="CL127">
        <f t="shared" si="43"/>
        <v>0</v>
      </c>
      <c r="CM127">
        <f t="shared" si="45"/>
        <v>0</v>
      </c>
      <c r="CN127">
        <f t="shared" si="44"/>
        <v>0</v>
      </c>
      <c r="CO127">
        <f t="shared" si="28"/>
        <v>0</v>
      </c>
    </row>
    <row r="128" spans="1:93" s="12" customFormat="1" ht="14.65" customHeight="1" x14ac:dyDescent="0.25">
      <c r="A128" s="4">
        <v>2021</v>
      </c>
      <c r="B128" s="4"/>
      <c r="C128" s="4" t="s">
        <v>64</v>
      </c>
      <c r="D128" s="4" t="s">
        <v>65</v>
      </c>
      <c r="E128" s="4"/>
      <c r="F128" s="4" t="s">
        <v>90</v>
      </c>
      <c r="G128" s="5" t="s">
        <v>15</v>
      </c>
      <c r="H128" s="5" t="s">
        <v>21</v>
      </c>
      <c r="I128" s="5" t="s">
        <v>16</v>
      </c>
      <c r="J128" s="5" t="s">
        <v>10</v>
      </c>
      <c r="K128" s="5">
        <v>23</v>
      </c>
      <c r="L128" s="5" t="s">
        <v>192</v>
      </c>
      <c r="M128" s="5">
        <v>2500</v>
      </c>
      <c r="N128" s="5" t="s">
        <v>170</v>
      </c>
      <c r="O128" s="6" t="s">
        <v>78</v>
      </c>
      <c r="P128" s="6" t="s">
        <v>80</v>
      </c>
      <c r="Q128" s="6">
        <v>2003</v>
      </c>
      <c r="R128" s="6"/>
      <c r="S128" s="6">
        <v>24</v>
      </c>
      <c r="T128" s="6">
        <v>11.4</v>
      </c>
      <c r="U128" s="6">
        <v>2157</v>
      </c>
      <c r="V128" s="6">
        <v>40.299999999999997</v>
      </c>
      <c r="W128" s="6">
        <v>0</v>
      </c>
      <c r="X128" s="6">
        <v>600</v>
      </c>
      <c r="Y128" s="6">
        <v>1043</v>
      </c>
      <c r="Z128" s="6">
        <v>457</v>
      </c>
      <c r="AA128" s="6">
        <v>57</v>
      </c>
      <c r="AB128" s="6">
        <v>0</v>
      </c>
      <c r="AC128" s="2">
        <v>95</v>
      </c>
      <c r="AD128" s="2" t="s">
        <v>52</v>
      </c>
      <c r="AE128" s="7">
        <v>30.36</v>
      </c>
      <c r="AF128" s="7">
        <v>164</v>
      </c>
      <c r="AG128" s="7">
        <v>24.74</v>
      </c>
      <c r="AH128" s="7">
        <v>43.83</v>
      </c>
      <c r="AI128" s="7">
        <v>46.05</v>
      </c>
      <c r="AJ128" s="9">
        <v>325.40076248923401</v>
      </c>
      <c r="AK128" s="9">
        <v>328.83198249999998</v>
      </c>
      <c r="AL128" s="9">
        <v>370.00552245892197</v>
      </c>
      <c r="AM128" s="9">
        <v>82.803206942437001</v>
      </c>
      <c r="AN128" s="9">
        <v>0.87161270465723195</v>
      </c>
      <c r="AO128" s="9">
        <v>0.240557812759192</v>
      </c>
      <c r="AP128" s="9">
        <v>908.67579244069998</v>
      </c>
      <c r="AQ128" s="9">
        <v>9.5650083414810503</v>
      </c>
      <c r="AR128" s="9">
        <v>5.1416339084696601</v>
      </c>
      <c r="AS128" s="73" t="s">
        <v>169</v>
      </c>
      <c r="AT128" s="10"/>
      <c r="AU128" s="10" t="s">
        <v>169</v>
      </c>
      <c r="AV128" s="10">
        <v>0</v>
      </c>
      <c r="AW128" s="8"/>
      <c r="AX128" s="74" t="s">
        <v>169</v>
      </c>
      <c r="AY128" s="74"/>
      <c r="AZ128" s="74"/>
      <c r="BA128" s="74"/>
      <c r="BB128" s="8"/>
      <c r="BC128" s="8"/>
      <c r="BD128" s="8"/>
      <c r="BE128" s="8"/>
      <c r="BF128" s="12">
        <v>0.44</v>
      </c>
      <c r="BG128" s="13">
        <v>283.54756536333338</v>
      </c>
      <c r="BH128" s="96" t="str">
        <f>+VLOOKUP(G128,Liste!$A$7:$G$50,3,FALSE)</f>
        <v>Pin sylvestre</v>
      </c>
      <c r="BI128" s="96" t="str">
        <f>+VLOOKUP(H128,Liste!$B$7:$G$50,5,FALSE)</f>
        <v>GS Pineraies des plaines du Centre et du Nord Ouest</v>
      </c>
      <c r="BJ128" s="135">
        <f t="shared" si="27"/>
        <v>95</v>
      </c>
      <c r="BK128" s="135" t="str">
        <f t="shared" si="29"/>
        <v>Pin sylvestre_F2_Eclaircie précoce_GS Pineraies des plaines du Centre et du Nord Ouest_95_</v>
      </c>
      <c r="BL128" s="322"/>
      <c r="BM128" s="13">
        <v>72.233833036666624</v>
      </c>
      <c r="BN128" s="13">
        <v>355.78139838048611</v>
      </c>
      <c r="BO128" s="13"/>
      <c r="BP128" s="13">
        <v>244.97</v>
      </c>
      <c r="BQ128" s="13">
        <v>4.73880158183385</v>
      </c>
      <c r="BT128" s="298" t="str">
        <f>+VLOOKUP(G128,Liste!$A$7:$H$50,8,FALSE)</f>
        <v>Résineux</v>
      </c>
      <c r="BU128" s="298">
        <f t="shared" si="30"/>
        <v>0</v>
      </c>
      <c r="BV128" s="300">
        <f t="shared" si="31"/>
        <v>1</v>
      </c>
      <c r="BW128" s="321">
        <v>0</v>
      </c>
      <c r="BX128" s="298">
        <f t="shared" si="32"/>
        <v>0.43</v>
      </c>
      <c r="BY128">
        <f t="shared" si="33"/>
        <v>0</v>
      </c>
      <c r="BZ128" s="304">
        <f t="shared" si="34"/>
        <v>0</v>
      </c>
      <c r="CB128" s="299">
        <v>0.6</v>
      </c>
      <c r="CC128" s="299">
        <v>0.4</v>
      </c>
      <c r="CD128">
        <f t="shared" si="35"/>
        <v>0</v>
      </c>
      <c r="CE128">
        <f t="shared" si="36"/>
        <v>0</v>
      </c>
      <c r="CF128">
        <f t="shared" si="37"/>
        <v>0</v>
      </c>
      <c r="CG128">
        <f t="shared" si="38"/>
        <v>0</v>
      </c>
      <c r="CH128">
        <f t="shared" si="39"/>
        <v>0</v>
      </c>
      <c r="CI128">
        <f t="shared" si="40"/>
        <v>0</v>
      </c>
      <c r="CJ128">
        <f t="shared" si="41"/>
        <v>0</v>
      </c>
      <c r="CK128">
        <f t="shared" si="42"/>
        <v>0</v>
      </c>
      <c r="CL128">
        <f t="shared" si="43"/>
        <v>0</v>
      </c>
      <c r="CM128">
        <f t="shared" si="45"/>
        <v>0</v>
      </c>
      <c r="CN128">
        <f t="shared" si="44"/>
        <v>0</v>
      </c>
      <c r="CO128">
        <f t="shared" si="28"/>
        <v>0</v>
      </c>
    </row>
    <row r="129" spans="1:93" s="12" customFormat="1" ht="14.65" customHeight="1" x14ac:dyDescent="0.25">
      <c r="A129" s="4">
        <v>2021</v>
      </c>
      <c r="B129" s="4"/>
      <c r="C129" s="4" t="s">
        <v>64</v>
      </c>
      <c r="D129" s="4" t="s">
        <v>65</v>
      </c>
      <c r="E129" s="4"/>
      <c r="F129" s="4" t="s">
        <v>90</v>
      </c>
      <c r="G129" s="5" t="s">
        <v>15</v>
      </c>
      <c r="H129" s="5" t="s">
        <v>21</v>
      </c>
      <c r="I129" s="5" t="s">
        <v>16</v>
      </c>
      <c r="J129" s="5" t="s">
        <v>10</v>
      </c>
      <c r="K129" s="5">
        <v>23</v>
      </c>
      <c r="L129" s="5" t="s">
        <v>192</v>
      </c>
      <c r="M129" s="5">
        <v>2500</v>
      </c>
      <c r="N129" s="5" t="s">
        <v>170</v>
      </c>
      <c r="O129" s="6" t="s">
        <v>78</v>
      </c>
      <c r="P129" s="6" t="s">
        <v>80</v>
      </c>
      <c r="Q129" s="6">
        <v>2003</v>
      </c>
      <c r="R129" s="6"/>
      <c r="S129" s="6">
        <v>24</v>
      </c>
      <c r="T129" s="6">
        <v>11.4</v>
      </c>
      <c r="U129" s="6">
        <v>2157</v>
      </c>
      <c r="V129" s="6">
        <v>40.299999999999997</v>
      </c>
      <c r="W129" s="6">
        <v>0</v>
      </c>
      <c r="X129" s="6">
        <v>600</v>
      </c>
      <c r="Y129" s="6">
        <v>1043</v>
      </c>
      <c r="Z129" s="6">
        <v>457</v>
      </c>
      <c r="AA129" s="6">
        <v>57</v>
      </c>
      <c r="AB129" s="6">
        <v>0</v>
      </c>
      <c r="AC129" s="2">
        <v>96</v>
      </c>
      <c r="AD129" s="2" t="s">
        <v>52</v>
      </c>
      <c r="AE129" s="7">
        <v>30.5</v>
      </c>
      <c r="AF129" s="7">
        <v>164</v>
      </c>
      <c r="AG129" s="7">
        <v>24.98</v>
      </c>
      <c r="AH129" s="7">
        <v>44.04</v>
      </c>
      <c r="AI129" s="7">
        <v>46.28</v>
      </c>
      <c r="AJ129" s="9">
        <v>330.11720267148303</v>
      </c>
      <c r="AK129" s="9">
        <v>333.59163430000001</v>
      </c>
      <c r="AL129" s="9">
        <v>375.14715636739197</v>
      </c>
      <c r="AM129" s="9">
        <v>83.043764755196193</v>
      </c>
      <c r="AN129" s="9">
        <v>0.86503921619996105</v>
      </c>
      <c r="AO129" s="9">
        <v>0.23679070544632499</v>
      </c>
      <c r="AP129" s="9">
        <v>913.81742634916998</v>
      </c>
      <c r="AQ129" s="9">
        <v>9.5189315244705206</v>
      </c>
      <c r="AR129" s="9">
        <v>4.90582563721523</v>
      </c>
      <c r="AS129" s="73" t="s">
        <v>169</v>
      </c>
      <c r="AT129" s="10"/>
      <c r="AU129" s="10" t="s">
        <v>169</v>
      </c>
      <c r="AV129" s="10">
        <v>0</v>
      </c>
      <c r="AW129" s="8"/>
      <c r="AX129" s="74" t="s">
        <v>169</v>
      </c>
      <c r="AY129" s="74"/>
      <c r="AZ129" s="74"/>
      <c r="BA129" s="74"/>
      <c r="BB129" s="8"/>
      <c r="BC129" s="8"/>
      <c r="BD129" s="8"/>
      <c r="BE129" s="8"/>
      <c r="BF129" s="12">
        <v>0.44</v>
      </c>
      <c r="BG129" s="13">
        <v>287.48777082666669</v>
      </c>
      <c r="BH129" s="96" t="str">
        <f>+VLOOKUP(G129,Liste!$A$7:$G$50,3,FALSE)</f>
        <v>Pin sylvestre</v>
      </c>
      <c r="BI129" s="96" t="str">
        <f>+VLOOKUP(H129,Liste!$B$7:$G$50,5,FALSE)</f>
        <v>GS Pineraies des plaines du Centre et du Nord Ouest</v>
      </c>
      <c r="BJ129" s="135">
        <f t="shared" si="27"/>
        <v>96</v>
      </c>
      <c r="BK129" s="135" t="str">
        <f t="shared" si="29"/>
        <v>Pin sylvestre_F2_Eclaircie précoce_GS Pineraies des plaines du Centre et du Nord Ouest_96_</v>
      </c>
      <c r="BL129" s="322"/>
      <c r="BM129" s="13">
        <v>73.120049273333336</v>
      </c>
      <c r="BN129" s="13">
        <v>360.6078201419254</v>
      </c>
      <c r="BO129" s="13"/>
      <c r="BP129" s="13">
        <v>244.97</v>
      </c>
      <c r="BQ129" s="13">
        <v>4.52098073157208</v>
      </c>
      <c r="BT129" s="298" t="str">
        <f>+VLOOKUP(G129,Liste!$A$7:$H$50,8,FALSE)</f>
        <v>Résineux</v>
      </c>
      <c r="BU129" s="298">
        <f t="shared" si="30"/>
        <v>0</v>
      </c>
      <c r="BV129" s="300">
        <f t="shared" si="31"/>
        <v>1</v>
      </c>
      <c r="BW129" s="321">
        <v>0</v>
      </c>
      <c r="BX129" s="298">
        <f t="shared" si="32"/>
        <v>0.43</v>
      </c>
      <c r="BY129">
        <f t="shared" si="33"/>
        <v>0</v>
      </c>
      <c r="BZ129" s="304">
        <f t="shared" si="34"/>
        <v>0</v>
      </c>
      <c r="CB129" s="299">
        <v>0.6</v>
      </c>
      <c r="CC129" s="299">
        <v>0.4</v>
      </c>
      <c r="CD129">
        <f t="shared" si="35"/>
        <v>0</v>
      </c>
      <c r="CE129">
        <f t="shared" si="36"/>
        <v>0</v>
      </c>
      <c r="CF129">
        <f t="shared" si="37"/>
        <v>0</v>
      </c>
      <c r="CG129">
        <f t="shared" si="38"/>
        <v>0</v>
      </c>
      <c r="CH129">
        <f t="shared" si="39"/>
        <v>0</v>
      </c>
      <c r="CI129">
        <f t="shared" si="40"/>
        <v>0</v>
      </c>
      <c r="CJ129">
        <f t="shared" si="41"/>
        <v>0</v>
      </c>
      <c r="CK129">
        <f t="shared" si="42"/>
        <v>0</v>
      </c>
      <c r="CL129">
        <f t="shared" si="43"/>
        <v>0</v>
      </c>
      <c r="CM129">
        <f t="shared" si="45"/>
        <v>0</v>
      </c>
      <c r="CN129">
        <f t="shared" si="44"/>
        <v>0</v>
      </c>
      <c r="CO129">
        <f t="shared" si="28"/>
        <v>0</v>
      </c>
    </row>
    <row r="130" spans="1:93" s="12" customFormat="1" ht="14.65" customHeight="1" x14ac:dyDescent="0.25">
      <c r="A130" s="4">
        <v>2021</v>
      </c>
      <c r="B130" s="4"/>
      <c r="C130" s="4" t="s">
        <v>64</v>
      </c>
      <c r="D130" s="4" t="s">
        <v>65</v>
      </c>
      <c r="E130" s="4"/>
      <c r="F130" s="4" t="s">
        <v>90</v>
      </c>
      <c r="G130" s="5" t="s">
        <v>15</v>
      </c>
      <c r="H130" s="5" t="s">
        <v>21</v>
      </c>
      <c r="I130" s="5" t="s">
        <v>16</v>
      </c>
      <c r="J130" s="5" t="s">
        <v>10</v>
      </c>
      <c r="K130" s="5">
        <v>23</v>
      </c>
      <c r="L130" s="5" t="s">
        <v>192</v>
      </c>
      <c r="M130" s="5">
        <v>2500</v>
      </c>
      <c r="N130" s="5" t="s">
        <v>170</v>
      </c>
      <c r="O130" s="6" t="s">
        <v>78</v>
      </c>
      <c r="P130" s="6" t="s">
        <v>80</v>
      </c>
      <c r="Q130" s="6">
        <v>2003</v>
      </c>
      <c r="R130" s="6"/>
      <c r="S130" s="6">
        <v>24</v>
      </c>
      <c r="T130" s="6">
        <v>11.4</v>
      </c>
      <c r="U130" s="6">
        <v>2157</v>
      </c>
      <c r="V130" s="6">
        <v>40.299999999999997</v>
      </c>
      <c r="W130" s="6">
        <v>0</v>
      </c>
      <c r="X130" s="6">
        <v>600</v>
      </c>
      <c r="Y130" s="6">
        <v>1043</v>
      </c>
      <c r="Z130" s="6">
        <v>457</v>
      </c>
      <c r="AA130" s="6">
        <v>57</v>
      </c>
      <c r="AB130" s="6">
        <v>0</v>
      </c>
      <c r="AC130" s="2">
        <v>97</v>
      </c>
      <c r="AD130" s="2" t="s">
        <v>52</v>
      </c>
      <c r="AE130" s="7">
        <v>30.64</v>
      </c>
      <c r="AF130" s="7">
        <v>164</v>
      </c>
      <c r="AG130" s="7">
        <v>25.22</v>
      </c>
      <c r="AH130" s="7">
        <v>44.25</v>
      </c>
      <c r="AI130" s="7">
        <v>46.5</v>
      </c>
      <c r="AJ130" s="9">
        <v>334.58628744010798</v>
      </c>
      <c r="AK130" s="9">
        <v>338.10609449999998</v>
      </c>
      <c r="AL130" s="9">
        <v>380.05298200460697</v>
      </c>
      <c r="AM130" s="9">
        <v>83.280555460642603</v>
      </c>
      <c r="AN130" s="9">
        <v>0.858562427429305</v>
      </c>
      <c r="AO130" s="9">
        <v>0.23546067292652101</v>
      </c>
      <c r="AP130" s="9">
        <v>918.72325198638498</v>
      </c>
      <c r="AQ130" s="9">
        <v>9.4713737318183995</v>
      </c>
      <c r="AR130" s="9">
        <v>5.0701653695773503</v>
      </c>
      <c r="AS130" s="73" t="s">
        <v>169</v>
      </c>
      <c r="AT130" s="10"/>
      <c r="AU130" s="10" t="s">
        <v>169</v>
      </c>
      <c r="AV130" s="10">
        <v>0</v>
      </c>
      <c r="AW130" s="8"/>
      <c r="AX130" s="74" t="s">
        <v>169</v>
      </c>
      <c r="AY130" s="74"/>
      <c r="AZ130" s="74"/>
      <c r="BA130" s="74"/>
      <c r="BB130" s="8"/>
      <c r="BC130" s="8"/>
      <c r="BD130" s="8"/>
      <c r="BE130" s="8"/>
      <c r="BF130" s="12">
        <v>0.44</v>
      </c>
      <c r="BG130" s="13">
        <v>291.2472685466667</v>
      </c>
      <c r="BH130" s="96" t="str">
        <f>+VLOOKUP(G130,Liste!$A$7:$G$50,3,FALSE)</f>
        <v>Pin sylvestre</v>
      </c>
      <c r="BI130" s="96" t="str">
        <f>+VLOOKUP(H130,Liste!$B$7:$G$50,5,FALSE)</f>
        <v>GS Pineraies des plaines du Centre et du Nord Ouest</v>
      </c>
      <c r="BJ130" s="135">
        <f t="shared" si="27"/>
        <v>97</v>
      </c>
      <c r="BK130" s="135" t="str">
        <f t="shared" si="29"/>
        <v>Pin sylvestre_F2_Eclaircie précoce_GS Pineraies des plaines du Centre et du Nord Ouest_97_</v>
      </c>
      <c r="BL130" s="322"/>
      <c r="BM130" s="13">
        <v>73.964304153333273</v>
      </c>
      <c r="BN130" s="13">
        <v>365.21157271663606</v>
      </c>
      <c r="BO130" s="13"/>
      <c r="BP130" s="13">
        <v>244.97</v>
      </c>
      <c r="BQ130" s="13">
        <v>4.67193141752273</v>
      </c>
      <c r="BT130" s="298" t="str">
        <f>+VLOOKUP(G130,Liste!$A$7:$H$50,8,FALSE)</f>
        <v>Résineux</v>
      </c>
      <c r="BU130" s="298">
        <f t="shared" si="30"/>
        <v>0</v>
      </c>
      <c r="BV130" s="300">
        <f t="shared" si="31"/>
        <v>1</v>
      </c>
      <c r="BW130" s="321">
        <v>0</v>
      </c>
      <c r="BX130" s="298">
        <f t="shared" si="32"/>
        <v>0.43</v>
      </c>
      <c r="BY130">
        <f t="shared" si="33"/>
        <v>0</v>
      </c>
      <c r="BZ130" s="304">
        <f t="shared" si="34"/>
        <v>0</v>
      </c>
      <c r="CB130" s="299">
        <v>0.6</v>
      </c>
      <c r="CC130" s="299">
        <v>0.4</v>
      </c>
      <c r="CD130">
        <f t="shared" si="35"/>
        <v>0</v>
      </c>
      <c r="CE130">
        <f t="shared" si="36"/>
        <v>0</v>
      </c>
      <c r="CF130">
        <f t="shared" si="37"/>
        <v>0</v>
      </c>
      <c r="CG130">
        <f t="shared" si="38"/>
        <v>0</v>
      </c>
      <c r="CH130">
        <f t="shared" si="39"/>
        <v>0</v>
      </c>
      <c r="CI130">
        <f t="shared" si="40"/>
        <v>0</v>
      </c>
      <c r="CJ130">
        <f t="shared" si="41"/>
        <v>0</v>
      </c>
      <c r="CK130">
        <f t="shared" si="42"/>
        <v>0</v>
      </c>
      <c r="CL130">
        <f t="shared" si="43"/>
        <v>0</v>
      </c>
      <c r="CM130">
        <f t="shared" si="45"/>
        <v>0</v>
      </c>
      <c r="CN130">
        <f t="shared" si="44"/>
        <v>0</v>
      </c>
      <c r="CO130">
        <f t="shared" si="28"/>
        <v>0</v>
      </c>
    </row>
    <row r="131" spans="1:93" s="12" customFormat="1" ht="14.65" customHeight="1" x14ac:dyDescent="0.25">
      <c r="A131" s="4">
        <v>2021</v>
      </c>
      <c r="B131" s="4"/>
      <c r="C131" s="4" t="s">
        <v>64</v>
      </c>
      <c r="D131" s="4" t="s">
        <v>65</v>
      </c>
      <c r="E131" s="4"/>
      <c r="F131" s="4" t="s">
        <v>90</v>
      </c>
      <c r="G131" s="5" t="s">
        <v>15</v>
      </c>
      <c r="H131" s="5" t="s">
        <v>21</v>
      </c>
      <c r="I131" s="5" t="s">
        <v>16</v>
      </c>
      <c r="J131" s="5" t="s">
        <v>10</v>
      </c>
      <c r="K131" s="5">
        <v>23</v>
      </c>
      <c r="L131" s="5" t="s">
        <v>192</v>
      </c>
      <c r="M131" s="5">
        <v>2500</v>
      </c>
      <c r="N131" s="5" t="s">
        <v>170</v>
      </c>
      <c r="O131" s="6" t="s">
        <v>78</v>
      </c>
      <c r="P131" s="6" t="s">
        <v>80</v>
      </c>
      <c r="Q131" s="6">
        <v>2003</v>
      </c>
      <c r="R131" s="6"/>
      <c r="S131" s="6">
        <v>24</v>
      </c>
      <c r="T131" s="6">
        <v>11.4</v>
      </c>
      <c r="U131" s="6">
        <v>2157</v>
      </c>
      <c r="V131" s="6">
        <v>40.299999999999997</v>
      </c>
      <c r="W131" s="6">
        <v>0</v>
      </c>
      <c r="X131" s="6">
        <v>600</v>
      </c>
      <c r="Y131" s="6">
        <v>1043</v>
      </c>
      <c r="Z131" s="6">
        <v>457</v>
      </c>
      <c r="AA131" s="6">
        <v>57</v>
      </c>
      <c r="AB131" s="6">
        <v>0</v>
      </c>
      <c r="AC131" s="2">
        <v>98</v>
      </c>
      <c r="AD131" s="2" t="s">
        <v>52</v>
      </c>
      <c r="AE131" s="7">
        <v>30.78</v>
      </c>
      <c r="AF131" s="7">
        <v>164</v>
      </c>
      <c r="AG131" s="7">
        <v>25.46</v>
      </c>
      <c r="AH131" s="7">
        <v>44.46</v>
      </c>
      <c r="AI131" s="7">
        <v>46.72</v>
      </c>
      <c r="AJ131" s="9">
        <v>339.24025430909199</v>
      </c>
      <c r="AK131" s="9">
        <v>342.80263509999997</v>
      </c>
      <c r="AL131" s="9">
        <v>385.12314737418399</v>
      </c>
      <c r="AM131" s="9">
        <v>83.516016133569096</v>
      </c>
      <c r="AN131" s="9">
        <v>0.85220424626090896</v>
      </c>
      <c r="AO131" s="9">
        <v>0.232724597052652</v>
      </c>
      <c r="AP131" s="9">
        <v>923.79341735596199</v>
      </c>
      <c r="AQ131" s="9">
        <v>9.4264634424077798</v>
      </c>
      <c r="AR131" s="9">
        <v>4.9728235002739902</v>
      </c>
      <c r="AS131" s="73" t="s">
        <v>169</v>
      </c>
      <c r="AT131" s="10"/>
      <c r="AU131" s="10" t="s">
        <v>169</v>
      </c>
      <c r="AV131" s="10">
        <v>0</v>
      </c>
      <c r="AW131" s="8"/>
      <c r="AX131" s="74" t="s">
        <v>169</v>
      </c>
      <c r="AY131" s="74"/>
      <c r="AZ131" s="74"/>
      <c r="BA131" s="74"/>
      <c r="BB131" s="8"/>
      <c r="BC131" s="8"/>
      <c r="BD131" s="8"/>
      <c r="BE131" s="8"/>
      <c r="BF131" s="12">
        <v>0.44</v>
      </c>
      <c r="BG131" s="13">
        <v>295.13270526666668</v>
      </c>
      <c r="BH131" s="96" t="str">
        <f>+VLOOKUP(G131,Liste!$A$7:$G$50,3,FALSE)</f>
        <v>Pin sylvestre</v>
      </c>
      <c r="BI131" s="96" t="str">
        <f>+VLOOKUP(H131,Liste!$B$7:$G$50,5,FALSE)</f>
        <v>GS Pineraies des plaines du Centre et du Nord Ouest</v>
      </c>
      <c r="BJ131" s="135">
        <f t="shared" ref="BJ131:BJ194" si="46">+AC131</f>
        <v>98</v>
      </c>
      <c r="BK131" s="135" t="str">
        <f t="shared" si="29"/>
        <v>Pin sylvestre_F2_Eclaircie précoce_GS Pineraies des plaines du Centre et du Nord Ouest_98_</v>
      </c>
      <c r="BL131" s="322"/>
      <c r="BM131" s="13">
        <v>74.835508833333336</v>
      </c>
      <c r="BN131" s="13">
        <v>369.96821412071034</v>
      </c>
      <c r="BO131" s="13"/>
      <c r="BP131" s="13">
        <v>244.97</v>
      </c>
      <c r="BQ131" s="13">
        <v>4.5817472811488598</v>
      </c>
      <c r="BT131" s="298" t="str">
        <f>+VLOOKUP(G131,Liste!$A$7:$H$50,8,FALSE)</f>
        <v>Résineux</v>
      </c>
      <c r="BU131" s="298">
        <f t="shared" si="30"/>
        <v>0</v>
      </c>
      <c r="BV131" s="300">
        <f t="shared" si="31"/>
        <v>1</v>
      </c>
      <c r="BW131" s="321">
        <v>0</v>
      </c>
      <c r="BX131" s="298">
        <f t="shared" si="32"/>
        <v>0.43</v>
      </c>
      <c r="BY131">
        <f t="shared" si="33"/>
        <v>0</v>
      </c>
      <c r="BZ131" s="304">
        <f t="shared" si="34"/>
        <v>0</v>
      </c>
      <c r="CB131" s="299">
        <v>0.6</v>
      </c>
      <c r="CC131" s="299">
        <v>0.4</v>
      </c>
      <c r="CD131">
        <f t="shared" si="35"/>
        <v>0</v>
      </c>
      <c r="CE131">
        <f t="shared" si="36"/>
        <v>0</v>
      </c>
      <c r="CF131">
        <f t="shared" si="37"/>
        <v>0</v>
      </c>
      <c r="CG131">
        <f t="shared" si="38"/>
        <v>0</v>
      </c>
      <c r="CH131">
        <f t="shared" si="39"/>
        <v>0</v>
      </c>
      <c r="CI131">
        <f t="shared" si="40"/>
        <v>0</v>
      </c>
      <c r="CJ131">
        <f t="shared" si="41"/>
        <v>0</v>
      </c>
      <c r="CK131">
        <f t="shared" si="42"/>
        <v>0</v>
      </c>
      <c r="CL131">
        <f t="shared" si="43"/>
        <v>0</v>
      </c>
      <c r="CM131">
        <f t="shared" si="45"/>
        <v>0</v>
      </c>
      <c r="CN131">
        <f t="shared" si="44"/>
        <v>0</v>
      </c>
      <c r="CO131">
        <f t="shared" ref="CO131:CO194" si="47">+IF(BJ131=30,CN131/30,0)</f>
        <v>0</v>
      </c>
    </row>
    <row r="132" spans="1:93" s="12" customFormat="1" ht="14.65" customHeight="1" x14ac:dyDescent="0.25">
      <c r="A132" s="4">
        <v>2021</v>
      </c>
      <c r="B132" s="4"/>
      <c r="C132" s="4" t="s">
        <v>64</v>
      </c>
      <c r="D132" s="4" t="s">
        <v>65</v>
      </c>
      <c r="E132" s="4"/>
      <c r="F132" s="4" t="s">
        <v>90</v>
      </c>
      <c r="G132" s="5" t="s">
        <v>15</v>
      </c>
      <c r="H132" s="5" t="s">
        <v>21</v>
      </c>
      <c r="I132" s="5" t="s">
        <v>16</v>
      </c>
      <c r="J132" s="5" t="s">
        <v>10</v>
      </c>
      <c r="K132" s="5">
        <v>23</v>
      </c>
      <c r="L132" s="5" t="s">
        <v>192</v>
      </c>
      <c r="M132" s="5">
        <v>2500</v>
      </c>
      <c r="N132" s="5" t="s">
        <v>170</v>
      </c>
      <c r="O132" s="6" t="s">
        <v>78</v>
      </c>
      <c r="P132" s="6" t="s">
        <v>80</v>
      </c>
      <c r="Q132" s="6">
        <v>2003</v>
      </c>
      <c r="R132" s="6"/>
      <c r="S132" s="6">
        <v>24</v>
      </c>
      <c r="T132" s="6">
        <v>11.4</v>
      </c>
      <c r="U132" s="6">
        <v>2157</v>
      </c>
      <c r="V132" s="6">
        <v>40.299999999999997</v>
      </c>
      <c r="W132" s="6">
        <v>0</v>
      </c>
      <c r="X132" s="6">
        <v>600</v>
      </c>
      <c r="Y132" s="6">
        <v>1043</v>
      </c>
      <c r="Z132" s="6">
        <v>457</v>
      </c>
      <c r="AA132" s="6">
        <v>57</v>
      </c>
      <c r="AB132" s="6">
        <v>0</v>
      </c>
      <c r="AC132" s="2">
        <v>99</v>
      </c>
      <c r="AD132" s="2" t="s">
        <v>52</v>
      </c>
      <c r="AE132" s="7">
        <v>30.92</v>
      </c>
      <c r="AF132" s="7">
        <v>164</v>
      </c>
      <c r="AG132" s="7">
        <v>25.69</v>
      </c>
      <c r="AH132" s="7">
        <v>44.66</v>
      </c>
      <c r="AI132" s="7">
        <v>46.93</v>
      </c>
      <c r="AJ132" s="9">
        <v>343.79616792656702</v>
      </c>
      <c r="AK132" s="9">
        <v>347.40148970000001</v>
      </c>
      <c r="AL132" s="9">
        <v>390.09597087445798</v>
      </c>
      <c r="AM132" s="9">
        <v>83.748740730621705</v>
      </c>
      <c r="AN132" s="9">
        <v>0.84594687606688601</v>
      </c>
      <c r="AO132" s="9">
        <v>0.23145256618723001</v>
      </c>
      <c r="AP132" s="9">
        <v>928.76624085623598</v>
      </c>
      <c r="AQ132" s="9">
        <v>9.3814771803660193</v>
      </c>
      <c r="AR132" s="9">
        <v>4.8843658747312002</v>
      </c>
      <c r="AS132" s="73" t="s">
        <v>169</v>
      </c>
      <c r="AT132" s="10"/>
      <c r="AU132" s="10" t="s">
        <v>169</v>
      </c>
      <c r="AV132" s="10">
        <v>0</v>
      </c>
      <c r="AW132" s="8"/>
      <c r="AX132" s="74" t="s">
        <v>169</v>
      </c>
      <c r="AY132" s="74"/>
      <c r="AZ132" s="74"/>
      <c r="BA132" s="74"/>
      <c r="BB132" s="8"/>
      <c r="BC132" s="8"/>
      <c r="BD132" s="8"/>
      <c r="BE132" s="8"/>
      <c r="BF132" s="12">
        <v>0.44</v>
      </c>
      <c r="BG132" s="13">
        <v>298.94354566999999</v>
      </c>
      <c r="BH132" s="96" t="str">
        <f>+VLOOKUP(G132,Liste!$A$7:$G$50,3,FALSE)</f>
        <v>Pin sylvestre</v>
      </c>
      <c r="BI132" s="96" t="str">
        <f>+VLOOKUP(H132,Liste!$B$7:$G$50,5,FALSE)</f>
        <v>GS Pineraies des plaines du Centre et du Nord Ouest</v>
      </c>
      <c r="BJ132" s="135">
        <f t="shared" si="46"/>
        <v>99</v>
      </c>
      <c r="BK132" s="135" t="str">
        <f t="shared" ref="BK132:BK195" si="48">+_xlfn.CONCAT(BH132,"_",J132,"_",I132,"_",BI132,"_",BJ132,"_")</f>
        <v>Pin sylvestre_F2_Eclaircie précoce_GS Pineraies des plaines du Centre et du Nord Ouest_99_</v>
      </c>
      <c r="BL132" s="322"/>
      <c r="BM132" s="13">
        <v>75.688691329999983</v>
      </c>
      <c r="BN132" s="13">
        <v>374.63223697683662</v>
      </c>
      <c r="BO132" s="13"/>
      <c r="BP132" s="13">
        <v>244.97</v>
      </c>
      <c r="BQ132" s="13">
        <v>4.4997786180208497</v>
      </c>
      <c r="BT132" s="298" t="str">
        <f>+VLOOKUP(G132,Liste!$A$7:$H$50,8,FALSE)</f>
        <v>Résineux</v>
      </c>
      <c r="BU132" s="298">
        <f t="shared" ref="BU132:BU195" si="49">IF(BT132="Résineux",0%,100%)</f>
        <v>0</v>
      </c>
      <c r="BV132" s="300">
        <f t="shared" ref="BV132:BV195" si="50">+IF(BT132="Résineux",100%,0%)</f>
        <v>1</v>
      </c>
      <c r="BW132" s="321">
        <v>0</v>
      </c>
      <c r="BX132" s="298">
        <f t="shared" ref="BX132:BX195" si="51">+IF(BV132&lt;&gt;0,0.43,0.25)</f>
        <v>0.43</v>
      </c>
      <c r="BY132">
        <f t="shared" ref="BY132:BY195" si="52">+IF(BJ132&lt;=30,AV132*BX132,0)</f>
        <v>0</v>
      </c>
      <c r="BZ132" s="304">
        <f t="shared" ref="BZ132:BZ195" si="53">+IF(BJ132&gt;=31,0,BY132+BZ131)</f>
        <v>0</v>
      </c>
      <c r="CB132" s="299">
        <v>0.6</v>
      </c>
      <c r="CC132" s="299">
        <v>0.4</v>
      </c>
      <c r="CD132">
        <f t="shared" ref="CD132:CD195" si="54">+IF(BJ132&lt;=31,AV132*CA132*0.5,0)</f>
        <v>0</v>
      </c>
      <c r="CE132">
        <f t="shared" ref="CE132:CE195" si="55">IF(BJ132&lt;=31,AV132*CB132,0)</f>
        <v>0</v>
      </c>
      <c r="CF132">
        <f t="shared" ref="CF132:CF195" si="56">IF(BJ132&lt;=31,AV132*CC132,0)</f>
        <v>0</v>
      </c>
      <c r="CG132">
        <f t="shared" ref="CG132:CG195" si="57">CD132*44/12*0.475*BF132</f>
        <v>0</v>
      </c>
      <c r="CH132">
        <f t="shared" ref="CH132:CH195" si="58">CE132*44/12*0.475*BF132</f>
        <v>0</v>
      </c>
      <c r="CI132">
        <f t="shared" ref="CI132:CI195" si="59">CF132*44/12*0.475*BF132</f>
        <v>0</v>
      </c>
      <c r="CJ132">
        <f t="shared" ref="CJ132:CJ195" si="60">+IF(BJ132&lt;=31,CJ131*EXP(-$CJ$1)+CG131*(1-EXP(-$CJ$1))/$CJ$1,0)</f>
        <v>0</v>
      </c>
      <c r="CK132">
        <f t="shared" ref="CK132:CK195" si="61">+IF(BJ132&lt;=31,CK131*EXP(-$CK$1)+CH131*(1-EXP(-$CK$1))/$CK$1,0)</f>
        <v>0</v>
      </c>
      <c r="CL132">
        <f t="shared" ref="CL132:CL195" si="62">+IF(BJ132&lt;=31,CL131*EXP(-$CL$1)+CI131*(1-EXP(-$CL$1))/$CL$1,0)</f>
        <v>0</v>
      </c>
      <c r="CM132">
        <f t="shared" si="45"/>
        <v>0</v>
      </c>
      <c r="CN132">
        <f t="shared" ref="CN132:CN195" si="63">+IF(BJ132&lt;=31,CM132+CN131,0)</f>
        <v>0</v>
      </c>
      <c r="CO132">
        <f t="shared" si="47"/>
        <v>0</v>
      </c>
    </row>
    <row r="133" spans="1:93" s="12" customFormat="1" ht="14.65" customHeight="1" x14ac:dyDescent="0.25">
      <c r="A133" s="4">
        <v>2021</v>
      </c>
      <c r="B133" s="4"/>
      <c r="C133" s="4" t="s">
        <v>64</v>
      </c>
      <c r="D133" s="4" t="s">
        <v>65</v>
      </c>
      <c r="E133" s="4"/>
      <c r="F133" s="4" t="s">
        <v>90</v>
      </c>
      <c r="G133" s="5" t="s">
        <v>15</v>
      </c>
      <c r="H133" s="5" t="s">
        <v>21</v>
      </c>
      <c r="I133" s="5" t="s">
        <v>16</v>
      </c>
      <c r="J133" s="5" t="s">
        <v>10</v>
      </c>
      <c r="K133" s="5">
        <v>23</v>
      </c>
      <c r="L133" s="5" t="s">
        <v>192</v>
      </c>
      <c r="M133" s="5">
        <v>2500</v>
      </c>
      <c r="N133" s="5" t="s">
        <v>170</v>
      </c>
      <c r="O133" s="6" t="s">
        <v>78</v>
      </c>
      <c r="P133" s="6" t="s">
        <v>80</v>
      </c>
      <c r="Q133" s="6">
        <v>2003</v>
      </c>
      <c r="R133" s="6"/>
      <c r="S133" s="6">
        <v>24</v>
      </c>
      <c r="T133" s="6">
        <v>11.4</v>
      </c>
      <c r="U133" s="6">
        <v>2157</v>
      </c>
      <c r="V133" s="6">
        <v>40.299999999999997</v>
      </c>
      <c r="W133" s="6">
        <v>0</v>
      </c>
      <c r="X133" s="6">
        <v>600</v>
      </c>
      <c r="Y133" s="6">
        <v>1043</v>
      </c>
      <c r="Z133" s="6">
        <v>457</v>
      </c>
      <c r="AA133" s="6">
        <v>57</v>
      </c>
      <c r="AB133" s="6">
        <v>0</v>
      </c>
      <c r="AC133" s="2">
        <v>100</v>
      </c>
      <c r="AD133" s="2" t="s">
        <v>52</v>
      </c>
      <c r="AE133" s="7">
        <v>31.05</v>
      </c>
      <c r="AF133" s="7">
        <v>164</v>
      </c>
      <c r="AG133" s="7">
        <v>25.92</v>
      </c>
      <c r="AH133" s="7">
        <v>44.86</v>
      </c>
      <c r="AI133" s="7">
        <v>47.15</v>
      </c>
      <c r="AJ133" s="9">
        <v>348.25775735226102</v>
      </c>
      <c r="AK133" s="9">
        <v>351.90714009999999</v>
      </c>
      <c r="AL133" s="9">
        <v>394.98033674918997</v>
      </c>
      <c r="AM133" s="9">
        <v>83.980193296809006</v>
      </c>
      <c r="AN133" s="9">
        <v>0.83980193296809003</v>
      </c>
      <c r="AO133" s="9">
        <v>0.228445952061989</v>
      </c>
      <c r="AP133" s="9">
        <v>933.65060673096696</v>
      </c>
      <c r="AQ133" s="9">
        <v>9.3365060673096707</v>
      </c>
      <c r="AR133" s="9">
        <v>4.9617162525921703</v>
      </c>
      <c r="AS133" s="73" t="s">
        <v>169</v>
      </c>
      <c r="AT133" s="10"/>
      <c r="AU133" s="10" t="s">
        <v>169</v>
      </c>
      <c r="AV133" s="10">
        <v>0</v>
      </c>
      <c r="AW133" s="8"/>
      <c r="AX133" s="74" t="s">
        <v>169</v>
      </c>
      <c r="AY133" s="74"/>
      <c r="AZ133" s="74"/>
      <c r="BA133" s="74"/>
      <c r="BB133" s="8"/>
      <c r="BC133" s="8"/>
      <c r="BD133" s="8"/>
      <c r="BE133" s="8"/>
      <c r="BF133" s="12">
        <v>0.44</v>
      </c>
      <c r="BG133" s="13">
        <v>302.68659805999999</v>
      </c>
      <c r="BH133" s="96" t="str">
        <f>+VLOOKUP(G133,Liste!$A$7:$G$50,3,FALSE)</f>
        <v>Pin sylvestre</v>
      </c>
      <c r="BI133" s="96" t="str">
        <f>+VLOOKUP(H133,Liste!$B$7:$G$50,5,FALSE)</f>
        <v>GS Pineraies des plaines du Centre et du Nord Ouest</v>
      </c>
      <c r="BJ133" s="135">
        <f t="shared" si="46"/>
        <v>100</v>
      </c>
      <c r="BK133" s="135" t="str">
        <f t="shared" si="48"/>
        <v>Pin sylvestre_F2_Eclaircie précoce_GS Pineraies des plaines du Centre et du Nord Ouest_100_</v>
      </c>
      <c r="BL133" s="322"/>
      <c r="BM133" s="13">
        <v>76.525465540000027</v>
      </c>
      <c r="BN133" s="13">
        <v>379.21206359334104</v>
      </c>
      <c r="BO133" s="13"/>
      <c r="BP133" s="13">
        <v>244.97</v>
      </c>
      <c r="BQ133" s="13">
        <v>4.5705668978905596</v>
      </c>
      <c r="BT133" s="298" t="str">
        <f>+VLOOKUP(G133,Liste!$A$7:$H$50,8,FALSE)</f>
        <v>Résineux</v>
      </c>
      <c r="BU133" s="298">
        <f t="shared" si="49"/>
        <v>0</v>
      </c>
      <c r="BV133" s="300">
        <f t="shared" si="50"/>
        <v>1</v>
      </c>
      <c r="BW133" s="321">
        <v>0</v>
      </c>
      <c r="BX133" s="298">
        <f t="shared" si="51"/>
        <v>0.43</v>
      </c>
      <c r="BY133">
        <f t="shared" si="52"/>
        <v>0</v>
      </c>
      <c r="BZ133" s="304">
        <f t="shared" si="53"/>
        <v>0</v>
      </c>
      <c r="CB133" s="299">
        <v>0.6</v>
      </c>
      <c r="CC133" s="299">
        <v>0.4</v>
      </c>
      <c r="CD133">
        <f t="shared" si="54"/>
        <v>0</v>
      </c>
      <c r="CE133">
        <f t="shared" si="55"/>
        <v>0</v>
      </c>
      <c r="CF133">
        <f t="shared" si="56"/>
        <v>0</v>
      </c>
      <c r="CG133">
        <f t="shared" si="57"/>
        <v>0</v>
      </c>
      <c r="CH133">
        <f t="shared" si="58"/>
        <v>0</v>
      </c>
      <c r="CI133">
        <f t="shared" si="59"/>
        <v>0</v>
      </c>
      <c r="CJ133">
        <f t="shared" si="60"/>
        <v>0</v>
      </c>
      <c r="CK133">
        <f t="shared" si="61"/>
        <v>0</v>
      </c>
      <c r="CL133">
        <f t="shared" si="62"/>
        <v>0</v>
      </c>
      <c r="CM133">
        <f t="shared" ref="CM133:CM196" si="64">+CJ133+CK133+CL133</f>
        <v>0</v>
      </c>
      <c r="CN133">
        <f t="shared" si="63"/>
        <v>0</v>
      </c>
      <c r="CO133">
        <f t="shared" si="47"/>
        <v>0</v>
      </c>
    </row>
    <row r="134" spans="1:93" s="12" customFormat="1" ht="14.65" customHeight="1" x14ac:dyDescent="0.25">
      <c r="A134" s="4">
        <v>2021</v>
      </c>
      <c r="B134" s="4"/>
      <c r="C134" s="4" t="s">
        <v>64</v>
      </c>
      <c r="D134" s="4" t="s">
        <v>65</v>
      </c>
      <c r="E134" s="4"/>
      <c r="F134" s="4" t="s">
        <v>90</v>
      </c>
      <c r="G134" s="5" t="s">
        <v>15</v>
      </c>
      <c r="H134" s="5" t="s">
        <v>21</v>
      </c>
      <c r="I134" s="5" t="s">
        <v>16</v>
      </c>
      <c r="J134" s="5" t="s">
        <v>10</v>
      </c>
      <c r="K134" s="5">
        <v>23</v>
      </c>
      <c r="L134" s="5" t="s">
        <v>192</v>
      </c>
      <c r="M134" s="5">
        <v>2500</v>
      </c>
      <c r="N134" s="5" t="s">
        <v>170</v>
      </c>
      <c r="O134" s="6" t="s">
        <v>78</v>
      </c>
      <c r="P134" s="6" t="s">
        <v>80</v>
      </c>
      <c r="Q134" s="6">
        <v>2003</v>
      </c>
      <c r="R134" s="6"/>
      <c r="S134" s="6">
        <v>24</v>
      </c>
      <c r="T134" s="6">
        <v>11.4</v>
      </c>
      <c r="U134" s="6">
        <v>2157</v>
      </c>
      <c r="V134" s="6">
        <v>40.299999999999997</v>
      </c>
      <c r="W134" s="6">
        <v>0</v>
      </c>
      <c r="X134" s="6">
        <v>600</v>
      </c>
      <c r="Y134" s="6">
        <v>1043</v>
      </c>
      <c r="Z134" s="6">
        <v>457</v>
      </c>
      <c r="AA134" s="6">
        <v>57</v>
      </c>
      <c r="AB134" s="6">
        <v>0</v>
      </c>
      <c r="AC134" s="2">
        <v>101</v>
      </c>
      <c r="AD134" s="2" t="s">
        <v>52</v>
      </c>
      <c r="AE134" s="7">
        <v>31.18</v>
      </c>
      <c r="AF134" s="7">
        <v>164</v>
      </c>
      <c r="AG134" s="7">
        <v>26.15</v>
      </c>
      <c r="AH134" s="7">
        <v>45.06</v>
      </c>
      <c r="AI134" s="7">
        <v>47.36</v>
      </c>
      <c r="AJ134" s="9">
        <v>352.81503771502599</v>
      </c>
      <c r="AK134" s="9">
        <v>356.50610210000002</v>
      </c>
      <c r="AL134" s="9">
        <v>399.94205300178203</v>
      </c>
      <c r="AM134" s="9">
        <v>84.208639248870995</v>
      </c>
      <c r="AN134" s="9">
        <v>0.83374890345416797</v>
      </c>
      <c r="AO134" s="9">
        <v>0.128642438634017</v>
      </c>
      <c r="AP134" s="9">
        <v>938.61232298356003</v>
      </c>
      <c r="AQ134" s="9">
        <v>9.29319131666891</v>
      </c>
      <c r="AR134" s="9">
        <v>3.4446180728776898</v>
      </c>
      <c r="AS134" s="73" t="s">
        <v>169</v>
      </c>
      <c r="AT134" s="10"/>
      <c r="AU134" s="10" t="s">
        <v>169</v>
      </c>
      <c r="AV134" s="10">
        <v>0</v>
      </c>
      <c r="AW134" s="8"/>
      <c r="AX134" s="74" t="s">
        <v>169</v>
      </c>
      <c r="AY134" s="74"/>
      <c r="AZ134" s="74"/>
      <c r="BA134" s="74"/>
      <c r="BB134" s="8"/>
      <c r="BC134" s="8"/>
      <c r="BD134" s="8"/>
      <c r="BE134" s="8"/>
      <c r="BF134" s="12">
        <v>0.44</v>
      </c>
      <c r="BG134" s="13">
        <v>306.48892662666668</v>
      </c>
      <c r="BH134" s="96" t="str">
        <f>+VLOOKUP(G134,Liste!$A$7:$G$50,3,FALSE)</f>
        <v>Pin sylvestre</v>
      </c>
      <c r="BI134" s="96" t="str">
        <f>+VLOOKUP(H134,Liste!$B$7:$G$50,5,FALSE)</f>
        <v>GS Pineraies des plaines du Centre et du Nord Ouest</v>
      </c>
      <c r="BJ134" s="135">
        <f t="shared" si="46"/>
        <v>101</v>
      </c>
      <c r="BK134" s="135" t="str">
        <f t="shared" si="48"/>
        <v>Pin sylvestre_F2_Eclaircie précoce_GS Pineraies des plaines du Centre et du Nord Ouest_101_</v>
      </c>
      <c r="BL134" s="322"/>
      <c r="BM134" s="13">
        <v>77.374258873333304</v>
      </c>
      <c r="BN134" s="13">
        <v>383.86318552297831</v>
      </c>
      <c r="BO134" s="13"/>
      <c r="BP134" s="13">
        <v>244.97</v>
      </c>
      <c r="BQ134" s="13">
        <v>3.17278876079865</v>
      </c>
      <c r="BT134" s="298" t="str">
        <f>+VLOOKUP(G134,Liste!$A$7:$H$50,8,FALSE)</f>
        <v>Résineux</v>
      </c>
      <c r="BU134" s="298">
        <f t="shared" si="49"/>
        <v>0</v>
      </c>
      <c r="BV134" s="300">
        <f t="shared" si="50"/>
        <v>1</v>
      </c>
      <c r="BW134" s="321">
        <v>0</v>
      </c>
      <c r="BX134" s="298">
        <f t="shared" si="51"/>
        <v>0.43</v>
      </c>
      <c r="BY134">
        <f t="shared" si="52"/>
        <v>0</v>
      </c>
      <c r="BZ134" s="304">
        <f t="shared" si="53"/>
        <v>0</v>
      </c>
      <c r="CB134" s="299">
        <v>0.6</v>
      </c>
      <c r="CC134" s="299">
        <v>0.4</v>
      </c>
      <c r="CD134">
        <f t="shared" si="54"/>
        <v>0</v>
      </c>
      <c r="CE134">
        <f t="shared" si="55"/>
        <v>0</v>
      </c>
      <c r="CF134">
        <f t="shared" si="56"/>
        <v>0</v>
      </c>
      <c r="CG134">
        <f t="shared" si="57"/>
        <v>0</v>
      </c>
      <c r="CH134">
        <f t="shared" si="58"/>
        <v>0</v>
      </c>
      <c r="CI134">
        <f t="shared" si="59"/>
        <v>0</v>
      </c>
      <c r="CJ134">
        <f t="shared" si="60"/>
        <v>0</v>
      </c>
      <c r="CK134">
        <f t="shared" si="61"/>
        <v>0</v>
      </c>
      <c r="CL134">
        <f t="shared" si="62"/>
        <v>0</v>
      </c>
      <c r="CM134">
        <f t="shared" si="64"/>
        <v>0</v>
      </c>
      <c r="CN134">
        <f t="shared" si="63"/>
        <v>0</v>
      </c>
      <c r="CO134">
        <f t="shared" si="47"/>
        <v>0</v>
      </c>
    </row>
    <row r="135" spans="1:93" s="12" customFormat="1" ht="14.65" customHeight="1" x14ac:dyDescent="0.25">
      <c r="A135" s="4">
        <v>2021</v>
      </c>
      <c r="B135" s="4"/>
      <c r="C135" s="4" t="s">
        <v>64</v>
      </c>
      <c r="D135" s="4" t="s">
        <v>65</v>
      </c>
      <c r="E135" s="4"/>
      <c r="F135" s="4" t="s">
        <v>90</v>
      </c>
      <c r="G135" s="5" t="s">
        <v>15</v>
      </c>
      <c r="H135" s="5" t="s">
        <v>21</v>
      </c>
      <c r="I135" s="5" t="s">
        <v>16</v>
      </c>
      <c r="J135" s="5" t="s">
        <v>10</v>
      </c>
      <c r="K135" s="5">
        <v>23</v>
      </c>
      <c r="L135" s="5" t="s">
        <v>192</v>
      </c>
      <c r="M135" s="5">
        <v>2500</v>
      </c>
      <c r="N135" s="5" t="s">
        <v>170</v>
      </c>
      <c r="O135" s="6" t="s">
        <v>78</v>
      </c>
      <c r="P135" s="6" t="s">
        <v>80</v>
      </c>
      <c r="Q135" s="6">
        <v>2003</v>
      </c>
      <c r="R135" s="6"/>
      <c r="S135" s="6">
        <v>24</v>
      </c>
      <c r="T135" s="6">
        <v>11.4</v>
      </c>
      <c r="U135" s="6">
        <v>2157</v>
      </c>
      <c r="V135" s="6">
        <v>40.299999999999997</v>
      </c>
      <c r="W135" s="6">
        <v>0</v>
      </c>
      <c r="X135" s="6">
        <v>600</v>
      </c>
      <c r="Y135" s="6">
        <v>1043</v>
      </c>
      <c r="Z135" s="6">
        <v>457</v>
      </c>
      <c r="AA135" s="6">
        <v>57</v>
      </c>
      <c r="AB135" s="6">
        <v>0</v>
      </c>
      <c r="AC135" s="2">
        <v>101</v>
      </c>
      <c r="AD135" s="2" t="s">
        <v>53</v>
      </c>
      <c r="AE135" s="7">
        <v>31.18</v>
      </c>
      <c r="AF135" s="7">
        <v>63</v>
      </c>
      <c r="AG135" s="7">
        <v>10.06</v>
      </c>
      <c r="AH135" s="7">
        <v>45.09</v>
      </c>
      <c r="AI135" s="7">
        <v>45.09</v>
      </c>
      <c r="AJ135" s="9">
        <v>135.72565589592</v>
      </c>
      <c r="AK135" s="9">
        <v>137.12788789999999</v>
      </c>
      <c r="AL135" s="9">
        <v>153.78581668984299</v>
      </c>
      <c r="AM135" s="9">
        <v>84.208639248870995</v>
      </c>
      <c r="AN135" s="9">
        <v>0.83374890345416797</v>
      </c>
      <c r="AO135" s="9">
        <v>0.128642438634017</v>
      </c>
      <c r="AP135" s="9">
        <v>938.61232298356003</v>
      </c>
      <c r="AQ135" s="9">
        <v>9.29319131666891</v>
      </c>
      <c r="AR135" s="9">
        <v>3.4446180728776898</v>
      </c>
      <c r="AS135" s="73">
        <v>101</v>
      </c>
      <c r="AT135" s="10">
        <v>16.095248224582999</v>
      </c>
      <c r="AU135" s="10">
        <v>45.044649490362929</v>
      </c>
      <c r="AV135" s="10">
        <v>217.08938181910599</v>
      </c>
      <c r="AW135" s="10">
        <v>1.0547531086429718</v>
      </c>
      <c r="AX135" s="74">
        <v>2.1493998199911486</v>
      </c>
      <c r="AY135" s="74"/>
      <c r="AZ135" s="74"/>
      <c r="BA135" s="74"/>
      <c r="BB135" s="10"/>
      <c r="BC135" s="10"/>
      <c r="BD135" s="10"/>
      <c r="BE135" s="10"/>
      <c r="BF135" s="12">
        <v>0.44</v>
      </c>
      <c r="BG135" s="13">
        <v>117.85119752999999</v>
      </c>
      <c r="BH135" s="96" t="str">
        <f>+VLOOKUP(G135,Liste!$A$7:$G$50,3,FALSE)</f>
        <v>Pin sylvestre</v>
      </c>
      <c r="BI135" s="96" t="str">
        <f>+VLOOKUP(H135,Liste!$B$7:$G$50,5,FALSE)</f>
        <v>GS Pineraies des plaines du Centre et du Nord Ouest</v>
      </c>
      <c r="BJ135" s="135">
        <f t="shared" si="46"/>
        <v>101</v>
      </c>
      <c r="BK135" s="135" t="str">
        <f t="shared" si="48"/>
        <v>Pin sylvestre_F2_Eclaircie précoce_GS Pineraies des plaines du Centre et du Nord Ouest_101_</v>
      </c>
      <c r="BL135" s="322"/>
      <c r="BM135" s="13">
        <v>33.253021870000012</v>
      </c>
      <c r="BN135" s="13">
        <v>151.1042193831841</v>
      </c>
      <c r="BO135" s="13">
        <v>232.75896613979421</v>
      </c>
      <c r="BP135" s="13">
        <v>244.97</v>
      </c>
      <c r="BQ135" s="13">
        <v>3.17278876079865</v>
      </c>
      <c r="BT135" s="298" t="str">
        <f>+VLOOKUP(G135,Liste!$A$7:$H$50,8,FALSE)</f>
        <v>Résineux</v>
      </c>
      <c r="BU135" s="298">
        <f t="shared" si="49"/>
        <v>0</v>
      </c>
      <c r="BV135" s="300">
        <f t="shared" si="50"/>
        <v>1</v>
      </c>
      <c r="BW135" s="321">
        <v>0</v>
      </c>
      <c r="BX135" s="298">
        <f t="shared" si="51"/>
        <v>0.43</v>
      </c>
      <c r="BY135">
        <f t="shared" si="52"/>
        <v>0</v>
      </c>
      <c r="BZ135" s="304">
        <f t="shared" si="53"/>
        <v>0</v>
      </c>
      <c r="CB135" s="299">
        <v>0.6</v>
      </c>
      <c r="CC135" s="299">
        <v>0.4</v>
      </c>
      <c r="CD135">
        <f t="shared" si="54"/>
        <v>0</v>
      </c>
      <c r="CE135">
        <f t="shared" si="55"/>
        <v>0</v>
      </c>
      <c r="CF135">
        <f t="shared" si="56"/>
        <v>0</v>
      </c>
      <c r="CG135">
        <f t="shared" si="57"/>
        <v>0</v>
      </c>
      <c r="CH135">
        <f t="shared" si="58"/>
        <v>0</v>
      </c>
      <c r="CI135">
        <f t="shared" si="59"/>
        <v>0</v>
      </c>
      <c r="CJ135">
        <f t="shared" si="60"/>
        <v>0</v>
      </c>
      <c r="CK135">
        <f t="shared" si="61"/>
        <v>0</v>
      </c>
      <c r="CL135">
        <f t="shared" si="62"/>
        <v>0</v>
      </c>
      <c r="CM135">
        <f t="shared" si="64"/>
        <v>0</v>
      </c>
      <c r="CN135">
        <f t="shared" si="63"/>
        <v>0</v>
      </c>
      <c r="CO135">
        <f t="shared" si="47"/>
        <v>0</v>
      </c>
    </row>
    <row r="136" spans="1:93" s="12" customFormat="1" ht="14.65" customHeight="1" x14ac:dyDescent="0.25">
      <c r="A136" s="4">
        <v>2021</v>
      </c>
      <c r="B136" s="4"/>
      <c r="C136" s="4" t="s">
        <v>64</v>
      </c>
      <c r="D136" s="4" t="s">
        <v>65</v>
      </c>
      <c r="E136" s="4"/>
      <c r="F136" s="4" t="s">
        <v>90</v>
      </c>
      <c r="G136" s="5" t="s">
        <v>15</v>
      </c>
      <c r="H136" s="5" t="s">
        <v>21</v>
      </c>
      <c r="I136" s="5" t="s">
        <v>16</v>
      </c>
      <c r="J136" s="5" t="s">
        <v>10</v>
      </c>
      <c r="K136" s="5">
        <v>23</v>
      </c>
      <c r="L136" s="5" t="s">
        <v>192</v>
      </c>
      <c r="M136" s="5">
        <v>2500</v>
      </c>
      <c r="N136" s="5" t="s">
        <v>170</v>
      </c>
      <c r="O136" s="6" t="s">
        <v>78</v>
      </c>
      <c r="P136" s="6" t="s">
        <v>80</v>
      </c>
      <c r="Q136" s="6">
        <v>2003</v>
      </c>
      <c r="R136" s="6"/>
      <c r="S136" s="6">
        <v>24</v>
      </c>
      <c r="T136" s="6">
        <v>11.4</v>
      </c>
      <c r="U136" s="6">
        <v>2157</v>
      </c>
      <c r="V136" s="6">
        <v>40.299999999999997</v>
      </c>
      <c r="W136" s="6">
        <v>0</v>
      </c>
      <c r="X136" s="6">
        <v>600</v>
      </c>
      <c r="Y136" s="6">
        <v>1043</v>
      </c>
      <c r="Z136" s="6">
        <v>457</v>
      </c>
      <c r="AA136" s="6">
        <v>57</v>
      </c>
      <c r="AB136" s="6">
        <v>0</v>
      </c>
      <c r="AC136" s="2">
        <v>102</v>
      </c>
      <c r="AD136" s="2" t="s">
        <v>52</v>
      </c>
      <c r="AE136" s="7">
        <v>31.31</v>
      </c>
      <c r="AF136" s="7">
        <v>63</v>
      </c>
      <c r="AG136" s="7">
        <v>10.19</v>
      </c>
      <c r="AH136" s="7">
        <v>45.38</v>
      </c>
      <c r="AI136" s="7">
        <v>45.38</v>
      </c>
      <c r="AJ136" s="9">
        <v>139.010309582285</v>
      </c>
      <c r="AK136" s="9">
        <v>140.42593149999999</v>
      </c>
      <c r="AL136" s="9">
        <v>157.23043476272099</v>
      </c>
      <c r="AM136" s="9">
        <v>84.337281687504998</v>
      </c>
      <c r="AN136" s="9">
        <v>0.826836094975539</v>
      </c>
      <c r="AO136" s="9">
        <v>0.127398980553764</v>
      </c>
      <c r="AP136" s="9">
        <v>942.05694105643704</v>
      </c>
      <c r="AQ136" s="9">
        <v>9.2358523632984006</v>
      </c>
      <c r="AR136" s="9">
        <v>2.55322363022503</v>
      </c>
      <c r="AS136" s="73" t="s">
        <v>169</v>
      </c>
      <c r="AT136" s="10"/>
      <c r="AU136" s="10" t="s">
        <v>169</v>
      </c>
      <c r="AV136" s="10">
        <v>0</v>
      </c>
      <c r="AW136" s="10"/>
      <c r="AX136" s="74" t="s">
        <v>169</v>
      </c>
      <c r="AY136" s="74"/>
      <c r="AZ136" s="74"/>
      <c r="BA136" s="74"/>
      <c r="BB136" s="10"/>
      <c r="BC136" s="10"/>
      <c r="BD136" s="10"/>
      <c r="BE136" s="10"/>
      <c r="BF136" s="12">
        <v>0.44</v>
      </c>
      <c r="BG136" s="13">
        <v>120.49092318999999</v>
      </c>
      <c r="BH136" s="96" t="str">
        <f>+VLOOKUP(G136,Liste!$A$7:$G$50,3,FALSE)</f>
        <v>Pin sylvestre</v>
      </c>
      <c r="BI136" s="96" t="str">
        <f>+VLOOKUP(H136,Liste!$B$7:$G$50,5,FALSE)</f>
        <v>GS Pineraies des plaines du Centre et du Nord Ouest</v>
      </c>
      <c r="BJ136" s="135">
        <f t="shared" si="46"/>
        <v>102</v>
      </c>
      <c r="BK136" s="135" t="str">
        <f t="shared" si="48"/>
        <v>Pin sylvestre_F2_Eclaircie précoce_GS Pineraies des plaines du Centre et du Nord Ouest_102_</v>
      </c>
      <c r="BL136" s="322"/>
      <c r="BM136" s="13">
        <v>33.910300810000024</v>
      </c>
      <c r="BN136" s="13">
        <v>154.40122404907751</v>
      </c>
      <c r="BO136" s="13"/>
      <c r="BP136" s="13">
        <v>244.97</v>
      </c>
      <c r="BQ136" s="13">
        <v>2.3515915764149899</v>
      </c>
      <c r="BT136" s="298" t="str">
        <f>+VLOOKUP(G136,Liste!$A$7:$H$50,8,FALSE)</f>
        <v>Résineux</v>
      </c>
      <c r="BU136" s="298">
        <f t="shared" si="49"/>
        <v>0</v>
      </c>
      <c r="BV136" s="300">
        <f t="shared" si="50"/>
        <v>1</v>
      </c>
      <c r="BW136" s="321">
        <v>0</v>
      </c>
      <c r="BX136" s="298">
        <f t="shared" si="51"/>
        <v>0.43</v>
      </c>
      <c r="BY136">
        <f t="shared" si="52"/>
        <v>0</v>
      </c>
      <c r="BZ136" s="304">
        <f t="shared" si="53"/>
        <v>0</v>
      </c>
      <c r="CB136" s="299">
        <v>0.6</v>
      </c>
      <c r="CC136" s="299">
        <v>0.4</v>
      </c>
      <c r="CD136">
        <f t="shared" si="54"/>
        <v>0</v>
      </c>
      <c r="CE136">
        <f t="shared" si="55"/>
        <v>0</v>
      </c>
      <c r="CF136">
        <f t="shared" si="56"/>
        <v>0</v>
      </c>
      <c r="CG136">
        <f t="shared" si="57"/>
        <v>0</v>
      </c>
      <c r="CH136">
        <f t="shared" si="58"/>
        <v>0</v>
      </c>
      <c r="CI136">
        <f t="shared" si="59"/>
        <v>0</v>
      </c>
      <c r="CJ136">
        <f t="shared" si="60"/>
        <v>0</v>
      </c>
      <c r="CK136">
        <f t="shared" si="61"/>
        <v>0</v>
      </c>
      <c r="CL136">
        <f t="shared" si="62"/>
        <v>0</v>
      </c>
      <c r="CM136">
        <f t="shared" si="64"/>
        <v>0</v>
      </c>
      <c r="CN136">
        <f t="shared" si="63"/>
        <v>0</v>
      </c>
      <c r="CO136">
        <f t="shared" si="47"/>
        <v>0</v>
      </c>
    </row>
    <row r="137" spans="1:93" s="12" customFormat="1" ht="14.65" customHeight="1" x14ac:dyDescent="0.25">
      <c r="A137" s="4">
        <v>2021</v>
      </c>
      <c r="B137" s="4"/>
      <c r="C137" s="4" t="s">
        <v>64</v>
      </c>
      <c r="D137" s="4" t="s">
        <v>65</v>
      </c>
      <c r="E137" s="4"/>
      <c r="F137" s="4" t="s">
        <v>90</v>
      </c>
      <c r="G137" s="5" t="s">
        <v>15</v>
      </c>
      <c r="H137" s="5" t="s">
        <v>21</v>
      </c>
      <c r="I137" s="5" t="s">
        <v>16</v>
      </c>
      <c r="J137" s="5" t="s">
        <v>10</v>
      </c>
      <c r="K137" s="5">
        <v>23</v>
      </c>
      <c r="L137" s="5" t="s">
        <v>192</v>
      </c>
      <c r="M137" s="5">
        <v>2500</v>
      </c>
      <c r="N137" s="5" t="s">
        <v>170</v>
      </c>
      <c r="O137" s="6" t="s">
        <v>78</v>
      </c>
      <c r="P137" s="6" t="s">
        <v>80</v>
      </c>
      <c r="Q137" s="6">
        <v>2003</v>
      </c>
      <c r="R137" s="6"/>
      <c r="S137" s="6">
        <v>24</v>
      </c>
      <c r="T137" s="6">
        <v>11.4</v>
      </c>
      <c r="U137" s="6">
        <v>2157</v>
      </c>
      <c r="V137" s="6">
        <v>40.299999999999997</v>
      </c>
      <c r="W137" s="6">
        <v>0</v>
      </c>
      <c r="X137" s="6">
        <v>600</v>
      </c>
      <c r="Y137" s="6">
        <v>1043</v>
      </c>
      <c r="Z137" s="6">
        <v>457</v>
      </c>
      <c r="AA137" s="6">
        <v>57</v>
      </c>
      <c r="AB137" s="6">
        <v>0</v>
      </c>
      <c r="AC137" s="2">
        <v>103</v>
      </c>
      <c r="AD137" s="2" t="s">
        <v>52</v>
      </c>
      <c r="AE137" s="7">
        <v>31.44</v>
      </c>
      <c r="AF137" s="7">
        <v>63</v>
      </c>
      <c r="AG137" s="7">
        <v>10.32</v>
      </c>
      <c r="AH137" s="7">
        <v>45.66</v>
      </c>
      <c r="AI137" s="7">
        <v>45.66</v>
      </c>
      <c r="AJ137" s="9">
        <v>141.31551687275001</v>
      </c>
      <c r="AK137" s="9">
        <v>142.7575808</v>
      </c>
      <c r="AL137" s="9">
        <v>159.78365839294599</v>
      </c>
      <c r="AM137" s="9">
        <v>84.464680668058705</v>
      </c>
      <c r="AN137" s="9">
        <v>0.82004544337921104</v>
      </c>
      <c r="AO137" s="9">
        <v>0.126363731526624</v>
      </c>
      <c r="AP137" s="9">
        <v>944.61016468666196</v>
      </c>
      <c r="AQ137" s="9">
        <v>9.1709724726860404</v>
      </c>
      <c r="AR137" s="9">
        <v>2.5106376072146799</v>
      </c>
      <c r="AS137" s="73" t="s">
        <v>169</v>
      </c>
      <c r="AT137" s="10"/>
      <c r="AU137" s="10" t="s">
        <v>169</v>
      </c>
      <c r="AV137" s="10">
        <v>0</v>
      </c>
      <c r="AW137" s="8"/>
      <c r="AX137" s="74" t="s">
        <v>169</v>
      </c>
      <c r="AY137" s="74"/>
      <c r="AZ137" s="74"/>
      <c r="BA137" s="74"/>
      <c r="BB137" s="8"/>
      <c r="BC137" s="8"/>
      <c r="BD137" s="8"/>
      <c r="BE137" s="8"/>
      <c r="BF137" s="12">
        <v>0.44</v>
      </c>
      <c r="BG137" s="13">
        <v>122.44754353333333</v>
      </c>
      <c r="BH137" s="96" t="str">
        <f>+VLOOKUP(G137,Liste!$A$7:$G$50,3,FALSE)</f>
        <v>Pin sylvestre</v>
      </c>
      <c r="BI137" s="96" t="str">
        <f>+VLOOKUP(H137,Liste!$B$7:$G$50,5,FALSE)</f>
        <v>GS Pineraies des plaines du Centre et du Nord Ouest</v>
      </c>
      <c r="BJ137" s="135">
        <f t="shared" si="46"/>
        <v>103</v>
      </c>
      <c r="BK137" s="135" t="str">
        <f t="shared" si="48"/>
        <v>Pin sylvestre_F2_Eclaircie précoce_GS Pineraies des plaines du Centre et du Nord Ouest_103_</v>
      </c>
      <c r="BL137" s="322"/>
      <c r="BM137" s="13">
        <v>34.396407366666679</v>
      </c>
      <c r="BN137" s="13">
        <v>156.84395090210589</v>
      </c>
      <c r="BO137" s="13"/>
      <c r="BP137" s="13">
        <v>244.97</v>
      </c>
      <c r="BQ137" s="13">
        <v>2.3122474800331898</v>
      </c>
      <c r="BT137" s="298" t="str">
        <f>+VLOOKUP(G137,Liste!$A$7:$H$50,8,FALSE)</f>
        <v>Résineux</v>
      </c>
      <c r="BU137" s="298">
        <f t="shared" si="49"/>
        <v>0</v>
      </c>
      <c r="BV137" s="300">
        <f t="shared" si="50"/>
        <v>1</v>
      </c>
      <c r="BW137" s="321">
        <v>0</v>
      </c>
      <c r="BX137" s="298">
        <f t="shared" si="51"/>
        <v>0.43</v>
      </c>
      <c r="BY137">
        <f t="shared" si="52"/>
        <v>0</v>
      </c>
      <c r="BZ137" s="304">
        <f t="shared" si="53"/>
        <v>0</v>
      </c>
      <c r="CB137" s="299">
        <v>0.6</v>
      </c>
      <c r="CC137" s="299">
        <v>0.4</v>
      </c>
      <c r="CD137">
        <f t="shared" si="54"/>
        <v>0</v>
      </c>
      <c r="CE137">
        <f t="shared" si="55"/>
        <v>0</v>
      </c>
      <c r="CF137">
        <f t="shared" si="56"/>
        <v>0</v>
      </c>
      <c r="CG137">
        <f t="shared" si="57"/>
        <v>0</v>
      </c>
      <c r="CH137">
        <f t="shared" si="58"/>
        <v>0</v>
      </c>
      <c r="CI137">
        <f t="shared" si="59"/>
        <v>0</v>
      </c>
      <c r="CJ137">
        <f t="shared" si="60"/>
        <v>0</v>
      </c>
      <c r="CK137">
        <f t="shared" si="61"/>
        <v>0</v>
      </c>
      <c r="CL137">
        <f t="shared" si="62"/>
        <v>0</v>
      </c>
      <c r="CM137">
        <f t="shared" si="64"/>
        <v>0</v>
      </c>
      <c r="CN137">
        <f t="shared" si="63"/>
        <v>0</v>
      </c>
      <c r="CO137">
        <f t="shared" si="47"/>
        <v>0</v>
      </c>
    </row>
    <row r="138" spans="1:93" s="12" customFormat="1" ht="14.65" customHeight="1" x14ac:dyDescent="0.25">
      <c r="A138" s="4">
        <v>2021</v>
      </c>
      <c r="B138" s="4"/>
      <c r="C138" s="4" t="s">
        <v>64</v>
      </c>
      <c r="D138" s="4" t="s">
        <v>65</v>
      </c>
      <c r="E138" s="4"/>
      <c r="F138" s="4" t="s">
        <v>90</v>
      </c>
      <c r="G138" s="5" t="s">
        <v>15</v>
      </c>
      <c r="H138" s="5" t="s">
        <v>21</v>
      </c>
      <c r="I138" s="5" t="s">
        <v>16</v>
      </c>
      <c r="J138" s="5" t="s">
        <v>10</v>
      </c>
      <c r="K138" s="5">
        <v>23</v>
      </c>
      <c r="L138" s="5" t="s">
        <v>192</v>
      </c>
      <c r="M138" s="5">
        <v>2500</v>
      </c>
      <c r="N138" s="5" t="s">
        <v>170</v>
      </c>
      <c r="O138" s="6" t="s">
        <v>78</v>
      </c>
      <c r="P138" s="6" t="s">
        <v>80</v>
      </c>
      <c r="Q138" s="6">
        <v>2003</v>
      </c>
      <c r="R138" s="6"/>
      <c r="S138" s="6">
        <v>24</v>
      </c>
      <c r="T138" s="6">
        <v>11.4</v>
      </c>
      <c r="U138" s="6">
        <v>2157</v>
      </c>
      <c r="V138" s="6">
        <v>40.299999999999997</v>
      </c>
      <c r="W138" s="6">
        <v>0</v>
      </c>
      <c r="X138" s="6">
        <v>600</v>
      </c>
      <c r="Y138" s="6">
        <v>1043</v>
      </c>
      <c r="Z138" s="6">
        <v>457</v>
      </c>
      <c r="AA138" s="6">
        <v>57</v>
      </c>
      <c r="AB138" s="6">
        <v>0</v>
      </c>
      <c r="AC138" s="2">
        <v>104</v>
      </c>
      <c r="AD138" s="2" t="s">
        <v>52</v>
      </c>
      <c r="AE138" s="7">
        <v>31.57</v>
      </c>
      <c r="AF138" s="7">
        <v>63</v>
      </c>
      <c r="AG138" s="7">
        <v>10.44</v>
      </c>
      <c r="AH138" s="7">
        <v>45.94</v>
      </c>
      <c r="AI138" s="7">
        <v>45.94</v>
      </c>
      <c r="AJ138" s="9">
        <v>143.57668102227001</v>
      </c>
      <c r="AK138" s="9">
        <v>145.04553680000001</v>
      </c>
      <c r="AL138" s="9">
        <v>162.29429600015999</v>
      </c>
      <c r="AM138" s="9">
        <v>84.5910443995854</v>
      </c>
      <c r="AN138" s="9">
        <v>0.81337542691909004</v>
      </c>
      <c r="AO138" s="9">
        <v>0.124935343594828</v>
      </c>
      <c r="AP138" s="9">
        <v>947.12080229387698</v>
      </c>
      <c r="AQ138" s="9">
        <v>9.1069307912872794</v>
      </c>
      <c r="AR138" s="9">
        <v>2.4811778117183398</v>
      </c>
      <c r="AS138" s="73" t="s">
        <v>169</v>
      </c>
      <c r="AT138" s="10"/>
      <c r="AU138" s="10" t="s">
        <v>169</v>
      </c>
      <c r="AV138" s="10">
        <v>0</v>
      </c>
      <c r="AW138" s="8"/>
      <c r="AX138" s="74" t="s">
        <v>169</v>
      </c>
      <c r="AY138" s="74"/>
      <c r="AZ138" s="74"/>
      <c r="BA138" s="74"/>
      <c r="BB138" s="8"/>
      <c r="BC138" s="8"/>
      <c r="BD138" s="8"/>
      <c r="BE138" s="8"/>
      <c r="BF138" s="12">
        <v>0.44</v>
      </c>
      <c r="BG138" s="13">
        <v>124.37152882000002</v>
      </c>
      <c r="BH138" s="96" t="str">
        <f>+VLOOKUP(G138,Liste!$A$7:$G$50,3,FALSE)</f>
        <v>Pin sylvestre</v>
      </c>
      <c r="BI138" s="96" t="str">
        <f>+VLOOKUP(H138,Liste!$B$7:$G$50,5,FALSE)</f>
        <v>GS Pineraies des plaines du Centre et du Nord Ouest</v>
      </c>
      <c r="BJ138" s="135">
        <f t="shared" si="46"/>
        <v>104</v>
      </c>
      <c r="BK138" s="135" t="str">
        <f t="shared" si="48"/>
        <v>Pin sylvestre_F2_Eclaircie précoce_GS Pineraies des plaines du Centre et du Nord Ouest_104_</v>
      </c>
      <c r="BL138" s="322"/>
      <c r="BM138" s="13">
        <v>34.873524979999971</v>
      </c>
      <c r="BN138" s="13">
        <v>159.24505378022855</v>
      </c>
      <c r="BO138" s="13"/>
      <c r="BP138" s="13">
        <v>244.97</v>
      </c>
      <c r="BQ138" s="13">
        <v>2.2849979092428598</v>
      </c>
      <c r="BT138" s="298" t="str">
        <f>+VLOOKUP(G138,Liste!$A$7:$H$50,8,FALSE)</f>
        <v>Résineux</v>
      </c>
      <c r="BU138" s="298">
        <f t="shared" si="49"/>
        <v>0</v>
      </c>
      <c r="BV138" s="300">
        <f t="shared" si="50"/>
        <v>1</v>
      </c>
      <c r="BW138" s="321">
        <v>0</v>
      </c>
      <c r="BX138" s="298">
        <f t="shared" si="51"/>
        <v>0.43</v>
      </c>
      <c r="BY138">
        <f t="shared" si="52"/>
        <v>0</v>
      </c>
      <c r="BZ138" s="304">
        <f t="shared" si="53"/>
        <v>0</v>
      </c>
      <c r="CB138" s="299">
        <v>0.6</v>
      </c>
      <c r="CC138" s="299">
        <v>0.4</v>
      </c>
      <c r="CD138">
        <f t="shared" si="54"/>
        <v>0</v>
      </c>
      <c r="CE138">
        <f t="shared" si="55"/>
        <v>0</v>
      </c>
      <c r="CF138">
        <f t="shared" si="56"/>
        <v>0</v>
      </c>
      <c r="CG138">
        <f t="shared" si="57"/>
        <v>0</v>
      </c>
      <c r="CH138">
        <f t="shared" si="58"/>
        <v>0</v>
      </c>
      <c r="CI138">
        <f t="shared" si="59"/>
        <v>0</v>
      </c>
      <c r="CJ138">
        <f t="shared" si="60"/>
        <v>0</v>
      </c>
      <c r="CK138">
        <f t="shared" si="61"/>
        <v>0</v>
      </c>
      <c r="CL138">
        <f t="shared" si="62"/>
        <v>0</v>
      </c>
      <c r="CM138">
        <f t="shared" si="64"/>
        <v>0</v>
      </c>
      <c r="CN138">
        <f t="shared" si="63"/>
        <v>0</v>
      </c>
      <c r="CO138">
        <f t="shared" si="47"/>
        <v>0</v>
      </c>
    </row>
    <row r="139" spans="1:93" s="12" customFormat="1" ht="14.65" customHeight="1" x14ac:dyDescent="0.25">
      <c r="A139" s="4">
        <v>2021</v>
      </c>
      <c r="B139" s="4"/>
      <c r="C139" s="4" t="s">
        <v>64</v>
      </c>
      <c r="D139" s="4" t="s">
        <v>65</v>
      </c>
      <c r="E139" s="4"/>
      <c r="F139" s="4" t="s">
        <v>90</v>
      </c>
      <c r="G139" s="5" t="s">
        <v>15</v>
      </c>
      <c r="H139" s="5" t="s">
        <v>21</v>
      </c>
      <c r="I139" s="5" t="s">
        <v>16</v>
      </c>
      <c r="J139" s="5" t="s">
        <v>10</v>
      </c>
      <c r="K139" s="5">
        <v>23</v>
      </c>
      <c r="L139" s="5" t="s">
        <v>192</v>
      </c>
      <c r="M139" s="5">
        <v>2500</v>
      </c>
      <c r="N139" s="5" t="s">
        <v>170</v>
      </c>
      <c r="O139" s="6" t="s">
        <v>78</v>
      </c>
      <c r="P139" s="6" t="s">
        <v>80</v>
      </c>
      <c r="Q139" s="6">
        <v>2003</v>
      </c>
      <c r="R139" s="6"/>
      <c r="S139" s="6">
        <v>24</v>
      </c>
      <c r="T139" s="6">
        <v>11.4</v>
      </c>
      <c r="U139" s="6">
        <v>2157</v>
      </c>
      <c r="V139" s="6">
        <v>40.299999999999997</v>
      </c>
      <c r="W139" s="6">
        <v>0</v>
      </c>
      <c r="X139" s="6">
        <v>600</v>
      </c>
      <c r="Y139" s="6">
        <v>1043</v>
      </c>
      <c r="Z139" s="6">
        <v>457</v>
      </c>
      <c r="AA139" s="6">
        <v>57</v>
      </c>
      <c r="AB139" s="6">
        <v>0</v>
      </c>
      <c r="AC139" s="2">
        <v>105</v>
      </c>
      <c r="AD139" s="2" t="s">
        <v>52</v>
      </c>
      <c r="AE139" s="7">
        <v>31.69</v>
      </c>
      <c r="AF139" s="7">
        <v>63</v>
      </c>
      <c r="AG139" s="7">
        <v>10.57</v>
      </c>
      <c r="AH139" s="7">
        <v>46.22</v>
      </c>
      <c r="AI139" s="7">
        <v>46.22</v>
      </c>
      <c r="AJ139" s="9">
        <v>145.80988168858499</v>
      </c>
      <c r="AK139" s="9">
        <v>147.3055162</v>
      </c>
      <c r="AL139" s="9">
        <v>164.77547381187901</v>
      </c>
      <c r="AM139" s="9">
        <v>84.715979743180199</v>
      </c>
      <c r="AN139" s="9">
        <v>0.80681885469695402</v>
      </c>
      <c r="AO139" s="7"/>
      <c r="AP139" s="9">
        <v>949.60198010559498</v>
      </c>
      <c r="AQ139" s="9">
        <v>9.0438283819580505</v>
      </c>
      <c r="AR139" s="9"/>
      <c r="AS139" s="73" t="s">
        <v>169</v>
      </c>
      <c r="AT139" s="10"/>
      <c r="AU139" s="10" t="s">
        <v>169</v>
      </c>
      <c r="AV139" s="10">
        <v>0</v>
      </c>
      <c r="AW139" s="8"/>
      <c r="AX139" s="74" t="s">
        <v>169</v>
      </c>
      <c r="AY139" s="74"/>
      <c r="AZ139" s="74"/>
      <c r="BA139" s="74"/>
      <c r="BB139" s="8"/>
      <c r="BC139" s="8"/>
      <c r="BD139" s="8"/>
      <c r="BE139" s="8"/>
      <c r="BF139" s="12">
        <v>0.44</v>
      </c>
      <c r="BG139" s="13">
        <v>126.27293811</v>
      </c>
      <c r="BH139" s="96" t="str">
        <f>+VLOOKUP(G139,Liste!$A$7:$G$50,3,FALSE)</f>
        <v>Pin sylvestre</v>
      </c>
      <c r="BI139" s="96" t="str">
        <f>+VLOOKUP(H139,Liste!$B$7:$G$50,5,FALSE)</f>
        <v>GS Pineraies des plaines du Centre et du Nord Ouest</v>
      </c>
      <c r="BJ139" s="135">
        <f t="shared" si="46"/>
        <v>105</v>
      </c>
      <c r="BK139" s="135" t="str">
        <f t="shared" si="48"/>
        <v>Pin sylvestre_F2_Eclaircie précoce_GS Pineraies des plaines du Centre et du Nord Ouest_105_</v>
      </c>
      <c r="BL139" s="322"/>
      <c r="BM139" s="13">
        <v>35.34420059</v>
      </c>
      <c r="BN139" s="13">
        <v>161.61713874144081</v>
      </c>
      <c r="BO139" s="13"/>
      <c r="BP139" s="13">
        <v>244.97</v>
      </c>
      <c r="BQ139" s="13"/>
      <c r="BT139" s="298" t="str">
        <f>+VLOOKUP(G139,Liste!$A$7:$H$50,8,FALSE)</f>
        <v>Résineux</v>
      </c>
      <c r="BU139" s="298">
        <f t="shared" si="49"/>
        <v>0</v>
      </c>
      <c r="BV139" s="300">
        <f t="shared" si="50"/>
        <v>1</v>
      </c>
      <c r="BW139" s="321">
        <v>0</v>
      </c>
      <c r="BX139" s="298">
        <f t="shared" si="51"/>
        <v>0.43</v>
      </c>
      <c r="BY139">
        <f t="shared" si="52"/>
        <v>0</v>
      </c>
      <c r="BZ139" s="304">
        <f t="shared" si="53"/>
        <v>0</v>
      </c>
      <c r="CB139" s="299">
        <v>0.6</v>
      </c>
      <c r="CC139" s="299">
        <v>0.4</v>
      </c>
      <c r="CD139">
        <f t="shared" si="54"/>
        <v>0</v>
      </c>
      <c r="CE139">
        <f t="shared" si="55"/>
        <v>0</v>
      </c>
      <c r="CF139">
        <f t="shared" si="56"/>
        <v>0</v>
      </c>
      <c r="CG139">
        <f t="shared" si="57"/>
        <v>0</v>
      </c>
      <c r="CH139">
        <f t="shared" si="58"/>
        <v>0</v>
      </c>
      <c r="CI139">
        <f t="shared" si="59"/>
        <v>0</v>
      </c>
      <c r="CJ139">
        <f t="shared" si="60"/>
        <v>0</v>
      </c>
      <c r="CK139">
        <f t="shared" si="61"/>
        <v>0</v>
      </c>
      <c r="CL139">
        <f t="shared" si="62"/>
        <v>0</v>
      </c>
      <c r="CM139">
        <f t="shared" si="64"/>
        <v>0</v>
      </c>
      <c r="CN139">
        <f t="shared" si="63"/>
        <v>0</v>
      </c>
      <c r="CO139">
        <f t="shared" si="47"/>
        <v>0</v>
      </c>
    </row>
    <row r="140" spans="1:93" s="12" customFormat="1" ht="14.65" customHeight="1" x14ac:dyDescent="0.25">
      <c r="A140" s="4">
        <v>2021</v>
      </c>
      <c r="B140" s="4"/>
      <c r="C140" s="4" t="s">
        <v>64</v>
      </c>
      <c r="D140" s="4" t="s">
        <v>65</v>
      </c>
      <c r="E140" s="4"/>
      <c r="F140" s="4" t="s">
        <v>90</v>
      </c>
      <c r="G140" s="5" t="s">
        <v>15</v>
      </c>
      <c r="H140" s="5" t="s">
        <v>21</v>
      </c>
      <c r="I140" s="5" t="s">
        <v>16</v>
      </c>
      <c r="J140" s="5" t="s">
        <v>10</v>
      </c>
      <c r="K140" s="5">
        <v>23</v>
      </c>
      <c r="L140" s="5" t="s">
        <v>192</v>
      </c>
      <c r="M140" s="5">
        <v>2500</v>
      </c>
      <c r="N140" s="5" t="s">
        <v>170</v>
      </c>
      <c r="O140" s="6" t="s">
        <v>78</v>
      </c>
      <c r="P140" s="6" t="s">
        <v>80</v>
      </c>
      <c r="Q140" s="6">
        <v>2003</v>
      </c>
      <c r="R140" s="6"/>
      <c r="S140" s="6">
        <v>24</v>
      </c>
      <c r="T140" s="6">
        <v>11.4</v>
      </c>
      <c r="U140" s="6">
        <v>2157</v>
      </c>
      <c r="V140" s="6">
        <v>40.299999999999997</v>
      </c>
      <c r="W140" s="6">
        <v>0</v>
      </c>
      <c r="X140" s="6">
        <v>600</v>
      </c>
      <c r="Y140" s="6">
        <v>1043</v>
      </c>
      <c r="Z140" s="6">
        <v>457</v>
      </c>
      <c r="AA140" s="6">
        <v>57</v>
      </c>
      <c r="AB140" s="6">
        <v>0</v>
      </c>
      <c r="AC140" s="2">
        <v>105</v>
      </c>
      <c r="AD140" s="2" t="s">
        <v>53</v>
      </c>
      <c r="AE140" s="7">
        <v>31.69</v>
      </c>
      <c r="AF140" s="7">
        <v>0</v>
      </c>
      <c r="AG140" s="7">
        <v>0</v>
      </c>
      <c r="AH140" s="7">
        <v>0</v>
      </c>
      <c r="AI140" s="7">
        <v>0</v>
      </c>
      <c r="AJ140" s="9">
        <v>0</v>
      </c>
      <c r="AK140" s="9">
        <v>0</v>
      </c>
      <c r="AL140" s="9">
        <v>0</v>
      </c>
      <c r="AM140" s="9">
        <v>84.715979743180199</v>
      </c>
      <c r="AN140" s="9">
        <v>0.80681885469695402</v>
      </c>
      <c r="AO140" s="7"/>
      <c r="AP140" s="9">
        <v>949.60198010559498</v>
      </c>
      <c r="AQ140" s="9">
        <v>9.0438283819580505</v>
      </c>
      <c r="AR140" s="9"/>
      <c r="AS140" s="73">
        <v>63</v>
      </c>
      <c r="AT140" s="10">
        <v>10.4807246581841</v>
      </c>
      <c r="AU140" s="10">
        <v>46.023584520418247</v>
      </c>
      <c r="AV140" s="10">
        <v>145.80988168858499</v>
      </c>
      <c r="AW140" s="8">
        <v>1</v>
      </c>
      <c r="AX140" s="74">
        <v>2.314442566485476</v>
      </c>
      <c r="AY140" s="74"/>
      <c r="AZ140" s="74"/>
      <c r="BA140" s="74"/>
      <c r="BB140" s="8"/>
      <c r="BC140" s="8"/>
      <c r="BD140" s="8"/>
      <c r="BE140" s="8"/>
      <c r="BF140" s="12">
        <v>0.44</v>
      </c>
      <c r="BG140" s="13">
        <v>0</v>
      </c>
      <c r="BH140" s="96" t="str">
        <f>+VLOOKUP(G140,Liste!$A$7:$G$50,3,FALSE)</f>
        <v>Pin sylvestre</v>
      </c>
      <c r="BI140" s="96" t="str">
        <f>+VLOOKUP(H140,Liste!$B$7:$G$50,5,FALSE)</f>
        <v>GS Pineraies des plaines du Centre et du Nord Ouest</v>
      </c>
      <c r="BJ140" s="135">
        <f t="shared" si="46"/>
        <v>105</v>
      </c>
      <c r="BK140" s="135" t="str">
        <f t="shared" si="48"/>
        <v>Pin sylvestre_F2_Eclaircie précoce_GS Pineraies des plaines du Centre et du Nord Ouest_105_</v>
      </c>
      <c r="BL140" s="322"/>
      <c r="BM140" s="13">
        <v>0</v>
      </c>
      <c r="BN140" s="13">
        <v>0</v>
      </c>
      <c r="BO140" s="13">
        <v>161.61713874144081</v>
      </c>
      <c r="BP140" s="13">
        <v>244.97</v>
      </c>
      <c r="BQ140" s="13"/>
      <c r="BT140" s="298" t="str">
        <f>+VLOOKUP(G140,Liste!$A$7:$H$50,8,FALSE)</f>
        <v>Résineux</v>
      </c>
      <c r="BU140" s="298">
        <f t="shared" si="49"/>
        <v>0</v>
      </c>
      <c r="BV140" s="300">
        <f t="shared" si="50"/>
        <v>1</v>
      </c>
      <c r="BW140" s="321">
        <v>0</v>
      </c>
      <c r="BX140" s="298">
        <f t="shared" si="51"/>
        <v>0.43</v>
      </c>
      <c r="BY140">
        <f t="shared" si="52"/>
        <v>0</v>
      </c>
      <c r="BZ140" s="304">
        <f t="shared" si="53"/>
        <v>0</v>
      </c>
      <c r="CB140" s="299">
        <v>0.6</v>
      </c>
      <c r="CC140" s="299">
        <v>0.4</v>
      </c>
      <c r="CD140">
        <f t="shared" si="54"/>
        <v>0</v>
      </c>
      <c r="CE140">
        <f t="shared" si="55"/>
        <v>0</v>
      </c>
      <c r="CF140">
        <f t="shared" si="56"/>
        <v>0</v>
      </c>
      <c r="CG140">
        <f t="shared" si="57"/>
        <v>0</v>
      </c>
      <c r="CH140">
        <f t="shared" si="58"/>
        <v>0</v>
      </c>
      <c r="CI140">
        <f t="shared" si="59"/>
        <v>0</v>
      </c>
      <c r="CJ140">
        <f t="shared" si="60"/>
        <v>0</v>
      </c>
      <c r="CK140">
        <f t="shared" si="61"/>
        <v>0</v>
      </c>
      <c r="CL140">
        <f t="shared" si="62"/>
        <v>0</v>
      </c>
      <c r="CM140">
        <f t="shared" si="64"/>
        <v>0</v>
      </c>
      <c r="CN140">
        <f t="shared" si="63"/>
        <v>0</v>
      </c>
      <c r="CO140">
        <f t="shared" si="47"/>
        <v>0</v>
      </c>
    </row>
    <row r="141" spans="1:93" s="12" customFormat="1" ht="14.65" customHeight="1" x14ac:dyDescent="0.25">
      <c r="A141" s="4">
        <v>2021</v>
      </c>
      <c r="B141" s="4"/>
      <c r="C141" s="4" t="s">
        <v>68</v>
      </c>
      <c r="D141" s="4" t="s">
        <v>67</v>
      </c>
      <c r="E141" s="11" t="s">
        <v>88</v>
      </c>
      <c r="F141" s="4" t="s">
        <v>90</v>
      </c>
      <c r="G141" s="5" t="s">
        <v>8</v>
      </c>
      <c r="H141" s="5" t="s">
        <v>11</v>
      </c>
      <c r="I141" s="5" t="s">
        <v>12</v>
      </c>
      <c r="J141" s="5" t="s">
        <v>10</v>
      </c>
      <c r="K141" s="5">
        <v>33</v>
      </c>
      <c r="L141" s="5" t="s">
        <v>190</v>
      </c>
      <c r="M141" s="5">
        <v>1666</v>
      </c>
      <c r="N141" s="5" t="s">
        <v>171</v>
      </c>
      <c r="O141" s="6" t="s">
        <v>81</v>
      </c>
      <c r="P141" s="6" t="s">
        <v>83</v>
      </c>
      <c r="Q141" s="6"/>
      <c r="R141" s="6" t="s">
        <v>84</v>
      </c>
      <c r="S141" s="6">
        <v>19</v>
      </c>
      <c r="T141" s="6">
        <v>15.33</v>
      </c>
      <c r="U141" s="6">
        <v>1600</v>
      </c>
      <c r="V141" s="6">
        <v>14.8</v>
      </c>
      <c r="W141" s="6">
        <v>30</v>
      </c>
      <c r="X141" s="6">
        <v>428</v>
      </c>
      <c r="Y141" s="6">
        <v>890</v>
      </c>
      <c r="Z141" s="6">
        <v>240</v>
      </c>
      <c r="AA141" s="6">
        <v>12</v>
      </c>
      <c r="AB141" s="6">
        <v>0</v>
      </c>
      <c r="AC141" s="2">
        <v>19</v>
      </c>
      <c r="AD141" s="2" t="s">
        <v>52</v>
      </c>
      <c r="AE141" s="3">
        <v>15.326629436040699</v>
      </c>
      <c r="AF141" s="2">
        <v>1600</v>
      </c>
      <c r="AG141" s="3">
        <v>27.5370795780576</v>
      </c>
      <c r="AH141" s="3">
        <v>14.8031454987829</v>
      </c>
      <c r="AI141" s="9">
        <v>22.026026959150101</v>
      </c>
      <c r="AJ141" s="9">
        <v>156.38804585230099</v>
      </c>
      <c r="AK141" s="9">
        <v>156.49871756886799</v>
      </c>
      <c r="AL141" s="9">
        <v>192.63313212496399</v>
      </c>
      <c r="AM141" s="9">
        <v>27.537079578469399</v>
      </c>
      <c r="AN141" s="9">
        <v>1.4493199778141801</v>
      </c>
      <c r="AO141" s="9">
        <v>1.8553482799668899</v>
      </c>
      <c r="AP141" s="9">
        <v>192.63313212496399</v>
      </c>
      <c r="AQ141" s="9">
        <v>10.138585901313901</v>
      </c>
      <c r="AR141" s="9">
        <v>20.722045223658998</v>
      </c>
      <c r="AS141" s="73"/>
      <c r="AT141" s="8"/>
      <c r="AU141" s="10" t="s">
        <v>169</v>
      </c>
      <c r="AV141" s="10">
        <v>0</v>
      </c>
      <c r="AW141" s="8"/>
      <c r="AX141" s="74"/>
      <c r="AY141" s="314" t="str">
        <f t="shared" ref="AY141:AY177" si="65">IF(AD141="ap",IF(AU141&lt;=45,0,1.80306-(53.52431/AU141)-(1182.78539/(AU141^2))),"")</f>
        <v/>
      </c>
      <c r="AZ141" s="314" t="str">
        <f t="shared" ref="AZ141:AZ177" si="66">IF(AD141="ap",IF(AU141&lt;=20,0,(0.76104+(25.23841/AU141)-(764.19392/AU141^2))-AY141),"")</f>
        <v/>
      </c>
      <c r="BA141" s="315" t="str">
        <f t="shared" ref="BA141:BA177" si="67">IF(AD141="ap",(1.00532-(0.17086/AU141)-(9.5151/ AU141^2))-(AY141+AZ141),"")</f>
        <v/>
      </c>
      <c r="BB141" s="10" t="str">
        <f t="shared" ref="BB141:BB177" si="68">IF(AD141="ap",(AY141+AZ141)*47.01%*AV141+BA141*AV141*0%,"")</f>
        <v/>
      </c>
      <c r="BC141" s="10" t="str">
        <f t="shared" ref="BC141:BC177" si="69">IF(AD141="ap",(AY141+AZ141)*10.36%*AV141+BA141*AV141*54.06%,"")</f>
        <v/>
      </c>
      <c r="BD141" s="10" t="str">
        <f t="shared" ref="BD141:BD177" si="70">IF(AD141="ap",(AY141+AZ141)*7.36%*AV141+BA141*AV141*28%,"")</f>
        <v/>
      </c>
      <c r="BE141" s="10" t="str">
        <f t="shared" ref="BE141:BE177" si="71">IF(AD141="ap",(AY141+AZ141)*34.59%*AV141+BA141*AV141*5.58%,"")</f>
        <v/>
      </c>
      <c r="BF141" s="12">
        <v>0.43</v>
      </c>
      <c r="BG141" s="13">
        <v>144.26616320058801</v>
      </c>
      <c r="BH141" s="96" t="str">
        <f>+VLOOKUP(G141,Liste!$A$7:$G$50,3,FALSE)</f>
        <v>Douglas</v>
      </c>
      <c r="BI141" s="96" t="str">
        <f>+VLOOKUP(H141,Liste!$B$7:$G$50,5,FALSE)</f>
        <v>National</v>
      </c>
      <c r="BJ141" s="135">
        <f t="shared" si="46"/>
        <v>19</v>
      </c>
      <c r="BK141" s="135" t="str">
        <f t="shared" si="48"/>
        <v>Douglas_F2_Entree 17-18m, densité haute_National_19_</v>
      </c>
      <c r="BL141" s="322"/>
      <c r="BM141" s="13">
        <v>39.759245252709</v>
      </c>
      <c r="BN141" s="13">
        <v>184.02540845329699</v>
      </c>
      <c r="BP141" s="13">
        <v>306.22140208535097</v>
      </c>
      <c r="BQ141" s="13">
        <v>19.254333903692601</v>
      </c>
      <c r="BT141" s="298" t="str">
        <f>+VLOOKUP(G141,Liste!$A$7:$H$50,8,FALSE)</f>
        <v>Résineux</v>
      </c>
      <c r="BU141" s="298">
        <f t="shared" si="49"/>
        <v>0</v>
      </c>
      <c r="BV141" s="300">
        <f t="shared" si="50"/>
        <v>1</v>
      </c>
      <c r="BW141" s="321">
        <v>0</v>
      </c>
      <c r="BX141" s="298">
        <f t="shared" si="51"/>
        <v>0.43</v>
      </c>
      <c r="BY141">
        <f t="shared" si="52"/>
        <v>0</v>
      </c>
      <c r="BZ141" s="304">
        <f t="shared" si="53"/>
        <v>0</v>
      </c>
      <c r="CB141" s="299">
        <v>0.6</v>
      </c>
      <c r="CC141" s="299">
        <v>0.4</v>
      </c>
      <c r="CD141">
        <f t="shared" si="54"/>
        <v>0</v>
      </c>
      <c r="CE141">
        <f t="shared" si="55"/>
        <v>0</v>
      </c>
      <c r="CF141">
        <f t="shared" si="56"/>
        <v>0</v>
      </c>
      <c r="CG141">
        <f t="shared" si="57"/>
        <v>0</v>
      </c>
      <c r="CH141">
        <f t="shared" si="58"/>
        <v>0</v>
      </c>
      <c r="CI141">
        <f t="shared" si="59"/>
        <v>0</v>
      </c>
      <c r="CJ141">
        <f t="shared" si="60"/>
        <v>0</v>
      </c>
      <c r="CK141">
        <f t="shared" si="61"/>
        <v>0</v>
      </c>
      <c r="CL141">
        <f t="shared" si="62"/>
        <v>0</v>
      </c>
      <c r="CM141">
        <f t="shared" si="64"/>
        <v>0</v>
      </c>
      <c r="CN141">
        <f t="shared" si="63"/>
        <v>0</v>
      </c>
      <c r="CO141">
        <f t="shared" si="47"/>
        <v>0</v>
      </c>
    </row>
    <row r="142" spans="1:93" s="12" customFormat="1" ht="14.65" customHeight="1" x14ac:dyDescent="0.25">
      <c r="A142" s="4">
        <v>2021</v>
      </c>
      <c r="B142" s="4"/>
      <c r="C142" s="4" t="s">
        <v>68</v>
      </c>
      <c r="D142" s="4" t="s">
        <v>67</v>
      </c>
      <c r="E142" s="11" t="s">
        <v>88</v>
      </c>
      <c r="F142" s="4" t="s">
        <v>90</v>
      </c>
      <c r="G142" s="5" t="s">
        <v>8</v>
      </c>
      <c r="H142" s="5" t="s">
        <v>11</v>
      </c>
      <c r="I142" s="5" t="s">
        <v>12</v>
      </c>
      <c r="J142" s="5" t="s">
        <v>10</v>
      </c>
      <c r="K142" s="5">
        <v>33</v>
      </c>
      <c r="L142" s="5" t="s">
        <v>190</v>
      </c>
      <c r="M142" s="5">
        <v>1666</v>
      </c>
      <c r="N142" s="5" t="s">
        <v>171</v>
      </c>
      <c r="O142" s="6" t="s">
        <v>81</v>
      </c>
      <c r="P142" s="6" t="s">
        <v>83</v>
      </c>
      <c r="Q142" s="6"/>
      <c r="R142" s="6" t="s">
        <v>84</v>
      </c>
      <c r="S142" s="6">
        <v>19</v>
      </c>
      <c r="T142" s="6">
        <v>15.33</v>
      </c>
      <c r="U142" s="6">
        <v>1600</v>
      </c>
      <c r="V142" s="6">
        <v>14.8</v>
      </c>
      <c r="W142" s="6">
        <v>30</v>
      </c>
      <c r="X142" s="6">
        <v>428</v>
      </c>
      <c r="Y142" s="6">
        <v>890</v>
      </c>
      <c r="Z142" s="6">
        <v>240</v>
      </c>
      <c r="AA142" s="6">
        <v>12</v>
      </c>
      <c r="AB142" s="6">
        <v>0</v>
      </c>
      <c r="AC142" s="2">
        <v>21</v>
      </c>
      <c r="AD142" s="2" t="s">
        <v>52</v>
      </c>
      <c r="AE142" s="3">
        <v>16.7862689458827</v>
      </c>
      <c r="AF142" s="2">
        <v>1600</v>
      </c>
      <c r="AG142" s="3">
        <v>31.247776138486898</v>
      </c>
      <c r="AH142" s="3">
        <v>15.7690171429121</v>
      </c>
      <c r="AI142" s="9">
        <v>23.767882153386299</v>
      </c>
      <c r="AJ142" s="9">
        <v>195.59918920753</v>
      </c>
      <c r="AK142" s="9">
        <v>195.70885758235801</v>
      </c>
      <c r="AL142" s="9">
        <v>234.07722257228201</v>
      </c>
      <c r="AM142" s="9">
        <v>31.2477761384032</v>
      </c>
      <c r="AN142" s="9">
        <v>1.4879893399239601</v>
      </c>
      <c r="AO142" s="9">
        <v>1.8141994529599901</v>
      </c>
      <c r="AP142" s="9">
        <v>234.07722257228201</v>
      </c>
      <c r="AQ142" s="9">
        <v>11.1465344082039</v>
      </c>
      <c r="AR142" s="9">
        <v>21.693133606812999</v>
      </c>
      <c r="AS142" s="73" t="str">
        <f>IF($AD142="ap",AF141-AF142,"")</f>
        <v/>
      </c>
      <c r="AT142" s="10" t="str">
        <f>IF($AD142="ap",AG141-AG142,"")</f>
        <v/>
      </c>
      <c r="AU142" s="10" t="s">
        <v>169</v>
      </c>
      <c r="AV142" s="10">
        <v>0</v>
      </c>
      <c r="AW142" s="8"/>
      <c r="AX142" s="74"/>
      <c r="AY142" s="314" t="str">
        <f t="shared" si="65"/>
        <v/>
      </c>
      <c r="AZ142" s="314" t="str">
        <f t="shared" si="66"/>
        <v/>
      </c>
      <c r="BA142" s="315" t="str">
        <f t="shared" si="67"/>
        <v/>
      </c>
      <c r="BB142" s="10" t="str">
        <f t="shared" si="68"/>
        <v/>
      </c>
      <c r="BC142" s="10" t="str">
        <f t="shared" si="69"/>
        <v/>
      </c>
      <c r="BD142" s="10" t="str">
        <f t="shared" si="70"/>
        <v/>
      </c>
      <c r="BE142" s="10" t="str">
        <f t="shared" si="71"/>
        <v/>
      </c>
      <c r="BF142" s="12">
        <v>0.43</v>
      </c>
      <c r="BG142" s="13">
        <v>175.30433327142501</v>
      </c>
      <c r="BH142" s="96" t="str">
        <f>+VLOOKUP(G142,Liste!$A$7:$G$50,3,FALSE)</f>
        <v>Douglas</v>
      </c>
      <c r="BI142" s="96" t="str">
        <f>+VLOOKUP(H142,Liste!$B$7:$G$50,5,FALSE)</f>
        <v>National</v>
      </c>
      <c r="BJ142" s="135">
        <f t="shared" si="46"/>
        <v>21</v>
      </c>
      <c r="BK142" s="135" t="str">
        <f t="shared" si="48"/>
        <v>Douglas_F2_Entree 17-18m, densité haute_National_21_</v>
      </c>
      <c r="BL142" s="322"/>
      <c r="BM142" s="13">
        <v>47.229742989256899</v>
      </c>
      <c r="BN142" s="13">
        <v>222.53407626068201</v>
      </c>
      <c r="BO142" s="12" t="s">
        <v>169</v>
      </c>
      <c r="BP142" s="13">
        <v>306.22140208535097</v>
      </c>
      <c r="BQ142" s="13">
        <v>19.9944233836645</v>
      </c>
      <c r="BT142" s="298" t="str">
        <f>+VLOOKUP(G142,Liste!$A$7:$H$50,8,FALSE)</f>
        <v>Résineux</v>
      </c>
      <c r="BU142" s="298">
        <f t="shared" si="49"/>
        <v>0</v>
      </c>
      <c r="BV142" s="300">
        <f t="shared" si="50"/>
        <v>1</v>
      </c>
      <c r="BW142" s="321">
        <v>0</v>
      </c>
      <c r="BX142" s="298">
        <f t="shared" si="51"/>
        <v>0.43</v>
      </c>
      <c r="BY142">
        <f t="shared" si="52"/>
        <v>0</v>
      </c>
      <c r="BZ142" s="304">
        <f t="shared" si="53"/>
        <v>0</v>
      </c>
      <c r="CB142" s="299">
        <v>0.6</v>
      </c>
      <c r="CC142" s="299">
        <v>0.4</v>
      </c>
      <c r="CD142">
        <f t="shared" si="54"/>
        <v>0</v>
      </c>
      <c r="CE142">
        <f t="shared" si="55"/>
        <v>0</v>
      </c>
      <c r="CF142">
        <f t="shared" si="56"/>
        <v>0</v>
      </c>
      <c r="CG142">
        <f t="shared" si="57"/>
        <v>0</v>
      </c>
      <c r="CH142">
        <f t="shared" si="58"/>
        <v>0</v>
      </c>
      <c r="CI142">
        <f t="shared" si="59"/>
        <v>0</v>
      </c>
      <c r="CJ142">
        <f t="shared" si="60"/>
        <v>0</v>
      </c>
      <c r="CK142">
        <f t="shared" si="61"/>
        <v>0</v>
      </c>
      <c r="CL142">
        <f t="shared" si="62"/>
        <v>0</v>
      </c>
      <c r="CM142">
        <f t="shared" si="64"/>
        <v>0</v>
      </c>
      <c r="CN142">
        <f t="shared" si="63"/>
        <v>0</v>
      </c>
      <c r="CO142">
        <f t="shared" si="47"/>
        <v>0</v>
      </c>
    </row>
    <row r="143" spans="1:93" s="12" customFormat="1" ht="14.65" customHeight="1" x14ac:dyDescent="0.25">
      <c r="A143" s="4">
        <v>2021</v>
      </c>
      <c r="B143" s="4"/>
      <c r="C143" s="4" t="s">
        <v>68</v>
      </c>
      <c r="D143" s="4" t="s">
        <v>67</v>
      </c>
      <c r="E143" s="11" t="s">
        <v>88</v>
      </c>
      <c r="F143" s="4" t="s">
        <v>90</v>
      </c>
      <c r="G143" s="5" t="s">
        <v>8</v>
      </c>
      <c r="H143" s="5" t="s">
        <v>11</v>
      </c>
      <c r="I143" s="5" t="s">
        <v>12</v>
      </c>
      <c r="J143" s="5" t="s">
        <v>10</v>
      </c>
      <c r="K143" s="5">
        <v>33</v>
      </c>
      <c r="L143" s="5" t="s">
        <v>190</v>
      </c>
      <c r="M143" s="5">
        <v>1666</v>
      </c>
      <c r="N143" s="5" t="s">
        <v>171</v>
      </c>
      <c r="O143" s="6" t="s">
        <v>81</v>
      </c>
      <c r="P143" s="6" t="s">
        <v>83</v>
      </c>
      <c r="Q143" s="6"/>
      <c r="R143" s="6" t="s">
        <v>84</v>
      </c>
      <c r="S143" s="6">
        <v>19</v>
      </c>
      <c r="T143" s="6">
        <v>15.33</v>
      </c>
      <c r="U143" s="6">
        <v>1600</v>
      </c>
      <c r="V143" s="6">
        <v>14.8</v>
      </c>
      <c r="W143" s="6">
        <v>30</v>
      </c>
      <c r="X143" s="6">
        <v>428</v>
      </c>
      <c r="Y143" s="6">
        <v>890</v>
      </c>
      <c r="Z143" s="6">
        <v>240</v>
      </c>
      <c r="AA143" s="6">
        <v>12</v>
      </c>
      <c r="AB143" s="6">
        <v>0</v>
      </c>
      <c r="AC143" s="2">
        <v>21</v>
      </c>
      <c r="AD143" s="2" t="s">
        <v>53</v>
      </c>
      <c r="AE143" s="3">
        <v>16.7862689458827</v>
      </c>
      <c r="AF143" s="2">
        <v>850</v>
      </c>
      <c r="AG143" s="3">
        <v>20.412933803959099</v>
      </c>
      <c r="AH143" s="3">
        <v>17.4863155044374</v>
      </c>
      <c r="AI143" s="9">
        <v>23.6533177471795</v>
      </c>
      <c r="AJ143" s="9">
        <v>132.35448340722499</v>
      </c>
      <c r="AK143" s="9">
        <v>132.45108507601401</v>
      </c>
      <c r="AL143" s="9">
        <v>154.563813922657</v>
      </c>
      <c r="AM143" s="9">
        <v>31.2477761384032</v>
      </c>
      <c r="AN143" s="9">
        <v>1.4879893399239601</v>
      </c>
      <c r="AO143" s="9">
        <v>1.8141994529599901</v>
      </c>
      <c r="AP143" s="9">
        <v>234.07722257228201</v>
      </c>
      <c r="AQ143" s="9">
        <v>11.1465344082039</v>
      </c>
      <c r="AR143" s="9">
        <v>21.693133606812999</v>
      </c>
      <c r="AS143" s="73">
        <v>750</v>
      </c>
      <c r="AT143" s="10">
        <v>10.834842334527799</v>
      </c>
      <c r="AU143" s="10">
        <v>13.562374286380903</v>
      </c>
      <c r="AV143" s="10">
        <v>63.244705800305013</v>
      </c>
      <c r="AW143" s="10">
        <v>0.73971121052642441</v>
      </c>
      <c r="AX143" s="10">
        <v>8.4326274400406687E-2</v>
      </c>
      <c r="AY143" s="314">
        <f t="shared" si="65"/>
        <v>0</v>
      </c>
      <c r="AZ143" s="314">
        <f t="shared" si="66"/>
        <v>0</v>
      </c>
      <c r="BA143" s="315">
        <f t="shared" si="67"/>
        <v>0.94099197909283938</v>
      </c>
      <c r="BB143" s="10">
        <f t="shared" si="68"/>
        <v>0</v>
      </c>
      <c r="BC143" s="10">
        <f t="shared" si="69"/>
        <v>32.172598530740537</v>
      </c>
      <c r="BD143" s="10">
        <f t="shared" si="70"/>
        <v>16.663573045888551</v>
      </c>
      <c r="BE143" s="10">
        <f t="shared" si="71"/>
        <v>3.3208120570020756</v>
      </c>
      <c r="BF143" s="12">
        <v>0.43</v>
      </c>
      <c r="BG143" s="75">
        <v>115.75541631024301</v>
      </c>
      <c r="BH143" s="96" t="str">
        <f>+VLOOKUP(G143,Liste!$A$7:$G$50,3,FALSE)</f>
        <v>Douglas</v>
      </c>
      <c r="BI143" s="96" t="str">
        <f>+VLOOKUP(H143,Liste!$B$7:$G$50,5,FALSE)</f>
        <v>National</v>
      </c>
      <c r="BJ143" s="135">
        <f t="shared" si="46"/>
        <v>21</v>
      </c>
      <c r="BK143" s="135" t="str">
        <f t="shared" si="48"/>
        <v>Douglas_F2_Entree 17-18m, densité haute_National_21_</v>
      </c>
      <c r="BL143" s="322"/>
      <c r="BM143" s="75">
        <v>32.729962443811203</v>
      </c>
      <c r="BN143" s="13">
        <v>148.48537875405401</v>
      </c>
      <c r="BO143" s="13">
        <v>74.048697506628002</v>
      </c>
      <c r="BP143" s="13">
        <v>306.22140208535097</v>
      </c>
      <c r="BQ143" s="13">
        <v>19.9944233836645</v>
      </c>
      <c r="BT143" s="298" t="str">
        <f>+VLOOKUP(G143,Liste!$A$7:$H$50,8,FALSE)</f>
        <v>Résineux</v>
      </c>
      <c r="BU143" s="298">
        <f t="shared" si="49"/>
        <v>0</v>
      </c>
      <c r="BV143" s="300">
        <f t="shared" si="50"/>
        <v>1</v>
      </c>
      <c r="BW143" s="321">
        <v>0</v>
      </c>
      <c r="BX143" s="298">
        <f t="shared" si="51"/>
        <v>0.43</v>
      </c>
      <c r="BY143">
        <f t="shared" si="52"/>
        <v>27.195223494131156</v>
      </c>
      <c r="BZ143" s="304">
        <f t="shared" si="53"/>
        <v>27.195223494131156</v>
      </c>
      <c r="CB143" s="299">
        <v>0.6</v>
      </c>
      <c r="CC143" s="299">
        <v>0.4</v>
      </c>
      <c r="CD143">
        <f t="shared" si="54"/>
        <v>0</v>
      </c>
      <c r="CE143">
        <f t="shared" si="55"/>
        <v>37.946823480183006</v>
      </c>
      <c r="CF143">
        <f t="shared" si="56"/>
        <v>25.297882320122007</v>
      </c>
      <c r="CG143">
        <f t="shared" si="57"/>
        <v>0</v>
      </c>
      <c r="CH143">
        <f t="shared" si="58"/>
        <v>28.419008551367057</v>
      </c>
      <c r="CI143">
        <f t="shared" si="59"/>
        <v>18.946005700911371</v>
      </c>
      <c r="CJ143">
        <f t="shared" si="60"/>
        <v>0</v>
      </c>
      <c r="CK143">
        <f t="shared" si="61"/>
        <v>0</v>
      </c>
      <c r="CL143">
        <f t="shared" si="62"/>
        <v>0</v>
      </c>
      <c r="CM143">
        <f t="shared" si="64"/>
        <v>0</v>
      </c>
      <c r="CN143">
        <f t="shared" si="63"/>
        <v>0</v>
      </c>
      <c r="CO143">
        <f t="shared" si="47"/>
        <v>0</v>
      </c>
    </row>
    <row r="144" spans="1:93" s="12" customFormat="1" ht="14.65" customHeight="1" x14ac:dyDescent="0.25">
      <c r="A144" s="4">
        <v>2021</v>
      </c>
      <c r="B144" s="4"/>
      <c r="C144" s="4" t="s">
        <v>68</v>
      </c>
      <c r="D144" s="4" t="s">
        <v>67</v>
      </c>
      <c r="E144" s="11" t="s">
        <v>88</v>
      </c>
      <c r="F144" s="4" t="s">
        <v>90</v>
      </c>
      <c r="G144" s="5" t="s">
        <v>8</v>
      </c>
      <c r="H144" s="5" t="s">
        <v>11</v>
      </c>
      <c r="I144" s="5" t="s">
        <v>12</v>
      </c>
      <c r="J144" s="5" t="s">
        <v>10</v>
      </c>
      <c r="K144" s="5">
        <v>33</v>
      </c>
      <c r="L144" s="5" t="s">
        <v>190</v>
      </c>
      <c r="M144" s="5">
        <v>1666</v>
      </c>
      <c r="N144" s="5" t="s">
        <v>171</v>
      </c>
      <c r="O144" s="6" t="s">
        <v>81</v>
      </c>
      <c r="P144" s="6" t="s">
        <v>83</v>
      </c>
      <c r="Q144" s="6"/>
      <c r="R144" s="6" t="s">
        <v>84</v>
      </c>
      <c r="S144" s="6">
        <v>19</v>
      </c>
      <c r="T144" s="6">
        <v>15.33</v>
      </c>
      <c r="U144" s="6">
        <v>1600</v>
      </c>
      <c r="V144" s="6">
        <v>14.8</v>
      </c>
      <c r="W144" s="6">
        <v>30</v>
      </c>
      <c r="X144" s="6">
        <v>428</v>
      </c>
      <c r="Y144" s="6">
        <v>890</v>
      </c>
      <c r="Z144" s="6">
        <v>240</v>
      </c>
      <c r="AA144" s="6">
        <v>12</v>
      </c>
      <c r="AB144" s="6">
        <v>0</v>
      </c>
      <c r="AC144" s="2">
        <v>28</v>
      </c>
      <c r="AD144" s="2" t="s">
        <v>52</v>
      </c>
      <c r="AE144" s="3">
        <v>21.610432838484101</v>
      </c>
      <c r="AF144" s="2">
        <v>850</v>
      </c>
      <c r="AG144" s="3">
        <v>33.112329974518097</v>
      </c>
      <c r="AH144" s="3">
        <v>22.271038418927901</v>
      </c>
      <c r="AI144" s="9">
        <v>30.7022536431578</v>
      </c>
      <c r="AJ144" s="9">
        <v>253.71920083912599</v>
      </c>
      <c r="AK144" s="9">
        <v>254.64605282258901</v>
      </c>
      <c r="AL144" s="9">
        <v>306.41574917034802</v>
      </c>
      <c r="AM144" s="9">
        <v>43.947172309123097</v>
      </c>
      <c r="AN144" s="9">
        <v>1.56954186818297</v>
      </c>
      <c r="AO144" s="9">
        <v>1.68502643395564</v>
      </c>
      <c r="AP144" s="9">
        <v>385.929157819973</v>
      </c>
      <c r="AQ144" s="9">
        <v>13.7831842078562</v>
      </c>
      <c r="AR144" s="9">
        <v>23.529494895177798</v>
      </c>
      <c r="AS144" s="73" t="s">
        <v>169</v>
      </c>
      <c r="AT144" s="10" t="s">
        <v>169</v>
      </c>
      <c r="AU144" s="10" t="s">
        <v>169</v>
      </c>
      <c r="AV144" s="10">
        <v>0</v>
      </c>
      <c r="AW144" s="8"/>
      <c r="AX144" s="10" t="s">
        <v>169</v>
      </c>
      <c r="AY144" s="314" t="str">
        <f t="shared" si="65"/>
        <v/>
      </c>
      <c r="AZ144" s="314" t="str">
        <f t="shared" si="66"/>
        <v/>
      </c>
      <c r="BA144" s="315" t="str">
        <f t="shared" si="67"/>
        <v/>
      </c>
      <c r="BB144" s="10" t="str">
        <f t="shared" si="68"/>
        <v/>
      </c>
      <c r="BC144" s="10" t="str">
        <f t="shared" si="69"/>
        <v/>
      </c>
      <c r="BD144" s="10" t="str">
        <f t="shared" si="70"/>
        <v/>
      </c>
      <c r="BE144" s="10" t="str">
        <f t="shared" si="71"/>
        <v/>
      </c>
      <c r="BF144" s="12">
        <v>0.43</v>
      </c>
      <c r="BG144" s="75">
        <v>229.479861482827</v>
      </c>
      <c r="BH144" s="96" t="str">
        <f>+VLOOKUP(G144,Liste!$A$7:$G$50,3,FALSE)</f>
        <v>Douglas</v>
      </c>
      <c r="BI144" s="96" t="str">
        <f>+VLOOKUP(H144,Liste!$B$7:$G$50,5,FALSE)</f>
        <v>National</v>
      </c>
      <c r="BJ144" s="135">
        <f t="shared" si="46"/>
        <v>28</v>
      </c>
      <c r="BK144" s="135" t="str">
        <f t="shared" si="48"/>
        <v>Douglas_F2_Entree 17-18m, densité haute_National_28_</v>
      </c>
      <c r="BL144" s="322"/>
      <c r="BM144" s="75">
        <v>59.917585682477402</v>
      </c>
      <c r="BN144" s="13">
        <v>289.39744716530402</v>
      </c>
      <c r="BO144" s="12" t="s">
        <v>169</v>
      </c>
      <c r="BP144" s="13">
        <v>306.22140208535097</v>
      </c>
      <c r="BQ144" s="13">
        <v>21.493893939534601</v>
      </c>
      <c r="BT144" s="298" t="str">
        <f>+VLOOKUP(G144,Liste!$A$7:$H$50,8,FALSE)</f>
        <v>Résineux</v>
      </c>
      <c r="BU144" s="298">
        <f t="shared" si="49"/>
        <v>0</v>
      </c>
      <c r="BV144" s="300">
        <f t="shared" si="50"/>
        <v>1</v>
      </c>
      <c r="BW144" s="321">
        <v>0</v>
      </c>
      <c r="BX144" s="298">
        <f t="shared" si="51"/>
        <v>0.43</v>
      </c>
      <c r="BY144">
        <f t="shared" si="52"/>
        <v>0</v>
      </c>
      <c r="BZ144" s="304">
        <f t="shared" si="53"/>
        <v>27.195223494131156</v>
      </c>
      <c r="CB144" s="299">
        <v>0.6</v>
      </c>
      <c r="CC144" s="299">
        <v>0.4</v>
      </c>
      <c r="CD144">
        <f t="shared" si="54"/>
        <v>0</v>
      </c>
      <c r="CE144">
        <f t="shared" si="55"/>
        <v>0</v>
      </c>
      <c r="CF144">
        <f t="shared" si="56"/>
        <v>0</v>
      </c>
      <c r="CG144">
        <f t="shared" si="57"/>
        <v>0</v>
      </c>
      <c r="CH144">
        <f t="shared" si="58"/>
        <v>0</v>
      </c>
      <c r="CI144">
        <f t="shared" si="59"/>
        <v>0</v>
      </c>
      <c r="CJ144">
        <f t="shared" si="60"/>
        <v>0</v>
      </c>
      <c r="CK144">
        <f t="shared" si="61"/>
        <v>28.028653405906475</v>
      </c>
      <c r="CL144">
        <f t="shared" si="62"/>
        <v>16.011481396823037</v>
      </c>
      <c r="CM144">
        <f t="shared" si="64"/>
        <v>44.040134802729511</v>
      </c>
      <c r="CN144">
        <f t="shared" si="63"/>
        <v>44.040134802729511</v>
      </c>
      <c r="CO144">
        <f t="shared" si="47"/>
        <v>0</v>
      </c>
    </row>
    <row r="145" spans="1:93" s="12" customFormat="1" ht="14.65" customHeight="1" x14ac:dyDescent="0.25">
      <c r="A145" s="4">
        <v>2021</v>
      </c>
      <c r="B145" s="4"/>
      <c r="C145" s="4" t="s">
        <v>68</v>
      </c>
      <c r="D145" s="4" t="s">
        <v>67</v>
      </c>
      <c r="E145" s="11" t="s">
        <v>88</v>
      </c>
      <c r="F145" s="4" t="s">
        <v>90</v>
      </c>
      <c r="G145" s="5" t="s">
        <v>8</v>
      </c>
      <c r="H145" s="5" t="s">
        <v>11</v>
      </c>
      <c r="I145" s="5" t="s">
        <v>12</v>
      </c>
      <c r="J145" s="5" t="s">
        <v>10</v>
      </c>
      <c r="K145" s="5">
        <v>33</v>
      </c>
      <c r="L145" s="5" t="s">
        <v>190</v>
      </c>
      <c r="M145" s="5">
        <v>1666</v>
      </c>
      <c r="N145" s="5" t="s">
        <v>171</v>
      </c>
      <c r="O145" s="6" t="s">
        <v>81</v>
      </c>
      <c r="P145" s="6" t="s">
        <v>83</v>
      </c>
      <c r="Q145" s="6"/>
      <c r="R145" s="6" t="s">
        <v>84</v>
      </c>
      <c r="S145" s="6">
        <v>19</v>
      </c>
      <c r="T145" s="6">
        <v>15.33</v>
      </c>
      <c r="U145" s="6">
        <v>1600</v>
      </c>
      <c r="V145" s="6">
        <v>14.8</v>
      </c>
      <c r="W145" s="6">
        <v>30</v>
      </c>
      <c r="X145" s="6">
        <v>428</v>
      </c>
      <c r="Y145" s="6">
        <v>890</v>
      </c>
      <c r="Z145" s="6">
        <v>240</v>
      </c>
      <c r="AA145" s="6">
        <v>12</v>
      </c>
      <c r="AB145" s="6">
        <v>0</v>
      </c>
      <c r="AC145" s="2">
        <v>28</v>
      </c>
      <c r="AD145" s="2" t="s">
        <v>53</v>
      </c>
      <c r="AE145" s="3">
        <v>21.610432838484101</v>
      </c>
      <c r="AF145" s="2">
        <v>600</v>
      </c>
      <c r="AG145" s="3">
        <v>25.068500954402701</v>
      </c>
      <c r="AH145" s="3">
        <v>23.064477283757</v>
      </c>
      <c r="AI145" s="9">
        <v>29.927637713120301</v>
      </c>
      <c r="AJ145" s="9">
        <v>193.76304128449999</v>
      </c>
      <c r="AK145" s="9">
        <v>194.48142921890101</v>
      </c>
      <c r="AL145" s="9">
        <v>232.43255633631799</v>
      </c>
      <c r="AM145" s="9">
        <v>43.947172309123097</v>
      </c>
      <c r="AN145" s="9">
        <v>1.56954186818297</v>
      </c>
      <c r="AO145" s="9">
        <v>1.68502643395564</v>
      </c>
      <c r="AP145" s="9">
        <v>385.929157819973</v>
      </c>
      <c r="AQ145" s="9">
        <v>13.7831842078562</v>
      </c>
      <c r="AR145" s="9">
        <v>23.529494895177798</v>
      </c>
      <c r="AS145" s="73">
        <v>250</v>
      </c>
      <c r="AT145" s="10">
        <v>8.0438290201153961</v>
      </c>
      <c r="AU145" s="10">
        <v>20.24027786321049</v>
      </c>
      <c r="AV145" s="10">
        <v>59.956159554625998</v>
      </c>
      <c r="AW145" s="10">
        <v>0.82594666969792974</v>
      </c>
      <c r="AX145" s="10">
        <v>0.239824638218504</v>
      </c>
      <c r="AY145" s="314">
        <f t="shared" si="65"/>
        <v>0</v>
      </c>
      <c r="AZ145" s="314">
        <f t="shared" si="66"/>
        <v>0.14258563124907586</v>
      </c>
      <c r="BA145" s="315">
        <f t="shared" si="67"/>
        <v>0.83106646444314403</v>
      </c>
      <c r="BB145" s="10">
        <f t="shared" si="68"/>
        <v>4.0188317116480654</v>
      </c>
      <c r="BC145" s="10">
        <f t="shared" si="69"/>
        <v>27.822440123580886</v>
      </c>
      <c r="BD145" s="10">
        <f t="shared" si="70"/>
        <v>14.580913064644763</v>
      </c>
      <c r="BE145" s="10">
        <f t="shared" si="71"/>
        <v>5.737437451643113</v>
      </c>
      <c r="BF145" s="12">
        <v>0.43</v>
      </c>
      <c r="BG145" s="75">
        <v>174.07261531620699</v>
      </c>
      <c r="BH145" s="96" t="str">
        <f>+VLOOKUP(G145,Liste!$A$7:$G$50,3,FALSE)</f>
        <v>Douglas</v>
      </c>
      <c r="BI145" s="96" t="str">
        <f>+VLOOKUP(H145,Liste!$B$7:$G$50,5,FALSE)</f>
        <v>National</v>
      </c>
      <c r="BJ145" s="135">
        <f t="shared" si="46"/>
        <v>28</v>
      </c>
      <c r="BK145" s="135" t="str">
        <f t="shared" si="48"/>
        <v>Douglas_F2_Entree 17-18m, densité haute_National_28_</v>
      </c>
      <c r="BL145" s="322"/>
      <c r="BM145" s="75">
        <v>46.936405255059597</v>
      </c>
      <c r="BN145" s="13">
        <v>221.009020571267</v>
      </c>
      <c r="BO145" s="13">
        <v>68.388426594037014</v>
      </c>
      <c r="BP145" s="13">
        <v>306.22140208535097</v>
      </c>
      <c r="BQ145" s="13">
        <v>21.493893939534601</v>
      </c>
      <c r="BT145" s="298" t="str">
        <f>+VLOOKUP(G145,Liste!$A$7:$H$50,8,FALSE)</f>
        <v>Résineux</v>
      </c>
      <c r="BU145" s="298">
        <f t="shared" si="49"/>
        <v>0</v>
      </c>
      <c r="BV145" s="300">
        <f t="shared" si="50"/>
        <v>1</v>
      </c>
      <c r="BW145" s="321">
        <v>0</v>
      </c>
      <c r="BX145" s="298">
        <f t="shared" si="51"/>
        <v>0.43</v>
      </c>
      <c r="BY145">
        <f t="shared" si="52"/>
        <v>25.781148608489179</v>
      </c>
      <c r="BZ145" s="304">
        <f t="shared" si="53"/>
        <v>52.976372102620331</v>
      </c>
      <c r="CB145" s="299">
        <v>0.6</v>
      </c>
      <c r="CC145" s="299">
        <v>0.4</v>
      </c>
      <c r="CD145">
        <f t="shared" si="54"/>
        <v>0</v>
      </c>
      <c r="CE145">
        <f t="shared" si="55"/>
        <v>35.973695732775596</v>
      </c>
      <c r="CF145">
        <f t="shared" si="56"/>
        <v>23.982463821850402</v>
      </c>
      <c r="CG145">
        <f t="shared" si="57"/>
        <v>0</v>
      </c>
      <c r="CH145">
        <f t="shared" si="58"/>
        <v>26.941300295871191</v>
      </c>
      <c r="CI145">
        <f t="shared" si="59"/>
        <v>17.960866863914131</v>
      </c>
      <c r="CJ145">
        <f t="shared" si="60"/>
        <v>0</v>
      </c>
      <c r="CK145">
        <f t="shared" si="61"/>
        <v>27.262208404559139</v>
      </c>
      <c r="CL145">
        <f t="shared" si="62"/>
        <v>11.321827072535823</v>
      </c>
      <c r="CM145">
        <f t="shared" si="64"/>
        <v>38.584035477094965</v>
      </c>
      <c r="CN145">
        <f t="shared" si="63"/>
        <v>82.624170279824483</v>
      </c>
      <c r="CO145">
        <f t="shared" si="47"/>
        <v>0</v>
      </c>
    </row>
    <row r="146" spans="1:93" s="12" customFormat="1" ht="14.65" customHeight="1" x14ac:dyDescent="0.25">
      <c r="A146" s="4">
        <v>2021</v>
      </c>
      <c r="B146" s="4"/>
      <c r="C146" s="4" t="s">
        <v>68</v>
      </c>
      <c r="D146" s="4" t="s">
        <v>67</v>
      </c>
      <c r="E146" s="11" t="s">
        <v>88</v>
      </c>
      <c r="F146" s="4" t="s">
        <v>90</v>
      </c>
      <c r="G146" s="5" t="s">
        <v>8</v>
      </c>
      <c r="H146" s="5" t="s">
        <v>11</v>
      </c>
      <c r="I146" s="5" t="s">
        <v>12</v>
      </c>
      <c r="J146" s="5" t="s">
        <v>10</v>
      </c>
      <c r="K146" s="5">
        <v>33</v>
      </c>
      <c r="L146" s="5" t="s">
        <v>190</v>
      </c>
      <c r="M146" s="5">
        <v>1666</v>
      </c>
      <c r="N146" s="5" t="s">
        <v>171</v>
      </c>
      <c r="O146" s="6" t="s">
        <v>81</v>
      </c>
      <c r="P146" s="6" t="s">
        <v>83</v>
      </c>
      <c r="Q146" s="6"/>
      <c r="R146" s="6" t="s">
        <v>84</v>
      </c>
      <c r="S146" s="6">
        <v>19</v>
      </c>
      <c r="T146" s="6">
        <v>15.33</v>
      </c>
      <c r="U146" s="6">
        <v>1600</v>
      </c>
      <c r="V146" s="6">
        <v>14.8</v>
      </c>
      <c r="W146" s="6">
        <v>30</v>
      </c>
      <c r="X146" s="6">
        <v>428</v>
      </c>
      <c r="Y146" s="6">
        <v>890</v>
      </c>
      <c r="Z146" s="6">
        <v>240</v>
      </c>
      <c r="AA146" s="6">
        <v>12</v>
      </c>
      <c r="AB146" s="6">
        <v>0</v>
      </c>
      <c r="AC146" s="2">
        <v>30</v>
      </c>
      <c r="AD146" s="2" t="s">
        <v>52</v>
      </c>
      <c r="AE146" s="7"/>
      <c r="AF146" s="7"/>
      <c r="AG146" s="7"/>
      <c r="AH146" s="7"/>
      <c r="AI146" s="7"/>
      <c r="AJ146" s="9">
        <v>227.91175804716801</v>
      </c>
      <c r="AK146" s="9">
        <v>229.26538051316501</v>
      </c>
      <c r="AL146" s="9">
        <v>279.49154612667297</v>
      </c>
      <c r="AM146" s="7"/>
      <c r="AN146" s="7"/>
      <c r="AO146" s="7"/>
      <c r="AP146" s="7"/>
      <c r="AQ146" s="7"/>
      <c r="AR146" s="7"/>
      <c r="AS146" s="73" t="s">
        <v>169</v>
      </c>
      <c r="AT146" s="10" t="s">
        <v>169</v>
      </c>
      <c r="AU146" s="10" t="s">
        <v>169</v>
      </c>
      <c r="AV146" s="10">
        <v>0</v>
      </c>
      <c r="AW146" s="8"/>
      <c r="AX146" s="10" t="s">
        <v>169</v>
      </c>
      <c r="AY146" s="314" t="str">
        <f t="shared" si="65"/>
        <v/>
      </c>
      <c r="AZ146" s="314" t="str">
        <f t="shared" si="66"/>
        <v/>
      </c>
      <c r="BA146" s="315" t="str">
        <f t="shared" si="67"/>
        <v/>
      </c>
      <c r="BB146" s="10" t="str">
        <f t="shared" si="68"/>
        <v/>
      </c>
      <c r="BC146" s="10" t="str">
        <f t="shared" si="69"/>
        <v/>
      </c>
      <c r="BD146" s="10" t="str">
        <f t="shared" si="70"/>
        <v/>
      </c>
      <c r="BE146" s="10" t="str">
        <f t="shared" si="71"/>
        <v/>
      </c>
      <c r="BF146" s="12">
        <v>0.43</v>
      </c>
      <c r="BG146" s="75">
        <v>209.31587708670099</v>
      </c>
      <c r="BH146" s="96" t="str">
        <f>+VLOOKUP(G146,Liste!$A$7:$G$50,3,FALSE)</f>
        <v>Douglas</v>
      </c>
      <c r="BI146" s="96" t="str">
        <f>+VLOOKUP(H146,Liste!$B$7:$G$50,5,FALSE)</f>
        <v>National</v>
      </c>
      <c r="BJ146" s="135">
        <f t="shared" si="46"/>
        <v>30</v>
      </c>
      <c r="BK146" s="135" t="str">
        <f t="shared" si="48"/>
        <v>Douglas_F2_Entree 17-18m, densité haute_National_30_</v>
      </c>
      <c r="BL146" s="322"/>
      <c r="BM146" s="75">
        <v>55.240957103655703</v>
      </c>
      <c r="BN146" s="13">
        <v>264.55683419035699</v>
      </c>
      <c r="BO146" s="12" t="s">
        <v>169</v>
      </c>
      <c r="BP146" s="13">
        <v>306.22140208535097</v>
      </c>
      <c r="BT146" s="298" t="str">
        <f>+VLOOKUP(G146,Liste!$A$7:$H$50,8,FALSE)</f>
        <v>Résineux</v>
      </c>
      <c r="BU146" s="298">
        <f t="shared" si="49"/>
        <v>0</v>
      </c>
      <c r="BV146" s="300">
        <f t="shared" si="50"/>
        <v>1</v>
      </c>
      <c r="BW146" s="321">
        <v>0</v>
      </c>
      <c r="BX146" s="298">
        <f t="shared" si="51"/>
        <v>0.43</v>
      </c>
      <c r="BY146">
        <f t="shared" si="52"/>
        <v>0</v>
      </c>
      <c r="BZ146" s="304">
        <f t="shared" si="53"/>
        <v>52.976372102620331</v>
      </c>
      <c r="CB146" s="299">
        <v>0.6</v>
      </c>
      <c r="CC146" s="299">
        <v>0.4</v>
      </c>
      <c r="CD146">
        <f t="shared" si="54"/>
        <v>0</v>
      </c>
      <c r="CE146">
        <f t="shared" si="55"/>
        <v>0</v>
      </c>
      <c r="CF146">
        <f t="shared" si="56"/>
        <v>0</v>
      </c>
      <c r="CG146">
        <f t="shared" si="57"/>
        <v>0</v>
      </c>
      <c r="CH146">
        <f t="shared" si="58"/>
        <v>0</v>
      </c>
      <c r="CI146">
        <f t="shared" si="59"/>
        <v>0</v>
      </c>
      <c r="CJ146">
        <f t="shared" si="60"/>
        <v>0</v>
      </c>
      <c r="CK146">
        <f t="shared" si="61"/>
        <v>53.087964398598871</v>
      </c>
      <c r="CL146">
        <f t="shared" si="62"/>
        <v>23.184670241779216</v>
      </c>
      <c r="CM146">
        <f t="shared" si="64"/>
        <v>76.272634640378087</v>
      </c>
      <c r="CN146">
        <f t="shared" si="63"/>
        <v>158.89680492020256</v>
      </c>
      <c r="CO146">
        <f t="shared" si="47"/>
        <v>5.2965601640067517</v>
      </c>
    </row>
    <row r="147" spans="1:93" s="12" customFormat="1" ht="14.65" customHeight="1" x14ac:dyDescent="0.25">
      <c r="A147" s="4">
        <v>2021</v>
      </c>
      <c r="B147" s="4"/>
      <c r="C147" s="4" t="s">
        <v>68</v>
      </c>
      <c r="D147" s="4" t="s">
        <v>67</v>
      </c>
      <c r="E147" s="11" t="s">
        <v>88</v>
      </c>
      <c r="F147" s="4" t="s">
        <v>90</v>
      </c>
      <c r="G147" s="5" t="s">
        <v>8</v>
      </c>
      <c r="H147" s="5" t="s">
        <v>11</v>
      </c>
      <c r="I147" s="5" t="s">
        <v>12</v>
      </c>
      <c r="J147" s="5" t="s">
        <v>10</v>
      </c>
      <c r="K147" s="5">
        <v>33</v>
      </c>
      <c r="L147" s="5" t="s">
        <v>190</v>
      </c>
      <c r="M147" s="5">
        <v>1666</v>
      </c>
      <c r="N147" s="5" t="s">
        <v>171</v>
      </c>
      <c r="O147" s="6" t="s">
        <v>81</v>
      </c>
      <c r="P147" s="6" t="s">
        <v>83</v>
      </c>
      <c r="Q147" s="6"/>
      <c r="R147" s="6" t="s">
        <v>84</v>
      </c>
      <c r="S147" s="6">
        <v>19</v>
      </c>
      <c r="T147" s="6">
        <v>15.33</v>
      </c>
      <c r="U147" s="6">
        <v>1600</v>
      </c>
      <c r="V147" s="6">
        <v>14.8</v>
      </c>
      <c r="W147" s="6">
        <v>30</v>
      </c>
      <c r="X147" s="6">
        <v>428</v>
      </c>
      <c r="Y147" s="6">
        <v>890</v>
      </c>
      <c r="Z147" s="6">
        <v>240</v>
      </c>
      <c r="AA147" s="6">
        <v>12</v>
      </c>
      <c r="AB147" s="6">
        <v>0</v>
      </c>
      <c r="AC147" s="2">
        <v>35</v>
      </c>
      <c r="AD147" s="2" t="s">
        <v>52</v>
      </c>
      <c r="AE147" s="3">
        <v>26.005653593717899</v>
      </c>
      <c r="AF147" s="2">
        <v>600</v>
      </c>
      <c r="AG147" s="3">
        <v>36.863685992394998</v>
      </c>
      <c r="AH147" s="3">
        <v>27.969120701891001</v>
      </c>
      <c r="AI147" s="9">
        <v>36.918446360528897</v>
      </c>
      <c r="AJ147" s="9">
        <v>313.28354995383899</v>
      </c>
      <c r="AK147" s="9">
        <v>316.22525874882501</v>
      </c>
      <c r="AL147" s="9">
        <v>397.13902060256203</v>
      </c>
      <c r="AM147" s="9">
        <v>55.742357346812597</v>
      </c>
      <c r="AN147" s="9">
        <v>1.5926387813375</v>
      </c>
      <c r="AO147" s="9">
        <v>1.5131621704382501</v>
      </c>
      <c r="AP147" s="9">
        <v>550.63562208621795</v>
      </c>
      <c r="AQ147" s="9">
        <v>15.732446345320501</v>
      </c>
      <c r="AR147" s="9">
        <v>23.698884562096701</v>
      </c>
      <c r="AS147" s="73" t="s">
        <v>169</v>
      </c>
      <c r="AT147" s="10" t="s">
        <v>169</v>
      </c>
      <c r="AU147" s="10" t="s">
        <v>169</v>
      </c>
      <c r="AV147" s="10">
        <v>0</v>
      </c>
      <c r="AW147" s="8"/>
      <c r="AX147" s="10" t="s">
        <v>169</v>
      </c>
      <c r="AY147" s="314" t="str">
        <f t="shared" si="65"/>
        <v/>
      </c>
      <c r="AZ147" s="314" t="str">
        <f t="shared" si="66"/>
        <v/>
      </c>
      <c r="BA147" s="315" t="str">
        <f t="shared" si="67"/>
        <v/>
      </c>
      <c r="BB147" s="10" t="str">
        <f t="shared" si="68"/>
        <v/>
      </c>
      <c r="BC147" s="10" t="str">
        <f t="shared" si="69"/>
        <v/>
      </c>
      <c r="BD147" s="10" t="str">
        <f t="shared" si="70"/>
        <v/>
      </c>
      <c r="BE147" s="10" t="str">
        <f t="shared" si="71"/>
        <v/>
      </c>
      <c r="BF147" s="12">
        <v>0.43</v>
      </c>
      <c r="BG147" s="75">
        <v>297.42403151293598</v>
      </c>
      <c r="BH147" s="96" t="str">
        <f>+VLOOKUP(G147,Liste!$A$7:$G$50,3,FALSE)</f>
        <v>Douglas</v>
      </c>
      <c r="BI147" s="96" t="str">
        <f>+VLOOKUP(H147,Liste!$B$7:$G$50,5,FALSE)</f>
        <v>National</v>
      </c>
      <c r="BJ147" s="135">
        <f t="shared" si="46"/>
        <v>35</v>
      </c>
      <c r="BK147" s="135" t="str">
        <f t="shared" si="48"/>
        <v>Douglas_F2_Entree 17-18m, densité haute_National_35_</v>
      </c>
      <c r="BL147" s="322"/>
      <c r="BM147" s="75">
        <v>75.348650538037205</v>
      </c>
      <c r="BN147" s="13">
        <v>372.772682050973</v>
      </c>
      <c r="BO147" s="12" t="s">
        <v>169</v>
      </c>
      <c r="BP147" s="13">
        <v>306.22140208535097</v>
      </c>
      <c r="BQ147" s="13">
        <v>21.512629189900199</v>
      </c>
      <c r="BT147" s="298" t="str">
        <f>+VLOOKUP(G147,Liste!$A$7:$H$50,8,FALSE)</f>
        <v>Résineux</v>
      </c>
      <c r="BU147" s="298">
        <f t="shared" si="49"/>
        <v>0</v>
      </c>
      <c r="BV147" s="300">
        <f t="shared" si="50"/>
        <v>1</v>
      </c>
      <c r="BW147" s="321">
        <v>0</v>
      </c>
      <c r="BX147" s="298">
        <f t="shared" si="51"/>
        <v>0.43</v>
      </c>
      <c r="BY147">
        <f t="shared" si="52"/>
        <v>0</v>
      </c>
      <c r="BZ147" s="304">
        <f t="shared" si="53"/>
        <v>0</v>
      </c>
      <c r="CB147" s="299">
        <v>0.6</v>
      </c>
      <c r="CC147" s="299">
        <v>0.4</v>
      </c>
      <c r="CD147">
        <f t="shared" si="54"/>
        <v>0</v>
      </c>
      <c r="CE147">
        <f t="shared" si="55"/>
        <v>0</v>
      </c>
      <c r="CF147">
        <f t="shared" si="56"/>
        <v>0</v>
      </c>
      <c r="CG147">
        <f t="shared" si="57"/>
        <v>0</v>
      </c>
      <c r="CH147">
        <f t="shared" si="58"/>
        <v>0</v>
      </c>
      <c r="CI147">
        <f t="shared" si="59"/>
        <v>0</v>
      </c>
      <c r="CJ147">
        <f t="shared" si="60"/>
        <v>0</v>
      </c>
      <c r="CK147">
        <f t="shared" si="61"/>
        <v>0</v>
      </c>
      <c r="CL147">
        <f t="shared" si="62"/>
        <v>0</v>
      </c>
      <c r="CM147">
        <f t="shared" si="64"/>
        <v>0</v>
      </c>
      <c r="CN147">
        <f t="shared" si="63"/>
        <v>0</v>
      </c>
      <c r="CO147">
        <f t="shared" si="47"/>
        <v>0</v>
      </c>
    </row>
    <row r="148" spans="1:93" s="12" customFormat="1" ht="14.65" customHeight="1" x14ac:dyDescent="0.25">
      <c r="A148" s="4">
        <v>2021</v>
      </c>
      <c r="B148" s="4"/>
      <c r="C148" s="4" t="s">
        <v>68</v>
      </c>
      <c r="D148" s="4" t="s">
        <v>67</v>
      </c>
      <c r="E148" s="11" t="s">
        <v>88</v>
      </c>
      <c r="F148" s="4" t="s">
        <v>90</v>
      </c>
      <c r="G148" s="5" t="s">
        <v>8</v>
      </c>
      <c r="H148" s="5" t="s">
        <v>11</v>
      </c>
      <c r="I148" s="5" t="s">
        <v>12</v>
      </c>
      <c r="J148" s="5" t="s">
        <v>10</v>
      </c>
      <c r="K148" s="5">
        <v>33</v>
      </c>
      <c r="L148" s="5" t="s">
        <v>190</v>
      </c>
      <c r="M148" s="5">
        <v>1666</v>
      </c>
      <c r="N148" s="5" t="s">
        <v>171</v>
      </c>
      <c r="O148" s="6" t="s">
        <v>81</v>
      </c>
      <c r="P148" s="6" t="s">
        <v>83</v>
      </c>
      <c r="Q148" s="6"/>
      <c r="R148" s="6" t="s">
        <v>84</v>
      </c>
      <c r="S148" s="6">
        <v>19</v>
      </c>
      <c r="T148" s="6">
        <v>15.33</v>
      </c>
      <c r="U148" s="6">
        <v>1600</v>
      </c>
      <c r="V148" s="6">
        <v>14.8</v>
      </c>
      <c r="W148" s="6">
        <v>30</v>
      </c>
      <c r="X148" s="6">
        <v>428</v>
      </c>
      <c r="Y148" s="6">
        <v>890</v>
      </c>
      <c r="Z148" s="6">
        <v>240</v>
      </c>
      <c r="AA148" s="6">
        <v>12</v>
      </c>
      <c r="AB148" s="6">
        <v>0</v>
      </c>
      <c r="AC148" s="2">
        <v>35</v>
      </c>
      <c r="AD148" s="2" t="s">
        <v>53</v>
      </c>
      <c r="AE148" s="3">
        <v>26.005653593717899</v>
      </c>
      <c r="AF148" s="2">
        <v>440</v>
      </c>
      <c r="AG148" s="3">
        <v>28.367186553908098</v>
      </c>
      <c r="AH148" s="3">
        <v>28.650806625688901</v>
      </c>
      <c r="AI148" s="9">
        <v>35.488115337851497</v>
      </c>
      <c r="AJ148" s="9">
        <v>241.28330494320701</v>
      </c>
      <c r="AK148" s="9">
        <v>243.567758616086</v>
      </c>
      <c r="AL148" s="9">
        <v>305.48533770269302</v>
      </c>
      <c r="AM148" s="9">
        <v>55.742357346812597</v>
      </c>
      <c r="AN148" s="9">
        <v>1.5926387813375</v>
      </c>
      <c r="AO148" s="9">
        <v>1.5131621704382501</v>
      </c>
      <c r="AP148" s="9">
        <v>550.63562208621795</v>
      </c>
      <c r="AQ148" s="9">
        <v>15.732446345320501</v>
      </c>
      <c r="AR148" s="9">
        <v>23.698884562096701</v>
      </c>
      <c r="AS148" s="73">
        <v>160</v>
      </c>
      <c r="AT148" s="10">
        <v>8.4964994384869001</v>
      </c>
      <c r="AU148" s="10">
        <v>26.002498770432652</v>
      </c>
      <c r="AV148" s="10">
        <v>72.000245010631971</v>
      </c>
      <c r="AW148" s="10">
        <v>0.86431598025489687</v>
      </c>
      <c r="AX148" s="10">
        <v>0.45000153131644982</v>
      </c>
      <c r="AY148" s="314">
        <f t="shared" si="65"/>
        <v>0</v>
      </c>
      <c r="AZ148" s="314">
        <f t="shared" si="66"/>
        <v>0.60140767453434085</v>
      </c>
      <c r="BA148" s="315">
        <f t="shared" si="67"/>
        <v>0.38326853191866095</v>
      </c>
      <c r="BB148" s="10">
        <f t="shared" si="68"/>
        <v>20.35603511133284</v>
      </c>
      <c r="BC148" s="10">
        <f t="shared" si="69"/>
        <v>19.404123878025146</v>
      </c>
      <c r="BD148" s="10">
        <f t="shared" si="70"/>
        <v>10.913710290788643</v>
      </c>
      <c r="BE148" s="10">
        <f t="shared" si="71"/>
        <v>16.517813715276564</v>
      </c>
      <c r="BF148" s="12">
        <v>0.43</v>
      </c>
      <c r="BG148" s="75">
        <v>228.78306082784101</v>
      </c>
      <c r="BH148" s="96" t="str">
        <f>+VLOOKUP(G148,Liste!$A$7:$G$50,3,FALSE)</f>
        <v>Douglas</v>
      </c>
      <c r="BI148" s="96" t="str">
        <f>+VLOOKUP(H148,Liste!$B$7:$G$50,5,FALSE)</f>
        <v>National</v>
      </c>
      <c r="BJ148" s="135">
        <f t="shared" si="46"/>
        <v>35</v>
      </c>
      <c r="BK148" s="135" t="str">
        <f t="shared" si="48"/>
        <v>Douglas_F2_Entree 17-18m, densité haute_National_35_</v>
      </c>
      <c r="BL148" s="322"/>
      <c r="BM148" s="75">
        <v>59.756798726664201</v>
      </c>
      <c r="BN148" s="13">
        <v>288.53985955450599</v>
      </c>
      <c r="BO148" s="13">
        <v>84.232822496467008</v>
      </c>
      <c r="BP148" s="13">
        <v>306.22140208535097</v>
      </c>
      <c r="BQ148" s="13">
        <v>21.512629189900199</v>
      </c>
      <c r="BT148" s="298" t="str">
        <f>+VLOOKUP(G148,Liste!$A$7:$H$50,8,FALSE)</f>
        <v>Résineux</v>
      </c>
      <c r="BU148" s="298">
        <f t="shared" si="49"/>
        <v>0</v>
      </c>
      <c r="BV148" s="300">
        <f t="shared" si="50"/>
        <v>1</v>
      </c>
      <c r="BW148" s="321">
        <v>0</v>
      </c>
      <c r="BX148" s="298">
        <f t="shared" si="51"/>
        <v>0.43</v>
      </c>
      <c r="BY148">
        <f t="shared" si="52"/>
        <v>0</v>
      </c>
      <c r="BZ148" s="304">
        <f t="shared" si="53"/>
        <v>0</v>
      </c>
      <c r="CB148" s="299">
        <v>0.6</v>
      </c>
      <c r="CC148" s="299">
        <v>0.4</v>
      </c>
      <c r="CD148">
        <f t="shared" si="54"/>
        <v>0</v>
      </c>
      <c r="CE148">
        <f t="shared" si="55"/>
        <v>0</v>
      </c>
      <c r="CF148">
        <f t="shared" si="56"/>
        <v>0</v>
      </c>
      <c r="CG148">
        <f t="shared" si="57"/>
        <v>0</v>
      </c>
      <c r="CH148">
        <f t="shared" si="58"/>
        <v>0</v>
      </c>
      <c r="CI148">
        <f t="shared" si="59"/>
        <v>0</v>
      </c>
      <c r="CJ148">
        <f t="shared" si="60"/>
        <v>0</v>
      </c>
      <c r="CK148">
        <f t="shared" si="61"/>
        <v>0</v>
      </c>
      <c r="CL148">
        <f t="shared" si="62"/>
        <v>0</v>
      </c>
      <c r="CM148">
        <f t="shared" si="64"/>
        <v>0</v>
      </c>
      <c r="CN148">
        <f t="shared" si="63"/>
        <v>0</v>
      </c>
      <c r="CO148">
        <f t="shared" si="47"/>
        <v>0</v>
      </c>
    </row>
    <row r="149" spans="1:93" s="12" customFormat="1" ht="14.65" customHeight="1" x14ac:dyDescent="0.25">
      <c r="A149" s="4">
        <v>2021</v>
      </c>
      <c r="B149" s="4"/>
      <c r="C149" s="4" t="s">
        <v>68</v>
      </c>
      <c r="D149" s="4" t="s">
        <v>67</v>
      </c>
      <c r="E149" s="11" t="s">
        <v>88</v>
      </c>
      <c r="F149" s="4" t="s">
        <v>90</v>
      </c>
      <c r="G149" s="5" t="s">
        <v>8</v>
      </c>
      <c r="H149" s="5" t="s">
        <v>11</v>
      </c>
      <c r="I149" s="5" t="s">
        <v>12</v>
      </c>
      <c r="J149" s="5" t="s">
        <v>10</v>
      </c>
      <c r="K149" s="5">
        <v>33</v>
      </c>
      <c r="L149" s="5" t="s">
        <v>190</v>
      </c>
      <c r="M149" s="5">
        <v>1666</v>
      </c>
      <c r="N149" s="5" t="s">
        <v>171</v>
      </c>
      <c r="O149" s="6" t="s">
        <v>81</v>
      </c>
      <c r="P149" s="6" t="s">
        <v>83</v>
      </c>
      <c r="Q149" s="6"/>
      <c r="R149" s="6" t="s">
        <v>84</v>
      </c>
      <c r="S149" s="6">
        <v>19</v>
      </c>
      <c r="T149" s="6">
        <v>15.33</v>
      </c>
      <c r="U149" s="6">
        <v>1600</v>
      </c>
      <c r="V149" s="6">
        <v>14.8</v>
      </c>
      <c r="W149" s="6">
        <v>30</v>
      </c>
      <c r="X149" s="6">
        <v>428</v>
      </c>
      <c r="Y149" s="6">
        <v>890</v>
      </c>
      <c r="Z149" s="6">
        <v>240</v>
      </c>
      <c r="AA149" s="6">
        <v>12</v>
      </c>
      <c r="AB149" s="6">
        <v>0</v>
      </c>
      <c r="AC149" s="2">
        <v>42</v>
      </c>
      <c r="AD149" s="2" t="s">
        <v>52</v>
      </c>
      <c r="AE149" s="3">
        <v>29.9978097043183</v>
      </c>
      <c r="AF149" s="2">
        <v>440</v>
      </c>
      <c r="AG149" s="3">
        <v>38.959321746034497</v>
      </c>
      <c r="AH149" s="3">
        <v>33.576422017916997</v>
      </c>
      <c r="AI149" s="9">
        <v>42.102975708341603</v>
      </c>
      <c r="AJ149" s="9">
        <v>374.025548962762</v>
      </c>
      <c r="AK149" s="9">
        <v>378.265131297067</v>
      </c>
      <c r="AL149" s="9">
        <v>471.37752963736898</v>
      </c>
      <c r="AM149" s="9">
        <v>66.334492539880401</v>
      </c>
      <c r="AN149" s="9">
        <v>1.5793926795209601</v>
      </c>
      <c r="AO149" s="9">
        <v>1.32972767510305</v>
      </c>
      <c r="AP149" s="9">
        <v>716.52781402089397</v>
      </c>
      <c r="AQ149" s="9">
        <v>17.060186048116499</v>
      </c>
      <c r="AR149" s="9">
        <v>22.7761222801945</v>
      </c>
      <c r="AS149" s="73" t="s">
        <v>169</v>
      </c>
      <c r="AT149" s="10" t="s">
        <v>169</v>
      </c>
      <c r="AU149" s="10" t="s">
        <v>169</v>
      </c>
      <c r="AV149" s="10">
        <v>0</v>
      </c>
      <c r="AW149" s="8"/>
      <c r="AX149" s="10" t="s">
        <v>169</v>
      </c>
      <c r="AY149" s="314" t="str">
        <f t="shared" si="65"/>
        <v/>
      </c>
      <c r="AZ149" s="314" t="str">
        <f t="shared" si="66"/>
        <v/>
      </c>
      <c r="BA149" s="315" t="str">
        <f t="shared" si="67"/>
        <v/>
      </c>
      <c r="BB149" s="10" t="str">
        <f t="shared" si="68"/>
        <v/>
      </c>
      <c r="BC149" s="10" t="str">
        <f t="shared" si="69"/>
        <v/>
      </c>
      <c r="BD149" s="10" t="str">
        <f t="shared" si="70"/>
        <v/>
      </c>
      <c r="BE149" s="10" t="str">
        <f t="shared" si="71"/>
        <v/>
      </c>
      <c r="BF149" s="12">
        <v>0.43</v>
      </c>
      <c r="BG149" s="75">
        <v>353.022488237586</v>
      </c>
      <c r="BH149" s="96" t="str">
        <f>+VLOOKUP(G149,Liste!$A$7:$G$50,3,FALSE)</f>
        <v>Douglas</v>
      </c>
      <c r="BI149" s="96" t="str">
        <f>+VLOOKUP(H149,Liste!$B$7:$G$50,5,FALSE)</f>
        <v>National</v>
      </c>
      <c r="BJ149" s="135">
        <f t="shared" si="46"/>
        <v>42</v>
      </c>
      <c r="BK149" s="135" t="str">
        <f t="shared" si="48"/>
        <v>Douglas_F2_Entree 17-18m, densité haute_National_42_</v>
      </c>
      <c r="BL149" s="322"/>
      <c r="BM149" s="75">
        <v>87.667489732813706</v>
      </c>
      <c r="BN149" s="13">
        <v>440.68997797039998</v>
      </c>
      <c r="BO149" s="12" t="s">
        <v>169</v>
      </c>
      <c r="BP149" s="13">
        <v>306.22140208535097</v>
      </c>
      <c r="BQ149" s="13">
        <v>20.579488654639501</v>
      </c>
      <c r="BT149" s="298" t="str">
        <f>+VLOOKUP(G149,Liste!$A$7:$H$50,8,FALSE)</f>
        <v>Résineux</v>
      </c>
      <c r="BU149" s="298">
        <f t="shared" si="49"/>
        <v>0</v>
      </c>
      <c r="BV149" s="300">
        <f t="shared" si="50"/>
        <v>1</v>
      </c>
      <c r="BW149" s="321">
        <v>0</v>
      </c>
      <c r="BX149" s="298">
        <f t="shared" si="51"/>
        <v>0.43</v>
      </c>
      <c r="BY149">
        <f t="shared" si="52"/>
        <v>0</v>
      </c>
      <c r="BZ149" s="304">
        <f t="shared" si="53"/>
        <v>0</v>
      </c>
      <c r="CB149" s="299">
        <v>0.6</v>
      </c>
      <c r="CC149" s="299">
        <v>0.4</v>
      </c>
      <c r="CD149">
        <f t="shared" si="54"/>
        <v>0</v>
      </c>
      <c r="CE149">
        <f t="shared" si="55"/>
        <v>0</v>
      </c>
      <c r="CF149">
        <f t="shared" si="56"/>
        <v>0</v>
      </c>
      <c r="CG149">
        <f t="shared" si="57"/>
        <v>0</v>
      </c>
      <c r="CH149">
        <f t="shared" si="58"/>
        <v>0</v>
      </c>
      <c r="CI149">
        <f t="shared" si="59"/>
        <v>0</v>
      </c>
      <c r="CJ149">
        <f t="shared" si="60"/>
        <v>0</v>
      </c>
      <c r="CK149">
        <f t="shared" si="61"/>
        <v>0</v>
      </c>
      <c r="CL149">
        <f t="shared" si="62"/>
        <v>0</v>
      </c>
      <c r="CM149">
        <f t="shared" si="64"/>
        <v>0</v>
      </c>
      <c r="CN149">
        <f t="shared" si="63"/>
        <v>0</v>
      </c>
      <c r="CO149">
        <f t="shared" si="47"/>
        <v>0</v>
      </c>
    </row>
    <row r="150" spans="1:93" s="12" customFormat="1" ht="14.65" customHeight="1" x14ac:dyDescent="0.25">
      <c r="A150" s="4">
        <v>2021</v>
      </c>
      <c r="B150" s="4"/>
      <c r="C150" s="4" t="s">
        <v>68</v>
      </c>
      <c r="D150" s="4" t="s">
        <v>67</v>
      </c>
      <c r="E150" s="11" t="s">
        <v>88</v>
      </c>
      <c r="F150" s="4" t="s">
        <v>90</v>
      </c>
      <c r="G150" s="5" t="s">
        <v>8</v>
      </c>
      <c r="H150" s="5" t="s">
        <v>11</v>
      </c>
      <c r="I150" s="5" t="s">
        <v>12</v>
      </c>
      <c r="J150" s="5" t="s">
        <v>10</v>
      </c>
      <c r="K150" s="5">
        <v>33</v>
      </c>
      <c r="L150" s="5" t="s">
        <v>190</v>
      </c>
      <c r="M150" s="5">
        <v>1666</v>
      </c>
      <c r="N150" s="5" t="s">
        <v>171</v>
      </c>
      <c r="O150" s="6" t="s">
        <v>81</v>
      </c>
      <c r="P150" s="6" t="s">
        <v>83</v>
      </c>
      <c r="Q150" s="6"/>
      <c r="R150" s="6" t="s">
        <v>84</v>
      </c>
      <c r="S150" s="6">
        <v>19</v>
      </c>
      <c r="T150" s="6">
        <v>15.33</v>
      </c>
      <c r="U150" s="6">
        <v>1600</v>
      </c>
      <c r="V150" s="6">
        <v>14.8</v>
      </c>
      <c r="W150" s="6">
        <v>30</v>
      </c>
      <c r="X150" s="6">
        <v>428</v>
      </c>
      <c r="Y150" s="6">
        <v>890</v>
      </c>
      <c r="Z150" s="6">
        <v>240</v>
      </c>
      <c r="AA150" s="6">
        <v>12</v>
      </c>
      <c r="AB150" s="6">
        <v>0</v>
      </c>
      <c r="AC150" s="2">
        <v>42</v>
      </c>
      <c r="AD150" s="2" t="s">
        <v>53</v>
      </c>
      <c r="AE150" s="3">
        <v>29.9978097043183</v>
      </c>
      <c r="AF150" s="2">
        <v>330</v>
      </c>
      <c r="AG150" s="3">
        <v>30.286505460166701</v>
      </c>
      <c r="AH150" s="3">
        <v>34.183983678219498</v>
      </c>
      <c r="AI150" s="9">
        <v>40.591795481160403</v>
      </c>
      <c r="AJ150" s="9">
        <v>290.96441349557699</v>
      </c>
      <c r="AK150" s="9">
        <v>294.29181069103498</v>
      </c>
      <c r="AL150" s="9">
        <v>366.50811417744302</v>
      </c>
      <c r="AM150" s="9">
        <v>66.334492539880401</v>
      </c>
      <c r="AN150" s="9">
        <v>1.5793926795209601</v>
      </c>
      <c r="AO150" s="9">
        <v>1.32972767510305</v>
      </c>
      <c r="AP150" s="9">
        <v>716.52781402089397</v>
      </c>
      <c r="AQ150" s="9">
        <v>17.060186048116499</v>
      </c>
      <c r="AR150" s="9">
        <v>22.7761222801945</v>
      </c>
      <c r="AS150" s="73">
        <v>110</v>
      </c>
      <c r="AT150" s="10">
        <v>8.6728162858677962</v>
      </c>
      <c r="AU150" s="10">
        <v>31.683911402519872</v>
      </c>
      <c r="AV150" s="10">
        <v>83.061135467185011</v>
      </c>
      <c r="AW150" s="10">
        <v>0.89044838535984061</v>
      </c>
      <c r="AX150" s="10">
        <v>0.75510123151986375</v>
      </c>
      <c r="AY150" s="314">
        <f t="shared" si="65"/>
        <v>0</v>
      </c>
      <c r="AZ150" s="314">
        <f t="shared" si="66"/>
        <v>0.79636092585811713</v>
      </c>
      <c r="BA150" s="315">
        <f t="shared" si="67"/>
        <v>0.19408801563135181</v>
      </c>
      <c r="BB150" s="10">
        <f t="shared" si="68"/>
        <v>31.095536753707101</v>
      </c>
      <c r="BC150" s="10">
        <f t="shared" si="69"/>
        <v>15.567897208612179</v>
      </c>
      <c r="BD150" s="10">
        <f t="shared" si="70"/>
        <v>9.3823207744152768</v>
      </c>
      <c r="BE150" s="10">
        <f t="shared" si="71"/>
        <v>23.779685064474975</v>
      </c>
      <c r="BF150" s="12">
        <v>0.43</v>
      </c>
      <c r="BG150" s="75">
        <v>274.48403517605601</v>
      </c>
      <c r="BH150" s="96" t="str">
        <f>+VLOOKUP(G150,Liste!$A$7:$G$50,3,FALSE)</f>
        <v>Douglas</v>
      </c>
      <c r="BI150" s="96" t="str">
        <f>+VLOOKUP(H150,Liste!$B$7:$G$50,5,FALSE)</f>
        <v>National</v>
      </c>
      <c r="BJ150" s="135">
        <f t="shared" si="46"/>
        <v>42</v>
      </c>
      <c r="BK150" s="135" t="str">
        <f t="shared" si="48"/>
        <v>Douglas_F2_Entree 17-18m, densité haute_National_42_</v>
      </c>
      <c r="BL150" s="322"/>
      <c r="BM150" s="75">
        <v>70.189814708494495</v>
      </c>
      <c r="BN150" s="13">
        <v>344.67384988455098</v>
      </c>
      <c r="BO150" s="13">
        <v>96.016128085849004</v>
      </c>
      <c r="BP150" s="13">
        <v>306.22140208535097</v>
      </c>
      <c r="BQ150" s="13">
        <v>20.579488654639501</v>
      </c>
      <c r="BT150" s="298" t="str">
        <f>+VLOOKUP(G150,Liste!$A$7:$H$50,8,FALSE)</f>
        <v>Résineux</v>
      </c>
      <c r="BU150" s="298">
        <f t="shared" si="49"/>
        <v>0</v>
      </c>
      <c r="BV150" s="300">
        <f t="shared" si="50"/>
        <v>1</v>
      </c>
      <c r="BW150" s="321">
        <v>0</v>
      </c>
      <c r="BX150" s="298">
        <f t="shared" si="51"/>
        <v>0.43</v>
      </c>
      <c r="BY150">
        <f t="shared" si="52"/>
        <v>0</v>
      </c>
      <c r="BZ150" s="304">
        <f t="shared" si="53"/>
        <v>0</v>
      </c>
      <c r="CB150" s="299">
        <v>0.6</v>
      </c>
      <c r="CC150" s="299">
        <v>0.4</v>
      </c>
      <c r="CD150">
        <f t="shared" si="54"/>
        <v>0</v>
      </c>
      <c r="CE150">
        <f t="shared" si="55"/>
        <v>0</v>
      </c>
      <c r="CF150">
        <f t="shared" si="56"/>
        <v>0</v>
      </c>
      <c r="CG150">
        <f t="shared" si="57"/>
        <v>0</v>
      </c>
      <c r="CH150">
        <f t="shared" si="58"/>
        <v>0</v>
      </c>
      <c r="CI150">
        <f t="shared" si="59"/>
        <v>0</v>
      </c>
      <c r="CJ150">
        <f t="shared" si="60"/>
        <v>0</v>
      </c>
      <c r="CK150">
        <f t="shared" si="61"/>
        <v>0</v>
      </c>
      <c r="CL150">
        <f t="shared" si="62"/>
        <v>0</v>
      </c>
      <c r="CM150">
        <f t="shared" si="64"/>
        <v>0</v>
      </c>
      <c r="CN150">
        <f t="shared" si="63"/>
        <v>0</v>
      </c>
      <c r="CO150">
        <f t="shared" si="47"/>
        <v>0</v>
      </c>
    </row>
    <row r="151" spans="1:93" s="12" customFormat="1" ht="14.65" customHeight="1" x14ac:dyDescent="0.25">
      <c r="A151" s="4">
        <v>2021</v>
      </c>
      <c r="B151" s="4"/>
      <c r="C151" s="4" t="s">
        <v>68</v>
      </c>
      <c r="D151" s="4" t="s">
        <v>67</v>
      </c>
      <c r="E151" s="11" t="s">
        <v>88</v>
      </c>
      <c r="F151" s="4" t="s">
        <v>90</v>
      </c>
      <c r="G151" s="5" t="s">
        <v>8</v>
      </c>
      <c r="H151" s="5" t="s">
        <v>11</v>
      </c>
      <c r="I151" s="5" t="s">
        <v>12</v>
      </c>
      <c r="J151" s="5" t="s">
        <v>10</v>
      </c>
      <c r="K151" s="5">
        <v>33</v>
      </c>
      <c r="L151" s="5" t="s">
        <v>190</v>
      </c>
      <c r="M151" s="5">
        <v>1666</v>
      </c>
      <c r="N151" s="5" t="s">
        <v>171</v>
      </c>
      <c r="O151" s="6" t="s">
        <v>81</v>
      </c>
      <c r="P151" s="6" t="s">
        <v>83</v>
      </c>
      <c r="Q151" s="6"/>
      <c r="R151" s="6" t="s">
        <v>84</v>
      </c>
      <c r="S151" s="6">
        <v>19</v>
      </c>
      <c r="T151" s="6">
        <v>15.33</v>
      </c>
      <c r="U151" s="6">
        <v>1600</v>
      </c>
      <c r="V151" s="6">
        <v>14.8</v>
      </c>
      <c r="W151" s="6">
        <v>30</v>
      </c>
      <c r="X151" s="6">
        <v>428</v>
      </c>
      <c r="Y151" s="6">
        <v>890</v>
      </c>
      <c r="Z151" s="6">
        <v>240</v>
      </c>
      <c r="AA151" s="6">
        <v>12</v>
      </c>
      <c r="AB151" s="6">
        <v>0</v>
      </c>
      <c r="AC151" s="2">
        <v>49</v>
      </c>
      <c r="AD151" s="2" t="s">
        <v>52</v>
      </c>
      <c r="AE151" s="3">
        <v>33.616595139505201</v>
      </c>
      <c r="AF151" s="2">
        <v>330</v>
      </c>
      <c r="AG151" s="3">
        <v>39.594599186210999</v>
      </c>
      <c r="AH151" s="3">
        <v>39.085535355098102</v>
      </c>
      <c r="AI151" s="9">
        <v>46.777982153621501</v>
      </c>
      <c r="AJ151" s="9">
        <v>418.55162144258497</v>
      </c>
      <c r="AK151" s="9">
        <v>423.99672080423397</v>
      </c>
      <c r="AL151" s="9">
        <v>525.940970138804</v>
      </c>
      <c r="AM151" s="9">
        <v>75.642586265601807</v>
      </c>
      <c r="AN151" s="9">
        <v>1.5437262503183999</v>
      </c>
      <c r="AO151" s="9">
        <v>1.15130363973927</v>
      </c>
      <c r="AP151" s="9">
        <v>875.96066998225604</v>
      </c>
      <c r="AQ151" s="9">
        <v>17.876748366984799</v>
      </c>
      <c r="AR151" s="9">
        <v>21.096548894577602</v>
      </c>
      <c r="AS151" s="73" t="s">
        <v>169</v>
      </c>
      <c r="AT151" s="10" t="s">
        <v>169</v>
      </c>
      <c r="AU151" s="10" t="s">
        <v>169</v>
      </c>
      <c r="AV151" s="10">
        <v>0</v>
      </c>
      <c r="AW151" s="8"/>
      <c r="AX151" s="10" t="s">
        <v>169</v>
      </c>
      <c r="AY151" s="314" t="str">
        <f t="shared" si="65"/>
        <v/>
      </c>
      <c r="AZ151" s="314" t="str">
        <f t="shared" si="66"/>
        <v/>
      </c>
      <c r="BA151" s="315" t="str">
        <f t="shared" si="67"/>
        <v/>
      </c>
      <c r="BB151" s="10" t="str">
        <f t="shared" si="68"/>
        <v/>
      </c>
      <c r="BC151" s="10" t="str">
        <f t="shared" si="69"/>
        <v/>
      </c>
      <c r="BD151" s="10" t="str">
        <f t="shared" si="70"/>
        <v/>
      </c>
      <c r="BE151" s="10" t="str">
        <f t="shared" si="71"/>
        <v/>
      </c>
      <c r="BF151" s="12">
        <v>0.43</v>
      </c>
      <c r="BG151" s="75">
        <v>393.885958219786</v>
      </c>
      <c r="BH151" s="96" t="str">
        <f>+VLOOKUP(G151,Liste!$A$7:$G$50,3,FALSE)</f>
        <v>Douglas</v>
      </c>
      <c r="BI151" s="96" t="str">
        <f>+VLOOKUP(H151,Liste!$B$7:$G$50,5,FALSE)</f>
        <v>National</v>
      </c>
      <c r="BJ151" s="135">
        <f t="shared" si="46"/>
        <v>49</v>
      </c>
      <c r="BK151" s="135" t="str">
        <f t="shared" si="48"/>
        <v>Douglas_F2_Entree 17-18m, densité haute_National_49_</v>
      </c>
      <c r="BL151" s="322"/>
      <c r="BM151" s="75">
        <v>96.576123303171997</v>
      </c>
      <c r="BN151" s="13">
        <v>490.46208152295799</v>
      </c>
      <c r="BO151" s="12" t="s">
        <v>169</v>
      </c>
      <c r="BP151" s="13">
        <v>306.22140208535097</v>
      </c>
      <c r="BQ151" s="13">
        <v>18.995342437621499</v>
      </c>
      <c r="BT151" s="298" t="str">
        <f>+VLOOKUP(G151,Liste!$A$7:$H$50,8,FALSE)</f>
        <v>Résineux</v>
      </c>
      <c r="BU151" s="298">
        <f t="shared" si="49"/>
        <v>0</v>
      </c>
      <c r="BV151" s="300">
        <f t="shared" si="50"/>
        <v>1</v>
      </c>
      <c r="BW151" s="321">
        <v>0</v>
      </c>
      <c r="BX151" s="298">
        <f t="shared" si="51"/>
        <v>0.43</v>
      </c>
      <c r="BY151">
        <f t="shared" si="52"/>
        <v>0</v>
      </c>
      <c r="BZ151" s="304">
        <f t="shared" si="53"/>
        <v>0</v>
      </c>
      <c r="CB151" s="299">
        <v>0.6</v>
      </c>
      <c r="CC151" s="299">
        <v>0.4</v>
      </c>
      <c r="CD151">
        <f t="shared" si="54"/>
        <v>0</v>
      </c>
      <c r="CE151">
        <f t="shared" si="55"/>
        <v>0</v>
      </c>
      <c r="CF151">
        <f t="shared" si="56"/>
        <v>0</v>
      </c>
      <c r="CG151">
        <f t="shared" si="57"/>
        <v>0</v>
      </c>
      <c r="CH151">
        <f t="shared" si="58"/>
        <v>0</v>
      </c>
      <c r="CI151">
        <f t="shared" si="59"/>
        <v>0</v>
      </c>
      <c r="CJ151">
        <f t="shared" si="60"/>
        <v>0</v>
      </c>
      <c r="CK151">
        <f t="shared" si="61"/>
        <v>0</v>
      </c>
      <c r="CL151">
        <f t="shared" si="62"/>
        <v>0</v>
      </c>
      <c r="CM151">
        <f t="shared" si="64"/>
        <v>0</v>
      </c>
      <c r="CN151">
        <f t="shared" si="63"/>
        <v>0</v>
      </c>
      <c r="CO151">
        <f t="shared" si="47"/>
        <v>0</v>
      </c>
    </row>
    <row r="152" spans="1:93" s="12" customFormat="1" ht="14.65" customHeight="1" x14ac:dyDescent="0.25">
      <c r="A152" s="4">
        <v>2021</v>
      </c>
      <c r="B152" s="4"/>
      <c r="C152" s="4" t="s">
        <v>68</v>
      </c>
      <c r="D152" s="4" t="s">
        <v>67</v>
      </c>
      <c r="E152" s="11" t="s">
        <v>88</v>
      </c>
      <c r="F152" s="4" t="s">
        <v>90</v>
      </c>
      <c r="G152" s="5" t="s">
        <v>8</v>
      </c>
      <c r="H152" s="5" t="s">
        <v>11</v>
      </c>
      <c r="I152" s="5" t="s">
        <v>12</v>
      </c>
      <c r="J152" s="5" t="s">
        <v>10</v>
      </c>
      <c r="K152" s="5">
        <v>33</v>
      </c>
      <c r="L152" s="5" t="s">
        <v>190</v>
      </c>
      <c r="M152" s="5">
        <v>1666</v>
      </c>
      <c r="N152" s="5" t="s">
        <v>171</v>
      </c>
      <c r="O152" s="6" t="s">
        <v>81</v>
      </c>
      <c r="P152" s="6" t="s">
        <v>83</v>
      </c>
      <c r="Q152" s="6"/>
      <c r="R152" s="6" t="s">
        <v>84</v>
      </c>
      <c r="S152" s="6">
        <v>19</v>
      </c>
      <c r="T152" s="6">
        <v>15.33</v>
      </c>
      <c r="U152" s="6">
        <v>1600</v>
      </c>
      <c r="V152" s="6">
        <v>14.8</v>
      </c>
      <c r="W152" s="6">
        <v>30</v>
      </c>
      <c r="X152" s="6">
        <v>428</v>
      </c>
      <c r="Y152" s="6">
        <v>890</v>
      </c>
      <c r="Z152" s="6">
        <v>240</v>
      </c>
      <c r="AA152" s="6">
        <v>12</v>
      </c>
      <c r="AB152" s="6">
        <v>0</v>
      </c>
      <c r="AC152" s="2">
        <v>49</v>
      </c>
      <c r="AD152" s="2" t="s">
        <v>53</v>
      </c>
      <c r="AE152" s="3">
        <v>33.616595139505201</v>
      </c>
      <c r="AF152" s="2">
        <v>256</v>
      </c>
      <c r="AG152" s="3">
        <v>30.811171062318898</v>
      </c>
      <c r="AH152" s="3">
        <v>39.146161118532802</v>
      </c>
      <c r="AI152" s="9">
        <v>43.746220752514503</v>
      </c>
      <c r="AJ152" s="9">
        <v>325.00508917807798</v>
      </c>
      <c r="AK152" s="9">
        <v>329.18615005708898</v>
      </c>
      <c r="AL152" s="9">
        <v>408.34712580508398</v>
      </c>
      <c r="AM152" s="9">
        <v>75.642586265601807</v>
      </c>
      <c r="AN152" s="9">
        <v>1.5437262503183999</v>
      </c>
      <c r="AO152" s="9">
        <v>1.15130363973927</v>
      </c>
      <c r="AP152" s="9">
        <v>875.96066998225604</v>
      </c>
      <c r="AQ152" s="9">
        <v>17.876748366984799</v>
      </c>
      <c r="AR152" s="9">
        <v>21.096548894577602</v>
      </c>
      <c r="AS152" s="73">
        <v>74</v>
      </c>
      <c r="AT152" s="10">
        <v>8.7834281238921008</v>
      </c>
      <c r="AU152" s="10">
        <v>38.875073695382312</v>
      </c>
      <c r="AV152" s="10">
        <v>93.546532264506993</v>
      </c>
      <c r="AW152" s="10">
        <v>0.98925970810719865</v>
      </c>
      <c r="AX152" s="10">
        <v>1.2641423278987431</v>
      </c>
      <c r="AY152" s="314">
        <f t="shared" si="65"/>
        <v>0</v>
      </c>
      <c r="AZ152" s="314">
        <f t="shared" si="66"/>
        <v>0.90459537674431212</v>
      </c>
      <c r="BA152" s="315">
        <f t="shared" si="67"/>
        <v>9.0033429354575145E-2</v>
      </c>
      <c r="BB152" s="10">
        <f t="shared" si="68"/>
        <v>39.780689656619444</v>
      </c>
      <c r="BC152" s="10">
        <f t="shared" si="69"/>
        <v>13.319917943066002</v>
      </c>
      <c r="BD152" s="10">
        <f t="shared" si="70"/>
        <v>8.5864098090550165</v>
      </c>
      <c r="BE152" s="10">
        <f t="shared" si="71"/>
        <v>29.740632173283355</v>
      </c>
      <c r="BF152" s="12">
        <v>0.43</v>
      </c>
      <c r="BG152" s="75">
        <v>305.81796830085801</v>
      </c>
      <c r="BH152" s="96" t="str">
        <f>+VLOOKUP(G152,Liste!$A$7:$G$50,3,FALSE)</f>
        <v>Douglas</v>
      </c>
      <c r="BI152" s="96" t="str">
        <f>+VLOOKUP(H152,Liste!$B$7:$G$50,5,FALSE)</f>
        <v>National</v>
      </c>
      <c r="BJ152" s="135">
        <f t="shared" si="46"/>
        <v>49</v>
      </c>
      <c r="BK152" s="135" t="str">
        <f t="shared" si="48"/>
        <v>Douglas_F2_Entree 17-18m, densité haute_National_49_</v>
      </c>
      <c r="BL152" s="322"/>
      <c r="BM152" s="75">
        <v>77.224570440354896</v>
      </c>
      <c r="BN152" s="13">
        <v>383.04253874121201</v>
      </c>
      <c r="BO152" s="13">
        <v>107.41954278174597</v>
      </c>
      <c r="BP152" s="13">
        <v>306.22140208535097</v>
      </c>
      <c r="BQ152" s="13">
        <v>18.995342437621499</v>
      </c>
      <c r="BT152" s="298" t="str">
        <f>+VLOOKUP(G152,Liste!$A$7:$H$50,8,FALSE)</f>
        <v>Résineux</v>
      </c>
      <c r="BU152" s="298">
        <f t="shared" si="49"/>
        <v>0</v>
      </c>
      <c r="BV152" s="300">
        <f t="shared" si="50"/>
        <v>1</v>
      </c>
      <c r="BW152" s="321">
        <v>0</v>
      </c>
      <c r="BX152" s="298">
        <f t="shared" si="51"/>
        <v>0.43</v>
      </c>
      <c r="BY152">
        <f t="shared" si="52"/>
        <v>0</v>
      </c>
      <c r="BZ152" s="304">
        <f t="shared" si="53"/>
        <v>0</v>
      </c>
      <c r="CB152" s="299">
        <v>0.6</v>
      </c>
      <c r="CC152" s="299">
        <v>0.4</v>
      </c>
      <c r="CD152">
        <f t="shared" si="54"/>
        <v>0</v>
      </c>
      <c r="CE152">
        <f t="shared" si="55"/>
        <v>0</v>
      </c>
      <c r="CF152">
        <f t="shared" si="56"/>
        <v>0</v>
      </c>
      <c r="CG152">
        <f t="shared" si="57"/>
        <v>0</v>
      </c>
      <c r="CH152">
        <f t="shared" si="58"/>
        <v>0</v>
      </c>
      <c r="CI152">
        <f t="shared" si="59"/>
        <v>0</v>
      </c>
      <c r="CJ152">
        <f t="shared" si="60"/>
        <v>0</v>
      </c>
      <c r="CK152">
        <f t="shared" si="61"/>
        <v>0</v>
      </c>
      <c r="CL152">
        <f t="shared" si="62"/>
        <v>0</v>
      </c>
      <c r="CM152">
        <f t="shared" si="64"/>
        <v>0</v>
      </c>
      <c r="CN152">
        <f t="shared" si="63"/>
        <v>0</v>
      </c>
      <c r="CO152">
        <f t="shared" si="47"/>
        <v>0</v>
      </c>
    </row>
    <row r="153" spans="1:93" s="12" customFormat="1" ht="14.65" customHeight="1" x14ac:dyDescent="0.25">
      <c r="A153" s="4">
        <v>2021</v>
      </c>
      <c r="B153" s="4"/>
      <c r="C153" s="4" t="s">
        <v>68</v>
      </c>
      <c r="D153" s="4" t="s">
        <v>67</v>
      </c>
      <c r="E153" s="11" t="s">
        <v>88</v>
      </c>
      <c r="F153" s="4" t="s">
        <v>90</v>
      </c>
      <c r="G153" s="5" t="s">
        <v>8</v>
      </c>
      <c r="H153" s="5" t="s">
        <v>11</v>
      </c>
      <c r="I153" s="5" t="s">
        <v>12</v>
      </c>
      <c r="J153" s="5" t="s">
        <v>10</v>
      </c>
      <c r="K153" s="5">
        <v>33</v>
      </c>
      <c r="L153" s="5" t="s">
        <v>190</v>
      </c>
      <c r="M153" s="5">
        <v>1666</v>
      </c>
      <c r="N153" s="5" t="s">
        <v>171</v>
      </c>
      <c r="O153" s="6" t="s">
        <v>81</v>
      </c>
      <c r="P153" s="6" t="s">
        <v>83</v>
      </c>
      <c r="Q153" s="6"/>
      <c r="R153" s="6" t="s">
        <v>84</v>
      </c>
      <c r="S153" s="6">
        <v>19</v>
      </c>
      <c r="T153" s="6">
        <v>15.33</v>
      </c>
      <c r="U153" s="6">
        <v>1600</v>
      </c>
      <c r="V153" s="6">
        <v>14.8</v>
      </c>
      <c r="W153" s="6">
        <v>30</v>
      </c>
      <c r="X153" s="6">
        <v>428</v>
      </c>
      <c r="Y153" s="6">
        <v>890</v>
      </c>
      <c r="Z153" s="6">
        <v>240</v>
      </c>
      <c r="AA153" s="6">
        <v>12</v>
      </c>
      <c r="AB153" s="6">
        <v>0</v>
      </c>
      <c r="AC153" s="2">
        <v>56</v>
      </c>
      <c r="AD153" s="2" t="s">
        <v>52</v>
      </c>
      <c r="AE153" s="3">
        <v>36.8923075610982</v>
      </c>
      <c r="AF153" s="2">
        <v>256</v>
      </c>
      <c r="AG153" s="3">
        <v>38.870296540993102</v>
      </c>
      <c r="AH153" s="3">
        <v>43.968738304713597</v>
      </c>
      <c r="AI153" s="9">
        <v>49.338316081493502</v>
      </c>
      <c r="AJ153" s="9">
        <v>443.18723822309198</v>
      </c>
      <c r="AK153" s="9">
        <v>449.48850800001799</v>
      </c>
      <c r="AL153" s="9">
        <v>556.02296806712695</v>
      </c>
      <c r="AM153" s="9">
        <v>83.701711743776698</v>
      </c>
      <c r="AN153" s="9">
        <v>1.49467342399601</v>
      </c>
      <c r="AO153" s="9">
        <v>0.98625613974520199</v>
      </c>
      <c r="AP153" s="9">
        <v>1023.6365122443</v>
      </c>
      <c r="AQ153" s="9">
        <v>18.2792234329339</v>
      </c>
      <c r="AR153" s="9">
        <v>19.291418806824002</v>
      </c>
      <c r="AS153" s="73" t="s">
        <v>169</v>
      </c>
      <c r="AT153" s="10" t="s">
        <v>169</v>
      </c>
      <c r="AU153" s="10" t="s">
        <v>169</v>
      </c>
      <c r="AV153" s="10">
        <v>0</v>
      </c>
      <c r="AW153" s="8"/>
      <c r="AX153" s="10" t="s">
        <v>169</v>
      </c>
      <c r="AY153" s="314" t="str">
        <f t="shared" si="65"/>
        <v/>
      </c>
      <c r="AZ153" s="314" t="str">
        <f t="shared" si="66"/>
        <v/>
      </c>
      <c r="BA153" s="315" t="str">
        <f t="shared" si="67"/>
        <v/>
      </c>
      <c r="BB153" s="10" t="str">
        <f t="shared" si="68"/>
        <v/>
      </c>
      <c r="BC153" s="10" t="str">
        <f t="shared" si="69"/>
        <v/>
      </c>
      <c r="BD153" s="10" t="str">
        <f t="shared" si="70"/>
        <v/>
      </c>
      <c r="BE153" s="10" t="str">
        <f t="shared" si="71"/>
        <v/>
      </c>
      <c r="BF153" s="12">
        <v>0.43</v>
      </c>
      <c r="BG153" s="75">
        <v>416.414867834939</v>
      </c>
      <c r="BH153" s="96" t="str">
        <f>+VLOOKUP(G153,Liste!$A$7:$G$50,3,FALSE)</f>
        <v>Douglas</v>
      </c>
      <c r="BI153" s="96" t="str">
        <f>+VLOOKUP(H153,Liste!$B$7:$G$50,5,FALSE)</f>
        <v>National</v>
      </c>
      <c r="BJ153" s="135">
        <f t="shared" si="46"/>
        <v>56</v>
      </c>
      <c r="BK153" s="135" t="str">
        <f t="shared" si="48"/>
        <v>Douglas_F2_Entree 17-18m, densité haute_National_56_</v>
      </c>
      <c r="BL153" s="322"/>
      <c r="BM153" s="75">
        <v>101.441057971774</v>
      </c>
      <c r="BN153" s="13">
        <v>517.855925806713</v>
      </c>
      <c r="BO153" s="12" t="s">
        <v>169</v>
      </c>
      <c r="BP153" s="13">
        <v>306.22140208535097</v>
      </c>
      <c r="BQ153" s="13">
        <v>17.323048183218098</v>
      </c>
      <c r="BT153" s="298" t="str">
        <f>+VLOOKUP(G153,Liste!$A$7:$H$50,8,FALSE)</f>
        <v>Résineux</v>
      </c>
      <c r="BU153" s="298">
        <f t="shared" si="49"/>
        <v>0</v>
      </c>
      <c r="BV153" s="300">
        <f t="shared" si="50"/>
        <v>1</v>
      </c>
      <c r="BW153" s="321">
        <v>0</v>
      </c>
      <c r="BX153" s="298">
        <f t="shared" si="51"/>
        <v>0.43</v>
      </c>
      <c r="BY153">
        <f t="shared" si="52"/>
        <v>0</v>
      </c>
      <c r="BZ153" s="304">
        <f t="shared" si="53"/>
        <v>0</v>
      </c>
      <c r="CB153" s="299">
        <v>0.6</v>
      </c>
      <c r="CC153" s="299">
        <v>0.4</v>
      </c>
      <c r="CD153">
        <f t="shared" si="54"/>
        <v>0</v>
      </c>
      <c r="CE153">
        <f t="shared" si="55"/>
        <v>0</v>
      </c>
      <c r="CF153">
        <f t="shared" si="56"/>
        <v>0</v>
      </c>
      <c r="CG153">
        <f t="shared" si="57"/>
        <v>0</v>
      </c>
      <c r="CH153">
        <f t="shared" si="58"/>
        <v>0</v>
      </c>
      <c r="CI153">
        <f t="shared" si="59"/>
        <v>0</v>
      </c>
      <c r="CJ153">
        <f t="shared" si="60"/>
        <v>0</v>
      </c>
      <c r="CK153">
        <f t="shared" si="61"/>
        <v>0</v>
      </c>
      <c r="CL153">
        <f t="shared" si="62"/>
        <v>0</v>
      </c>
      <c r="CM153">
        <f t="shared" si="64"/>
        <v>0</v>
      </c>
      <c r="CN153">
        <f t="shared" si="63"/>
        <v>0</v>
      </c>
      <c r="CO153">
        <f t="shared" si="47"/>
        <v>0</v>
      </c>
    </row>
    <row r="154" spans="1:93" s="12" customFormat="1" ht="14.65" customHeight="1" x14ac:dyDescent="0.25">
      <c r="A154" s="4">
        <v>2021</v>
      </c>
      <c r="B154" s="4"/>
      <c r="C154" s="4" t="s">
        <v>68</v>
      </c>
      <c r="D154" s="4" t="s">
        <v>67</v>
      </c>
      <c r="E154" s="11" t="s">
        <v>88</v>
      </c>
      <c r="F154" s="4" t="s">
        <v>90</v>
      </c>
      <c r="G154" s="5" t="s">
        <v>8</v>
      </c>
      <c r="H154" s="5" t="s">
        <v>11</v>
      </c>
      <c r="I154" s="5" t="s">
        <v>12</v>
      </c>
      <c r="J154" s="5" t="s">
        <v>10</v>
      </c>
      <c r="K154" s="5">
        <v>33</v>
      </c>
      <c r="L154" s="5" t="s">
        <v>190</v>
      </c>
      <c r="M154" s="5">
        <v>1666</v>
      </c>
      <c r="N154" s="5" t="s">
        <v>171</v>
      </c>
      <c r="O154" s="6" t="s">
        <v>81</v>
      </c>
      <c r="P154" s="6" t="s">
        <v>83</v>
      </c>
      <c r="Q154" s="6"/>
      <c r="R154" s="6" t="s">
        <v>84</v>
      </c>
      <c r="S154" s="6">
        <v>19</v>
      </c>
      <c r="T154" s="6">
        <v>15.33</v>
      </c>
      <c r="U154" s="6">
        <v>1600</v>
      </c>
      <c r="V154" s="6">
        <v>14.8</v>
      </c>
      <c r="W154" s="6">
        <v>30</v>
      </c>
      <c r="X154" s="6">
        <v>428</v>
      </c>
      <c r="Y154" s="6">
        <v>890</v>
      </c>
      <c r="Z154" s="6">
        <v>240</v>
      </c>
      <c r="AA154" s="6">
        <v>12</v>
      </c>
      <c r="AB154" s="6">
        <v>0</v>
      </c>
      <c r="AC154" s="2">
        <v>56</v>
      </c>
      <c r="AD154" s="2" t="s">
        <v>53</v>
      </c>
      <c r="AE154" s="3">
        <v>36.8923075610982</v>
      </c>
      <c r="AF154" s="2">
        <v>206</v>
      </c>
      <c r="AG154" s="3">
        <v>31.979128038901401</v>
      </c>
      <c r="AH154" s="3">
        <v>44.458495112125298</v>
      </c>
      <c r="AI154" s="9">
        <v>48.085467964366998</v>
      </c>
      <c r="AJ154" s="9">
        <v>364.62376690376698</v>
      </c>
      <c r="AK154" s="9">
        <v>369.82789914561403</v>
      </c>
      <c r="AL154" s="9">
        <v>457.38903557666401</v>
      </c>
      <c r="AM154" s="9">
        <v>83.701711743776698</v>
      </c>
      <c r="AN154" s="9">
        <v>1.49467342399601</v>
      </c>
      <c r="AO154" s="9">
        <v>0.98625613974520199</v>
      </c>
      <c r="AP154" s="9">
        <v>1023.6365122443</v>
      </c>
      <c r="AQ154" s="9">
        <v>18.2792234329339</v>
      </c>
      <c r="AR154" s="9">
        <v>19.291418806824002</v>
      </c>
      <c r="AS154" s="73">
        <v>50</v>
      </c>
      <c r="AT154" s="10">
        <v>6.891168502091702</v>
      </c>
      <c r="AU154" s="10">
        <v>41.890591416919698</v>
      </c>
      <c r="AV154" s="10">
        <v>78.563471319325004</v>
      </c>
      <c r="AW154" s="10">
        <v>0.90770551990773773</v>
      </c>
      <c r="AX154" s="10">
        <v>1.5712694263865001</v>
      </c>
      <c r="AY154" s="314">
        <f t="shared" si="65"/>
        <v>0</v>
      </c>
      <c r="AZ154" s="314">
        <f t="shared" si="66"/>
        <v>0.92804158756668942</v>
      </c>
      <c r="BA154" s="315">
        <f t="shared" si="67"/>
        <v>6.7777431831360313E-2</v>
      </c>
      <c r="BB154" s="10">
        <f t="shared" si="68"/>
        <v>34.275070281394918</v>
      </c>
      <c r="BC154" s="10">
        <f t="shared" si="69"/>
        <v>10.432096743880798</v>
      </c>
      <c r="BD154" s="10">
        <f t="shared" si="70"/>
        <v>6.8571409025866856</v>
      </c>
      <c r="BE154" s="10">
        <f t="shared" si="71"/>
        <v>25.516752867276576</v>
      </c>
      <c r="BF154" s="12">
        <v>0.43</v>
      </c>
      <c r="BG154" s="75">
        <v>342.54627189395597</v>
      </c>
      <c r="BH154" s="96" t="str">
        <f>+VLOOKUP(G154,Liste!$A$7:$G$50,3,FALSE)</f>
        <v>Douglas</v>
      </c>
      <c r="BI154" s="96" t="str">
        <f>+VLOOKUP(H154,Liste!$B$7:$G$50,5,FALSE)</f>
        <v>National</v>
      </c>
      <c r="BJ154" s="135">
        <f t="shared" si="46"/>
        <v>56</v>
      </c>
      <c r="BK154" s="135" t="str">
        <f t="shared" si="48"/>
        <v>Douglas_F2_Entree 17-18m, densité haute_National_56_</v>
      </c>
      <c r="BL154" s="322"/>
      <c r="BM154" s="75">
        <v>85.3647004342305</v>
      </c>
      <c r="BN154" s="13">
        <v>427.91097232818697</v>
      </c>
      <c r="BO154" s="13">
        <v>89.944953478526031</v>
      </c>
      <c r="BP154" s="13">
        <v>306.22140208535097</v>
      </c>
      <c r="BQ154" s="13">
        <v>17.323048183218098</v>
      </c>
      <c r="BT154" s="298" t="str">
        <f>+VLOOKUP(G154,Liste!$A$7:$H$50,8,FALSE)</f>
        <v>Résineux</v>
      </c>
      <c r="BU154" s="298">
        <f t="shared" si="49"/>
        <v>0</v>
      </c>
      <c r="BV154" s="300">
        <f t="shared" si="50"/>
        <v>1</v>
      </c>
      <c r="BW154" s="321">
        <v>0</v>
      </c>
      <c r="BX154" s="298">
        <f t="shared" si="51"/>
        <v>0.43</v>
      </c>
      <c r="BY154">
        <f t="shared" si="52"/>
        <v>0</v>
      </c>
      <c r="BZ154" s="304">
        <f t="shared" si="53"/>
        <v>0</v>
      </c>
      <c r="CB154" s="299">
        <v>0.6</v>
      </c>
      <c r="CC154" s="299">
        <v>0.4</v>
      </c>
      <c r="CD154">
        <f t="shared" si="54"/>
        <v>0</v>
      </c>
      <c r="CE154">
        <f t="shared" si="55"/>
        <v>0</v>
      </c>
      <c r="CF154">
        <f t="shared" si="56"/>
        <v>0</v>
      </c>
      <c r="CG154">
        <f t="shared" si="57"/>
        <v>0</v>
      </c>
      <c r="CH154">
        <f t="shared" si="58"/>
        <v>0</v>
      </c>
      <c r="CI154">
        <f t="shared" si="59"/>
        <v>0</v>
      </c>
      <c r="CJ154">
        <f t="shared" si="60"/>
        <v>0</v>
      </c>
      <c r="CK154">
        <f t="shared" si="61"/>
        <v>0</v>
      </c>
      <c r="CL154">
        <f t="shared" si="62"/>
        <v>0</v>
      </c>
      <c r="CM154">
        <f t="shared" si="64"/>
        <v>0</v>
      </c>
      <c r="CN154">
        <f t="shared" si="63"/>
        <v>0</v>
      </c>
      <c r="CO154">
        <f t="shared" si="47"/>
        <v>0</v>
      </c>
    </row>
    <row r="155" spans="1:93" s="12" customFormat="1" ht="14.65" customHeight="1" x14ac:dyDescent="0.25">
      <c r="A155" s="4">
        <v>2021</v>
      </c>
      <c r="B155" s="4"/>
      <c r="C155" s="4" t="s">
        <v>68</v>
      </c>
      <c r="D155" s="4" t="s">
        <v>67</v>
      </c>
      <c r="E155" s="11" t="s">
        <v>88</v>
      </c>
      <c r="F155" s="4" t="s">
        <v>90</v>
      </c>
      <c r="G155" s="5" t="s">
        <v>8</v>
      </c>
      <c r="H155" s="5" t="s">
        <v>11</v>
      </c>
      <c r="I155" s="5" t="s">
        <v>12</v>
      </c>
      <c r="J155" s="5" t="s">
        <v>10</v>
      </c>
      <c r="K155" s="5">
        <v>33</v>
      </c>
      <c r="L155" s="5" t="s">
        <v>190</v>
      </c>
      <c r="M155" s="5">
        <v>1666</v>
      </c>
      <c r="N155" s="5" t="s">
        <v>171</v>
      </c>
      <c r="O155" s="6" t="s">
        <v>81</v>
      </c>
      <c r="P155" s="6" t="s">
        <v>83</v>
      </c>
      <c r="Q155" s="6"/>
      <c r="R155" s="6" t="s">
        <v>84</v>
      </c>
      <c r="S155" s="6">
        <v>19</v>
      </c>
      <c r="T155" s="6">
        <v>15.33</v>
      </c>
      <c r="U155" s="6">
        <v>1600</v>
      </c>
      <c r="V155" s="6">
        <v>14.8</v>
      </c>
      <c r="W155" s="6">
        <v>30</v>
      </c>
      <c r="X155" s="6">
        <v>428</v>
      </c>
      <c r="Y155" s="6">
        <v>890</v>
      </c>
      <c r="Z155" s="6">
        <v>240</v>
      </c>
      <c r="AA155" s="6">
        <v>12</v>
      </c>
      <c r="AB155" s="6">
        <v>0</v>
      </c>
      <c r="AC155" s="2">
        <v>63</v>
      </c>
      <c r="AD155" s="2" t="s">
        <v>52</v>
      </c>
      <c r="AE155" s="3">
        <v>39.854387659523603</v>
      </c>
      <c r="AF155" s="2">
        <v>206</v>
      </c>
      <c r="AG155" s="3">
        <v>38.882921016698397</v>
      </c>
      <c r="AH155" s="3">
        <v>49.023113556569498</v>
      </c>
      <c r="AI155" s="9">
        <v>53.135087950856999</v>
      </c>
      <c r="AJ155" s="9">
        <v>472.68656557974202</v>
      </c>
      <c r="AK155" s="9">
        <v>479.96845185506203</v>
      </c>
      <c r="AL155" s="9">
        <v>592.42896722443197</v>
      </c>
      <c r="AM155" s="9">
        <v>90.6055047219931</v>
      </c>
      <c r="AN155" s="9">
        <v>1.43818261463481</v>
      </c>
      <c r="AO155" s="9">
        <v>0.84800705420259703</v>
      </c>
      <c r="AP155" s="9">
        <v>1158.67644389207</v>
      </c>
      <c r="AQ155" s="9">
        <v>18.391689585588399</v>
      </c>
      <c r="AR155" s="9">
        <v>17.383945377236</v>
      </c>
      <c r="AS155" s="73" t="s">
        <v>169</v>
      </c>
      <c r="AT155" s="10" t="s">
        <v>169</v>
      </c>
      <c r="AU155" s="10" t="s">
        <v>169</v>
      </c>
      <c r="AV155" s="10">
        <v>0</v>
      </c>
      <c r="AW155" s="8"/>
      <c r="AX155" s="10" t="s">
        <v>169</v>
      </c>
      <c r="AY155" s="314" t="str">
        <f t="shared" si="65"/>
        <v/>
      </c>
      <c r="AZ155" s="314" t="str">
        <f t="shared" si="66"/>
        <v/>
      </c>
      <c r="BA155" s="315" t="str">
        <f t="shared" si="67"/>
        <v/>
      </c>
      <c r="BB155" s="10" t="str">
        <f t="shared" si="68"/>
        <v/>
      </c>
      <c r="BC155" s="10" t="str">
        <f t="shared" si="69"/>
        <v/>
      </c>
      <c r="BD155" s="10" t="str">
        <f t="shared" si="70"/>
        <v/>
      </c>
      <c r="BE155" s="10" t="str">
        <f t="shared" si="71"/>
        <v/>
      </c>
      <c r="BF155" s="12">
        <v>0.43</v>
      </c>
      <c r="BG155" s="75">
        <v>443.67992737049798</v>
      </c>
      <c r="BH155" s="96" t="str">
        <f>+VLOOKUP(G155,Liste!$A$7:$G$50,3,FALSE)</f>
        <v>Douglas</v>
      </c>
      <c r="BI155" s="96" t="str">
        <f>+VLOOKUP(H155,Liste!$B$7:$G$50,5,FALSE)</f>
        <v>National</v>
      </c>
      <c r="BJ155" s="135">
        <f t="shared" si="46"/>
        <v>63</v>
      </c>
      <c r="BK155" s="135" t="str">
        <f t="shared" si="48"/>
        <v>Douglas_F2_Entree 17-18m, densité haute_National_63_</v>
      </c>
      <c r="BL155" s="322"/>
      <c r="BM155" s="75">
        <v>107.288025851564</v>
      </c>
      <c r="BN155" s="13">
        <v>550.96795322206106</v>
      </c>
      <c r="BO155" s="12" t="s">
        <v>169</v>
      </c>
      <c r="BP155" s="13">
        <v>306.22140208535097</v>
      </c>
      <c r="BQ155" s="13">
        <v>15.5788940294442</v>
      </c>
      <c r="BT155" s="298" t="str">
        <f>+VLOOKUP(G155,Liste!$A$7:$H$50,8,FALSE)</f>
        <v>Résineux</v>
      </c>
      <c r="BU155" s="298">
        <f t="shared" si="49"/>
        <v>0</v>
      </c>
      <c r="BV155" s="300">
        <f t="shared" si="50"/>
        <v>1</v>
      </c>
      <c r="BW155" s="321">
        <v>0</v>
      </c>
      <c r="BX155" s="298">
        <f t="shared" si="51"/>
        <v>0.43</v>
      </c>
      <c r="BY155">
        <f t="shared" si="52"/>
        <v>0</v>
      </c>
      <c r="BZ155" s="304">
        <f t="shared" si="53"/>
        <v>0</v>
      </c>
      <c r="CB155" s="299">
        <v>0.6</v>
      </c>
      <c r="CC155" s="299">
        <v>0.4</v>
      </c>
      <c r="CD155">
        <f t="shared" si="54"/>
        <v>0</v>
      </c>
      <c r="CE155">
        <f t="shared" si="55"/>
        <v>0</v>
      </c>
      <c r="CF155">
        <f t="shared" si="56"/>
        <v>0</v>
      </c>
      <c r="CG155">
        <f t="shared" si="57"/>
        <v>0</v>
      </c>
      <c r="CH155">
        <f t="shared" si="58"/>
        <v>0</v>
      </c>
      <c r="CI155">
        <f t="shared" si="59"/>
        <v>0</v>
      </c>
      <c r="CJ155">
        <f t="shared" si="60"/>
        <v>0</v>
      </c>
      <c r="CK155">
        <f t="shared" si="61"/>
        <v>0</v>
      </c>
      <c r="CL155">
        <f t="shared" si="62"/>
        <v>0</v>
      </c>
      <c r="CM155">
        <f t="shared" si="64"/>
        <v>0</v>
      </c>
      <c r="CN155">
        <f t="shared" si="63"/>
        <v>0</v>
      </c>
      <c r="CO155">
        <f t="shared" si="47"/>
        <v>0</v>
      </c>
    </row>
    <row r="156" spans="1:93" s="12" customFormat="1" ht="14.65" customHeight="1" x14ac:dyDescent="0.25">
      <c r="A156" s="4">
        <v>2021</v>
      </c>
      <c r="B156" s="4"/>
      <c r="C156" s="4" t="s">
        <v>68</v>
      </c>
      <c r="D156" s="4" t="s">
        <v>67</v>
      </c>
      <c r="E156" s="11" t="s">
        <v>88</v>
      </c>
      <c r="F156" s="4" t="s">
        <v>90</v>
      </c>
      <c r="G156" s="5" t="s">
        <v>8</v>
      </c>
      <c r="H156" s="5" t="s">
        <v>11</v>
      </c>
      <c r="I156" s="5" t="s">
        <v>12</v>
      </c>
      <c r="J156" s="5" t="s">
        <v>10</v>
      </c>
      <c r="K156" s="5">
        <v>33</v>
      </c>
      <c r="L156" s="5" t="s">
        <v>190</v>
      </c>
      <c r="M156" s="5">
        <v>1666</v>
      </c>
      <c r="N156" s="5" t="s">
        <v>171</v>
      </c>
      <c r="O156" s="6" t="s">
        <v>81</v>
      </c>
      <c r="P156" s="6" t="s">
        <v>83</v>
      </c>
      <c r="Q156" s="6"/>
      <c r="R156" s="6" t="s">
        <v>84</v>
      </c>
      <c r="S156" s="6">
        <v>19</v>
      </c>
      <c r="T156" s="6">
        <v>15.33</v>
      </c>
      <c r="U156" s="6">
        <v>1600</v>
      </c>
      <c r="V156" s="6">
        <v>14.8</v>
      </c>
      <c r="W156" s="6">
        <v>30</v>
      </c>
      <c r="X156" s="6">
        <v>428</v>
      </c>
      <c r="Y156" s="6">
        <v>890</v>
      </c>
      <c r="Z156" s="6">
        <v>240</v>
      </c>
      <c r="AA156" s="6">
        <v>12</v>
      </c>
      <c r="AB156" s="6">
        <v>0</v>
      </c>
      <c r="AC156" s="2">
        <v>63</v>
      </c>
      <c r="AD156" s="2" t="s">
        <v>53</v>
      </c>
      <c r="AE156" s="3">
        <v>39.854387659523603</v>
      </c>
      <c r="AF156" s="2">
        <v>166</v>
      </c>
      <c r="AG156" s="3">
        <v>32.072669230199601</v>
      </c>
      <c r="AH156" s="3">
        <v>49.598502922109503</v>
      </c>
      <c r="AI156" s="9">
        <v>52.137674771704901</v>
      </c>
      <c r="AJ156" s="9">
        <v>390.03905474432997</v>
      </c>
      <c r="AK156" s="9">
        <v>396.08165738866597</v>
      </c>
      <c r="AL156" s="9">
        <v>488.79403890447702</v>
      </c>
      <c r="AM156" s="9">
        <v>90.6055047219931</v>
      </c>
      <c r="AN156" s="9">
        <v>1.43818261463481</v>
      </c>
      <c r="AO156" s="9">
        <v>0.84800705420259703</v>
      </c>
      <c r="AP156" s="9">
        <v>1158.67644389207</v>
      </c>
      <c r="AQ156" s="9">
        <v>18.391689585588399</v>
      </c>
      <c r="AR156" s="9">
        <v>17.383945377236</v>
      </c>
      <c r="AS156" s="73">
        <v>40</v>
      </c>
      <c r="AT156" s="10">
        <v>6.8102517864987959</v>
      </c>
      <c r="AU156" s="10">
        <v>46.55932206382937</v>
      </c>
      <c r="AV156" s="10">
        <v>82.647510835412049</v>
      </c>
      <c r="AW156" s="10">
        <v>0.90201033727396707</v>
      </c>
      <c r="AX156" s="10">
        <v>2.0661877708853011</v>
      </c>
      <c r="AY156" s="314">
        <f t="shared" si="65"/>
        <v>0.10784317394669873</v>
      </c>
      <c r="AZ156" s="314">
        <f t="shared" si="66"/>
        <v>0.84274149651428543</v>
      </c>
      <c r="BA156" s="315">
        <f t="shared" si="67"/>
        <v>4.6676254096671088E-2</v>
      </c>
      <c r="BB156" s="10">
        <f t="shared" si="68"/>
        <v>36.932681066078551</v>
      </c>
      <c r="BC156" s="10">
        <f t="shared" si="69"/>
        <v>10.224633892340623</v>
      </c>
      <c r="BD156" s="10">
        <f t="shared" si="70"/>
        <v>6.8624197648389975</v>
      </c>
      <c r="BE156" s="10">
        <f t="shared" si="71"/>
        <v>27.39035805793706</v>
      </c>
      <c r="BF156" s="12">
        <v>0.43</v>
      </c>
      <c r="BG156" s="75">
        <v>366.06600230287802</v>
      </c>
      <c r="BH156" s="96" t="str">
        <f>+VLOOKUP(G156,Liste!$A$7:$G$50,3,FALSE)</f>
        <v>Douglas</v>
      </c>
      <c r="BI156" s="96" t="str">
        <f>+VLOOKUP(H156,Liste!$B$7:$G$50,5,FALSE)</f>
        <v>National</v>
      </c>
      <c r="BJ156" s="135">
        <f t="shared" si="46"/>
        <v>63</v>
      </c>
      <c r="BK156" s="135" t="str">
        <f t="shared" si="48"/>
        <v>Douglas_F2_Entree 17-18m, densité haute_National_63_</v>
      </c>
      <c r="BL156" s="322"/>
      <c r="BM156" s="75">
        <v>90.523529407010798</v>
      </c>
      <c r="BN156" s="13">
        <v>456.589531709889</v>
      </c>
      <c r="BO156" s="13">
        <v>94.378421512172054</v>
      </c>
      <c r="BP156" s="13">
        <v>306.22140208535097</v>
      </c>
      <c r="BQ156" s="13">
        <v>15.5788940294442</v>
      </c>
      <c r="BT156" s="298" t="str">
        <f>+VLOOKUP(G156,Liste!$A$7:$H$50,8,FALSE)</f>
        <v>Résineux</v>
      </c>
      <c r="BU156" s="298">
        <f t="shared" si="49"/>
        <v>0</v>
      </c>
      <c r="BV156" s="300">
        <f t="shared" si="50"/>
        <v>1</v>
      </c>
      <c r="BW156" s="321">
        <v>0</v>
      </c>
      <c r="BX156" s="298">
        <f t="shared" si="51"/>
        <v>0.43</v>
      </c>
      <c r="BY156">
        <f t="shared" si="52"/>
        <v>0</v>
      </c>
      <c r="BZ156" s="304">
        <f t="shared" si="53"/>
        <v>0</v>
      </c>
      <c r="CB156" s="299">
        <v>0.6</v>
      </c>
      <c r="CC156" s="299">
        <v>0.4</v>
      </c>
      <c r="CD156">
        <f t="shared" si="54"/>
        <v>0</v>
      </c>
      <c r="CE156">
        <f t="shared" si="55"/>
        <v>0</v>
      </c>
      <c r="CF156">
        <f t="shared" si="56"/>
        <v>0</v>
      </c>
      <c r="CG156">
        <f t="shared" si="57"/>
        <v>0</v>
      </c>
      <c r="CH156">
        <f t="shared" si="58"/>
        <v>0</v>
      </c>
      <c r="CI156">
        <f t="shared" si="59"/>
        <v>0</v>
      </c>
      <c r="CJ156">
        <f t="shared" si="60"/>
        <v>0</v>
      </c>
      <c r="CK156">
        <f t="shared" si="61"/>
        <v>0</v>
      </c>
      <c r="CL156">
        <f t="shared" si="62"/>
        <v>0</v>
      </c>
      <c r="CM156">
        <f t="shared" si="64"/>
        <v>0</v>
      </c>
      <c r="CN156">
        <f t="shared" si="63"/>
        <v>0</v>
      </c>
      <c r="CO156">
        <f t="shared" si="47"/>
        <v>0</v>
      </c>
    </row>
    <row r="157" spans="1:93" s="12" customFormat="1" ht="14.65" customHeight="1" x14ac:dyDescent="0.25">
      <c r="A157" s="4">
        <v>2021</v>
      </c>
      <c r="B157" s="4"/>
      <c r="C157" s="4" t="s">
        <v>68</v>
      </c>
      <c r="D157" s="4" t="s">
        <v>67</v>
      </c>
      <c r="E157" s="11" t="s">
        <v>88</v>
      </c>
      <c r="F157" s="4" t="s">
        <v>90</v>
      </c>
      <c r="G157" s="5" t="s">
        <v>8</v>
      </c>
      <c r="H157" s="5" t="s">
        <v>11</v>
      </c>
      <c r="I157" s="5" t="s">
        <v>12</v>
      </c>
      <c r="J157" s="5" t="s">
        <v>10</v>
      </c>
      <c r="K157" s="5">
        <v>33</v>
      </c>
      <c r="L157" s="5" t="s">
        <v>190</v>
      </c>
      <c r="M157" s="5">
        <v>1666</v>
      </c>
      <c r="N157" s="5" t="s">
        <v>171</v>
      </c>
      <c r="O157" s="6" t="s">
        <v>81</v>
      </c>
      <c r="P157" s="6" t="s">
        <v>83</v>
      </c>
      <c r="Q157" s="6"/>
      <c r="R157" s="6" t="s">
        <v>84</v>
      </c>
      <c r="S157" s="6">
        <v>19</v>
      </c>
      <c r="T157" s="6">
        <v>15.33</v>
      </c>
      <c r="U157" s="6">
        <v>1600</v>
      </c>
      <c r="V157" s="6">
        <v>14.8</v>
      </c>
      <c r="W157" s="6">
        <v>30</v>
      </c>
      <c r="X157" s="6">
        <v>428</v>
      </c>
      <c r="Y157" s="6">
        <v>890</v>
      </c>
      <c r="Z157" s="6">
        <v>240</v>
      </c>
      <c r="AA157" s="6">
        <v>12</v>
      </c>
      <c r="AB157" s="6">
        <v>0</v>
      </c>
      <c r="AC157" s="2">
        <v>70</v>
      </c>
      <c r="AD157" s="2" t="s">
        <v>52</v>
      </c>
      <c r="AE157" s="3">
        <v>42.5307335501723</v>
      </c>
      <c r="AF157" s="2">
        <v>166</v>
      </c>
      <c r="AG157" s="3">
        <v>37.9402747704913</v>
      </c>
      <c r="AH157" s="3">
        <v>53.945006678436698</v>
      </c>
      <c r="AI157" s="9">
        <v>56.759435344700499</v>
      </c>
      <c r="AJ157" s="9">
        <v>486.860131382313</v>
      </c>
      <c r="AK157" s="9">
        <v>494.87482892580402</v>
      </c>
      <c r="AL157" s="9">
        <v>609.79172510721503</v>
      </c>
      <c r="AM157" s="9">
        <v>96.473110262121693</v>
      </c>
      <c r="AN157" s="9">
        <v>1.37818728945888</v>
      </c>
      <c r="AO157" s="7"/>
      <c r="AP157" s="9">
        <v>1279.6741300947999</v>
      </c>
      <c r="AQ157" s="9">
        <v>18.2810590013544</v>
      </c>
      <c r="AR157" s="9"/>
      <c r="AS157" s="73" t="s">
        <v>169</v>
      </c>
      <c r="AT157" s="10" t="s">
        <v>169</v>
      </c>
      <c r="AU157" s="10" t="s">
        <v>169</v>
      </c>
      <c r="AV157" s="10">
        <v>0</v>
      </c>
      <c r="AW157" s="8"/>
      <c r="AX157" s="10" t="s">
        <v>169</v>
      </c>
      <c r="AY157" s="314" t="str">
        <f t="shared" si="65"/>
        <v/>
      </c>
      <c r="AZ157" s="314" t="str">
        <f t="shared" si="66"/>
        <v/>
      </c>
      <c r="BA157" s="315" t="str">
        <f t="shared" si="67"/>
        <v/>
      </c>
      <c r="BB157" s="10" t="str">
        <f t="shared" si="68"/>
        <v/>
      </c>
      <c r="BC157" s="10" t="str">
        <f t="shared" si="69"/>
        <v/>
      </c>
      <c r="BD157" s="10" t="str">
        <f t="shared" si="70"/>
        <v/>
      </c>
      <c r="BE157" s="10" t="str">
        <f t="shared" si="71"/>
        <v/>
      </c>
      <c r="BF157" s="12">
        <v>0.43</v>
      </c>
      <c r="BG157" s="75">
        <v>456.68318612821201</v>
      </c>
      <c r="BH157" s="96" t="str">
        <f>+VLOOKUP(G157,Liste!$A$7:$G$50,3,FALSE)</f>
        <v>Douglas</v>
      </c>
      <c r="BI157" s="96" t="str">
        <f>+VLOOKUP(H157,Liste!$B$7:$G$50,5,FALSE)</f>
        <v>National</v>
      </c>
      <c r="BJ157" s="135">
        <f t="shared" si="46"/>
        <v>70</v>
      </c>
      <c r="BK157" s="135" t="str">
        <f t="shared" si="48"/>
        <v>Douglas_F2_Entree 17-18m, densité haute_National_70_</v>
      </c>
      <c r="BL157" s="322"/>
      <c r="BM157" s="75">
        <v>110.06170321068301</v>
      </c>
      <c r="BN157" s="13">
        <v>566.74488933889404</v>
      </c>
      <c r="BO157" s="12" t="s">
        <v>169</v>
      </c>
      <c r="BP157" s="13">
        <v>306.22140208535097</v>
      </c>
      <c r="BQ157" s="13"/>
      <c r="BT157" s="298" t="str">
        <f>+VLOOKUP(G157,Liste!$A$7:$H$50,8,FALSE)</f>
        <v>Résineux</v>
      </c>
      <c r="BU157" s="298">
        <f t="shared" si="49"/>
        <v>0</v>
      </c>
      <c r="BV157" s="300">
        <f t="shared" si="50"/>
        <v>1</v>
      </c>
      <c r="BW157" s="321">
        <v>0</v>
      </c>
      <c r="BX157" s="298">
        <f t="shared" si="51"/>
        <v>0.43</v>
      </c>
      <c r="BY157">
        <f t="shared" si="52"/>
        <v>0</v>
      </c>
      <c r="BZ157" s="304">
        <f t="shared" si="53"/>
        <v>0</v>
      </c>
      <c r="CB157" s="299">
        <v>0.6</v>
      </c>
      <c r="CC157" s="299">
        <v>0.4</v>
      </c>
      <c r="CD157">
        <f t="shared" si="54"/>
        <v>0</v>
      </c>
      <c r="CE157">
        <f t="shared" si="55"/>
        <v>0</v>
      </c>
      <c r="CF157">
        <f t="shared" si="56"/>
        <v>0</v>
      </c>
      <c r="CG157">
        <f t="shared" si="57"/>
        <v>0</v>
      </c>
      <c r="CH157">
        <f t="shared" si="58"/>
        <v>0</v>
      </c>
      <c r="CI157">
        <f t="shared" si="59"/>
        <v>0</v>
      </c>
      <c r="CJ157">
        <f t="shared" si="60"/>
        <v>0</v>
      </c>
      <c r="CK157">
        <f t="shared" si="61"/>
        <v>0</v>
      </c>
      <c r="CL157">
        <f t="shared" si="62"/>
        <v>0</v>
      </c>
      <c r="CM157">
        <f t="shared" si="64"/>
        <v>0</v>
      </c>
      <c r="CN157">
        <f t="shared" si="63"/>
        <v>0</v>
      </c>
      <c r="CO157">
        <f t="shared" si="47"/>
        <v>0</v>
      </c>
    </row>
    <row r="158" spans="1:93" s="12" customFormat="1" ht="14.65" customHeight="1" x14ac:dyDescent="0.25">
      <c r="A158" s="4">
        <v>2021</v>
      </c>
      <c r="B158" s="4"/>
      <c r="C158" s="4" t="s">
        <v>68</v>
      </c>
      <c r="D158" s="4" t="s">
        <v>67</v>
      </c>
      <c r="E158" s="11" t="s">
        <v>88</v>
      </c>
      <c r="F158" s="4" t="s">
        <v>90</v>
      </c>
      <c r="G158" s="5" t="s">
        <v>8</v>
      </c>
      <c r="H158" s="5" t="s">
        <v>11</v>
      </c>
      <c r="I158" s="5" t="s">
        <v>12</v>
      </c>
      <c r="J158" s="5" t="s">
        <v>10</v>
      </c>
      <c r="K158" s="5">
        <v>33</v>
      </c>
      <c r="L158" s="5" t="s">
        <v>190</v>
      </c>
      <c r="M158" s="5">
        <v>1666</v>
      </c>
      <c r="N158" s="5" t="s">
        <v>171</v>
      </c>
      <c r="O158" s="6" t="s">
        <v>81</v>
      </c>
      <c r="P158" s="6" t="s">
        <v>83</v>
      </c>
      <c r="Q158" s="6"/>
      <c r="R158" s="6" t="s">
        <v>84</v>
      </c>
      <c r="S158" s="6">
        <v>19</v>
      </c>
      <c r="T158" s="6">
        <v>15.33</v>
      </c>
      <c r="U158" s="6">
        <v>1600</v>
      </c>
      <c r="V158" s="6">
        <v>14.8</v>
      </c>
      <c r="W158" s="6">
        <v>30</v>
      </c>
      <c r="X158" s="6">
        <v>428</v>
      </c>
      <c r="Y158" s="6">
        <v>890</v>
      </c>
      <c r="Z158" s="6">
        <v>240</v>
      </c>
      <c r="AA158" s="6">
        <v>12</v>
      </c>
      <c r="AB158" s="6">
        <v>0</v>
      </c>
      <c r="AC158" s="2">
        <v>70</v>
      </c>
      <c r="AD158" s="2" t="s">
        <v>53</v>
      </c>
      <c r="AE158" s="3">
        <v>42.5307335501723</v>
      </c>
      <c r="AF158" s="2">
        <v>0</v>
      </c>
      <c r="AG158" s="3">
        <v>0</v>
      </c>
      <c r="AH158" s="3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96.473110262121693</v>
      </c>
      <c r="AN158" s="9">
        <v>1.37818728945888</v>
      </c>
      <c r="AO158" s="7"/>
      <c r="AP158" s="9">
        <v>1279.6741300947999</v>
      </c>
      <c r="AQ158" s="9">
        <v>18.2810590013544</v>
      </c>
      <c r="AR158" s="9"/>
      <c r="AS158" s="73">
        <v>166</v>
      </c>
      <c r="AT158" s="10">
        <v>37.9402747704913</v>
      </c>
      <c r="AU158" s="10">
        <v>53.945006678436755</v>
      </c>
      <c r="AV158" s="10">
        <v>486.860131382313</v>
      </c>
      <c r="AW158" s="10">
        <v>1</v>
      </c>
      <c r="AX158" s="10">
        <v>2.9328923577247772</v>
      </c>
      <c r="AY158" s="314">
        <f t="shared" si="65"/>
        <v>0.40441206431423932</v>
      </c>
      <c r="AZ158" s="314">
        <f t="shared" si="66"/>
        <v>0.56187851719595727</v>
      </c>
      <c r="BA158" s="315">
        <f t="shared" si="67"/>
        <v>3.2592396665175438E-2</v>
      </c>
      <c r="BB158" s="10">
        <f t="shared" si="68"/>
        <v>221.15777378569331</v>
      </c>
      <c r="BC158" s="10">
        <f t="shared" si="69"/>
        <v>57.316657606085997</v>
      </c>
      <c r="BD158" s="10">
        <f t="shared" si="70"/>
        <v>39.068022043103475</v>
      </c>
      <c r="BE158" s="10">
        <f t="shared" si="71"/>
        <v>163.61351850937811</v>
      </c>
      <c r="BF158" s="12">
        <v>0.43</v>
      </c>
      <c r="BG158" s="75">
        <v>0</v>
      </c>
      <c r="BH158" s="96" t="str">
        <f>+VLOOKUP(G158,Liste!$A$7:$G$50,3,FALSE)</f>
        <v>Douglas</v>
      </c>
      <c r="BI158" s="96" t="str">
        <f>+VLOOKUP(H158,Liste!$B$7:$G$50,5,FALSE)</f>
        <v>National</v>
      </c>
      <c r="BJ158" s="135">
        <f t="shared" si="46"/>
        <v>70</v>
      </c>
      <c r="BK158" s="135" t="str">
        <f t="shared" si="48"/>
        <v>Douglas_F2_Entree 17-18m, densité haute_National_70_</v>
      </c>
      <c r="BL158" s="322"/>
      <c r="BM158" s="75">
        <v>0</v>
      </c>
      <c r="BN158" s="13">
        <v>0</v>
      </c>
      <c r="BO158" s="13">
        <v>566.74488933889404</v>
      </c>
      <c r="BP158" s="13">
        <v>306.22140208535097</v>
      </c>
      <c r="BQ158" s="13"/>
      <c r="BT158" s="298" t="str">
        <f>+VLOOKUP(G158,Liste!$A$7:$H$50,8,FALSE)</f>
        <v>Résineux</v>
      </c>
      <c r="BU158" s="298">
        <f t="shared" si="49"/>
        <v>0</v>
      </c>
      <c r="BV158" s="300">
        <f t="shared" si="50"/>
        <v>1</v>
      </c>
      <c r="BW158" s="321">
        <v>0</v>
      </c>
      <c r="BX158" s="298">
        <f t="shared" si="51"/>
        <v>0.43</v>
      </c>
      <c r="BY158">
        <f t="shared" si="52"/>
        <v>0</v>
      </c>
      <c r="BZ158" s="304">
        <f t="shared" si="53"/>
        <v>0</v>
      </c>
      <c r="CB158" s="299">
        <v>0.6</v>
      </c>
      <c r="CC158" s="299">
        <v>0.4</v>
      </c>
      <c r="CD158">
        <f t="shared" si="54"/>
        <v>0</v>
      </c>
      <c r="CE158">
        <f t="shared" si="55"/>
        <v>0</v>
      </c>
      <c r="CF158">
        <f t="shared" si="56"/>
        <v>0</v>
      </c>
      <c r="CG158">
        <f t="shared" si="57"/>
        <v>0</v>
      </c>
      <c r="CH158">
        <f t="shared" si="58"/>
        <v>0</v>
      </c>
      <c r="CI158">
        <f t="shared" si="59"/>
        <v>0</v>
      </c>
      <c r="CJ158">
        <f t="shared" si="60"/>
        <v>0</v>
      </c>
      <c r="CK158">
        <f t="shared" si="61"/>
        <v>0</v>
      </c>
      <c r="CL158">
        <f t="shared" si="62"/>
        <v>0</v>
      </c>
      <c r="CM158">
        <f t="shared" si="64"/>
        <v>0</v>
      </c>
      <c r="CN158">
        <f t="shared" si="63"/>
        <v>0</v>
      </c>
      <c r="CO158">
        <f t="shared" si="47"/>
        <v>0</v>
      </c>
    </row>
    <row r="159" spans="1:93" s="12" customFormat="1" ht="14.65" customHeight="1" x14ac:dyDescent="0.25">
      <c r="A159" s="4">
        <v>2021</v>
      </c>
      <c r="B159" s="4"/>
      <c r="C159" s="4" t="s">
        <v>68</v>
      </c>
      <c r="D159" s="4" t="s">
        <v>67</v>
      </c>
      <c r="E159" s="4" t="s">
        <v>145</v>
      </c>
      <c r="F159" s="4" t="s">
        <v>90</v>
      </c>
      <c r="G159" s="5" t="s">
        <v>8</v>
      </c>
      <c r="H159" s="5" t="s">
        <v>11</v>
      </c>
      <c r="I159" s="5" t="s">
        <v>143</v>
      </c>
      <c r="J159" s="5" t="s">
        <v>144</v>
      </c>
      <c r="K159" s="5">
        <v>26</v>
      </c>
      <c r="L159" s="5" t="s">
        <v>190</v>
      </c>
      <c r="M159" s="5">
        <v>1666</v>
      </c>
      <c r="N159" s="5" t="s">
        <v>171</v>
      </c>
      <c r="O159" s="6" t="s">
        <v>81</v>
      </c>
      <c r="P159" s="6" t="s">
        <v>83</v>
      </c>
      <c r="Q159" s="6"/>
      <c r="R159" s="6" t="s">
        <v>84</v>
      </c>
      <c r="S159" s="6">
        <v>25</v>
      </c>
      <c r="T159" s="6">
        <v>14.76</v>
      </c>
      <c r="U159" s="6">
        <v>1600</v>
      </c>
      <c r="V159" s="6">
        <v>26.34</v>
      </c>
      <c r="W159" s="6">
        <v>40</v>
      </c>
      <c r="X159" s="6">
        <v>465</v>
      </c>
      <c r="Y159" s="6">
        <v>873</v>
      </c>
      <c r="Z159" s="6">
        <v>210</v>
      </c>
      <c r="AA159" s="6">
        <v>12</v>
      </c>
      <c r="AB159" s="6">
        <v>0</v>
      </c>
      <c r="AC159" s="7">
        <v>25</v>
      </c>
      <c r="AD159" s="7" t="s">
        <v>52</v>
      </c>
      <c r="AE159" s="9">
        <v>14.760912241238</v>
      </c>
      <c r="AF159" s="7">
        <v>1600</v>
      </c>
      <c r="AG159" s="9">
        <v>26.6044168178204</v>
      </c>
      <c r="AH159" s="9">
        <v>14.550299729959599</v>
      </c>
      <c r="AI159" s="9">
        <v>21.914621440090698</v>
      </c>
      <c r="AJ159" s="9">
        <v>145.38214521104999</v>
      </c>
      <c r="AK159" s="9">
        <v>145.51004080000001</v>
      </c>
      <c r="AL159" s="9">
        <v>181.55856865914299</v>
      </c>
      <c r="AM159" s="9">
        <v>26.604416817972702</v>
      </c>
      <c r="AN159" s="9">
        <v>1.0641766727189099</v>
      </c>
      <c r="AO159" s="9">
        <v>1.17924537880374</v>
      </c>
      <c r="AP159" s="9">
        <v>181.55856865914299</v>
      </c>
      <c r="AQ159" s="9">
        <v>7.2623427463657002</v>
      </c>
      <c r="AR159" s="9">
        <v>14.729440702504901</v>
      </c>
      <c r="AS159" s="73" t="s">
        <v>169</v>
      </c>
      <c r="AT159" s="8"/>
      <c r="AU159" s="10" t="s">
        <v>169</v>
      </c>
      <c r="AV159" s="10">
        <v>0</v>
      </c>
      <c r="AW159" s="8"/>
      <c r="AX159" s="74" t="s">
        <v>169</v>
      </c>
      <c r="AY159" s="314" t="str">
        <f t="shared" si="65"/>
        <v/>
      </c>
      <c r="AZ159" s="314" t="str">
        <f t="shared" si="66"/>
        <v/>
      </c>
      <c r="BA159" s="315" t="str">
        <f t="shared" si="67"/>
        <v/>
      </c>
      <c r="BB159" s="10" t="str">
        <f t="shared" si="68"/>
        <v/>
      </c>
      <c r="BC159" s="10" t="str">
        <f t="shared" si="69"/>
        <v/>
      </c>
      <c r="BD159" s="10" t="str">
        <f t="shared" si="70"/>
        <v/>
      </c>
      <c r="BE159" s="10" t="str">
        <f t="shared" si="71"/>
        <v/>
      </c>
      <c r="BF159" s="12">
        <v>0.43</v>
      </c>
      <c r="BG159" s="13">
        <v>135.97223804999999</v>
      </c>
      <c r="BH159" s="96" t="str">
        <f>+VLOOKUP(G159,Liste!$A$7:$G$50,3,FALSE)</f>
        <v>Douglas</v>
      </c>
      <c r="BI159" s="96" t="str">
        <f>+VLOOKUP(H159,Liste!$B$7:$G$50,5,FALSE)</f>
        <v>National</v>
      </c>
      <c r="BJ159" s="135">
        <f t="shared" si="46"/>
        <v>25</v>
      </c>
      <c r="BK159" s="135" t="str">
        <f t="shared" si="48"/>
        <v>Douglas_F3_Entree 19-20m_National_25_</v>
      </c>
      <c r="BL159" s="322"/>
      <c r="BM159" s="13">
        <v>37.732626150000016</v>
      </c>
      <c r="BN159" s="13">
        <v>173.70486420707201</v>
      </c>
      <c r="BP159" s="13">
        <v>283.36739999999998</v>
      </c>
      <c r="BQ159" s="13">
        <v>13.6356860608935</v>
      </c>
      <c r="BT159" s="298" t="str">
        <f>+VLOOKUP(G159,Liste!$A$7:$H$50,8,FALSE)</f>
        <v>Résineux</v>
      </c>
      <c r="BU159" s="298">
        <f t="shared" si="49"/>
        <v>0</v>
      </c>
      <c r="BV159" s="300">
        <f t="shared" si="50"/>
        <v>1</v>
      </c>
      <c r="BW159" s="321">
        <v>0</v>
      </c>
      <c r="BX159" s="298">
        <f t="shared" si="51"/>
        <v>0.43</v>
      </c>
      <c r="BY159">
        <f t="shared" si="52"/>
        <v>0</v>
      </c>
      <c r="BZ159" s="304">
        <f t="shared" si="53"/>
        <v>0</v>
      </c>
      <c r="CB159" s="299">
        <v>0.6</v>
      </c>
      <c r="CC159" s="299">
        <v>0.4</v>
      </c>
      <c r="CD159">
        <f t="shared" si="54"/>
        <v>0</v>
      </c>
      <c r="CE159">
        <f t="shared" si="55"/>
        <v>0</v>
      </c>
      <c r="CF159">
        <f t="shared" si="56"/>
        <v>0</v>
      </c>
      <c r="CG159">
        <f t="shared" si="57"/>
        <v>0</v>
      </c>
      <c r="CH159">
        <f t="shared" si="58"/>
        <v>0</v>
      </c>
      <c r="CI159">
        <f t="shared" si="59"/>
        <v>0</v>
      </c>
      <c r="CJ159">
        <f t="shared" si="60"/>
        <v>0</v>
      </c>
      <c r="CK159">
        <f t="shared" si="61"/>
        <v>0</v>
      </c>
      <c r="CL159">
        <f t="shared" si="62"/>
        <v>0</v>
      </c>
      <c r="CM159">
        <f t="shared" si="64"/>
        <v>0</v>
      </c>
      <c r="CN159">
        <f t="shared" si="63"/>
        <v>0</v>
      </c>
      <c r="CO159">
        <f t="shared" si="47"/>
        <v>0</v>
      </c>
    </row>
    <row r="160" spans="1:93" s="12" customFormat="1" ht="14.65" customHeight="1" x14ac:dyDescent="0.25">
      <c r="A160" s="4">
        <v>2021</v>
      </c>
      <c r="B160" s="4"/>
      <c r="C160" s="4" t="s">
        <v>68</v>
      </c>
      <c r="D160" s="4" t="s">
        <v>67</v>
      </c>
      <c r="E160" s="4" t="s">
        <v>145</v>
      </c>
      <c r="F160" s="4" t="s">
        <v>90</v>
      </c>
      <c r="G160" s="5" t="s">
        <v>8</v>
      </c>
      <c r="H160" s="5" t="s">
        <v>11</v>
      </c>
      <c r="I160" s="5" t="s">
        <v>143</v>
      </c>
      <c r="J160" s="5" t="s">
        <v>144</v>
      </c>
      <c r="K160" s="5">
        <v>26</v>
      </c>
      <c r="L160" s="5" t="s">
        <v>190</v>
      </c>
      <c r="M160" s="5">
        <v>1666</v>
      </c>
      <c r="N160" s="5" t="s">
        <v>171</v>
      </c>
      <c r="O160" s="6" t="s">
        <v>81</v>
      </c>
      <c r="P160" s="6" t="s">
        <v>83</v>
      </c>
      <c r="Q160" s="6"/>
      <c r="R160" s="6" t="s">
        <v>84</v>
      </c>
      <c r="S160" s="6">
        <v>25</v>
      </c>
      <c r="T160" s="6">
        <v>14.76</v>
      </c>
      <c r="U160" s="6">
        <v>1600</v>
      </c>
      <c r="V160" s="6">
        <v>26.34</v>
      </c>
      <c r="W160" s="6">
        <v>40</v>
      </c>
      <c r="X160" s="6">
        <v>465</v>
      </c>
      <c r="Y160" s="6">
        <v>873</v>
      </c>
      <c r="Z160" s="6">
        <v>210</v>
      </c>
      <c r="AA160" s="6">
        <v>12</v>
      </c>
      <c r="AB160" s="6">
        <v>0</v>
      </c>
      <c r="AC160" s="7">
        <v>30</v>
      </c>
      <c r="AD160" s="7" t="s">
        <v>52</v>
      </c>
      <c r="AE160" s="9"/>
      <c r="AF160" s="7"/>
      <c r="AG160" s="9"/>
      <c r="AH160" s="9"/>
      <c r="AI160" s="9"/>
      <c r="AJ160" s="9">
        <v>207.15962810884301</v>
      </c>
      <c r="AK160" s="9">
        <v>207.4308566</v>
      </c>
      <c r="AL160" s="9">
        <v>255.20577217166701</v>
      </c>
      <c r="AM160" s="9"/>
      <c r="AN160" s="7"/>
      <c r="AO160" s="7"/>
      <c r="AP160" s="9"/>
      <c r="AQ160" s="7"/>
      <c r="AR160" s="7"/>
      <c r="AS160" s="73" t="s">
        <v>169</v>
      </c>
      <c r="AT160" s="8"/>
      <c r="AU160" s="10" t="s">
        <v>169</v>
      </c>
      <c r="AV160" s="10">
        <v>0</v>
      </c>
      <c r="AW160" s="8"/>
      <c r="AX160" s="74" t="s">
        <v>169</v>
      </c>
      <c r="AY160" s="314" t="str">
        <f t="shared" si="65"/>
        <v/>
      </c>
      <c r="AZ160" s="314" t="str">
        <f t="shared" si="66"/>
        <v/>
      </c>
      <c r="BA160" s="315" t="str">
        <f t="shared" si="67"/>
        <v/>
      </c>
      <c r="BB160" s="10" t="str">
        <f t="shared" si="68"/>
        <v/>
      </c>
      <c r="BC160" s="10" t="str">
        <f t="shared" si="69"/>
        <v/>
      </c>
      <c r="BD160" s="10" t="str">
        <f t="shared" si="70"/>
        <v/>
      </c>
      <c r="BE160" s="10" t="str">
        <f t="shared" si="71"/>
        <v/>
      </c>
      <c r="BF160" s="12">
        <v>0.43</v>
      </c>
      <c r="BG160" s="13">
        <v>191.12785622333331</v>
      </c>
      <c r="BH160" s="96" t="str">
        <f>+VLOOKUP(G160,Liste!$A$7:$G$50,3,FALSE)</f>
        <v>Douglas</v>
      </c>
      <c r="BI160" s="96" t="str">
        <f>+VLOOKUP(H160,Liste!$B$7:$G$50,5,FALSE)</f>
        <v>National</v>
      </c>
      <c r="BJ160" s="135">
        <f t="shared" si="46"/>
        <v>30</v>
      </c>
      <c r="BK160" s="135" t="str">
        <f t="shared" si="48"/>
        <v>Douglas_F3_Entree 19-20m_National_30_</v>
      </c>
      <c r="BL160" s="322"/>
      <c r="BM160" s="13">
        <v>50.977469276666682</v>
      </c>
      <c r="BN160" s="13">
        <v>242.10532551449</v>
      </c>
      <c r="BP160" s="13">
        <v>283.36739999999998</v>
      </c>
      <c r="BT160" s="298" t="str">
        <f>+VLOOKUP(G160,Liste!$A$7:$H$50,8,FALSE)</f>
        <v>Résineux</v>
      </c>
      <c r="BU160" s="298">
        <f t="shared" si="49"/>
        <v>0</v>
      </c>
      <c r="BV160" s="300">
        <f t="shared" si="50"/>
        <v>1</v>
      </c>
      <c r="BW160" s="321">
        <v>0</v>
      </c>
      <c r="BX160" s="298">
        <f t="shared" si="51"/>
        <v>0.43</v>
      </c>
      <c r="BY160">
        <f t="shared" si="52"/>
        <v>0</v>
      </c>
      <c r="BZ160" s="304">
        <f t="shared" si="53"/>
        <v>0</v>
      </c>
      <c r="CB160" s="299">
        <v>0.6</v>
      </c>
      <c r="CC160" s="299">
        <v>0.4</v>
      </c>
      <c r="CD160">
        <f t="shared" si="54"/>
        <v>0</v>
      </c>
      <c r="CE160">
        <f t="shared" si="55"/>
        <v>0</v>
      </c>
      <c r="CF160">
        <f t="shared" si="56"/>
        <v>0</v>
      </c>
      <c r="CG160">
        <f t="shared" si="57"/>
        <v>0</v>
      </c>
      <c r="CH160">
        <f t="shared" si="58"/>
        <v>0</v>
      </c>
      <c r="CI160">
        <f t="shared" si="59"/>
        <v>0</v>
      </c>
      <c r="CJ160">
        <f t="shared" si="60"/>
        <v>0</v>
      </c>
      <c r="CK160">
        <f t="shared" si="61"/>
        <v>0</v>
      </c>
      <c r="CL160">
        <f t="shared" si="62"/>
        <v>0</v>
      </c>
      <c r="CM160">
        <f t="shared" si="64"/>
        <v>0</v>
      </c>
      <c r="CN160">
        <f t="shared" si="63"/>
        <v>0</v>
      </c>
      <c r="CO160">
        <f t="shared" si="47"/>
        <v>0</v>
      </c>
    </row>
    <row r="161" spans="1:93" s="12" customFormat="1" ht="14.65" customHeight="1" x14ac:dyDescent="0.25">
      <c r="A161" s="4">
        <v>2021</v>
      </c>
      <c r="B161" s="4"/>
      <c r="C161" s="4" t="s">
        <v>68</v>
      </c>
      <c r="D161" s="4" t="s">
        <v>67</v>
      </c>
      <c r="E161" s="4" t="s">
        <v>145</v>
      </c>
      <c r="F161" s="4" t="s">
        <v>90</v>
      </c>
      <c r="G161" s="5" t="s">
        <v>8</v>
      </c>
      <c r="H161" s="5" t="s">
        <v>11</v>
      </c>
      <c r="I161" s="5" t="s">
        <v>143</v>
      </c>
      <c r="J161" s="5" t="s">
        <v>144</v>
      </c>
      <c r="K161" s="5">
        <v>26</v>
      </c>
      <c r="L161" s="5" t="s">
        <v>190</v>
      </c>
      <c r="M161" s="5">
        <v>1666</v>
      </c>
      <c r="N161" s="5" t="s">
        <v>171</v>
      </c>
      <c r="O161" s="6" t="s">
        <v>81</v>
      </c>
      <c r="P161" s="6" t="s">
        <v>83</v>
      </c>
      <c r="Q161" s="6"/>
      <c r="R161" s="6" t="s">
        <v>84</v>
      </c>
      <c r="S161" s="6">
        <v>25</v>
      </c>
      <c r="T161" s="6">
        <v>14.76</v>
      </c>
      <c r="U161" s="6">
        <v>1600</v>
      </c>
      <c r="V161" s="6">
        <v>26.34</v>
      </c>
      <c r="W161" s="6">
        <v>40</v>
      </c>
      <c r="X161" s="6">
        <v>465</v>
      </c>
      <c r="Y161" s="6">
        <v>873</v>
      </c>
      <c r="Z161" s="6">
        <v>210</v>
      </c>
      <c r="AA161" s="6">
        <v>12</v>
      </c>
      <c r="AB161" s="6">
        <v>0</v>
      </c>
      <c r="AC161" s="7">
        <v>35</v>
      </c>
      <c r="AD161" s="7" t="s">
        <v>52</v>
      </c>
      <c r="AE161" s="9">
        <v>20.009368127567299</v>
      </c>
      <c r="AF161" s="7">
        <v>1600</v>
      </c>
      <c r="AG161" s="9">
        <v>38.3968706061628</v>
      </c>
      <c r="AH161" s="9">
        <v>17.480062580309401</v>
      </c>
      <c r="AI161" s="9">
        <v>27.103815890560099</v>
      </c>
      <c r="AJ161" s="9">
        <v>268.93711100663597</v>
      </c>
      <c r="AK161" s="9">
        <v>269.35167230000002</v>
      </c>
      <c r="AL161" s="9">
        <v>328.85297568419202</v>
      </c>
      <c r="AM161" s="9">
        <v>38.396870606010097</v>
      </c>
      <c r="AN161" s="9">
        <v>1.097053445886</v>
      </c>
      <c r="AO161" s="9">
        <v>1.022089070092</v>
      </c>
      <c r="AP161" s="9">
        <v>328.85297568419202</v>
      </c>
      <c r="AQ161" s="9">
        <v>9.3957993052626207</v>
      </c>
      <c r="AR161" s="9">
        <v>14.158964042750799</v>
      </c>
      <c r="AS161" s="73" t="s">
        <v>169</v>
      </c>
      <c r="AT161" s="8"/>
      <c r="AU161" s="10" t="s">
        <v>169</v>
      </c>
      <c r="AV161" s="10">
        <v>0</v>
      </c>
      <c r="AW161" s="8"/>
      <c r="AX161" s="74" t="s">
        <v>169</v>
      </c>
      <c r="AY161" s="314" t="str">
        <f t="shared" si="65"/>
        <v/>
      </c>
      <c r="AZ161" s="314" t="str">
        <f t="shared" si="66"/>
        <v/>
      </c>
      <c r="BA161" s="315" t="str">
        <f t="shared" si="67"/>
        <v/>
      </c>
      <c r="BB161" s="10" t="str">
        <f t="shared" si="68"/>
        <v/>
      </c>
      <c r="BC161" s="10" t="str">
        <f t="shared" si="69"/>
        <v/>
      </c>
      <c r="BD161" s="10" t="str">
        <f t="shared" si="70"/>
        <v/>
      </c>
      <c r="BE161" s="10" t="str">
        <f t="shared" si="71"/>
        <v/>
      </c>
      <c r="BF161" s="12">
        <v>0.43</v>
      </c>
      <c r="BG161" s="75">
        <v>246.28347436000001</v>
      </c>
      <c r="BH161" s="96" t="str">
        <f>+VLOOKUP(G161,Liste!$A$7:$G$50,3,FALSE)</f>
        <v>Douglas</v>
      </c>
      <c r="BI161" s="96" t="str">
        <f>+VLOOKUP(H161,Liste!$B$7:$G$50,5,FALSE)</f>
        <v>National</v>
      </c>
      <c r="BJ161" s="135">
        <f t="shared" si="46"/>
        <v>35</v>
      </c>
      <c r="BK161" s="135" t="str">
        <f t="shared" si="48"/>
        <v>Douglas_F3_Entree 19-20m_National_35_</v>
      </c>
      <c r="BL161" s="322"/>
      <c r="BM161" s="75">
        <v>63.778250439999965</v>
      </c>
      <c r="BN161" s="13">
        <v>310.06172481600697</v>
      </c>
      <c r="BP161" s="13">
        <v>283.36739999999998</v>
      </c>
      <c r="BQ161" s="13">
        <v>12.9821213759139</v>
      </c>
      <c r="BT161" s="298" t="str">
        <f>+VLOOKUP(G161,Liste!$A$7:$H$50,8,FALSE)</f>
        <v>Résineux</v>
      </c>
      <c r="BU161" s="298">
        <f t="shared" si="49"/>
        <v>0</v>
      </c>
      <c r="BV161" s="300">
        <f t="shared" si="50"/>
        <v>1</v>
      </c>
      <c r="BW161" s="321">
        <v>0</v>
      </c>
      <c r="BX161" s="298">
        <f t="shared" si="51"/>
        <v>0.43</v>
      </c>
      <c r="BY161">
        <f t="shared" si="52"/>
        <v>0</v>
      </c>
      <c r="BZ161" s="304">
        <f t="shared" si="53"/>
        <v>0</v>
      </c>
      <c r="CB161" s="299">
        <v>0.6</v>
      </c>
      <c r="CC161" s="299">
        <v>0.4</v>
      </c>
      <c r="CD161">
        <f t="shared" si="54"/>
        <v>0</v>
      </c>
      <c r="CE161">
        <f t="shared" si="55"/>
        <v>0</v>
      </c>
      <c r="CF161">
        <f t="shared" si="56"/>
        <v>0</v>
      </c>
      <c r="CG161">
        <f t="shared" si="57"/>
        <v>0</v>
      </c>
      <c r="CH161">
        <f t="shared" si="58"/>
        <v>0</v>
      </c>
      <c r="CI161">
        <f t="shared" si="59"/>
        <v>0</v>
      </c>
      <c r="CJ161">
        <f t="shared" si="60"/>
        <v>0</v>
      </c>
      <c r="CK161">
        <f t="shared" si="61"/>
        <v>0</v>
      </c>
      <c r="CL161">
        <f t="shared" si="62"/>
        <v>0</v>
      </c>
      <c r="CM161">
        <f t="shared" si="64"/>
        <v>0</v>
      </c>
      <c r="CN161">
        <f t="shared" si="63"/>
        <v>0</v>
      </c>
      <c r="CO161">
        <f t="shared" si="47"/>
        <v>0</v>
      </c>
    </row>
    <row r="162" spans="1:93" s="12" customFormat="1" ht="14.65" customHeight="1" x14ac:dyDescent="0.25">
      <c r="A162" s="4">
        <v>2021</v>
      </c>
      <c r="B162" s="4"/>
      <c r="C162" s="4" t="s">
        <v>68</v>
      </c>
      <c r="D162" s="4" t="s">
        <v>67</v>
      </c>
      <c r="E162" s="4" t="s">
        <v>145</v>
      </c>
      <c r="F162" s="4" t="s">
        <v>90</v>
      </c>
      <c r="G162" s="5" t="s">
        <v>8</v>
      </c>
      <c r="H162" s="5" t="s">
        <v>11</v>
      </c>
      <c r="I162" s="5" t="s">
        <v>143</v>
      </c>
      <c r="J162" s="5" t="s">
        <v>144</v>
      </c>
      <c r="K162" s="5">
        <v>26</v>
      </c>
      <c r="L162" s="5" t="s">
        <v>190</v>
      </c>
      <c r="M162" s="5">
        <v>1666</v>
      </c>
      <c r="N162" s="5" t="s">
        <v>171</v>
      </c>
      <c r="O162" s="6" t="s">
        <v>81</v>
      </c>
      <c r="P162" s="6" t="s">
        <v>83</v>
      </c>
      <c r="Q162" s="6"/>
      <c r="R162" s="6" t="s">
        <v>84</v>
      </c>
      <c r="S162" s="6">
        <v>25</v>
      </c>
      <c r="T162" s="6">
        <v>14.76</v>
      </c>
      <c r="U162" s="6">
        <v>1600</v>
      </c>
      <c r="V162" s="6">
        <v>26.34</v>
      </c>
      <c r="W162" s="6">
        <v>40</v>
      </c>
      <c r="X162" s="6">
        <v>465</v>
      </c>
      <c r="Y162" s="6">
        <v>873</v>
      </c>
      <c r="Z162" s="6">
        <v>210</v>
      </c>
      <c r="AA162" s="6">
        <v>12</v>
      </c>
      <c r="AB162" s="6">
        <v>0</v>
      </c>
      <c r="AC162" s="7">
        <v>35</v>
      </c>
      <c r="AD162" s="7" t="s">
        <v>53</v>
      </c>
      <c r="AE162" s="9">
        <v>20.009368127567299</v>
      </c>
      <c r="AF162" s="7">
        <v>680</v>
      </c>
      <c r="AG162" s="9">
        <v>24.281128019599599</v>
      </c>
      <c r="AH162" s="9">
        <v>21.3223482543175</v>
      </c>
      <c r="AI162" s="9">
        <v>27.103815890560099</v>
      </c>
      <c r="AJ162" s="9">
        <v>183.26425605659199</v>
      </c>
      <c r="AK162" s="9">
        <v>183.54136560000001</v>
      </c>
      <c r="AL162" s="9">
        <v>211.128172664918</v>
      </c>
      <c r="AM162" s="9">
        <v>38.396870606010097</v>
      </c>
      <c r="AN162" s="9">
        <v>1.097053445886</v>
      </c>
      <c r="AO162" s="9">
        <v>1.022089070092</v>
      </c>
      <c r="AP162" s="9">
        <v>328.85297568419202</v>
      </c>
      <c r="AQ162" s="9">
        <v>9.3957993052626207</v>
      </c>
      <c r="AR162" s="9">
        <v>14.158964042750799</v>
      </c>
      <c r="AS162" s="73">
        <v>920</v>
      </c>
      <c r="AT162" s="10">
        <v>14.115742586563201</v>
      </c>
      <c r="AU162" s="10">
        <v>13.976969280443516</v>
      </c>
      <c r="AV162" s="10">
        <v>85.672854950043984</v>
      </c>
      <c r="AW162" s="316">
        <v>0.63935203974432886</v>
      </c>
      <c r="AX162" s="74">
        <v>9.3122668423960858E-2</v>
      </c>
      <c r="AY162" s="314">
        <f t="shared" si="65"/>
        <v>0</v>
      </c>
      <c r="AZ162" s="314">
        <f t="shared" si="66"/>
        <v>0</v>
      </c>
      <c r="BA162" s="315">
        <f t="shared" si="67"/>
        <v>0.94438905822072727</v>
      </c>
      <c r="BB162" s="10">
        <f t="shared" si="68"/>
        <v>0</v>
      </c>
      <c r="BC162" s="10">
        <f t="shared" si="69"/>
        <v>43.739138776811437</v>
      </c>
      <c r="BD162" s="10">
        <f t="shared" si="70"/>
        <v>22.654381904378845</v>
      </c>
      <c r="BE162" s="10">
        <f t="shared" si="71"/>
        <v>4.5146946795154985</v>
      </c>
      <c r="BF162" s="12">
        <v>0.43</v>
      </c>
      <c r="BG162" s="75">
        <v>158.11740732333334</v>
      </c>
      <c r="BH162" s="96" t="str">
        <f>+VLOOKUP(G162,Liste!$A$7:$G$50,3,FALSE)</f>
        <v>Douglas</v>
      </c>
      <c r="BI162" s="96" t="str">
        <f>+VLOOKUP(H162,Liste!$B$7:$G$50,5,FALSE)</f>
        <v>National</v>
      </c>
      <c r="BJ162" s="135">
        <f t="shared" si="46"/>
        <v>35</v>
      </c>
      <c r="BK162" s="135" t="str">
        <f t="shared" si="48"/>
        <v>Douglas_F3_Entree 19-20m_National_35_</v>
      </c>
      <c r="BL162" s="322"/>
      <c r="BM162" s="75">
        <v>43.114052376666649</v>
      </c>
      <c r="BN162" s="13">
        <v>201.23145966562399</v>
      </c>
      <c r="BO162" s="13">
        <v>108.83026515038298</v>
      </c>
      <c r="BP162" s="13">
        <v>283.36739999999998</v>
      </c>
      <c r="BQ162" s="13">
        <v>12.9821213759139</v>
      </c>
      <c r="BT162" s="298" t="str">
        <f>+VLOOKUP(G162,Liste!$A$7:$H$50,8,FALSE)</f>
        <v>Résineux</v>
      </c>
      <c r="BU162" s="298">
        <f t="shared" si="49"/>
        <v>0</v>
      </c>
      <c r="BV162" s="300">
        <f t="shared" si="50"/>
        <v>1</v>
      </c>
      <c r="BW162" s="321">
        <v>0</v>
      </c>
      <c r="BX162" s="298">
        <f t="shared" si="51"/>
        <v>0.43</v>
      </c>
      <c r="BY162">
        <f t="shared" si="52"/>
        <v>0</v>
      </c>
      <c r="BZ162" s="304">
        <f t="shared" si="53"/>
        <v>0</v>
      </c>
      <c r="CB162" s="299">
        <v>0.6</v>
      </c>
      <c r="CC162" s="299">
        <v>0.4</v>
      </c>
      <c r="CD162">
        <f t="shared" si="54"/>
        <v>0</v>
      </c>
      <c r="CE162">
        <f t="shared" si="55"/>
        <v>0</v>
      </c>
      <c r="CF162">
        <f t="shared" si="56"/>
        <v>0</v>
      </c>
      <c r="CG162">
        <f t="shared" si="57"/>
        <v>0</v>
      </c>
      <c r="CH162">
        <f t="shared" si="58"/>
        <v>0</v>
      </c>
      <c r="CI162">
        <f t="shared" si="59"/>
        <v>0</v>
      </c>
      <c r="CJ162">
        <f t="shared" si="60"/>
        <v>0</v>
      </c>
      <c r="CK162">
        <f t="shared" si="61"/>
        <v>0</v>
      </c>
      <c r="CL162">
        <f t="shared" si="62"/>
        <v>0</v>
      </c>
      <c r="CM162">
        <f t="shared" si="64"/>
        <v>0</v>
      </c>
      <c r="CN162">
        <f t="shared" si="63"/>
        <v>0</v>
      </c>
      <c r="CO162">
        <f t="shared" si="47"/>
        <v>0</v>
      </c>
    </row>
    <row r="163" spans="1:93" s="12" customFormat="1" ht="14.65" customHeight="1" x14ac:dyDescent="0.25">
      <c r="A163" s="4">
        <v>2021</v>
      </c>
      <c r="B163" s="4"/>
      <c r="C163" s="4" t="s">
        <v>68</v>
      </c>
      <c r="D163" s="4" t="s">
        <v>67</v>
      </c>
      <c r="E163" s="4" t="s">
        <v>145</v>
      </c>
      <c r="F163" s="4" t="s">
        <v>90</v>
      </c>
      <c r="G163" s="5" t="s">
        <v>8</v>
      </c>
      <c r="H163" s="5" t="s">
        <v>11</v>
      </c>
      <c r="I163" s="5" t="s">
        <v>143</v>
      </c>
      <c r="J163" s="5" t="s">
        <v>144</v>
      </c>
      <c r="K163" s="5">
        <v>26</v>
      </c>
      <c r="L163" s="5" t="s">
        <v>190</v>
      </c>
      <c r="M163" s="5">
        <v>1666</v>
      </c>
      <c r="N163" s="5" t="s">
        <v>171</v>
      </c>
      <c r="O163" s="6" t="s">
        <v>81</v>
      </c>
      <c r="P163" s="6" t="s">
        <v>83</v>
      </c>
      <c r="Q163" s="6"/>
      <c r="R163" s="6" t="s">
        <v>84</v>
      </c>
      <c r="S163" s="6">
        <v>25</v>
      </c>
      <c r="T163" s="6">
        <v>14.76</v>
      </c>
      <c r="U163" s="6">
        <v>1600</v>
      </c>
      <c r="V163" s="6">
        <v>26.34</v>
      </c>
      <c r="W163" s="6">
        <v>40</v>
      </c>
      <c r="X163" s="6">
        <v>465</v>
      </c>
      <c r="Y163" s="6">
        <v>873</v>
      </c>
      <c r="Z163" s="6">
        <v>210</v>
      </c>
      <c r="AA163" s="6">
        <v>12</v>
      </c>
      <c r="AB163" s="6">
        <v>0</v>
      </c>
      <c r="AC163" s="7">
        <v>44</v>
      </c>
      <c r="AD163" s="7" t="s">
        <v>52</v>
      </c>
      <c r="AE163" s="9">
        <v>24.271034726321499</v>
      </c>
      <c r="AF163" s="7">
        <v>680</v>
      </c>
      <c r="AG163" s="9">
        <v>33.479929650892501</v>
      </c>
      <c r="AH163" s="9">
        <v>25.037610058630801</v>
      </c>
      <c r="AI163" s="9">
        <v>32.279820424383303</v>
      </c>
      <c r="AJ163" s="9">
        <v>265.77748747192601</v>
      </c>
      <c r="AK163" s="9">
        <v>267.8789448</v>
      </c>
      <c r="AL163" s="9">
        <v>338.55884904967502</v>
      </c>
      <c r="AM163" s="9">
        <v>47.595672236838098</v>
      </c>
      <c r="AN163" s="9">
        <v>1.0817198235645</v>
      </c>
      <c r="AO163" s="9">
        <v>0.86078356616570195</v>
      </c>
      <c r="AP163" s="9">
        <v>456.28365206894898</v>
      </c>
      <c r="AQ163" s="9">
        <v>10.370083001567</v>
      </c>
      <c r="AR163" s="9">
        <v>13.4319836127637</v>
      </c>
      <c r="AS163" s="73" t="s">
        <v>169</v>
      </c>
      <c r="AT163" s="10"/>
      <c r="AU163" s="10" t="s">
        <v>169</v>
      </c>
      <c r="AV163" s="10">
        <v>0</v>
      </c>
      <c r="AW163" s="316"/>
      <c r="AX163" s="74" t="s">
        <v>169</v>
      </c>
      <c r="AY163" s="314" t="str">
        <f t="shared" si="65"/>
        <v/>
      </c>
      <c r="AZ163" s="314" t="str">
        <f t="shared" si="66"/>
        <v/>
      </c>
      <c r="BA163" s="315" t="str">
        <f t="shared" si="67"/>
        <v/>
      </c>
      <c r="BB163" s="10" t="str">
        <f t="shared" si="68"/>
        <v/>
      </c>
      <c r="BC163" s="10" t="str">
        <f t="shared" si="69"/>
        <v/>
      </c>
      <c r="BD163" s="10" t="str">
        <f t="shared" si="70"/>
        <v/>
      </c>
      <c r="BE163" s="10" t="str">
        <f t="shared" si="71"/>
        <v/>
      </c>
      <c r="BF163" s="12">
        <v>0.43</v>
      </c>
      <c r="BG163" s="75">
        <v>253.55236470666668</v>
      </c>
      <c r="BH163" s="96" t="str">
        <f>+VLOOKUP(G163,Liste!$A$7:$G$50,3,FALSE)</f>
        <v>Douglas</v>
      </c>
      <c r="BI163" s="96" t="str">
        <f>+VLOOKUP(H163,Liste!$B$7:$G$50,5,FALSE)</f>
        <v>National</v>
      </c>
      <c r="BJ163" s="135">
        <f t="shared" si="46"/>
        <v>44</v>
      </c>
      <c r="BK163" s="135" t="str">
        <f t="shared" si="48"/>
        <v>Douglas_F3_Entree 19-20m_National_44_</v>
      </c>
      <c r="BL163" s="322"/>
      <c r="BM163" s="75">
        <v>65.43868819333332</v>
      </c>
      <c r="BN163" s="13">
        <v>318.991052867017</v>
      </c>
      <c r="BP163" s="13">
        <v>283.36739999999998</v>
      </c>
      <c r="BQ163" s="13">
        <v>12.2439326568237</v>
      </c>
      <c r="BT163" s="298" t="str">
        <f>+VLOOKUP(G163,Liste!$A$7:$H$50,8,FALSE)</f>
        <v>Résineux</v>
      </c>
      <c r="BU163" s="298">
        <f t="shared" si="49"/>
        <v>0</v>
      </c>
      <c r="BV163" s="300">
        <f t="shared" si="50"/>
        <v>1</v>
      </c>
      <c r="BW163" s="321">
        <v>0</v>
      </c>
      <c r="BX163" s="298">
        <f t="shared" si="51"/>
        <v>0.43</v>
      </c>
      <c r="BY163">
        <f t="shared" si="52"/>
        <v>0</v>
      </c>
      <c r="BZ163" s="304">
        <f t="shared" si="53"/>
        <v>0</v>
      </c>
      <c r="CB163" s="299">
        <v>0.6</v>
      </c>
      <c r="CC163" s="299">
        <v>0.4</v>
      </c>
      <c r="CD163">
        <f t="shared" si="54"/>
        <v>0</v>
      </c>
      <c r="CE163">
        <f t="shared" si="55"/>
        <v>0</v>
      </c>
      <c r="CF163">
        <f t="shared" si="56"/>
        <v>0</v>
      </c>
      <c r="CG163">
        <f t="shared" si="57"/>
        <v>0</v>
      </c>
      <c r="CH163">
        <f t="shared" si="58"/>
        <v>0</v>
      </c>
      <c r="CI163">
        <f t="shared" si="59"/>
        <v>0</v>
      </c>
      <c r="CJ163">
        <f t="shared" si="60"/>
        <v>0</v>
      </c>
      <c r="CK163">
        <f t="shared" si="61"/>
        <v>0</v>
      </c>
      <c r="CL163">
        <f t="shared" si="62"/>
        <v>0</v>
      </c>
      <c r="CM163">
        <f t="shared" si="64"/>
        <v>0</v>
      </c>
      <c r="CN163">
        <f t="shared" si="63"/>
        <v>0</v>
      </c>
      <c r="CO163">
        <f t="shared" si="47"/>
        <v>0</v>
      </c>
    </row>
    <row r="164" spans="1:93" s="12" customFormat="1" ht="14.65" customHeight="1" x14ac:dyDescent="0.25">
      <c r="A164" s="4">
        <v>2021</v>
      </c>
      <c r="B164" s="4"/>
      <c r="C164" s="4" t="s">
        <v>68</v>
      </c>
      <c r="D164" s="4" t="s">
        <v>67</v>
      </c>
      <c r="E164" s="4" t="s">
        <v>145</v>
      </c>
      <c r="F164" s="4" t="s">
        <v>90</v>
      </c>
      <c r="G164" s="5" t="s">
        <v>8</v>
      </c>
      <c r="H164" s="5" t="s">
        <v>11</v>
      </c>
      <c r="I164" s="5" t="s">
        <v>143</v>
      </c>
      <c r="J164" s="5" t="s">
        <v>144</v>
      </c>
      <c r="K164" s="5">
        <v>26</v>
      </c>
      <c r="L164" s="5" t="s">
        <v>190</v>
      </c>
      <c r="M164" s="5">
        <v>1666</v>
      </c>
      <c r="N164" s="5" t="s">
        <v>171</v>
      </c>
      <c r="O164" s="6" t="s">
        <v>81</v>
      </c>
      <c r="P164" s="6" t="s">
        <v>83</v>
      </c>
      <c r="Q164" s="6"/>
      <c r="R164" s="6" t="s">
        <v>84</v>
      </c>
      <c r="S164" s="6">
        <v>25</v>
      </c>
      <c r="T164" s="6">
        <v>14.76</v>
      </c>
      <c r="U164" s="6">
        <v>1600</v>
      </c>
      <c r="V164" s="6">
        <v>26.34</v>
      </c>
      <c r="W164" s="6">
        <v>40</v>
      </c>
      <c r="X164" s="6">
        <v>465</v>
      </c>
      <c r="Y164" s="6">
        <v>873</v>
      </c>
      <c r="Z164" s="6">
        <v>210</v>
      </c>
      <c r="AA164" s="6">
        <v>12</v>
      </c>
      <c r="AB164" s="6">
        <v>0</v>
      </c>
      <c r="AC164" s="7">
        <v>44</v>
      </c>
      <c r="AD164" s="7" t="s">
        <v>53</v>
      </c>
      <c r="AE164" s="9">
        <v>24.271034726321499</v>
      </c>
      <c r="AF164" s="7">
        <v>530</v>
      </c>
      <c r="AG164" s="9">
        <v>26.139196378668</v>
      </c>
      <c r="AH164" s="9">
        <v>25.058971389737099</v>
      </c>
      <c r="AI164" s="9">
        <v>30.8722809003748</v>
      </c>
      <c r="AJ164" s="9">
        <v>207.21021826561201</v>
      </c>
      <c r="AK164" s="9">
        <v>208.82583210000001</v>
      </c>
      <c r="AL164" s="9">
        <v>263.88018306009201</v>
      </c>
      <c r="AM164" s="9">
        <v>47.595672236838098</v>
      </c>
      <c r="AN164" s="9">
        <v>1.0817198235645</v>
      </c>
      <c r="AO164" s="9">
        <v>0.86078356616570195</v>
      </c>
      <c r="AP164" s="9">
        <v>456.28365206894898</v>
      </c>
      <c r="AQ164" s="9">
        <v>10.370083001567</v>
      </c>
      <c r="AR164" s="9">
        <v>13.4319836127637</v>
      </c>
      <c r="AS164" s="73">
        <v>150</v>
      </c>
      <c r="AT164" s="10">
        <v>7.3407332722245009</v>
      </c>
      <c r="AU164" s="10">
        <v>24.961986952897512</v>
      </c>
      <c r="AV164" s="10">
        <v>58.567269206313995</v>
      </c>
      <c r="AW164" s="316">
        <v>0.99396836197346849</v>
      </c>
      <c r="AX164" s="74">
        <v>0.39044846137542666</v>
      </c>
      <c r="AY164" s="314">
        <f t="shared" si="65"/>
        <v>0</v>
      </c>
      <c r="AZ164" s="314">
        <f t="shared" si="66"/>
        <v>0.54567667442904422</v>
      </c>
      <c r="BA164" s="315">
        <f t="shared" si="67"/>
        <v>0.43752795474553585</v>
      </c>
      <c r="BB164" s="10">
        <f t="shared" si="68"/>
        <v>15.023828443988322</v>
      </c>
      <c r="BC164" s="10">
        <f t="shared" si="69"/>
        <v>17.163707269152603</v>
      </c>
      <c r="BD164" s="10">
        <f t="shared" si="70"/>
        <v>9.5271160450931855</v>
      </c>
      <c r="BE164" s="10">
        <f t="shared" si="71"/>
        <v>12.484411208886073</v>
      </c>
      <c r="BF164" s="12">
        <v>0.43</v>
      </c>
      <c r="BG164" s="75">
        <v>197.62426709666667</v>
      </c>
      <c r="BH164" s="96" t="str">
        <f>+VLOOKUP(G164,Liste!$A$7:$G$50,3,FALSE)</f>
        <v>Douglas</v>
      </c>
      <c r="BI164" s="96" t="str">
        <f>+VLOOKUP(H164,Liste!$B$7:$G$50,5,FALSE)</f>
        <v>National</v>
      </c>
      <c r="BJ164" s="135">
        <f t="shared" si="46"/>
        <v>44</v>
      </c>
      <c r="BK164" s="135" t="str">
        <f t="shared" si="48"/>
        <v>Douglas_F3_Entree 19-20m_National_44_</v>
      </c>
      <c r="BL164" s="322"/>
      <c r="BM164" s="75">
        <v>52.505507403333326</v>
      </c>
      <c r="BN164" s="13">
        <v>250.12977454718501</v>
      </c>
      <c r="BO164" s="13">
        <v>68.861278319831996</v>
      </c>
      <c r="BP164" s="13">
        <v>283.36739999999998</v>
      </c>
      <c r="BQ164" s="13">
        <v>12.2439326568237</v>
      </c>
      <c r="BT164" s="298" t="str">
        <f>+VLOOKUP(G164,Liste!$A$7:$H$50,8,FALSE)</f>
        <v>Résineux</v>
      </c>
      <c r="BU164" s="298">
        <f t="shared" si="49"/>
        <v>0</v>
      </c>
      <c r="BV164" s="300">
        <f t="shared" si="50"/>
        <v>1</v>
      </c>
      <c r="BW164" s="321">
        <v>0</v>
      </c>
      <c r="BX164" s="298">
        <f t="shared" si="51"/>
        <v>0.43</v>
      </c>
      <c r="BY164">
        <f t="shared" si="52"/>
        <v>0</v>
      </c>
      <c r="BZ164" s="304">
        <f t="shared" si="53"/>
        <v>0</v>
      </c>
      <c r="CB164" s="299">
        <v>0.6</v>
      </c>
      <c r="CC164" s="299">
        <v>0.4</v>
      </c>
      <c r="CD164">
        <f t="shared" si="54"/>
        <v>0</v>
      </c>
      <c r="CE164">
        <f t="shared" si="55"/>
        <v>0</v>
      </c>
      <c r="CF164">
        <f t="shared" si="56"/>
        <v>0</v>
      </c>
      <c r="CG164">
        <f t="shared" si="57"/>
        <v>0</v>
      </c>
      <c r="CH164">
        <f t="shared" si="58"/>
        <v>0</v>
      </c>
      <c r="CI164">
        <f t="shared" si="59"/>
        <v>0</v>
      </c>
      <c r="CJ164">
        <f t="shared" si="60"/>
        <v>0</v>
      </c>
      <c r="CK164">
        <f t="shared" si="61"/>
        <v>0</v>
      </c>
      <c r="CL164">
        <f t="shared" si="62"/>
        <v>0</v>
      </c>
      <c r="CM164">
        <f t="shared" si="64"/>
        <v>0</v>
      </c>
      <c r="CN164">
        <f t="shared" si="63"/>
        <v>0</v>
      </c>
      <c r="CO164">
        <f t="shared" si="47"/>
        <v>0</v>
      </c>
    </row>
    <row r="165" spans="1:93" s="12" customFormat="1" ht="14.65" customHeight="1" x14ac:dyDescent="0.25">
      <c r="A165" s="4">
        <v>2021</v>
      </c>
      <c r="B165" s="4"/>
      <c r="C165" s="4" t="s">
        <v>68</v>
      </c>
      <c r="D165" s="4" t="s">
        <v>67</v>
      </c>
      <c r="E165" s="4" t="s">
        <v>145</v>
      </c>
      <c r="F165" s="4" t="s">
        <v>90</v>
      </c>
      <c r="G165" s="5" t="s">
        <v>8</v>
      </c>
      <c r="H165" s="5" t="s">
        <v>11</v>
      </c>
      <c r="I165" s="5" t="s">
        <v>143</v>
      </c>
      <c r="J165" s="5" t="s">
        <v>144</v>
      </c>
      <c r="K165" s="5">
        <v>26</v>
      </c>
      <c r="L165" s="5" t="s">
        <v>190</v>
      </c>
      <c r="M165" s="5">
        <v>1666</v>
      </c>
      <c r="N165" s="5" t="s">
        <v>171</v>
      </c>
      <c r="O165" s="6" t="s">
        <v>81</v>
      </c>
      <c r="P165" s="6" t="s">
        <v>83</v>
      </c>
      <c r="Q165" s="6"/>
      <c r="R165" s="6" t="s">
        <v>84</v>
      </c>
      <c r="S165" s="6">
        <v>25</v>
      </c>
      <c r="T165" s="6">
        <v>14.76</v>
      </c>
      <c r="U165" s="6">
        <v>1600</v>
      </c>
      <c r="V165" s="6">
        <v>26.34</v>
      </c>
      <c r="W165" s="6">
        <v>40</v>
      </c>
      <c r="X165" s="6">
        <v>465</v>
      </c>
      <c r="Y165" s="6">
        <v>873</v>
      </c>
      <c r="Z165" s="6">
        <v>210</v>
      </c>
      <c r="AA165" s="6">
        <v>12</v>
      </c>
      <c r="AB165" s="6">
        <v>0</v>
      </c>
      <c r="AC165" s="7">
        <v>53</v>
      </c>
      <c r="AD165" s="7" t="s">
        <v>52</v>
      </c>
      <c r="AE165" s="9">
        <v>28.1134373103318</v>
      </c>
      <c r="AF165" s="7">
        <v>530</v>
      </c>
      <c r="AG165" s="9">
        <v>33.886248473375602</v>
      </c>
      <c r="AH165" s="9">
        <v>28.531780221764699</v>
      </c>
      <c r="AI165" s="9">
        <v>35.608217112787997</v>
      </c>
      <c r="AJ165" s="9">
        <v>303.84378792716899</v>
      </c>
      <c r="AK165" s="9">
        <v>306.66983399999998</v>
      </c>
      <c r="AL165" s="9">
        <v>384.76803557496498</v>
      </c>
      <c r="AM165" s="9">
        <v>55.342724332329396</v>
      </c>
      <c r="AN165" s="9">
        <v>1.0442023458930101</v>
      </c>
      <c r="AO165" s="9">
        <v>0.70179664816057796</v>
      </c>
      <c r="AP165" s="9">
        <v>577.17150458382196</v>
      </c>
      <c r="AQ165" s="9">
        <v>10.890028388374001</v>
      </c>
      <c r="AR165" s="9">
        <v>12.2074994080631</v>
      </c>
      <c r="AS165" s="73" t="s">
        <v>169</v>
      </c>
      <c r="AT165" s="10"/>
      <c r="AU165" s="10" t="s">
        <v>169</v>
      </c>
      <c r="AV165" s="10">
        <v>0</v>
      </c>
      <c r="AW165" s="317"/>
      <c r="AX165" s="74" t="s">
        <v>169</v>
      </c>
      <c r="AY165" s="314" t="str">
        <f t="shared" si="65"/>
        <v/>
      </c>
      <c r="AZ165" s="314" t="str">
        <f t="shared" si="66"/>
        <v/>
      </c>
      <c r="BA165" s="315" t="str">
        <f t="shared" si="67"/>
        <v/>
      </c>
      <c r="BB165" s="10" t="str">
        <f t="shared" si="68"/>
        <v/>
      </c>
      <c r="BC165" s="10" t="str">
        <f t="shared" si="69"/>
        <v/>
      </c>
      <c r="BD165" s="10" t="str">
        <f t="shared" si="70"/>
        <v/>
      </c>
      <c r="BE165" s="10" t="str">
        <f t="shared" si="71"/>
        <v/>
      </c>
      <c r="BF165" s="12">
        <v>0.43</v>
      </c>
      <c r="BG165" s="75">
        <v>288.15919465666667</v>
      </c>
      <c r="BH165" s="96" t="str">
        <f>+VLOOKUP(G165,Liste!$A$7:$G$50,3,FALSE)</f>
        <v>Douglas</v>
      </c>
      <c r="BI165" s="96" t="str">
        <f>+VLOOKUP(H165,Liste!$B$7:$G$50,5,FALSE)</f>
        <v>National</v>
      </c>
      <c r="BJ165" s="135">
        <f t="shared" si="46"/>
        <v>53</v>
      </c>
      <c r="BK165" s="135" t="str">
        <f t="shared" si="48"/>
        <v>Douglas_F3_Entree 19-20m_National_53_</v>
      </c>
      <c r="BL165" s="322"/>
      <c r="BM165" s="75">
        <v>73.270921943333349</v>
      </c>
      <c r="BN165" s="13">
        <v>361.43011662057302</v>
      </c>
      <c r="BP165" s="13">
        <v>283.36739999999998</v>
      </c>
      <c r="BQ165" s="13">
        <v>11.0793606634013</v>
      </c>
      <c r="BT165" s="298" t="str">
        <f>+VLOOKUP(G165,Liste!$A$7:$H$50,8,FALSE)</f>
        <v>Résineux</v>
      </c>
      <c r="BU165" s="298">
        <f t="shared" si="49"/>
        <v>0</v>
      </c>
      <c r="BV165" s="300">
        <f t="shared" si="50"/>
        <v>1</v>
      </c>
      <c r="BW165" s="321">
        <v>0</v>
      </c>
      <c r="BX165" s="298">
        <f t="shared" si="51"/>
        <v>0.43</v>
      </c>
      <c r="BY165">
        <f t="shared" si="52"/>
        <v>0</v>
      </c>
      <c r="BZ165" s="304">
        <f t="shared" si="53"/>
        <v>0</v>
      </c>
      <c r="CB165" s="299">
        <v>0.6</v>
      </c>
      <c r="CC165" s="299">
        <v>0.4</v>
      </c>
      <c r="CD165">
        <f t="shared" si="54"/>
        <v>0</v>
      </c>
      <c r="CE165">
        <f t="shared" si="55"/>
        <v>0</v>
      </c>
      <c r="CF165">
        <f t="shared" si="56"/>
        <v>0</v>
      </c>
      <c r="CG165">
        <f t="shared" si="57"/>
        <v>0</v>
      </c>
      <c r="CH165">
        <f t="shared" si="58"/>
        <v>0</v>
      </c>
      <c r="CI165">
        <f t="shared" si="59"/>
        <v>0</v>
      </c>
      <c r="CJ165">
        <f t="shared" si="60"/>
        <v>0</v>
      </c>
      <c r="CK165">
        <f t="shared" si="61"/>
        <v>0</v>
      </c>
      <c r="CL165">
        <f t="shared" si="62"/>
        <v>0</v>
      </c>
      <c r="CM165">
        <f t="shared" si="64"/>
        <v>0</v>
      </c>
      <c r="CN165">
        <f t="shared" si="63"/>
        <v>0</v>
      </c>
      <c r="CO165">
        <f t="shared" si="47"/>
        <v>0</v>
      </c>
    </row>
    <row r="166" spans="1:93" s="12" customFormat="1" ht="14.65" customHeight="1" x14ac:dyDescent="0.25">
      <c r="A166" s="4">
        <v>2021</v>
      </c>
      <c r="B166" s="4"/>
      <c r="C166" s="4" t="s">
        <v>68</v>
      </c>
      <c r="D166" s="4" t="s">
        <v>67</v>
      </c>
      <c r="E166" s="4" t="s">
        <v>145</v>
      </c>
      <c r="F166" s="4" t="s">
        <v>90</v>
      </c>
      <c r="G166" s="5" t="s">
        <v>8</v>
      </c>
      <c r="H166" s="5" t="s">
        <v>11</v>
      </c>
      <c r="I166" s="5" t="s">
        <v>143</v>
      </c>
      <c r="J166" s="5" t="s">
        <v>144</v>
      </c>
      <c r="K166" s="5">
        <v>26</v>
      </c>
      <c r="L166" s="5" t="s">
        <v>190</v>
      </c>
      <c r="M166" s="5">
        <v>1666</v>
      </c>
      <c r="N166" s="5" t="s">
        <v>171</v>
      </c>
      <c r="O166" s="6" t="s">
        <v>81</v>
      </c>
      <c r="P166" s="6" t="s">
        <v>83</v>
      </c>
      <c r="Q166" s="6"/>
      <c r="R166" s="6" t="s">
        <v>84</v>
      </c>
      <c r="S166" s="6">
        <v>25</v>
      </c>
      <c r="T166" s="6">
        <v>14.76</v>
      </c>
      <c r="U166" s="6">
        <v>1600</v>
      </c>
      <c r="V166" s="6">
        <v>26.34</v>
      </c>
      <c r="W166" s="6">
        <v>40</v>
      </c>
      <c r="X166" s="6">
        <v>465</v>
      </c>
      <c r="Y166" s="6">
        <v>873</v>
      </c>
      <c r="Z166" s="6">
        <v>210</v>
      </c>
      <c r="AA166" s="6">
        <v>12</v>
      </c>
      <c r="AB166" s="6">
        <v>0</v>
      </c>
      <c r="AC166" s="7">
        <v>53</v>
      </c>
      <c r="AD166" s="7" t="s">
        <v>53</v>
      </c>
      <c r="AE166" s="9">
        <v>28.1134373103318</v>
      </c>
      <c r="AF166" s="7">
        <v>430</v>
      </c>
      <c r="AG166" s="9">
        <v>27.584529085058801</v>
      </c>
      <c r="AH166" s="9">
        <v>28.5794336746313</v>
      </c>
      <c r="AI166" s="9">
        <v>34.438698072266597</v>
      </c>
      <c r="AJ166" s="9">
        <v>247.217760185831</v>
      </c>
      <c r="AK166" s="9">
        <v>249.5092271</v>
      </c>
      <c r="AL166" s="9">
        <v>313.02307363971897</v>
      </c>
      <c r="AM166" s="9">
        <v>55.342724332329396</v>
      </c>
      <c r="AN166" s="9">
        <v>1.0442023458930101</v>
      </c>
      <c r="AO166" s="9">
        <v>0.70179664816057796</v>
      </c>
      <c r="AP166" s="9">
        <v>577.17150458382196</v>
      </c>
      <c r="AQ166" s="9">
        <v>10.890028388374001</v>
      </c>
      <c r="AR166" s="9">
        <v>12.2074994080631</v>
      </c>
      <c r="AS166" s="73">
        <v>100</v>
      </c>
      <c r="AT166" s="10">
        <v>6.3017193883168012</v>
      </c>
      <c r="AU166" s="10">
        <v>28.325956868267014</v>
      </c>
      <c r="AV166" s="10">
        <v>56.626027741337992</v>
      </c>
      <c r="AW166" s="316">
        <v>0.98562438342269298</v>
      </c>
      <c r="AX166" s="74">
        <v>0.56626027741337992</v>
      </c>
      <c r="AY166" s="314">
        <f t="shared" si="65"/>
        <v>0</v>
      </c>
      <c r="AZ166" s="314">
        <f t="shared" si="66"/>
        <v>0.69960645744266903</v>
      </c>
      <c r="BA166" s="315">
        <f t="shared" si="67"/>
        <v>0.28782272548373355</v>
      </c>
      <c r="BB166" s="10">
        <f t="shared" si="68"/>
        <v>18.62345088703557</v>
      </c>
      <c r="BC166" s="10">
        <f t="shared" si="69"/>
        <v>12.915048910529158</v>
      </c>
      <c r="BD166" s="10">
        <f t="shared" si="70"/>
        <v>7.4792449300957822</v>
      </c>
      <c r="BE166" s="10">
        <f t="shared" si="71"/>
        <v>14.612594577564215</v>
      </c>
      <c r="BF166" s="12">
        <v>0.43</v>
      </c>
      <c r="BG166" s="75">
        <v>234.42819689666666</v>
      </c>
      <c r="BH166" s="96" t="str">
        <f>+VLOOKUP(G166,Liste!$A$7:$G$50,3,FALSE)</f>
        <v>Douglas</v>
      </c>
      <c r="BI166" s="96" t="str">
        <f>+VLOOKUP(H166,Liste!$B$7:$G$50,5,FALSE)</f>
        <v>National</v>
      </c>
      <c r="BJ166" s="135">
        <f t="shared" si="46"/>
        <v>53</v>
      </c>
      <c r="BK166" s="135" t="str">
        <f t="shared" si="48"/>
        <v>Douglas_F3_Entree 19-20m_National_53_</v>
      </c>
      <c r="BL166" s="322"/>
      <c r="BM166" s="75">
        <v>61.057792203333321</v>
      </c>
      <c r="BN166" s="13">
        <v>295.48598910087702</v>
      </c>
      <c r="BO166" s="13">
        <v>65.944127519695996</v>
      </c>
      <c r="BP166" s="13">
        <v>283.36739999999998</v>
      </c>
      <c r="BQ166" s="13">
        <v>11.0793606634013</v>
      </c>
      <c r="BT166" s="298" t="str">
        <f>+VLOOKUP(G166,Liste!$A$7:$H$50,8,FALSE)</f>
        <v>Résineux</v>
      </c>
      <c r="BU166" s="298">
        <f t="shared" si="49"/>
        <v>0</v>
      </c>
      <c r="BV166" s="300">
        <f t="shared" si="50"/>
        <v>1</v>
      </c>
      <c r="BW166" s="321">
        <v>0</v>
      </c>
      <c r="BX166" s="298">
        <f t="shared" si="51"/>
        <v>0.43</v>
      </c>
      <c r="BY166">
        <f t="shared" si="52"/>
        <v>0</v>
      </c>
      <c r="BZ166" s="304">
        <f t="shared" si="53"/>
        <v>0</v>
      </c>
      <c r="CB166" s="299">
        <v>0.6</v>
      </c>
      <c r="CC166" s="299">
        <v>0.4</v>
      </c>
      <c r="CD166">
        <f t="shared" si="54"/>
        <v>0</v>
      </c>
      <c r="CE166">
        <f t="shared" si="55"/>
        <v>0</v>
      </c>
      <c r="CF166">
        <f t="shared" si="56"/>
        <v>0</v>
      </c>
      <c r="CG166">
        <f t="shared" si="57"/>
        <v>0</v>
      </c>
      <c r="CH166">
        <f t="shared" si="58"/>
        <v>0</v>
      </c>
      <c r="CI166">
        <f t="shared" si="59"/>
        <v>0</v>
      </c>
      <c r="CJ166">
        <f t="shared" si="60"/>
        <v>0</v>
      </c>
      <c r="CK166">
        <f t="shared" si="61"/>
        <v>0</v>
      </c>
      <c r="CL166">
        <f t="shared" si="62"/>
        <v>0</v>
      </c>
      <c r="CM166">
        <f t="shared" si="64"/>
        <v>0</v>
      </c>
      <c r="CN166">
        <f t="shared" si="63"/>
        <v>0</v>
      </c>
      <c r="CO166">
        <f t="shared" si="47"/>
        <v>0</v>
      </c>
    </row>
    <row r="167" spans="1:93" s="12" customFormat="1" ht="14.65" customHeight="1" x14ac:dyDescent="0.25">
      <c r="A167" s="4">
        <v>2021</v>
      </c>
      <c r="B167" s="4"/>
      <c r="C167" s="4" t="s">
        <v>68</v>
      </c>
      <c r="D167" s="4" t="s">
        <v>67</v>
      </c>
      <c r="E167" s="4" t="s">
        <v>145</v>
      </c>
      <c r="F167" s="4" t="s">
        <v>90</v>
      </c>
      <c r="G167" s="5" t="s">
        <v>8</v>
      </c>
      <c r="H167" s="5" t="s">
        <v>11</v>
      </c>
      <c r="I167" s="5" t="s">
        <v>143</v>
      </c>
      <c r="J167" s="5" t="s">
        <v>144</v>
      </c>
      <c r="K167" s="5">
        <v>26</v>
      </c>
      <c r="L167" s="5" t="s">
        <v>190</v>
      </c>
      <c r="M167" s="5">
        <v>1666</v>
      </c>
      <c r="N167" s="5" t="s">
        <v>171</v>
      </c>
      <c r="O167" s="6" t="s">
        <v>81</v>
      </c>
      <c r="P167" s="6" t="s">
        <v>83</v>
      </c>
      <c r="Q167" s="6"/>
      <c r="R167" s="6" t="s">
        <v>84</v>
      </c>
      <c r="S167" s="6">
        <v>25</v>
      </c>
      <c r="T167" s="6">
        <v>14.76</v>
      </c>
      <c r="U167" s="6">
        <v>1600</v>
      </c>
      <c r="V167" s="6">
        <v>26.34</v>
      </c>
      <c r="W167" s="6">
        <v>40</v>
      </c>
      <c r="X167" s="6">
        <v>465</v>
      </c>
      <c r="Y167" s="6">
        <v>873</v>
      </c>
      <c r="Z167" s="6">
        <v>210</v>
      </c>
      <c r="AA167" s="6">
        <v>12</v>
      </c>
      <c r="AB167" s="6">
        <v>0</v>
      </c>
      <c r="AC167" s="7">
        <v>63</v>
      </c>
      <c r="AD167" s="7" t="s">
        <v>52</v>
      </c>
      <c r="AE167" s="9">
        <v>31.925512399373002</v>
      </c>
      <c r="AF167" s="7">
        <v>430</v>
      </c>
      <c r="AG167" s="9">
        <v>34.602495566855197</v>
      </c>
      <c r="AH167" s="9">
        <v>32.009179534483103</v>
      </c>
      <c r="AI167" s="9">
        <v>39.007684157460901</v>
      </c>
      <c r="AJ167" s="9">
        <v>344.83336430997798</v>
      </c>
      <c r="AK167" s="9">
        <v>348.48550010000002</v>
      </c>
      <c r="AL167" s="9">
        <v>435.09806772035</v>
      </c>
      <c r="AM167" s="9">
        <v>62.3606908139352</v>
      </c>
      <c r="AN167" s="9">
        <v>0.98985223514182796</v>
      </c>
      <c r="AO167" s="9">
        <v>0.55651535626844195</v>
      </c>
      <c r="AP167" s="9">
        <v>699.24649866445202</v>
      </c>
      <c r="AQ167" s="9">
        <v>11.099150772451599</v>
      </c>
      <c r="AR167" s="9">
        <v>10.661258620359</v>
      </c>
      <c r="AS167" s="73" t="s">
        <v>169</v>
      </c>
      <c r="AT167" s="10"/>
      <c r="AU167" s="10" t="s">
        <v>169</v>
      </c>
      <c r="AV167" s="10">
        <v>0</v>
      </c>
      <c r="AW167" s="316"/>
      <c r="AX167" s="74" t="s">
        <v>169</v>
      </c>
      <c r="AY167" s="314" t="str">
        <f t="shared" si="65"/>
        <v/>
      </c>
      <c r="AZ167" s="314" t="str">
        <f t="shared" si="66"/>
        <v/>
      </c>
      <c r="BA167" s="315" t="str">
        <f t="shared" si="67"/>
        <v/>
      </c>
      <c r="BB167" s="10" t="str">
        <f t="shared" si="68"/>
        <v/>
      </c>
      <c r="BC167" s="10" t="str">
        <f t="shared" si="69"/>
        <v/>
      </c>
      <c r="BD167" s="10" t="str">
        <f t="shared" si="70"/>
        <v/>
      </c>
      <c r="BE167" s="10" t="str">
        <f t="shared" si="71"/>
        <v/>
      </c>
      <c r="BF167" s="12">
        <v>0.43</v>
      </c>
      <c r="BG167" s="75">
        <v>325.85219454333338</v>
      </c>
      <c r="BH167" s="96" t="str">
        <f>+VLOOKUP(G167,Liste!$A$7:$G$50,3,FALSE)</f>
        <v>Douglas</v>
      </c>
      <c r="BI167" s="96" t="str">
        <f>+VLOOKUP(H167,Liste!$B$7:$G$50,5,FALSE)</f>
        <v>National</v>
      </c>
      <c r="BJ167" s="135">
        <f t="shared" si="46"/>
        <v>63</v>
      </c>
      <c r="BK167" s="135" t="str">
        <f t="shared" si="48"/>
        <v>Douglas_F3_Entree 19-20m_National_63_</v>
      </c>
      <c r="BL167" s="322"/>
      <c r="BM167" s="75">
        <v>81.678065256666628</v>
      </c>
      <c r="BN167" s="13">
        <v>407.53025984341798</v>
      </c>
      <c r="BP167" s="13">
        <v>283.36739999999998</v>
      </c>
      <c r="BQ167" s="13">
        <v>9.6437228143619897</v>
      </c>
      <c r="BT167" s="298" t="str">
        <f>+VLOOKUP(G167,Liste!$A$7:$H$50,8,FALSE)</f>
        <v>Résineux</v>
      </c>
      <c r="BU167" s="298">
        <f t="shared" si="49"/>
        <v>0</v>
      </c>
      <c r="BV167" s="300">
        <f t="shared" si="50"/>
        <v>1</v>
      </c>
      <c r="BW167" s="321">
        <v>0</v>
      </c>
      <c r="BX167" s="298">
        <f t="shared" si="51"/>
        <v>0.43</v>
      </c>
      <c r="BY167">
        <f t="shared" si="52"/>
        <v>0</v>
      </c>
      <c r="BZ167" s="304">
        <f t="shared" si="53"/>
        <v>0</v>
      </c>
      <c r="CB167" s="299">
        <v>0.6</v>
      </c>
      <c r="CC167" s="299">
        <v>0.4</v>
      </c>
      <c r="CD167">
        <f t="shared" si="54"/>
        <v>0</v>
      </c>
      <c r="CE167">
        <f t="shared" si="55"/>
        <v>0</v>
      </c>
      <c r="CF167">
        <f t="shared" si="56"/>
        <v>0</v>
      </c>
      <c r="CG167">
        <f t="shared" si="57"/>
        <v>0</v>
      </c>
      <c r="CH167">
        <f t="shared" si="58"/>
        <v>0</v>
      </c>
      <c r="CI167">
        <f t="shared" si="59"/>
        <v>0</v>
      </c>
      <c r="CJ167">
        <f t="shared" si="60"/>
        <v>0</v>
      </c>
      <c r="CK167">
        <f t="shared" si="61"/>
        <v>0</v>
      </c>
      <c r="CL167">
        <f t="shared" si="62"/>
        <v>0</v>
      </c>
      <c r="CM167">
        <f t="shared" si="64"/>
        <v>0</v>
      </c>
      <c r="CN167">
        <f t="shared" si="63"/>
        <v>0</v>
      </c>
      <c r="CO167">
        <f t="shared" si="47"/>
        <v>0</v>
      </c>
    </row>
    <row r="168" spans="1:93" s="12" customFormat="1" ht="14.65" customHeight="1" x14ac:dyDescent="0.25">
      <c r="A168" s="4">
        <v>2021</v>
      </c>
      <c r="B168" s="4"/>
      <c r="C168" s="4" t="s">
        <v>68</v>
      </c>
      <c r="D168" s="4" t="s">
        <v>67</v>
      </c>
      <c r="E168" s="4" t="s">
        <v>145</v>
      </c>
      <c r="F168" s="4" t="s">
        <v>90</v>
      </c>
      <c r="G168" s="5" t="s">
        <v>8</v>
      </c>
      <c r="H168" s="5" t="s">
        <v>11</v>
      </c>
      <c r="I168" s="5" t="s">
        <v>143</v>
      </c>
      <c r="J168" s="5" t="s">
        <v>144</v>
      </c>
      <c r="K168" s="5">
        <v>26</v>
      </c>
      <c r="L168" s="5" t="s">
        <v>190</v>
      </c>
      <c r="M168" s="5">
        <v>1666</v>
      </c>
      <c r="N168" s="5" t="s">
        <v>171</v>
      </c>
      <c r="O168" s="6" t="s">
        <v>81</v>
      </c>
      <c r="P168" s="6" t="s">
        <v>83</v>
      </c>
      <c r="Q168" s="6"/>
      <c r="R168" s="6" t="s">
        <v>84</v>
      </c>
      <c r="S168" s="6">
        <v>25</v>
      </c>
      <c r="T168" s="6">
        <v>14.76</v>
      </c>
      <c r="U168" s="6">
        <v>1600</v>
      </c>
      <c r="V168" s="6">
        <v>26.34</v>
      </c>
      <c r="W168" s="6">
        <v>40</v>
      </c>
      <c r="X168" s="6">
        <v>465</v>
      </c>
      <c r="Y168" s="6">
        <v>873</v>
      </c>
      <c r="Z168" s="6">
        <v>210</v>
      </c>
      <c r="AA168" s="6">
        <v>12</v>
      </c>
      <c r="AB168" s="6">
        <v>0</v>
      </c>
      <c r="AC168" s="7">
        <v>63</v>
      </c>
      <c r="AD168" s="7" t="s">
        <v>53</v>
      </c>
      <c r="AE168" s="9">
        <v>31.925512399373002</v>
      </c>
      <c r="AF168" s="7">
        <v>355</v>
      </c>
      <c r="AG168" s="9">
        <v>28.8659686334273</v>
      </c>
      <c r="AH168" s="9">
        <v>32.176140561621899</v>
      </c>
      <c r="AI168" s="9">
        <v>37.673124087700401</v>
      </c>
      <c r="AJ168" s="9">
        <v>287.56585097720898</v>
      </c>
      <c r="AK168" s="9">
        <v>290.60914120000001</v>
      </c>
      <c r="AL168" s="9">
        <v>362.76313927058999</v>
      </c>
      <c r="AM168" s="9">
        <v>62.3606908139352</v>
      </c>
      <c r="AN168" s="9">
        <v>0.98985223514182796</v>
      </c>
      <c r="AO168" s="9">
        <v>0.55651535626844195</v>
      </c>
      <c r="AP168" s="9">
        <v>699.24649866445202</v>
      </c>
      <c r="AQ168" s="9">
        <v>11.099150772451599</v>
      </c>
      <c r="AR168" s="9">
        <v>10.661258620359</v>
      </c>
      <c r="AS168" s="73">
        <v>75</v>
      </c>
      <c r="AT168" s="10">
        <v>5.7365269334278963</v>
      </c>
      <c r="AU168" s="10">
        <v>31.206779052162656</v>
      </c>
      <c r="AV168" s="10">
        <v>57.267513332768999</v>
      </c>
      <c r="AW168" s="316">
        <v>0.9504927475950754</v>
      </c>
      <c r="AX168" s="74">
        <v>0.76356684443692002</v>
      </c>
      <c r="AY168" s="314">
        <f t="shared" si="65"/>
        <v>0</v>
      </c>
      <c r="AZ168" s="314">
        <f t="shared" si="66"/>
        <v>0.78508400114169319</v>
      </c>
      <c r="BA168" s="315">
        <f t="shared" si="67"/>
        <v>0.20499043621525193</v>
      </c>
      <c r="BB168" s="10">
        <f t="shared" si="68"/>
        <v>21.135605977131277</v>
      </c>
      <c r="BC168" s="10">
        <f t="shared" si="69"/>
        <v>11.004097707491214</v>
      </c>
      <c r="BD168" s="10">
        <f t="shared" si="70"/>
        <v>6.5960438167337809</v>
      </c>
      <c r="BE168" s="10">
        <f t="shared" si="71"/>
        <v>16.206650284771595</v>
      </c>
      <c r="BF168" s="12">
        <v>0.43</v>
      </c>
      <c r="BG168" s="75">
        <v>271.67936106666667</v>
      </c>
      <c r="BH168" s="96" t="str">
        <f>+VLOOKUP(G168,Liste!$A$7:$G$50,3,FALSE)</f>
        <v>Douglas</v>
      </c>
      <c r="BI168" s="96" t="str">
        <f>+VLOOKUP(H168,Liste!$B$7:$G$50,5,FALSE)</f>
        <v>National</v>
      </c>
      <c r="BJ168" s="135">
        <f t="shared" si="46"/>
        <v>63</v>
      </c>
      <c r="BK168" s="135" t="str">
        <f t="shared" si="48"/>
        <v>Douglas_F3_Entree 19-20m_National_63_</v>
      </c>
      <c r="BL168" s="322"/>
      <c r="BM168" s="75">
        <v>69.555719733333319</v>
      </c>
      <c r="BN168" s="13">
        <v>341.23508080177697</v>
      </c>
      <c r="BO168" s="13">
        <v>66.295179041641006</v>
      </c>
      <c r="BP168" s="13">
        <v>283.36739999999998</v>
      </c>
      <c r="BQ168" s="13">
        <v>9.6437228143619897</v>
      </c>
      <c r="BT168" s="298" t="str">
        <f>+VLOOKUP(G168,Liste!$A$7:$H$50,8,FALSE)</f>
        <v>Résineux</v>
      </c>
      <c r="BU168" s="298">
        <f t="shared" si="49"/>
        <v>0</v>
      </c>
      <c r="BV168" s="300">
        <f t="shared" si="50"/>
        <v>1</v>
      </c>
      <c r="BW168" s="321">
        <v>0</v>
      </c>
      <c r="BX168" s="298">
        <f t="shared" si="51"/>
        <v>0.43</v>
      </c>
      <c r="BY168">
        <f t="shared" si="52"/>
        <v>0</v>
      </c>
      <c r="BZ168" s="304">
        <f t="shared" si="53"/>
        <v>0</v>
      </c>
      <c r="CB168" s="299">
        <v>0.6</v>
      </c>
      <c r="CC168" s="299">
        <v>0.4</v>
      </c>
      <c r="CD168">
        <f t="shared" si="54"/>
        <v>0</v>
      </c>
      <c r="CE168">
        <f t="shared" si="55"/>
        <v>0</v>
      </c>
      <c r="CF168">
        <f t="shared" si="56"/>
        <v>0</v>
      </c>
      <c r="CG168">
        <f t="shared" si="57"/>
        <v>0</v>
      </c>
      <c r="CH168">
        <f t="shared" si="58"/>
        <v>0</v>
      </c>
      <c r="CI168">
        <f t="shared" si="59"/>
        <v>0</v>
      </c>
      <c r="CJ168">
        <f t="shared" si="60"/>
        <v>0</v>
      </c>
      <c r="CK168">
        <f t="shared" si="61"/>
        <v>0</v>
      </c>
      <c r="CL168">
        <f t="shared" si="62"/>
        <v>0</v>
      </c>
      <c r="CM168">
        <f t="shared" si="64"/>
        <v>0</v>
      </c>
      <c r="CN168">
        <f t="shared" si="63"/>
        <v>0</v>
      </c>
      <c r="CO168">
        <f t="shared" si="47"/>
        <v>0</v>
      </c>
    </row>
    <row r="169" spans="1:93" s="12" customFormat="1" ht="14.65" customHeight="1" x14ac:dyDescent="0.25">
      <c r="A169" s="4">
        <v>2021</v>
      </c>
      <c r="B169" s="4"/>
      <c r="C169" s="4" t="s">
        <v>68</v>
      </c>
      <c r="D169" s="4" t="s">
        <v>67</v>
      </c>
      <c r="E169" s="4" t="s">
        <v>145</v>
      </c>
      <c r="F169" s="4" t="s">
        <v>90</v>
      </c>
      <c r="G169" s="5" t="s">
        <v>8</v>
      </c>
      <c r="H169" s="5" t="s">
        <v>11</v>
      </c>
      <c r="I169" s="5" t="s">
        <v>143</v>
      </c>
      <c r="J169" s="5" t="s">
        <v>144</v>
      </c>
      <c r="K169" s="5">
        <v>26</v>
      </c>
      <c r="L169" s="5" t="s">
        <v>190</v>
      </c>
      <c r="M169" s="5">
        <v>1666</v>
      </c>
      <c r="N169" s="5" t="s">
        <v>171</v>
      </c>
      <c r="O169" s="6" t="s">
        <v>81</v>
      </c>
      <c r="P169" s="6" t="s">
        <v>83</v>
      </c>
      <c r="Q169" s="6"/>
      <c r="R169" s="6" t="s">
        <v>84</v>
      </c>
      <c r="S169" s="6">
        <v>25</v>
      </c>
      <c r="T169" s="6">
        <v>14.76</v>
      </c>
      <c r="U169" s="6">
        <v>1600</v>
      </c>
      <c r="V169" s="6">
        <v>26.34</v>
      </c>
      <c r="W169" s="6">
        <v>40</v>
      </c>
      <c r="X169" s="6">
        <v>465</v>
      </c>
      <c r="Y169" s="6">
        <v>873</v>
      </c>
      <c r="Z169" s="6">
        <v>210</v>
      </c>
      <c r="AA169" s="6">
        <v>12</v>
      </c>
      <c r="AB169" s="6">
        <v>0</v>
      </c>
      <c r="AC169" s="7">
        <v>73</v>
      </c>
      <c r="AD169" s="7" t="s">
        <v>52</v>
      </c>
      <c r="AE169" s="9">
        <v>35.298363303907003</v>
      </c>
      <c r="AF169" s="7">
        <v>355</v>
      </c>
      <c r="AG169" s="9">
        <v>34.431122196044001</v>
      </c>
      <c r="AH169" s="9">
        <v>35.141190609509103</v>
      </c>
      <c r="AI169" s="9">
        <v>41.476017350573699</v>
      </c>
      <c r="AJ169" s="9">
        <v>372.82913005713101</v>
      </c>
      <c r="AK169" s="9">
        <v>377.1580659</v>
      </c>
      <c r="AL169" s="9">
        <v>469.37572547418</v>
      </c>
      <c r="AM169" s="9">
        <v>67.925844376619594</v>
      </c>
      <c r="AN169" s="9">
        <v>0.93049101885780305</v>
      </c>
      <c r="AO169" s="9">
        <v>0.43617633838269299</v>
      </c>
      <c r="AP169" s="9">
        <v>805.85908486804203</v>
      </c>
      <c r="AQ169" s="9">
        <v>11.0391655461376</v>
      </c>
      <c r="AR169" s="9">
        <v>8.9805853798290194</v>
      </c>
      <c r="AS169" s="73" t="s">
        <v>169</v>
      </c>
      <c r="AT169" s="10"/>
      <c r="AU169" s="10" t="s">
        <v>169</v>
      </c>
      <c r="AV169" s="10">
        <v>0</v>
      </c>
      <c r="AW169" s="316"/>
      <c r="AX169" s="74" t="s">
        <v>169</v>
      </c>
      <c r="AY169" s="314" t="str">
        <f t="shared" si="65"/>
        <v/>
      </c>
      <c r="AZ169" s="314" t="str">
        <f t="shared" si="66"/>
        <v/>
      </c>
      <c r="BA169" s="315" t="str">
        <f t="shared" si="67"/>
        <v/>
      </c>
      <c r="BB169" s="10" t="str">
        <f t="shared" si="68"/>
        <v/>
      </c>
      <c r="BC169" s="10" t="str">
        <f t="shared" si="69"/>
        <v/>
      </c>
      <c r="BD169" s="10" t="str">
        <f t="shared" si="70"/>
        <v/>
      </c>
      <c r="BE169" s="10" t="str">
        <f t="shared" si="71"/>
        <v/>
      </c>
      <c r="BF169" s="12">
        <v>0.43</v>
      </c>
      <c r="BG169" s="75">
        <v>351.52330374333332</v>
      </c>
      <c r="BH169" s="96" t="str">
        <f>+VLOOKUP(G169,Liste!$A$7:$G$50,3,FALSE)</f>
        <v>Douglas</v>
      </c>
      <c r="BI169" s="96" t="str">
        <f>+VLOOKUP(H169,Liste!$B$7:$G$50,5,FALSE)</f>
        <v>National</v>
      </c>
      <c r="BJ169" s="135">
        <f t="shared" si="46"/>
        <v>73</v>
      </c>
      <c r="BK169" s="135" t="str">
        <f t="shared" si="48"/>
        <v>Douglas_F3_Entree 19-20m_National_73_</v>
      </c>
      <c r="BL169" s="322"/>
      <c r="BM169" s="75">
        <v>87.338445356666682</v>
      </c>
      <c r="BN169" s="13">
        <v>438.86174908221301</v>
      </c>
      <c r="BP169" s="13">
        <v>283.36739999999998</v>
      </c>
      <c r="BQ169" s="13">
        <v>8.1035753246097606</v>
      </c>
      <c r="BT169" s="298" t="str">
        <f>+VLOOKUP(G169,Liste!$A$7:$H$50,8,FALSE)</f>
        <v>Résineux</v>
      </c>
      <c r="BU169" s="298">
        <f t="shared" si="49"/>
        <v>0</v>
      </c>
      <c r="BV169" s="300">
        <f t="shared" si="50"/>
        <v>1</v>
      </c>
      <c r="BW169" s="321">
        <v>0</v>
      </c>
      <c r="BX169" s="298">
        <f t="shared" si="51"/>
        <v>0.43</v>
      </c>
      <c r="BY169">
        <f t="shared" si="52"/>
        <v>0</v>
      </c>
      <c r="BZ169" s="304">
        <f t="shared" si="53"/>
        <v>0</v>
      </c>
      <c r="CB169" s="299">
        <v>0.6</v>
      </c>
      <c r="CC169" s="299">
        <v>0.4</v>
      </c>
      <c r="CD169">
        <f t="shared" si="54"/>
        <v>0</v>
      </c>
      <c r="CE169">
        <f t="shared" si="55"/>
        <v>0</v>
      </c>
      <c r="CF169">
        <f t="shared" si="56"/>
        <v>0</v>
      </c>
      <c r="CG169">
        <f t="shared" si="57"/>
        <v>0</v>
      </c>
      <c r="CH169">
        <f t="shared" si="58"/>
        <v>0</v>
      </c>
      <c r="CI169">
        <f t="shared" si="59"/>
        <v>0</v>
      </c>
      <c r="CJ169">
        <f t="shared" si="60"/>
        <v>0</v>
      </c>
      <c r="CK169">
        <f t="shared" si="61"/>
        <v>0</v>
      </c>
      <c r="CL169">
        <f t="shared" si="62"/>
        <v>0</v>
      </c>
      <c r="CM169">
        <f t="shared" si="64"/>
        <v>0</v>
      </c>
      <c r="CN169">
        <f t="shared" si="63"/>
        <v>0</v>
      </c>
      <c r="CO169">
        <f t="shared" si="47"/>
        <v>0</v>
      </c>
    </row>
    <row r="170" spans="1:93" s="12" customFormat="1" ht="14.65" customHeight="1" x14ac:dyDescent="0.25">
      <c r="A170" s="4">
        <v>2021</v>
      </c>
      <c r="B170" s="4"/>
      <c r="C170" s="4" t="s">
        <v>68</v>
      </c>
      <c r="D170" s="4" t="s">
        <v>67</v>
      </c>
      <c r="E170" s="4" t="s">
        <v>145</v>
      </c>
      <c r="F170" s="4" t="s">
        <v>90</v>
      </c>
      <c r="G170" s="5" t="s">
        <v>8</v>
      </c>
      <c r="H170" s="5" t="s">
        <v>11</v>
      </c>
      <c r="I170" s="5" t="s">
        <v>143</v>
      </c>
      <c r="J170" s="5" t="s">
        <v>144</v>
      </c>
      <c r="K170" s="5">
        <v>26</v>
      </c>
      <c r="L170" s="5" t="s">
        <v>190</v>
      </c>
      <c r="M170" s="5">
        <v>1666</v>
      </c>
      <c r="N170" s="5" t="s">
        <v>171</v>
      </c>
      <c r="O170" s="6" t="s">
        <v>81</v>
      </c>
      <c r="P170" s="6" t="s">
        <v>83</v>
      </c>
      <c r="Q170" s="6"/>
      <c r="R170" s="6" t="s">
        <v>84</v>
      </c>
      <c r="S170" s="6">
        <v>25</v>
      </c>
      <c r="T170" s="6">
        <v>14.76</v>
      </c>
      <c r="U170" s="6">
        <v>1600</v>
      </c>
      <c r="V170" s="6">
        <v>26.34</v>
      </c>
      <c r="W170" s="6">
        <v>40</v>
      </c>
      <c r="X170" s="6">
        <v>465</v>
      </c>
      <c r="Y170" s="6">
        <v>873</v>
      </c>
      <c r="Z170" s="6">
        <v>210</v>
      </c>
      <c r="AA170" s="6">
        <v>12</v>
      </c>
      <c r="AB170" s="6">
        <v>0</v>
      </c>
      <c r="AC170" s="7">
        <v>73</v>
      </c>
      <c r="AD170" s="7" t="s">
        <v>53</v>
      </c>
      <c r="AE170" s="9">
        <v>35.298363303907003</v>
      </c>
      <c r="AF170" s="7">
        <v>300</v>
      </c>
      <c r="AG170" s="9">
        <v>28.371230092179498</v>
      </c>
      <c r="AH170" s="9">
        <v>34.700322806444298</v>
      </c>
      <c r="AI170" s="9">
        <v>39.201863173627103</v>
      </c>
      <c r="AJ170" s="9">
        <v>306.66236530682801</v>
      </c>
      <c r="AK170" s="9">
        <v>310.15693060000001</v>
      </c>
      <c r="AL170" s="9">
        <v>386.16431551314201</v>
      </c>
      <c r="AM170" s="9">
        <v>67.925844376619594</v>
      </c>
      <c r="AN170" s="9">
        <v>0.93049101885780305</v>
      </c>
      <c r="AO170" s="9">
        <v>0.43617633838269299</v>
      </c>
      <c r="AP170" s="9">
        <v>805.85908486804203</v>
      </c>
      <c r="AQ170" s="9">
        <v>11.0391655461376</v>
      </c>
      <c r="AR170" s="9">
        <v>8.9805853798290194</v>
      </c>
      <c r="AS170" s="73">
        <v>55</v>
      </c>
      <c r="AT170" s="10">
        <v>6.0598921038645024</v>
      </c>
      <c r="AU170" s="10">
        <v>37.454685987855306</v>
      </c>
      <c r="AV170" s="10">
        <v>66.166764750303003</v>
      </c>
      <c r="AW170" s="316">
        <v>1.136002736458257</v>
      </c>
      <c r="AX170" s="74">
        <v>1.2030320863691455</v>
      </c>
      <c r="AY170" s="314">
        <f t="shared" si="65"/>
        <v>0</v>
      </c>
      <c r="AZ170" s="314">
        <f t="shared" si="66"/>
        <v>0.8901360182703405</v>
      </c>
      <c r="BA170" s="315">
        <f t="shared" si="67"/>
        <v>0.10383952728726453</v>
      </c>
      <c r="BB170" s="10">
        <f t="shared" si="68"/>
        <v>27.687677384884228</v>
      </c>
      <c r="BC170" s="10">
        <f t="shared" si="69"/>
        <v>9.816087010722292</v>
      </c>
      <c r="BD170" s="10">
        <f t="shared" si="70"/>
        <v>6.2586533106902946</v>
      </c>
      <c r="BE170" s="10">
        <f t="shared" si="71"/>
        <v>20.756004243732431</v>
      </c>
      <c r="BF170" s="12">
        <v>0.43</v>
      </c>
      <c r="BG170" s="75">
        <v>289.20489194666669</v>
      </c>
      <c r="BH170" s="96" t="str">
        <f>+VLOOKUP(G170,Liste!$A$7:$G$50,3,FALSE)</f>
        <v>Douglas</v>
      </c>
      <c r="BI170" s="96" t="str">
        <f>+VLOOKUP(H170,Liste!$B$7:$G$50,5,FALSE)</f>
        <v>National</v>
      </c>
      <c r="BJ170" s="135">
        <f t="shared" si="46"/>
        <v>73</v>
      </c>
      <c r="BK170" s="135" t="str">
        <f t="shared" si="48"/>
        <v>Douglas_F3_Entree 19-20m_National_73_</v>
      </c>
      <c r="BL170" s="322"/>
      <c r="BM170" s="75">
        <v>73.505814553333323</v>
      </c>
      <c r="BN170" s="13">
        <v>362.71070650025899</v>
      </c>
      <c r="BO170" s="13">
        <v>76.151042581954016</v>
      </c>
      <c r="BP170" s="13">
        <v>283.36739999999998</v>
      </c>
      <c r="BQ170" s="13">
        <v>8.1035753246097606</v>
      </c>
      <c r="BT170" s="298" t="str">
        <f>+VLOOKUP(G170,Liste!$A$7:$H$50,8,FALSE)</f>
        <v>Résineux</v>
      </c>
      <c r="BU170" s="298">
        <f t="shared" si="49"/>
        <v>0</v>
      </c>
      <c r="BV170" s="300">
        <f t="shared" si="50"/>
        <v>1</v>
      </c>
      <c r="BW170" s="321">
        <v>0</v>
      </c>
      <c r="BX170" s="298">
        <f t="shared" si="51"/>
        <v>0.43</v>
      </c>
      <c r="BY170">
        <f t="shared" si="52"/>
        <v>0</v>
      </c>
      <c r="BZ170" s="304">
        <f t="shared" si="53"/>
        <v>0</v>
      </c>
      <c r="CB170" s="299">
        <v>0.6</v>
      </c>
      <c r="CC170" s="299">
        <v>0.4</v>
      </c>
      <c r="CD170">
        <f t="shared" si="54"/>
        <v>0</v>
      </c>
      <c r="CE170">
        <f t="shared" si="55"/>
        <v>0</v>
      </c>
      <c r="CF170">
        <f t="shared" si="56"/>
        <v>0</v>
      </c>
      <c r="CG170">
        <f t="shared" si="57"/>
        <v>0</v>
      </c>
      <c r="CH170">
        <f t="shared" si="58"/>
        <v>0</v>
      </c>
      <c r="CI170">
        <f t="shared" si="59"/>
        <v>0</v>
      </c>
      <c r="CJ170">
        <f t="shared" si="60"/>
        <v>0</v>
      </c>
      <c r="CK170">
        <f t="shared" si="61"/>
        <v>0</v>
      </c>
      <c r="CL170">
        <f t="shared" si="62"/>
        <v>0</v>
      </c>
      <c r="CM170">
        <f t="shared" si="64"/>
        <v>0</v>
      </c>
      <c r="CN170">
        <f t="shared" si="63"/>
        <v>0</v>
      </c>
      <c r="CO170">
        <f t="shared" si="47"/>
        <v>0</v>
      </c>
    </row>
    <row r="171" spans="1:93" s="12" customFormat="1" ht="14.65" customHeight="1" x14ac:dyDescent="0.25">
      <c r="A171" s="4">
        <v>2021</v>
      </c>
      <c r="B171" s="4"/>
      <c r="C171" s="4" t="s">
        <v>68</v>
      </c>
      <c r="D171" s="4" t="s">
        <v>67</v>
      </c>
      <c r="E171" s="4" t="s">
        <v>145</v>
      </c>
      <c r="F171" s="4" t="s">
        <v>90</v>
      </c>
      <c r="G171" s="5" t="s">
        <v>8</v>
      </c>
      <c r="H171" s="5" t="s">
        <v>11</v>
      </c>
      <c r="I171" s="5" t="s">
        <v>143</v>
      </c>
      <c r="J171" s="5" t="s">
        <v>144</v>
      </c>
      <c r="K171" s="5">
        <v>26</v>
      </c>
      <c r="L171" s="5" t="s">
        <v>190</v>
      </c>
      <c r="M171" s="5">
        <v>1666</v>
      </c>
      <c r="N171" s="5" t="s">
        <v>171</v>
      </c>
      <c r="O171" s="6" t="s">
        <v>81</v>
      </c>
      <c r="P171" s="6" t="s">
        <v>83</v>
      </c>
      <c r="Q171" s="6"/>
      <c r="R171" s="6" t="s">
        <v>84</v>
      </c>
      <c r="S171" s="6">
        <v>25</v>
      </c>
      <c r="T171" s="6">
        <v>14.76</v>
      </c>
      <c r="U171" s="6">
        <v>1600</v>
      </c>
      <c r="V171" s="6">
        <v>26.34</v>
      </c>
      <c r="W171" s="6">
        <v>40</v>
      </c>
      <c r="X171" s="6">
        <v>465</v>
      </c>
      <c r="Y171" s="6">
        <v>873</v>
      </c>
      <c r="Z171" s="6">
        <v>210</v>
      </c>
      <c r="AA171" s="6">
        <v>12</v>
      </c>
      <c r="AB171" s="6">
        <v>0</v>
      </c>
      <c r="AC171" s="7">
        <v>83</v>
      </c>
      <c r="AD171" s="7" t="s">
        <v>52</v>
      </c>
      <c r="AE171" s="9">
        <v>38.275845454234499</v>
      </c>
      <c r="AF171" s="7">
        <v>300</v>
      </c>
      <c r="AG171" s="9">
        <v>32.732993476749499</v>
      </c>
      <c r="AH171" s="9">
        <v>37.2723944817768</v>
      </c>
      <c r="AI171" s="9">
        <v>42.339247106216597</v>
      </c>
      <c r="AJ171" s="9">
        <v>378.49111960084502</v>
      </c>
      <c r="AK171" s="9">
        <v>383.1197335</v>
      </c>
      <c r="AL171" s="9">
        <v>475.97016931143202</v>
      </c>
      <c r="AM171" s="9">
        <v>72.287607760446505</v>
      </c>
      <c r="AN171" s="9">
        <v>0.87093503325839206</v>
      </c>
      <c r="AO171" s="9">
        <v>0.33909096133434502</v>
      </c>
      <c r="AP171" s="9">
        <v>895.66493866633198</v>
      </c>
      <c r="AQ171" s="9">
        <v>10.791143839353399</v>
      </c>
      <c r="AR171" s="9">
        <v>7.4120575382405001</v>
      </c>
      <c r="AS171" s="73" t="s">
        <v>169</v>
      </c>
      <c r="AT171" s="10"/>
      <c r="AU171" s="10" t="s">
        <v>169</v>
      </c>
      <c r="AV171" s="10">
        <v>0</v>
      </c>
      <c r="AW171" s="317"/>
      <c r="AX171" s="74" t="s">
        <v>169</v>
      </c>
      <c r="AY171" s="314" t="str">
        <f t="shared" si="65"/>
        <v/>
      </c>
      <c r="AZ171" s="314" t="str">
        <f t="shared" si="66"/>
        <v/>
      </c>
      <c r="BA171" s="315" t="str">
        <f t="shared" si="67"/>
        <v/>
      </c>
      <c r="BB171" s="10" t="str">
        <f t="shared" si="68"/>
        <v/>
      </c>
      <c r="BC171" s="10" t="str">
        <f t="shared" si="69"/>
        <v/>
      </c>
      <c r="BD171" s="10" t="str">
        <f t="shared" si="70"/>
        <v/>
      </c>
      <c r="BE171" s="10" t="str">
        <f t="shared" si="71"/>
        <v/>
      </c>
      <c r="BF171" s="12">
        <v>0.43</v>
      </c>
      <c r="BG171" s="75">
        <v>356.46199262666664</v>
      </c>
      <c r="BH171" s="96" t="str">
        <f>+VLOOKUP(G171,Liste!$A$7:$G$50,3,FALSE)</f>
        <v>Douglas</v>
      </c>
      <c r="BI171" s="96" t="str">
        <f>+VLOOKUP(H171,Liste!$B$7:$G$50,5,FALSE)</f>
        <v>National</v>
      </c>
      <c r="BJ171" s="135">
        <f t="shared" si="46"/>
        <v>83</v>
      </c>
      <c r="BK171" s="135" t="str">
        <f t="shared" si="48"/>
        <v>Douglas_F3_Entree 19-20m_National_83_</v>
      </c>
      <c r="BL171" s="322"/>
      <c r="BM171" s="75">
        <v>88.421786673333372</v>
      </c>
      <c r="BN171" s="13">
        <v>444.88377927964598</v>
      </c>
      <c r="BP171" s="13">
        <v>283.36739999999998</v>
      </c>
      <c r="BQ171" s="13">
        <v>6.6760842041763304</v>
      </c>
      <c r="BT171" s="298" t="str">
        <f>+VLOOKUP(G171,Liste!$A$7:$H$50,8,FALSE)</f>
        <v>Résineux</v>
      </c>
      <c r="BU171" s="298">
        <f t="shared" si="49"/>
        <v>0</v>
      </c>
      <c r="BV171" s="300">
        <f t="shared" si="50"/>
        <v>1</v>
      </c>
      <c r="BW171" s="321">
        <v>0</v>
      </c>
      <c r="BX171" s="298">
        <f t="shared" si="51"/>
        <v>0.43</v>
      </c>
      <c r="BY171">
        <f t="shared" si="52"/>
        <v>0</v>
      </c>
      <c r="BZ171" s="304">
        <f t="shared" si="53"/>
        <v>0</v>
      </c>
      <c r="CB171" s="299">
        <v>0.6</v>
      </c>
      <c r="CC171" s="299">
        <v>0.4</v>
      </c>
      <c r="CD171">
        <f t="shared" si="54"/>
        <v>0</v>
      </c>
      <c r="CE171">
        <f t="shared" si="55"/>
        <v>0</v>
      </c>
      <c r="CF171">
        <f t="shared" si="56"/>
        <v>0</v>
      </c>
      <c r="CG171">
        <f t="shared" si="57"/>
        <v>0</v>
      </c>
      <c r="CH171">
        <f t="shared" si="58"/>
        <v>0</v>
      </c>
      <c r="CI171">
        <f t="shared" si="59"/>
        <v>0</v>
      </c>
      <c r="CJ171">
        <f t="shared" si="60"/>
        <v>0</v>
      </c>
      <c r="CK171">
        <f t="shared" si="61"/>
        <v>0</v>
      </c>
      <c r="CL171">
        <f t="shared" si="62"/>
        <v>0</v>
      </c>
      <c r="CM171">
        <f t="shared" si="64"/>
        <v>0</v>
      </c>
      <c r="CN171">
        <f t="shared" si="63"/>
        <v>0</v>
      </c>
      <c r="CO171">
        <f t="shared" si="47"/>
        <v>0</v>
      </c>
    </row>
    <row r="172" spans="1:93" s="12" customFormat="1" ht="14.65" customHeight="1" x14ac:dyDescent="0.25">
      <c r="A172" s="4">
        <v>2021</v>
      </c>
      <c r="B172" s="4"/>
      <c r="C172" s="4" t="s">
        <v>68</v>
      </c>
      <c r="D172" s="4" t="s">
        <v>67</v>
      </c>
      <c r="E172" s="4" t="s">
        <v>145</v>
      </c>
      <c r="F172" s="4" t="s">
        <v>90</v>
      </c>
      <c r="G172" s="5" t="s">
        <v>8</v>
      </c>
      <c r="H172" s="5" t="s">
        <v>11</v>
      </c>
      <c r="I172" s="5" t="s">
        <v>143</v>
      </c>
      <c r="J172" s="5" t="s">
        <v>144</v>
      </c>
      <c r="K172" s="5">
        <v>26</v>
      </c>
      <c r="L172" s="5" t="s">
        <v>190</v>
      </c>
      <c r="M172" s="5">
        <v>1666</v>
      </c>
      <c r="N172" s="5" t="s">
        <v>171</v>
      </c>
      <c r="O172" s="6" t="s">
        <v>81</v>
      </c>
      <c r="P172" s="6" t="s">
        <v>83</v>
      </c>
      <c r="Q172" s="6"/>
      <c r="R172" s="6" t="s">
        <v>84</v>
      </c>
      <c r="S172" s="6">
        <v>25</v>
      </c>
      <c r="T172" s="6">
        <v>14.76</v>
      </c>
      <c r="U172" s="6">
        <v>1600</v>
      </c>
      <c r="V172" s="6">
        <v>26.34</v>
      </c>
      <c r="W172" s="6">
        <v>40</v>
      </c>
      <c r="X172" s="6">
        <v>465</v>
      </c>
      <c r="Y172" s="6">
        <v>873</v>
      </c>
      <c r="Z172" s="6">
        <v>210</v>
      </c>
      <c r="AA172" s="6">
        <v>12</v>
      </c>
      <c r="AB172" s="6">
        <v>0</v>
      </c>
      <c r="AC172" s="7">
        <v>83</v>
      </c>
      <c r="AD172" s="7" t="s">
        <v>53</v>
      </c>
      <c r="AE172" s="9">
        <v>38.275845454234499</v>
      </c>
      <c r="AF172" s="7">
        <v>251</v>
      </c>
      <c r="AG172" s="9">
        <v>27.261727457820001</v>
      </c>
      <c r="AH172" s="9">
        <v>37.187320300326498</v>
      </c>
      <c r="AI172" s="9">
        <v>40.6522751594471</v>
      </c>
      <c r="AJ172" s="9">
        <v>314.93846591996902</v>
      </c>
      <c r="AK172" s="9">
        <v>318.75963460000003</v>
      </c>
      <c r="AL172" s="9">
        <v>396.04833454406099</v>
      </c>
      <c r="AM172" s="9">
        <v>72.287607760446505</v>
      </c>
      <c r="AN172" s="9">
        <v>0.87093503325839206</v>
      </c>
      <c r="AO172" s="9">
        <v>0.33909096133434502</v>
      </c>
      <c r="AP172" s="9">
        <v>895.66493866633198</v>
      </c>
      <c r="AQ172" s="9">
        <v>10.791143839353399</v>
      </c>
      <c r="AR172" s="9">
        <v>7.4120575382405001</v>
      </c>
      <c r="AS172" s="73">
        <v>49</v>
      </c>
      <c r="AT172" s="10">
        <v>5.4712660189294979</v>
      </c>
      <c r="AU172" s="10">
        <v>37.705172749298484</v>
      </c>
      <c r="AV172" s="10">
        <v>63.552653680876006</v>
      </c>
      <c r="AW172" s="316">
        <v>1.0233572764575893</v>
      </c>
      <c r="AX172" s="74">
        <v>1.2969929322627756</v>
      </c>
      <c r="AY172" s="314">
        <f t="shared" si="65"/>
        <v>0</v>
      </c>
      <c r="AZ172" s="314">
        <f t="shared" si="66"/>
        <v>0.89287324102830223</v>
      </c>
      <c r="BA172" s="315">
        <f t="shared" si="67"/>
        <v>0.10122242914243307</v>
      </c>
      <c r="BB172" s="10">
        <f t="shared" si="68"/>
        <v>26.675572464343517</v>
      </c>
      <c r="BC172" s="10">
        <f t="shared" si="69"/>
        <v>9.356381380488564</v>
      </c>
      <c r="BD172" s="10">
        <f t="shared" si="70"/>
        <v>5.9776196562115835</v>
      </c>
      <c r="BE172" s="10">
        <f t="shared" si="71"/>
        <v>19.986868884247443</v>
      </c>
      <c r="BF172" s="12">
        <v>0.43</v>
      </c>
      <c r="BG172" s="75">
        <v>296.60719854333337</v>
      </c>
      <c r="BH172" s="96" t="str">
        <f>+VLOOKUP(G172,Liste!$A$7:$G$50,3,FALSE)</f>
        <v>Douglas</v>
      </c>
      <c r="BI172" s="96" t="str">
        <f>+VLOOKUP(H172,Liste!$B$7:$G$50,5,FALSE)</f>
        <v>National</v>
      </c>
      <c r="BJ172" s="135">
        <f t="shared" si="46"/>
        <v>83</v>
      </c>
      <c r="BK172" s="135" t="str">
        <f t="shared" si="48"/>
        <v>Douglas_F3_Entree 19-20m_National_83_</v>
      </c>
      <c r="BL172" s="322"/>
      <c r="BM172" s="75">
        <v>75.165774056666635</v>
      </c>
      <c r="BN172" s="13">
        <v>371.77297259702601</v>
      </c>
      <c r="BO172" s="13">
        <v>73.110806682619966</v>
      </c>
      <c r="BP172" s="13">
        <v>283.36739999999998</v>
      </c>
      <c r="BQ172" s="13">
        <v>6.6760842041763304</v>
      </c>
      <c r="BT172" s="298" t="str">
        <f>+VLOOKUP(G172,Liste!$A$7:$H$50,8,FALSE)</f>
        <v>Résineux</v>
      </c>
      <c r="BU172" s="298">
        <f t="shared" si="49"/>
        <v>0</v>
      </c>
      <c r="BV172" s="300">
        <f t="shared" si="50"/>
        <v>1</v>
      </c>
      <c r="BW172" s="321">
        <v>0</v>
      </c>
      <c r="BX172" s="298">
        <f t="shared" si="51"/>
        <v>0.43</v>
      </c>
      <c r="BY172">
        <f t="shared" si="52"/>
        <v>0</v>
      </c>
      <c r="BZ172" s="304">
        <f t="shared" si="53"/>
        <v>0</v>
      </c>
      <c r="CB172" s="299">
        <v>0.6</v>
      </c>
      <c r="CC172" s="299">
        <v>0.4</v>
      </c>
      <c r="CD172">
        <f t="shared" si="54"/>
        <v>0</v>
      </c>
      <c r="CE172">
        <f t="shared" si="55"/>
        <v>0</v>
      </c>
      <c r="CF172">
        <f t="shared" si="56"/>
        <v>0</v>
      </c>
      <c r="CG172">
        <f t="shared" si="57"/>
        <v>0</v>
      </c>
      <c r="CH172">
        <f t="shared" si="58"/>
        <v>0</v>
      </c>
      <c r="CI172">
        <f t="shared" si="59"/>
        <v>0</v>
      </c>
      <c r="CJ172">
        <f t="shared" si="60"/>
        <v>0</v>
      </c>
      <c r="CK172">
        <f t="shared" si="61"/>
        <v>0</v>
      </c>
      <c r="CL172">
        <f t="shared" si="62"/>
        <v>0</v>
      </c>
      <c r="CM172">
        <f t="shared" si="64"/>
        <v>0</v>
      </c>
      <c r="CN172">
        <f t="shared" si="63"/>
        <v>0</v>
      </c>
      <c r="CO172">
        <f t="shared" si="47"/>
        <v>0</v>
      </c>
    </row>
    <row r="173" spans="1:93" s="12" customFormat="1" ht="14.65" customHeight="1" x14ac:dyDescent="0.25">
      <c r="A173" s="4">
        <v>2021</v>
      </c>
      <c r="B173" s="4"/>
      <c r="C173" s="4" t="s">
        <v>68</v>
      </c>
      <c r="D173" s="4" t="s">
        <v>67</v>
      </c>
      <c r="E173" s="4" t="s">
        <v>145</v>
      </c>
      <c r="F173" s="4" t="s">
        <v>90</v>
      </c>
      <c r="G173" s="5" t="s">
        <v>8</v>
      </c>
      <c r="H173" s="5" t="s">
        <v>11</v>
      </c>
      <c r="I173" s="5" t="s">
        <v>143</v>
      </c>
      <c r="J173" s="5" t="s">
        <v>144</v>
      </c>
      <c r="K173" s="5">
        <v>26</v>
      </c>
      <c r="L173" s="5" t="s">
        <v>190</v>
      </c>
      <c r="M173" s="5">
        <v>1666</v>
      </c>
      <c r="N173" s="5" t="s">
        <v>171</v>
      </c>
      <c r="O173" s="6" t="s">
        <v>81</v>
      </c>
      <c r="P173" s="6" t="s">
        <v>83</v>
      </c>
      <c r="Q173" s="6"/>
      <c r="R173" s="6" t="s">
        <v>84</v>
      </c>
      <c r="S173" s="6">
        <v>25</v>
      </c>
      <c r="T173" s="6">
        <v>14.76</v>
      </c>
      <c r="U173" s="6">
        <v>1600</v>
      </c>
      <c r="V173" s="6">
        <v>26.34</v>
      </c>
      <c r="W173" s="6">
        <v>40</v>
      </c>
      <c r="X173" s="6">
        <v>465</v>
      </c>
      <c r="Y173" s="6">
        <v>873</v>
      </c>
      <c r="Z173" s="6">
        <v>210</v>
      </c>
      <c r="AA173" s="6">
        <v>12</v>
      </c>
      <c r="AB173" s="6">
        <v>0</v>
      </c>
      <c r="AC173" s="7">
        <v>93</v>
      </c>
      <c r="AD173" s="7" t="s">
        <v>52</v>
      </c>
      <c r="AE173" s="9">
        <v>40.899897859248298</v>
      </c>
      <c r="AF173" s="7">
        <v>251</v>
      </c>
      <c r="AG173" s="9">
        <v>30.652637070625001</v>
      </c>
      <c r="AH173" s="9">
        <v>39.4323009892166</v>
      </c>
      <c r="AI173" s="9">
        <v>43.252479567090198</v>
      </c>
      <c r="AJ173" s="9">
        <v>374.22611234858198</v>
      </c>
      <c r="AK173" s="9">
        <v>379.02132419999998</v>
      </c>
      <c r="AL173" s="9">
        <v>470.16890992646597</v>
      </c>
      <c r="AM173" s="9">
        <v>75.678517373790001</v>
      </c>
      <c r="AN173" s="9">
        <v>0.81374749864290297</v>
      </c>
      <c r="AO173" s="9">
        <v>0.26538719686809298</v>
      </c>
      <c r="AP173" s="9">
        <v>969.78551404873701</v>
      </c>
      <c r="AQ173" s="9">
        <v>10.4278012263305</v>
      </c>
      <c r="AR173" s="9">
        <v>6.0650485677442099</v>
      </c>
      <c r="AS173" s="73" t="s">
        <v>169</v>
      </c>
      <c r="AT173" s="10"/>
      <c r="AU173" s="10" t="s">
        <v>169</v>
      </c>
      <c r="AV173" s="10">
        <v>0</v>
      </c>
      <c r="AW173" s="316"/>
      <c r="AX173" s="74" t="s">
        <v>169</v>
      </c>
      <c r="AY173" s="314" t="str">
        <f t="shared" si="65"/>
        <v/>
      </c>
      <c r="AZ173" s="314" t="str">
        <f t="shared" si="66"/>
        <v/>
      </c>
      <c r="BA173" s="315" t="str">
        <f t="shared" si="67"/>
        <v/>
      </c>
      <c r="BB173" s="10" t="str">
        <f t="shared" si="68"/>
        <v/>
      </c>
      <c r="BC173" s="10" t="str">
        <f t="shared" si="69"/>
        <v/>
      </c>
      <c r="BD173" s="10" t="str">
        <f t="shared" si="70"/>
        <v/>
      </c>
      <c r="BE173" s="10" t="str">
        <f t="shared" si="71"/>
        <v/>
      </c>
      <c r="BF173" s="12">
        <v>0.43</v>
      </c>
      <c r="BG173" s="75">
        <v>352.11733278333332</v>
      </c>
      <c r="BH173" s="96" t="str">
        <f>+VLOOKUP(G173,Liste!$A$7:$G$50,3,FALSE)</f>
        <v>Douglas</v>
      </c>
      <c r="BI173" s="96" t="str">
        <f>+VLOOKUP(H173,Liste!$B$7:$G$50,5,FALSE)</f>
        <v>National</v>
      </c>
      <c r="BJ173" s="135">
        <f t="shared" si="46"/>
        <v>93</v>
      </c>
      <c r="BK173" s="135" t="str">
        <f t="shared" si="48"/>
        <v>Douglas_F3_Entree 19-20m_National_93_</v>
      </c>
      <c r="BL173" s="322"/>
      <c r="BM173" s="75">
        <v>87.468843716666697</v>
      </c>
      <c r="BN173" s="13">
        <v>439.58617647235297</v>
      </c>
      <c r="BP173" s="13">
        <v>283.36739999999998</v>
      </c>
      <c r="BQ173" s="13">
        <v>5.4556870078612203</v>
      </c>
      <c r="BT173" s="298" t="str">
        <f>+VLOOKUP(G173,Liste!$A$7:$H$50,8,FALSE)</f>
        <v>Résineux</v>
      </c>
      <c r="BU173" s="298">
        <f t="shared" si="49"/>
        <v>0</v>
      </c>
      <c r="BV173" s="300">
        <f t="shared" si="50"/>
        <v>1</v>
      </c>
      <c r="BW173" s="321">
        <v>0</v>
      </c>
      <c r="BX173" s="298">
        <f t="shared" si="51"/>
        <v>0.43</v>
      </c>
      <c r="BY173">
        <f t="shared" si="52"/>
        <v>0</v>
      </c>
      <c r="BZ173" s="304">
        <f t="shared" si="53"/>
        <v>0</v>
      </c>
      <c r="CB173" s="299">
        <v>0.6</v>
      </c>
      <c r="CC173" s="299">
        <v>0.4</v>
      </c>
      <c r="CD173">
        <f t="shared" si="54"/>
        <v>0</v>
      </c>
      <c r="CE173">
        <f t="shared" si="55"/>
        <v>0</v>
      </c>
      <c r="CF173">
        <f t="shared" si="56"/>
        <v>0</v>
      </c>
      <c r="CG173">
        <f t="shared" si="57"/>
        <v>0</v>
      </c>
      <c r="CH173">
        <f t="shared" si="58"/>
        <v>0</v>
      </c>
      <c r="CI173">
        <f t="shared" si="59"/>
        <v>0</v>
      </c>
      <c r="CJ173">
        <f t="shared" si="60"/>
        <v>0</v>
      </c>
      <c r="CK173">
        <f t="shared" si="61"/>
        <v>0</v>
      </c>
      <c r="CL173">
        <f t="shared" si="62"/>
        <v>0</v>
      </c>
      <c r="CM173">
        <f t="shared" si="64"/>
        <v>0</v>
      </c>
      <c r="CN173">
        <f t="shared" si="63"/>
        <v>0</v>
      </c>
      <c r="CO173">
        <f t="shared" si="47"/>
        <v>0</v>
      </c>
    </row>
    <row r="174" spans="1:93" s="12" customFormat="1" ht="14.65" customHeight="1" x14ac:dyDescent="0.25">
      <c r="A174" s="4">
        <v>2021</v>
      </c>
      <c r="B174" s="4"/>
      <c r="C174" s="4" t="s">
        <v>68</v>
      </c>
      <c r="D174" s="4" t="s">
        <v>67</v>
      </c>
      <c r="E174" s="4" t="s">
        <v>145</v>
      </c>
      <c r="F174" s="4" t="s">
        <v>90</v>
      </c>
      <c r="G174" s="5" t="s">
        <v>8</v>
      </c>
      <c r="H174" s="5" t="s">
        <v>11</v>
      </c>
      <c r="I174" s="5" t="s">
        <v>143</v>
      </c>
      <c r="J174" s="5" t="s">
        <v>144</v>
      </c>
      <c r="K174" s="5">
        <v>26</v>
      </c>
      <c r="L174" s="5" t="s">
        <v>190</v>
      </c>
      <c r="M174" s="5">
        <v>1666</v>
      </c>
      <c r="N174" s="5" t="s">
        <v>171</v>
      </c>
      <c r="O174" s="6" t="s">
        <v>81</v>
      </c>
      <c r="P174" s="6" t="s">
        <v>83</v>
      </c>
      <c r="Q174" s="6"/>
      <c r="R174" s="6" t="s">
        <v>84</v>
      </c>
      <c r="S174" s="6">
        <v>25</v>
      </c>
      <c r="T174" s="6">
        <v>14.76</v>
      </c>
      <c r="U174" s="6">
        <v>1600</v>
      </c>
      <c r="V174" s="6">
        <v>26.34</v>
      </c>
      <c r="W174" s="6">
        <v>40</v>
      </c>
      <c r="X174" s="6">
        <v>465</v>
      </c>
      <c r="Y174" s="6">
        <v>873</v>
      </c>
      <c r="Z174" s="6">
        <v>210</v>
      </c>
      <c r="AA174" s="6">
        <v>12</v>
      </c>
      <c r="AB174" s="6">
        <v>0</v>
      </c>
      <c r="AC174" s="7">
        <v>93</v>
      </c>
      <c r="AD174" s="7" t="s">
        <v>53</v>
      </c>
      <c r="AE174" s="9">
        <v>40.899897859248298</v>
      </c>
      <c r="AF174" s="7">
        <v>212</v>
      </c>
      <c r="AG174" s="9">
        <v>25.6203605407045</v>
      </c>
      <c r="AH174" s="9">
        <v>39.226516945063899</v>
      </c>
      <c r="AI174" s="9">
        <v>41.829674538674297</v>
      </c>
      <c r="AJ174" s="9">
        <v>312.53788749729102</v>
      </c>
      <c r="AK174" s="9">
        <v>316.50747280000002</v>
      </c>
      <c r="AL174" s="9">
        <v>392.686587305562</v>
      </c>
      <c r="AM174" s="9">
        <v>75.678517373790001</v>
      </c>
      <c r="AN174" s="9">
        <v>0.81374749864290297</v>
      </c>
      <c r="AO174" s="9">
        <v>0.26538719686809298</v>
      </c>
      <c r="AP174" s="9">
        <v>969.78551404873701</v>
      </c>
      <c r="AQ174" s="9">
        <v>10.4278012263305</v>
      </c>
      <c r="AR174" s="9">
        <v>6.0650485677442099</v>
      </c>
      <c r="AS174" s="73">
        <v>39</v>
      </c>
      <c r="AT174" s="10">
        <v>5.0322765299205017</v>
      </c>
      <c r="AU174" s="10">
        <v>40.532650586578946</v>
      </c>
      <c r="AV174" s="10">
        <v>61.688224851290954</v>
      </c>
      <c r="AW174" s="316">
        <v>1.056588232230091</v>
      </c>
      <c r="AX174" s="74">
        <v>1.5817493551613064</v>
      </c>
      <c r="AY174" s="314">
        <f t="shared" si="65"/>
        <v>0</v>
      </c>
      <c r="AZ174" s="314">
        <f t="shared" si="66"/>
        <v>0.91855804808839348</v>
      </c>
      <c r="BA174" s="315">
        <f t="shared" si="67"/>
        <v>7.6754921006942811E-2</v>
      </c>
      <c r="BB174" s="10">
        <f t="shared" si="68"/>
        <v>26.637847663977624</v>
      </c>
      <c r="BC174" s="10">
        <f t="shared" si="69"/>
        <v>8.4300860470937256</v>
      </c>
      <c r="BD174" s="10">
        <f t="shared" si="70"/>
        <v>5.4962512052801866</v>
      </c>
      <c r="BE174" s="10">
        <f t="shared" si="71"/>
        <v>19.864358125389192</v>
      </c>
      <c r="BF174" s="12">
        <v>0.43</v>
      </c>
      <c r="BG174" s="75">
        <v>294.08953002000004</v>
      </c>
      <c r="BH174" s="96" t="str">
        <f>+VLOOKUP(G174,Liste!$A$7:$G$50,3,FALSE)</f>
        <v>Douglas</v>
      </c>
      <c r="BI174" s="96" t="str">
        <f>+VLOOKUP(H174,Liste!$B$7:$G$50,5,FALSE)</f>
        <v>National</v>
      </c>
      <c r="BJ174" s="135">
        <f t="shared" si="46"/>
        <v>93</v>
      </c>
      <c r="BK174" s="135" t="str">
        <f t="shared" si="48"/>
        <v>Douglas_F3_Entree 19-20m_National_93_</v>
      </c>
      <c r="BL174" s="322"/>
      <c r="BM174" s="75">
        <v>74.601736679999988</v>
      </c>
      <c r="BN174" s="13">
        <v>368.69126668681798</v>
      </c>
      <c r="BO174" s="13">
        <v>70.894909785534992</v>
      </c>
      <c r="BP174" s="13">
        <v>283.36739999999998</v>
      </c>
      <c r="BQ174" s="13">
        <v>5.4556870078612203</v>
      </c>
      <c r="BT174" s="298" t="str">
        <f>+VLOOKUP(G174,Liste!$A$7:$H$50,8,FALSE)</f>
        <v>Résineux</v>
      </c>
      <c r="BU174" s="298">
        <f t="shared" si="49"/>
        <v>0</v>
      </c>
      <c r="BV174" s="300">
        <f t="shared" si="50"/>
        <v>1</v>
      </c>
      <c r="BW174" s="321">
        <v>0</v>
      </c>
      <c r="BX174" s="298">
        <f t="shared" si="51"/>
        <v>0.43</v>
      </c>
      <c r="BY174">
        <f t="shared" si="52"/>
        <v>0</v>
      </c>
      <c r="BZ174" s="304">
        <f t="shared" si="53"/>
        <v>0</v>
      </c>
      <c r="CB174" s="299">
        <v>0.6</v>
      </c>
      <c r="CC174" s="299">
        <v>0.4</v>
      </c>
      <c r="CD174">
        <f t="shared" si="54"/>
        <v>0</v>
      </c>
      <c r="CE174">
        <f t="shared" si="55"/>
        <v>0</v>
      </c>
      <c r="CF174">
        <f t="shared" si="56"/>
        <v>0</v>
      </c>
      <c r="CG174">
        <f t="shared" si="57"/>
        <v>0</v>
      </c>
      <c r="CH174">
        <f t="shared" si="58"/>
        <v>0</v>
      </c>
      <c r="CI174">
        <f t="shared" si="59"/>
        <v>0</v>
      </c>
      <c r="CJ174">
        <f t="shared" si="60"/>
        <v>0</v>
      </c>
      <c r="CK174">
        <f t="shared" si="61"/>
        <v>0</v>
      </c>
      <c r="CL174">
        <f t="shared" si="62"/>
        <v>0</v>
      </c>
      <c r="CM174">
        <f t="shared" si="64"/>
        <v>0</v>
      </c>
      <c r="CN174">
        <f t="shared" si="63"/>
        <v>0</v>
      </c>
      <c r="CO174">
        <f t="shared" si="47"/>
        <v>0</v>
      </c>
    </row>
    <row r="175" spans="1:93" s="12" customFormat="1" ht="14.65" customHeight="1" x14ac:dyDescent="0.25">
      <c r="A175" s="4">
        <v>2021</v>
      </c>
      <c r="B175" s="4"/>
      <c r="C175" s="4" t="s">
        <v>68</v>
      </c>
      <c r="D175" s="4" t="s">
        <v>67</v>
      </c>
      <c r="E175" s="4" t="s">
        <v>145</v>
      </c>
      <c r="F175" s="4" t="s">
        <v>90</v>
      </c>
      <c r="G175" s="5" t="s">
        <v>8</v>
      </c>
      <c r="H175" s="5" t="s">
        <v>11</v>
      </c>
      <c r="I175" s="5" t="s">
        <v>143</v>
      </c>
      <c r="J175" s="5" t="s">
        <v>144</v>
      </c>
      <c r="K175" s="5">
        <v>26</v>
      </c>
      <c r="L175" s="5" t="s">
        <v>190</v>
      </c>
      <c r="M175" s="5">
        <v>1666</v>
      </c>
      <c r="N175" s="5" t="s">
        <v>171</v>
      </c>
      <c r="O175" s="6" t="s">
        <v>81</v>
      </c>
      <c r="P175" s="6" t="s">
        <v>83</v>
      </c>
      <c r="Q175" s="6"/>
      <c r="R175" s="6" t="s">
        <v>84</v>
      </c>
      <c r="S175" s="6">
        <v>25</v>
      </c>
      <c r="T175" s="6">
        <v>14.76</v>
      </c>
      <c r="U175" s="6">
        <v>1600</v>
      </c>
      <c r="V175" s="6">
        <v>26.34</v>
      </c>
      <c r="W175" s="6">
        <v>40</v>
      </c>
      <c r="X175" s="6">
        <v>465</v>
      </c>
      <c r="Y175" s="6">
        <v>873</v>
      </c>
      <c r="Z175" s="6">
        <v>210</v>
      </c>
      <c r="AA175" s="6">
        <v>12</v>
      </c>
      <c r="AB175" s="6">
        <v>0</v>
      </c>
      <c r="AC175" s="7">
        <v>102</v>
      </c>
      <c r="AD175" s="7" t="s">
        <v>52</v>
      </c>
      <c r="AE175" s="9">
        <v>42.991654257694002</v>
      </c>
      <c r="AF175" s="7">
        <v>212</v>
      </c>
      <c r="AG175" s="9">
        <v>28.0088453131603</v>
      </c>
      <c r="AH175" s="9">
        <v>41.014245946048</v>
      </c>
      <c r="AI175" s="9">
        <v>43.8192551963038</v>
      </c>
      <c r="AJ175" s="9">
        <v>356.20210734767602</v>
      </c>
      <c r="AK175" s="9">
        <v>360.91013220000002</v>
      </c>
      <c r="AL175" s="9">
        <v>447.27202441525998</v>
      </c>
      <c r="AM175" s="9">
        <v>78.0670021456028</v>
      </c>
      <c r="AN175" s="9">
        <v>0.76536276613336096</v>
      </c>
      <c r="AO175" s="9">
        <v>0.232450360664615</v>
      </c>
      <c r="AP175" s="9">
        <v>1024.37095115844</v>
      </c>
      <c r="AQ175" s="9">
        <v>10.042852462337599</v>
      </c>
      <c r="AR175" s="9">
        <v>5.5894757239250303</v>
      </c>
      <c r="AS175" s="73" t="s">
        <v>169</v>
      </c>
      <c r="AT175" s="10"/>
      <c r="AU175" s="10" t="s">
        <v>169</v>
      </c>
      <c r="AV175" s="10">
        <v>0</v>
      </c>
      <c r="AW175" s="316"/>
      <c r="AX175" s="74" t="s">
        <v>169</v>
      </c>
      <c r="AY175" s="314" t="str">
        <f t="shared" si="65"/>
        <v/>
      </c>
      <c r="AZ175" s="314" t="str">
        <f t="shared" si="66"/>
        <v/>
      </c>
      <c r="BA175" s="315" t="str">
        <f t="shared" si="67"/>
        <v/>
      </c>
      <c r="BB175" s="10" t="str">
        <f t="shared" si="68"/>
        <v/>
      </c>
      <c r="BC175" s="10" t="str">
        <f t="shared" si="69"/>
        <v/>
      </c>
      <c r="BD175" s="10" t="str">
        <f t="shared" si="70"/>
        <v/>
      </c>
      <c r="BE175" s="10" t="str">
        <f t="shared" si="71"/>
        <v/>
      </c>
      <c r="BF175" s="12">
        <v>0.43</v>
      </c>
      <c r="BG175" s="75">
        <v>334.96947363000004</v>
      </c>
      <c r="BH175" s="96" t="str">
        <f>+VLOOKUP(G175,Liste!$A$7:$G$50,3,FALSE)</f>
        <v>Douglas</v>
      </c>
      <c r="BI175" s="96" t="str">
        <f>+VLOOKUP(H175,Liste!$B$7:$G$50,5,FALSE)</f>
        <v>National</v>
      </c>
      <c r="BJ175" s="135">
        <f t="shared" si="46"/>
        <v>102</v>
      </c>
      <c r="BK175" s="135" t="str">
        <f t="shared" si="48"/>
        <v>Douglas_F3_Entree 19-20m_National_102_</v>
      </c>
      <c r="BL175" s="322"/>
      <c r="BM175" s="75">
        <v>83.69413346999994</v>
      </c>
      <c r="BN175" s="13">
        <v>418.66360712993702</v>
      </c>
      <c r="BP175" s="13">
        <v>283.36739999999998</v>
      </c>
      <c r="BQ175" s="13">
        <v>5.0249738080275401</v>
      </c>
      <c r="BT175" s="298" t="str">
        <f>+VLOOKUP(G175,Liste!$A$7:$H$50,8,FALSE)</f>
        <v>Résineux</v>
      </c>
      <c r="BU175" s="298">
        <f t="shared" si="49"/>
        <v>0</v>
      </c>
      <c r="BV175" s="300">
        <f t="shared" si="50"/>
        <v>1</v>
      </c>
      <c r="BW175" s="321">
        <v>0</v>
      </c>
      <c r="BX175" s="298">
        <f t="shared" si="51"/>
        <v>0.43</v>
      </c>
      <c r="BY175">
        <f t="shared" si="52"/>
        <v>0</v>
      </c>
      <c r="BZ175" s="304">
        <f t="shared" si="53"/>
        <v>0</v>
      </c>
      <c r="CB175" s="299">
        <v>0.6</v>
      </c>
      <c r="CC175" s="299">
        <v>0.4</v>
      </c>
      <c r="CD175">
        <f t="shared" si="54"/>
        <v>0</v>
      </c>
      <c r="CE175">
        <f t="shared" si="55"/>
        <v>0</v>
      </c>
      <c r="CF175">
        <f t="shared" si="56"/>
        <v>0</v>
      </c>
      <c r="CG175">
        <f t="shared" si="57"/>
        <v>0</v>
      </c>
      <c r="CH175">
        <f t="shared" si="58"/>
        <v>0</v>
      </c>
      <c r="CI175">
        <f t="shared" si="59"/>
        <v>0</v>
      </c>
      <c r="CJ175">
        <f t="shared" si="60"/>
        <v>0</v>
      </c>
      <c r="CK175">
        <f t="shared" si="61"/>
        <v>0</v>
      </c>
      <c r="CL175">
        <f t="shared" si="62"/>
        <v>0</v>
      </c>
      <c r="CM175">
        <f t="shared" si="64"/>
        <v>0</v>
      </c>
      <c r="CN175">
        <f t="shared" si="63"/>
        <v>0</v>
      </c>
      <c r="CO175">
        <f t="shared" si="47"/>
        <v>0</v>
      </c>
    </row>
    <row r="176" spans="1:93" s="12" customFormat="1" ht="14.65" customHeight="1" x14ac:dyDescent="0.25">
      <c r="A176" s="4">
        <v>2021</v>
      </c>
      <c r="B176" s="4"/>
      <c r="C176" s="4" t="s">
        <v>68</v>
      </c>
      <c r="D176" s="4" t="s">
        <v>67</v>
      </c>
      <c r="E176" s="4" t="s">
        <v>145</v>
      </c>
      <c r="F176" s="4" t="s">
        <v>90</v>
      </c>
      <c r="G176" s="5" t="s">
        <v>8</v>
      </c>
      <c r="H176" s="5" t="s">
        <v>11</v>
      </c>
      <c r="I176" s="5" t="s">
        <v>143</v>
      </c>
      <c r="J176" s="5" t="s">
        <v>144</v>
      </c>
      <c r="K176" s="5">
        <v>26</v>
      </c>
      <c r="L176" s="5" t="s">
        <v>190</v>
      </c>
      <c r="M176" s="5">
        <v>1666</v>
      </c>
      <c r="N176" s="5" t="s">
        <v>171</v>
      </c>
      <c r="O176" s="6" t="s">
        <v>81</v>
      </c>
      <c r="P176" s="6" t="s">
        <v>83</v>
      </c>
      <c r="Q176" s="6"/>
      <c r="R176" s="6" t="s">
        <v>84</v>
      </c>
      <c r="S176" s="6">
        <v>25</v>
      </c>
      <c r="T176" s="6">
        <v>14.76</v>
      </c>
      <c r="U176" s="6">
        <v>1600</v>
      </c>
      <c r="V176" s="6">
        <v>26.34</v>
      </c>
      <c r="W176" s="6">
        <v>40</v>
      </c>
      <c r="X176" s="6">
        <v>465</v>
      </c>
      <c r="Y176" s="6">
        <v>873</v>
      </c>
      <c r="Z176" s="6">
        <v>210</v>
      </c>
      <c r="AA176" s="6">
        <v>12</v>
      </c>
      <c r="AB176" s="6">
        <v>0</v>
      </c>
      <c r="AC176" s="7">
        <v>103</v>
      </c>
      <c r="AD176" s="7" t="s">
        <v>52</v>
      </c>
      <c r="AE176" s="9">
        <v>43.209507953413102</v>
      </c>
      <c r="AF176" s="7">
        <v>212</v>
      </c>
      <c r="AG176" s="9">
        <v>28.241295673720199</v>
      </c>
      <c r="AH176" s="9">
        <v>41.184086530088997</v>
      </c>
      <c r="AI176" s="9">
        <v>44.009608972862097</v>
      </c>
      <c r="AJ176" s="9">
        <v>360.67267975795897</v>
      </c>
      <c r="AK176" s="9">
        <v>365.45703650000002</v>
      </c>
      <c r="AL176" s="9">
        <v>452.86150013918501</v>
      </c>
      <c r="AM176" s="9">
        <v>78.2994525062675</v>
      </c>
      <c r="AN176" s="9">
        <v>0.76018885928415003</v>
      </c>
      <c r="AO176" s="7"/>
      <c r="AP176" s="9">
        <v>1029.96042688236</v>
      </c>
      <c r="AQ176" s="9">
        <v>9.9996157949743694</v>
      </c>
      <c r="AR176" s="9"/>
      <c r="AS176" s="73" t="s">
        <v>169</v>
      </c>
      <c r="AT176" s="10"/>
      <c r="AU176" s="10" t="s">
        <v>169</v>
      </c>
      <c r="AV176" s="10">
        <v>0</v>
      </c>
      <c r="AW176" s="316"/>
      <c r="AX176" s="74" t="s">
        <v>169</v>
      </c>
      <c r="AY176" s="314" t="str">
        <f t="shared" si="65"/>
        <v/>
      </c>
      <c r="AZ176" s="314" t="str">
        <f t="shared" si="66"/>
        <v/>
      </c>
      <c r="BA176" s="315" t="str">
        <f t="shared" si="67"/>
        <v/>
      </c>
      <c r="BB176" s="10" t="str">
        <f t="shared" si="68"/>
        <v/>
      </c>
      <c r="BC176" s="10" t="str">
        <f t="shared" si="69"/>
        <v/>
      </c>
      <c r="BD176" s="10" t="str">
        <f t="shared" si="70"/>
        <v/>
      </c>
      <c r="BE176" s="10" t="str">
        <f t="shared" si="71"/>
        <v/>
      </c>
      <c r="BF176" s="12">
        <v>0.43</v>
      </c>
      <c r="BG176" s="75">
        <v>339.15552513333336</v>
      </c>
      <c r="BH176" s="96" t="str">
        <f>+VLOOKUP(G176,Liste!$A$7:$G$50,3,FALSE)</f>
        <v>Douglas</v>
      </c>
      <c r="BI176" s="96" t="str">
        <f>+VLOOKUP(H176,Liste!$B$7:$G$50,5,FALSE)</f>
        <v>National</v>
      </c>
      <c r="BJ176" s="135">
        <f t="shared" si="46"/>
        <v>103</v>
      </c>
      <c r="BK176" s="135" t="str">
        <f t="shared" si="48"/>
        <v>Douglas_F3_Entree 19-20m_National_103_</v>
      </c>
      <c r="BL176" s="322"/>
      <c r="BM176" s="75">
        <v>84.617630666666628</v>
      </c>
      <c r="BN176" s="13">
        <v>423.77315576709401</v>
      </c>
      <c r="BP176" s="13">
        <v>283.36739999999998</v>
      </c>
      <c r="BQ176" s="13"/>
      <c r="BT176" s="298" t="str">
        <f>+VLOOKUP(G176,Liste!$A$7:$H$50,8,FALSE)</f>
        <v>Résineux</v>
      </c>
      <c r="BU176" s="298">
        <f t="shared" si="49"/>
        <v>0</v>
      </c>
      <c r="BV176" s="300">
        <f t="shared" si="50"/>
        <v>1</v>
      </c>
      <c r="BW176" s="321">
        <v>0</v>
      </c>
      <c r="BX176" s="298">
        <f t="shared" si="51"/>
        <v>0.43</v>
      </c>
      <c r="BY176">
        <f t="shared" si="52"/>
        <v>0</v>
      </c>
      <c r="BZ176" s="304">
        <f t="shared" si="53"/>
        <v>0</v>
      </c>
      <c r="CB176" s="299">
        <v>0.6</v>
      </c>
      <c r="CC176" s="299">
        <v>0.4</v>
      </c>
      <c r="CD176">
        <f t="shared" si="54"/>
        <v>0</v>
      </c>
      <c r="CE176">
        <f t="shared" si="55"/>
        <v>0</v>
      </c>
      <c r="CF176">
        <f t="shared" si="56"/>
        <v>0</v>
      </c>
      <c r="CG176">
        <f t="shared" si="57"/>
        <v>0</v>
      </c>
      <c r="CH176">
        <f t="shared" si="58"/>
        <v>0</v>
      </c>
      <c r="CI176">
        <f t="shared" si="59"/>
        <v>0</v>
      </c>
      <c r="CJ176">
        <f t="shared" si="60"/>
        <v>0</v>
      </c>
      <c r="CK176">
        <f t="shared" si="61"/>
        <v>0</v>
      </c>
      <c r="CL176">
        <f t="shared" si="62"/>
        <v>0</v>
      </c>
      <c r="CM176">
        <f t="shared" si="64"/>
        <v>0</v>
      </c>
      <c r="CN176">
        <f t="shared" si="63"/>
        <v>0</v>
      </c>
      <c r="CO176">
        <f t="shared" si="47"/>
        <v>0</v>
      </c>
    </row>
    <row r="177" spans="1:93" s="12" customFormat="1" ht="14.65" customHeight="1" x14ac:dyDescent="0.25">
      <c r="A177" s="4">
        <v>2021</v>
      </c>
      <c r="B177" s="4"/>
      <c r="C177" s="4" t="s">
        <v>68</v>
      </c>
      <c r="D177" s="4" t="s">
        <v>67</v>
      </c>
      <c r="E177" s="4" t="s">
        <v>145</v>
      </c>
      <c r="F177" s="4" t="s">
        <v>90</v>
      </c>
      <c r="G177" s="5" t="s">
        <v>8</v>
      </c>
      <c r="H177" s="5" t="s">
        <v>11</v>
      </c>
      <c r="I177" s="5" t="s">
        <v>143</v>
      </c>
      <c r="J177" s="5" t="s">
        <v>144</v>
      </c>
      <c r="K177" s="5">
        <v>26</v>
      </c>
      <c r="L177" s="5" t="s">
        <v>190</v>
      </c>
      <c r="M177" s="5">
        <v>1666</v>
      </c>
      <c r="N177" s="5" t="s">
        <v>171</v>
      </c>
      <c r="O177" s="6" t="s">
        <v>81</v>
      </c>
      <c r="P177" s="6" t="s">
        <v>83</v>
      </c>
      <c r="Q177" s="6"/>
      <c r="R177" s="6" t="s">
        <v>84</v>
      </c>
      <c r="S177" s="6">
        <v>25</v>
      </c>
      <c r="T177" s="6">
        <v>14.76</v>
      </c>
      <c r="U177" s="6">
        <v>1600</v>
      </c>
      <c r="V177" s="6">
        <v>26.34</v>
      </c>
      <c r="W177" s="6">
        <v>40</v>
      </c>
      <c r="X177" s="6">
        <v>465</v>
      </c>
      <c r="Y177" s="6">
        <v>873</v>
      </c>
      <c r="Z177" s="6">
        <v>210</v>
      </c>
      <c r="AA177" s="6">
        <v>12</v>
      </c>
      <c r="AB177" s="6">
        <v>0</v>
      </c>
      <c r="AC177" s="7">
        <v>103</v>
      </c>
      <c r="AD177" s="7" t="s">
        <v>53</v>
      </c>
      <c r="AE177" s="9">
        <v>43.209510000000002</v>
      </c>
      <c r="AF177" s="7">
        <v>0</v>
      </c>
      <c r="AG177" s="9">
        <v>0</v>
      </c>
      <c r="AH177" s="9">
        <v>0</v>
      </c>
      <c r="AI177" s="7">
        <v>0</v>
      </c>
      <c r="AJ177" s="7">
        <v>0</v>
      </c>
      <c r="AK177" s="7">
        <v>0</v>
      </c>
      <c r="AL177" s="7">
        <v>0</v>
      </c>
      <c r="AM177" s="9">
        <v>78.2994525062675</v>
      </c>
      <c r="AN177" s="9">
        <v>0.76018885928415003</v>
      </c>
      <c r="AO177" s="7"/>
      <c r="AP177" s="9">
        <v>1029.96042688236</v>
      </c>
      <c r="AQ177" s="9">
        <v>9.9996157949743694</v>
      </c>
      <c r="AR177" s="9"/>
      <c r="AS177" s="73">
        <v>212</v>
      </c>
      <c r="AT177" s="10">
        <v>28.241295673720199</v>
      </c>
      <c r="AU177" s="10">
        <v>41.184086530089019</v>
      </c>
      <c r="AV177" s="10">
        <v>360.67267975795897</v>
      </c>
      <c r="AW177" s="316">
        <v>1.0000000000000011</v>
      </c>
      <c r="AX177" s="74">
        <v>1.7012862252733914</v>
      </c>
      <c r="AY177" s="314">
        <f t="shared" si="65"/>
        <v>0</v>
      </c>
      <c r="AZ177" s="314">
        <f t="shared" si="66"/>
        <v>0.92330769545761937</v>
      </c>
      <c r="BA177" s="315">
        <f t="shared" si="67"/>
        <v>7.2253722979701784E-2</v>
      </c>
      <c r="BB177" s="10">
        <f t="shared" si="68"/>
        <v>156.54887574414334</v>
      </c>
      <c r="BC177" s="10">
        <f t="shared" si="69"/>
        <v>48.588034441633155</v>
      </c>
      <c r="BD177" s="10">
        <f t="shared" si="70"/>
        <v>31.806457241153709</v>
      </c>
      <c r="BE177" s="10">
        <f t="shared" si="71"/>
        <v>116.6429475065607</v>
      </c>
      <c r="BF177" s="12">
        <v>0.43</v>
      </c>
      <c r="BG177" s="75">
        <v>0</v>
      </c>
      <c r="BH177" s="96" t="str">
        <f>+VLOOKUP(G177,Liste!$A$7:$G$50,3,FALSE)</f>
        <v>Douglas</v>
      </c>
      <c r="BI177" s="96" t="str">
        <f>+VLOOKUP(H177,Liste!$B$7:$G$50,5,FALSE)</f>
        <v>National</v>
      </c>
      <c r="BJ177" s="135">
        <f t="shared" si="46"/>
        <v>103</v>
      </c>
      <c r="BK177" s="135" t="str">
        <f t="shared" si="48"/>
        <v>Douglas_F3_Entree 19-20m_National_103_</v>
      </c>
      <c r="BL177" s="322"/>
      <c r="BM177" s="75">
        <v>0</v>
      </c>
      <c r="BN177" s="12">
        <v>0</v>
      </c>
      <c r="BO177" s="13">
        <v>423.77315576709401</v>
      </c>
      <c r="BP177" s="13">
        <v>283.36739999999998</v>
      </c>
      <c r="BQ177" s="13"/>
      <c r="BT177" s="298" t="str">
        <f>+VLOOKUP(G177,Liste!$A$7:$H$50,8,FALSE)</f>
        <v>Résineux</v>
      </c>
      <c r="BU177" s="298">
        <f t="shared" si="49"/>
        <v>0</v>
      </c>
      <c r="BV177" s="300">
        <f t="shared" si="50"/>
        <v>1</v>
      </c>
      <c r="BW177" s="321">
        <v>0</v>
      </c>
      <c r="BX177" s="298">
        <f t="shared" si="51"/>
        <v>0.43</v>
      </c>
      <c r="BY177">
        <f t="shared" si="52"/>
        <v>0</v>
      </c>
      <c r="BZ177" s="304">
        <f t="shared" si="53"/>
        <v>0</v>
      </c>
      <c r="CB177" s="299">
        <v>0.6</v>
      </c>
      <c r="CC177" s="299">
        <v>0.4</v>
      </c>
      <c r="CD177">
        <f t="shared" si="54"/>
        <v>0</v>
      </c>
      <c r="CE177">
        <f t="shared" si="55"/>
        <v>0</v>
      </c>
      <c r="CF177">
        <f t="shared" si="56"/>
        <v>0</v>
      </c>
      <c r="CG177">
        <f t="shared" si="57"/>
        <v>0</v>
      </c>
      <c r="CH177">
        <f t="shared" si="58"/>
        <v>0</v>
      </c>
      <c r="CI177">
        <f t="shared" si="59"/>
        <v>0</v>
      </c>
      <c r="CJ177">
        <f t="shared" si="60"/>
        <v>0</v>
      </c>
      <c r="CK177">
        <f t="shared" si="61"/>
        <v>0</v>
      </c>
      <c r="CL177">
        <f t="shared" si="62"/>
        <v>0</v>
      </c>
      <c r="CM177">
        <f t="shared" si="64"/>
        <v>0</v>
      </c>
      <c r="CN177">
        <f t="shared" si="63"/>
        <v>0</v>
      </c>
      <c r="CO177">
        <f t="shared" si="47"/>
        <v>0</v>
      </c>
    </row>
    <row r="178" spans="1:93" s="12" customFormat="1" ht="14.65" customHeight="1" x14ac:dyDescent="0.25">
      <c r="A178" s="4">
        <v>2021</v>
      </c>
      <c r="B178" s="4"/>
      <c r="C178" s="4" t="s">
        <v>64</v>
      </c>
      <c r="D178" s="4" t="s">
        <v>65</v>
      </c>
      <c r="E178" s="4"/>
      <c r="F178" s="4" t="s">
        <v>90</v>
      </c>
      <c r="G178" s="5" t="s">
        <v>15</v>
      </c>
      <c r="H178" s="5" t="s">
        <v>21</v>
      </c>
      <c r="I178" s="5" t="s">
        <v>147</v>
      </c>
      <c r="J178" s="5" t="s">
        <v>10</v>
      </c>
      <c r="K178" s="5">
        <v>23</v>
      </c>
      <c r="L178" s="5">
        <v>45</v>
      </c>
      <c r="M178" s="5">
        <v>2500</v>
      </c>
      <c r="N178" s="5" t="s">
        <v>170</v>
      </c>
      <c r="O178" s="6" t="s">
        <v>78</v>
      </c>
      <c r="P178" s="6" t="s">
        <v>80</v>
      </c>
      <c r="Q178" s="6">
        <v>2003</v>
      </c>
      <c r="R178" s="6" t="s">
        <v>50</v>
      </c>
      <c r="S178" s="6">
        <v>28</v>
      </c>
      <c r="T178" s="6">
        <v>13.5</v>
      </c>
      <c r="U178" s="6">
        <v>2157</v>
      </c>
      <c r="V178" s="6">
        <v>40.299999999999997</v>
      </c>
      <c r="W178" s="6">
        <v>0</v>
      </c>
      <c r="X178" s="6">
        <v>600</v>
      </c>
      <c r="Y178" s="6">
        <v>1043</v>
      </c>
      <c r="Z178" s="6">
        <v>457</v>
      </c>
      <c r="AA178" s="6">
        <v>57</v>
      </c>
      <c r="AB178" s="6">
        <v>0</v>
      </c>
      <c r="AC178" s="7">
        <v>28</v>
      </c>
      <c r="AD178" s="7" t="s">
        <v>52</v>
      </c>
      <c r="AE178" s="7">
        <v>13.5</v>
      </c>
      <c r="AF178" s="7">
        <v>2157</v>
      </c>
      <c r="AG178" s="7">
        <v>40.74</v>
      </c>
      <c r="AH178" s="7">
        <v>15.51</v>
      </c>
      <c r="AI178" s="7">
        <v>23.89</v>
      </c>
      <c r="AJ178" s="9">
        <v>231.51007189351299</v>
      </c>
      <c r="AK178" s="9">
        <v>233.38091885013401</v>
      </c>
      <c r="AL178" s="9">
        <v>309.06070927320297</v>
      </c>
      <c r="AM178" s="9">
        <v>40.736731375075699</v>
      </c>
      <c r="AN178" s="9">
        <v>1.45488326339556</v>
      </c>
      <c r="AO178" s="9">
        <v>1.23337821739321</v>
      </c>
      <c r="AP178" s="9">
        <v>309.06070927320297</v>
      </c>
      <c r="AQ178" s="9">
        <v>11.037882474043</v>
      </c>
      <c r="AR178" s="9">
        <v>15.458104377201201</v>
      </c>
      <c r="AS178" s="73" t="s">
        <v>169</v>
      </c>
      <c r="AT178" s="8"/>
      <c r="AU178" s="10" t="s">
        <v>169</v>
      </c>
      <c r="AV178" s="10">
        <v>0</v>
      </c>
      <c r="AW178" s="8"/>
      <c r="AX178" s="74" t="s">
        <v>169</v>
      </c>
      <c r="AY178" s="74"/>
      <c r="AZ178" s="74"/>
      <c r="BA178" s="74"/>
      <c r="BB178" s="8"/>
      <c r="BC178" s="8"/>
      <c r="BD178" s="8"/>
      <c r="BE178" s="8"/>
      <c r="BF178" s="12">
        <v>0.44</v>
      </c>
      <c r="BG178" s="13">
        <v>236.84352353969817</v>
      </c>
      <c r="BH178" s="96" t="str">
        <f>+VLOOKUP(G178,Liste!$A$7:$G$50,3,FALSE)</f>
        <v>Pin sylvestre</v>
      </c>
      <c r="BI178" s="96" t="str">
        <f>+VLOOKUP(H178,Liste!$B$7:$G$50,5,FALSE)</f>
        <v>GS Pineraies des plaines du Centre et du Nord Ouest</v>
      </c>
      <c r="BJ178" s="135">
        <f t="shared" si="46"/>
        <v>28</v>
      </c>
      <c r="BK178" s="135" t="str">
        <f t="shared" si="48"/>
        <v>Pin sylvestre_F2_Eclaircie tardive_GS Pineraies des plaines du Centre et du Nord Ouest_28_</v>
      </c>
      <c r="BL178" s="322"/>
      <c r="BM178" s="13">
        <v>61.613316837648853</v>
      </c>
      <c r="BN178" s="13">
        <v>298.45684037734702</v>
      </c>
      <c r="BP178" s="13">
        <v>268.42</v>
      </c>
      <c r="BQ178" s="13">
        <v>14.561247196080799</v>
      </c>
      <c r="BT178" s="298" t="str">
        <f>+VLOOKUP(G178,Liste!$A$7:$H$50,8,FALSE)</f>
        <v>Résineux</v>
      </c>
      <c r="BU178" s="298">
        <f t="shared" si="49"/>
        <v>0</v>
      </c>
      <c r="BV178" s="300">
        <f t="shared" si="50"/>
        <v>1</v>
      </c>
      <c r="BW178" s="321">
        <v>0</v>
      </c>
      <c r="BX178" s="298">
        <f t="shared" si="51"/>
        <v>0.43</v>
      </c>
      <c r="BY178">
        <f t="shared" si="52"/>
        <v>0</v>
      </c>
      <c r="BZ178" s="304">
        <f t="shared" si="53"/>
        <v>0</v>
      </c>
      <c r="CB178" s="299">
        <v>0.6</v>
      </c>
      <c r="CC178" s="299">
        <v>0.4</v>
      </c>
      <c r="CD178">
        <f t="shared" si="54"/>
        <v>0</v>
      </c>
      <c r="CE178">
        <f t="shared" si="55"/>
        <v>0</v>
      </c>
      <c r="CF178">
        <f t="shared" si="56"/>
        <v>0</v>
      </c>
      <c r="CG178">
        <f t="shared" si="57"/>
        <v>0</v>
      </c>
      <c r="CH178">
        <f t="shared" si="58"/>
        <v>0</v>
      </c>
      <c r="CI178">
        <f t="shared" si="59"/>
        <v>0</v>
      </c>
      <c r="CJ178">
        <f t="shared" si="60"/>
        <v>0</v>
      </c>
      <c r="CK178">
        <f t="shared" si="61"/>
        <v>0</v>
      </c>
      <c r="CL178">
        <f t="shared" si="62"/>
        <v>0</v>
      </c>
      <c r="CM178">
        <f t="shared" si="64"/>
        <v>0</v>
      </c>
      <c r="CN178">
        <f t="shared" si="63"/>
        <v>0</v>
      </c>
      <c r="CO178">
        <f t="shared" si="47"/>
        <v>0</v>
      </c>
    </row>
    <row r="179" spans="1:93" s="12" customFormat="1" ht="14.65" customHeight="1" x14ac:dyDescent="0.25">
      <c r="A179" s="4">
        <v>2021</v>
      </c>
      <c r="B179" s="4"/>
      <c r="C179" s="4" t="s">
        <v>64</v>
      </c>
      <c r="D179" s="4" t="s">
        <v>65</v>
      </c>
      <c r="E179" s="4"/>
      <c r="F179" s="4" t="s">
        <v>90</v>
      </c>
      <c r="G179" s="5" t="s">
        <v>15</v>
      </c>
      <c r="H179" s="5" t="s">
        <v>21</v>
      </c>
      <c r="I179" s="5" t="s">
        <v>147</v>
      </c>
      <c r="J179" s="5" t="s">
        <v>10</v>
      </c>
      <c r="K179" s="5">
        <v>23</v>
      </c>
      <c r="L179" s="5">
        <v>45</v>
      </c>
      <c r="M179" s="5">
        <v>2500</v>
      </c>
      <c r="N179" s="5" t="s">
        <v>170</v>
      </c>
      <c r="O179" s="6" t="s">
        <v>78</v>
      </c>
      <c r="P179" s="6" t="s">
        <v>80</v>
      </c>
      <c r="Q179" s="6">
        <v>2003</v>
      </c>
      <c r="R179" s="6" t="s">
        <v>50</v>
      </c>
      <c r="S179" s="6">
        <v>28</v>
      </c>
      <c r="T179" s="6">
        <v>13.5</v>
      </c>
      <c r="U179" s="6">
        <v>2157</v>
      </c>
      <c r="V179" s="6">
        <v>40.299999999999997</v>
      </c>
      <c r="W179" s="6">
        <v>0</v>
      </c>
      <c r="X179" s="6">
        <v>600</v>
      </c>
      <c r="Y179" s="6">
        <v>1043</v>
      </c>
      <c r="Z179" s="6">
        <v>457</v>
      </c>
      <c r="AA179" s="6">
        <v>57</v>
      </c>
      <c r="AB179" s="6">
        <v>0</v>
      </c>
      <c r="AC179" s="7">
        <v>28</v>
      </c>
      <c r="AD179" s="7" t="s">
        <v>53</v>
      </c>
      <c r="AE179" s="7">
        <v>13.5</v>
      </c>
      <c r="AF179" s="7">
        <v>1400</v>
      </c>
      <c r="AG179" s="7">
        <v>23.89</v>
      </c>
      <c r="AH179" s="7">
        <v>14.74</v>
      </c>
      <c r="AI179" s="7">
        <v>20.58</v>
      </c>
      <c r="AJ179" s="9">
        <v>133.30982973744801</v>
      </c>
      <c r="AK179" s="9">
        <v>134.061718452875</v>
      </c>
      <c r="AL179" s="9">
        <v>178.00858015338699</v>
      </c>
      <c r="AM179" s="9">
        <v>40.736731375075699</v>
      </c>
      <c r="AN179" s="9">
        <v>1.45488326339556</v>
      </c>
      <c r="AO179" s="9">
        <v>1.23337821739321</v>
      </c>
      <c r="AP179" s="9">
        <v>309.06070927320297</v>
      </c>
      <c r="AQ179" s="9">
        <v>11.037882474043</v>
      </c>
      <c r="AR179" s="9">
        <v>15.458104377201201</v>
      </c>
      <c r="AS179" s="73">
        <v>757</v>
      </c>
      <c r="AT179" s="8">
        <v>16.850000000000001</v>
      </c>
      <c r="AU179" s="10">
        <v>16.834765535381674</v>
      </c>
      <c r="AV179" s="10">
        <v>98.200242156064974</v>
      </c>
      <c r="AW179" s="8">
        <v>1.18</v>
      </c>
      <c r="AX179" s="74">
        <v>0.12972290905688899</v>
      </c>
      <c r="AY179" s="74"/>
      <c r="AZ179" s="74"/>
      <c r="BA179" s="74"/>
      <c r="BB179" s="8"/>
      <c r="BC179" s="8"/>
      <c r="BD179" s="8"/>
      <c r="BE179" s="8"/>
      <c r="BF179" s="12">
        <v>0.44</v>
      </c>
      <c r="BG179" s="13">
        <v>136.41390859087895</v>
      </c>
      <c r="BH179" s="96" t="str">
        <f>+VLOOKUP(G179,Liste!$A$7:$G$50,3,FALSE)</f>
        <v>Pin sylvestre</v>
      </c>
      <c r="BI179" s="96" t="str">
        <f>+VLOOKUP(H179,Liste!$B$7:$G$50,5,FALSE)</f>
        <v>GS Pineraies des plaines du Centre et du Nord Ouest</v>
      </c>
      <c r="BJ179" s="135">
        <f t="shared" si="46"/>
        <v>28</v>
      </c>
      <c r="BK179" s="135" t="str">
        <f t="shared" si="48"/>
        <v>Pin sylvestre_F2_Eclaircie tardive_GS Pineraies des plaines du Centre et du Nord Ouest_28_</v>
      </c>
      <c r="BL179" s="322"/>
      <c r="BM179" s="13">
        <v>37.840903836934046</v>
      </c>
      <c r="BN179" s="13">
        <v>174.25481242781299</v>
      </c>
      <c r="BP179" s="13">
        <v>268.42</v>
      </c>
      <c r="BQ179" s="13">
        <v>14.561247196080799</v>
      </c>
      <c r="BT179" s="298" t="str">
        <f>+VLOOKUP(G179,Liste!$A$7:$H$50,8,FALSE)</f>
        <v>Résineux</v>
      </c>
      <c r="BU179" s="298">
        <f t="shared" si="49"/>
        <v>0</v>
      </c>
      <c r="BV179" s="300">
        <f t="shared" si="50"/>
        <v>1</v>
      </c>
      <c r="BW179" s="321">
        <v>0</v>
      </c>
      <c r="BX179" s="298">
        <f t="shared" si="51"/>
        <v>0.43</v>
      </c>
      <c r="BY179">
        <f t="shared" si="52"/>
        <v>42.226104127107938</v>
      </c>
      <c r="BZ179" s="304">
        <f t="shared" si="53"/>
        <v>42.226104127107938</v>
      </c>
      <c r="CB179" s="299">
        <v>0.6</v>
      </c>
      <c r="CC179" s="299">
        <v>0.4</v>
      </c>
      <c r="CD179">
        <f t="shared" si="54"/>
        <v>0</v>
      </c>
      <c r="CE179">
        <f t="shared" si="55"/>
        <v>58.920145293638981</v>
      </c>
      <c r="CF179">
        <f t="shared" si="56"/>
        <v>39.280096862425992</v>
      </c>
      <c r="CG179">
        <f t="shared" si="57"/>
        <v>0</v>
      </c>
      <c r="CH179">
        <f t="shared" si="58"/>
        <v>45.15247134335867</v>
      </c>
      <c r="CI179">
        <f t="shared" si="59"/>
        <v>30.101647562239119</v>
      </c>
      <c r="CJ179">
        <f t="shared" si="60"/>
        <v>0</v>
      </c>
      <c r="CK179">
        <f t="shared" si="61"/>
        <v>0</v>
      </c>
      <c r="CL179">
        <f t="shared" si="62"/>
        <v>0</v>
      </c>
      <c r="CM179">
        <f t="shared" si="64"/>
        <v>0</v>
      </c>
      <c r="CN179">
        <f t="shared" si="63"/>
        <v>0</v>
      </c>
      <c r="CO179">
        <f t="shared" si="47"/>
        <v>0</v>
      </c>
    </row>
    <row r="180" spans="1:93" s="12" customFormat="1" ht="14.65" customHeight="1" x14ac:dyDescent="0.25">
      <c r="A180" s="4">
        <v>2021</v>
      </c>
      <c r="B180" s="4"/>
      <c r="C180" s="4" t="s">
        <v>64</v>
      </c>
      <c r="D180" s="4" t="s">
        <v>65</v>
      </c>
      <c r="E180" s="4"/>
      <c r="F180" s="4" t="s">
        <v>90</v>
      </c>
      <c r="G180" s="5" t="s">
        <v>15</v>
      </c>
      <c r="H180" s="5" t="s">
        <v>21</v>
      </c>
      <c r="I180" s="5" t="s">
        <v>147</v>
      </c>
      <c r="J180" s="5" t="s">
        <v>10</v>
      </c>
      <c r="K180" s="5">
        <v>23</v>
      </c>
      <c r="L180" s="5">
        <v>45</v>
      </c>
      <c r="M180" s="5">
        <v>2500</v>
      </c>
      <c r="N180" s="5" t="s">
        <v>170</v>
      </c>
      <c r="O180" s="6" t="s">
        <v>78</v>
      </c>
      <c r="P180" s="6" t="s">
        <v>80</v>
      </c>
      <c r="Q180" s="6">
        <v>2003</v>
      </c>
      <c r="R180" s="6" t="s">
        <v>50</v>
      </c>
      <c r="S180" s="6">
        <v>28</v>
      </c>
      <c r="T180" s="6">
        <v>13.5</v>
      </c>
      <c r="U180" s="6">
        <v>2157</v>
      </c>
      <c r="V180" s="6">
        <v>40.299999999999997</v>
      </c>
      <c r="W180" s="6">
        <v>0</v>
      </c>
      <c r="X180" s="6">
        <v>600</v>
      </c>
      <c r="Y180" s="6">
        <v>1043</v>
      </c>
      <c r="Z180" s="6">
        <v>457</v>
      </c>
      <c r="AA180" s="6">
        <v>57</v>
      </c>
      <c r="AB180" s="6">
        <v>0</v>
      </c>
      <c r="AC180" s="7">
        <v>29</v>
      </c>
      <c r="AD180" s="7" t="s">
        <v>52</v>
      </c>
      <c r="AE180" s="7">
        <v>13.94</v>
      </c>
      <c r="AF180" s="7">
        <v>1400</v>
      </c>
      <c r="AG180" s="7">
        <v>25.12</v>
      </c>
      <c r="AH180" s="7">
        <v>15.11</v>
      </c>
      <c r="AI180" s="7">
        <v>21.17</v>
      </c>
      <c r="AJ180" s="9">
        <v>147.18912079769299</v>
      </c>
      <c r="AK180" s="9">
        <v>147.96880122477501</v>
      </c>
      <c r="AL180" s="9">
        <v>193.466684530588</v>
      </c>
      <c r="AM180" s="9">
        <v>41.970109592468901</v>
      </c>
      <c r="AN180" s="9">
        <v>1.447245158361</v>
      </c>
      <c r="AO180" s="9">
        <v>1.21798924358933</v>
      </c>
      <c r="AP180" s="9">
        <v>324.51881365040401</v>
      </c>
      <c r="AQ180" s="9">
        <v>11.190303918979501</v>
      </c>
      <c r="AR180" s="9">
        <v>13.731689475866199</v>
      </c>
      <c r="AS180" s="73" t="s">
        <v>169</v>
      </c>
      <c r="AT180" s="8"/>
      <c r="AU180" s="10" t="s">
        <v>169</v>
      </c>
      <c r="AV180" s="10">
        <v>0</v>
      </c>
      <c r="AW180" s="8"/>
      <c r="AX180" s="74" t="s">
        <v>169</v>
      </c>
      <c r="AY180" s="74"/>
      <c r="AZ180" s="74"/>
      <c r="BA180" s="74"/>
      <c r="BB180" s="8"/>
      <c r="BC180" s="8"/>
      <c r="BD180" s="8"/>
      <c r="BE180" s="8"/>
      <c r="BF180" s="12">
        <v>0.44</v>
      </c>
      <c r="BG180" s="13">
        <v>148.25996924527396</v>
      </c>
      <c r="BH180" s="96" t="str">
        <f>+VLOOKUP(G180,Liste!$A$7:$G$50,3,FALSE)</f>
        <v>Pin sylvestre</v>
      </c>
      <c r="BI180" s="96" t="str">
        <f>+VLOOKUP(H180,Liste!$B$7:$G$50,5,FALSE)</f>
        <v>GS Pineraies des plaines du Centre et du Nord Ouest</v>
      </c>
      <c r="BJ180" s="135">
        <f t="shared" si="46"/>
        <v>29</v>
      </c>
      <c r="BK180" s="135" t="str">
        <f t="shared" si="48"/>
        <v>Pin sylvestre_F2_Eclaircie tardive_GS Pineraies des plaines du Centre et du Nord Ouest_29_</v>
      </c>
      <c r="BL180" s="322"/>
      <c r="BM180" s="13">
        <v>40.730254017464034</v>
      </c>
      <c r="BN180" s="13">
        <v>188.990223262738</v>
      </c>
      <c r="BP180" s="13">
        <v>268.42</v>
      </c>
      <c r="BQ180" s="13">
        <v>12.922375477390901</v>
      </c>
      <c r="BT180" s="298" t="str">
        <f>+VLOOKUP(G180,Liste!$A$7:$H$50,8,FALSE)</f>
        <v>Résineux</v>
      </c>
      <c r="BU180" s="298">
        <f t="shared" si="49"/>
        <v>0</v>
      </c>
      <c r="BV180" s="300">
        <f t="shared" si="50"/>
        <v>1</v>
      </c>
      <c r="BW180" s="321">
        <v>0</v>
      </c>
      <c r="BX180" s="298">
        <f t="shared" si="51"/>
        <v>0.43</v>
      </c>
      <c r="BY180">
        <f t="shared" si="52"/>
        <v>0</v>
      </c>
      <c r="BZ180" s="304">
        <f t="shared" si="53"/>
        <v>42.226104127107938</v>
      </c>
      <c r="CB180" s="299">
        <v>0.6</v>
      </c>
      <c r="CC180" s="299">
        <v>0.4</v>
      </c>
      <c r="CD180">
        <f t="shared" si="54"/>
        <v>0</v>
      </c>
      <c r="CE180">
        <f t="shared" si="55"/>
        <v>0</v>
      </c>
      <c r="CF180">
        <f t="shared" si="56"/>
        <v>0</v>
      </c>
      <c r="CG180">
        <f t="shared" si="57"/>
        <v>0</v>
      </c>
      <c r="CH180">
        <f t="shared" si="58"/>
        <v>0</v>
      </c>
      <c r="CI180">
        <f t="shared" si="59"/>
        <v>0</v>
      </c>
      <c r="CJ180">
        <f t="shared" si="60"/>
        <v>0</v>
      </c>
      <c r="CK180">
        <f t="shared" si="61"/>
        <v>44.532270273103755</v>
      </c>
      <c r="CL180">
        <f t="shared" si="62"/>
        <v>25.439239149671035</v>
      </c>
      <c r="CM180">
        <f t="shared" si="64"/>
        <v>69.971509422774787</v>
      </c>
      <c r="CN180">
        <f t="shared" si="63"/>
        <v>69.971509422774787</v>
      </c>
      <c r="CO180">
        <f t="shared" si="47"/>
        <v>0</v>
      </c>
    </row>
    <row r="181" spans="1:93" s="12" customFormat="1" ht="14.65" customHeight="1" x14ac:dyDescent="0.25">
      <c r="A181" s="4">
        <v>2021</v>
      </c>
      <c r="B181" s="4"/>
      <c r="C181" s="4" t="s">
        <v>64</v>
      </c>
      <c r="D181" s="4" t="s">
        <v>65</v>
      </c>
      <c r="E181" s="4"/>
      <c r="F181" s="4" t="s">
        <v>90</v>
      </c>
      <c r="G181" s="5" t="s">
        <v>15</v>
      </c>
      <c r="H181" s="5" t="s">
        <v>21</v>
      </c>
      <c r="I181" s="5" t="s">
        <v>147</v>
      </c>
      <c r="J181" s="5" t="s">
        <v>10</v>
      </c>
      <c r="K181" s="5">
        <v>23</v>
      </c>
      <c r="L181" s="5">
        <v>45</v>
      </c>
      <c r="M181" s="5">
        <v>2500</v>
      </c>
      <c r="N181" s="5" t="s">
        <v>170</v>
      </c>
      <c r="O181" s="6" t="s">
        <v>78</v>
      </c>
      <c r="P181" s="6" t="s">
        <v>80</v>
      </c>
      <c r="Q181" s="6">
        <v>2003</v>
      </c>
      <c r="R181" s="6" t="s">
        <v>50</v>
      </c>
      <c r="S181" s="6">
        <v>28</v>
      </c>
      <c r="T181" s="6">
        <v>13.5</v>
      </c>
      <c r="U181" s="6">
        <v>2157</v>
      </c>
      <c r="V181" s="6">
        <v>40.299999999999997</v>
      </c>
      <c r="W181" s="6">
        <v>0</v>
      </c>
      <c r="X181" s="6">
        <v>600</v>
      </c>
      <c r="Y181" s="6">
        <v>1043</v>
      </c>
      <c r="Z181" s="6">
        <v>457</v>
      </c>
      <c r="AA181" s="6">
        <v>57</v>
      </c>
      <c r="AB181" s="6">
        <v>0</v>
      </c>
      <c r="AC181" s="7">
        <v>30</v>
      </c>
      <c r="AD181" s="7" t="s">
        <v>52</v>
      </c>
      <c r="AE181" s="7">
        <v>14.37</v>
      </c>
      <c r="AF181" s="7">
        <v>1400</v>
      </c>
      <c r="AG181" s="7">
        <v>26.34</v>
      </c>
      <c r="AH181" s="7">
        <v>15.48</v>
      </c>
      <c r="AI181" s="7">
        <v>21.74</v>
      </c>
      <c r="AJ181" s="9">
        <v>159.10965865639</v>
      </c>
      <c r="AK181" s="9">
        <v>159.95990183391899</v>
      </c>
      <c r="AL181" s="9">
        <v>207.198374006454</v>
      </c>
      <c r="AM181" s="9">
        <v>43.188098836058202</v>
      </c>
      <c r="AN181" s="9">
        <v>1.4396032945352699</v>
      </c>
      <c r="AO181" s="9">
        <v>1.2028886915529899</v>
      </c>
      <c r="AP181" s="9">
        <v>338.25050312627098</v>
      </c>
      <c r="AQ181" s="9">
        <v>11.2750167708757</v>
      </c>
      <c r="AR181" s="9">
        <v>13.944241111451699</v>
      </c>
      <c r="AS181" s="73" t="s">
        <v>169</v>
      </c>
      <c r="AT181" s="8"/>
      <c r="AU181" s="10" t="s">
        <v>169</v>
      </c>
      <c r="AV181" s="10">
        <v>0</v>
      </c>
      <c r="AW181" s="8"/>
      <c r="AX181" s="74" t="s">
        <v>169</v>
      </c>
      <c r="AY181" s="74"/>
      <c r="AZ181" s="74"/>
      <c r="BA181" s="74"/>
      <c r="BB181" s="8"/>
      <c r="BC181" s="8"/>
      <c r="BD181" s="8"/>
      <c r="BE181" s="8"/>
      <c r="BF181" s="12">
        <v>0.44</v>
      </c>
      <c r="BG181" s="13">
        <v>158.78302061361299</v>
      </c>
      <c r="BH181" s="96" t="str">
        <f>+VLOOKUP(G181,Liste!$A$7:$G$50,3,FALSE)</f>
        <v>Pin sylvestre</v>
      </c>
      <c r="BI181" s="96" t="str">
        <f>+VLOOKUP(H181,Liste!$B$7:$G$50,5,FALSE)</f>
        <v>GS Pineraies des plaines du Centre et du Nord Ouest</v>
      </c>
      <c r="BJ181" s="135">
        <f t="shared" si="46"/>
        <v>30</v>
      </c>
      <c r="BK181" s="135" t="str">
        <f t="shared" si="48"/>
        <v>Pin sylvestre_F2_Eclaircie tardive_GS Pineraies des plaines du Centre et du Nord Ouest_30_</v>
      </c>
      <c r="BL181" s="322"/>
      <c r="BM181" s="13">
        <v>43.274380810406996</v>
      </c>
      <c r="BN181" s="13">
        <v>202.05740142401999</v>
      </c>
      <c r="BP181" s="13">
        <v>268.42</v>
      </c>
      <c r="BQ181" s="13">
        <v>13.1108241061249</v>
      </c>
      <c r="BT181" s="298" t="str">
        <f>+VLOOKUP(G181,Liste!$A$7:$H$50,8,FALSE)</f>
        <v>Résineux</v>
      </c>
      <c r="BU181" s="298">
        <f t="shared" si="49"/>
        <v>0</v>
      </c>
      <c r="BV181" s="300">
        <f t="shared" si="50"/>
        <v>1</v>
      </c>
      <c r="BW181" s="321">
        <v>0</v>
      </c>
      <c r="BX181" s="298">
        <f t="shared" si="51"/>
        <v>0.43</v>
      </c>
      <c r="BY181">
        <f t="shared" si="52"/>
        <v>0</v>
      </c>
      <c r="BZ181" s="304">
        <f t="shared" si="53"/>
        <v>42.226104127107938</v>
      </c>
      <c r="CB181" s="299">
        <v>0.6</v>
      </c>
      <c r="CC181" s="299">
        <v>0.4</v>
      </c>
      <c r="CD181">
        <f t="shared" si="54"/>
        <v>0</v>
      </c>
      <c r="CE181">
        <f t="shared" si="55"/>
        <v>0</v>
      </c>
      <c r="CF181">
        <f t="shared" si="56"/>
        <v>0</v>
      </c>
      <c r="CG181">
        <f t="shared" si="57"/>
        <v>0</v>
      </c>
      <c r="CH181">
        <f t="shared" si="58"/>
        <v>0</v>
      </c>
      <c r="CI181">
        <f t="shared" si="59"/>
        <v>0</v>
      </c>
      <c r="CJ181">
        <f t="shared" si="60"/>
        <v>0</v>
      </c>
      <c r="CK181">
        <f t="shared" si="61"/>
        <v>43.314533000635421</v>
      </c>
      <c r="CL181">
        <f t="shared" si="62"/>
        <v>17.988258510958691</v>
      </c>
      <c r="CM181">
        <f t="shared" si="64"/>
        <v>61.302791511594108</v>
      </c>
      <c r="CN181">
        <f t="shared" si="63"/>
        <v>131.27430093436891</v>
      </c>
      <c r="CO181">
        <f t="shared" si="47"/>
        <v>4.3758100311456305</v>
      </c>
    </row>
    <row r="182" spans="1:93" s="12" customFormat="1" ht="14.65" customHeight="1" x14ac:dyDescent="0.25">
      <c r="A182" s="4">
        <v>2021</v>
      </c>
      <c r="B182" s="4"/>
      <c r="C182" s="4" t="s">
        <v>64</v>
      </c>
      <c r="D182" s="4" t="s">
        <v>65</v>
      </c>
      <c r="E182" s="4"/>
      <c r="F182" s="4" t="s">
        <v>90</v>
      </c>
      <c r="G182" s="5" t="s">
        <v>15</v>
      </c>
      <c r="H182" s="5" t="s">
        <v>21</v>
      </c>
      <c r="I182" s="5" t="s">
        <v>147</v>
      </c>
      <c r="J182" s="5" t="s">
        <v>10</v>
      </c>
      <c r="K182" s="5">
        <v>23</v>
      </c>
      <c r="L182" s="5">
        <v>45</v>
      </c>
      <c r="M182" s="5">
        <v>2500</v>
      </c>
      <c r="N182" s="5" t="s">
        <v>170</v>
      </c>
      <c r="O182" s="6" t="s">
        <v>78</v>
      </c>
      <c r="P182" s="6" t="s">
        <v>80</v>
      </c>
      <c r="Q182" s="6">
        <v>2003</v>
      </c>
      <c r="R182" s="6" t="s">
        <v>50</v>
      </c>
      <c r="S182" s="6">
        <v>28</v>
      </c>
      <c r="T182" s="6">
        <v>13.5</v>
      </c>
      <c r="U182" s="6">
        <v>2157</v>
      </c>
      <c r="V182" s="6">
        <v>40.299999999999997</v>
      </c>
      <c r="W182" s="6">
        <v>0</v>
      </c>
      <c r="X182" s="6">
        <v>600</v>
      </c>
      <c r="Y182" s="6">
        <v>1043</v>
      </c>
      <c r="Z182" s="6">
        <v>457</v>
      </c>
      <c r="AA182" s="6">
        <v>57</v>
      </c>
      <c r="AB182" s="6">
        <v>0</v>
      </c>
      <c r="AC182" s="7">
        <v>31</v>
      </c>
      <c r="AD182" s="7" t="s">
        <v>52</v>
      </c>
      <c r="AE182" s="7">
        <v>14.79</v>
      </c>
      <c r="AF182" s="7">
        <v>1400</v>
      </c>
      <c r="AG182" s="7">
        <v>27.54</v>
      </c>
      <c r="AH182" s="7">
        <v>15.83</v>
      </c>
      <c r="AI182" s="7">
        <v>22.3</v>
      </c>
      <c r="AJ182" s="9">
        <v>171.27031484485599</v>
      </c>
      <c r="AK182" s="9">
        <v>172.19180264940599</v>
      </c>
      <c r="AL182" s="9">
        <v>221.14261511790599</v>
      </c>
      <c r="AM182" s="9">
        <v>44.390987527611202</v>
      </c>
      <c r="AN182" s="9">
        <v>1.43196733960036</v>
      </c>
      <c r="AO182" s="9">
        <v>1.1882006306320601</v>
      </c>
      <c r="AP182" s="9">
        <v>352.19474423772198</v>
      </c>
      <c r="AQ182" s="9">
        <v>11.361120781862001</v>
      </c>
      <c r="AR182" s="9">
        <v>14.1182425480288</v>
      </c>
      <c r="AS182" s="73" t="s">
        <v>169</v>
      </c>
      <c r="AT182" s="8"/>
      <c r="AU182" s="10" t="s">
        <v>169</v>
      </c>
      <c r="AV182" s="10">
        <v>0</v>
      </c>
      <c r="AW182" s="8"/>
      <c r="AX182" s="74" t="s">
        <v>169</v>
      </c>
      <c r="AY182" s="74"/>
      <c r="AZ182" s="74"/>
      <c r="BA182" s="74"/>
      <c r="BB182" s="8"/>
      <c r="BC182" s="8"/>
      <c r="BD182" s="8"/>
      <c r="BE182" s="8"/>
      <c r="BF182" s="12">
        <v>0.44</v>
      </c>
      <c r="BG182" s="13">
        <v>169.46895738535548</v>
      </c>
      <c r="BH182" s="96" t="str">
        <f>+VLOOKUP(G182,Liste!$A$7:$G$50,3,FALSE)</f>
        <v>Pin sylvestre</v>
      </c>
      <c r="BI182" s="96" t="str">
        <f>+VLOOKUP(H182,Liste!$B$7:$G$50,5,FALSE)</f>
        <v>GS Pineraies des plaines du Centre et du Nord Ouest</v>
      </c>
      <c r="BJ182" s="135">
        <f t="shared" si="46"/>
        <v>31</v>
      </c>
      <c r="BK182" s="135" t="str">
        <f t="shared" si="48"/>
        <v>Pin sylvestre_F2_Eclaircie tardive_GS Pineraies des plaines du Centre et du Nord Ouest_31_</v>
      </c>
      <c r="BL182" s="322"/>
      <c r="BM182" s="13">
        <v>45.837873186636529</v>
      </c>
      <c r="BN182" s="13">
        <v>215.30683057199201</v>
      </c>
      <c r="BP182" s="13">
        <v>268.42</v>
      </c>
      <c r="BQ182" s="13">
        <v>13.2630656849082</v>
      </c>
      <c r="BT182" s="298" t="str">
        <f>+VLOOKUP(G182,Liste!$A$7:$H$50,8,FALSE)</f>
        <v>Résineux</v>
      </c>
      <c r="BU182" s="298">
        <f t="shared" si="49"/>
        <v>0</v>
      </c>
      <c r="BV182" s="300">
        <f t="shared" si="50"/>
        <v>1</v>
      </c>
      <c r="BW182" s="321">
        <v>0</v>
      </c>
      <c r="BX182" s="298">
        <f t="shared" si="51"/>
        <v>0.43</v>
      </c>
      <c r="BY182">
        <f t="shared" si="52"/>
        <v>0</v>
      </c>
      <c r="BZ182" s="304">
        <f t="shared" si="53"/>
        <v>0</v>
      </c>
      <c r="CB182" s="299">
        <v>0.6</v>
      </c>
      <c r="CC182" s="299">
        <v>0.4</v>
      </c>
      <c r="CD182">
        <f t="shared" si="54"/>
        <v>0</v>
      </c>
      <c r="CE182">
        <f t="shared" si="55"/>
        <v>0</v>
      </c>
      <c r="CF182">
        <f t="shared" si="56"/>
        <v>0</v>
      </c>
      <c r="CG182">
        <f t="shared" si="57"/>
        <v>0</v>
      </c>
      <c r="CH182">
        <f t="shared" si="58"/>
        <v>0</v>
      </c>
      <c r="CI182">
        <f t="shared" si="59"/>
        <v>0</v>
      </c>
      <c r="CJ182">
        <f t="shared" si="60"/>
        <v>0</v>
      </c>
      <c r="CK182">
        <f t="shared" si="61"/>
        <v>42.13009481792075</v>
      </c>
      <c r="CL182">
        <f t="shared" si="62"/>
        <v>12.719619574835519</v>
      </c>
      <c r="CM182">
        <f t="shared" si="64"/>
        <v>54.849714392756269</v>
      </c>
      <c r="CN182">
        <f t="shared" si="63"/>
        <v>186.12401532712516</v>
      </c>
      <c r="CO182">
        <f t="shared" si="47"/>
        <v>0</v>
      </c>
    </row>
    <row r="183" spans="1:93" s="12" customFormat="1" ht="14.65" customHeight="1" x14ac:dyDescent="0.25">
      <c r="A183" s="4">
        <v>2021</v>
      </c>
      <c r="B183" s="4"/>
      <c r="C183" s="4" t="s">
        <v>64</v>
      </c>
      <c r="D183" s="4" t="s">
        <v>65</v>
      </c>
      <c r="E183" s="4"/>
      <c r="F183" s="4" t="s">
        <v>90</v>
      </c>
      <c r="G183" s="5" t="s">
        <v>15</v>
      </c>
      <c r="H183" s="5" t="s">
        <v>21</v>
      </c>
      <c r="I183" s="5" t="s">
        <v>147</v>
      </c>
      <c r="J183" s="5" t="s">
        <v>10</v>
      </c>
      <c r="K183" s="5">
        <v>23</v>
      </c>
      <c r="L183" s="5">
        <v>45</v>
      </c>
      <c r="M183" s="5">
        <v>2500</v>
      </c>
      <c r="N183" s="5" t="s">
        <v>170</v>
      </c>
      <c r="O183" s="6" t="s">
        <v>78</v>
      </c>
      <c r="P183" s="6" t="s">
        <v>80</v>
      </c>
      <c r="Q183" s="6">
        <v>2003</v>
      </c>
      <c r="R183" s="6" t="s">
        <v>50</v>
      </c>
      <c r="S183" s="6">
        <v>28</v>
      </c>
      <c r="T183" s="6">
        <v>13.5</v>
      </c>
      <c r="U183" s="6">
        <v>2157</v>
      </c>
      <c r="V183" s="6">
        <v>40.299999999999997</v>
      </c>
      <c r="W183" s="6">
        <v>0</v>
      </c>
      <c r="X183" s="6">
        <v>600</v>
      </c>
      <c r="Y183" s="6">
        <v>1043</v>
      </c>
      <c r="Z183" s="6">
        <v>457</v>
      </c>
      <c r="AA183" s="6">
        <v>57</v>
      </c>
      <c r="AB183" s="6">
        <v>0</v>
      </c>
      <c r="AC183" s="7">
        <v>32</v>
      </c>
      <c r="AD183" s="7" t="s">
        <v>52</v>
      </c>
      <c r="AE183" s="7">
        <v>15.21</v>
      </c>
      <c r="AF183" s="7">
        <v>1400</v>
      </c>
      <c r="AG183" s="7">
        <v>28.73</v>
      </c>
      <c r="AH183" s="7">
        <v>16.16</v>
      </c>
      <c r="AI183" s="7">
        <v>22.85</v>
      </c>
      <c r="AJ183" s="9">
        <v>183.62884764829801</v>
      </c>
      <c r="AK183" s="9">
        <v>184.62239979291201</v>
      </c>
      <c r="AL183" s="9">
        <v>235.26085766593499</v>
      </c>
      <c r="AM183" s="9">
        <v>45.579188158243298</v>
      </c>
      <c r="AN183" s="9">
        <v>1.4243496299450999</v>
      </c>
      <c r="AO183" s="9">
        <v>1.17428466322965</v>
      </c>
      <c r="AP183" s="9">
        <v>366.31298678575098</v>
      </c>
      <c r="AQ183" s="9">
        <v>11.4472808370547</v>
      </c>
      <c r="AR183" s="9">
        <v>14.3323436506649</v>
      </c>
      <c r="AS183" s="73" t="s">
        <v>169</v>
      </c>
      <c r="AT183" s="8"/>
      <c r="AU183" s="10" t="s">
        <v>169</v>
      </c>
      <c r="AV183" s="10">
        <v>0</v>
      </c>
      <c r="AW183" s="8"/>
      <c r="AX183" s="74" t="s">
        <v>169</v>
      </c>
      <c r="AY183" s="74"/>
      <c r="AZ183" s="74"/>
      <c r="BA183" s="74"/>
      <c r="BB183" s="8"/>
      <c r="BC183" s="8"/>
      <c r="BD183" s="8"/>
      <c r="BE183" s="8"/>
      <c r="BF183" s="12">
        <v>0.44</v>
      </c>
      <c r="BG183" s="13">
        <v>180.28823725799478</v>
      </c>
      <c r="BH183" s="96" t="str">
        <f>+VLOOKUP(G183,Liste!$A$7:$G$50,3,FALSE)</f>
        <v>Pin sylvestre</v>
      </c>
      <c r="BI183" s="96" t="str">
        <f>+VLOOKUP(H183,Liste!$B$7:$G$50,5,FALSE)</f>
        <v>GS Pineraies des plaines du Centre et du Nord Ouest</v>
      </c>
      <c r="BJ183" s="135">
        <f t="shared" si="46"/>
        <v>32</v>
      </c>
      <c r="BK183" s="135" t="str">
        <f t="shared" si="48"/>
        <v>Pin sylvestre_F2_Eclaircie tardive_GS Pineraies des plaines du Centre et du Nord Ouest_32_</v>
      </c>
      <c r="BL183" s="322"/>
      <c r="BM183" s="13">
        <v>48.414247223327209</v>
      </c>
      <c r="BN183" s="13">
        <v>228.70248448132199</v>
      </c>
      <c r="BP183" s="13">
        <v>268.42</v>
      </c>
      <c r="BQ183" s="13">
        <v>13.453008702964301</v>
      </c>
      <c r="BT183" s="298" t="str">
        <f>+VLOOKUP(G183,Liste!$A$7:$H$50,8,FALSE)</f>
        <v>Résineux</v>
      </c>
      <c r="BU183" s="298">
        <f t="shared" si="49"/>
        <v>0</v>
      </c>
      <c r="BV183" s="300">
        <f t="shared" si="50"/>
        <v>1</v>
      </c>
      <c r="BW183" s="321">
        <v>0</v>
      </c>
      <c r="BX183" s="298">
        <f t="shared" si="51"/>
        <v>0.43</v>
      </c>
      <c r="BY183">
        <f t="shared" si="52"/>
        <v>0</v>
      </c>
      <c r="BZ183" s="304">
        <f t="shared" si="53"/>
        <v>0</v>
      </c>
      <c r="CB183" s="299">
        <v>0.6</v>
      </c>
      <c r="CC183" s="299">
        <v>0.4</v>
      </c>
      <c r="CD183">
        <f t="shared" si="54"/>
        <v>0</v>
      </c>
      <c r="CE183">
        <f t="shared" si="55"/>
        <v>0</v>
      </c>
      <c r="CF183">
        <f t="shared" si="56"/>
        <v>0</v>
      </c>
      <c r="CG183">
        <f t="shared" si="57"/>
        <v>0</v>
      </c>
      <c r="CH183">
        <f t="shared" si="58"/>
        <v>0</v>
      </c>
      <c r="CI183">
        <f t="shared" si="59"/>
        <v>0</v>
      </c>
      <c r="CJ183">
        <f t="shared" si="60"/>
        <v>0</v>
      </c>
      <c r="CK183">
        <f t="shared" si="61"/>
        <v>0</v>
      </c>
      <c r="CL183">
        <f t="shared" si="62"/>
        <v>0</v>
      </c>
      <c r="CM183">
        <f t="shared" si="64"/>
        <v>0</v>
      </c>
      <c r="CN183">
        <f t="shared" si="63"/>
        <v>0</v>
      </c>
      <c r="CO183">
        <f t="shared" si="47"/>
        <v>0</v>
      </c>
    </row>
    <row r="184" spans="1:93" s="12" customFormat="1" ht="14.65" customHeight="1" x14ac:dyDescent="0.25">
      <c r="A184" s="4">
        <v>2021</v>
      </c>
      <c r="B184" s="4"/>
      <c r="C184" s="4" t="s">
        <v>64</v>
      </c>
      <c r="D184" s="4" t="s">
        <v>65</v>
      </c>
      <c r="E184" s="4"/>
      <c r="F184" s="4" t="s">
        <v>90</v>
      </c>
      <c r="G184" s="5" t="s">
        <v>15</v>
      </c>
      <c r="H184" s="5" t="s">
        <v>21</v>
      </c>
      <c r="I184" s="5" t="s">
        <v>147</v>
      </c>
      <c r="J184" s="5" t="s">
        <v>10</v>
      </c>
      <c r="K184" s="5">
        <v>23</v>
      </c>
      <c r="L184" s="5">
        <v>45</v>
      </c>
      <c r="M184" s="5">
        <v>2500</v>
      </c>
      <c r="N184" s="5" t="s">
        <v>170</v>
      </c>
      <c r="O184" s="6" t="s">
        <v>78</v>
      </c>
      <c r="P184" s="6" t="s">
        <v>80</v>
      </c>
      <c r="Q184" s="6">
        <v>2003</v>
      </c>
      <c r="R184" s="6" t="s">
        <v>50</v>
      </c>
      <c r="S184" s="6">
        <v>28</v>
      </c>
      <c r="T184" s="6">
        <v>13.5</v>
      </c>
      <c r="U184" s="6">
        <v>2157</v>
      </c>
      <c r="V184" s="6">
        <v>40.299999999999997</v>
      </c>
      <c r="W184" s="6">
        <v>0</v>
      </c>
      <c r="X184" s="6">
        <v>600</v>
      </c>
      <c r="Y184" s="6">
        <v>1043</v>
      </c>
      <c r="Z184" s="6">
        <v>457</v>
      </c>
      <c r="AA184" s="6">
        <v>57</v>
      </c>
      <c r="AB184" s="6">
        <v>0</v>
      </c>
      <c r="AC184" s="7">
        <v>33</v>
      </c>
      <c r="AD184" s="7" t="s">
        <v>52</v>
      </c>
      <c r="AE184" s="7">
        <v>15.62</v>
      </c>
      <c r="AF184" s="7">
        <v>1400</v>
      </c>
      <c r="AG184" s="7">
        <v>29.9</v>
      </c>
      <c r="AH184" s="7">
        <v>16.489999999999998</v>
      </c>
      <c r="AI184" s="7">
        <v>23.38</v>
      </c>
      <c r="AJ184" s="9">
        <v>196.22999284286101</v>
      </c>
      <c r="AK184" s="9">
        <v>197.29561413156</v>
      </c>
      <c r="AL184" s="9">
        <v>249.59320131659999</v>
      </c>
      <c r="AM184" s="9">
        <v>46.753472821472897</v>
      </c>
      <c r="AN184" s="9">
        <v>1.416771903681</v>
      </c>
      <c r="AO184" s="9">
        <v>1.1632445490122401</v>
      </c>
      <c r="AP184" s="9">
        <v>380.64533043641597</v>
      </c>
      <c r="AQ184" s="9">
        <v>11.534706982921699</v>
      </c>
      <c r="AR184" s="9">
        <v>14.5182565313411</v>
      </c>
      <c r="AS184" s="73" t="s">
        <v>169</v>
      </c>
      <c r="AT184" s="8"/>
      <c r="AU184" s="10" t="s">
        <v>169</v>
      </c>
      <c r="AV184" s="10">
        <v>0</v>
      </c>
      <c r="AW184" s="8"/>
      <c r="AX184" s="74" t="s">
        <v>169</v>
      </c>
      <c r="AY184" s="74"/>
      <c r="AZ184" s="74"/>
      <c r="BA184" s="74"/>
      <c r="BB184" s="8"/>
      <c r="BC184" s="8"/>
      <c r="BD184" s="8"/>
      <c r="BE184" s="8"/>
      <c r="BF184" s="12">
        <v>0.44</v>
      </c>
      <c r="BG184" s="13">
        <v>191.27158994228782</v>
      </c>
      <c r="BH184" s="96" t="str">
        <f>+VLOOKUP(G184,Liste!$A$7:$G$50,3,FALSE)</f>
        <v>Pin sylvestre</v>
      </c>
      <c r="BI184" s="96" t="str">
        <f>+VLOOKUP(H184,Liste!$B$7:$G$50,5,FALSE)</f>
        <v>GS Pineraies des plaines du Centre et du Nord Ouest</v>
      </c>
      <c r="BJ184" s="135">
        <f t="shared" si="46"/>
        <v>33</v>
      </c>
      <c r="BK184" s="135" t="str">
        <f t="shared" si="48"/>
        <v>Pin sylvestre_F2_Eclaircie tardive_GS Pineraies des plaines du Centre et du Nord Ouest_33_</v>
      </c>
      <c r="BL184" s="322"/>
      <c r="BM184" s="13">
        <v>51.011341996048174</v>
      </c>
      <c r="BN184" s="13">
        <v>242.28293193833599</v>
      </c>
      <c r="BP184" s="13">
        <v>268.42</v>
      </c>
      <c r="BQ184" s="13">
        <v>13.6165031221965</v>
      </c>
      <c r="BT184" s="298" t="str">
        <f>+VLOOKUP(G184,Liste!$A$7:$H$50,8,FALSE)</f>
        <v>Résineux</v>
      </c>
      <c r="BU184" s="298">
        <f t="shared" si="49"/>
        <v>0</v>
      </c>
      <c r="BV184" s="300">
        <f t="shared" si="50"/>
        <v>1</v>
      </c>
      <c r="BW184" s="321">
        <v>0</v>
      </c>
      <c r="BX184" s="298">
        <f t="shared" si="51"/>
        <v>0.43</v>
      </c>
      <c r="BY184">
        <f t="shared" si="52"/>
        <v>0</v>
      </c>
      <c r="BZ184" s="304">
        <f t="shared" si="53"/>
        <v>0</v>
      </c>
      <c r="CB184" s="299">
        <v>0.6</v>
      </c>
      <c r="CC184" s="299">
        <v>0.4</v>
      </c>
      <c r="CD184">
        <f t="shared" si="54"/>
        <v>0</v>
      </c>
      <c r="CE184">
        <f t="shared" si="55"/>
        <v>0</v>
      </c>
      <c r="CF184">
        <f t="shared" si="56"/>
        <v>0</v>
      </c>
      <c r="CG184">
        <f t="shared" si="57"/>
        <v>0</v>
      </c>
      <c r="CH184">
        <f t="shared" si="58"/>
        <v>0</v>
      </c>
      <c r="CI184">
        <f t="shared" si="59"/>
        <v>0</v>
      </c>
      <c r="CJ184">
        <f t="shared" si="60"/>
        <v>0</v>
      </c>
      <c r="CK184">
        <f t="shared" si="61"/>
        <v>0</v>
      </c>
      <c r="CL184">
        <f t="shared" si="62"/>
        <v>0</v>
      </c>
      <c r="CM184">
        <f t="shared" si="64"/>
        <v>0</v>
      </c>
      <c r="CN184">
        <f t="shared" si="63"/>
        <v>0</v>
      </c>
      <c r="CO184">
        <f t="shared" si="47"/>
        <v>0</v>
      </c>
    </row>
    <row r="185" spans="1:93" s="12" customFormat="1" ht="14.65" customHeight="1" x14ac:dyDescent="0.25">
      <c r="A185" s="4">
        <v>2021</v>
      </c>
      <c r="B185" s="4"/>
      <c r="C185" s="4" t="s">
        <v>64</v>
      </c>
      <c r="D185" s="4" t="s">
        <v>65</v>
      </c>
      <c r="E185" s="4"/>
      <c r="F185" s="4" t="s">
        <v>90</v>
      </c>
      <c r="G185" s="5" t="s">
        <v>15</v>
      </c>
      <c r="H185" s="5" t="s">
        <v>21</v>
      </c>
      <c r="I185" s="5" t="s">
        <v>147</v>
      </c>
      <c r="J185" s="5" t="s">
        <v>10</v>
      </c>
      <c r="K185" s="5">
        <v>23</v>
      </c>
      <c r="L185" s="5">
        <v>45</v>
      </c>
      <c r="M185" s="5">
        <v>2500</v>
      </c>
      <c r="N185" s="5" t="s">
        <v>170</v>
      </c>
      <c r="O185" s="6" t="s">
        <v>78</v>
      </c>
      <c r="P185" s="6" t="s">
        <v>80</v>
      </c>
      <c r="Q185" s="6">
        <v>2003</v>
      </c>
      <c r="R185" s="6" t="s">
        <v>50</v>
      </c>
      <c r="S185" s="6">
        <v>28</v>
      </c>
      <c r="T185" s="6">
        <v>13.5</v>
      </c>
      <c r="U185" s="6">
        <v>2157</v>
      </c>
      <c r="V185" s="6">
        <v>40.299999999999997</v>
      </c>
      <c r="W185" s="6">
        <v>0</v>
      </c>
      <c r="X185" s="6">
        <v>600</v>
      </c>
      <c r="Y185" s="6">
        <v>1043</v>
      </c>
      <c r="Z185" s="6">
        <v>457</v>
      </c>
      <c r="AA185" s="6">
        <v>57</v>
      </c>
      <c r="AB185" s="6">
        <v>0</v>
      </c>
      <c r="AC185" s="7">
        <v>34</v>
      </c>
      <c r="AD185" s="7" t="s">
        <v>52</v>
      </c>
      <c r="AE185" s="7">
        <v>16.02</v>
      </c>
      <c r="AF185" s="7">
        <v>1400</v>
      </c>
      <c r="AG185" s="7">
        <v>31.06</v>
      </c>
      <c r="AH185" s="7">
        <v>16.809999999999999</v>
      </c>
      <c r="AI185" s="7">
        <v>23.9</v>
      </c>
      <c r="AJ185" s="9">
        <v>209.037036546536</v>
      </c>
      <c r="AK185" s="9">
        <v>210.17563547073601</v>
      </c>
      <c r="AL185" s="9">
        <v>264.11145784794098</v>
      </c>
      <c r="AM185" s="9">
        <v>47.916717370485202</v>
      </c>
      <c r="AN185" s="9">
        <v>1.40931521677898</v>
      </c>
      <c r="AO185" s="9">
        <v>0.94698433219869604</v>
      </c>
      <c r="AP185" s="9">
        <v>395.163586967757</v>
      </c>
      <c r="AQ185" s="9">
        <v>11.622458440228201</v>
      </c>
      <c r="AR185" s="9">
        <v>12.0786727448333</v>
      </c>
      <c r="AS185" s="73" t="s">
        <v>169</v>
      </c>
      <c r="AT185" s="8"/>
      <c r="AU185" s="10" t="s">
        <v>169</v>
      </c>
      <c r="AV185" s="10">
        <v>0</v>
      </c>
      <c r="AW185" s="8"/>
      <c r="AX185" s="74" t="s">
        <v>169</v>
      </c>
      <c r="AY185" s="74"/>
      <c r="AZ185" s="74"/>
      <c r="BA185" s="74"/>
      <c r="BB185" s="8"/>
      <c r="BC185" s="8"/>
      <c r="BD185" s="8"/>
      <c r="BE185" s="8"/>
      <c r="BF185" s="12">
        <v>0.44</v>
      </c>
      <c r="BG185" s="13">
        <v>202.39741386413891</v>
      </c>
      <c r="BH185" s="96" t="str">
        <f>+VLOOKUP(G185,Liste!$A$7:$G$50,3,FALSE)</f>
        <v>Pin sylvestre</v>
      </c>
      <c r="BI185" s="96" t="str">
        <f>+VLOOKUP(H185,Liste!$B$7:$G$50,5,FALSE)</f>
        <v>GS Pineraies des plaines du Centre et du Nord Ouest</v>
      </c>
      <c r="BJ185" s="135">
        <f t="shared" si="46"/>
        <v>34</v>
      </c>
      <c r="BK185" s="135" t="str">
        <f t="shared" si="48"/>
        <v>Pin sylvestre_F2_Eclaircie tardive_GS Pineraies des plaines du Centre et du Nord Ouest_34_</v>
      </c>
      <c r="BL185" s="322"/>
      <c r="BM185" s="13">
        <v>53.624480428795096</v>
      </c>
      <c r="BN185" s="13">
        <v>256.02189429293401</v>
      </c>
      <c r="BP185" s="13">
        <v>268.42</v>
      </c>
      <c r="BQ185" s="13">
        <v>11.320326001447301</v>
      </c>
      <c r="BT185" s="298" t="str">
        <f>+VLOOKUP(G185,Liste!$A$7:$H$50,8,FALSE)</f>
        <v>Résineux</v>
      </c>
      <c r="BU185" s="298">
        <f t="shared" si="49"/>
        <v>0</v>
      </c>
      <c r="BV185" s="300">
        <f t="shared" si="50"/>
        <v>1</v>
      </c>
      <c r="BW185" s="321">
        <v>0</v>
      </c>
      <c r="BX185" s="298">
        <f t="shared" si="51"/>
        <v>0.43</v>
      </c>
      <c r="BY185">
        <f t="shared" si="52"/>
        <v>0</v>
      </c>
      <c r="BZ185" s="304">
        <f t="shared" si="53"/>
        <v>0</v>
      </c>
      <c r="CB185" s="299">
        <v>0.6</v>
      </c>
      <c r="CC185" s="299">
        <v>0.4</v>
      </c>
      <c r="CD185">
        <f t="shared" si="54"/>
        <v>0</v>
      </c>
      <c r="CE185">
        <f t="shared" si="55"/>
        <v>0</v>
      </c>
      <c r="CF185">
        <f t="shared" si="56"/>
        <v>0</v>
      </c>
      <c r="CG185">
        <f t="shared" si="57"/>
        <v>0</v>
      </c>
      <c r="CH185">
        <f t="shared" si="58"/>
        <v>0</v>
      </c>
      <c r="CI185">
        <f t="shared" si="59"/>
        <v>0</v>
      </c>
      <c r="CJ185">
        <f t="shared" si="60"/>
        <v>0</v>
      </c>
      <c r="CK185">
        <f t="shared" si="61"/>
        <v>0</v>
      </c>
      <c r="CL185">
        <f t="shared" si="62"/>
        <v>0</v>
      </c>
      <c r="CM185">
        <f t="shared" si="64"/>
        <v>0</v>
      </c>
      <c r="CN185">
        <f t="shared" si="63"/>
        <v>0</v>
      </c>
      <c r="CO185">
        <f t="shared" si="47"/>
        <v>0</v>
      </c>
    </row>
    <row r="186" spans="1:93" s="12" customFormat="1" ht="14.65" customHeight="1" x14ac:dyDescent="0.25">
      <c r="A186" s="4">
        <v>2021</v>
      </c>
      <c r="B186" s="4"/>
      <c r="C186" s="4" t="s">
        <v>64</v>
      </c>
      <c r="D186" s="4" t="s">
        <v>65</v>
      </c>
      <c r="E186" s="4"/>
      <c r="F186" s="4" t="s">
        <v>90</v>
      </c>
      <c r="G186" s="5" t="s">
        <v>15</v>
      </c>
      <c r="H186" s="5" t="s">
        <v>21</v>
      </c>
      <c r="I186" s="5" t="s">
        <v>147</v>
      </c>
      <c r="J186" s="5" t="s">
        <v>10</v>
      </c>
      <c r="K186" s="5">
        <v>23</v>
      </c>
      <c r="L186" s="5">
        <v>45</v>
      </c>
      <c r="M186" s="5">
        <v>2500</v>
      </c>
      <c r="N186" s="5" t="s">
        <v>170</v>
      </c>
      <c r="O186" s="6" t="s">
        <v>78</v>
      </c>
      <c r="P186" s="6" t="s">
        <v>80</v>
      </c>
      <c r="Q186" s="6">
        <v>2003</v>
      </c>
      <c r="R186" s="6" t="s">
        <v>50</v>
      </c>
      <c r="S186" s="6">
        <v>28</v>
      </c>
      <c r="T186" s="6">
        <v>13.5</v>
      </c>
      <c r="U186" s="6">
        <v>2157</v>
      </c>
      <c r="V186" s="6">
        <v>40.299999999999997</v>
      </c>
      <c r="W186" s="6">
        <v>0</v>
      </c>
      <c r="X186" s="6">
        <v>600</v>
      </c>
      <c r="Y186" s="6">
        <v>1043</v>
      </c>
      <c r="Z186" s="6">
        <v>457</v>
      </c>
      <c r="AA186" s="6">
        <v>57</v>
      </c>
      <c r="AB186" s="6">
        <v>0</v>
      </c>
      <c r="AC186" s="7">
        <v>34</v>
      </c>
      <c r="AD186" s="7" t="s">
        <v>53</v>
      </c>
      <c r="AE186" s="7">
        <v>16.02</v>
      </c>
      <c r="AF186" s="7">
        <v>950</v>
      </c>
      <c r="AG186" s="7">
        <v>23.14</v>
      </c>
      <c r="AH186" s="7">
        <v>17.61</v>
      </c>
      <c r="AI186" s="7">
        <v>23.18</v>
      </c>
      <c r="AJ186" s="9">
        <v>157.94466319237401</v>
      </c>
      <c r="AK186" s="9">
        <v>158.90308489964701</v>
      </c>
      <c r="AL186" s="9">
        <v>198.65687087048701</v>
      </c>
      <c r="AM186" s="9">
        <v>47.916717370485202</v>
      </c>
      <c r="AN186" s="9">
        <v>1.40931521677898</v>
      </c>
      <c r="AO186" s="9">
        <v>0.94698433219869604</v>
      </c>
      <c r="AP186" s="9">
        <v>395.163586967757</v>
      </c>
      <c r="AQ186" s="9">
        <v>11.622458440228201</v>
      </c>
      <c r="AR186" s="9">
        <v>12.0786727448333</v>
      </c>
      <c r="AS186" s="73">
        <v>450</v>
      </c>
      <c r="AT186" s="8">
        <v>7.9199999999999982</v>
      </c>
      <c r="AU186" s="10">
        <v>14.969641274038219</v>
      </c>
      <c r="AV186" s="10">
        <v>51.092373354161992</v>
      </c>
      <c r="AW186" s="8">
        <v>0.79</v>
      </c>
      <c r="AX186" s="74">
        <v>0.11353860745369332</v>
      </c>
      <c r="AY186" s="74"/>
      <c r="AZ186" s="74"/>
      <c r="BA186" s="74"/>
      <c r="BB186" s="8"/>
      <c r="BC186" s="8"/>
      <c r="BD186" s="8"/>
      <c r="BE186" s="8"/>
      <c r="BF186" s="12">
        <v>0.44</v>
      </c>
      <c r="BG186" s="13">
        <v>152.23738204374956</v>
      </c>
      <c r="BH186" s="96" t="str">
        <f>+VLOOKUP(G186,Liste!$A$7:$G$50,3,FALSE)</f>
        <v>Pin sylvestre</v>
      </c>
      <c r="BI186" s="96" t="str">
        <f>+VLOOKUP(H186,Liste!$B$7:$G$50,5,FALSE)</f>
        <v>GS Pineraies des plaines du Centre et du Nord Ouest</v>
      </c>
      <c r="BJ186" s="135">
        <f t="shared" si="46"/>
        <v>34</v>
      </c>
      <c r="BK186" s="135" t="str">
        <f t="shared" si="48"/>
        <v>Pin sylvestre_F2_Eclaircie tardive_GS Pineraies des plaines du Centre et du Nord Ouest_34_</v>
      </c>
      <c r="BL186" s="322"/>
      <c r="BM186" s="13">
        <v>41.694255401903433</v>
      </c>
      <c r="BN186" s="13">
        <v>193.931637445653</v>
      </c>
      <c r="BO186" s="13">
        <v>62.090256847281012</v>
      </c>
      <c r="BP186" s="13">
        <v>268.42</v>
      </c>
      <c r="BQ186" s="13">
        <v>11.320326001447301</v>
      </c>
      <c r="BT186" s="298" t="str">
        <f>+VLOOKUP(G186,Liste!$A$7:$H$50,8,FALSE)</f>
        <v>Résineux</v>
      </c>
      <c r="BU186" s="298">
        <f t="shared" si="49"/>
        <v>0</v>
      </c>
      <c r="BV186" s="300">
        <f t="shared" si="50"/>
        <v>1</v>
      </c>
      <c r="BW186" s="321">
        <v>0</v>
      </c>
      <c r="BX186" s="298">
        <f t="shared" si="51"/>
        <v>0.43</v>
      </c>
      <c r="BY186">
        <f t="shared" si="52"/>
        <v>0</v>
      </c>
      <c r="BZ186" s="304">
        <f t="shared" si="53"/>
        <v>0</v>
      </c>
      <c r="CB186" s="299">
        <v>0.6</v>
      </c>
      <c r="CC186" s="299">
        <v>0.4</v>
      </c>
      <c r="CD186">
        <f t="shared" si="54"/>
        <v>0</v>
      </c>
      <c r="CE186">
        <f t="shared" si="55"/>
        <v>0</v>
      </c>
      <c r="CF186">
        <f t="shared" si="56"/>
        <v>0</v>
      </c>
      <c r="CG186">
        <f t="shared" si="57"/>
        <v>0</v>
      </c>
      <c r="CH186">
        <f t="shared" si="58"/>
        <v>0</v>
      </c>
      <c r="CI186">
        <f t="shared" si="59"/>
        <v>0</v>
      </c>
      <c r="CJ186">
        <f t="shared" si="60"/>
        <v>0</v>
      </c>
      <c r="CK186">
        <f t="shared" si="61"/>
        <v>0</v>
      </c>
      <c r="CL186">
        <f t="shared" si="62"/>
        <v>0</v>
      </c>
      <c r="CM186">
        <f t="shared" si="64"/>
        <v>0</v>
      </c>
      <c r="CN186">
        <f t="shared" si="63"/>
        <v>0</v>
      </c>
      <c r="CO186">
        <f t="shared" si="47"/>
        <v>0</v>
      </c>
    </row>
    <row r="187" spans="1:93" s="12" customFormat="1" ht="14.65" customHeight="1" x14ac:dyDescent="0.25">
      <c r="A187" s="4">
        <v>2021</v>
      </c>
      <c r="B187" s="4"/>
      <c r="C187" s="4" t="s">
        <v>64</v>
      </c>
      <c r="D187" s="4" t="s">
        <v>65</v>
      </c>
      <c r="E187" s="4"/>
      <c r="F187" s="4" t="s">
        <v>90</v>
      </c>
      <c r="G187" s="5" t="s">
        <v>15</v>
      </c>
      <c r="H187" s="5" t="s">
        <v>21</v>
      </c>
      <c r="I187" s="5" t="s">
        <v>147</v>
      </c>
      <c r="J187" s="5" t="s">
        <v>10</v>
      </c>
      <c r="K187" s="5">
        <v>23</v>
      </c>
      <c r="L187" s="5">
        <v>45</v>
      </c>
      <c r="M187" s="5">
        <v>2500</v>
      </c>
      <c r="N187" s="5" t="s">
        <v>170</v>
      </c>
      <c r="O187" s="6" t="s">
        <v>78</v>
      </c>
      <c r="P187" s="6" t="s">
        <v>80</v>
      </c>
      <c r="Q187" s="6">
        <v>2003</v>
      </c>
      <c r="R187" s="6" t="s">
        <v>50</v>
      </c>
      <c r="S187" s="6">
        <v>28</v>
      </c>
      <c r="T187" s="6">
        <v>13.5</v>
      </c>
      <c r="U187" s="6">
        <v>2157</v>
      </c>
      <c r="V187" s="6">
        <v>40.299999999999997</v>
      </c>
      <c r="W187" s="6">
        <v>0</v>
      </c>
      <c r="X187" s="6">
        <v>600</v>
      </c>
      <c r="Y187" s="6">
        <v>1043</v>
      </c>
      <c r="Z187" s="6">
        <v>457</v>
      </c>
      <c r="AA187" s="6">
        <v>57</v>
      </c>
      <c r="AB187" s="6">
        <v>0</v>
      </c>
      <c r="AC187" s="7">
        <v>35</v>
      </c>
      <c r="AD187" s="7" t="s">
        <v>52</v>
      </c>
      <c r="AE187" s="7">
        <v>16.420000000000002</v>
      </c>
      <c r="AF187" s="7">
        <v>950</v>
      </c>
      <c r="AG187" s="7">
        <v>24.09</v>
      </c>
      <c r="AH187" s="7">
        <v>17.97</v>
      </c>
      <c r="AI187" s="7">
        <v>23.7</v>
      </c>
      <c r="AJ187" s="9">
        <v>168.65208773605801</v>
      </c>
      <c r="AK187" s="9">
        <v>169.67373237361701</v>
      </c>
      <c r="AL187" s="9">
        <v>210.73554361532001</v>
      </c>
      <c r="AM187" s="9">
        <v>48.863701702683898</v>
      </c>
      <c r="AN187" s="9">
        <v>1.39610576293382</v>
      </c>
      <c r="AO187" s="9">
        <v>0.93453930560057996</v>
      </c>
      <c r="AP187" s="9">
        <v>407.24225971259</v>
      </c>
      <c r="AQ187" s="9">
        <v>11.635493134645399</v>
      </c>
      <c r="AR187" s="9">
        <v>12.0236704740799</v>
      </c>
      <c r="AS187" s="73" t="s">
        <v>169</v>
      </c>
      <c r="AT187" s="8"/>
      <c r="AU187" s="10" t="s">
        <v>169</v>
      </c>
      <c r="AV187" s="10">
        <v>0</v>
      </c>
      <c r="AW187" s="8"/>
      <c r="AX187" s="74" t="s">
        <v>169</v>
      </c>
      <c r="AY187" s="74"/>
      <c r="AZ187" s="74"/>
      <c r="BA187" s="74"/>
      <c r="BB187" s="8"/>
      <c r="BC187" s="8"/>
      <c r="BD187" s="8"/>
      <c r="BE187" s="8"/>
      <c r="BF187" s="12">
        <v>0.44</v>
      </c>
      <c r="BG187" s="13">
        <v>161.49367159054029</v>
      </c>
      <c r="BH187" s="96" t="str">
        <f>+VLOOKUP(G187,Liste!$A$7:$G$50,3,FALSE)</f>
        <v>Pin sylvestre</v>
      </c>
      <c r="BI187" s="96" t="str">
        <f>+VLOOKUP(H187,Liste!$B$7:$G$50,5,FALSE)</f>
        <v>GS Pineraies des plaines du Centre et du Nord Ouest</v>
      </c>
      <c r="BJ187" s="135">
        <f t="shared" si="46"/>
        <v>35</v>
      </c>
      <c r="BK187" s="135" t="str">
        <f t="shared" si="48"/>
        <v>Pin sylvestre_F2_Eclaircie tardive_GS Pineraies des plaines du Centre et du Nord Ouest_35_</v>
      </c>
      <c r="BL187" s="322"/>
      <c r="BM187" s="13">
        <v>43.926500210780716</v>
      </c>
      <c r="BN187" s="13">
        <v>205.420171801321</v>
      </c>
      <c r="BP187" s="13">
        <v>268.42</v>
      </c>
      <c r="BQ187" s="13">
        <v>11.261710497128499</v>
      </c>
      <c r="BT187" s="298" t="str">
        <f>+VLOOKUP(G187,Liste!$A$7:$H$50,8,FALSE)</f>
        <v>Résineux</v>
      </c>
      <c r="BU187" s="298">
        <f t="shared" si="49"/>
        <v>0</v>
      </c>
      <c r="BV187" s="300">
        <f t="shared" si="50"/>
        <v>1</v>
      </c>
      <c r="BW187" s="321">
        <v>0</v>
      </c>
      <c r="BX187" s="298">
        <f t="shared" si="51"/>
        <v>0.43</v>
      </c>
      <c r="BY187">
        <f t="shared" si="52"/>
        <v>0</v>
      </c>
      <c r="BZ187" s="304">
        <f t="shared" si="53"/>
        <v>0</v>
      </c>
      <c r="CB187" s="299">
        <v>0.6</v>
      </c>
      <c r="CC187" s="299">
        <v>0.4</v>
      </c>
      <c r="CD187">
        <f t="shared" si="54"/>
        <v>0</v>
      </c>
      <c r="CE187">
        <f t="shared" si="55"/>
        <v>0</v>
      </c>
      <c r="CF187">
        <f t="shared" si="56"/>
        <v>0</v>
      </c>
      <c r="CG187">
        <f t="shared" si="57"/>
        <v>0</v>
      </c>
      <c r="CH187">
        <f t="shared" si="58"/>
        <v>0</v>
      </c>
      <c r="CI187">
        <f t="shared" si="59"/>
        <v>0</v>
      </c>
      <c r="CJ187">
        <f t="shared" si="60"/>
        <v>0</v>
      </c>
      <c r="CK187">
        <f t="shared" si="61"/>
        <v>0</v>
      </c>
      <c r="CL187">
        <f t="shared" si="62"/>
        <v>0</v>
      </c>
      <c r="CM187">
        <f t="shared" si="64"/>
        <v>0</v>
      </c>
      <c r="CN187">
        <f t="shared" si="63"/>
        <v>0</v>
      </c>
      <c r="CO187">
        <f t="shared" si="47"/>
        <v>0</v>
      </c>
    </row>
    <row r="188" spans="1:93" s="12" customFormat="1" ht="14.65" customHeight="1" x14ac:dyDescent="0.25">
      <c r="A188" s="4">
        <v>2021</v>
      </c>
      <c r="B188" s="4"/>
      <c r="C188" s="4" t="s">
        <v>64</v>
      </c>
      <c r="D188" s="4" t="s">
        <v>65</v>
      </c>
      <c r="E188" s="4"/>
      <c r="F188" s="4" t="s">
        <v>90</v>
      </c>
      <c r="G188" s="5" t="s">
        <v>15</v>
      </c>
      <c r="H188" s="5" t="s">
        <v>21</v>
      </c>
      <c r="I188" s="5" t="s">
        <v>147</v>
      </c>
      <c r="J188" s="5" t="s">
        <v>10</v>
      </c>
      <c r="K188" s="5">
        <v>23</v>
      </c>
      <c r="L188" s="5">
        <v>45</v>
      </c>
      <c r="M188" s="5">
        <v>2500</v>
      </c>
      <c r="N188" s="5" t="s">
        <v>170</v>
      </c>
      <c r="O188" s="6" t="s">
        <v>78</v>
      </c>
      <c r="P188" s="6" t="s">
        <v>80</v>
      </c>
      <c r="Q188" s="6">
        <v>2003</v>
      </c>
      <c r="R188" s="6" t="s">
        <v>50</v>
      </c>
      <c r="S188" s="6">
        <v>28</v>
      </c>
      <c r="T188" s="6">
        <v>13.5</v>
      </c>
      <c r="U188" s="6">
        <v>2157</v>
      </c>
      <c r="V188" s="6">
        <v>40.299999999999997</v>
      </c>
      <c r="W188" s="6">
        <v>0</v>
      </c>
      <c r="X188" s="6">
        <v>600</v>
      </c>
      <c r="Y188" s="6">
        <v>1043</v>
      </c>
      <c r="Z188" s="6">
        <v>457</v>
      </c>
      <c r="AA188" s="6">
        <v>57</v>
      </c>
      <c r="AB188" s="6">
        <v>0</v>
      </c>
      <c r="AC188" s="7">
        <v>36</v>
      </c>
      <c r="AD188" s="7" t="s">
        <v>52</v>
      </c>
      <c r="AE188" s="7">
        <v>16.809999999999999</v>
      </c>
      <c r="AF188" s="7">
        <v>950</v>
      </c>
      <c r="AG188" s="7">
        <v>25.02</v>
      </c>
      <c r="AH188" s="7">
        <v>18.309999999999999</v>
      </c>
      <c r="AI188" s="7">
        <v>24.2</v>
      </c>
      <c r="AJ188" s="9">
        <v>179.275985426977</v>
      </c>
      <c r="AK188" s="9">
        <v>180.365961103014</v>
      </c>
      <c r="AL188" s="9">
        <v>222.75921408939999</v>
      </c>
      <c r="AM188" s="9">
        <v>49.7982410082844</v>
      </c>
      <c r="AN188" s="9">
        <v>1.3832844724523501</v>
      </c>
      <c r="AO188" s="9">
        <v>0.92214014625520202</v>
      </c>
      <c r="AP188" s="9">
        <v>419.26593018667</v>
      </c>
      <c r="AQ188" s="9">
        <v>11.6462758385186</v>
      </c>
      <c r="AR188" s="9">
        <v>12.139584939687801</v>
      </c>
      <c r="AS188" s="73" t="s">
        <v>169</v>
      </c>
      <c r="AT188" s="8"/>
      <c r="AU188" s="10" t="s">
        <v>169</v>
      </c>
      <c r="AV188" s="10">
        <v>0</v>
      </c>
      <c r="AW188" s="8"/>
      <c r="AX188" s="74" t="s">
        <v>169</v>
      </c>
      <c r="AY188" s="74"/>
      <c r="AZ188" s="74"/>
      <c r="BA188" s="74"/>
      <c r="BB188" s="8"/>
      <c r="BC188" s="8"/>
      <c r="BD188" s="8"/>
      <c r="BE188" s="8"/>
      <c r="BF188" s="12">
        <v>0.44</v>
      </c>
      <c r="BG188" s="13">
        <v>170.70781106384354</v>
      </c>
      <c r="BH188" s="96" t="str">
        <f>+VLOOKUP(G188,Liste!$A$7:$G$50,3,FALSE)</f>
        <v>Pin sylvestre</v>
      </c>
      <c r="BI188" s="96" t="str">
        <f>+VLOOKUP(H188,Liste!$B$7:$G$50,5,FALSE)</f>
        <v>GS Pineraies des plaines du Centre et du Nord Ouest</v>
      </c>
      <c r="BJ188" s="135">
        <f t="shared" si="46"/>
        <v>36</v>
      </c>
      <c r="BK188" s="135" t="str">
        <f t="shared" si="48"/>
        <v>Pin sylvestre_F2_Eclaircie tardive_GS Pineraies des plaines du Centre et du Nord Ouest_36_</v>
      </c>
      <c r="BL188" s="322"/>
      <c r="BM188" s="13">
        <v>46.13382820758747</v>
      </c>
      <c r="BN188" s="13">
        <v>216.84163927143101</v>
      </c>
      <c r="BP188" s="13">
        <v>268.42</v>
      </c>
      <c r="BQ188" s="13">
        <v>11.363356358078599</v>
      </c>
      <c r="BT188" s="298" t="str">
        <f>+VLOOKUP(G188,Liste!$A$7:$H$50,8,FALSE)</f>
        <v>Résineux</v>
      </c>
      <c r="BU188" s="298">
        <f t="shared" si="49"/>
        <v>0</v>
      </c>
      <c r="BV188" s="300">
        <f t="shared" si="50"/>
        <v>1</v>
      </c>
      <c r="BW188" s="321">
        <v>0</v>
      </c>
      <c r="BX188" s="298">
        <f t="shared" si="51"/>
        <v>0.43</v>
      </c>
      <c r="BY188">
        <f t="shared" si="52"/>
        <v>0</v>
      </c>
      <c r="BZ188" s="304">
        <f t="shared" si="53"/>
        <v>0</v>
      </c>
      <c r="CB188" s="299">
        <v>0.6</v>
      </c>
      <c r="CC188" s="299">
        <v>0.4</v>
      </c>
      <c r="CD188">
        <f t="shared" si="54"/>
        <v>0</v>
      </c>
      <c r="CE188">
        <f t="shared" si="55"/>
        <v>0</v>
      </c>
      <c r="CF188">
        <f t="shared" si="56"/>
        <v>0</v>
      </c>
      <c r="CG188">
        <f t="shared" si="57"/>
        <v>0</v>
      </c>
      <c r="CH188">
        <f t="shared" si="58"/>
        <v>0</v>
      </c>
      <c r="CI188">
        <f t="shared" si="59"/>
        <v>0</v>
      </c>
      <c r="CJ188">
        <f t="shared" si="60"/>
        <v>0</v>
      </c>
      <c r="CK188">
        <f t="shared" si="61"/>
        <v>0</v>
      </c>
      <c r="CL188">
        <f t="shared" si="62"/>
        <v>0</v>
      </c>
      <c r="CM188">
        <f t="shared" si="64"/>
        <v>0</v>
      </c>
      <c r="CN188">
        <f t="shared" si="63"/>
        <v>0</v>
      </c>
      <c r="CO188">
        <f t="shared" si="47"/>
        <v>0</v>
      </c>
    </row>
    <row r="189" spans="1:93" s="12" customFormat="1" ht="14.65" customHeight="1" x14ac:dyDescent="0.25">
      <c r="A189" s="4">
        <v>2021</v>
      </c>
      <c r="B189" s="4"/>
      <c r="C189" s="4" t="s">
        <v>64</v>
      </c>
      <c r="D189" s="4" t="s">
        <v>65</v>
      </c>
      <c r="E189" s="4"/>
      <c r="F189" s="4" t="s">
        <v>90</v>
      </c>
      <c r="G189" s="5" t="s">
        <v>15</v>
      </c>
      <c r="H189" s="5" t="s">
        <v>21</v>
      </c>
      <c r="I189" s="5" t="s">
        <v>147</v>
      </c>
      <c r="J189" s="5" t="s">
        <v>10</v>
      </c>
      <c r="K189" s="5">
        <v>23</v>
      </c>
      <c r="L189" s="5">
        <v>45</v>
      </c>
      <c r="M189" s="5">
        <v>2500</v>
      </c>
      <c r="N189" s="5" t="s">
        <v>170</v>
      </c>
      <c r="O189" s="6" t="s">
        <v>78</v>
      </c>
      <c r="P189" s="6" t="s">
        <v>80</v>
      </c>
      <c r="Q189" s="6">
        <v>2003</v>
      </c>
      <c r="R189" s="6" t="s">
        <v>50</v>
      </c>
      <c r="S189" s="6">
        <v>28</v>
      </c>
      <c r="T189" s="6">
        <v>13.5</v>
      </c>
      <c r="U189" s="6">
        <v>2157</v>
      </c>
      <c r="V189" s="6">
        <v>40.299999999999997</v>
      </c>
      <c r="W189" s="6">
        <v>0</v>
      </c>
      <c r="X189" s="6">
        <v>600</v>
      </c>
      <c r="Y189" s="6">
        <v>1043</v>
      </c>
      <c r="Z189" s="6">
        <v>457</v>
      </c>
      <c r="AA189" s="6">
        <v>57</v>
      </c>
      <c r="AB189" s="6">
        <v>0</v>
      </c>
      <c r="AC189" s="7">
        <v>37</v>
      </c>
      <c r="AD189" s="7" t="s">
        <v>52</v>
      </c>
      <c r="AE189" s="7">
        <v>17.190000000000001</v>
      </c>
      <c r="AF189" s="7">
        <v>950</v>
      </c>
      <c r="AG189" s="7">
        <v>25.95</v>
      </c>
      <c r="AH189" s="7">
        <v>18.649999999999999</v>
      </c>
      <c r="AI189" s="7">
        <v>24.69</v>
      </c>
      <c r="AJ189" s="9">
        <v>190.039597358978</v>
      </c>
      <c r="AK189" s="9">
        <v>191.19770945311001</v>
      </c>
      <c r="AL189" s="9">
        <v>234.898799029088</v>
      </c>
      <c r="AM189" s="9">
        <v>50.720381154539702</v>
      </c>
      <c r="AN189" s="9">
        <v>1.3708211122848599</v>
      </c>
      <c r="AO189" s="9">
        <v>0.91079189677635997</v>
      </c>
      <c r="AP189" s="9">
        <v>431.40551512635801</v>
      </c>
      <c r="AQ189" s="9">
        <v>11.6596085169286</v>
      </c>
      <c r="AR189" s="9">
        <v>12.274367729647601</v>
      </c>
      <c r="AS189" s="73" t="s">
        <v>169</v>
      </c>
      <c r="AT189" s="8"/>
      <c r="AU189" s="10" t="s">
        <v>169</v>
      </c>
      <c r="AV189" s="10">
        <v>0</v>
      </c>
      <c r="AW189" s="8"/>
      <c r="AX189" s="74" t="s">
        <v>169</v>
      </c>
      <c r="AY189" s="74"/>
      <c r="AZ189" s="74"/>
      <c r="BA189" s="74"/>
      <c r="BB189" s="8"/>
      <c r="BC189" s="8"/>
      <c r="BD189" s="8"/>
      <c r="BE189" s="8"/>
      <c r="BF189" s="12">
        <v>0.44</v>
      </c>
      <c r="BG189" s="13">
        <v>180.01077965595744</v>
      </c>
      <c r="BH189" s="96" t="str">
        <f>+VLOOKUP(G189,Liste!$A$7:$G$50,3,FALSE)</f>
        <v>Pin sylvestre</v>
      </c>
      <c r="BI189" s="96" t="str">
        <f>+VLOOKUP(H189,Liste!$B$7:$G$50,5,FALSE)</f>
        <v>GS Pineraies des plaines du Centre et du Nord Ouest</v>
      </c>
      <c r="BJ189" s="135">
        <f t="shared" si="46"/>
        <v>37</v>
      </c>
      <c r="BK189" s="135" t="str">
        <f t="shared" si="48"/>
        <v>Pin sylvestre_F2_Eclaircie tardive_GS Pineraies des plaines du Centre et du Nord Ouest_37_</v>
      </c>
      <c r="BL189" s="322"/>
      <c r="BM189" s="13">
        <v>48.348406128153556</v>
      </c>
      <c r="BN189" s="13">
        <v>228.35918578411099</v>
      </c>
      <c r="BP189" s="13">
        <v>268.42</v>
      </c>
      <c r="BQ189" s="13">
        <v>11.4826704206363</v>
      </c>
      <c r="BT189" s="298" t="str">
        <f>+VLOOKUP(G189,Liste!$A$7:$H$50,8,FALSE)</f>
        <v>Résineux</v>
      </c>
      <c r="BU189" s="298">
        <f t="shared" si="49"/>
        <v>0</v>
      </c>
      <c r="BV189" s="300">
        <f t="shared" si="50"/>
        <v>1</v>
      </c>
      <c r="BW189" s="321">
        <v>0</v>
      </c>
      <c r="BX189" s="298">
        <f t="shared" si="51"/>
        <v>0.43</v>
      </c>
      <c r="BY189">
        <f t="shared" si="52"/>
        <v>0</v>
      </c>
      <c r="BZ189" s="304">
        <f t="shared" si="53"/>
        <v>0</v>
      </c>
      <c r="CB189" s="299">
        <v>0.6</v>
      </c>
      <c r="CC189" s="299">
        <v>0.4</v>
      </c>
      <c r="CD189">
        <f t="shared" si="54"/>
        <v>0</v>
      </c>
      <c r="CE189">
        <f t="shared" si="55"/>
        <v>0</v>
      </c>
      <c r="CF189">
        <f t="shared" si="56"/>
        <v>0</v>
      </c>
      <c r="CG189">
        <f t="shared" si="57"/>
        <v>0</v>
      </c>
      <c r="CH189">
        <f t="shared" si="58"/>
        <v>0</v>
      </c>
      <c r="CI189">
        <f t="shared" si="59"/>
        <v>0</v>
      </c>
      <c r="CJ189">
        <f t="shared" si="60"/>
        <v>0</v>
      </c>
      <c r="CK189">
        <f t="shared" si="61"/>
        <v>0</v>
      </c>
      <c r="CL189">
        <f t="shared" si="62"/>
        <v>0</v>
      </c>
      <c r="CM189">
        <f t="shared" si="64"/>
        <v>0</v>
      </c>
      <c r="CN189">
        <f t="shared" si="63"/>
        <v>0</v>
      </c>
      <c r="CO189">
        <f t="shared" si="47"/>
        <v>0</v>
      </c>
    </row>
    <row r="190" spans="1:93" s="12" customFormat="1" ht="14.65" customHeight="1" x14ac:dyDescent="0.25">
      <c r="A190" s="4">
        <v>2021</v>
      </c>
      <c r="B190" s="4"/>
      <c r="C190" s="4" t="s">
        <v>64</v>
      </c>
      <c r="D190" s="4" t="s">
        <v>65</v>
      </c>
      <c r="E190" s="4"/>
      <c r="F190" s="4" t="s">
        <v>90</v>
      </c>
      <c r="G190" s="5" t="s">
        <v>15</v>
      </c>
      <c r="H190" s="5" t="s">
        <v>21</v>
      </c>
      <c r="I190" s="5" t="s">
        <v>147</v>
      </c>
      <c r="J190" s="5" t="s">
        <v>10</v>
      </c>
      <c r="K190" s="5">
        <v>23</v>
      </c>
      <c r="L190" s="5">
        <v>45</v>
      </c>
      <c r="M190" s="5">
        <v>2500</v>
      </c>
      <c r="N190" s="5" t="s">
        <v>170</v>
      </c>
      <c r="O190" s="6" t="s">
        <v>78</v>
      </c>
      <c r="P190" s="6" t="s">
        <v>80</v>
      </c>
      <c r="Q190" s="6">
        <v>2003</v>
      </c>
      <c r="R190" s="6" t="s">
        <v>50</v>
      </c>
      <c r="S190" s="6">
        <v>28</v>
      </c>
      <c r="T190" s="6">
        <v>13.5</v>
      </c>
      <c r="U190" s="6">
        <v>2157</v>
      </c>
      <c r="V190" s="6">
        <v>40.299999999999997</v>
      </c>
      <c r="W190" s="6">
        <v>0</v>
      </c>
      <c r="X190" s="6">
        <v>600</v>
      </c>
      <c r="Y190" s="6">
        <v>1043</v>
      </c>
      <c r="Z190" s="6">
        <v>457</v>
      </c>
      <c r="AA190" s="6">
        <v>57</v>
      </c>
      <c r="AB190" s="6">
        <v>0</v>
      </c>
      <c r="AC190" s="7">
        <v>38</v>
      </c>
      <c r="AD190" s="7" t="s">
        <v>52</v>
      </c>
      <c r="AE190" s="7">
        <v>17.57</v>
      </c>
      <c r="AF190" s="7">
        <v>950</v>
      </c>
      <c r="AG190" s="7">
        <v>26.86</v>
      </c>
      <c r="AH190" s="7">
        <v>18.97</v>
      </c>
      <c r="AI190" s="7">
        <v>25.17</v>
      </c>
      <c r="AJ190" s="9">
        <v>200.961791695643</v>
      </c>
      <c r="AK190" s="9">
        <v>202.18755777750999</v>
      </c>
      <c r="AL190" s="9">
        <v>247.17316675873499</v>
      </c>
      <c r="AM190" s="9">
        <v>51.631173051315997</v>
      </c>
      <c r="AN190" s="9">
        <v>1.3587150802977901</v>
      </c>
      <c r="AO190" s="9">
        <v>0.89953275857311599</v>
      </c>
      <c r="AP190" s="9">
        <v>443.67988285600597</v>
      </c>
      <c r="AQ190" s="9">
        <v>11.675786390947501</v>
      </c>
      <c r="AR190" s="9">
        <v>12.3316266346246</v>
      </c>
      <c r="AS190" s="73" t="s">
        <v>169</v>
      </c>
      <c r="AT190" s="8"/>
      <c r="AU190" s="10" t="s">
        <v>169</v>
      </c>
      <c r="AV190" s="10">
        <v>0</v>
      </c>
      <c r="AW190" s="8"/>
      <c r="AX190" s="74" t="s">
        <v>169</v>
      </c>
      <c r="AY190" s="74"/>
      <c r="AZ190" s="74"/>
      <c r="BA190" s="74"/>
      <c r="BB190" s="8"/>
      <c r="BC190" s="8"/>
      <c r="BD190" s="8"/>
      <c r="BE190" s="8"/>
      <c r="BF190" s="12">
        <v>0.44</v>
      </c>
      <c r="BG190" s="13">
        <v>189.41703679277757</v>
      </c>
      <c r="BH190" s="96" t="str">
        <f>+VLOOKUP(G190,Liste!$A$7:$G$50,3,FALSE)</f>
        <v>Pin sylvestre</v>
      </c>
      <c r="BI190" s="96" t="str">
        <f>+VLOOKUP(H190,Liste!$B$7:$G$50,5,FALSE)</f>
        <v>GS Pineraies des plaines du Centre et du Nord Ouest</v>
      </c>
      <c r="BJ190" s="135">
        <f t="shared" si="46"/>
        <v>38</v>
      </c>
      <c r="BK190" s="135" t="str">
        <f t="shared" si="48"/>
        <v>Pin sylvestre_F2_Eclaircie tardive_GS Pineraies des plaines du Centre et du Nord Ouest_38_</v>
      </c>
      <c r="BL190" s="322"/>
      <c r="BM190" s="13">
        <v>50.57406446213443</v>
      </c>
      <c r="BN190" s="13">
        <v>239.991101254912</v>
      </c>
      <c r="BP190" s="13">
        <v>268.42</v>
      </c>
      <c r="BQ190" s="13">
        <v>11.529513045986601</v>
      </c>
      <c r="BT190" s="298" t="str">
        <f>+VLOOKUP(G190,Liste!$A$7:$H$50,8,FALSE)</f>
        <v>Résineux</v>
      </c>
      <c r="BU190" s="298">
        <f t="shared" si="49"/>
        <v>0</v>
      </c>
      <c r="BV190" s="300">
        <f t="shared" si="50"/>
        <v>1</v>
      </c>
      <c r="BW190" s="321">
        <v>0</v>
      </c>
      <c r="BX190" s="298">
        <f t="shared" si="51"/>
        <v>0.43</v>
      </c>
      <c r="BY190">
        <f t="shared" si="52"/>
        <v>0</v>
      </c>
      <c r="BZ190" s="304">
        <f t="shared" si="53"/>
        <v>0</v>
      </c>
      <c r="CB190" s="299">
        <v>0.6</v>
      </c>
      <c r="CC190" s="299">
        <v>0.4</v>
      </c>
      <c r="CD190">
        <f t="shared" si="54"/>
        <v>0</v>
      </c>
      <c r="CE190">
        <f t="shared" si="55"/>
        <v>0</v>
      </c>
      <c r="CF190">
        <f t="shared" si="56"/>
        <v>0</v>
      </c>
      <c r="CG190">
        <f t="shared" si="57"/>
        <v>0</v>
      </c>
      <c r="CH190">
        <f t="shared" si="58"/>
        <v>0</v>
      </c>
      <c r="CI190">
        <f t="shared" si="59"/>
        <v>0</v>
      </c>
      <c r="CJ190">
        <f t="shared" si="60"/>
        <v>0</v>
      </c>
      <c r="CK190">
        <f t="shared" si="61"/>
        <v>0</v>
      </c>
      <c r="CL190">
        <f t="shared" si="62"/>
        <v>0</v>
      </c>
      <c r="CM190">
        <f t="shared" si="64"/>
        <v>0</v>
      </c>
      <c r="CN190">
        <f t="shared" si="63"/>
        <v>0</v>
      </c>
      <c r="CO190">
        <f t="shared" si="47"/>
        <v>0</v>
      </c>
    </row>
    <row r="191" spans="1:93" s="12" customFormat="1" ht="14.65" customHeight="1" x14ac:dyDescent="0.25">
      <c r="A191" s="4">
        <v>2021</v>
      </c>
      <c r="B191" s="4"/>
      <c r="C191" s="4" t="s">
        <v>64</v>
      </c>
      <c r="D191" s="4" t="s">
        <v>65</v>
      </c>
      <c r="E191" s="4"/>
      <c r="F191" s="4" t="s">
        <v>90</v>
      </c>
      <c r="G191" s="5" t="s">
        <v>15</v>
      </c>
      <c r="H191" s="5" t="s">
        <v>21</v>
      </c>
      <c r="I191" s="5" t="s">
        <v>147</v>
      </c>
      <c r="J191" s="5" t="s">
        <v>10</v>
      </c>
      <c r="K191" s="5">
        <v>23</v>
      </c>
      <c r="L191" s="5">
        <v>45</v>
      </c>
      <c r="M191" s="5">
        <v>2500</v>
      </c>
      <c r="N191" s="5" t="s">
        <v>170</v>
      </c>
      <c r="O191" s="6" t="s">
        <v>78</v>
      </c>
      <c r="P191" s="6" t="s">
        <v>80</v>
      </c>
      <c r="Q191" s="6">
        <v>2003</v>
      </c>
      <c r="R191" s="6" t="s">
        <v>50</v>
      </c>
      <c r="S191" s="6">
        <v>28</v>
      </c>
      <c r="T191" s="6">
        <v>13.5</v>
      </c>
      <c r="U191" s="6">
        <v>2157</v>
      </c>
      <c r="V191" s="6">
        <v>40.299999999999997</v>
      </c>
      <c r="W191" s="6">
        <v>0</v>
      </c>
      <c r="X191" s="6">
        <v>600</v>
      </c>
      <c r="Y191" s="6">
        <v>1043</v>
      </c>
      <c r="Z191" s="6">
        <v>457</v>
      </c>
      <c r="AA191" s="6">
        <v>57</v>
      </c>
      <c r="AB191" s="6">
        <v>0</v>
      </c>
      <c r="AC191" s="7">
        <v>39</v>
      </c>
      <c r="AD191" s="7" t="s">
        <v>52</v>
      </c>
      <c r="AE191" s="7">
        <v>17.940000000000001</v>
      </c>
      <c r="AF191" s="7">
        <v>950</v>
      </c>
      <c r="AG191" s="7">
        <v>27.76</v>
      </c>
      <c r="AH191" s="7">
        <v>19.29</v>
      </c>
      <c r="AI191" s="7">
        <v>25.64</v>
      </c>
      <c r="AJ191" s="9">
        <v>211.958706863304</v>
      </c>
      <c r="AK191" s="9">
        <v>213.25254675439299</v>
      </c>
      <c r="AL191" s="9">
        <v>259.50479339335999</v>
      </c>
      <c r="AM191" s="9">
        <v>52.530705809889099</v>
      </c>
      <c r="AN191" s="9">
        <v>1.3469411746125399</v>
      </c>
      <c r="AO191" s="9">
        <v>0.88914680248599598</v>
      </c>
      <c r="AP191" s="9">
        <v>456.01150949062998</v>
      </c>
      <c r="AQ191" s="9">
        <v>11.692602807452101</v>
      </c>
      <c r="AR191" s="9">
        <v>12.4428305131802</v>
      </c>
      <c r="AS191" s="73" t="s">
        <v>169</v>
      </c>
      <c r="AT191" s="8"/>
      <c r="AU191" s="10" t="s">
        <v>169</v>
      </c>
      <c r="AV191" s="10">
        <v>0</v>
      </c>
      <c r="AW191" s="8"/>
      <c r="AX191" s="74" t="s">
        <v>169</v>
      </c>
      <c r="AY191" s="74"/>
      <c r="AZ191" s="74"/>
      <c r="BA191" s="74"/>
      <c r="BB191" s="8"/>
      <c r="BC191" s="8"/>
      <c r="BD191" s="8"/>
      <c r="BE191" s="8"/>
      <c r="BF191" s="12">
        <v>0.44</v>
      </c>
      <c r="BG191" s="13">
        <v>198.86717333711138</v>
      </c>
      <c r="BH191" s="96" t="str">
        <f>+VLOOKUP(G191,Liste!$A$7:$G$50,3,FALSE)</f>
        <v>Pin sylvestre</v>
      </c>
      <c r="BI191" s="96" t="str">
        <f>+VLOOKUP(H191,Liste!$B$7:$G$50,5,FALSE)</f>
        <v>GS Pineraies des plaines du Centre et du Nord Ouest</v>
      </c>
      <c r="BJ191" s="135">
        <f t="shared" si="46"/>
        <v>39</v>
      </c>
      <c r="BK191" s="135" t="str">
        <f t="shared" si="48"/>
        <v>Pin sylvestre_F2_Eclaircie tardive_GS Pineraies des plaines du Centre et du Nord Ouest_39_</v>
      </c>
      <c r="BL191" s="322"/>
      <c r="BM191" s="13">
        <v>52.797183009508615</v>
      </c>
      <c r="BN191" s="13">
        <v>251.66435634662</v>
      </c>
      <c r="BP191" s="13">
        <v>268.42</v>
      </c>
      <c r="BQ191" s="13">
        <v>11.6268596922394</v>
      </c>
      <c r="BT191" s="298" t="str">
        <f>+VLOOKUP(G191,Liste!$A$7:$H$50,8,FALSE)</f>
        <v>Résineux</v>
      </c>
      <c r="BU191" s="298">
        <f t="shared" si="49"/>
        <v>0</v>
      </c>
      <c r="BV191" s="300">
        <f t="shared" si="50"/>
        <v>1</v>
      </c>
      <c r="BW191" s="321">
        <v>0</v>
      </c>
      <c r="BX191" s="298">
        <f t="shared" si="51"/>
        <v>0.43</v>
      </c>
      <c r="BY191">
        <f t="shared" si="52"/>
        <v>0</v>
      </c>
      <c r="BZ191" s="304">
        <f t="shared" si="53"/>
        <v>0</v>
      </c>
      <c r="CB191" s="299">
        <v>0.6</v>
      </c>
      <c r="CC191" s="299">
        <v>0.4</v>
      </c>
      <c r="CD191">
        <f t="shared" si="54"/>
        <v>0</v>
      </c>
      <c r="CE191">
        <f t="shared" si="55"/>
        <v>0</v>
      </c>
      <c r="CF191">
        <f t="shared" si="56"/>
        <v>0</v>
      </c>
      <c r="CG191">
        <f t="shared" si="57"/>
        <v>0</v>
      </c>
      <c r="CH191">
        <f t="shared" si="58"/>
        <v>0</v>
      </c>
      <c r="CI191">
        <f t="shared" si="59"/>
        <v>0</v>
      </c>
      <c r="CJ191">
        <f t="shared" si="60"/>
        <v>0</v>
      </c>
      <c r="CK191">
        <f t="shared" si="61"/>
        <v>0</v>
      </c>
      <c r="CL191">
        <f t="shared" si="62"/>
        <v>0</v>
      </c>
      <c r="CM191">
        <f t="shared" si="64"/>
        <v>0</v>
      </c>
      <c r="CN191">
        <f t="shared" si="63"/>
        <v>0</v>
      </c>
      <c r="CO191">
        <f t="shared" si="47"/>
        <v>0</v>
      </c>
    </row>
    <row r="192" spans="1:93" s="12" customFormat="1" ht="14.65" customHeight="1" x14ac:dyDescent="0.25">
      <c r="A192" s="4">
        <v>2021</v>
      </c>
      <c r="B192" s="4"/>
      <c r="C192" s="4" t="s">
        <v>64</v>
      </c>
      <c r="D192" s="4" t="s">
        <v>65</v>
      </c>
      <c r="E192" s="4"/>
      <c r="F192" s="4" t="s">
        <v>90</v>
      </c>
      <c r="G192" s="5" t="s">
        <v>15</v>
      </c>
      <c r="H192" s="5" t="s">
        <v>21</v>
      </c>
      <c r="I192" s="5" t="s">
        <v>147</v>
      </c>
      <c r="J192" s="5" t="s">
        <v>10</v>
      </c>
      <c r="K192" s="5">
        <v>23</v>
      </c>
      <c r="L192" s="5">
        <v>45</v>
      </c>
      <c r="M192" s="5">
        <v>2500</v>
      </c>
      <c r="N192" s="5" t="s">
        <v>170</v>
      </c>
      <c r="O192" s="6" t="s">
        <v>78</v>
      </c>
      <c r="P192" s="6" t="s">
        <v>80</v>
      </c>
      <c r="Q192" s="6">
        <v>2003</v>
      </c>
      <c r="R192" s="6" t="s">
        <v>50</v>
      </c>
      <c r="S192" s="6">
        <v>28</v>
      </c>
      <c r="T192" s="6">
        <v>13.5</v>
      </c>
      <c r="U192" s="6">
        <v>2157</v>
      </c>
      <c r="V192" s="6">
        <v>40.299999999999997</v>
      </c>
      <c r="W192" s="6">
        <v>0</v>
      </c>
      <c r="X192" s="6">
        <v>600</v>
      </c>
      <c r="Y192" s="6">
        <v>1043</v>
      </c>
      <c r="Z192" s="6">
        <v>457</v>
      </c>
      <c r="AA192" s="6">
        <v>57</v>
      </c>
      <c r="AB192" s="6">
        <v>0</v>
      </c>
      <c r="AC192" s="7">
        <v>40</v>
      </c>
      <c r="AD192" s="7" t="s">
        <v>52</v>
      </c>
      <c r="AE192" s="7">
        <v>18.3</v>
      </c>
      <c r="AF192" s="7">
        <v>950</v>
      </c>
      <c r="AG192" s="7">
        <v>28.65</v>
      </c>
      <c r="AH192" s="7">
        <v>19.59</v>
      </c>
      <c r="AI192" s="7">
        <v>26.09</v>
      </c>
      <c r="AJ192" s="9">
        <v>223.087834831289</v>
      </c>
      <c r="AK192" s="9">
        <v>224.449481401025</v>
      </c>
      <c r="AL192" s="9">
        <v>271.94762390654</v>
      </c>
      <c r="AM192" s="9">
        <v>53.419852612375102</v>
      </c>
      <c r="AN192" s="9">
        <v>1.33549631530938</v>
      </c>
      <c r="AO192" s="9">
        <v>0.87821862321483501</v>
      </c>
      <c r="AP192" s="9">
        <v>468.45434000381101</v>
      </c>
      <c r="AQ192" s="9">
        <v>11.711358500095301</v>
      </c>
      <c r="AR192" s="9">
        <v>12.5003450644012</v>
      </c>
      <c r="AS192" s="73" t="s">
        <v>169</v>
      </c>
      <c r="AT192" s="8"/>
      <c r="AU192" s="10" t="s">
        <v>169</v>
      </c>
      <c r="AV192" s="10">
        <v>0</v>
      </c>
      <c r="AW192" s="8"/>
      <c r="AX192" s="74" t="s">
        <v>169</v>
      </c>
      <c r="AY192" s="74"/>
      <c r="AZ192" s="74"/>
      <c r="BA192" s="74"/>
      <c r="BB192" s="8"/>
      <c r="BC192" s="8"/>
      <c r="BD192" s="8"/>
      <c r="BE192" s="8"/>
      <c r="BF192" s="12">
        <v>0.44</v>
      </c>
      <c r="BG192" s="13">
        <v>208.40252912037863</v>
      </c>
      <c r="BH192" s="96" t="str">
        <f>+VLOOKUP(G192,Liste!$A$7:$G$50,3,FALSE)</f>
        <v>Pin sylvestre</v>
      </c>
      <c r="BI192" s="96" t="str">
        <f>+VLOOKUP(H192,Liste!$B$7:$G$50,5,FALSE)</f>
        <v>GS Pineraies des plaines du Centre et du Nord Ouest</v>
      </c>
      <c r="BJ192" s="135">
        <f t="shared" si="46"/>
        <v>40</v>
      </c>
      <c r="BK192" s="135" t="str">
        <f t="shared" si="48"/>
        <v>Pin sylvestre_F2_Eclaircie tardive_GS Pineraies des plaines du Centre et du Nord Ouest_40_</v>
      </c>
      <c r="BL192" s="322"/>
      <c r="BM192" s="13">
        <v>55.027916956788374</v>
      </c>
      <c r="BN192" s="13">
        <v>263.43044607716701</v>
      </c>
      <c r="BP192" s="13">
        <v>268.42</v>
      </c>
      <c r="BQ192" s="13">
        <v>11.674100799468</v>
      </c>
      <c r="BT192" s="298" t="str">
        <f>+VLOOKUP(G192,Liste!$A$7:$H$50,8,FALSE)</f>
        <v>Résineux</v>
      </c>
      <c r="BU192" s="298">
        <f t="shared" si="49"/>
        <v>0</v>
      </c>
      <c r="BV192" s="300">
        <f t="shared" si="50"/>
        <v>1</v>
      </c>
      <c r="BW192" s="321">
        <v>0</v>
      </c>
      <c r="BX192" s="298">
        <f t="shared" si="51"/>
        <v>0.43</v>
      </c>
      <c r="BY192">
        <f t="shared" si="52"/>
        <v>0</v>
      </c>
      <c r="BZ192" s="304">
        <f t="shared" si="53"/>
        <v>0</v>
      </c>
      <c r="CB192" s="299">
        <v>0.6</v>
      </c>
      <c r="CC192" s="299">
        <v>0.4</v>
      </c>
      <c r="CD192">
        <f t="shared" si="54"/>
        <v>0</v>
      </c>
      <c r="CE192">
        <f t="shared" si="55"/>
        <v>0</v>
      </c>
      <c r="CF192">
        <f t="shared" si="56"/>
        <v>0</v>
      </c>
      <c r="CG192">
        <f t="shared" si="57"/>
        <v>0</v>
      </c>
      <c r="CH192">
        <f t="shared" si="58"/>
        <v>0</v>
      </c>
      <c r="CI192">
        <f t="shared" si="59"/>
        <v>0</v>
      </c>
      <c r="CJ192">
        <f t="shared" si="60"/>
        <v>0</v>
      </c>
      <c r="CK192">
        <f t="shared" si="61"/>
        <v>0</v>
      </c>
      <c r="CL192">
        <f t="shared" si="62"/>
        <v>0</v>
      </c>
      <c r="CM192">
        <f t="shared" si="64"/>
        <v>0</v>
      </c>
      <c r="CN192">
        <f t="shared" si="63"/>
        <v>0</v>
      </c>
      <c r="CO192">
        <f t="shared" si="47"/>
        <v>0</v>
      </c>
    </row>
    <row r="193" spans="1:93" s="12" customFormat="1" ht="14.65" customHeight="1" x14ac:dyDescent="0.25">
      <c r="A193" s="4">
        <v>2021</v>
      </c>
      <c r="B193" s="4"/>
      <c r="C193" s="4" t="s">
        <v>64</v>
      </c>
      <c r="D193" s="4" t="s">
        <v>65</v>
      </c>
      <c r="E193" s="4"/>
      <c r="F193" s="4" t="s">
        <v>90</v>
      </c>
      <c r="G193" s="5" t="s">
        <v>15</v>
      </c>
      <c r="H193" s="5" t="s">
        <v>21</v>
      </c>
      <c r="I193" s="5" t="s">
        <v>147</v>
      </c>
      <c r="J193" s="5" t="s">
        <v>10</v>
      </c>
      <c r="K193" s="5">
        <v>23</v>
      </c>
      <c r="L193" s="5">
        <v>45</v>
      </c>
      <c r="M193" s="5">
        <v>2500</v>
      </c>
      <c r="N193" s="5" t="s">
        <v>170</v>
      </c>
      <c r="O193" s="6" t="s">
        <v>78</v>
      </c>
      <c r="P193" s="6" t="s">
        <v>80</v>
      </c>
      <c r="Q193" s="6">
        <v>2003</v>
      </c>
      <c r="R193" s="6" t="s">
        <v>50</v>
      </c>
      <c r="S193" s="6">
        <v>28</v>
      </c>
      <c r="T193" s="6">
        <v>13.5</v>
      </c>
      <c r="U193" s="6">
        <v>2157</v>
      </c>
      <c r="V193" s="6">
        <v>40.299999999999997</v>
      </c>
      <c r="W193" s="6">
        <v>0</v>
      </c>
      <c r="X193" s="6">
        <v>600</v>
      </c>
      <c r="Y193" s="6">
        <v>1043</v>
      </c>
      <c r="Z193" s="6">
        <v>457</v>
      </c>
      <c r="AA193" s="6">
        <v>57</v>
      </c>
      <c r="AB193" s="6">
        <v>0</v>
      </c>
      <c r="AC193" s="7">
        <v>41</v>
      </c>
      <c r="AD193" s="7" t="s">
        <v>52</v>
      </c>
      <c r="AE193" s="7">
        <v>18.66</v>
      </c>
      <c r="AF193" s="7">
        <v>950</v>
      </c>
      <c r="AG193" s="7">
        <v>29.52</v>
      </c>
      <c r="AH193" s="7">
        <v>19.89</v>
      </c>
      <c r="AI193" s="7">
        <v>26.54</v>
      </c>
      <c r="AJ193" s="9">
        <v>234.293397290467</v>
      </c>
      <c r="AK193" s="9">
        <v>235.72286047734499</v>
      </c>
      <c r="AL193" s="9">
        <v>284.44796897094102</v>
      </c>
      <c r="AM193" s="9">
        <v>54.298071235590001</v>
      </c>
      <c r="AN193" s="9">
        <v>1.32434320086805</v>
      </c>
      <c r="AO193" s="9">
        <v>0.86907526126999801</v>
      </c>
      <c r="AP193" s="9">
        <v>480.95468506821197</v>
      </c>
      <c r="AQ193" s="9">
        <v>11.730602074834399</v>
      </c>
      <c r="AR193" s="9">
        <v>12.6235208973486</v>
      </c>
      <c r="AS193" s="73" t="s">
        <v>169</v>
      </c>
      <c r="AT193" s="8"/>
      <c r="AU193" s="10" t="s">
        <v>169</v>
      </c>
      <c r="AV193" s="10">
        <v>0</v>
      </c>
      <c r="AW193" s="8"/>
      <c r="AX193" s="74" t="s">
        <v>169</v>
      </c>
      <c r="AY193" s="74"/>
      <c r="AZ193" s="74"/>
      <c r="BA193" s="74"/>
      <c r="BB193" s="8"/>
      <c r="BC193" s="8"/>
      <c r="BD193" s="8"/>
      <c r="BE193" s="8"/>
      <c r="BF193" s="12">
        <v>0.44</v>
      </c>
      <c r="BG193" s="13">
        <v>217.98196022139825</v>
      </c>
      <c r="BH193" s="96" t="str">
        <f>+VLOOKUP(G193,Liste!$A$7:$G$50,3,FALSE)</f>
        <v>Pin sylvestre</v>
      </c>
      <c r="BI193" s="96" t="str">
        <f>+VLOOKUP(H193,Liste!$B$7:$G$50,5,FALSE)</f>
        <v>GS Pineraies des plaines du Centre et du Nord Ouest</v>
      </c>
      <c r="BJ193" s="135">
        <f t="shared" si="46"/>
        <v>41</v>
      </c>
      <c r="BK193" s="135" t="str">
        <f t="shared" si="48"/>
        <v>Pin sylvestre_F2_Eclaircie tardive_GS Pineraies des plaines du Centre et du Nord Ouest_41_</v>
      </c>
      <c r="BL193" s="322"/>
      <c r="BM193" s="13">
        <v>57.257027356960748</v>
      </c>
      <c r="BN193" s="13">
        <v>275.238987578359</v>
      </c>
      <c r="BP193" s="13">
        <v>268.42</v>
      </c>
      <c r="BQ193" s="13">
        <v>11.782713536545</v>
      </c>
      <c r="BT193" s="298" t="str">
        <f>+VLOOKUP(G193,Liste!$A$7:$H$50,8,FALSE)</f>
        <v>Résineux</v>
      </c>
      <c r="BU193" s="298">
        <f t="shared" si="49"/>
        <v>0</v>
      </c>
      <c r="BV193" s="300">
        <f t="shared" si="50"/>
        <v>1</v>
      </c>
      <c r="BW193" s="321">
        <v>0</v>
      </c>
      <c r="BX193" s="298">
        <f t="shared" si="51"/>
        <v>0.43</v>
      </c>
      <c r="BY193">
        <f t="shared" si="52"/>
        <v>0</v>
      </c>
      <c r="BZ193" s="304">
        <f t="shared" si="53"/>
        <v>0</v>
      </c>
      <c r="CB193" s="299">
        <v>0.6</v>
      </c>
      <c r="CC193" s="299">
        <v>0.4</v>
      </c>
      <c r="CD193">
        <f t="shared" si="54"/>
        <v>0</v>
      </c>
      <c r="CE193">
        <f t="shared" si="55"/>
        <v>0</v>
      </c>
      <c r="CF193">
        <f t="shared" si="56"/>
        <v>0</v>
      </c>
      <c r="CG193">
        <f t="shared" si="57"/>
        <v>0</v>
      </c>
      <c r="CH193">
        <f t="shared" si="58"/>
        <v>0</v>
      </c>
      <c r="CI193">
        <f t="shared" si="59"/>
        <v>0</v>
      </c>
      <c r="CJ193">
        <f t="shared" si="60"/>
        <v>0</v>
      </c>
      <c r="CK193">
        <f t="shared" si="61"/>
        <v>0</v>
      </c>
      <c r="CL193">
        <f t="shared" si="62"/>
        <v>0</v>
      </c>
      <c r="CM193">
        <f t="shared" si="64"/>
        <v>0</v>
      </c>
      <c r="CN193">
        <f t="shared" si="63"/>
        <v>0</v>
      </c>
      <c r="CO193">
        <f t="shared" si="47"/>
        <v>0</v>
      </c>
    </row>
    <row r="194" spans="1:93" s="12" customFormat="1" ht="14.65" customHeight="1" x14ac:dyDescent="0.25">
      <c r="A194" s="4">
        <v>2021</v>
      </c>
      <c r="B194" s="4"/>
      <c r="C194" s="4" t="s">
        <v>64</v>
      </c>
      <c r="D194" s="4" t="s">
        <v>65</v>
      </c>
      <c r="E194" s="4"/>
      <c r="F194" s="4" t="s">
        <v>90</v>
      </c>
      <c r="G194" s="5" t="s">
        <v>15</v>
      </c>
      <c r="H194" s="5" t="s">
        <v>21</v>
      </c>
      <c r="I194" s="5" t="s">
        <v>147</v>
      </c>
      <c r="J194" s="5" t="s">
        <v>10</v>
      </c>
      <c r="K194" s="5">
        <v>23</v>
      </c>
      <c r="L194" s="5">
        <v>45</v>
      </c>
      <c r="M194" s="5">
        <v>2500</v>
      </c>
      <c r="N194" s="5" t="s">
        <v>170</v>
      </c>
      <c r="O194" s="6" t="s">
        <v>78</v>
      </c>
      <c r="P194" s="6" t="s">
        <v>80</v>
      </c>
      <c r="Q194" s="6">
        <v>2003</v>
      </c>
      <c r="R194" s="6" t="s">
        <v>50</v>
      </c>
      <c r="S194" s="6">
        <v>28</v>
      </c>
      <c r="T194" s="6">
        <v>13.5</v>
      </c>
      <c r="U194" s="6">
        <v>2157</v>
      </c>
      <c r="V194" s="6">
        <v>40.299999999999997</v>
      </c>
      <c r="W194" s="6">
        <v>0</v>
      </c>
      <c r="X194" s="6">
        <v>600</v>
      </c>
      <c r="Y194" s="6">
        <v>1043</v>
      </c>
      <c r="Z194" s="6">
        <v>457</v>
      </c>
      <c r="AA194" s="6">
        <v>57</v>
      </c>
      <c r="AB194" s="6">
        <v>0</v>
      </c>
      <c r="AC194" s="7">
        <v>42</v>
      </c>
      <c r="AD194" s="7" t="s">
        <v>52</v>
      </c>
      <c r="AE194" s="7">
        <v>19.010000000000002</v>
      </c>
      <c r="AF194" s="7">
        <v>950</v>
      </c>
      <c r="AG194" s="7">
        <v>30.39</v>
      </c>
      <c r="AH194" s="7">
        <v>20.18</v>
      </c>
      <c r="AI194" s="7">
        <v>26.98</v>
      </c>
      <c r="AJ194" s="9">
        <v>245.64288531131501</v>
      </c>
      <c r="AK194" s="9">
        <v>247.139624511026</v>
      </c>
      <c r="AL194" s="9">
        <v>297.07148986828997</v>
      </c>
      <c r="AM194" s="9">
        <v>55.167146496859999</v>
      </c>
      <c r="AN194" s="9">
        <v>1.3135034880204799</v>
      </c>
      <c r="AO194" s="9">
        <v>0.69145309194988902</v>
      </c>
      <c r="AP194" s="9">
        <v>493.57820596556002</v>
      </c>
      <c r="AQ194" s="9">
        <v>11.751862046799101</v>
      </c>
      <c r="AR194" s="9">
        <v>10.509299106890699</v>
      </c>
      <c r="AS194" s="73" t="s">
        <v>169</v>
      </c>
      <c r="AT194" s="8"/>
      <c r="AU194" s="10" t="s">
        <v>169</v>
      </c>
      <c r="AV194" s="10">
        <v>0</v>
      </c>
      <c r="AW194" s="8"/>
      <c r="AX194" s="74" t="s">
        <v>169</v>
      </c>
      <c r="AY194" s="74"/>
      <c r="AZ194" s="74"/>
      <c r="BA194" s="74"/>
      <c r="BB194" s="8"/>
      <c r="BC194" s="8"/>
      <c r="BD194" s="8"/>
      <c r="BE194" s="8"/>
      <c r="BF194" s="12">
        <v>0.44</v>
      </c>
      <c r="BG194" s="13">
        <v>227.65578506906618</v>
      </c>
      <c r="BH194" s="96" t="str">
        <f>+VLOOKUP(G194,Liste!$A$7:$G$50,3,FALSE)</f>
        <v>Pin sylvestre</v>
      </c>
      <c r="BI194" s="96" t="str">
        <f>+VLOOKUP(H194,Liste!$B$7:$G$50,5,FALSE)</f>
        <v>GS Pineraies des plaines du Centre et du Nord Ouest</v>
      </c>
      <c r="BJ194" s="135">
        <f t="shared" si="46"/>
        <v>42</v>
      </c>
      <c r="BK194" s="135" t="str">
        <f t="shared" si="48"/>
        <v>Pin sylvestre_F2_Eclaircie tardive_GS Pineraies des plaines du Centre et du Nord Ouest_42_</v>
      </c>
      <c r="BL194" s="322"/>
      <c r="BM194" s="13">
        <v>59.4965587058268</v>
      </c>
      <c r="BN194" s="13">
        <v>287.15234377489298</v>
      </c>
      <c r="BP194" s="13">
        <v>268.42</v>
      </c>
      <c r="BQ194" s="13">
        <v>9.8045225185156806</v>
      </c>
      <c r="BT194" s="298" t="str">
        <f>+VLOOKUP(G194,Liste!$A$7:$H$50,8,FALSE)</f>
        <v>Résineux</v>
      </c>
      <c r="BU194" s="298">
        <f t="shared" si="49"/>
        <v>0</v>
      </c>
      <c r="BV194" s="300">
        <f t="shared" si="50"/>
        <v>1</v>
      </c>
      <c r="BW194" s="321">
        <v>0</v>
      </c>
      <c r="BX194" s="298">
        <f t="shared" si="51"/>
        <v>0.43</v>
      </c>
      <c r="BY194">
        <f t="shared" si="52"/>
        <v>0</v>
      </c>
      <c r="BZ194" s="304">
        <f t="shared" si="53"/>
        <v>0</v>
      </c>
      <c r="CB194" s="299">
        <v>0.6</v>
      </c>
      <c r="CC194" s="299">
        <v>0.4</v>
      </c>
      <c r="CD194">
        <f t="shared" si="54"/>
        <v>0</v>
      </c>
      <c r="CE194">
        <f t="shared" si="55"/>
        <v>0</v>
      </c>
      <c r="CF194">
        <f t="shared" si="56"/>
        <v>0</v>
      </c>
      <c r="CG194">
        <f t="shared" si="57"/>
        <v>0</v>
      </c>
      <c r="CH194">
        <f t="shared" si="58"/>
        <v>0</v>
      </c>
      <c r="CI194">
        <f t="shared" si="59"/>
        <v>0</v>
      </c>
      <c r="CJ194">
        <f t="shared" si="60"/>
        <v>0</v>
      </c>
      <c r="CK194">
        <f t="shared" si="61"/>
        <v>0</v>
      </c>
      <c r="CL194">
        <f t="shared" si="62"/>
        <v>0</v>
      </c>
      <c r="CM194">
        <f t="shared" si="64"/>
        <v>0</v>
      </c>
      <c r="CN194">
        <f t="shared" si="63"/>
        <v>0</v>
      </c>
      <c r="CO194">
        <f t="shared" si="47"/>
        <v>0</v>
      </c>
    </row>
    <row r="195" spans="1:93" s="12" customFormat="1" ht="14.65" customHeight="1" x14ac:dyDescent="0.25">
      <c r="A195" s="4">
        <v>2021</v>
      </c>
      <c r="B195" s="4"/>
      <c r="C195" s="4" t="s">
        <v>64</v>
      </c>
      <c r="D195" s="4" t="s">
        <v>65</v>
      </c>
      <c r="E195" s="4"/>
      <c r="F195" s="4" t="s">
        <v>90</v>
      </c>
      <c r="G195" s="5" t="s">
        <v>15</v>
      </c>
      <c r="H195" s="5" t="s">
        <v>21</v>
      </c>
      <c r="I195" s="5" t="s">
        <v>147</v>
      </c>
      <c r="J195" s="5" t="s">
        <v>10</v>
      </c>
      <c r="K195" s="5">
        <v>23</v>
      </c>
      <c r="L195" s="5">
        <v>45</v>
      </c>
      <c r="M195" s="5">
        <v>2500</v>
      </c>
      <c r="N195" s="5" t="s">
        <v>170</v>
      </c>
      <c r="O195" s="6" t="s">
        <v>78</v>
      </c>
      <c r="P195" s="6" t="s">
        <v>80</v>
      </c>
      <c r="Q195" s="6">
        <v>2003</v>
      </c>
      <c r="R195" s="6" t="s">
        <v>50</v>
      </c>
      <c r="S195" s="6">
        <v>28</v>
      </c>
      <c r="T195" s="6">
        <v>13.5</v>
      </c>
      <c r="U195" s="6">
        <v>2157</v>
      </c>
      <c r="V195" s="6">
        <v>40.299999999999997</v>
      </c>
      <c r="W195" s="6">
        <v>0</v>
      </c>
      <c r="X195" s="6">
        <v>600</v>
      </c>
      <c r="Y195" s="6">
        <v>1043</v>
      </c>
      <c r="Z195" s="6">
        <v>457</v>
      </c>
      <c r="AA195" s="6">
        <v>57</v>
      </c>
      <c r="AB195" s="6">
        <v>0</v>
      </c>
      <c r="AC195" s="7">
        <v>42</v>
      </c>
      <c r="AD195" s="7" t="s">
        <v>53</v>
      </c>
      <c r="AE195" s="7">
        <v>19.010000000000002</v>
      </c>
      <c r="AF195" s="7">
        <v>650</v>
      </c>
      <c r="AG195" s="7">
        <v>22.08</v>
      </c>
      <c r="AH195" s="7">
        <v>20.79</v>
      </c>
      <c r="AI195" s="7">
        <v>25.93</v>
      </c>
      <c r="AJ195" s="9">
        <v>179.57932445978301</v>
      </c>
      <c r="AK195" s="9">
        <v>180.69438842576</v>
      </c>
      <c r="AL195" s="9">
        <v>216.639717107758</v>
      </c>
      <c r="AM195" s="9">
        <v>55.167146496859999</v>
      </c>
      <c r="AN195" s="9">
        <v>1.3135034880204799</v>
      </c>
      <c r="AO195" s="9">
        <v>0.69145309194988902</v>
      </c>
      <c r="AP195" s="9">
        <v>493.57820596556098</v>
      </c>
      <c r="AQ195" s="9">
        <v>11.751862046799101</v>
      </c>
      <c r="AR195" s="9">
        <v>10.509299106890699</v>
      </c>
      <c r="AS195" s="73">
        <v>300</v>
      </c>
      <c r="AT195" s="8">
        <v>8.3100000000000023</v>
      </c>
      <c r="AU195" s="10">
        <v>18.779972148319075</v>
      </c>
      <c r="AV195" s="10">
        <v>66.063560851532003</v>
      </c>
      <c r="AW195" s="8">
        <v>0.87</v>
      </c>
      <c r="AX195" s="74">
        <v>0.22021186950510668</v>
      </c>
      <c r="AY195" s="74"/>
      <c r="AZ195" s="74"/>
      <c r="BA195" s="74"/>
      <c r="BB195" s="8"/>
      <c r="BC195" s="8"/>
      <c r="BD195" s="8"/>
      <c r="BE195" s="8"/>
      <c r="BF195" s="12">
        <v>0.44</v>
      </c>
      <c r="BG195" s="13">
        <v>166.0182365435781</v>
      </c>
      <c r="BH195" s="96" t="str">
        <f>+VLOOKUP(G195,Liste!$A$7:$G$50,3,FALSE)</f>
        <v>Pin sylvestre</v>
      </c>
      <c r="BI195" s="96" t="str">
        <f>+VLOOKUP(H195,Liste!$B$7:$G$50,5,FALSE)</f>
        <v>GS Pineraies des plaines du Centre et du Nord Ouest</v>
      </c>
      <c r="BJ195" s="135">
        <f t="shared" ref="BJ195:BJ258" si="72">+AC195</f>
        <v>42</v>
      </c>
      <c r="BK195" s="135" t="str">
        <f t="shared" si="48"/>
        <v>Pin sylvestre_F2_Eclaircie tardive_GS Pineraies des plaines du Centre et du Nord Ouest_42_</v>
      </c>
      <c r="BL195" s="322"/>
      <c r="BM195" s="13">
        <v>45.012181073976905</v>
      </c>
      <c r="BN195" s="13">
        <v>211.030417617555</v>
      </c>
      <c r="BO195" s="13">
        <v>76.121926157337981</v>
      </c>
      <c r="BP195" s="13">
        <v>268.42</v>
      </c>
      <c r="BQ195" s="13">
        <v>9.8045225185156806</v>
      </c>
      <c r="BT195" s="298" t="str">
        <f>+VLOOKUP(G195,Liste!$A$7:$H$50,8,FALSE)</f>
        <v>Résineux</v>
      </c>
      <c r="BU195" s="298">
        <f t="shared" si="49"/>
        <v>0</v>
      </c>
      <c r="BV195" s="300">
        <f t="shared" si="50"/>
        <v>1</v>
      </c>
      <c r="BW195" s="321">
        <v>0</v>
      </c>
      <c r="BX195" s="298">
        <f t="shared" si="51"/>
        <v>0.43</v>
      </c>
      <c r="BY195">
        <f t="shared" si="52"/>
        <v>0</v>
      </c>
      <c r="BZ195" s="304">
        <f t="shared" si="53"/>
        <v>0</v>
      </c>
      <c r="CB195" s="299">
        <v>0.6</v>
      </c>
      <c r="CC195" s="299">
        <v>0.4</v>
      </c>
      <c r="CD195">
        <f t="shared" si="54"/>
        <v>0</v>
      </c>
      <c r="CE195">
        <f t="shared" si="55"/>
        <v>0</v>
      </c>
      <c r="CF195">
        <f t="shared" si="56"/>
        <v>0</v>
      </c>
      <c r="CG195">
        <f t="shared" si="57"/>
        <v>0</v>
      </c>
      <c r="CH195">
        <f t="shared" si="58"/>
        <v>0</v>
      </c>
      <c r="CI195">
        <f t="shared" si="59"/>
        <v>0</v>
      </c>
      <c r="CJ195">
        <f t="shared" si="60"/>
        <v>0</v>
      </c>
      <c r="CK195">
        <f t="shared" si="61"/>
        <v>0</v>
      </c>
      <c r="CL195">
        <f t="shared" si="62"/>
        <v>0</v>
      </c>
      <c r="CM195">
        <f t="shared" si="64"/>
        <v>0</v>
      </c>
      <c r="CN195">
        <f t="shared" si="63"/>
        <v>0</v>
      </c>
      <c r="CO195">
        <f t="shared" ref="CO195:CO258" si="73">+IF(BJ195=30,CN195/30,0)</f>
        <v>0</v>
      </c>
    </row>
    <row r="196" spans="1:93" s="12" customFormat="1" ht="14.65" customHeight="1" x14ac:dyDescent="0.25">
      <c r="A196" s="4">
        <v>2021</v>
      </c>
      <c r="B196" s="4"/>
      <c r="C196" s="4" t="s">
        <v>64</v>
      </c>
      <c r="D196" s="4" t="s">
        <v>65</v>
      </c>
      <c r="E196" s="4"/>
      <c r="F196" s="4" t="s">
        <v>90</v>
      </c>
      <c r="G196" s="5" t="s">
        <v>15</v>
      </c>
      <c r="H196" s="5" t="s">
        <v>21</v>
      </c>
      <c r="I196" s="5" t="s">
        <v>147</v>
      </c>
      <c r="J196" s="5" t="s">
        <v>10</v>
      </c>
      <c r="K196" s="5">
        <v>23</v>
      </c>
      <c r="L196" s="5">
        <v>45</v>
      </c>
      <c r="M196" s="5">
        <v>2500</v>
      </c>
      <c r="N196" s="5" t="s">
        <v>170</v>
      </c>
      <c r="O196" s="6" t="s">
        <v>78</v>
      </c>
      <c r="P196" s="6" t="s">
        <v>80</v>
      </c>
      <c r="Q196" s="6">
        <v>2003</v>
      </c>
      <c r="R196" s="6" t="s">
        <v>50</v>
      </c>
      <c r="S196" s="6">
        <v>28</v>
      </c>
      <c r="T196" s="6">
        <v>13.5</v>
      </c>
      <c r="U196" s="6">
        <v>2157</v>
      </c>
      <c r="V196" s="6">
        <v>40.299999999999997</v>
      </c>
      <c r="W196" s="6">
        <v>0</v>
      </c>
      <c r="X196" s="6">
        <v>600</v>
      </c>
      <c r="Y196" s="6">
        <v>1043</v>
      </c>
      <c r="Z196" s="6">
        <v>457</v>
      </c>
      <c r="AA196" s="6">
        <v>57</v>
      </c>
      <c r="AB196" s="6">
        <v>0</v>
      </c>
      <c r="AC196" s="7">
        <v>43</v>
      </c>
      <c r="AD196" s="7" t="s">
        <v>52</v>
      </c>
      <c r="AE196" s="7">
        <v>19.36</v>
      </c>
      <c r="AF196" s="7">
        <v>650</v>
      </c>
      <c r="AG196" s="7">
        <v>22.77</v>
      </c>
      <c r="AH196" s="7">
        <v>21.12</v>
      </c>
      <c r="AI196" s="7">
        <v>26.36</v>
      </c>
      <c r="AJ196" s="9">
        <v>189.13265767808801</v>
      </c>
      <c r="AK196" s="9">
        <v>190.29575892874399</v>
      </c>
      <c r="AL196" s="9">
        <v>227.14901621464799</v>
      </c>
      <c r="AM196" s="9">
        <v>55.858599588809803</v>
      </c>
      <c r="AN196" s="9">
        <v>1.2990371997397601</v>
      </c>
      <c r="AO196" s="9">
        <v>0.68247150631874798</v>
      </c>
      <c r="AP196" s="9">
        <v>504.08750507245099</v>
      </c>
      <c r="AQ196" s="9">
        <v>11.7229652342431</v>
      </c>
      <c r="AR196" s="9">
        <v>10.039877988095</v>
      </c>
      <c r="AS196" s="73" t="s">
        <v>169</v>
      </c>
      <c r="AT196" s="8"/>
      <c r="AU196" s="10" t="s">
        <v>169</v>
      </c>
      <c r="AV196" s="10">
        <v>0</v>
      </c>
      <c r="AW196" s="8"/>
      <c r="AX196" s="74" t="s">
        <v>169</v>
      </c>
      <c r="AY196" s="74"/>
      <c r="AZ196" s="74"/>
      <c r="BA196" s="74"/>
      <c r="BB196" s="8"/>
      <c r="BC196" s="8"/>
      <c r="BD196" s="8"/>
      <c r="BE196" s="8"/>
      <c r="BF196" s="12">
        <v>0.44</v>
      </c>
      <c r="BG196" s="13">
        <v>174.07186275915885</v>
      </c>
      <c r="BH196" s="96" t="str">
        <f>+VLOOKUP(G196,Liste!$A$7:$G$50,3,FALSE)</f>
        <v>Pin sylvestre</v>
      </c>
      <c r="BI196" s="96" t="str">
        <f>+VLOOKUP(H196,Liste!$B$7:$G$50,5,FALSE)</f>
        <v>GS Pineraies des plaines du Centre et du Nord Ouest</v>
      </c>
      <c r="BJ196" s="135">
        <f t="shared" si="72"/>
        <v>43</v>
      </c>
      <c r="BK196" s="135" t="str">
        <f t="shared" ref="BK196:BK259" si="74">+_xlfn.CONCAT(BH196,"_",J196,"_",I196,"_",BI196,"_",BJ196,"_")</f>
        <v>Pin sylvestre_F2_Eclaircie tardive_GS Pineraies des plaines du Centre et du Nord Ouest_43_</v>
      </c>
      <c r="BL196" s="322"/>
      <c r="BM196" s="13">
        <v>46.936225957402144</v>
      </c>
      <c r="BN196" s="13">
        <v>221.00808871656099</v>
      </c>
      <c r="BP196" s="13">
        <v>268.42</v>
      </c>
      <c r="BQ196" s="13">
        <v>9.3626164532781804</v>
      </c>
      <c r="BT196" s="298" t="str">
        <f>+VLOOKUP(G196,Liste!$A$7:$H$50,8,FALSE)</f>
        <v>Résineux</v>
      </c>
      <c r="BU196" s="298">
        <f t="shared" ref="BU196:BU259" si="75">IF(BT196="Résineux",0%,100%)</f>
        <v>0</v>
      </c>
      <c r="BV196" s="300">
        <f t="shared" ref="BV196:BV259" si="76">+IF(BT196="Résineux",100%,0%)</f>
        <v>1</v>
      </c>
      <c r="BW196" s="321">
        <v>0</v>
      </c>
      <c r="BX196" s="298">
        <f t="shared" ref="BX196:BX259" si="77">+IF(BV196&lt;&gt;0,0.43,0.25)</f>
        <v>0.43</v>
      </c>
      <c r="BY196">
        <f t="shared" ref="BY196:BY259" si="78">+IF(BJ196&lt;=30,AV196*BX196,0)</f>
        <v>0</v>
      </c>
      <c r="BZ196" s="304">
        <f t="shared" ref="BZ196:BZ259" si="79">+IF(BJ196&gt;=31,0,BY196+BZ195)</f>
        <v>0</v>
      </c>
      <c r="CB196" s="299">
        <v>0.6</v>
      </c>
      <c r="CC196" s="299">
        <v>0.4</v>
      </c>
      <c r="CD196">
        <f t="shared" ref="CD196:CD259" si="80">+IF(BJ196&lt;=31,AV196*CA196*0.5,0)</f>
        <v>0</v>
      </c>
      <c r="CE196">
        <f t="shared" ref="CE196:CE259" si="81">IF(BJ196&lt;=31,AV196*CB196,0)</f>
        <v>0</v>
      </c>
      <c r="CF196">
        <f t="shared" ref="CF196:CF259" si="82">IF(BJ196&lt;=31,AV196*CC196,0)</f>
        <v>0</v>
      </c>
      <c r="CG196">
        <f t="shared" ref="CG196:CG259" si="83">CD196*44/12*0.475*BF196</f>
        <v>0</v>
      </c>
      <c r="CH196">
        <f t="shared" ref="CH196:CH259" si="84">CE196*44/12*0.475*BF196</f>
        <v>0</v>
      </c>
      <c r="CI196">
        <f t="shared" ref="CI196:CI259" si="85">CF196*44/12*0.475*BF196</f>
        <v>0</v>
      </c>
      <c r="CJ196">
        <f t="shared" ref="CJ196:CJ259" si="86">+IF(BJ196&lt;=31,CJ195*EXP(-$CJ$1)+CG195*(1-EXP(-$CJ$1))/$CJ$1,0)</f>
        <v>0</v>
      </c>
      <c r="CK196">
        <f t="shared" ref="CK196:CK259" si="87">+IF(BJ196&lt;=31,CK195*EXP(-$CK$1)+CH195*(1-EXP(-$CK$1))/$CK$1,0)</f>
        <v>0</v>
      </c>
      <c r="CL196">
        <f t="shared" ref="CL196:CL259" si="88">+IF(BJ196&lt;=31,CL195*EXP(-$CL$1)+CI195*(1-EXP(-$CL$1))/$CL$1,0)</f>
        <v>0</v>
      </c>
      <c r="CM196">
        <f t="shared" si="64"/>
        <v>0</v>
      </c>
      <c r="CN196">
        <f t="shared" ref="CN196:CN259" si="89">+IF(BJ196&lt;=31,CM196+CN195,0)</f>
        <v>0</v>
      </c>
      <c r="CO196">
        <f t="shared" si="73"/>
        <v>0</v>
      </c>
    </row>
    <row r="197" spans="1:93" s="12" customFormat="1" ht="14.65" customHeight="1" x14ac:dyDescent="0.25">
      <c r="A197" s="4">
        <v>2021</v>
      </c>
      <c r="B197" s="4"/>
      <c r="C197" s="4" t="s">
        <v>64</v>
      </c>
      <c r="D197" s="4" t="s">
        <v>65</v>
      </c>
      <c r="E197" s="4"/>
      <c r="F197" s="4" t="s">
        <v>90</v>
      </c>
      <c r="G197" s="5" t="s">
        <v>15</v>
      </c>
      <c r="H197" s="5" t="s">
        <v>21</v>
      </c>
      <c r="I197" s="5" t="s">
        <v>147</v>
      </c>
      <c r="J197" s="5" t="s">
        <v>10</v>
      </c>
      <c r="K197" s="5">
        <v>23</v>
      </c>
      <c r="L197" s="5">
        <v>45</v>
      </c>
      <c r="M197" s="5">
        <v>2500</v>
      </c>
      <c r="N197" s="5" t="s">
        <v>170</v>
      </c>
      <c r="O197" s="6" t="s">
        <v>78</v>
      </c>
      <c r="P197" s="6" t="s">
        <v>80</v>
      </c>
      <c r="Q197" s="6">
        <v>2003</v>
      </c>
      <c r="R197" s="6" t="s">
        <v>50</v>
      </c>
      <c r="S197" s="6">
        <v>28</v>
      </c>
      <c r="T197" s="6">
        <v>13.5</v>
      </c>
      <c r="U197" s="6">
        <v>2157</v>
      </c>
      <c r="V197" s="6">
        <v>40.299999999999997</v>
      </c>
      <c r="W197" s="6">
        <v>0</v>
      </c>
      <c r="X197" s="6">
        <v>600</v>
      </c>
      <c r="Y197" s="6">
        <v>1043</v>
      </c>
      <c r="Z197" s="6">
        <v>457</v>
      </c>
      <c r="AA197" s="6">
        <v>57</v>
      </c>
      <c r="AB197" s="6">
        <v>0</v>
      </c>
      <c r="AC197" s="7">
        <v>44</v>
      </c>
      <c r="AD197" s="7" t="s">
        <v>52</v>
      </c>
      <c r="AE197" s="7">
        <v>19.7</v>
      </c>
      <c r="AF197" s="7">
        <v>650</v>
      </c>
      <c r="AG197" s="7">
        <v>23.45</v>
      </c>
      <c r="AH197" s="7">
        <v>21.43</v>
      </c>
      <c r="AI197" s="7">
        <v>26.78</v>
      </c>
      <c r="AJ197" s="9">
        <v>198.16182293791999</v>
      </c>
      <c r="AK197" s="9">
        <v>199.381837165268</v>
      </c>
      <c r="AL197" s="9">
        <v>237.188894202743</v>
      </c>
      <c r="AM197" s="9">
        <v>56.541071095128601</v>
      </c>
      <c r="AN197" s="9">
        <v>1.2850243430710999</v>
      </c>
      <c r="AO197" s="9">
        <v>0.672252093912171</v>
      </c>
      <c r="AP197" s="9">
        <v>514.12738306054598</v>
      </c>
      <c r="AQ197" s="9">
        <v>11.684713251376101</v>
      </c>
      <c r="AR197" s="9">
        <v>10.0371120835659</v>
      </c>
      <c r="AS197" s="73" t="s">
        <v>169</v>
      </c>
      <c r="AT197" s="8"/>
      <c r="AU197" s="10" t="s">
        <v>169</v>
      </c>
      <c r="AV197" s="10">
        <v>0</v>
      </c>
      <c r="AW197" s="8"/>
      <c r="AX197" s="74" t="s">
        <v>169</v>
      </c>
      <c r="AY197" s="74"/>
      <c r="AZ197" s="74"/>
      <c r="BA197" s="74"/>
      <c r="BB197" s="8"/>
      <c r="BC197" s="8"/>
      <c r="BD197" s="8"/>
      <c r="BE197" s="8"/>
      <c r="BF197" s="12">
        <v>0.44</v>
      </c>
      <c r="BG197" s="13">
        <v>181.7657559240354</v>
      </c>
      <c r="BH197" s="96" t="str">
        <f>+VLOOKUP(G197,Liste!$A$7:$G$50,3,FALSE)</f>
        <v>Pin sylvestre</v>
      </c>
      <c r="BI197" s="96" t="str">
        <f>+VLOOKUP(H197,Liste!$B$7:$G$50,5,FALSE)</f>
        <v>GS Pineraies des plaines du Centre et du Nord Ouest</v>
      </c>
      <c r="BJ197" s="135">
        <f t="shared" si="72"/>
        <v>44</v>
      </c>
      <c r="BK197" s="135" t="str">
        <f t="shared" si="74"/>
        <v>Pin sylvestre_F2_Eclaircie tardive_GS Pineraies des plaines du Centre et du Nord Ouest_44_</v>
      </c>
      <c r="BL197" s="322"/>
      <c r="BM197" s="13">
        <v>48.764666436464609</v>
      </c>
      <c r="BN197" s="13">
        <v>230.53042236050001</v>
      </c>
      <c r="BP197" s="13">
        <v>268.42</v>
      </c>
      <c r="BQ197" s="13">
        <v>9.3562496338138299</v>
      </c>
      <c r="BT197" s="298" t="str">
        <f>+VLOOKUP(G197,Liste!$A$7:$H$50,8,FALSE)</f>
        <v>Résineux</v>
      </c>
      <c r="BU197" s="298">
        <f t="shared" si="75"/>
        <v>0</v>
      </c>
      <c r="BV197" s="300">
        <f t="shared" si="76"/>
        <v>1</v>
      </c>
      <c r="BW197" s="321">
        <v>0</v>
      </c>
      <c r="BX197" s="298">
        <f t="shared" si="77"/>
        <v>0.43</v>
      </c>
      <c r="BY197">
        <f t="shared" si="78"/>
        <v>0</v>
      </c>
      <c r="BZ197" s="304">
        <f t="shared" si="79"/>
        <v>0</v>
      </c>
      <c r="CB197" s="299">
        <v>0.6</v>
      </c>
      <c r="CC197" s="299">
        <v>0.4</v>
      </c>
      <c r="CD197">
        <f t="shared" si="80"/>
        <v>0</v>
      </c>
      <c r="CE197">
        <f t="shared" si="81"/>
        <v>0</v>
      </c>
      <c r="CF197">
        <f t="shared" si="82"/>
        <v>0</v>
      </c>
      <c r="CG197">
        <f t="shared" si="83"/>
        <v>0</v>
      </c>
      <c r="CH197">
        <f t="shared" si="84"/>
        <v>0</v>
      </c>
      <c r="CI197">
        <f t="shared" si="85"/>
        <v>0</v>
      </c>
      <c r="CJ197">
        <f t="shared" si="86"/>
        <v>0</v>
      </c>
      <c r="CK197">
        <f t="shared" si="87"/>
        <v>0</v>
      </c>
      <c r="CL197">
        <f t="shared" si="88"/>
        <v>0</v>
      </c>
      <c r="CM197">
        <f t="shared" ref="CM197:CM260" si="90">+CJ197+CK197+CL197</f>
        <v>0</v>
      </c>
      <c r="CN197">
        <f t="shared" si="89"/>
        <v>0</v>
      </c>
      <c r="CO197">
        <f t="shared" si="73"/>
        <v>0</v>
      </c>
    </row>
    <row r="198" spans="1:93" s="12" customFormat="1" ht="14.65" customHeight="1" x14ac:dyDescent="0.25">
      <c r="A198" s="4">
        <v>2021</v>
      </c>
      <c r="B198" s="4"/>
      <c r="C198" s="4" t="s">
        <v>64</v>
      </c>
      <c r="D198" s="4" t="s">
        <v>65</v>
      </c>
      <c r="E198" s="4"/>
      <c r="F198" s="4" t="s">
        <v>90</v>
      </c>
      <c r="G198" s="5" t="s">
        <v>15</v>
      </c>
      <c r="H198" s="5" t="s">
        <v>21</v>
      </c>
      <c r="I198" s="5" t="s">
        <v>147</v>
      </c>
      <c r="J198" s="5" t="s">
        <v>10</v>
      </c>
      <c r="K198" s="5">
        <v>23</v>
      </c>
      <c r="L198" s="5">
        <v>45</v>
      </c>
      <c r="M198" s="5">
        <v>2500</v>
      </c>
      <c r="N198" s="5" t="s">
        <v>170</v>
      </c>
      <c r="O198" s="6" t="s">
        <v>78</v>
      </c>
      <c r="P198" s="6" t="s">
        <v>80</v>
      </c>
      <c r="Q198" s="6">
        <v>2003</v>
      </c>
      <c r="R198" s="6" t="s">
        <v>50</v>
      </c>
      <c r="S198" s="6">
        <v>28</v>
      </c>
      <c r="T198" s="6">
        <v>13.5</v>
      </c>
      <c r="U198" s="6">
        <v>2157</v>
      </c>
      <c r="V198" s="6">
        <v>40.299999999999997</v>
      </c>
      <c r="W198" s="6">
        <v>0</v>
      </c>
      <c r="X198" s="6">
        <v>600</v>
      </c>
      <c r="Y198" s="6">
        <v>1043</v>
      </c>
      <c r="Z198" s="6">
        <v>457</v>
      </c>
      <c r="AA198" s="6">
        <v>57</v>
      </c>
      <c r="AB198" s="6">
        <v>0</v>
      </c>
      <c r="AC198" s="7">
        <v>45</v>
      </c>
      <c r="AD198" s="7" t="s">
        <v>52</v>
      </c>
      <c r="AE198" s="7">
        <v>20.03</v>
      </c>
      <c r="AF198" s="7">
        <v>650</v>
      </c>
      <c r="AG198" s="7">
        <v>24.12</v>
      </c>
      <c r="AH198" s="7">
        <v>21.74</v>
      </c>
      <c r="AI198" s="7">
        <v>27.2</v>
      </c>
      <c r="AJ198" s="9">
        <v>207.204408113526</v>
      </c>
      <c r="AK198" s="9">
        <v>208.48114842341499</v>
      </c>
      <c r="AL198" s="9">
        <v>247.226006286309</v>
      </c>
      <c r="AM198" s="9">
        <v>57.2133231890408</v>
      </c>
      <c r="AN198" s="9">
        <v>1.2714071819786801</v>
      </c>
      <c r="AO198" s="9">
        <v>0.66270506087329295</v>
      </c>
      <c r="AP198" s="9">
        <v>524.16449514411204</v>
      </c>
      <c r="AQ198" s="9">
        <v>11.6480998920914</v>
      </c>
      <c r="AR198" s="9">
        <v>10.048537503467699</v>
      </c>
      <c r="AS198" s="73" t="s">
        <v>169</v>
      </c>
      <c r="AT198" s="8"/>
      <c r="AU198" s="10" t="s">
        <v>169</v>
      </c>
      <c r="AV198" s="10">
        <v>0</v>
      </c>
      <c r="AW198" s="8"/>
      <c r="AX198" s="74" t="s">
        <v>169</v>
      </c>
      <c r="AY198" s="74"/>
      <c r="AZ198" s="74"/>
      <c r="BA198" s="74"/>
      <c r="BB198" s="8"/>
      <c r="BC198" s="8"/>
      <c r="BD198" s="8"/>
      <c r="BE198" s="8"/>
      <c r="BF198" s="12">
        <v>0.44</v>
      </c>
      <c r="BG198" s="13">
        <v>189.45752948407485</v>
      </c>
      <c r="BH198" s="96" t="str">
        <f>+VLOOKUP(G198,Liste!$A$7:$G$50,3,FALSE)</f>
        <v>Pin sylvestre</v>
      </c>
      <c r="BI198" s="96" t="str">
        <f>+VLOOKUP(H198,Liste!$B$7:$G$50,5,FALSE)</f>
        <v>GS Pineraies des plaines du Centre et du Nord Ouest</v>
      </c>
      <c r="BJ198" s="135">
        <f t="shared" si="72"/>
        <v>45</v>
      </c>
      <c r="BK198" s="135" t="str">
        <f t="shared" si="74"/>
        <v>Pin sylvestre_F2_Eclaircie tardive_GS Pineraies des plaines du Centre et du Nord Ouest_45_</v>
      </c>
      <c r="BL198" s="322"/>
      <c r="BM198" s="13">
        <v>50.583617373896146</v>
      </c>
      <c r="BN198" s="13">
        <v>240.041146857971</v>
      </c>
      <c r="BP198" s="13">
        <v>268.42</v>
      </c>
      <c r="BQ198" s="13">
        <v>9.3631876263680702</v>
      </c>
      <c r="BT198" s="298" t="str">
        <f>+VLOOKUP(G198,Liste!$A$7:$H$50,8,FALSE)</f>
        <v>Résineux</v>
      </c>
      <c r="BU198" s="298">
        <f t="shared" si="75"/>
        <v>0</v>
      </c>
      <c r="BV198" s="300">
        <f t="shared" si="76"/>
        <v>1</v>
      </c>
      <c r="BW198" s="321">
        <v>0</v>
      </c>
      <c r="BX198" s="298">
        <f t="shared" si="77"/>
        <v>0.43</v>
      </c>
      <c r="BY198">
        <f t="shared" si="78"/>
        <v>0</v>
      </c>
      <c r="BZ198" s="304">
        <f t="shared" si="79"/>
        <v>0</v>
      </c>
      <c r="CB198" s="299">
        <v>0.6</v>
      </c>
      <c r="CC198" s="299">
        <v>0.4</v>
      </c>
      <c r="CD198">
        <f t="shared" si="80"/>
        <v>0</v>
      </c>
      <c r="CE198">
        <f t="shared" si="81"/>
        <v>0</v>
      </c>
      <c r="CF198">
        <f t="shared" si="82"/>
        <v>0</v>
      </c>
      <c r="CG198">
        <f t="shared" si="83"/>
        <v>0</v>
      </c>
      <c r="CH198">
        <f t="shared" si="84"/>
        <v>0</v>
      </c>
      <c r="CI198">
        <f t="shared" si="85"/>
        <v>0</v>
      </c>
      <c r="CJ198">
        <f t="shared" si="86"/>
        <v>0</v>
      </c>
      <c r="CK198">
        <f t="shared" si="87"/>
        <v>0</v>
      </c>
      <c r="CL198">
        <f t="shared" si="88"/>
        <v>0</v>
      </c>
      <c r="CM198">
        <f t="shared" si="90"/>
        <v>0</v>
      </c>
      <c r="CN198">
        <f t="shared" si="89"/>
        <v>0</v>
      </c>
      <c r="CO198">
        <f t="shared" si="73"/>
        <v>0</v>
      </c>
    </row>
    <row r="199" spans="1:93" s="12" customFormat="1" ht="14.65" customHeight="1" x14ac:dyDescent="0.25">
      <c r="A199" s="4">
        <v>2021</v>
      </c>
      <c r="B199" s="4"/>
      <c r="C199" s="4" t="s">
        <v>64</v>
      </c>
      <c r="D199" s="4" t="s">
        <v>65</v>
      </c>
      <c r="E199" s="4"/>
      <c r="F199" s="4" t="s">
        <v>90</v>
      </c>
      <c r="G199" s="5" t="s">
        <v>15</v>
      </c>
      <c r="H199" s="5" t="s">
        <v>21</v>
      </c>
      <c r="I199" s="5" t="s">
        <v>147</v>
      </c>
      <c r="J199" s="5" t="s">
        <v>10</v>
      </c>
      <c r="K199" s="5">
        <v>23</v>
      </c>
      <c r="L199" s="5">
        <v>45</v>
      </c>
      <c r="M199" s="5">
        <v>2500</v>
      </c>
      <c r="N199" s="5" t="s">
        <v>170</v>
      </c>
      <c r="O199" s="6" t="s">
        <v>78</v>
      </c>
      <c r="P199" s="6" t="s">
        <v>80</v>
      </c>
      <c r="Q199" s="6">
        <v>2003</v>
      </c>
      <c r="R199" s="6" t="s">
        <v>50</v>
      </c>
      <c r="S199" s="6">
        <v>28</v>
      </c>
      <c r="T199" s="6">
        <v>13.5</v>
      </c>
      <c r="U199" s="6">
        <v>2157</v>
      </c>
      <c r="V199" s="6">
        <v>40.299999999999997</v>
      </c>
      <c r="W199" s="6">
        <v>0</v>
      </c>
      <c r="X199" s="6">
        <v>600</v>
      </c>
      <c r="Y199" s="6">
        <v>1043</v>
      </c>
      <c r="Z199" s="6">
        <v>457</v>
      </c>
      <c r="AA199" s="6">
        <v>57</v>
      </c>
      <c r="AB199" s="6">
        <v>0</v>
      </c>
      <c r="AC199" s="7">
        <v>46</v>
      </c>
      <c r="AD199" s="7" t="s">
        <v>52</v>
      </c>
      <c r="AE199" s="7">
        <v>20.36</v>
      </c>
      <c r="AF199" s="7">
        <v>650</v>
      </c>
      <c r="AG199" s="7">
        <v>24.79</v>
      </c>
      <c r="AH199" s="7">
        <v>22.03</v>
      </c>
      <c r="AI199" s="7">
        <v>27.6</v>
      </c>
      <c r="AJ199" s="9">
        <v>216.276384994436</v>
      </c>
      <c r="AK199" s="9">
        <v>217.60942723839401</v>
      </c>
      <c r="AL199" s="9">
        <v>257.274543789777</v>
      </c>
      <c r="AM199" s="9">
        <v>57.8760282499141</v>
      </c>
      <c r="AN199" s="9">
        <v>1.2581745271720399</v>
      </c>
      <c r="AO199" s="9">
        <v>0.65401558052708697</v>
      </c>
      <c r="AP199" s="9">
        <v>534.21303264758001</v>
      </c>
      <c r="AQ199" s="9">
        <v>11.613326796686501</v>
      </c>
      <c r="AR199" s="9">
        <v>10.112265300598899</v>
      </c>
      <c r="AS199" s="73" t="s">
        <v>169</v>
      </c>
      <c r="AT199" s="8"/>
      <c r="AU199" s="10" t="s">
        <v>169</v>
      </c>
      <c r="AV199" s="10">
        <v>0</v>
      </c>
      <c r="AW199" s="8"/>
      <c r="AX199" s="74" t="s">
        <v>169</v>
      </c>
      <c r="AY199" s="74"/>
      <c r="AZ199" s="74"/>
      <c r="BA199" s="74"/>
      <c r="BB199" s="8"/>
      <c r="BC199" s="8"/>
      <c r="BD199" s="8"/>
      <c r="BE199" s="8"/>
      <c r="BF199" s="12">
        <v>0.44</v>
      </c>
      <c r="BG199" s="13">
        <v>197.15805872423246</v>
      </c>
      <c r="BH199" s="96" t="str">
        <f>+VLOOKUP(G199,Liste!$A$7:$G$50,3,FALSE)</f>
        <v>Pin sylvestre</v>
      </c>
      <c r="BI199" s="96" t="str">
        <f>+VLOOKUP(H199,Liste!$B$7:$G$50,5,FALSE)</f>
        <v>GS Pineraies des plaines du Centre et du Nord Ouest</v>
      </c>
      <c r="BJ199" s="135">
        <f t="shared" si="72"/>
        <v>46</v>
      </c>
      <c r="BK199" s="135" t="str">
        <f t="shared" si="74"/>
        <v>Pin sylvestre_F2_Eclaircie tardive_GS Pineraies des plaines du Centre et du Nord Ouest_46_</v>
      </c>
      <c r="BL199" s="322"/>
      <c r="BM199" s="13">
        <v>52.396046292108537</v>
      </c>
      <c r="BN199" s="13">
        <v>249.554105016341</v>
      </c>
      <c r="BP199" s="13">
        <v>268.42</v>
      </c>
      <c r="BQ199" s="13">
        <v>9.4188978249045494</v>
      </c>
      <c r="BT199" s="298" t="str">
        <f>+VLOOKUP(G199,Liste!$A$7:$H$50,8,FALSE)</f>
        <v>Résineux</v>
      </c>
      <c r="BU199" s="298">
        <f t="shared" si="75"/>
        <v>0</v>
      </c>
      <c r="BV199" s="300">
        <f t="shared" si="76"/>
        <v>1</v>
      </c>
      <c r="BW199" s="321">
        <v>0</v>
      </c>
      <c r="BX199" s="298">
        <f t="shared" si="77"/>
        <v>0.43</v>
      </c>
      <c r="BY199">
        <f t="shared" si="78"/>
        <v>0</v>
      </c>
      <c r="BZ199" s="304">
        <f t="shared" si="79"/>
        <v>0</v>
      </c>
      <c r="CB199" s="299">
        <v>0.6</v>
      </c>
      <c r="CC199" s="299">
        <v>0.4</v>
      </c>
      <c r="CD199">
        <f t="shared" si="80"/>
        <v>0</v>
      </c>
      <c r="CE199">
        <f t="shared" si="81"/>
        <v>0</v>
      </c>
      <c r="CF199">
        <f t="shared" si="82"/>
        <v>0</v>
      </c>
      <c r="CG199">
        <f t="shared" si="83"/>
        <v>0</v>
      </c>
      <c r="CH199">
        <f t="shared" si="84"/>
        <v>0</v>
      </c>
      <c r="CI199">
        <f t="shared" si="85"/>
        <v>0</v>
      </c>
      <c r="CJ199">
        <f t="shared" si="86"/>
        <v>0</v>
      </c>
      <c r="CK199">
        <f t="shared" si="87"/>
        <v>0</v>
      </c>
      <c r="CL199">
        <f t="shared" si="88"/>
        <v>0</v>
      </c>
      <c r="CM199">
        <f t="shared" si="90"/>
        <v>0</v>
      </c>
      <c r="CN199">
        <f t="shared" si="89"/>
        <v>0</v>
      </c>
      <c r="CO199">
        <f t="shared" si="73"/>
        <v>0</v>
      </c>
    </row>
    <row r="200" spans="1:93" s="12" customFormat="1" ht="14.65" customHeight="1" x14ac:dyDescent="0.25">
      <c r="A200" s="4">
        <v>2021</v>
      </c>
      <c r="B200" s="4"/>
      <c r="C200" s="4" t="s">
        <v>64</v>
      </c>
      <c r="D200" s="4" t="s">
        <v>65</v>
      </c>
      <c r="E200" s="4"/>
      <c r="F200" s="4" t="s">
        <v>90</v>
      </c>
      <c r="G200" s="5" t="s">
        <v>15</v>
      </c>
      <c r="H200" s="5" t="s">
        <v>21</v>
      </c>
      <c r="I200" s="5" t="s">
        <v>147</v>
      </c>
      <c r="J200" s="5" t="s">
        <v>10</v>
      </c>
      <c r="K200" s="5">
        <v>23</v>
      </c>
      <c r="L200" s="5">
        <v>45</v>
      </c>
      <c r="M200" s="5">
        <v>2500</v>
      </c>
      <c r="N200" s="5" t="s">
        <v>170</v>
      </c>
      <c r="O200" s="6" t="s">
        <v>78</v>
      </c>
      <c r="P200" s="6" t="s">
        <v>80</v>
      </c>
      <c r="Q200" s="6">
        <v>2003</v>
      </c>
      <c r="R200" s="6" t="s">
        <v>50</v>
      </c>
      <c r="S200" s="6">
        <v>28</v>
      </c>
      <c r="T200" s="6">
        <v>13.5</v>
      </c>
      <c r="U200" s="6">
        <v>2157</v>
      </c>
      <c r="V200" s="6">
        <v>40.299999999999997</v>
      </c>
      <c r="W200" s="6">
        <v>0</v>
      </c>
      <c r="X200" s="6">
        <v>600</v>
      </c>
      <c r="Y200" s="6">
        <v>1043</v>
      </c>
      <c r="Z200" s="6">
        <v>457</v>
      </c>
      <c r="AA200" s="6">
        <v>57</v>
      </c>
      <c r="AB200" s="6">
        <v>0</v>
      </c>
      <c r="AC200" s="7">
        <v>47</v>
      </c>
      <c r="AD200" s="7" t="s">
        <v>52</v>
      </c>
      <c r="AE200" s="7">
        <v>20.68</v>
      </c>
      <c r="AF200" s="7">
        <v>650</v>
      </c>
      <c r="AG200" s="7">
        <v>25.44</v>
      </c>
      <c r="AH200" s="7">
        <v>22.32</v>
      </c>
      <c r="AI200" s="7">
        <v>28</v>
      </c>
      <c r="AJ200" s="9">
        <v>225.43146028274501</v>
      </c>
      <c r="AK200" s="9">
        <v>226.81990964676601</v>
      </c>
      <c r="AL200" s="9">
        <v>267.386809090376</v>
      </c>
      <c r="AM200" s="9">
        <v>58.530043830441102</v>
      </c>
      <c r="AN200" s="9">
        <v>1.24532008149875</v>
      </c>
      <c r="AO200" s="9">
        <v>0.64522332297719498</v>
      </c>
      <c r="AP200" s="9">
        <v>544.32529794817901</v>
      </c>
      <c r="AQ200" s="9">
        <v>11.5813893180464</v>
      </c>
      <c r="AR200" s="9">
        <v>10.106118580008999</v>
      </c>
      <c r="AS200" s="73" t="s">
        <v>169</v>
      </c>
      <c r="AT200" s="8"/>
      <c r="AU200" s="10" t="s">
        <v>169</v>
      </c>
      <c r="AV200" s="10">
        <v>0</v>
      </c>
      <c r="AW200" s="8"/>
      <c r="AX200" s="74" t="s">
        <v>169</v>
      </c>
      <c r="AY200" s="74"/>
      <c r="AZ200" s="74"/>
      <c r="BA200" s="74"/>
      <c r="BB200" s="8"/>
      <c r="BC200" s="8"/>
      <c r="BD200" s="8"/>
      <c r="BE200" s="8"/>
      <c r="BF200" s="12">
        <v>0.44</v>
      </c>
      <c r="BG200" s="13">
        <v>204.90742469959116</v>
      </c>
      <c r="BH200" s="96" t="str">
        <f>+VLOOKUP(G200,Liste!$A$7:$G$50,3,FALSE)</f>
        <v>Pin sylvestre</v>
      </c>
      <c r="BI200" s="96" t="str">
        <f>+VLOOKUP(H200,Liste!$B$7:$G$50,5,FALSE)</f>
        <v>GS Pineraies des plaines du Centre et du Nord Ouest</v>
      </c>
      <c r="BJ200" s="135">
        <f t="shared" si="72"/>
        <v>47</v>
      </c>
      <c r="BK200" s="135" t="str">
        <f t="shared" si="74"/>
        <v>Pin sylvestre_F2_Eclaircie tardive_GS Pineraies des plaines du Centre et du Nord Ouest_47_</v>
      </c>
      <c r="BL200" s="322"/>
      <c r="BM200" s="13">
        <v>54.211668615742838</v>
      </c>
      <c r="BN200" s="13">
        <v>259.119093315334</v>
      </c>
      <c r="BP200" s="13">
        <v>268.42</v>
      </c>
      <c r="BQ200" s="13">
        <v>9.4095692675323299</v>
      </c>
      <c r="BT200" s="298" t="str">
        <f>+VLOOKUP(G200,Liste!$A$7:$H$50,8,FALSE)</f>
        <v>Résineux</v>
      </c>
      <c r="BU200" s="298">
        <f t="shared" si="75"/>
        <v>0</v>
      </c>
      <c r="BV200" s="300">
        <f t="shared" si="76"/>
        <v>1</v>
      </c>
      <c r="BW200" s="321">
        <v>0</v>
      </c>
      <c r="BX200" s="298">
        <f t="shared" si="77"/>
        <v>0.43</v>
      </c>
      <c r="BY200">
        <f t="shared" si="78"/>
        <v>0</v>
      </c>
      <c r="BZ200" s="304">
        <f t="shared" si="79"/>
        <v>0</v>
      </c>
      <c r="CB200" s="299">
        <v>0.6</v>
      </c>
      <c r="CC200" s="299">
        <v>0.4</v>
      </c>
      <c r="CD200">
        <f t="shared" si="80"/>
        <v>0</v>
      </c>
      <c r="CE200">
        <f t="shared" si="81"/>
        <v>0</v>
      </c>
      <c r="CF200">
        <f t="shared" si="82"/>
        <v>0</v>
      </c>
      <c r="CG200">
        <f t="shared" si="83"/>
        <v>0</v>
      </c>
      <c r="CH200">
        <f t="shared" si="84"/>
        <v>0</v>
      </c>
      <c r="CI200">
        <f t="shared" si="85"/>
        <v>0</v>
      </c>
      <c r="CJ200">
        <f t="shared" si="86"/>
        <v>0</v>
      </c>
      <c r="CK200">
        <f t="shared" si="87"/>
        <v>0</v>
      </c>
      <c r="CL200">
        <f t="shared" si="88"/>
        <v>0</v>
      </c>
      <c r="CM200">
        <f t="shared" si="90"/>
        <v>0</v>
      </c>
      <c r="CN200">
        <f t="shared" si="89"/>
        <v>0</v>
      </c>
      <c r="CO200">
        <f t="shared" si="73"/>
        <v>0</v>
      </c>
    </row>
    <row r="201" spans="1:93" s="12" customFormat="1" ht="14.65" customHeight="1" x14ac:dyDescent="0.25">
      <c r="A201" s="4">
        <v>2021</v>
      </c>
      <c r="B201" s="4"/>
      <c r="C201" s="4" t="s">
        <v>64</v>
      </c>
      <c r="D201" s="4" t="s">
        <v>65</v>
      </c>
      <c r="E201" s="4"/>
      <c r="F201" s="4" t="s">
        <v>90</v>
      </c>
      <c r="G201" s="5" t="s">
        <v>15</v>
      </c>
      <c r="H201" s="5" t="s">
        <v>21</v>
      </c>
      <c r="I201" s="5" t="s">
        <v>147</v>
      </c>
      <c r="J201" s="5" t="s">
        <v>10</v>
      </c>
      <c r="K201" s="5">
        <v>23</v>
      </c>
      <c r="L201" s="5">
        <v>45</v>
      </c>
      <c r="M201" s="5">
        <v>2500</v>
      </c>
      <c r="N201" s="5" t="s">
        <v>170</v>
      </c>
      <c r="O201" s="6" t="s">
        <v>78</v>
      </c>
      <c r="P201" s="6" t="s">
        <v>80</v>
      </c>
      <c r="Q201" s="6">
        <v>2003</v>
      </c>
      <c r="R201" s="6" t="s">
        <v>50</v>
      </c>
      <c r="S201" s="6">
        <v>28</v>
      </c>
      <c r="T201" s="6">
        <v>13.5</v>
      </c>
      <c r="U201" s="6">
        <v>2157</v>
      </c>
      <c r="V201" s="6">
        <v>40.299999999999997</v>
      </c>
      <c r="W201" s="6">
        <v>0</v>
      </c>
      <c r="X201" s="6">
        <v>600</v>
      </c>
      <c r="Y201" s="6">
        <v>1043</v>
      </c>
      <c r="Z201" s="6">
        <v>457</v>
      </c>
      <c r="AA201" s="6">
        <v>57</v>
      </c>
      <c r="AB201" s="6">
        <v>0</v>
      </c>
      <c r="AC201" s="7">
        <v>48</v>
      </c>
      <c r="AD201" s="7" t="s">
        <v>52</v>
      </c>
      <c r="AE201" s="7">
        <v>20.99</v>
      </c>
      <c r="AF201" s="7">
        <v>650</v>
      </c>
      <c r="AG201" s="7">
        <v>26.08</v>
      </c>
      <c r="AH201" s="7">
        <v>22.6</v>
      </c>
      <c r="AI201" s="7">
        <v>28.38</v>
      </c>
      <c r="AJ201" s="9">
        <v>234.593804159912</v>
      </c>
      <c r="AK201" s="9">
        <v>236.03757306443899</v>
      </c>
      <c r="AL201" s="9">
        <v>277.49292767038497</v>
      </c>
      <c r="AM201" s="9">
        <v>59.175267153418297</v>
      </c>
      <c r="AN201" s="9">
        <v>1.23281806569622</v>
      </c>
      <c r="AO201" s="9">
        <v>0.63635525094260703</v>
      </c>
      <c r="AP201" s="9">
        <v>554.43141652818804</v>
      </c>
      <c r="AQ201" s="9">
        <v>11.5506545110039</v>
      </c>
      <c r="AR201" s="9">
        <v>10.0917451622543</v>
      </c>
      <c r="AS201" s="73" t="s">
        <v>169</v>
      </c>
      <c r="AT201" s="8"/>
      <c r="AU201" s="10" t="s">
        <v>169</v>
      </c>
      <c r="AV201" s="10">
        <v>0</v>
      </c>
      <c r="AW201" s="8"/>
      <c r="AX201" s="74" t="s">
        <v>169</v>
      </c>
      <c r="AY201" s="74"/>
      <c r="AZ201" s="74"/>
      <c r="BA201" s="74"/>
      <c r="BB201" s="8"/>
      <c r="BC201" s="8"/>
      <c r="BD201" s="8"/>
      <c r="BE201" s="8"/>
      <c r="BF201" s="12">
        <v>0.44</v>
      </c>
      <c r="BG201" s="13">
        <v>212.65208023807148</v>
      </c>
      <c r="BH201" s="96" t="str">
        <f>+VLOOKUP(G201,Liste!$A$7:$G$50,3,FALSE)</f>
        <v>Pin sylvestre</v>
      </c>
      <c r="BI201" s="96" t="str">
        <f>+VLOOKUP(H201,Liste!$B$7:$G$50,5,FALSE)</f>
        <v>GS Pineraies des plaines du Centre et du Nord Ouest</v>
      </c>
      <c r="BJ201" s="135">
        <f t="shared" si="72"/>
        <v>48</v>
      </c>
      <c r="BK201" s="135" t="str">
        <f t="shared" si="74"/>
        <v>Pin sylvestre_F2_Eclaircie tardive_GS Pineraies des plaines du Centre et du Nord Ouest_48_</v>
      </c>
      <c r="BL201" s="322"/>
      <c r="BM201" s="13">
        <v>56.018217500058512</v>
      </c>
      <c r="BN201" s="13">
        <v>268.67029773812999</v>
      </c>
      <c r="BP201" s="13">
        <v>268.42</v>
      </c>
      <c r="BQ201" s="13">
        <v>9.3926650533003304</v>
      </c>
      <c r="BT201" s="298" t="str">
        <f>+VLOOKUP(G201,Liste!$A$7:$H$50,8,FALSE)</f>
        <v>Résineux</v>
      </c>
      <c r="BU201" s="298">
        <f t="shared" si="75"/>
        <v>0</v>
      </c>
      <c r="BV201" s="300">
        <f t="shared" si="76"/>
        <v>1</v>
      </c>
      <c r="BW201" s="321">
        <v>0</v>
      </c>
      <c r="BX201" s="298">
        <f t="shared" si="77"/>
        <v>0.43</v>
      </c>
      <c r="BY201">
        <f t="shared" si="78"/>
        <v>0</v>
      </c>
      <c r="BZ201" s="304">
        <f t="shared" si="79"/>
        <v>0</v>
      </c>
      <c r="CB201" s="299">
        <v>0.6</v>
      </c>
      <c r="CC201" s="299">
        <v>0.4</v>
      </c>
      <c r="CD201">
        <f t="shared" si="80"/>
        <v>0</v>
      </c>
      <c r="CE201">
        <f t="shared" si="81"/>
        <v>0</v>
      </c>
      <c r="CF201">
        <f t="shared" si="82"/>
        <v>0</v>
      </c>
      <c r="CG201">
        <f t="shared" si="83"/>
        <v>0</v>
      </c>
      <c r="CH201">
        <f t="shared" si="84"/>
        <v>0</v>
      </c>
      <c r="CI201">
        <f t="shared" si="85"/>
        <v>0</v>
      </c>
      <c r="CJ201">
        <f t="shared" si="86"/>
        <v>0</v>
      </c>
      <c r="CK201">
        <f t="shared" si="87"/>
        <v>0</v>
      </c>
      <c r="CL201">
        <f t="shared" si="88"/>
        <v>0</v>
      </c>
      <c r="CM201">
        <f t="shared" si="90"/>
        <v>0</v>
      </c>
      <c r="CN201">
        <f t="shared" si="89"/>
        <v>0</v>
      </c>
      <c r="CO201">
        <f t="shared" si="73"/>
        <v>0</v>
      </c>
    </row>
    <row r="202" spans="1:93" s="12" customFormat="1" ht="14.65" customHeight="1" x14ac:dyDescent="0.25">
      <c r="A202" s="4">
        <v>2021</v>
      </c>
      <c r="B202" s="4"/>
      <c r="C202" s="4" t="s">
        <v>64</v>
      </c>
      <c r="D202" s="4" t="s">
        <v>65</v>
      </c>
      <c r="E202" s="4"/>
      <c r="F202" s="4" t="s">
        <v>90</v>
      </c>
      <c r="G202" s="5" t="s">
        <v>15</v>
      </c>
      <c r="H202" s="5" t="s">
        <v>21</v>
      </c>
      <c r="I202" s="5" t="s">
        <v>147</v>
      </c>
      <c r="J202" s="5" t="s">
        <v>10</v>
      </c>
      <c r="K202" s="5">
        <v>23</v>
      </c>
      <c r="L202" s="5">
        <v>45</v>
      </c>
      <c r="M202" s="5">
        <v>2500</v>
      </c>
      <c r="N202" s="5" t="s">
        <v>170</v>
      </c>
      <c r="O202" s="6" t="s">
        <v>78</v>
      </c>
      <c r="P202" s="6" t="s">
        <v>80</v>
      </c>
      <c r="Q202" s="6">
        <v>2003</v>
      </c>
      <c r="R202" s="6" t="s">
        <v>50</v>
      </c>
      <c r="S202" s="6">
        <v>28</v>
      </c>
      <c r="T202" s="6">
        <v>13.5</v>
      </c>
      <c r="U202" s="6">
        <v>2157</v>
      </c>
      <c r="V202" s="6">
        <v>40.299999999999997</v>
      </c>
      <c r="W202" s="6">
        <v>0</v>
      </c>
      <c r="X202" s="6">
        <v>600</v>
      </c>
      <c r="Y202" s="6">
        <v>1043</v>
      </c>
      <c r="Z202" s="6">
        <v>457</v>
      </c>
      <c r="AA202" s="6">
        <v>57</v>
      </c>
      <c r="AB202" s="6">
        <v>0</v>
      </c>
      <c r="AC202" s="7">
        <v>49</v>
      </c>
      <c r="AD202" s="7" t="s">
        <v>52</v>
      </c>
      <c r="AE202" s="7">
        <v>21.3</v>
      </c>
      <c r="AF202" s="7">
        <v>650</v>
      </c>
      <c r="AG202" s="7">
        <v>26.72</v>
      </c>
      <c r="AH202" s="7">
        <v>22.88</v>
      </c>
      <c r="AI202" s="7">
        <v>28.76</v>
      </c>
      <c r="AJ202" s="9">
        <v>243.75660390086199</v>
      </c>
      <c r="AK202" s="9">
        <v>245.25546103008799</v>
      </c>
      <c r="AL202" s="9">
        <v>287.584672832639</v>
      </c>
      <c r="AM202" s="9">
        <v>59.811622404360897</v>
      </c>
      <c r="AN202" s="9">
        <v>1.2206453551910399</v>
      </c>
      <c r="AO202" s="9">
        <v>0.62914150232950306</v>
      </c>
      <c r="AP202" s="9">
        <v>564.52316169044195</v>
      </c>
      <c r="AQ202" s="9">
        <v>11.5208808508253</v>
      </c>
      <c r="AR202" s="9">
        <v>10.147170528146001</v>
      </c>
      <c r="AS202" s="73" t="s">
        <v>169</v>
      </c>
      <c r="AT202" s="8"/>
      <c r="AU202" s="10" t="s">
        <v>169</v>
      </c>
      <c r="AV202" s="10">
        <v>0</v>
      </c>
      <c r="AW202" s="8"/>
      <c r="AX202" s="74" t="s">
        <v>169</v>
      </c>
      <c r="AY202" s="74"/>
      <c r="AZ202" s="74"/>
      <c r="BA202" s="74"/>
      <c r="BB202" s="8"/>
      <c r="BC202" s="8"/>
      <c r="BD202" s="8"/>
      <c r="BE202" s="8"/>
      <c r="BF202" s="12">
        <v>0.44</v>
      </c>
      <c r="BG202" s="13">
        <v>220.38572094741255</v>
      </c>
      <c r="BH202" s="96" t="str">
        <f>+VLOOKUP(G202,Liste!$A$7:$G$50,3,FALSE)</f>
        <v>Pin sylvestre</v>
      </c>
      <c r="BI202" s="96" t="str">
        <f>+VLOOKUP(H202,Liste!$B$7:$G$50,5,FALSE)</f>
        <v>GS Pineraies des plaines du Centre et du Nord Ouest</v>
      </c>
      <c r="BJ202" s="135">
        <f t="shared" si="72"/>
        <v>49</v>
      </c>
      <c r="BK202" s="135" t="str">
        <f t="shared" si="74"/>
        <v>Pin sylvestre_F2_Eclaircie tardive_GS Pineraies des plaines du Centre et du Nord Ouest_49_</v>
      </c>
      <c r="BL202" s="322"/>
      <c r="BM202" s="13">
        <v>57.81456925283544</v>
      </c>
      <c r="BN202" s="13">
        <v>278.20029020024799</v>
      </c>
      <c r="BP202" s="13">
        <v>268.42</v>
      </c>
      <c r="BQ202" s="13">
        <v>9.4407738697154908</v>
      </c>
      <c r="BT202" s="298" t="str">
        <f>+VLOOKUP(G202,Liste!$A$7:$H$50,8,FALSE)</f>
        <v>Résineux</v>
      </c>
      <c r="BU202" s="298">
        <f t="shared" si="75"/>
        <v>0</v>
      </c>
      <c r="BV202" s="300">
        <f t="shared" si="76"/>
        <v>1</v>
      </c>
      <c r="BW202" s="321">
        <v>0</v>
      </c>
      <c r="BX202" s="298">
        <f t="shared" si="77"/>
        <v>0.43</v>
      </c>
      <c r="BY202">
        <f t="shared" si="78"/>
        <v>0</v>
      </c>
      <c r="BZ202" s="304">
        <f t="shared" si="79"/>
        <v>0</v>
      </c>
      <c r="CB202" s="299">
        <v>0.6</v>
      </c>
      <c r="CC202" s="299">
        <v>0.4</v>
      </c>
      <c r="CD202">
        <f t="shared" si="80"/>
        <v>0</v>
      </c>
      <c r="CE202">
        <f t="shared" si="81"/>
        <v>0</v>
      </c>
      <c r="CF202">
        <f t="shared" si="82"/>
        <v>0</v>
      </c>
      <c r="CG202">
        <f t="shared" si="83"/>
        <v>0</v>
      </c>
      <c r="CH202">
        <f t="shared" si="84"/>
        <v>0</v>
      </c>
      <c r="CI202">
        <f t="shared" si="85"/>
        <v>0</v>
      </c>
      <c r="CJ202">
        <f t="shared" si="86"/>
        <v>0</v>
      </c>
      <c r="CK202">
        <f t="shared" si="87"/>
        <v>0</v>
      </c>
      <c r="CL202">
        <f t="shared" si="88"/>
        <v>0</v>
      </c>
      <c r="CM202">
        <f t="shared" si="90"/>
        <v>0</v>
      </c>
      <c r="CN202">
        <f t="shared" si="89"/>
        <v>0</v>
      </c>
      <c r="CO202">
        <f t="shared" si="73"/>
        <v>0</v>
      </c>
    </row>
    <row r="203" spans="1:93" s="12" customFormat="1" ht="14.65" customHeight="1" x14ac:dyDescent="0.25">
      <c r="A203" s="4">
        <v>2021</v>
      </c>
      <c r="B203" s="4"/>
      <c r="C203" s="4" t="s">
        <v>64</v>
      </c>
      <c r="D203" s="4" t="s">
        <v>65</v>
      </c>
      <c r="E203" s="4"/>
      <c r="F203" s="4" t="s">
        <v>90</v>
      </c>
      <c r="G203" s="5" t="s">
        <v>15</v>
      </c>
      <c r="H203" s="5" t="s">
        <v>21</v>
      </c>
      <c r="I203" s="5" t="s">
        <v>147</v>
      </c>
      <c r="J203" s="5" t="s">
        <v>10</v>
      </c>
      <c r="K203" s="5">
        <v>23</v>
      </c>
      <c r="L203" s="5">
        <v>45</v>
      </c>
      <c r="M203" s="5">
        <v>2500</v>
      </c>
      <c r="N203" s="5" t="s">
        <v>170</v>
      </c>
      <c r="O203" s="6" t="s">
        <v>78</v>
      </c>
      <c r="P203" s="6" t="s">
        <v>80</v>
      </c>
      <c r="Q203" s="6">
        <v>2003</v>
      </c>
      <c r="R203" s="6" t="s">
        <v>50</v>
      </c>
      <c r="S203" s="6">
        <v>28</v>
      </c>
      <c r="T203" s="6">
        <v>13.5</v>
      </c>
      <c r="U203" s="6">
        <v>2157</v>
      </c>
      <c r="V203" s="6">
        <v>40.299999999999997</v>
      </c>
      <c r="W203" s="6">
        <v>0</v>
      </c>
      <c r="X203" s="6">
        <v>600</v>
      </c>
      <c r="Y203" s="6">
        <v>1043</v>
      </c>
      <c r="Z203" s="6">
        <v>457</v>
      </c>
      <c r="AA203" s="6">
        <v>57</v>
      </c>
      <c r="AB203" s="6">
        <v>0</v>
      </c>
      <c r="AC203" s="7">
        <v>50</v>
      </c>
      <c r="AD203" s="7" t="s">
        <v>52</v>
      </c>
      <c r="AE203" s="7">
        <v>21.61</v>
      </c>
      <c r="AF203" s="7">
        <v>650</v>
      </c>
      <c r="AG203" s="7">
        <v>27.35</v>
      </c>
      <c r="AH203" s="7">
        <v>23.15</v>
      </c>
      <c r="AI203" s="7">
        <v>29.13</v>
      </c>
      <c r="AJ203" s="9">
        <v>252.99129798325799</v>
      </c>
      <c r="AK203" s="9">
        <v>254.54447904252299</v>
      </c>
      <c r="AL203" s="9">
        <v>297.73184336078498</v>
      </c>
      <c r="AM203" s="9">
        <v>60.4407639066904</v>
      </c>
      <c r="AN203" s="9">
        <v>1.20881527813381</v>
      </c>
      <c r="AO203" s="9">
        <v>0.61975567226363604</v>
      </c>
      <c r="AP203" s="9">
        <v>574.67033221858799</v>
      </c>
      <c r="AQ203" s="9">
        <v>11.493406644371801</v>
      </c>
      <c r="AR203" s="9">
        <v>10.109842246563399</v>
      </c>
      <c r="AS203" s="73" t="s">
        <v>169</v>
      </c>
      <c r="AT203" s="8"/>
      <c r="AU203" s="10" t="s">
        <v>169</v>
      </c>
      <c r="AV203" s="10">
        <v>0</v>
      </c>
      <c r="AW203" s="8"/>
      <c r="AX203" s="74" t="s">
        <v>169</v>
      </c>
      <c r="AY203" s="74"/>
      <c r="AZ203" s="74"/>
      <c r="BA203" s="74"/>
      <c r="BB203" s="8"/>
      <c r="BC203" s="8"/>
      <c r="BD203" s="8"/>
      <c r="BE203" s="8"/>
      <c r="BF203" s="12">
        <v>0.44</v>
      </c>
      <c r="BG203" s="13">
        <v>228.16183596214839</v>
      </c>
      <c r="BH203" s="96" t="str">
        <f>+VLOOKUP(G203,Liste!$A$7:$G$50,3,FALSE)</f>
        <v>Pin sylvestre</v>
      </c>
      <c r="BI203" s="96" t="str">
        <f>+VLOOKUP(H203,Liste!$B$7:$G$50,5,FALSE)</f>
        <v>GS Pineraies des plaines du Centre et du Nord Ouest</v>
      </c>
      <c r="BJ203" s="135">
        <f t="shared" si="72"/>
        <v>50</v>
      </c>
      <c r="BK203" s="135" t="str">
        <f t="shared" si="74"/>
        <v>Pin sylvestre_F2_Eclaircie tardive_GS Pineraies des plaines du Centre et du Nord Ouest_50_</v>
      </c>
      <c r="BL203" s="322"/>
      <c r="BM203" s="13">
        <v>59.613402840398606</v>
      </c>
      <c r="BN203" s="13">
        <v>287.77523880254699</v>
      </c>
      <c r="BP203" s="13">
        <v>268.42</v>
      </c>
      <c r="BQ203" s="13">
        <v>9.4026448795384603</v>
      </c>
      <c r="BT203" s="298" t="str">
        <f>+VLOOKUP(G203,Liste!$A$7:$H$50,8,FALSE)</f>
        <v>Résineux</v>
      </c>
      <c r="BU203" s="298">
        <f t="shared" si="75"/>
        <v>0</v>
      </c>
      <c r="BV203" s="300">
        <f t="shared" si="76"/>
        <v>1</v>
      </c>
      <c r="BW203" s="321">
        <v>0</v>
      </c>
      <c r="BX203" s="298">
        <f t="shared" si="77"/>
        <v>0.43</v>
      </c>
      <c r="BY203">
        <f t="shared" si="78"/>
        <v>0</v>
      </c>
      <c r="BZ203" s="304">
        <f t="shared" si="79"/>
        <v>0</v>
      </c>
      <c r="CB203" s="299">
        <v>0.6</v>
      </c>
      <c r="CC203" s="299">
        <v>0.4</v>
      </c>
      <c r="CD203">
        <f t="shared" si="80"/>
        <v>0</v>
      </c>
      <c r="CE203">
        <f t="shared" si="81"/>
        <v>0</v>
      </c>
      <c r="CF203">
        <f t="shared" si="82"/>
        <v>0</v>
      </c>
      <c r="CG203">
        <f t="shared" si="83"/>
        <v>0</v>
      </c>
      <c r="CH203">
        <f t="shared" si="84"/>
        <v>0</v>
      </c>
      <c r="CI203">
        <f t="shared" si="85"/>
        <v>0</v>
      </c>
      <c r="CJ203">
        <f t="shared" si="86"/>
        <v>0</v>
      </c>
      <c r="CK203">
        <f t="shared" si="87"/>
        <v>0</v>
      </c>
      <c r="CL203">
        <f t="shared" si="88"/>
        <v>0</v>
      </c>
      <c r="CM203">
        <f t="shared" si="90"/>
        <v>0</v>
      </c>
      <c r="CN203">
        <f t="shared" si="89"/>
        <v>0</v>
      </c>
      <c r="CO203">
        <f t="shared" si="73"/>
        <v>0</v>
      </c>
    </row>
    <row r="204" spans="1:93" s="12" customFormat="1" ht="14.65" customHeight="1" x14ac:dyDescent="0.25">
      <c r="A204" s="4">
        <v>2021</v>
      </c>
      <c r="B204" s="4"/>
      <c r="C204" s="4" t="s">
        <v>64</v>
      </c>
      <c r="D204" s="4" t="s">
        <v>65</v>
      </c>
      <c r="E204" s="4"/>
      <c r="F204" s="4" t="s">
        <v>90</v>
      </c>
      <c r="G204" s="5" t="s">
        <v>15</v>
      </c>
      <c r="H204" s="5" t="s">
        <v>21</v>
      </c>
      <c r="I204" s="5" t="s">
        <v>147</v>
      </c>
      <c r="J204" s="5" t="s">
        <v>10</v>
      </c>
      <c r="K204" s="5">
        <v>23</v>
      </c>
      <c r="L204" s="5">
        <v>45</v>
      </c>
      <c r="M204" s="5">
        <v>2500</v>
      </c>
      <c r="N204" s="5" t="s">
        <v>170</v>
      </c>
      <c r="O204" s="6" t="s">
        <v>78</v>
      </c>
      <c r="P204" s="6" t="s">
        <v>80</v>
      </c>
      <c r="Q204" s="6">
        <v>2003</v>
      </c>
      <c r="R204" s="6" t="s">
        <v>50</v>
      </c>
      <c r="S204" s="6">
        <v>28</v>
      </c>
      <c r="T204" s="6">
        <v>13.5</v>
      </c>
      <c r="U204" s="6">
        <v>2157</v>
      </c>
      <c r="V204" s="6">
        <v>40.299999999999997</v>
      </c>
      <c r="W204" s="6">
        <v>0</v>
      </c>
      <c r="X204" s="6">
        <v>600</v>
      </c>
      <c r="Y204" s="6">
        <v>1043</v>
      </c>
      <c r="Z204" s="6">
        <v>457</v>
      </c>
      <c r="AA204" s="6">
        <v>57</v>
      </c>
      <c r="AB204" s="6">
        <v>0</v>
      </c>
      <c r="AC204" s="7">
        <v>51</v>
      </c>
      <c r="AD204" s="7" t="s">
        <v>52</v>
      </c>
      <c r="AE204" s="7">
        <v>21.91</v>
      </c>
      <c r="AF204" s="7">
        <v>650</v>
      </c>
      <c r="AG204" s="7">
        <v>27.97</v>
      </c>
      <c r="AH204" s="7">
        <v>23.41</v>
      </c>
      <c r="AI204" s="7">
        <v>29.49</v>
      </c>
      <c r="AJ204" s="9">
        <v>262.20335424693599</v>
      </c>
      <c r="AK204" s="9">
        <v>263.81056038752098</v>
      </c>
      <c r="AL204" s="9">
        <v>307.84168560734798</v>
      </c>
      <c r="AM204" s="9">
        <v>61.0605195789541</v>
      </c>
      <c r="AN204" s="9">
        <v>1.1972650897834101</v>
      </c>
      <c r="AO204" s="9">
        <v>0.61252376524499397</v>
      </c>
      <c r="AP204" s="9">
        <v>584.78017446515196</v>
      </c>
      <c r="AQ204" s="9">
        <v>11.4662779306892</v>
      </c>
      <c r="AR204" s="9">
        <v>10.0988755261739</v>
      </c>
      <c r="AS204" s="73" t="s">
        <v>169</v>
      </c>
      <c r="AT204" s="8"/>
      <c r="AU204" s="10" t="s">
        <v>169</v>
      </c>
      <c r="AV204" s="10">
        <v>0</v>
      </c>
      <c r="AW204" s="8"/>
      <c r="AX204" s="74" t="s">
        <v>169</v>
      </c>
      <c r="AY204" s="74"/>
      <c r="AZ204" s="74"/>
      <c r="BA204" s="74"/>
      <c r="BB204" s="8"/>
      <c r="BC204" s="8"/>
      <c r="BD204" s="8"/>
      <c r="BE204" s="8"/>
      <c r="BF204" s="12">
        <v>0.44</v>
      </c>
      <c r="BG204" s="13">
        <v>235.90934507043127</v>
      </c>
      <c r="BH204" s="96" t="str">
        <f>+VLOOKUP(G204,Liste!$A$7:$G$50,3,FALSE)</f>
        <v>Pin sylvestre</v>
      </c>
      <c r="BI204" s="96" t="str">
        <f>+VLOOKUP(H204,Liste!$B$7:$G$50,5,FALSE)</f>
        <v>GS Pineraies des plaines du Centre et du Nord Ouest</v>
      </c>
      <c r="BJ204" s="135">
        <f t="shared" si="72"/>
        <v>51</v>
      </c>
      <c r="BK204" s="135" t="str">
        <f t="shared" si="74"/>
        <v>Pin sylvestre_F2_Eclaircie tardive_GS Pineraies des plaines du Centre et du Nord Ouest_51_</v>
      </c>
      <c r="BL204" s="322"/>
      <c r="BM204" s="13">
        <v>61.39853454849171</v>
      </c>
      <c r="BN204" s="13">
        <v>297.30787961892298</v>
      </c>
      <c r="BP204" s="13">
        <v>268.42</v>
      </c>
      <c r="BQ204" s="13">
        <v>9.3891231378882996</v>
      </c>
      <c r="BT204" s="298" t="str">
        <f>+VLOOKUP(G204,Liste!$A$7:$H$50,8,FALSE)</f>
        <v>Résineux</v>
      </c>
      <c r="BU204" s="298">
        <f t="shared" si="75"/>
        <v>0</v>
      </c>
      <c r="BV204" s="300">
        <f t="shared" si="76"/>
        <v>1</v>
      </c>
      <c r="BW204" s="321">
        <v>0</v>
      </c>
      <c r="BX204" s="298">
        <f t="shared" si="77"/>
        <v>0.43</v>
      </c>
      <c r="BY204">
        <f t="shared" si="78"/>
        <v>0</v>
      </c>
      <c r="BZ204" s="304">
        <f t="shared" si="79"/>
        <v>0</v>
      </c>
      <c r="CB204" s="299">
        <v>0.6</v>
      </c>
      <c r="CC204" s="299">
        <v>0.4</v>
      </c>
      <c r="CD204">
        <f t="shared" si="80"/>
        <v>0</v>
      </c>
      <c r="CE204">
        <f t="shared" si="81"/>
        <v>0</v>
      </c>
      <c r="CF204">
        <f t="shared" si="82"/>
        <v>0</v>
      </c>
      <c r="CG204">
        <f t="shared" si="83"/>
        <v>0</v>
      </c>
      <c r="CH204">
        <f t="shared" si="84"/>
        <v>0</v>
      </c>
      <c r="CI204">
        <f t="shared" si="85"/>
        <v>0</v>
      </c>
      <c r="CJ204">
        <f t="shared" si="86"/>
        <v>0</v>
      </c>
      <c r="CK204">
        <f t="shared" si="87"/>
        <v>0</v>
      </c>
      <c r="CL204">
        <f t="shared" si="88"/>
        <v>0</v>
      </c>
      <c r="CM204">
        <f t="shared" si="90"/>
        <v>0</v>
      </c>
      <c r="CN204">
        <f t="shared" si="89"/>
        <v>0</v>
      </c>
      <c r="CO204">
        <f t="shared" si="73"/>
        <v>0</v>
      </c>
    </row>
    <row r="205" spans="1:93" s="12" customFormat="1" ht="14.65" customHeight="1" x14ac:dyDescent="0.25">
      <c r="A205" s="4">
        <v>2021</v>
      </c>
      <c r="B205" s="4"/>
      <c r="C205" s="4" t="s">
        <v>64</v>
      </c>
      <c r="D205" s="4" t="s">
        <v>65</v>
      </c>
      <c r="E205" s="4"/>
      <c r="F205" s="4" t="s">
        <v>90</v>
      </c>
      <c r="G205" s="5" t="s">
        <v>15</v>
      </c>
      <c r="H205" s="5" t="s">
        <v>21</v>
      </c>
      <c r="I205" s="5" t="s">
        <v>147</v>
      </c>
      <c r="J205" s="5" t="s">
        <v>10</v>
      </c>
      <c r="K205" s="5">
        <v>23</v>
      </c>
      <c r="L205" s="5">
        <v>45</v>
      </c>
      <c r="M205" s="5">
        <v>2500</v>
      </c>
      <c r="N205" s="5" t="s">
        <v>170</v>
      </c>
      <c r="O205" s="6" t="s">
        <v>78</v>
      </c>
      <c r="P205" s="6" t="s">
        <v>80</v>
      </c>
      <c r="Q205" s="6">
        <v>2003</v>
      </c>
      <c r="R205" s="6" t="s">
        <v>50</v>
      </c>
      <c r="S205" s="6">
        <v>28</v>
      </c>
      <c r="T205" s="6">
        <v>13.5</v>
      </c>
      <c r="U205" s="6">
        <v>2157</v>
      </c>
      <c r="V205" s="6">
        <v>40.299999999999997</v>
      </c>
      <c r="W205" s="6">
        <v>0</v>
      </c>
      <c r="X205" s="6">
        <v>600</v>
      </c>
      <c r="Y205" s="6">
        <v>1043</v>
      </c>
      <c r="Z205" s="6">
        <v>457</v>
      </c>
      <c r="AA205" s="6">
        <v>57</v>
      </c>
      <c r="AB205" s="6">
        <v>0</v>
      </c>
      <c r="AC205" s="7">
        <v>52</v>
      </c>
      <c r="AD205" s="7" t="s">
        <v>52</v>
      </c>
      <c r="AE205" s="7">
        <v>22.2</v>
      </c>
      <c r="AF205" s="7">
        <v>650</v>
      </c>
      <c r="AG205" s="7">
        <v>28.58</v>
      </c>
      <c r="AH205" s="7">
        <v>23.66</v>
      </c>
      <c r="AI205" s="7">
        <v>29.85</v>
      </c>
      <c r="AJ205" s="9">
        <v>271.41536019467202</v>
      </c>
      <c r="AK205" s="9">
        <v>273.07656378216501</v>
      </c>
      <c r="AL205" s="9">
        <v>317.94056113352201</v>
      </c>
      <c r="AM205" s="9">
        <v>61.673043344199101</v>
      </c>
      <c r="AN205" s="9">
        <v>1.18602006431152</v>
      </c>
      <c r="AO205" s="9">
        <v>0.529853021601149</v>
      </c>
      <c r="AP205" s="9">
        <v>594.87904999132502</v>
      </c>
      <c r="AQ205" s="9">
        <v>11.439981730602399</v>
      </c>
      <c r="AR205" s="9">
        <v>8.2485631586301906</v>
      </c>
      <c r="AS205" s="73" t="s">
        <v>169</v>
      </c>
      <c r="AT205" s="8"/>
      <c r="AU205" s="10" t="s">
        <v>169</v>
      </c>
      <c r="AV205" s="10">
        <v>0</v>
      </c>
      <c r="AW205" s="8"/>
      <c r="AX205" s="74" t="s">
        <v>169</v>
      </c>
      <c r="AY205" s="74"/>
      <c r="AZ205" s="74"/>
      <c r="BA205" s="74"/>
      <c r="BB205" s="8"/>
      <c r="BC205" s="8"/>
      <c r="BD205" s="8"/>
      <c r="BE205" s="8"/>
      <c r="BF205" s="12">
        <v>0.44</v>
      </c>
      <c r="BG205" s="13">
        <v>243.64845001532274</v>
      </c>
      <c r="BH205" s="96" t="str">
        <f>+VLOOKUP(G205,Liste!$A$7:$G$50,3,FALSE)</f>
        <v>Pin sylvestre</v>
      </c>
      <c r="BI205" s="96" t="str">
        <f>+VLOOKUP(H205,Liste!$B$7:$G$50,5,FALSE)</f>
        <v>GS Pineraies des plaines du Centre et du Nord Ouest</v>
      </c>
      <c r="BJ205" s="135">
        <f t="shared" si="72"/>
        <v>52</v>
      </c>
      <c r="BK205" s="135" t="str">
        <f t="shared" si="74"/>
        <v>Pin sylvestre_F2_Eclaircie tardive_GS Pineraies des plaines du Centre et du Nord Ouest_52_</v>
      </c>
      <c r="BL205" s="322"/>
      <c r="BM205" s="13">
        <v>63.174928528942246</v>
      </c>
      <c r="BN205" s="13">
        <v>306.82337854426498</v>
      </c>
      <c r="BP205" s="13">
        <v>268.42</v>
      </c>
      <c r="BQ205" s="13">
        <v>7.6664316826471604</v>
      </c>
      <c r="BT205" s="298" t="str">
        <f>+VLOOKUP(G205,Liste!$A$7:$H$50,8,FALSE)</f>
        <v>Résineux</v>
      </c>
      <c r="BU205" s="298">
        <f t="shared" si="75"/>
        <v>0</v>
      </c>
      <c r="BV205" s="300">
        <f t="shared" si="76"/>
        <v>1</v>
      </c>
      <c r="BW205" s="321">
        <v>0</v>
      </c>
      <c r="BX205" s="298">
        <f t="shared" si="77"/>
        <v>0.43</v>
      </c>
      <c r="BY205">
        <f t="shared" si="78"/>
        <v>0</v>
      </c>
      <c r="BZ205" s="304">
        <f t="shared" si="79"/>
        <v>0</v>
      </c>
      <c r="CB205" s="299">
        <v>0.6</v>
      </c>
      <c r="CC205" s="299">
        <v>0.4</v>
      </c>
      <c r="CD205">
        <f t="shared" si="80"/>
        <v>0</v>
      </c>
      <c r="CE205">
        <f t="shared" si="81"/>
        <v>0</v>
      </c>
      <c r="CF205">
        <f t="shared" si="82"/>
        <v>0</v>
      </c>
      <c r="CG205">
        <f t="shared" si="83"/>
        <v>0</v>
      </c>
      <c r="CH205">
        <f t="shared" si="84"/>
        <v>0</v>
      </c>
      <c r="CI205">
        <f t="shared" si="85"/>
        <v>0</v>
      </c>
      <c r="CJ205">
        <f t="shared" si="86"/>
        <v>0</v>
      </c>
      <c r="CK205">
        <f t="shared" si="87"/>
        <v>0</v>
      </c>
      <c r="CL205">
        <f t="shared" si="88"/>
        <v>0</v>
      </c>
      <c r="CM205">
        <f t="shared" si="90"/>
        <v>0</v>
      </c>
      <c r="CN205">
        <f t="shared" si="89"/>
        <v>0</v>
      </c>
      <c r="CO205">
        <f t="shared" si="73"/>
        <v>0</v>
      </c>
    </row>
    <row r="206" spans="1:93" s="12" customFormat="1" ht="14.65" customHeight="1" x14ac:dyDescent="0.25">
      <c r="A206" s="4">
        <v>2021</v>
      </c>
      <c r="B206" s="4"/>
      <c r="C206" s="4" t="s">
        <v>64</v>
      </c>
      <c r="D206" s="4" t="s">
        <v>65</v>
      </c>
      <c r="E206" s="4"/>
      <c r="F206" s="4" t="s">
        <v>90</v>
      </c>
      <c r="G206" s="5" t="s">
        <v>15</v>
      </c>
      <c r="H206" s="5" t="s">
        <v>21</v>
      </c>
      <c r="I206" s="5" t="s">
        <v>147</v>
      </c>
      <c r="J206" s="5" t="s">
        <v>10</v>
      </c>
      <c r="K206" s="5">
        <v>23</v>
      </c>
      <c r="L206" s="5">
        <v>45</v>
      </c>
      <c r="M206" s="5">
        <v>2500</v>
      </c>
      <c r="N206" s="5" t="s">
        <v>170</v>
      </c>
      <c r="O206" s="6" t="s">
        <v>78</v>
      </c>
      <c r="P206" s="6" t="s">
        <v>80</v>
      </c>
      <c r="Q206" s="6">
        <v>2003</v>
      </c>
      <c r="R206" s="6" t="s">
        <v>50</v>
      </c>
      <c r="S206" s="6">
        <v>28</v>
      </c>
      <c r="T206" s="6">
        <v>13.5</v>
      </c>
      <c r="U206" s="6">
        <v>2157</v>
      </c>
      <c r="V206" s="6">
        <v>40.299999999999997</v>
      </c>
      <c r="W206" s="6">
        <v>0</v>
      </c>
      <c r="X206" s="6">
        <v>600</v>
      </c>
      <c r="Y206" s="6">
        <v>1043</v>
      </c>
      <c r="Z206" s="6">
        <v>457</v>
      </c>
      <c r="AA206" s="6">
        <v>57</v>
      </c>
      <c r="AB206" s="6">
        <v>0</v>
      </c>
      <c r="AC206" s="7">
        <v>52</v>
      </c>
      <c r="AD206" s="7" t="s">
        <v>53</v>
      </c>
      <c r="AE206" s="7">
        <v>22.2</v>
      </c>
      <c r="AF206" s="7">
        <v>470</v>
      </c>
      <c r="AG206" s="7">
        <v>22.96</v>
      </c>
      <c r="AH206" s="7">
        <v>24.94</v>
      </c>
      <c r="AI206" s="7">
        <v>29.85</v>
      </c>
      <c r="AJ206" s="9">
        <v>220.226030707284</v>
      </c>
      <c r="AK206" s="9">
        <v>221.68995790039401</v>
      </c>
      <c r="AL206" s="9">
        <v>257.71897883897901</v>
      </c>
      <c r="AM206" s="9">
        <v>61.673043344199101</v>
      </c>
      <c r="AN206" s="9">
        <v>1.18602006431152</v>
      </c>
      <c r="AO206" s="9">
        <v>0.529853021601149</v>
      </c>
      <c r="AP206" s="9">
        <v>594.87904999132502</v>
      </c>
      <c r="AQ206" s="9">
        <v>11.439981730602399</v>
      </c>
      <c r="AR206" s="9">
        <v>8.2485631586301906</v>
      </c>
      <c r="AS206" s="73">
        <v>180</v>
      </c>
      <c r="AT206" s="8">
        <v>5.6199999999999974</v>
      </c>
      <c r="AU206" s="10">
        <v>19.938246665101293</v>
      </c>
      <c r="AV206" s="10">
        <v>51.189329487388022</v>
      </c>
      <c r="AW206" s="8">
        <v>0.71</v>
      </c>
      <c r="AX206" s="74">
        <v>0.28438516381882234</v>
      </c>
      <c r="AY206" s="74"/>
      <c r="AZ206" s="74"/>
      <c r="BA206" s="74"/>
      <c r="BB206" s="8"/>
      <c r="BC206" s="8"/>
      <c r="BD206" s="8"/>
      <c r="BE206" s="8"/>
      <c r="BF206" s="12">
        <v>0.44</v>
      </c>
      <c r="BG206" s="13">
        <v>197.49864411693753</v>
      </c>
      <c r="BH206" s="96" t="str">
        <f>+VLOOKUP(G206,Liste!$A$7:$G$50,3,FALSE)</f>
        <v>Pin sylvestre</v>
      </c>
      <c r="BI206" s="96" t="str">
        <f>+VLOOKUP(H206,Liste!$B$7:$G$50,5,FALSE)</f>
        <v>GS Pineraies des plaines du Centre et du Nord Ouest</v>
      </c>
      <c r="BJ206" s="135">
        <f t="shared" si="72"/>
        <v>52</v>
      </c>
      <c r="BK206" s="135" t="str">
        <f t="shared" si="74"/>
        <v>Pin sylvestre_F2_Eclaircie tardive_GS Pineraies des plaines du Centre et du Nord Ouest_52_</v>
      </c>
      <c r="BL206" s="322"/>
      <c r="BM206" s="13">
        <v>52.476015366826459</v>
      </c>
      <c r="BN206" s="13">
        <v>249.97465948376399</v>
      </c>
      <c r="BO206" s="13">
        <v>56.848719060500997</v>
      </c>
      <c r="BP206" s="13">
        <v>268.42</v>
      </c>
      <c r="BQ206" s="13">
        <v>7.6664316826471604</v>
      </c>
      <c r="BT206" s="298" t="str">
        <f>+VLOOKUP(G206,Liste!$A$7:$H$50,8,FALSE)</f>
        <v>Résineux</v>
      </c>
      <c r="BU206" s="298">
        <f t="shared" si="75"/>
        <v>0</v>
      </c>
      <c r="BV206" s="300">
        <f t="shared" si="76"/>
        <v>1</v>
      </c>
      <c r="BW206" s="321">
        <v>0</v>
      </c>
      <c r="BX206" s="298">
        <f t="shared" si="77"/>
        <v>0.43</v>
      </c>
      <c r="BY206">
        <f t="shared" si="78"/>
        <v>0</v>
      </c>
      <c r="BZ206" s="304">
        <f t="shared" si="79"/>
        <v>0</v>
      </c>
      <c r="CB206" s="299">
        <v>0.6</v>
      </c>
      <c r="CC206" s="299">
        <v>0.4</v>
      </c>
      <c r="CD206">
        <f t="shared" si="80"/>
        <v>0</v>
      </c>
      <c r="CE206">
        <f t="shared" si="81"/>
        <v>0</v>
      </c>
      <c r="CF206">
        <f t="shared" si="82"/>
        <v>0</v>
      </c>
      <c r="CG206">
        <f t="shared" si="83"/>
        <v>0</v>
      </c>
      <c r="CH206">
        <f t="shared" si="84"/>
        <v>0</v>
      </c>
      <c r="CI206">
        <f t="shared" si="85"/>
        <v>0</v>
      </c>
      <c r="CJ206">
        <f t="shared" si="86"/>
        <v>0</v>
      </c>
      <c r="CK206">
        <f t="shared" si="87"/>
        <v>0</v>
      </c>
      <c r="CL206">
        <f t="shared" si="88"/>
        <v>0</v>
      </c>
      <c r="CM206">
        <f t="shared" si="90"/>
        <v>0</v>
      </c>
      <c r="CN206">
        <f t="shared" si="89"/>
        <v>0</v>
      </c>
      <c r="CO206">
        <f t="shared" si="73"/>
        <v>0</v>
      </c>
    </row>
    <row r="207" spans="1:93" s="12" customFormat="1" ht="14.65" customHeight="1" x14ac:dyDescent="0.25">
      <c r="A207" s="4">
        <v>2021</v>
      </c>
      <c r="B207" s="4"/>
      <c r="C207" s="4" t="s">
        <v>64</v>
      </c>
      <c r="D207" s="4" t="s">
        <v>65</v>
      </c>
      <c r="E207" s="4"/>
      <c r="F207" s="4" t="s">
        <v>90</v>
      </c>
      <c r="G207" s="5" t="s">
        <v>15</v>
      </c>
      <c r="H207" s="5" t="s">
        <v>21</v>
      </c>
      <c r="I207" s="5" t="s">
        <v>147</v>
      </c>
      <c r="J207" s="5" t="s">
        <v>10</v>
      </c>
      <c r="K207" s="5">
        <v>23</v>
      </c>
      <c r="L207" s="5">
        <v>45</v>
      </c>
      <c r="M207" s="5">
        <v>2500</v>
      </c>
      <c r="N207" s="5" t="s">
        <v>170</v>
      </c>
      <c r="O207" s="6" t="s">
        <v>78</v>
      </c>
      <c r="P207" s="6" t="s">
        <v>80</v>
      </c>
      <c r="Q207" s="6">
        <v>2003</v>
      </c>
      <c r="R207" s="6" t="s">
        <v>50</v>
      </c>
      <c r="S207" s="6">
        <v>28</v>
      </c>
      <c r="T207" s="6">
        <v>13.5</v>
      </c>
      <c r="U207" s="6">
        <v>2157</v>
      </c>
      <c r="V207" s="6">
        <v>40.299999999999997</v>
      </c>
      <c r="W207" s="6">
        <v>0</v>
      </c>
      <c r="X207" s="6">
        <v>600</v>
      </c>
      <c r="Y207" s="6">
        <v>1043</v>
      </c>
      <c r="Z207" s="6">
        <v>457</v>
      </c>
      <c r="AA207" s="6">
        <v>57</v>
      </c>
      <c r="AB207" s="6">
        <v>0</v>
      </c>
      <c r="AC207" s="7">
        <v>53</v>
      </c>
      <c r="AD207" s="7" t="s">
        <v>52</v>
      </c>
      <c r="AE207" s="7">
        <v>22.49</v>
      </c>
      <c r="AF207" s="7">
        <v>470</v>
      </c>
      <c r="AG207" s="7">
        <v>23.49</v>
      </c>
      <c r="AH207" s="7">
        <v>25.23</v>
      </c>
      <c r="AI207" s="7">
        <v>30.21</v>
      </c>
      <c r="AJ207" s="9">
        <v>227.64040195956301</v>
      </c>
      <c r="AK207" s="9">
        <v>229.16152940841499</v>
      </c>
      <c r="AL207" s="9">
        <v>265.96754199760898</v>
      </c>
      <c r="AM207" s="9">
        <v>62.2028963658002</v>
      </c>
      <c r="AN207" s="9">
        <v>1.1736395540717</v>
      </c>
      <c r="AO207" s="9">
        <v>0.52209904471532598</v>
      </c>
      <c r="AP207" s="9">
        <v>603.12761314995601</v>
      </c>
      <c r="AQ207" s="9">
        <v>11.3797662858482</v>
      </c>
      <c r="AR207" s="9">
        <v>8.7077820574871794</v>
      </c>
      <c r="AS207" s="73" t="s">
        <v>169</v>
      </c>
      <c r="AT207" s="8"/>
      <c r="AU207" s="10" t="s">
        <v>169</v>
      </c>
      <c r="AV207" s="10">
        <v>0</v>
      </c>
      <c r="AW207" s="8"/>
      <c r="AX207" s="74" t="s">
        <v>169</v>
      </c>
      <c r="AY207" s="74"/>
      <c r="AZ207" s="74"/>
      <c r="BA207" s="74"/>
      <c r="BB207" s="8"/>
      <c r="BC207" s="8"/>
      <c r="BD207" s="8"/>
      <c r="BE207" s="8"/>
      <c r="BF207" s="12">
        <v>0.44</v>
      </c>
      <c r="BG207" s="13">
        <v>203.8197930175011</v>
      </c>
      <c r="BH207" s="96" t="str">
        <f>+VLOOKUP(G207,Liste!$A$7:$G$50,3,FALSE)</f>
        <v>Pin sylvestre</v>
      </c>
      <c r="BI207" s="96" t="str">
        <f>+VLOOKUP(H207,Liste!$B$7:$G$50,5,FALSE)</f>
        <v>GS Pineraies des plaines du Centre et du Nord Ouest</v>
      </c>
      <c r="BJ207" s="135">
        <f t="shared" si="72"/>
        <v>53</v>
      </c>
      <c r="BK207" s="135" t="str">
        <f t="shared" si="74"/>
        <v>Pin sylvestre_F2_Eclaircie tardive_GS Pineraies des plaines du Centre et du Nord Ouest_53_</v>
      </c>
      <c r="BL207" s="322"/>
      <c r="BM207" s="13">
        <v>53.957333079758911</v>
      </c>
      <c r="BN207" s="13">
        <v>257.77712609726001</v>
      </c>
      <c r="BP207" s="13">
        <v>268.42</v>
      </c>
      <c r="BQ207" s="13">
        <v>8.0909204908003893</v>
      </c>
      <c r="BT207" s="298" t="str">
        <f>+VLOOKUP(G207,Liste!$A$7:$H$50,8,FALSE)</f>
        <v>Résineux</v>
      </c>
      <c r="BU207" s="298">
        <f t="shared" si="75"/>
        <v>0</v>
      </c>
      <c r="BV207" s="300">
        <f t="shared" si="76"/>
        <v>1</v>
      </c>
      <c r="BW207" s="321">
        <v>0</v>
      </c>
      <c r="BX207" s="298">
        <f t="shared" si="77"/>
        <v>0.43</v>
      </c>
      <c r="BY207">
        <f t="shared" si="78"/>
        <v>0</v>
      </c>
      <c r="BZ207" s="304">
        <f t="shared" si="79"/>
        <v>0</v>
      </c>
      <c r="CB207" s="299">
        <v>0.6</v>
      </c>
      <c r="CC207" s="299">
        <v>0.4</v>
      </c>
      <c r="CD207">
        <f t="shared" si="80"/>
        <v>0</v>
      </c>
      <c r="CE207">
        <f t="shared" si="81"/>
        <v>0</v>
      </c>
      <c r="CF207">
        <f t="shared" si="82"/>
        <v>0</v>
      </c>
      <c r="CG207">
        <f t="shared" si="83"/>
        <v>0</v>
      </c>
      <c r="CH207">
        <f t="shared" si="84"/>
        <v>0</v>
      </c>
      <c r="CI207">
        <f t="shared" si="85"/>
        <v>0</v>
      </c>
      <c r="CJ207">
        <f t="shared" si="86"/>
        <v>0</v>
      </c>
      <c r="CK207">
        <f t="shared" si="87"/>
        <v>0</v>
      </c>
      <c r="CL207">
        <f t="shared" si="88"/>
        <v>0</v>
      </c>
      <c r="CM207">
        <f t="shared" si="90"/>
        <v>0</v>
      </c>
      <c r="CN207">
        <f t="shared" si="89"/>
        <v>0</v>
      </c>
      <c r="CO207">
        <f t="shared" si="73"/>
        <v>0</v>
      </c>
    </row>
    <row r="208" spans="1:93" s="12" customFormat="1" ht="14.65" customHeight="1" x14ac:dyDescent="0.25">
      <c r="A208" s="4">
        <v>2021</v>
      </c>
      <c r="B208" s="4"/>
      <c r="C208" s="4" t="s">
        <v>64</v>
      </c>
      <c r="D208" s="4" t="s">
        <v>65</v>
      </c>
      <c r="E208" s="4"/>
      <c r="F208" s="4" t="s">
        <v>90</v>
      </c>
      <c r="G208" s="5" t="s">
        <v>15</v>
      </c>
      <c r="H208" s="5" t="s">
        <v>21</v>
      </c>
      <c r="I208" s="5" t="s">
        <v>147</v>
      </c>
      <c r="J208" s="5" t="s">
        <v>10</v>
      </c>
      <c r="K208" s="5">
        <v>23</v>
      </c>
      <c r="L208" s="5">
        <v>45</v>
      </c>
      <c r="M208" s="5">
        <v>2500</v>
      </c>
      <c r="N208" s="5" t="s">
        <v>170</v>
      </c>
      <c r="O208" s="6" t="s">
        <v>78</v>
      </c>
      <c r="P208" s="6" t="s">
        <v>80</v>
      </c>
      <c r="Q208" s="6">
        <v>2003</v>
      </c>
      <c r="R208" s="6" t="s">
        <v>50</v>
      </c>
      <c r="S208" s="6">
        <v>28</v>
      </c>
      <c r="T208" s="6">
        <v>13.5</v>
      </c>
      <c r="U208" s="6">
        <v>2157</v>
      </c>
      <c r="V208" s="6">
        <v>40.299999999999997</v>
      </c>
      <c r="W208" s="6">
        <v>0</v>
      </c>
      <c r="X208" s="6">
        <v>600</v>
      </c>
      <c r="Y208" s="6">
        <v>1043</v>
      </c>
      <c r="Z208" s="6">
        <v>457</v>
      </c>
      <c r="AA208" s="6">
        <v>57</v>
      </c>
      <c r="AB208" s="6">
        <v>0</v>
      </c>
      <c r="AC208" s="7">
        <v>54</v>
      </c>
      <c r="AD208" s="7" t="s">
        <v>52</v>
      </c>
      <c r="AE208" s="7">
        <v>22.77</v>
      </c>
      <c r="AF208" s="7">
        <v>470</v>
      </c>
      <c r="AG208" s="7">
        <v>24.01</v>
      </c>
      <c r="AH208" s="7">
        <v>25.51</v>
      </c>
      <c r="AI208" s="7">
        <v>30.57</v>
      </c>
      <c r="AJ208" s="9">
        <v>235.57072754895901</v>
      </c>
      <c r="AK208" s="9">
        <v>237.14297835843701</v>
      </c>
      <c r="AL208" s="9">
        <v>274.67532405509598</v>
      </c>
      <c r="AM208" s="9">
        <v>62.724995410515596</v>
      </c>
      <c r="AN208" s="9">
        <v>1.1615739890836201</v>
      </c>
      <c r="AO208" s="9">
        <v>0.51506245051194099</v>
      </c>
      <c r="AP208" s="9">
        <v>611.83539520744296</v>
      </c>
      <c r="AQ208" s="9">
        <v>11.3302850964341</v>
      </c>
      <c r="AR208" s="9">
        <v>8.6708965161403704</v>
      </c>
      <c r="AS208" s="73" t="s">
        <v>169</v>
      </c>
      <c r="AT208" s="8"/>
      <c r="AU208" s="10" t="s">
        <v>169</v>
      </c>
      <c r="AV208" s="10">
        <v>0</v>
      </c>
      <c r="AW208" s="8"/>
      <c r="AX208" s="74" t="s">
        <v>169</v>
      </c>
      <c r="AY208" s="74"/>
      <c r="AZ208" s="74"/>
      <c r="BA208" s="74"/>
      <c r="BB208" s="8"/>
      <c r="BC208" s="8"/>
      <c r="BD208" s="8"/>
      <c r="BE208" s="8"/>
      <c r="BF208" s="12">
        <v>0.44</v>
      </c>
      <c r="BG208" s="13">
        <v>210.49285666755534</v>
      </c>
      <c r="BH208" s="96" t="str">
        <f>+VLOOKUP(G208,Liste!$A$7:$G$50,3,FALSE)</f>
        <v>Pin sylvestre</v>
      </c>
      <c r="BI208" s="96" t="str">
        <f>+VLOOKUP(H208,Liste!$B$7:$G$50,5,FALSE)</f>
        <v>GS Pineraies des plaines du Centre et du Nord Ouest</v>
      </c>
      <c r="BJ208" s="135">
        <f t="shared" si="72"/>
        <v>54</v>
      </c>
      <c r="BK208" s="135" t="str">
        <f t="shared" si="74"/>
        <v>Pin sylvestre_F2_Eclaircie tardive_GS Pineraies des plaines du Centre et du Nord Ouest_54_</v>
      </c>
      <c r="BL208" s="322"/>
      <c r="BM208" s="13">
        <v>55.515330377638662</v>
      </c>
      <c r="BN208" s="13">
        <v>266.00818704519401</v>
      </c>
      <c r="BP208" s="13">
        <v>268.42</v>
      </c>
      <c r="BQ208" s="13">
        <v>8.0543157648629595</v>
      </c>
      <c r="BT208" s="298" t="str">
        <f>+VLOOKUP(G208,Liste!$A$7:$H$50,8,FALSE)</f>
        <v>Résineux</v>
      </c>
      <c r="BU208" s="298">
        <f t="shared" si="75"/>
        <v>0</v>
      </c>
      <c r="BV208" s="300">
        <f t="shared" si="76"/>
        <v>1</v>
      </c>
      <c r="BW208" s="321">
        <v>0</v>
      </c>
      <c r="BX208" s="298">
        <f t="shared" si="77"/>
        <v>0.43</v>
      </c>
      <c r="BY208">
        <f t="shared" si="78"/>
        <v>0</v>
      </c>
      <c r="BZ208" s="304">
        <f t="shared" si="79"/>
        <v>0</v>
      </c>
      <c r="CB208" s="299">
        <v>0.6</v>
      </c>
      <c r="CC208" s="299">
        <v>0.4</v>
      </c>
      <c r="CD208">
        <f t="shared" si="80"/>
        <v>0</v>
      </c>
      <c r="CE208">
        <f t="shared" si="81"/>
        <v>0</v>
      </c>
      <c r="CF208">
        <f t="shared" si="82"/>
        <v>0</v>
      </c>
      <c r="CG208">
        <f t="shared" si="83"/>
        <v>0</v>
      </c>
      <c r="CH208">
        <f t="shared" si="84"/>
        <v>0</v>
      </c>
      <c r="CI208">
        <f t="shared" si="85"/>
        <v>0</v>
      </c>
      <c r="CJ208">
        <f t="shared" si="86"/>
        <v>0</v>
      </c>
      <c r="CK208">
        <f t="shared" si="87"/>
        <v>0</v>
      </c>
      <c r="CL208">
        <f t="shared" si="88"/>
        <v>0</v>
      </c>
      <c r="CM208">
        <f t="shared" si="90"/>
        <v>0</v>
      </c>
      <c r="CN208">
        <f t="shared" si="89"/>
        <v>0</v>
      </c>
      <c r="CO208">
        <f t="shared" si="73"/>
        <v>0</v>
      </c>
    </row>
    <row r="209" spans="1:93" s="12" customFormat="1" ht="14.65" customHeight="1" x14ac:dyDescent="0.25">
      <c r="A209" s="4">
        <v>2021</v>
      </c>
      <c r="B209" s="4"/>
      <c r="C209" s="4" t="s">
        <v>64</v>
      </c>
      <c r="D209" s="4" t="s">
        <v>65</v>
      </c>
      <c r="E209" s="4"/>
      <c r="F209" s="4" t="s">
        <v>90</v>
      </c>
      <c r="G209" s="5" t="s">
        <v>15</v>
      </c>
      <c r="H209" s="5" t="s">
        <v>21</v>
      </c>
      <c r="I209" s="5" t="s">
        <v>147</v>
      </c>
      <c r="J209" s="5" t="s">
        <v>10</v>
      </c>
      <c r="K209" s="5">
        <v>23</v>
      </c>
      <c r="L209" s="5">
        <v>45</v>
      </c>
      <c r="M209" s="5">
        <v>2500</v>
      </c>
      <c r="N209" s="5" t="s">
        <v>170</v>
      </c>
      <c r="O209" s="6" t="s">
        <v>78</v>
      </c>
      <c r="P209" s="6" t="s">
        <v>80</v>
      </c>
      <c r="Q209" s="6">
        <v>2003</v>
      </c>
      <c r="R209" s="6" t="s">
        <v>50</v>
      </c>
      <c r="S209" s="6">
        <v>28</v>
      </c>
      <c r="T209" s="6">
        <v>13.5</v>
      </c>
      <c r="U209" s="6">
        <v>2157</v>
      </c>
      <c r="V209" s="6">
        <v>40.299999999999997</v>
      </c>
      <c r="W209" s="6">
        <v>0</v>
      </c>
      <c r="X209" s="6">
        <v>600</v>
      </c>
      <c r="Y209" s="6">
        <v>1043</v>
      </c>
      <c r="Z209" s="6">
        <v>457</v>
      </c>
      <c r="AA209" s="6">
        <v>57</v>
      </c>
      <c r="AB209" s="6">
        <v>0</v>
      </c>
      <c r="AC209" s="7">
        <v>55</v>
      </c>
      <c r="AD209" s="7" t="s">
        <v>52</v>
      </c>
      <c r="AE209" s="7">
        <v>23.05</v>
      </c>
      <c r="AF209" s="7">
        <v>470</v>
      </c>
      <c r="AG209" s="7">
        <v>24.53</v>
      </c>
      <c r="AH209" s="7">
        <v>25.78</v>
      </c>
      <c r="AI209" s="7">
        <v>30.92</v>
      </c>
      <c r="AJ209" s="9">
        <v>243.47472654762299</v>
      </c>
      <c r="AK209" s="9">
        <v>245.097891487655</v>
      </c>
      <c r="AL209" s="9">
        <v>283.34622057123698</v>
      </c>
      <c r="AM209" s="9">
        <v>63.240057861027502</v>
      </c>
      <c r="AN209" s="9">
        <v>1.14981923383686</v>
      </c>
      <c r="AO209" s="9">
        <v>0.50830010163924999</v>
      </c>
      <c r="AP209" s="9">
        <v>620.50629172358299</v>
      </c>
      <c r="AQ209" s="9">
        <v>11.2819325767924</v>
      </c>
      <c r="AR209" s="9">
        <v>8.6470746395657407</v>
      </c>
      <c r="AS209" s="73" t="s">
        <v>169</v>
      </c>
      <c r="AT209" s="8"/>
      <c r="AU209" s="10" t="s">
        <v>169</v>
      </c>
      <c r="AV209" s="10">
        <v>0</v>
      </c>
      <c r="AW209" s="8"/>
      <c r="AX209" s="74" t="s">
        <v>169</v>
      </c>
      <c r="AY209" s="74"/>
      <c r="AZ209" s="74"/>
      <c r="BA209" s="74"/>
      <c r="BB209" s="8"/>
      <c r="BC209" s="8"/>
      <c r="BD209" s="8"/>
      <c r="BE209" s="8"/>
      <c r="BF209" s="12">
        <v>0.44</v>
      </c>
      <c r="BG209" s="13">
        <v>217.13765369775786</v>
      </c>
      <c r="BH209" s="96" t="str">
        <f>+VLOOKUP(G209,Liste!$A$7:$G$50,3,FALSE)</f>
        <v>Pin sylvestre</v>
      </c>
      <c r="BI209" s="96" t="str">
        <f>+VLOOKUP(H209,Liste!$B$7:$G$50,5,FALSE)</f>
        <v>GS Pineraies des plaines du Centre et du Nord Ouest</v>
      </c>
      <c r="BJ209" s="135">
        <f t="shared" si="72"/>
        <v>55</v>
      </c>
      <c r="BK209" s="135" t="str">
        <f t="shared" si="74"/>
        <v>Pin sylvestre_F2_Eclaircie tardive_GS Pineraies des plaines du Centre et du Nord Ouest_55_</v>
      </c>
      <c r="BL209" s="322"/>
      <c r="BM209" s="13">
        <v>57.061024624223137</v>
      </c>
      <c r="BN209" s="13">
        <v>274.19867832198099</v>
      </c>
      <c r="BP209" s="13">
        <v>268.42</v>
      </c>
      <c r="BQ209" s="13">
        <v>8.0299063574958591</v>
      </c>
      <c r="BT209" s="298" t="str">
        <f>+VLOOKUP(G209,Liste!$A$7:$H$50,8,FALSE)</f>
        <v>Résineux</v>
      </c>
      <c r="BU209" s="298">
        <f t="shared" si="75"/>
        <v>0</v>
      </c>
      <c r="BV209" s="300">
        <f t="shared" si="76"/>
        <v>1</v>
      </c>
      <c r="BW209" s="321">
        <v>0</v>
      </c>
      <c r="BX209" s="298">
        <f t="shared" si="77"/>
        <v>0.43</v>
      </c>
      <c r="BY209">
        <f t="shared" si="78"/>
        <v>0</v>
      </c>
      <c r="BZ209" s="304">
        <f t="shared" si="79"/>
        <v>0</v>
      </c>
      <c r="CB209" s="299">
        <v>0.6</v>
      </c>
      <c r="CC209" s="299">
        <v>0.4</v>
      </c>
      <c r="CD209">
        <f t="shared" si="80"/>
        <v>0</v>
      </c>
      <c r="CE209">
        <f t="shared" si="81"/>
        <v>0</v>
      </c>
      <c r="CF209">
        <f t="shared" si="82"/>
        <v>0</v>
      </c>
      <c r="CG209">
        <f t="shared" si="83"/>
        <v>0</v>
      </c>
      <c r="CH209">
        <f t="shared" si="84"/>
        <v>0</v>
      </c>
      <c r="CI209">
        <f t="shared" si="85"/>
        <v>0</v>
      </c>
      <c r="CJ209">
        <f t="shared" si="86"/>
        <v>0</v>
      </c>
      <c r="CK209">
        <f t="shared" si="87"/>
        <v>0</v>
      </c>
      <c r="CL209">
        <f t="shared" si="88"/>
        <v>0</v>
      </c>
      <c r="CM209">
        <f t="shared" si="90"/>
        <v>0</v>
      </c>
      <c r="CN209">
        <f t="shared" si="89"/>
        <v>0</v>
      </c>
      <c r="CO209">
        <f t="shared" si="73"/>
        <v>0</v>
      </c>
    </row>
    <row r="210" spans="1:93" s="12" customFormat="1" ht="14.65" customHeight="1" x14ac:dyDescent="0.25">
      <c r="A210" s="4">
        <v>2021</v>
      </c>
      <c r="B210" s="4"/>
      <c r="C210" s="4" t="s">
        <v>64</v>
      </c>
      <c r="D210" s="4" t="s">
        <v>65</v>
      </c>
      <c r="E210" s="4"/>
      <c r="F210" s="4" t="s">
        <v>90</v>
      </c>
      <c r="G210" s="5" t="s">
        <v>15</v>
      </c>
      <c r="H210" s="5" t="s">
        <v>21</v>
      </c>
      <c r="I210" s="5" t="s">
        <v>147</v>
      </c>
      <c r="J210" s="5" t="s">
        <v>10</v>
      </c>
      <c r="K210" s="5">
        <v>23</v>
      </c>
      <c r="L210" s="5">
        <v>45</v>
      </c>
      <c r="M210" s="5">
        <v>2500</v>
      </c>
      <c r="N210" s="5" t="s">
        <v>170</v>
      </c>
      <c r="O210" s="6" t="s">
        <v>78</v>
      </c>
      <c r="P210" s="6" t="s">
        <v>80</v>
      </c>
      <c r="Q210" s="6">
        <v>2003</v>
      </c>
      <c r="R210" s="6" t="s">
        <v>50</v>
      </c>
      <c r="S210" s="6">
        <v>28</v>
      </c>
      <c r="T210" s="6">
        <v>13.5</v>
      </c>
      <c r="U210" s="6">
        <v>2157</v>
      </c>
      <c r="V210" s="6">
        <v>40.299999999999997</v>
      </c>
      <c r="W210" s="6">
        <v>0</v>
      </c>
      <c r="X210" s="6">
        <v>600</v>
      </c>
      <c r="Y210" s="6">
        <v>1043</v>
      </c>
      <c r="Z210" s="6">
        <v>457</v>
      </c>
      <c r="AA210" s="6">
        <v>57</v>
      </c>
      <c r="AB210" s="6">
        <v>0</v>
      </c>
      <c r="AC210" s="7">
        <v>56</v>
      </c>
      <c r="AD210" s="7" t="s">
        <v>52</v>
      </c>
      <c r="AE210" s="7">
        <v>23.32</v>
      </c>
      <c r="AF210" s="7">
        <v>470</v>
      </c>
      <c r="AG210" s="7">
        <v>25.04</v>
      </c>
      <c r="AH210" s="7">
        <v>26.04</v>
      </c>
      <c r="AI210" s="7">
        <v>31.26</v>
      </c>
      <c r="AJ210" s="9">
        <v>251.36582042185</v>
      </c>
      <c r="AK210" s="9">
        <v>253.03961705196301</v>
      </c>
      <c r="AL210" s="9">
        <v>291.99329521080199</v>
      </c>
      <c r="AM210" s="9">
        <v>63.748357962666702</v>
      </c>
      <c r="AN210" s="9">
        <v>1.13836353504762</v>
      </c>
      <c r="AO210" s="9">
        <v>0.50159096349213395</v>
      </c>
      <c r="AP210" s="9">
        <v>629.15336636314896</v>
      </c>
      <c r="AQ210" s="9">
        <v>11.2348815421991</v>
      </c>
      <c r="AR210" s="9">
        <v>8.6491351500266092</v>
      </c>
      <c r="AS210" s="73" t="s">
        <v>169</v>
      </c>
      <c r="AT210" s="8"/>
      <c r="AU210" s="10" t="s">
        <v>169</v>
      </c>
      <c r="AV210" s="10">
        <v>0</v>
      </c>
      <c r="AW210" s="8"/>
      <c r="AX210" s="74" t="s">
        <v>169</v>
      </c>
      <c r="AY210" s="74"/>
      <c r="AZ210" s="74"/>
      <c r="BA210" s="74"/>
      <c r="BB210" s="8"/>
      <c r="BC210" s="8"/>
      <c r="BD210" s="8"/>
      <c r="BE210" s="8"/>
      <c r="BF210" s="12">
        <v>0.44</v>
      </c>
      <c r="BG210" s="13">
        <v>223.76419522987825</v>
      </c>
      <c r="BH210" s="96" t="str">
        <f>+VLOOKUP(G210,Liste!$A$7:$G$50,3,FALSE)</f>
        <v>Pin sylvestre</v>
      </c>
      <c r="BI210" s="96" t="str">
        <f>+VLOOKUP(H210,Liste!$B$7:$G$50,5,FALSE)</f>
        <v>GS Pineraies des plaines du Centre et du Nord Ouest</v>
      </c>
      <c r="BJ210" s="135">
        <f t="shared" si="72"/>
        <v>56</v>
      </c>
      <c r="BK210" s="135" t="str">
        <f t="shared" si="74"/>
        <v>Pin sylvestre_F2_Eclaircie tardive_GS Pineraies des plaines du Centre et du Nord Ouest_56_</v>
      </c>
      <c r="BL210" s="322"/>
      <c r="BM210" s="13">
        <v>58.596997844576748</v>
      </c>
      <c r="BN210" s="13">
        <v>282.361193074455</v>
      </c>
      <c r="BP210" s="13">
        <v>268.42</v>
      </c>
      <c r="BQ210" s="13">
        <v>8.02957562110441</v>
      </c>
      <c r="BT210" s="298" t="str">
        <f>+VLOOKUP(G210,Liste!$A$7:$H$50,8,FALSE)</f>
        <v>Résineux</v>
      </c>
      <c r="BU210" s="298">
        <f t="shared" si="75"/>
        <v>0</v>
      </c>
      <c r="BV210" s="300">
        <f t="shared" si="76"/>
        <v>1</v>
      </c>
      <c r="BW210" s="321">
        <v>0</v>
      </c>
      <c r="BX210" s="298">
        <f t="shared" si="77"/>
        <v>0.43</v>
      </c>
      <c r="BY210">
        <f t="shared" si="78"/>
        <v>0</v>
      </c>
      <c r="BZ210" s="304">
        <f t="shared" si="79"/>
        <v>0</v>
      </c>
      <c r="CB210" s="299">
        <v>0.6</v>
      </c>
      <c r="CC210" s="299">
        <v>0.4</v>
      </c>
      <c r="CD210">
        <f t="shared" si="80"/>
        <v>0</v>
      </c>
      <c r="CE210">
        <f t="shared" si="81"/>
        <v>0</v>
      </c>
      <c r="CF210">
        <f t="shared" si="82"/>
        <v>0</v>
      </c>
      <c r="CG210">
        <f t="shared" si="83"/>
        <v>0</v>
      </c>
      <c r="CH210">
        <f t="shared" si="84"/>
        <v>0</v>
      </c>
      <c r="CI210">
        <f t="shared" si="85"/>
        <v>0</v>
      </c>
      <c r="CJ210">
        <f t="shared" si="86"/>
        <v>0</v>
      </c>
      <c r="CK210">
        <f t="shared" si="87"/>
        <v>0</v>
      </c>
      <c r="CL210">
        <f t="shared" si="88"/>
        <v>0</v>
      </c>
      <c r="CM210">
        <f t="shared" si="90"/>
        <v>0</v>
      </c>
      <c r="CN210">
        <f t="shared" si="89"/>
        <v>0</v>
      </c>
      <c r="CO210">
        <f t="shared" si="73"/>
        <v>0</v>
      </c>
    </row>
    <row r="211" spans="1:93" s="12" customFormat="1" ht="14.65" customHeight="1" x14ac:dyDescent="0.25">
      <c r="A211" s="4">
        <v>2021</v>
      </c>
      <c r="B211" s="4"/>
      <c r="C211" s="4" t="s">
        <v>64</v>
      </c>
      <c r="D211" s="4" t="s">
        <v>65</v>
      </c>
      <c r="E211" s="4"/>
      <c r="F211" s="4" t="s">
        <v>90</v>
      </c>
      <c r="G211" s="5" t="s">
        <v>15</v>
      </c>
      <c r="H211" s="5" t="s">
        <v>21</v>
      </c>
      <c r="I211" s="5" t="s">
        <v>147</v>
      </c>
      <c r="J211" s="5" t="s">
        <v>10</v>
      </c>
      <c r="K211" s="5">
        <v>23</v>
      </c>
      <c r="L211" s="5">
        <v>45</v>
      </c>
      <c r="M211" s="5">
        <v>2500</v>
      </c>
      <c r="N211" s="5" t="s">
        <v>170</v>
      </c>
      <c r="O211" s="6" t="s">
        <v>78</v>
      </c>
      <c r="P211" s="6" t="s">
        <v>80</v>
      </c>
      <c r="Q211" s="6">
        <v>2003</v>
      </c>
      <c r="R211" s="6" t="s">
        <v>50</v>
      </c>
      <c r="S211" s="6">
        <v>28</v>
      </c>
      <c r="T211" s="6">
        <v>13.5</v>
      </c>
      <c r="U211" s="6">
        <v>2157</v>
      </c>
      <c r="V211" s="6">
        <v>40.299999999999997</v>
      </c>
      <c r="W211" s="6">
        <v>0</v>
      </c>
      <c r="X211" s="6">
        <v>600</v>
      </c>
      <c r="Y211" s="6">
        <v>1043</v>
      </c>
      <c r="Z211" s="6">
        <v>457</v>
      </c>
      <c r="AA211" s="6">
        <v>57</v>
      </c>
      <c r="AB211" s="6">
        <v>0</v>
      </c>
      <c r="AC211" s="7">
        <v>57</v>
      </c>
      <c r="AD211" s="7" t="s">
        <v>52</v>
      </c>
      <c r="AE211" s="7">
        <v>23.59</v>
      </c>
      <c r="AF211" s="7">
        <v>470</v>
      </c>
      <c r="AG211" s="7">
        <v>25.54</v>
      </c>
      <c r="AH211" s="7">
        <v>26.3</v>
      </c>
      <c r="AI211" s="7">
        <v>31.59</v>
      </c>
      <c r="AJ211" s="9">
        <v>259.273314745432</v>
      </c>
      <c r="AK211" s="9">
        <v>260.996952311521</v>
      </c>
      <c r="AL211" s="9">
        <v>300.642430360829</v>
      </c>
      <c r="AM211" s="9">
        <v>64.249948926158893</v>
      </c>
      <c r="AN211" s="9">
        <v>1.1271920864238401</v>
      </c>
      <c r="AO211" s="9">
        <v>0.49610776904623299</v>
      </c>
      <c r="AP211" s="9">
        <v>637.802501513175</v>
      </c>
      <c r="AQ211" s="9">
        <v>11.189517570406601</v>
      </c>
      <c r="AR211" s="9">
        <v>8.6365649594704301</v>
      </c>
      <c r="AS211" s="73" t="s">
        <v>169</v>
      </c>
      <c r="AT211" s="8"/>
      <c r="AU211" s="10" t="s">
        <v>169</v>
      </c>
      <c r="AV211" s="10">
        <v>0</v>
      </c>
      <c r="AW211" s="8"/>
      <c r="AX211" s="74" t="s">
        <v>169</v>
      </c>
      <c r="AY211" s="74"/>
      <c r="AZ211" s="74"/>
      <c r="BA211" s="74"/>
      <c r="BB211" s="8"/>
      <c r="BC211" s="8"/>
      <c r="BD211" s="8"/>
      <c r="BE211" s="8"/>
      <c r="BF211" s="12">
        <v>0.44</v>
      </c>
      <c r="BG211" s="13">
        <v>230.39231579984843</v>
      </c>
      <c r="BH211" s="96" t="str">
        <f>+VLOOKUP(G211,Liste!$A$7:$G$50,3,FALSE)</f>
        <v>Pin sylvestre</v>
      </c>
      <c r="BI211" s="96" t="str">
        <f>+VLOOKUP(H211,Liste!$B$7:$G$50,5,FALSE)</f>
        <v>GS Pineraies des plaines du Centre et du Nord Ouest</v>
      </c>
      <c r="BJ211" s="135">
        <f t="shared" si="72"/>
        <v>57</v>
      </c>
      <c r="BK211" s="135" t="str">
        <f t="shared" si="74"/>
        <v>Pin sylvestre_F2_Eclaircie tardive_GS Pineraies des plaines du Centre et du Nord Ouest_57_</v>
      </c>
      <c r="BL211" s="322"/>
      <c r="BM211" s="13">
        <v>60.128048896834542</v>
      </c>
      <c r="BN211" s="13">
        <v>290.52036469668298</v>
      </c>
      <c r="BP211" s="13">
        <v>268.42</v>
      </c>
      <c r="BQ211" s="13">
        <v>8.0157001685345204</v>
      </c>
      <c r="BT211" s="298" t="str">
        <f>+VLOOKUP(G211,Liste!$A$7:$H$50,8,FALSE)</f>
        <v>Résineux</v>
      </c>
      <c r="BU211" s="298">
        <f t="shared" si="75"/>
        <v>0</v>
      </c>
      <c r="BV211" s="300">
        <f t="shared" si="76"/>
        <v>1</v>
      </c>
      <c r="BW211" s="321">
        <v>0</v>
      </c>
      <c r="BX211" s="298">
        <f t="shared" si="77"/>
        <v>0.43</v>
      </c>
      <c r="BY211">
        <f t="shared" si="78"/>
        <v>0</v>
      </c>
      <c r="BZ211" s="304">
        <f t="shared" si="79"/>
        <v>0</v>
      </c>
      <c r="CB211" s="299">
        <v>0.6</v>
      </c>
      <c r="CC211" s="299">
        <v>0.4</v>
      </c>
      <c r="CD211">
        <f t="shared" si="80"/>
        <v>0</v>
      </c>
      <c r="CE211">
        <f t="shared" si="81"/>
        <v>0</v>
      </c>
      <c r="CF211">
        <f t="shared" si="82"/>
        <v>0</v>
      </c>
      <c r="CG211">
        <f t="shared" si="83"/>
        <v>0</v>
      </c>
      <c r="CH211">
        <f t="shared" si="84"/>
        <v>0</v>
      </c>
      <c r="CI211">
        <f t="shared" si="85"/>
        <v>0</v>
      </c>
      <c r="CJ211">
        <f t="shared" si="86"/>
        <v>0</v>
      </c>
      <c r="CK211">
        <f t="shared" si="87"/>
        <v>0</v>
      </c>
      <c r="CL211">
        <f t="shared" si="88"/>
        <v>0</v>
      </c>
      <c r="CM211">
        <f t="shared" si="90"/>
        <v>0</v>
      </c>
      <c r="CN211">
        <f t="shared" si="89"/>
        <v>0</v>
      </c>
      <c r="CO211">
        <f t="shared" si="73"/>
        <v>0</v>
      </c>
    </row>
    <row r="212" spans="1:93" s="12" customFormat="1" ht="14.65" customHeight="1" x14ac:dyDescent="0.25">
      <c r="A212" s="4">
        <v>2021</v>
      </c>
      <c r="B212" s="4"/>
      <c r="C212" s="4" t="s">
        <v>64</v>
      </c>
      <c r="D212" s="4" t="s">
        <v>65</v>
      </c>
      <c r="E212" s="4"/>
      <c r="F212" s="4" t="s">
        <v>90</v>
      </c>
      <c r="G212" s="5" t="s">
        <v>15</v>
      </c>
      <c r="H212" s="5" t="s">
        <v>21</v>
      </c>
      <c r="I212" s="5" t="s">
        <v>147</v>
      </c>
      <c r="J212" s="5" t="s">
        <v>10</v>
      </c>
      <c r="K212" s="5">
        <v>23</v>
      </c>
      <c r="L212" s="5">
        <v>45</v>
      </c>
      <c r="M212" s="5">
        <v>2500</v>
      </c>
      <c r="N212" s="5" t="s">
        <v>170</v>
      </c>
      <c r="O212" s="6" t="s">
        <v>78</v>
      </c>
      <c r="P212" s="6" t="s">
        <v>80</v>
      </c>
      <c r="Q212" s="6">
        <v>2003</v>
      </c>
      <c r="R212" s="6" t="s">
        <v>50</v>
      </c>
      <c r="S212" s="6">
        <v>28</v>
      </c>
      <c r="T212" s="6">
        <v>13.5</v>
      </c>
      <c r="U212" s="6">
        <v>2157</v>
      </c>
      <c r="V212" s="6">
        <v>40.299999999999997</v>
      </c>
      <c r="W212" s="6">
        <v>0</v>
      </c>
      <c r="X212" s="6">
        <v>600</v>
      </c>
      <c r="Y212" s="6">
        <v>1043</v>
      </c>
      <c r="Z212" s="6">
        <v>457</v>
      </c>
      <c r="AA212" s="6">
        <v>57</v>
      </c>
      <c r="AB212" s="6">
        <v>0</v>
      </c>
      <c r="AC212" s="7">
        <v>58</v>
      </c>
      <c r="AD212" s="7" t="s">
        <v>52</v>
      </c>
      <c r="AE212" s="7">
        <v>23.86</v>
      </c>
      <c r="AF212" s="7">
        <v>470</v>
      </c>
      <c r="AG212" s="7">
        <v>26.04</v>
      </c>
      <c r="AH212" s="7">
        <v>26.56</v>
      </c>
      <c r="AI212" s="7">
        <v>31.92</v>
      </c>
      <c r="AJ212" s="9">
        <v>267.17765144431797</v>
      </c>
      <c r="AK212" s="9">
        <v>268.95086910436498</v>
      </c>
      <c r="AL212" s="9">
        <v>309.27899532029898</v>
      </c>
      <c r="AM212" s="9">
        <v>64.746056695205098</v>
      </c>
      <c r="AN212" s="9">
        <v>1.1163113223311201</v>
      </c>
      <c r="AO212" s="9">
        <v>0.48814126341739</v>
      </c>
      <c r="AP212" s="9">
        <v>646.439066472646</v>
      </c>
      <c r="AQ212" s="9">
        <v>11.1455011460801</v>
      </c>
      <c r="AR212" s="9">
        <v>8.5886359147112898</v>
      </c>
      <c r="AS212" s="73" t="s">
        <v>169</v>
      </c>
      <c r="AT212" s="8"/>
      <c r="AU212" s="10" t="s">
        <v>169</v>
      </c>
      <c r="AV212" s="10">
        <v>0</v>
      </c>
      <c r="AW212" s="8"/>
      <c r="AX212" s="74" t="s">
        <v>169</v>
      </c>
      <c r="AY212" s="74"/>
      <c r="AZ212" s="74"/>
      <c r="BA212" s="74"/>
      <c r="BB212" s="8"/>
      <c r="BC212" s="8"/>
      <c r="BD212" s="8"/>
      <c r="BE212" s="8"/>
      <c r="BF212" s="12">
        <v>0.44</v>
      </c>
      <c r="BG212" s="13">
        <v>237.01080341378955</v>
      </c>
      <c r="BH212" s="96" t="str">
        <f>+VLOOKUP(G212,Liste!$A$7:$G$50,3,FALSE)</f>
        <v>Pin sylvestre</v>
      </c>
      <c r="BI212" s="96" t="str">
        <f>+VLOOKUP(H212,Liste!$B$7:$G$50,5,FALSE)</f>
        <v>GS Pineraies des plaines du Centre et du Nord Ouest</v>
      </c>
      <c r="BJ212" s="135">
        <f t="shared" si="72"/>
        <v>58</v>
      </c>
      <c r="BK212" s="135" t="str">
        <f t="shared" si="74"/>
        <v>Pin sylvestre_F2_Eclaircie tardive_GS Pineraies des plaines du Centre et du Nord Ouest_58_</v>
      </c>
      <c r="BL212" s="322"/>
      <c r="BM212" s="13">
        <v>61.651766685685431</v>
      </c>
      <c r="BN212" s="13">
        <v>298.66257009947498</v>
      </c>
      <c r="BP212" s="13">
        <v>268.42</v>
      </c>
      <c r="BQ212" s="13">
        <v>7.9690633997607803</v>
      </c>
      <c r="BT212" s="298" t="str">
        <f>+VLOOKUP(G212,Liste!$A$7:$H$50,8,FALSE)</f>
        <v>Résineux</v>
      </c>
      <c r="BU212" s="298">
        <f t="shared" si="75"/>
        <v>0</v>
      </c>
      <c r="BV212" s="300">
        <f t="shared" si="76"/>
        <v>1</v>
      </c>
      <c r="BW212" s="321">
        <v>0</v>
      </c>
      <c r="BX212" s="298">
        <f t="shared" si="77"/>
        <v>0.43</v>
      </c>
      <c r="BY212">
        <f t="shared" si="78"/>
        <v>0</v>
      </c>
      <c r="BZ212" s="304">
        <f t="shared" si="79"/>
        <v>0</v>
      </c>
      <c r="CB212" s="299">
        <v>0.6</v>
      </c>
      <c r="CC212" s="299">
        <v>0.4</v>
      </c>
      <c r="CD212">
        <f t="shared" si="80"/>
        <v>0</v>
      </c>
      <c r="CE212">
        <f t="shared" si="81"/>
        <v>0</v>
      </c>
      <c r="CF212">
        <f t="shared" si="82"/>
        <v>0</v>
      </c>
      <c r="CG212">
        <f t="shared" si="83"/>
        <v>0</v>
      </c>
      <c r="CH212">
        <f t="shared" si="84"/>
        <v>0</v>
      </c>
      <c r="CI212">
        <f t="shared" si="85"/>
        <v>0</v>
      </c>
      <c r="CJ212">
        <f t="shared" si="86"/>
        <v>0</v>
      </c>
      <c r="CK212">
        <f t="shared" si="87"/>
        <v>0</v>
      </c>
      <c r="CL212">
        <f t="shared" si="88"/>
        <v>0</v>
      </c>
      <c r="CM212">
        <f t="shared" si="90"/>
        <v>0</v>
      </c>
      <c r="CN212">
        <f t="shared" si="89"/>
        <v>0</v>
      </c>
      <c r="CO212">
        <f t="shared" si="73"/>
        <v>0</v>
      </c>
    </row>
    <row r="213" spans="1:93" s="12" customFormat="1" ht="14.65" customHeight="1" x14ac:dyDescent="0.25">
      <c r="A213" s="4">
        <v>2021</v>
      </c>
      <c r="B213" s="4"/>
      <c r="C213" s="4" t="s">
        <v>64</v>
      </c>
      <c r="D213" s="4" t="s">
        <v>65</v>
      </c>
      <c r="E213" s="4"/>
      <c r="F213" s="4" t="s">
        <v>90</v>
      </c>
      <c r="G213" s="5" t="s">
        <v>15</v>
      </c>
      <c r="H213" s="5" t="s">
        <v>21</v>
      </c>
      <c r="I213" s="5" t="s">
        <v>147</v>
      </c>
      <c r="J213" s="5" t="s">
        <v>10</v>
      </c>
      <c r="K213" s="5">
        <v>23</v>
      </c>
      <c r="L213" s="5">
        <v>45</v>
      </c>
      <c r="M213" s="5">
        <v>2500</v>
      </c>
      <c r="N213" s="5" t="s">
        <v>170</v>
      </c>
      <c r="O213" s="6" t="s">
        <v>78</v>
      </c>
      <c r="P213" s="6" t="s">
        <v>80</v>
      </c>
      <c r="Q213" s="6">
        <v>2003</v>
      </c>
      <c r="R213" s="6" t="s">
        <v>50</v>
      </c>
      <c r="S213" s="6">
        <v>28</v>
      </c>
      <c r="T213" s="6">
        <v>13.5</v>
      </c>
      <c r="U213" s="6">
        <v>2157</v>
      </c>
      <c r="V213" s="6">
        <v>40.299999999999997</v>
      </c>
      <c r="W213" s="6">
        <v>0</v>
      </c>
      <c r="X213" s="6">
        <v>600</v>
      </c>
      <c r="Y213" s="6">
        <v>1043</v>
      </c>
      <c r="Z213" s="6">
        <v>457</v>
      </c>
      <c r="AA213" s="6">
        <v>57</v>
      </c>
      <c r="AB213" s="6">
        <v>0</v>
      </c>
      <c r="AC213" s="7">
        <v>59</v>
      </c>
      <c r="AD213" s="7" t="s">
        <v>52</v>
      </c>
      <c r="AE213" s="7">
        <v>24.11</v>
      </c>
      <c r="AF213" s="7">
        <v>470</v>
      </c>
      <c r="AG213" s="7">
        <v>26.52</v>
      </c>
      <c r="AH213" s="7">
        <v>26.81</v>
      </c>
      <c r="AI213" s="7">
        <v>32.24</v>
      </c>
      <c r="AJ213" s="9">
        <v>275.04693225353401</v>
      </c>
      <c r="AK213" s="9">
        <v>276.86927072821601</v>
      </c>
      <c r="AL213" s="9">
        <v>317.867631235011</v>
      </c>
      <c r="AM213" s="9">
        <v>65.234197958622502</v>
      </c>
      <c r="AN213" s="9">
        <v>1.1056643721800401</v>
      </c>
      <c r="AO213" s="9">
        <v>0.48245930040428697</v>
      </c>
      <c r="AP213" s="9">
        <v>655.02770238735695</v>
      </c>
      <c r="AQ213" s="9">
        <v>11.1021644472433</v>
      </c>
      <c r="AR213" s="9">
        <v>8.6085282764828399</v>
      </c>
      <c r="AS213" s="73" t="s">
        <v>169</v>
      </c>
      <c r="AT213" s="8"/>
      <c r="AU213" s="10" t="s">
        <v>169</v>
      </c>
      <c r="AV213" s="10">
        <v>0</v>
      </c>
      <c r="AW213" s="8"/>
      <c r="AX213" s="74" t="s">
        <v>169</v>
      </c>
      <c r="AY213" s="74"/>
      <c r="AZ213" s="74"/>
      <c r="BA213" s="74"/>
      <c r="BB213" s="8"/>
      <c r="BC213" s="8"/>
      <c r="BD213" s="8"/>
      <c r="BE213" s="8"/>
      <c r="BF213" s="12">
        <v>0.44</v>
      </c>
      <c r="BG213" s="13">
        <v>243.5925614030964</v>
      </c>
      <c r="BH213" s="96" t="str">
        <f>+VLOOKUP(G213,Liste!$A$7:$G$50,3,FALSE)</f>
        <v>Pin sylvestre</v>
      </c>
      <c r="BI213" s="96" t="str">
        <f>+VLOOKUP(H213,Liste!$B$7:$G$50,5,FALSE)</f>
        <v>GS Pineraies des plaines du Centre et du Nord Ouest</v>
      </c>
      <c r="BJ213" s="135">
        <f t="shared" si="72"/>
        <v>59</v>
      </c>
      <c r="BK213" s="135" t="str">
        <f t="shared" si="74"/>
        <v>Pin sylvestre_F2_Eclaircie tardive_GS Pineraies des plaines du Centre et du Nord Ouest_59_</v>
      </c>
      <c r="BL213" s="322"/>
      <c r="BM213" s="13">
        <v>63.162123931260624</v>
      </c>
      <c r="BN213" s="13">
        <v>306.75468533435702</v>
      </c>
      <c r="BP213" s="13">
        <v>268.42</v>
      </c>
      <c r="BQ213" s="13">
        <v>7.9853976369152004</v>
      </c>
      <c r="BT213" s="298" t="str">
        <f>+VLOOKUP(G213,Liste!$A$7:$H$50,8,FALSE)</f>
        <v>Résineux</v>
      </c>
      <c r="BU213" s="298">
        <f t="shared" si="75"/>
        <v>0</v>
      </c>
      <c r="BV213" s="300">
        <f t="shared" si="76"/>
        <v>1</v>
      </c>
      <c r="BW213" s="321">
        <v>0</v>
      </c>
      <c r="BX213" s="298">
        <f t="shared" si="77"/>
        <v>0.43</v>
      </c>
      <c r="BY213">
        <f t="shared" si="78"/>
        <v>0</v>
      </c>
      <c r="BZ213" s="304">
        <f t="shared" si="79"/>
        <v>0</v>
      </c>
      <c r="CB213" s="299">
        <v>0.6</v>
      </c>
      <c r="CC213" s="299">
        <v>0.4</v>
      </c>
      <c r="CD213">
        <f t="shared" si="80"/>
        <v>0</v>
      </c>
      <c r="CE213">
        <f t="shared" si="81"/>
        <v>0</v>
      </c>
      <c r="CF213">
        <f t="shared" si="82"/>
        <v>0</v>
      </c>
      <c r="CG213">
        <f t="shared" si="83"/>
        <v>0</v>
      </c>
      <c r="CH213">
        <f t="shared" si="84"/>
        <v>0</v>
      </c>
      <c r="CI213">
        <f t="shared" si="85"/>
        <v>0</v>
      </c>
      <c r="CJ213">
        <f t="shared" si="86"/>
        <v>0</v>
      </c>
      <c r="CK213">
        <f t="shared" si="87"/>
        <v>0</v>
      </c>
      <c r="CL213">
        <f t="shared" si="88"/>
        <v>0</v>
      </c>
      <c r="CM213">
        <f t="shared" si="90"/>
        <v>0</v>
      </c>
      <c r="CN213">
        <f t="shared" si="89"/>
        <v>0</v>
      </c>
      <c r="CO213">
        <f t="shared" si="73"/>
        <v>0</v>
      </c>
    </row>
    <row r="214" spans="1:93" s="12" customFormat="1" ht="14.65" customHeight="1" x14ac:dyDescent="0.25">
      <c r="A214" s="4">
        <v>2021</v>
      </c>
      <c r="B214" s="4"/>
      <c r="C214" s="4" t="s">
        <v>64</v>
      </c>
      <c r="D214" s="4" t="s">
        <v>65</v>
      </c>
      <c r="E214" s="4"/>
      <c r="F214" s="4" t="s">
        <v>90</v>
      </c>
      <c r="G214" s="5" t="s">
        <v>15</v>
      </c>
      <c r="H214" s="5" t="s">
        <v>21</v>
      </c>
      <c r="I214" s="5" t="s">
        <v>147</v>
      </c>
      <c r="J214" s="5" t="s">
        <v>10</v>
      </c>
      <c r="K214" s="5">
        <v>23</v>
      </c>
      <c r="L214" s="5">
        <v>45</v>
      </c>
      <c r="M214" s="5">
        <v>2500</v>
      </c>
      <c r="N214" s="5" t="s">
        <v>170</v>
      </c>
      <c r="O214" s="6" t="s">
        <v>78</v>
      </c>
      <c r="P214" s="6" t="s">
        <v>80</v>
      </c>
      <c r="Q214" s="6">
        <v>2003</v>
      </c>
      <c r="R214" s="6" t="s">
        <v>50</v>
      </c>
      <c r="S214" s="6">
        <v>28</v>
      </c>
      <c r="T214" s="6">
        <v>13.5</v>
      </c>
      <c r="U214" s="6">
        <v>2157</v>
      </c>
      <c r="V214" s="6">
        <v>40.299999999999997</v>
      </c>
      <c r="W214" s="6">
        <v>0</v>
      </c>
      <c r="X214" s="6">
        <v>600</v>
      </c>
      <c r="Y214" s="6">
        <v>1043</v>
      </c>
      <c r="Z214" s="6">
        <v>457</v>
      </c>
      <c r="AA214" s="6">
        <v>57</v>
      </c>
      <c r="AB214" s="6">
        <v>0</v>
      </c>
      <c r="AC214" s="7">
        <v>60</v>
      </c>
      <c r="AD214" s="7" t="s">
        <v>52</v>
      </c>
      <c r="AE214" s="7">
        <v>24.37</v>
      </c>
      <c r="AF214" s="7">
        <v>470</v>
      </c>
      <c r="AG214" s="7">
        <v>27.01</v>
      </c>
      <c r="AH214" s="7">
        <v>27.05</v>
      </c>
      <c r="AI214" s="7">
        <v>32.56</v>
      </c>
      <c r="AJ214" s="9">
        <v>282.95204562594398</v>
      </c>
      <c r="AK214" s="9">
        <v>284.82221021850501</v>
      </c>
      <c r="AL214" s="9">
        <v>326.47615951149402</v>
      </c>
      <c r="AM214" s="9">
        <v>65.716657259026803</v>
      </c>
      <c r="AN214" s="9">
        <v>1.09527762098378</v>
      </c>
      <c r="AO214" s="9">
        <v>0.477241036466864</v>
      </c>
      <c r="AP214" s="9">
        <v>663.63623066384002</v>
      </c>
      <c r="AQ214" s="9">
        <v>11.060603844397299</v>
      </c>
      <c r="AR214" s="9">
        <v>8.5330125485679709</v>
      </c>
      <c r="AS214" s="73" t="s">
        <v>169</v>
      </c>
      <c r="AT214" s="8"/>
      <c r="AU214" s="10" t="s">
        <v>169</v>
      </c>
      <c r="AV214" s="10">
        <v>0</v>
      </c>
      <c r="AW214" s="8"/>
      <c r="AX214" s="74" t="s">
        <v>169</v>
      </c>
      <c r="AY214" s="74"/>
      <c r="AZ214" s="74"/>
      <c r="BA214" s="74"/>
      <c r="BB214" s="8"/>
      <c r="BC214" s="8"/>
      <c r="BD214" s="8"/>
      <c r="BE214" s="8"/>
      <c r="BF214" s="12">
        <v>0.44</v>
      </c>
      <c r="BG214" s="13">
        <v>250.18956357230806</v>
      </c>
      <c r="BH214" s="96" t="str">
        <f>+VLOOKUP(G214,Liste!$A$7:$G$50,3,FALSE)</f>
        <v>Pin sylvestre</v>
      </c>
      <c r="BI214" s="96" t="str">
        <f>+VLOOKUP(H214,Liste!$B$7:$G$50,5,FALSE)</f>
        <v>GS Pineraies des plaines du Centre et du Nord Ouest</v>
      </c>
      <c r="BJ214" s="135">
        <f t="shared" si="72"/>
        <v>60</v>
      </c>
      <c r="BK214" s="135" t="str">
        <f t="shared" si="74"/>
        <v>Pin sylvestre_F2_Eclaircie tardive_GS Pineraies des plaines du Centre et du Nord Ouest_60_</v>
      </c>
      <c r="BL214" s="322"/>
      <c r="BM214" s="13">
        <v>64.671219638488964</v>
      </c>
      <c r="BN214" s="13">
        <v>314.86078321079702</v>
      </c>
      <c r="BP214" s="13">
        <v>268.42</v>
      </c>
      <c r="BQ214" s="13">
        <v>7.9132806962034001</v>
      </c>
      <c r="BT214" s="298" t="str">
        <f>+VLOOKUP(G214,Liste!$A$7:$H$50,8,FALSE)</f>
        <v>Résineux</v>
      </c>
      <c r="BU214" s="298">
        <f t="shared" si="75"/>
        <v>0</v>
      </c>
      <c r="BV214" s="300">
        <f t="shared" si="76"/>
        <v>1</v>
      </c>
      <c r="BW214" s="321">
        <v>0</v>
      </c>
      <c r="BX214" s="298">
        <f t="shared" si="77"/>
        <v>0.43</v>
      </c>
      <c r="BY214">
        <f t="shared" si="78"/>
        <v>0</v>
      </c>
      <c r="BZ214" s="304">
        <f t="shared" si="79"/>
        <v>0</v>
      </c>
      <c r="CB214" s="299">
        <v>0.6</v>
      </c>
      <c r="CC214" s="299">
        <v>0.4</v>
      </c>
      <c r="CD214">
        <f t="shared" si="80"/>
        <v>0</v>
      </c>
      <c r="CE214">
        <f t="shared" si="81"/>
        <v>0</v>
      </c>
      <c r="CF214">
        <f t="shared" si="82"/>
        <v>0</v>
      </c>
      <c r="CG214">
        <f t="shared" si="83"/>
        <v>0</v>
      </c>
      <c r="CH214">
        <f t="shared" si="84"/>
        <v>0</v>
      </c>
      <c r="CI214">
        <f t="shared" si="85"/>
        <v>0</v>
      </c>
      <c r="CJ214">
        <f t="shared" si="86"/>
        <v>0</v>
      </c>
      <c r="CK214">
        <f t="shared" si="87"/>
        <v>0</v>
      </c>
      <c r="CL214">
        <f t="shared" si="88"/>
        <v>0</v>
      </c>
      <c r="CM214">
        <f t="shared" si="90"/>
        <v>0</v>
      </c>
      <c r="CN214">
        <f t="shared" si="89"/>
        <v>0</v>
      </c>
      <c r="CO214">
        <f t="shared" si="73"/>
        <v>0</v>
      </c>
    </row>
    <row r="215" spans="1:93" s="12" customFormat="1" ht="14.65" customHeight="1" x14ac:dyDescent="0.25">
      <c r="A215" s="4">
        <v>2021</v>
      </c>
      <c r="B215" s="4"/>
      <c r="C215" s="4" t="s">
        <v>64</v>
      </c>
      <c r="D215" s="4" t="s">
        <v>65</v>
      </c>
      <c r="E215" s="4"/>
      <c r="F215" s="4" t="s">
        <v>90</v>
      </c>
      <c r="G215" s="5" t="s">
        <v>15</v>
      </c>
      <c r="H215" s="5" t="s">
        <v>21</v>
      </c>
      <c r="I215" s="5" t="s">
        <v>147</v>
      </c>
      <c r="J215" s="5" t="s">
        <v>10</v>
      </c>
      <c r="K215" s="5">
        <v>23</v>
      </c>
      <c r="L215" s="5">
        <v>45</v>
      </c>
      <c r="M215" s="5">
        <v>2500</v>
      </c>
      <c r="N215" s="5" t="s">
        <v>170</v>
      </c>
      <c r="O215" s="6" t="s">
        <v>78</v>
      </c>
      <c r="P215" s="6" t="s">
        <v>80</v>
      </c>
      <c r="Q215" s="6">
        <v>2003</v>
      </c>
      <c r="R215" s="6" t="s">
        <v>50</v>
      </c>
      <c r="S215" s="6">
        <v>28</v>
      </c>
      <c r="T215" s="6">
        <v>13.5</v>
      </c>
      <c r="U215" s="6">
        <v>2157</v>
      </c>
      <c r="V215" s="6">
        <v>40.299999999999997</v>
      </c>
      <c r="W215" s="6">
        <v>0</v>
      </c>
      <c r="X215" s="6">
        <v>600</v>
      </c>
      <c r="Y215" s="6">
        <v>1043</v>
      </c>
      <c r="Z215" s="6">
        <v>457</v>
      </c>
      <c r="AA215" s="6">
        <v>57</v>
      </c>
      <c r="AB215" s="6">
        <v>0</v>
      </c>
      <c r="AC215" s="7">
        <v>61</v>
      </c>
      <c r="AD215" s="7" t="s">
        <v>52</v>
      </c>
      <c r="AE215" s="7">
        <v>24.62</v>
      </c>
      <c r="AF215" s="7">
        <v>470</v>
      </c>
      <c r="AG215" s="7">
        <v>27.48</v>
      </c>
      <c r="AH215" s="7">
        <v>27.29</v>
      </c>
      <c r="AI215" s="7">
        <v>32.869999999999997</v>
      </c>
      <c r="AJ215" s="9">
        <v>290.78313129239899</v>
      </c>
      <c r="AK215" s="9">
        <v>292.701923609093</v>
      </c>
      <c r="AL215" s="9">
        <v>335.00917206006102</v>
      </c>
      <c r="AM215" s="9">
        <v>66.193898295493696</v>
      </c>
      <c r="AN215" s="9">
        <v>1.08514587369662</v>
      </c>
      <c r="AO215" s="9">
        <v>0.47031486924524302</v>
      </c>
      <c r="AP215" s="9">
        <v>672.16924321240799</v>
      </c>
      <c r="AQ215" s="9">
        <v>11.019167921514899</v>
      </c>
      <c r="AR215" s="9">
        <v>8.5678078036553398</v>
      </c>
      <c r="AS215" s="73" t="s">
        <v>169</v>
      </c>
      <c r="AT215" s="8"/>
      <c r="AU215" s="10" t="s">
        <v>169</v>
      </c>
      <c r="AV215" s="10">
        <v>0</v>
      </c>
      <c r="AW215" s="8"/>
      <c r="AX215" s="74" t="s">
        <v>169</v>
      </c>
      <c r="AY215" s="74"/>
      <c r="AZ215" s="74"/>
      <c r="BA215" s="74"/>
      <c r="BB215" s="8"/>
      <c r="BC215" s="8"/>
      <c r="BD215" s="8"/>
      <c r="BE215" s="8"/>
      <c r="BF215" s="12">
        <v>0.44</v>
      </c>
      <c r="BG215" s="13">
        <v>256.72869552202695</v>
      </c>
      <c r="BH215" s="96" t="str">
        <f>+VLOOKUP(G215,Liste!$A$7:$G$50,3,FALSE)</f>
        <v>Pin sylvestre</v>
      </c>
      <c r="BI215" s="96" t="str">
        <f>+VLOOKUP(H215,Liste!$B$7:$G$50,5,FALSE)</f>
        <v>GS Pineraies des plaines du Centre et du Nord Ouest</v>
      </c>
      <c r="BJ215" s="135">
        <f t="shared" si="72"/>
        <v>61</v>
      </c>
      <c r="BK215" s="135" t="str">
        <f t="shared" si="74"/>
        <v>Pin sylvestre_F2_Eclaircie tardive_GS Pineraies des plaines du Centre et du Nord Ouest_61_</v>
      </c>
      <c r="BL215" s="322"/>
      <c r="BM215" s="13">
        <v>66.162512313791069</v>
      </c>
      <c r="BN215" s="13">
        <v>322.89120783581802</v>
      </c>
      <c r="BP215" s="13">
        <v>268.42</v>
      </c>
      <c r="BQ215" s="13">
        <v>7.9435073748915102</v>
      </c>
      <c r="BT215" s="298" t="str">
        <f>+VLOOKUP(G215,Liste!$A$7:$H$50,8,FALSE)</f>
        <v>Résineux</v>
      </c>
      <c r="BU215" s="298">
        <f t="shared" si="75"/>
        <v>0</v>
      </c>
      <c r="BV215" s="300">
        <f t="shared" si="76"/>
        <v>1</v>
      </c>
      <c r="BW215" s="321">
        <v>0</v>
      </c>
      <c r="BX215" s="298">
        <f t="shared" si="77"/>
        <v>0.43</v>
      </c>
      <c r="BY215">
        <f t="shared" si="78"/>
        <v>0</v>
      </c>
      <c r="BZ215" s="304">
        <f t="shared" si="79"/>
        <v>0</v>
      </c>
      <c r="CB215" s="299">
        <v>0.6</v>
      </c>
      <c r="CC215" s="299">
        <v>0.4</v>
      </c>
      <c r="CD215">
        <f t="shared" si="80"/>
        <v>0</v>
      </c>
      <c r="CE215">
        <f t="shared" si="81"/>
        <v>0</v>
      </c>
      <c r="CF215">
        <f t="shared" si="82"/>
        <v>0</v>
      </c>
      <c r="CG215">
        <f t="shared" si="83"/>
        <v>0</v>
      </c>
      <c r="CH215">
        <f t="shared" si="84"/>
        <v>0</v>
      </c>
      <c r="CI215">
        <f t="shared" si="85"/>
        <v>0</v>
      </c>
      <c r="CJ215">
        <f t="shared" si="86"/>
        <v>0</v>
      </c>
      <c r="CK215">
        <f t="shared" si="87"/>
        <v>0</v>
      </c>
      <c r="CL215">
        <f t="shared" si="88"/>
        <v>0</v>
      </c>
      <c r="CM215">
        <f t="shared" si="90"/>
        <v>0</v>
      </c>
      <c r="CN215">
        <f t="shared" si="89"/>
        <v>0</v>
      </c>
      <c r="CO215">
        <f t="shared" si="73"/>
        <v>0</v>
      </c>
    </row>
    <row r="216" spans="1:93" s="12" customFormat="1" ht="14.65" customHeight="1" x14ac:dyDescent="0.25">
      <c r="A216" s="4">
        <v>2021</v>
      </c>
      <c r="B216" s="4"/>
      <c r="C216" s="4" t="s">
        <v>64</v>
      </c>
      <c r="D216" s="4" t="s">
        <v>65</v>
      </c>
      <c r="E216" s="4"/>
      <c r="F216" s="4" t="s">
        <v>90</v>
      </c>
      <c r="G216" s="5" t="s">
        <v>15</v>
      </c>
      <c r="H216" s="5" t="s">
        <v>21</v>
      </c>
      <c r="I216" s="5" t="s">
        <v>147</v>
      </c>
      <c r="J216" s="5" t="s">
        <v>10</v>
      </c>
      <c r="K216" s="5">
        <v>23</v>
      </c>
      <c r="L216" s="5">
        <v>45</v>
      </c>
      <c r="M216" s="5">
        <v>2500</v>
      </c>
      <c r="N216" s="5" t="s">
        <v>170</v>
      </c>
      <c r="O216" s="6" t="s">
        <v>78</v>
      </c>
      <c r="P216" s="6" t="s">
        <v>80</v>
      </c>
      <c r="Q216" s="6">
        <v>2003</v>
      </c>
      <c r="R216" s="6" t="s">
        <v>50</v>
      </c>
      <c r="S216" s="6">
        <v>28</v>
      </c>
      <c r="T216" s="6">
        <v>13.5</v>
      </c>
      <c r="U216" s="6">
        <v>2157</v>
      </c>
      <c r="V216" s="6">
        <v>40.299999999999997</v>
      </c>
      <c r="W216" s="6">
        <v>0</v>
      </c>
      <c r="X216" s="6">
        <v>600</v>
      </c>
      <c r="Y216" s="6">
        <v>1043</v>
      </c>
      <c r="Z216" s="6">
        <v>457</v>
      </c>
      <c r="AA216" s="6">
        <v>57</v>
      </c>
      <c r="AB216" s="6">
        <v>0</v>
      </c>
      <c r="AC216" s="7">
        <v>62</v>
      </c>
      <c r="AD216" s="7" t="s">
        <v>52</v>
      </c>
      <c r="AE216" s="7">
        <v>24.86</v>
      </c>
      <c r="AF216" s="7">
        <v>470</v>
      </c>
      <c r="AG216" s="7">
        <v>27.95</v>
      </c>
      <c r="AH216" s="7">
        <v>27.52</v>
      </c>
      <c r="AI216" s="7">
        <v>33.17</v>
      </c>
      <c r="AJ216" s="9">
        <v>298.66899465186401</v>
      </c>
      <c r="AK216" s="9">
        <v>300.63477503691303</v>
      </c>
      <c r="AL216" s="9">
        <v>343.57697986371699</v>
      </c>
      <c r="AM216" s="9">
        <v>66.664213164738896</v>
      </c>
      <c r="AN216" s="9">
        <v>1.07522924459256</v>
      </c>
      <c r="AO216" s="9">
        <v>0.41230690027711597</v>
      </c>
      <c r="AP216" s="9">
        <v>680.73705101606299</v>
      </c>
      <c r="AQ216" s="9">
        <v>10.9796298550978</v>
      </c>
      <c r="AR216" s="9">
        <v>7.0305892466353699</v>
      </c>
      <c r="AS216" s="73" t="s">
        <v>169</v>
      </c>
      <c r="AT216" s="8"/>
      <c r="AU216" s="10" t="s">
        <v>169</v>
      </c>
      <c r="AV216" s="10">
        <v>0</v>
      </c>
      <c r="AW216" s="8"/>
      <c r="AX216" s="74" t="s">
        <v>169</v>
      </c>
      <c r="AY216" s="74"/>
      <c r="AZ216" s="74"/>
      <c r="BA216" s="74"/>
      <c r="BB216" s="8"/>
      <c r="BC216" s="8"/>
      <c r="BD216" s="8"/>
      <c r="BE216" s="8"/>
      <c r="BF216" s="12">
        <v>0.44</v>
      </c>
      <c r="BG216" s="13">
        <v>263.29449223556162</v>
      </c>
      <c r="BH216" s="96" t="str">
        <f>+VLOOKUP(G216,Liste!$A$7:$G$50,3,FALSE)</f>
        <v>Pin sylvestre</v>
      </c>
      <c r="BI216" s="96" t="str">
        <f>+VLOOKUP(H216,Liste!$B$7:$G$50,5,FALSE)</f>
        <v>GS Pineraies des plaines du Centre et du Nord Ouest</v>
      </c>
      <c r="BJ216" s="135">
        <f t="shared" si="72"/>
        <v>62</v>
      </c>
      <c r="BK216" s="135" t="str">
        <f t="shared" si="74"/>
        <v>Pin sylvestre_F2_Eclaircie tardive_GS Pineraies des plaines du Centre et du Nord Ouest_62_</v>
      </c>
      <c r="BL216" s="322"/>
      <c r="BM216" s="13">
        <v>67.655443817704395</v>
      </c>
      <c r="BN216" s="13">
        <v>330.94993605326601</v>
      </c>
      <c r="BP216" s="13">
        <v>268.42</v>
      </c>
      <c r="BQ216" s="13">
        <v>6.5167916661875998</v>
      </c>
      <c r="BT216" s="298" t="str">
        <f>+VLOOKUP(G216,Liste!$A$7:$H$50,8,FALSE)</f>
        <v>Résineux</v>
      </c>
      <c r="BU216" s="298">
        <f t="shared" si="75"/>
        <v>0</v>
      </c>
      <c r="BV216" s="300">
        <f t="shared" si="76"/>
        <v>1</v>
      </c>
      <c r="BW216" s="321">
        <v>0</v>
      </c>
      <c r="BX216" s="298">
        <f t="shared" si="77"/>
        <v>0.43</v>
      </c>
      <c r="BY216">
        <f t="shared" si="78"/>
        <v>0</v>
      </c>
      <c r="BZ216" s="304">
        <f t="shared" si="79"/>
        <v>0</v>
      </c>
      <c r="CB216" s="299">
        <v>0.6</v>
      </c>
      <c r="CC216" s="299">
        <v>0.4</v>
      </c>
      <c r="CD216">
        <f t="shared" si="80"/>
        <v>0</v>
      </c>
      <c r="CE216">
        <f t="shared" si="81"/>
        <v>0</v>
      </c>
      <c r="CF216">
        <f t="shared" si="82"/>
        <v>0</v>
      </c>
      <c r="CG216">
        <f t="shared" si="83"/>
        <v>0</v>
      </c>
      <c r="CH216">
        <f t="shared" si="84"/>
        <v>0</v>
      </c>
      <c r="CI216">
        <f t="shared" si="85"/>
        <v>0</v>
      </c>
      <c r="CJ216">
        <f t="shared" si="86"/>
        <v>0</v>
      </c>
      <c r="CK216">
        <f t="shared" si="87"/>
        <v>0</v>
      </c>
      <c r="CL216">
        <f t="shared" si="88"/>
        <v>0</v>
      </c>
      <c r="CM216">
        <f t="shared" si="90"/>
        <v>0</v>
      </c>
      <c r="CN216">
        <f t="shared" si="89"/>
        <v>0</v>
      </c>
      <c r="CO216">
        <f t="shared" si="73"/>
        <v>0</v>
      </c>
    </row>
    <row r="217" spans="1:93" s="12" customFormat="1" ht="14.65" customHeight="1" x14ac:dyDescent="0.25">
      <c r="A217" s="4">
        <v>2021</v>
      </c>
      <c r="B217" s="4"/>
      <c r="C217" s="4" t="s">
        <v>64</v>
      </c>
      <c r="D217" s="4" t="s">
        <v>65</v>
      </c>
      <c r="E217" s="4"/>
      <c r="F217" s="4" t="s">
        <v>90</v>
      </c>
      <c r="G217" s="5" t="s">
        <v>15</v>
      </c>
      <c r="H217" s="5" t="s">
        <v>21</v>
      </c>
      <c r="I217" s="5" t="s">
        <v>147</v>
      </c>
      <c r="J217" s="5" t="s">
        <v>10</v>
      </c>
      <c r="K217" s="5">
        <v>23</v>
      </c>
      <c r="L217" s="5">
        <v>45</v>
      </c>
      <c r="M217" s="5">
        <v>2500</v>
      </c>
      <c r="N217" s="5" t="s">
        <v>170</v>
      </c>
      <c r="O217" s="6" t="s">
        <v>78</v>
      </c>
      <c r="P217" s="6" t="s">
        <v>80</v>
      </c>
      <c r="Q217" s="6">
        <v>2003</v>
      </c>
      <c r="R217" s="6" t="s">
        <v>50</v>
      </c>
      <c r="S217" s="6">
        <v>28</v>
      </c>
      <c r="T217" s="6">
        <v>13.5</v>
      </c>
      <c r="U217" s="6">
        <v>2157</v>
      </c>
      <c r="V217" s="6">
        <v>40.299999999999997</v>
      </c>
      <c r="W217" s="6">
        <v>0</v>
      </c>
      <c r="X217" s="6">
        <v>600</v>
      </c>
      <c r="Y217" s="6">
        <v>1043</v>
      </c>
      <c r="Z217" s="6">
        <v>457</v>
      </c>
      <c r="AA217" s="6">
        <v>57</v>
      </c>
      <c r="AB217" s="6">
        <v>0</v>
      </c>
      <c r="AC217" s="7">
        <v>62</v>
      </c>
      <c r="AD217" s="7" t="s">
        <v>53</v>
      </c>
      <c r="AE217" s="7">
        <v>24.86</v>
      </c>
      <c r="AF217" s="7">
        <v>360</v>
      </c>
      <c r="AG217" s="7">
        <v>23.04</v>
      </c>
      <c r="AH217" s="7">
        <v>28.55</v>
      </c>
      <c r="AI217" s="7">
        <v>33.17</v>
      </c>
      <c r="AJ217" s="9">
        <v>247.72438318323901</v>
      </c>
      <c r="AK217" s="9">
        <v>249.462900076355</v>
      </c>
      <c r="AL217" s="9">
        <v>285.08552487244299</v>
      </c>
      <c r="AM217" s="9">
        <v>66.664213164738896</v>
      </c>
      <c r="AN217" s="9">
        <v>1.07522924459256</v>
      </c>
      <c r="AO217" s="9">
        <v>0.41230690027711597</v>
      </c>
      <c r="AP217" s="9">
        <v>680.73705101606299</v>
      </c>
      <c r="AQ217" s="9">
        <v>10.9796298550978</v>
      </c>
      <c r="AR217" s="9">
        <v>7.0305892466353699</v>
      </c>
      <c r="AS217" s="73">
        <v>110</v>
      </c>
      <c r="AT217" s="8">
        <v>4.91</v>
      </c>
      <c r="AU217" s="10">
        <v>23.839627370199562</v>
      </c>
      <c r="AV217" s="10">
        <v>50.944611468624998</v>
      </c>
      <c r="AW217" s="8">
        <v>0.75</v>
      </c>
      <c r="AX217" s="74">
        <v>0.46313283153295454</v>
      </c>
      <c r="AY217" s="74"/>
      <c r="AZ217" s="74"/>
      <c r="BA217" s="74"/>
      <c r="BB217" s="8"/>
      <c r="BC217" s="8"/>
      <c r="BD217" s="8"/>
      <c r="BE217" s="8"/>
      <c r="BF217" s="12">
        <v>0.44</v>
      </c>
      <c r="BG217" s="13">
        <v>218.47054056058184</v>
      </c>
      <c r="BH217" s="96" t="str">
        <f>+VLOOKUP(G217,Liste!$A$7:$G$50,3,FALSE)</f>
        <v>Pin sylvestre</v>
      </c>
      <c r="BI217" s="96" t="str">
        <f>+VLOOKUP(H217,Liste!$B$7:$G$50,5,FALSE)</f>
        <v>GS Pineraies des plaines du Centre et du Nord Ouest</v>
      </c>
      <c r="BJ217" s="135">
        <f t="shared" si="72"/>
        <v>62</v>
      </c>
      <c r="BK217" s="135" t="str">
        <f t="shared" si="74"/>
        <v>Pin sylvestre_F2_Eclaircie tardive_GS Pineraies des plaines du Centre et du Nord Ouest_62_</v>
      </c>
      <c r="BL217" s="322"/>
      <c r="BM217" s="13">
        <v>57.370409151768143</v>
      </c>
      <c r="BN217" s="13">
        <v>275.84094971234998</v>
      </c>
      <c r="BO217" s="13">
        <v>55.108986340916033</v>
      </c>
      <c r="BP217" s="13">
        <v>268.42</v>
      </c>
      <c r="BQ217" s="13">
        <v>6.5167916661875998</v>
      </c>
      <c r="BT217" s="298" t="str">
        <f>+VLOOKUP(G217,Liste!$A$7:$H$50,8,FALSE)</f>
        <v>Résineux</v>
      </c>
      <c r="BU217" s="298">
        <f t="shared" si="75"/>
        <v>0</v>
      </c>
      <c r="BV217" s="300">
        <f t="shared" si="76"/>
        <v>1</v>
      </c>
      <c r="BW217" s="321">
        <v>0</v>
      </c>
      <c r="BX217" s="298">
        <f t="shared" si="77"/>
        <v>0.43</v>
      </c>
      <c r="BY217">
        <f t="shared" si="78"/>
        <v>0</v>
      </c>
      <c r="BZ217" s="304">
        <f t="shared" si="79"/>
        <v>0</v>
      </c>
      <c r="CB217" s="299">
        <v>0.6</v>
      </c>
      <c r="CC217" s="299">
        <v>0.4</v>
      </c>
      <c r="CD217">
        <f t="shared" si="80"/>
        <v>0</v>
      </c>
      <c r="CE217">
        <f t="shared" si="81"/>
        <v>0</v>
      </c>
      <c r="CF217">
        <f t="shared" si="82"/>
        <v>0</v>
      </c>
      <c r="CG217">
        <f t="shared" si="83"/>
        <v>0</v>
      </c>
      <c r="CH217">
        <f t="shared" si="84"/>
        <v>0</v>
      </c>
      <c r="CI217">
        <f t="shared" si="85"/>
        <v>0</v>
      </c>
      <c r="CJ217">
        <f t="shared" si="86"/>
        <v>0</v>
      </c>
      <c r="CK217">
        <f t="shared" si="87"/>
        <v>0</v>
      </c>
      <c r="CL217">
        <f t="shared" si="88"/>
        <v>0</v>
      </c>
      <c r="CM217">
        <f t="shared" si="90"/>
        <v>0</v>
      </c>
      <c r="CN217">
        <f t="shared" si="89"/>
        <v>0</v>
      </c>
      <c r="CO217">
        <f t="shared" si="73"/>
        <v>0</v>
      </c>
    </row>
    <row r="218" spans="1:93" s="12" customFormat="1" ht="14.65" customHeight="1" x14ac:dyDescent="0.25">
      <c r="A218" s="4">
        <v>2021</v>
      </c>
      <c r="B218" s="4"/>
      <c r="C218" s="4" t="s">
        <v>64</v>
      </c>
      <c r="D218" s="4" t="s">
        <v>65</v>
      </c>
      <c r="E218" s="4"/>
      <c r="F218" s="4" t="s">
        <v>90</v>
      </c>
      <c r="G218" s="5" t="s">
        <v>15</v>
      </c>
      <c r="H218" s="5" t="s">
        <v>21</v>
      </c>
      <c r="I218" s="5" t="s">
        <v>147</v>
      </c>
      <c r="J218" s="5" t="s">
        <v>10</v>
      </c>
      <c r="K218" s="5">
        <v>23</v>
      </c>
      <c r="L218" s="5">
        <v>45</v>
      </c>
      <c r="M218" s="5">
        <v>2500</v>
      </c>
      <c r="N218" s="5" t="s">
        <v>170</v>
      </c>
      <c r="O218" s="6" t="s">
        <v>78</v>
      </c>
      <c r="P218" s="6" t="s">
        <v>80</v>
      </c>
      <c r="Q218" s="6">
        <v>2003</v>
      </c>
      <c r="R218" s="6" t="s">
        <v>50</v>
      </c>
      <c r="S218" s="6">
        <v>28</v>
      </c>
      <c r="T218" s="6">
        <v>13.5</v>
      </c>
      <c r="U218" s="6">
        <v>2157</v>
      </c>
      <c r="V218" s="6">
        <v>40.299999999999997</v>
      </c>
      <c r="W218" s="6">
        <v>0</v>
      </c>
      <c r="X218" s="6">
        <v>600</v>
      </c>
      <c r="Y218" s="6">
        <v>1043</v>
      </c>
      <c r="Z218" s="6">
        <v>457</v>
      </c>
      <c r="AA218" s="6">
        <v>57</v>
      </c>
      <c r="AB218" s="6">
        <v>0</v>
      </c>
      <c r="AC218" s="7">
        <v>63</v>
      </c>
      <c r="AD218" s="7" t="s">
        <v>52</v>
      </c>
      <c r="AE218" s="7">
        <v>25.11</v>
      </c>
      <c r="AF218" s="7">
        <v>360</v>
      </c>
      <c r="AG218" s="7">
        <v>23.45</v>
      </c>
      <c r="AH218" s="7">
        <v>28.8</v>
      </c>
      <c r="AI218" s="7">
        <v>33.479999999999997</v>
      </c>
      <c r="AJ218" s="9">
        <v>254.09334440523901</v>
      </c>
      <c r="AK218" s="9">
        <v>255.882115008927</v>
      </c>
      <c r="AL218" s="9">
        <v>292.11611411907802</v>
      </c>
      <c r="AM218" s="9">
        <v>67.076520065015998</v>
      </c>
      <c r="AN218" s="9">
        <v>1.0647066676986701</v>
      </c>
      <c r="AO218" s="9">
        <v>0.40579126852949798</v>
      </c>
      <c r="AP218" s="9">
        <v>687.76764026269905</v>
      </c>
      <c r="AQ218" s="9">
        <v>10.9169466708365</v>
      </c>
      <c r="AR218" s="9">
        <v>7.3604859712391999</v>
      </c>
      <c r="AS218" s="73" t="s">
        <v>169</v>
      </c>
      <c r="AT218" s="8"/>
      <c r="AU218" s="10" t="s">
        <v>169</v>
      </c>
      <c r="AV218" s="10">
        <v>0</v>
      </c>
      <c r="AW218" s="8"/>
      <c r="AX218" s="74" t="s">
        <v>169</v>
      </c>
      <c r="AY218" s="74"/>
      <c r="AZ218" s="74"/>
      <c r="BA218" s="74"/>
      <c r="BB218" s="8"/>
      <c r="BC218" s="8"/>
      <c r="BD218" s="8"/>
      <c r="BE218" s="8"/>
      <c r="BF218" s="12">
        <v>0.44</v>
      </c>
      <c r="BG218" s="13">
        <v>223.85831545325343</v>
      </c>
      <c r="BH218" s="96" t="str">
        <f>+VLOOKUP(G218,Liste!$A$7:$G$50,3,FALSE)</f>
        <v>Pin sylvestre</v>
      </c>
      <c r="BI218" s="96" t="str">
        <f>+VLOOKUP(H218,Liste!$B$7:$G$50,5,FALSE)</f>
        <v>GS Pineraies des plaines du Centre et du Nord Ouest</v>
      </c>
      <c r="BJ218" s="135">
        <f t="shared" si="72"/>
        <v>63</v>
      </c>
      <c r="BK218" s="135" t="str">
        <f t="shared" si="74"/>
        <v>Pin sylvestre_F2_Eclaircie tardive_GS Pineraies des plaines du Centre et du Nord Ouest_63_</v>
      </c>
      <c r="BL218" s="322"/>
      <c r="BM218" s="13">
        <v>58.618775583972564</v>
      </c>
      <c r="BN218" s="13">
        <v>282.47709103722599</v>
      </c>
      <c r="BP218" s="13">
        <v>268.42</v>
      </c>
      <c r="BQ218" s="13">
        <v>6.8211410966329096</v>
      </c>
      <c r="BT218" s="298" t="str">
        <f>+VLOOKUP(G218,Liste!$A$7:$H$50,8,FALSE)</f>
        <v>Résineux</v>
      </c>
      <c r="BU218" s="298">
        <f t="shared" si="75"/>
        <v>0</v>
      </c>
      <c r="BV218" s="300">
        <f t="shared" si="76"/>
        <v>1</v>
      </c>
      <c r="BW218" s="321">
        <v>0</v>
      </c>
      <c r="BX218" s="298">
        <f t="shared" si="77"/>
        <v>0.43</v>
      </c>
      <c r="BY218">
        <f t="shared" si="78"/>
        <v>0</v>
      </c>
      <c r="BZ218" s="304">
        <f t="shared" si="79"/>
        <v>0</v>
      </c>
      <c r="CB218" s="299">
        <v>0.6</v>
      </c>
      <c r="CC218" s="299">
        <v>0.4</v>
      </c>
      <c r="CD218">
        <f t="shared" si="80"/>
        <v>0</v>
      </c>
      <c r="CE218">
        <f t="shared" si="81"/>
        <v>0</v>
      </c>
      <c r="CF218">
        <f t="shared" si="82"/>
        <v>0</v>
      </c>
      <c r="CG218">
        <f t="shared" si="83"/>
        <v>0</v>
      </c>
      <c r="CH218">
        <f t="shared" si="84"/>
        <v>0</v>
      </c>
      <c r="CI218">
        <f t="shared" si="85"/>
        <v>0</v>
      </c>
      <c r="CJ218">
        <f t="shared" si="86"/>
        <v>0</v>
      </c>
      <c r="CK218">
        <f t="shared" si="87"/>
        <v>0</v>
      </c>
      <c r="CL218">
        <f t="shared" si="88"/>
        <v>0</v>
      </c>
      <c r="CM218">
        <f t="shared" si="90"/>
        <v>0</v>
      </c>
      <c r="CN218">
        <f t="shared" si="89"/>
        <v>0</v>
      </c>
      <c r="CO218">
        <f t="shared" si="73"/>
        <v>0</v>
      </c>
    </row>
    <row r="219" spans="1:93" s="12" customFormat="1" ht="14.65" customHeight="1" x14ac:dyDescent="0.25">
      <c r="A219" s="4">
        <v>2021</v>
      </c>
      <c r="B219" s="4"/>
      <c r="C219" s="4" t="s">
        <v>64</v>
      </c>
      <c r="D219" s="4" t="s">
        <v>65</v>
      </c>
      <c r="E219" s="4"/>
      <c r="F219" s="4" t="s">
        <v>90</v>
      </c>
      <c r="G219" s="5" t="s">
        <v>15</v>
      </c>
      <c r="H219" s="5" t="s">
        <v>21</v>
      </c>
      <c r="I219" s="5" t="s">
        <v>147</v>
      </c>
      <c r="J219" s="5" t="s">
        <v>10</v>
      </c>
      <c r="K219" s="5">
        <v>23</v>
      </c>
      <c r="L219" s="5">
        <v>45</v>
      </c>
      <c r="M219" s="5">
        <v>2500</v>
      </c>
      <c r="N219" s="5" t="s">
        <v>170</v>
      </c>
      <c r="O219" s="6" t="s">
        <v>78</v>
      </c>
      <c r="P219" s="6" t="s">
        <v>80</v>
      </c>
      <c r="Q219" s="6">
        <v>2003</v>
      </c>
      <c r="R219" s="6" t="s">
        <v>50</v>
      </c>
      <c r="S219" s="6">
        <v>28</v>
      </c>
      <c r="T219" s="6">
        <v>13.5</v>
      </c>
      <c r="U219" s="6">
        <v>2157</v>
      </c>
      <c r="V219" s="6">
        <v>40.299999999999997</v>
      </c>
      <c r="W219" s="6">
        <v>0</v>
      </c>
      <c r="X219" s="6">
        <v>600</v>
      </c>
      <c r="Y219" s="6">
        <v>1043</v>
      </c>
      <c r="Z219" s="6">
        <v>457</v>
      </c>
      <c r="AA219" s="6">
        <v>57</v>
      </c>
      <c r="AB219" s="6">
        <v>0</v>
      </c>
      <c r="AC219" s="7">
        <v>64</v>
      </c>
      <c r="AD219" s="7" t="s">
        <v>52</v>
      </c>
      <c r="AE219" s="7">
        <v>25.34</v>
      </c>
      <c r="AF219" s="7">
        <v>360</v>
      </c>
      <c r="AG219" s="7">
        <v>23.86</v>
      </c>
      <c r="AH219" s="7">
        <v>29.05</v>
      </c>
      <c r="AI219" s="7">
        <v>33.79</v>
      </c>
      <c r="AJ219" s="9">
        <v>260.83883300745799</v>
      </c>
      <c r="AK219" s="9">
        <v>262.67292195709501</v>
      </c>
      <c r="AL219" s="9">
        <v>299.47660009031699</v>
      </c>
      <c r="AM219" s="9">
        <v>67.482311333545496</v>
      </c>
      <c r="AN219" s="9">
        <v>1.0544111145866499</v>
      </c>
      <c r="AO219" s="9">
        <v>0.40069211807752902</v>
      </c>
      <c r="AP219" s="9">
        <v>695.12812623393802</v>
      </c>
      <c r="AQ219" s="9">
        <v>10.861376972405299</v>
      </c>
      <c r="AR219" s="9">
        <v>7.3383631219527397</v>
      </c>
      <c r="AS219" s="73" t="s">
        <v>169</v>
      </c>
      <c r="AT219" s="8"/>
      <c r="AU219" s="10" t="s">
        <v>169</v>
      </c>
      <c r="AV219" s="10">
        <v>0</v>
      </c>
      <c r="AW219" s="8"/>
      <c r="AX219" s="74" t="s">
        <v>169</v>
      </c>
      <c r="AY219" s="74"/>
      <c r="AZ219" s="74"/>
      <c r="BA219" s="74"/>
      <c r="BB219" s="8"/>
      <c r="BC219" s="8"/>
      <c r="BD219" s="8"/>
      <c r="BE219" s="8"/>
      <c r="BF219" s="12">
        <v>0.44</v>
      </c>
      <c r="BG219" s="13">
        <v>229.49890120254642</v>
      </c>
      <c r="BH219" s="96" t="str">
        <f>+VLOOKUP(G219,Liste!$A$7:$G$50,3,FALSE)</f>
        <v>Pin sylvestre</v>
      </c>
      <c r="BI219" s="96" t="str">
        <f>+VLOOKUP(H219,Liste!$B$7:$G$50,5,FALSE)</f>
        <v>GS Pineraies des plaines du Centre et du Nord Ouest</v>
      </c>
      <c r="BJ219" s="135">
        <f t="shared" si="72"/>
        <v>64</v>
      </c>
      <c r="BK219" s="135" t="str">
        <f t="shared" si="74"/>
        <v>Pin sylvestre_F2_Eclaircie tardive_GS Pineraies des plaines du Centre et du Nord Ouest_64_</v>
      </c>
      <c r="BL219" s="322"/>
      <c r="BM219" s="13">
        <v>59.921978305036561</v>
      </c>
      <c r="BN219" s="13">
        <v>289.42087950758298</v>
      </c>
      <c r="BP219" s="13">
        <v>268.42</v>
      </c>
      <c r="BQ219" s="13">
        <v>6.79919165485944</v>
      </c>
      <c r="BT219" s="298" t="str">
        <f>+VLOOKUP(G219,Liste!$A$7:$H$50,8,FALSE)</f>
        <v>Résineux</v>
      </c>
      <c r="BU219" s="298">
        <f t="shared" si="75"/>
        <v>0</v>
      </c>
      <c r="BV219" s="300">
        <f t="shared" si="76"/>
        <v>1</v>
      </c>
      <c r="BW219" s="321">
        <v>0</v>
      </c>
      <c r="BX219" s="298">
        <f t="shared" si="77"/>
        <v>0.43</v>
      </c>
      <c r="BY219">
        <f t="shared" si="78"/>
        <v>0</v>
      </c>
      <c r="BZ219" s="304">
        <f t="shared" si="79"/>
        <v>0</v>
      </c>
      <c r="CB219" s="299">
        <v>0.6</v>
      </c>
      <c r="CC219" s="299">
        <v>0.4</v>
      </c>
      <c r="CD219">
        <f t="shared" si="80"/>
        <v>0</v>
      </c>
      <c r="CE219">
        <f t="shared" si="81"/>
        <v>0</v>
      </c>
      <c r="CF219">
        <f t="shared" si="82"/>
        <v>0</v>
      </c>
      <c r="CG219">
        <f t="shared" si="83"/>
        <v>0</v>
      </c>
      <c r="CH219">
        <f t="shared" si="84"/>
        <v>0</v>
      </c>
      <c r="CI219">
        <f t="shared" si="85"/>
        <v>0</v>
      </c>
      <c r="CJ219">
        <f t="shared" si="86"/>
        <v>0</v>
      </c>
      <c r="CK219">
        <f t="shared" si="87"/>
        <v>0</v>
      </c>
      <c r="CL219">
        <f t="shared" si="88"/>
        <v>0</v>
      </c>
      <c r="CM219">
        <f t="shared" si="90"/>
        <v>0</v>
      </c>
      <c r="CN219">
        <f t="shared" si="89"/>
        <v>0</v>
      </c>
      <c r="CO219">
        <f t="shared" si="73"/>
        <v>0</v>
      </c>
    </row>
    <row r="220" spans="1:93" s="12" customFormat="1" ht="14.65" customHeight="1" x14ac:dyDescent="0.25">
      <c r="A220" s="4">
        <v>2021</v>
      </c>
      <c r="B220" s="4"/>
      <c r="C220" s="4" t="s">
        <v>64</v>
      </c>
      <c r="D220" s="4" t="s">
        <v>65</v>
      </c>
      <c r="E220" s="4"/>
      <c r="F220" s="4" t="s">
        <v>90</v>
      </c>
      <c r="G220" s="5" t="s">
        <v>15</v>
      </c>
      <c r="H220" s="5" t="s">
        <v>21</v>
      </c>
      <c r="I220" s="5" t="s">
        <v>147</v>
      </c>
      <c r="J220" s="5" t="s">
        <v>10</v>
      </c>
      <c r="K220" s="5">
        <v>23</v>
      </c>
      <c r="L220" s="5">
        <v>45</v>
      </c>
      <c r="M220" s="5">
        <v>2500</v>
      </c>
      <c r="N220" s="5" t="s">
        <v>170</v>
      </c>
      <c r="O220" s="6" t="s">
        <v>78</v>
      </c>
      <c r="P220" s="6" t="s">
        <v>80</v>
      </c>
      <c r="Q220" s="6">
        <v>2003</v>
      </c>
      <c r="R220" s="6" t="s">
        <v>50</v>
      </c>
      <c r="S220" s="6">
        <v>28</v>
      </c>
      <c r="T220" s="6">
        <v>13.5</v>
      </c>
      <c r="U220" s="6">
        <v>2157</v>
      </c>
      <c r="V220" s="6">
        <v>40.299999999999997</v>
      </c>
      <c r="W220" s="6">
        <v>0</v>
      </c>
      <c r="X220" s="6">
        <v>600</v>
      </c>
      <c r="Y220" s="6">
        <v>1043</v>
      </c>
      <c r="Z220" s="6">
        <v>457</v>
      </c>
      <c r="AA220" s="6">
        <v>57</v>
      </c>
      <c r="AB220" s="6">
        <v>0</v>
      </c>
      <c r="AC220" s="7">
        <v>65</v>
      </c>
      <c r="AD220" s="7" t="s">
        <v>52</v>
      </c>
      <c r="AE220" s="7">
        <v>25.58</v>
      </c>
      <c r="AF220" s="7">
        <v>360</v>
      </c>
      <c r="AG220" s="7">
        <v>24.26</v>
      </c>
      <c r="AH220" s="7">
        <v>29.29</v>
      </c>
      <c r="AI220" s="7">
        <v>34.090000000000003</v>
      </c>
      <c r="AJ220" s="9">
        <v>267.57177034585698</v>
      </c>
      <c r="AK220" s="9">
        <v>269.45068459062401</v>
      </c>
      <c r="AL220" s="9">
        <v>306.81496321227002</v>
      </c>
      <c r="AM220" s="9">
        <v>67.883003451622997</v>
      </c>
      <c r="AN220" s="9">
        <v>1.04435389925574</v>
      </c>
      <c r="AO220" s="9">
        <v>0.39570731374416801</v>
      </c>
      <c r="AP220" s="9">
        <v>702.46648935589099</v>
      </c>
      <c r="AQ220" s="9">
        <v>10.807176759321401</v>
      </c>
      <c r="AR220" s="9">
        <v>7.3328312689548101</v>
      </c>
      <c r="AS220" s="73" t="s">
        <v>169</v>
      </c>
      <c r="AT220" s="8"/>
      <c r="AU220" s="10" t="s">
        <v>169</v>
      </c>
      <c r="AV220" s="10">
        <v>0</v>
      </c>
      <c r="AW220" s="8"/>
      <c r="AX220" s="74" t="s">
        <v>169</v>
      </c>
      <c r="AY220" s="74"/>
      <c r="AZ220" s="74"/>
      <c r="BA220" s="74"/>
      <c r="BB220" s="8"/>
      <c r="BC220" s="8"/>
      <c r="BD220" s="8"/>
      <c r="BE220" s="8"/>
      <c r="BF220" s="12">
        <v>0.44</v>
      </c>
      <c r="BG220" s="13">
        <v>235.1225334750028</v>
      </c>
      <c r="BH220" s="96" t="str">
        <f>+VLOOKUP(G220,Liste!$A$7:$G$50,3,FALSE)</f>
        <v>Pin sylvestre</v>
      </c>
      <c r="BI220" s="96" t="str">
        <f>+VLOOKUP(H220,Liste!$B$7:$G$50,5,FALSE)</f>
        <v>GS Pineraies des plaines du Centre et du Nord Ouest</v>
      </c>
      <c r="BJ220" s="135">
        <f t="shared" si="72"/>
        <v>65</v>
      </c>
      <c r="BK220" s="135" t="str">
        <f t="shared" si="74"/>
        <v>Pin sylvestre_F2_Eclaircie tardive_GS Pineraies des plaines du Centre et du Nord Ouest_65_</v>
      </c>
      <c r="BL220" s="322"/>
      <c r="BM220" s="13">
        <v>61.217557410003224</v>
      </c>
      <c r="BN220" s="13">
        <v>296.34009088500602</v>
      </c>
      <c r="BP220" s="13">
        <v>268.42</v>
      </c>
      <c r="BQ220" s="13">
        <v>6.7926392385802501</v>
      </c>
      <c r="BT220" s="298" t="str">
        <f>+VLOOKUP(G220,Liste!$A$7:$H$50,8,FALSE)</f>
        <v>Résineux</v>
      </c>
      <c r="BU220" s="298">
        <f t="shared" si="75"/>
        <v>0</v>
      </c>
      <c r="BV220" s="300">
        <f t="shared" si="76"/>
        <v>1</v>
      </c>
      <c r="BW220" s="321">
        <v>0</v>
      </c>
      <c r="BX220" s="298">
        <f t="shared" si="77"/>
        <v>0.43</v>
      </c>
      <c r="BY220">
        <f t="shared" si="78"/>
        <v>0</v>
      </c>
      <c r="BZ220" s="304">
        <f t="shared" si="79"/>
        <v>0</v>
      </c>
      <c r="CB220" s="299">
        <v>0.6</v>
      </c>
      <c r="CC220" s="299">
        <v>0.4</v>
      </c>
      <c r="CD220">
        <f t="shared" si="80"/>
        <v>0</v>
      </c>
      <c r="CE220">
        <f t="shared" si="81"/>
        <v>0</v>
      </c>
      <c r="CF220">
        <f t="shared" si="82"/>
        <v>0</v>
      </c>
      <c r="CG220">
        <f t="shared" si="83"/>
        <v>0</v>
      </c>
      <c r="CH220">
        <f t="shared" si="84"/>
        <v>0</v>
      </c>
      <c r="CI220">
        <f t="shared" si="85"/>
        <v>0</v>
      </c>
      <c r="CJ220">
        <f t="shared" si="86"/>
        <v>0</v>
      </c>
      <c r="CK220">
        <f t="shared" si="87"/>
        <v>0</v>
      </c>
      <c r="CL220">
        <f t="shared" si="88"/>
        <v>0</v>
      </c>
      <c r="CM220">
        <f t="shared" si="90"/>
        <v>0</v>
      </c>
      <c r="CN220">
        <f t="shared" si="89"/>
        <v>0</v>
      </c>
      <c r="CO220">
        <f t="shared" si="73"/>
        <v>0</v>
      </c>
    </row>
    <row r="221" spans="1:93" s="12" customFormat="1" ht="14.65" customHeight="1" x14ac:dyDescent="0.25">
      <c r="A221" s="4">
        <v>2021</v>
      </c>
      <c r="B221" s="4"/>
      <c r="C221" s="4" t="s">
        <v>64</v>
      </c>
      <c r="D221" s="4" t="s">
        <v>65</v>
      </c>
      <c r="E221" s="4"/>
      <c r="F221" s="4" t="s">
        <v>90</v>
      </c>
      <c r="G221" s="5" t="s">
        <v>15</v>
      </c>
      <c r="H221" s="5" t="s">
        <v>21</v>
      </c>
      <c r="I221" s="5" t="s">
        <v>147</v>
      </c>
      <c r="J221" s="5" t="s">
        <v>10</v>
      </c>
      <c r="K221" s="5">
        <v>23</v>
      </c>
      <c r="L221" s="5">
        <v>45</v>
      </c>
      <c r="M221" s="5">
        <v>2500</v>
      </c>
      <c r="N221" s="5" t="s">
        <v>170</v>
      </c>
      <c r="O221" s="6" t="s">
        <v>78</v>
      </c>
      <c r="P221" s="6" t="s">
        <v>80</v>
      </c>
      <c r="Q221" s="6">
        <v>2003</v>
      </c>
      <c r="R221" s="6" t="s">
        <v>50</v>
      </c>
      <c r="S221" s="6">
        <v>28</v>
      </c>
      <c r="T221" s="6">
        <v>13.5</v>
      </c>
      <c r="U221" s="6">
        <v>2157</v>
      </c>
      <c r="V221" s="6">
        <v>40.299999999999997</v>
      </c>
      <c r="W221" s="6">
        <v>0</v>
      </c>
      <c r="X221" s="6">
        <v>600</v>
      </c>
      <c r="Y221" s="6">
        <v>1043</v>
      </c>
      <c r="Z221" s="6">
        <v>457</v>
      </c>
      <c r="AA221" s="6">
        <v>57</v>
      </c>
      <c r="AB221" s="6">
        <v>0</v>
      </c>
      <c r="AC221" s="7">
        <v>66</v>
      </c>
      <c r="AD221" s="7" t="s">
        <v>52</v>
      </c>
      <c r="AE221" s="7">
        <v>25.81</v>
      </c>
      <c r="AF221" s="7">
        <v>360</v>
      </c>
      <c r="AG221" s="7">
        <v>24.65</v>
      </c>
      <c r="AH221" s="7">
        <v>29.53</v>
      </c>
      <c r="AI221" s="7">
        <v>34.380000000000003</v>
      </c>
      <c r="AJ221" s="9">
        <v>274.31020872027699</v>
      </c>
      <c r="AK221" s="9">
        <v>276.23326559340802</v>
      </c>
      <c r="AL221" s="9">
        <v>314.14779448122499</v>
      </c>
      <c r="AM221" s="9">
        <v>68.278710765367194</v>
      </c>
      <c r="AN221" s="9">
        <v>1.03452592068738</v>
      </c>
      <c r="AO221" s="9">
        <v>0.39059317004125699</v>
      </c>
      <c r="AP221" s="9">
        <v>709.799320624845</v>
      </c>
      <c r="AQ221" s="9">
        <v>10.754535160982501</v>
      </c>
      <c r="AR221" s="9">
        <v>7.3255097880285103</v>
      </c>
      <c r="AS221" s="73" t="s">
        <v>169</v>
      </c>
      <c r="AT221" s="8"/>
      <c r="AU221" s="10" t="s">
        <v>169</v>
      </c>
      <c r="AV221" s="10">
        <v>0</v>
      </c>
      <c r="AW221" s="8"/>
      <c r="AX221" s="74" t="s">
        <v>169</v>
      </c>
      <c r="AY221" s="74"/>
      <c r="AZ221" s="74"/>
      <c r="BA221" s="74"/>
      <c r="BB221" s="8"/>
      <c r="BC221" s="8"/>
      <c r="BD221" s="8"/>
      <c r="BE221" s="8"/>
      <c r="BF221" s="12">
        <v>0.44</v>
      </c>
      <c r="BG221" s="13">
        <v>240.741926504112</v>
      </c>
      <c r="BH221" s="96" t="str">
        <f>+VLOOKUP(G221,Liste!$A$7:$G$50,3,FALSE)</f>
        <v>Pin sylvestre</v>
      </c>
      <c r="BI221" s="96" t="str">
        <f>+VLOOKUP(H221,Liste!$B$7:$G$50,5,FALSE)</f>
        <v>GS Pineraies des plaines du Centre et du Nord Ouest</v>
      </c>
      <c r="BJ221" s="135">
        <f t="shared" si="72"/>
        <v>66</v>
      </c>
      <c r="BK221" s="135" t="str">
        <f t="shared" si="74"/>
        <v>Pin sylvestre_F2_Eclaircie tardive_GS Pineraies des plaines du Centre et du Nord Ouest_66_</v>
      </c>
      <c r="BL221" s="322"/>
      <c r="BM221" s="13">
        <v>62.508561629243019</v>
      </c>
      <c r="BN221" s="13">
        <v>303.25048813335502</v>
      </c>
      <c r="BP221" s="13">
        <v>268.42</v>
      </c>
      <c r="BQ221" s="13">
        <v>6.7844491990349498</v>
      </c>
      <c r="BT221" s="298" t="str">
        <f>+VLOOKUP(G221,Liste!$A$7:$H$50,8,FALSE)</f>
        <v>Résineux</v>
      </c>
      <c r="BU221" s="298">
        <f t="shared" si="75"/>
        <v>0</v>
      </c>
      <c r="BV221" s="300">
        <f t="shared" si="76"/>
        <v>1</v>
      </c>
      <c r="BW221" s="321">
        <v>0</v>
      </c>
      <c r="BX221" s="298">
        <f t="shared" si="77"/>
        <v>0.43</v>
      </c>
      <c r="BY221">
        <f t="shared" si="78"/>
        <v>0</v>
      </c>
      <c r="BZ221" s="304">
        <f t="shared" si="79"/>
        <v>0</v>
      </c>
      <c r="CB221" s="299">
        <v>0.6</v>
      </c>
      <c r="CC221" s="299">
        <v>0.4</v>
      </c>
      <c r="CD221">
        <f t="shared" si="80"/>
        <v>0</v>
      </c>
      <c r="CE221">
        <f t="shared" si="81"/>
        <v>0</v>
      </c>
      <c r="CF221">
        <f t="shared" si="82"/>
        <v>0</v>
      </c>
      <c r="CG221">
        <f t="shared" si="83"/>
        <v>0</v>
      </c>
      <c r="CH221">
        <f t="shared" si="84"/>
        <v>0</v>
      </c>
      <c r="CI221">
        <f t="shared" si="85"/>
        <v>0</v>
      </c>
      <c r="CJ221">
        <f t="shared" si="86"/>
        <v>0</v>
      </c>
      <c r="CK221">
        <f t="shared" si="87"/>
        <v>0</v>
      </c>
      <c r="CL221">
        <f t="shared" si="88"/>
        <v>0</v>
      </c>
      <c r="CM221">
        <f t="shared" si="90"/>
        <v>0</v>
      </c>
      <c r="CN221">
        <f t="shared" si="89"/>
        <v>0</v>
      </c>
      <c r="CO221">
        <f t="shared" si="73"/>
        <v>0</v>
      </c>
    </row>
    <row r="222" spans="1:93" s="12" customFormat="1" ht="14.65" customHeight="1" x14ac:dyDescent="0.25">
      <c r="A222" s="4">
        <v>2021</v>
      </c>
      <c r="B222" s="4"/>
      <c r="C222" s="4" t="s">
        <v>64</v>
      </c>
      <c r="D222" s="4" t="s">
        <v>65</v>
      </c>
      <c r="E222" s="4"/>
      <c r="F222" s="4" t="s">
        <v>90</v>
      </c>
      <c r="G222" s="5" t="s">
        <v>15</v>
      </c>
      <c r="H222" s="5" t="s">
        <v>21</v>
      </c>
      <c r="I222" s="5" t="s">
        <v>147</v>
      </c>
      <c r="J222" s="5" t="s">
        <v>10</v>
      </c>
      <c r="K222" s="5">
        <v>23</v>
      </c>
      <c r="L222" s="5">
        <v>45</v>
      </c>
      <c r="M222" s="5">
        <v>2500</v>
      </c>
      <c r="N222" s="5" t="s">
        <v>170</v>
      </c>
      <c r="O222" s="6" t="s">
        <v>78</v>
      </c>
      <c r="P222" s="6" t="s">
        <v>80</v>
      </c>
      <c r="Q222" s="6">
        <v>2003</v>
      </c>
      <c r="R222" s="6" t="s">
        <v>50</v>
      </c>
      <c r="S222" s="6">
        <v>28</v>
      </c>
      <c r="T222" s="6">
        <v>13.5</v>
      </c>
      <c r="U222" s="6">
        <v>2157</v>
      </c>
      <c r="V222" s="6">
        <v>40.299999999999997</v>
      </c>
      <c r="W222" s="6">
        <v>0</v>
      </c>
      <c r="X222" s="6">
        <v>600</v>
      </c>
      <c r="Y222" s="6">
        <v>1043</v>
      </c>
      <c r="Z222" s="6">
        <v>457</v>
      </c>
      <c r="AA222" s="6">
        <v>57</v>
      </c>
      <c r="AB222" s="6">
        <v>0</v>
      </c>
      <c r="AC222" s="7">
        <v>67</v>
      </c>
      <c r="AD222" s="7" t="s">
        <v>52</v>
      </c>
      <c r="AE222" s="7">
        <v>26.03</v>
      </c>
      <c r="AF222" s="7">
        <v>360</v>
      </c>
      <c r="AG222" s="7">
        <v>25.05</v>
      </c>
      <c r="AH222" s="7">
        <v>29.76</v>
      </c>
      <c r="AI222" s="7">
        <v>34.67</v>
      </c>
      <c r="AJ222" s="9">
        <v>281.05339250273101</v>
      </c>
      <c r="AK222" s="9">
        <v>283.01968007262298</v>
      </c>
      <c r="AL222" s="9">
        <v>321.47330426925299</v>
      </c>
      <c r="AM222" s="9">
        <v>68.669303935408493</v>
      </c>
      <c r="AN222" s="9">
        <v>1.02491498411057</v>
      </c>
      <c r="AO222" s="9">
        <v>0.38565046304947298</v>
      </c>
      <c r="AP222" s="9">
        <v>717.12483041287396</v>
      </c>
      <c r="AQ222" s="9">
        <v>10.703355677804099</v>
      </c>
      <c r="AR222" s="9">
        <v>7.2295044286785197</v>
      </c>
      <c r="AS222" s="73" t="s">
        <v>169</v>
      </c>
      <c r="AT222" s="8"/>
      <c r="AU222" s="10" t="s">
        <v>169</v>
      </c>
      <c r="AV222" s="10">
        <v>0</v>
      </c>
      <c r="AW222" s="8"/>
      <c r="AX222" s="74" t="s">
        <v>169</v>
      </c>
      <c r="AY222" s="74"/>
      <c r="AZ222" s="74"/>
      <c r="BA222" s="74"/>
      <c r="BB222" s="8"/>
      <c r="BC222" s="8"/>
      <c r="BD222" s="8"/>
      <c r="BE222" s="8"/>
      <c r="BF222" s="12">
        <v>0.44</v>
      </c>
      <c r="BG222" s="13">
        <v>246.35570883833802</v>
      </c>
      <c r="BH222" s="96" t="str">
        <f>+VLOOKUP(G222,Liste!$A$7:$G$50,3,FALSE)</f>
        <v>Pin sylvestre</v>
      </c>
      <c r="BI222" s="96" t="str">
        <f>+VLOOKUP(H222,Liste!$B$7:$G$50,5,FALSE)</f>
        <v>GS Pineraies des plaines du Centre et du Nord Ouest</v>
      </c>
      <c r="BJ222" s="135">
        <f t="shared" si="72"/>
        <v>67</v>
      </c>
      <c r="BK222" s="135" t="str">
        <f t="shared" si="74"/>
        <v>Pin sylvestre_F2_Eclaircie tardive_GS Pineraies des plaines du Centre et du Nord Ouest_67_</v>
      </c>
      <c r="BL222" s="322"/>
      <c r="BM222" s="13">
        <v>63.794778815542003</v>
      </c>
      <c r="BN222" s="13">
        <v>310.15048765388002</v>
      </c>
      <c r="BP222" s="13">
        <v>268.42</v>
      </c>
      <c r="BQ222" s="13">
        <v>6.6941707692892596</v>
      </c>
      <c r="BT222" s="298" t="str">
        <f>+VLOOKUP(G222,Liste!$A$7:$H$50,8,FALSE)</f>
        <v>Résineux</v>
      </c>
      <c r="BU222" s="298">
        <f t="shared" si="75"/>
        <v>0</v>
      </c>
      <c r="BV222" s="300">
        <f t="shared" si="76"/>
        <v>1</v>
      </c>
      <c r="BW222" s="321">
        <v>0</v>
      </c>
      <c r="BX222" s="298">
        <f t="shared" si="77"/>
        <v>0.43</v>
      </c>
      <c r="BY222">
        <f t="shared" si="78"/>
        <v>0</v>
      </c>
      <c r="BZ222" s="304">
        <f t="shared" si="79"/>
        <v>0</v>
      </c>
      <c r="CB222" s="299">
        <v>0.6</v>
      </c>
      <c r="CC222" s="299">
        <v>0.4</v>
      </c>
      <c r="CD222">
        <f t="shared" si="80"/>
        <v>0</v>
      </c>
      <c r="CE222">
        <f t="shared" si="81"/>
        <v>0</v>
      </c>
      <c r="CF222">
        <f t="shared" si="82"/>
        <v>0</v>
      </c>
      <c r="CG222">
        <f t="shared" si="83"/>
        <v>0</v>
      </c>
      <c r="CH222">
        <f t="shared" si="84"/>
        <v>0</v>
      </c>
      <c r="CI222">
        <f t="shared" si="85"/>
        <v>0</v>
      </c>
      <c r="CJ222">
        <f t="shared" si="86"/>
        <v>0</v>
      </c>
      <c r="CK222">
        <f t="shared" si="87"/>
        <v>0</v>
      </c>
      <c r="CL222">
        <f t="shared" si="88"/>
        <v>0</v>
      </c>
      <c r="CM222">
        <f t="shared" si="90"/>
        <v>0</v>
      </c>
      <c r="CN222">
        <f t="shared" si="89"/>
        <v>0</v>
      </c>
      <c r="CO222">
        <f t="shared" si="73"/>
        <v>0</v>
      </c>
    </row>
    <row r="223" spans="1:93" s="12" customFormat="1" ht="14.65" customHeight="1" x14ac:dyDescent="0.25">
      <c r="A223" s="4">
        <v>2021</v>
      </c>
      <c r="B223" s="4"/>
      <c r="C223" s="4" t="s">
        <v>64</v>
      </c>
      <c r="D223" s="4" t="s">
        <v>65</v>
      </c>
      <c r="E223" s="4"/>
      <c r="F223" s="4" t="s">
        <v>90</v>
      </c>
      <c r="G223" s="5" t="s">
        <v>15</v>
      </c>
      <c r="H223" s="5" t="s">
        <v>21</v>
      </c>
      <c r="I223" s="5" t="s">
        <v>147</v>
      </c>
      <c r="J223" s="5" t="s">
        <v>10</v>
      </c>
      <c r="K223" s="5">
        <v>23</v>
      </c>
      <c r="L223" s="5">
        <v>45</v>
      </c>
      <c r="M223" s="5">
        <v>2500</v>
      </c>
      <c r="N223" s="5" t="s">
        <v>170</v>
      </c>
      <c r="O223" s="6" t="s">
        <v>78</v>
      </c>
      <c r="P223" s="6" t="s">
        <v>80</v>
      </c>
      <c r="Q223" s="6">
        <v>2003</v>
      </c>
      <c r="R223" s="6" t="s">
        <v>50</v>
      </c>
      <c r="S223" s="6">
        <v>28</v>
      </c>
      <c r="T223" s="6">
        <v>13.5</v>
      </c>
      <c r="U223" s="6">
        <v>2157</v>
      </c>
      <c r="V223" s="6">
        <v>40.299999999999997</v>
      </c>
      <c r="W223" s="6">
        <v>0</v>
      </c>
      <c r="X223" s="6">
        <v>600</v>
      </c>
      <c r="Y223" s="6">
        <v>1043</v>
      </c>
      <c r="Z223" s="6">
        <v>457</v>
      </c>
      <c r="AA223" s="6">
        <v>57</v>
      </c>
      <c r="AB223" s="6">
        <v>0</v>
      </c>
      <c r="AC223" s="7">
        <v>68</v>
      </c>
      <c r="AD223" s="7" t="s">
        <v>52</v>
      </c>
      <c r="AE223" s="7">
        <v>26.25</v>
      </c>
      <c r="AF223" s="7">
        <v>360</v>
      </c>
      <c r="AG223" s="7">
        <v>25.43</v>
      </c>
      <c r="AH223" s="7">
        <v>29.99</v>
      </c>
      <c r="AI223" s="7">
        <v>34.950000000000003</v>
      </c>
      <c r="AJ223" s="9">
        <v>287.70255560347698</v>
      </c>
      <c r="AK223" s="9">
        <v>289.71257468441701</v>
      </c>
      <c r="AL223" s="9">
        <v>328.70280869793203</v>
      </c>
      <c r="AM223" s="9">
        <v>69.054954398457895</v>
      </c>
      <c r="AN223" s="9">
        <v>1.01551403527144</v>
      </c>
      <c r="AO223" s="9">
        <v>0.38065867652642299</v>
      </c>
      <c r="AP223" s="9">
        <v>724.35433484155203</v>
      </c>
      <c r="AQ223" s="9">
        <v>10.652269630022801</v>
      </c>
      <c r="AR223" s="9">
        <v>7.2163455774260701</v>
      </c>
      <c r="AS223" s="73" t="s">
        <v>169</v>
      </c>
      <c r="AT223" s="8"/>
      <c r="AU223" s="10" t="s">
        <v>169</v>
      </c>
      <c r="AV223" s="10">
        <v>0</v>
      </c>
      <c r="AW223" s="8"/>
      <c r="AX223" s="74" t="s">
        <v>169</v>
      </c>
      <c r="AY223" s="74"/>
      <c r="AZ223" s="74"/>
      <c r="BA223" s="74"/>
      <c r="BB223" s="8"/>
      <c r="BC223" s="8"/>
      <c r="BD223" s="8"/>
      <c r="BE223" s="8"/>
      <c r="BF223" s="12">
        <v>0.44</v>
      </c>
      <c r="BG223" s="13">
        <v>251.89591906551527</v>
      </c>
      <c r="BH223" s="96" t="str">
        <f>+VLOOKUP(G223,Liste!$A$7:$G$50,3,FALSE)</f>
        <v>Pin sylvestre</v>
      </c>
      <c r="BI223" s="96" t="str">
        <f>+VLOOKUP(H223,Liste!$B$7:$G$50,5,FALSE)</f>
        <v>GS Pineraies des plaines du Centre et du Nord Ouest</v>
      </c>
      <c r="BJ223" s="135">
        <f t="shared" si="72"/>
        <v>68</v>
      </c>
      <c r="BK223" s="135" t="str">
        <f t="shared" si="74"/>
        <v>Pin sylvestre_F2_Eclaircie tardive_GS Pineraies des plaines du Centre et du Nord Ouest_68_</v>
      </c>
      <c r="BL223" s="322"/>
      <c r="BM223" s="13">
        <v>65.060798243046747</v>
      </c>
      <c r="BN223" s="13">
        <v>316.95671730856202</v>
      </c>
      <c r="BP223" s="13">
        <v>268.42</v>
      </c>
      <c r="BQ223" s="13">
        <v>6.6806501057365004</v>
      </c>
      <c r="BT223" s="298" t="str">
        <f>+VLOOKUP(G223,Liste!$A$7:$H$50,8,FALSE)</f>
        <v>Résineux</v>
      </c>
      <c r="BU223" s="298">
        <f t="shared" si="75"/>
        <v>0</v>
      </c>
      <c r="BV223" s="300">
        <f t="shared" si="76"/>
        <v>1</v>
      </c>
      <c r="BW223" s="321">
        <v>0</v>
      </c>
      <c r="BX223" s="298">
        <f t="shared" si="77"/>
        <v>0.43</v>
      </c>
      <c r="BY223">
        <f t="shared" si="78"/>
        <v>0</v>
      </c>
      <c r="BZ223" s="304">
        <f t="shared" si="79"/>
        <v>0</v>
      </c>
      <c r="CB223" s="299">
        <v>0.6</v>
      </c>
      <c r="CC223" s="299">
        <v>0.4</v>
      </c>
      <c r="CD223">
        <f t="shared" si="80"/>
        <v>0</v>
      </c>
      <c r="CE223">
        <f t="shared" si="81"/>
        <v>0</v>
      </c>
      <c r="CF223">
        <f t="shared" si="82"/>
        <v>0</v>
      </c>
      <c r="CG223">
        <f t="shared" si="83"/>
        <v>0</v>
      </c>
      <c r="CH223">
        <f t="shared" si="84"/>
        <v>0</v>
      </c>
      <c r="CI223">
        <f t="shared" si="85"/>
        <v>0</v>
      </c>
      <c r="CJ223">
        <f t="shared" si="86"/>
        <v>0</v>
      </c>
      <c r="CK223">
        <f t="shared" si="87"/>
        <v>0</v>
      </c>
      <c r="CL223">
        <f t="shared" si="88"/>
        <v>0</v>
      </c>
      <c r="CM223">
        <f t="shared" si="90"/>
        <v>0</v>
      </c>
      <c r="CN223">
        <f t="shared" si="89"/>
        <v>0</v>
      </c>
      <c r="CO223">
        <f t="shared" si="73"/>
        <v>0</v>
      </c>
    </row>
    <row r="224" spans="1:93" s="12" customFormat="1" ht="14.65" customHeight="1" x14ac:dyDescent="0.25">
      <c r="A224" s="4">
        <v>2021</v>
      </c>
      <c r="B224" s="4"/>
      <c r="C224" s="4" t="s">
        <v>64</v>
      </c>
      <c r="D224" s="4" t="s">
        <v>65</v>
      </c>
      <c r="E224" s="4"/>
      <c r="F224" s="4" t="s">
        <v>90</v>
      </c>
      <c r="G224" s="5" t="s">
        <v>15</v>
      </c>
      <c r="H224" s="5" t="s">
        <v>21</v>
      </c>
      <c r="I224" s="5" t="s">
        <v>147</v>
      </c>
      <c r="J224" s="5" t="s">
        <v>10</v>
      </c>
      <c r="K224" s="5">
        <v>23</v>
      </c>
      <c r="L224" s="5">
        <v>45</v>
      </c>
      <c r="M224" s="5">
        <v>2500</v>
      </c>
      <c r="N224" s="5" t="s">
        <v>170</v>
      </c>
      <c r="O224" s="6" t="s">
        <v>78</v>
      </c>
      <c r="P224" s="6" t="s">
        <v>80</v>
      </c>
      <c r="Q224" s="6">
        <v>2003</v>
      </c>
      <c r="R224" s="6" t="s">
        <v>50</v>
      </c>
      <c r="S224" s="6">
        <v>28</v>
      </c>
      <c r="T224" s="6">
        <v>13.5</v>
      </c>
      <c r="U224" s="6">
        <v>2157</v>
      </c>
      <c r="V224" s="6">
        <v>40.299999999999997</v>
      </c>
      <c r="W224" s="6">
        <v>0</v>
      </c>
      <c r="X224" s="6">
        <v>600</v>
      </c>
      <c r="Y224" s="6">
        <v>1043</v>
      </c>
      <c r="Z224" s="6">
        <v>457</v>
      </c>
      <c r="AA224" s="6">
        <v>57</v>
      </c>
      <c r="AB224" s="6">
        <v>0</v>
      </c>
      <c r="AC224" s="7">
        <v>69</v>
      </c>
      <c r="AD224" s="7" t="s">
        <v>52</v>
      </c>
      <c r="AE224" s="7">
        <v>26.47</v>
      </c>
      <c r="AF224" s="7">
        <v>360</v>
      </c>
      <c r="AG224" s="7">
        <v>25.81</v>
      </c>
      <c r="AH224" s="7">
        <v>30.21</v>
      </c>
      <c r="AI224" s="7">
        <v>35.229999999999997</v>
      </c>
      <c r="AJ224" s="9">
        <v>294.35009491479502</v>
      </c>
      <c r="AK224" s="9">
        <v>296.40296951495901</v>
      </c>
      <c r="AL224" s="9">
        <v>335.91915427535798</v>
      </c>
      <c r="AM224" s="9">
        <v>69.435613074984403</v>
      </c>
      <c r="AN224" s="9">
        <v>1.00631323297079</v>
      </c>
      <c r="AO224" s="9">
        <v>0.37577998733892998</v>
      </c>
      <c r="AP224" s="9">
        <v>731.57068041897901</v>
      </c>
      <c r="AQ224" s="9">
        <v>10.602473629260601</v>
      </c>
      <c r="AR224" s="9">
        <v>7.14123172863719</v>
      </c>
      <c r="AS224" s="73" t="s">
        <v>169</v>
      </c>
      <c r="AT224" s="8"/>
      <c r="AU224" s="10" t="s">
        <v>169</v>
      </c>
      <c r="AV224" s="10">
        <v>0</v>
      </c>
      <c r="AW224" s="8"/>
      <c r="AX224" s="74" t="s">
        <v>169</v>
      </c>
      <c r="AY224" s="74"/>
      <c r="AZ224" s="74"/>
      <c r="BA224" s="74"/>
      <c r="BB224" s="8"/>
      <c r="BC224" s="8"/>
      <c r="BD224" s="8"/>
      <c r="BE224" s="8"/>
      <c r="BF224" s="12">
        <v>0.44</v>
      </c>
      <c r="BG224" s="13">
        <v>257.42604522634923</v>
      </c>
      <c r="BH224" s="96" t="str">
        <f>+VLOOKUP(G224,Liste!$A$7:$G$50,3,FALSE)</f>
        <v>Pin sylvestre</v>
      </c>
      <c r="BI224" s="96" t="str">
        <f>+VLOOKUP(H224,Liste!$B$7:$G$50,5,FALSE)</f>
        <v>GS Pineraies des plaines du Centre et du Nord Ouest</v>
      </c>
      <c r="BJ224" s="135">
        <f t="shared" si="72"/>
        <v>69</v>
      </c>
      <c r="BK224" s="135" t="str">
        <f t="shared" si="74"/>
        <v>Pin sylvestre_F2_Eclaircie tardive_GS Pineraies des plaines du Centre et du Nord Ouest_69_</v>
      </c>
      <c r="BL224" s="322"/>
      <c r="BM224" s="13">
        <v>66.321284823285794</v>
      </c>
      <c r="BN224" s="13">
        <v>323.74733004963502</v>
      </c>
      <c r="BP224" s="13">
        <v>268.42</v>
      </c>
      <c r="BQ224" s="13">
        <v>6.6098124376763998</v>
      </c>
      <c r="BT224" s="298" t="str">
        <f>+VLOOKUP(G224,Liste!$A$7:$H$50,8,FALSE)</f>
        <v>Résineux</v>
      </c>
      <c r="BU224" s="298">
        <f t="shared" si="75"/>
        <v>0</v>
      </c>
      <c r="BV224" s="300">
        <f t="shared" si="76"/>
        <v>1</v>
      </c>
      <c r="BW224" s="321">
        <v>0</v>
      </c>
      <c r="BX224" s="298">
        <f t="shared" si="77"/>
        <v>0.43</v>
      </c>
      <c r="BY224">
        <f t="shared" si="78"/>
        <v>0</v>
      </c>
      <c r="BZ224" s="304">
        <f t="shared" si="79"/>
        <v>0</v>
      </c>
      <c r="CB224" s="299">
        <v>0.6</v>
      </c>
      <c r="CC224" s="299">
        <v>0.4</v>
      </c>
      <c r="CD224">
        <f t="shared" si="80"/>
        <v>0</v>
      </c>
      <c r="CE224">
        <f t="shared" si="81"/>
        <v>0</v>
      </c>
      <c r="CF224">
        <f t="shared" si="82"/>
        <v>0</v>
      </c>
      <c r="CG224">
        <f t="shared" si="83"/>
        <v>0</v>
      </c>
      <c r="CH224">
        <f t="shared" si="84"/>
        <v>0</v>
      </c>
      <c r="CI224">
        <f t="shared" si="85"/>
        <v>0</v>
      </c>
      <c r="CJ224">
        <f t="shared" si="86"/>
        <v>0</v>
      </c>
      <c r="CK224">
        <f t="shared" si="87"/>
        <v>0</v>
      </c>
      <c r="CL224">
        <f t="shared" si="88"/>
        <v>0</v>
      </c>
      <c r="CM224">
        <f t="shared" si="90"/>
        <v>0</v>
      </c>
      <c r="CN224">
        <f t="shared" si="89"/>
        <v>0</v>
      </c>
      <c r="CO224">
        <f t="shared" si="73"/>
        <v>0</v>
      </c>
    </row>
    <row r="225" spans="1:93" s="12" customFormat="1" ht="14.65" customHeight="1" x14ac:dyDescent="0.25">
      <c r="A225" s="4">
        <v>2021</v>
      </c>
      <c r="B225" s="4"/>
      <c r="C225" s="4" t="s">
        <v>64</v>
      </c>
      <c r="D225" s="4" t="s">
        <v>65</v>
      </c>
      <c r="E225" s="4"/>
      <c r="F225" s="4" t="s">
        <v>90</v>
      </c>
      <c r="G225" s="5" t="s">
        <v>15</v>
      </c>
      <c r="H225" s="5" t="s">
        <v>21</v>
      </c>
      <c r="I225" s="5" t="s">
        <v>147</v>
      </c>
      <c r="J225" s="5" t="s">
        <v>10</v>
      </c>
      <c r="K225" s="5">
        <v>23</v>
      </c>
      <c r="L225" s="5">
        <v>45</v>
      </c>
      <c r="M225" s="5">
        <v>2500</v>
      </c>
      <c r="N225" s="5" t="s">
        <v>170</v>
      </c>
      <c r="O225" s="6" t="s">
        <v>78</v>
      </c>
      <c r="P225" s="6" t="s">
        <v>80</v>
      </c>
      <c r="Q225" s="6">
        <v>2003</v>
      </c>
      <c r="R225" s="6" t="s">
        <v>50</v>
      </c>
      <c r="S225" s="6">
        <v>28</v>
      </c>
      <c r="T225" s="6">
        <v>13.5</v>
      </c>
      <c r="U225" s="6">
        <v>2157</v>
      </c>
      <c r="V225" s="6">
        <v>40.299999999999997</v>
      </c>
      <c r="W225" s="6">
        <v>0</v>
      </c>
      <c r="X225" s="6">
        <v>600</v>
      </c>
      <c r="Y225" s="6">
        <v>1043</v>
      </c>
      <c r="Z225" s="6">
        <v>457</v>
      </c>
      <c r="AA225" s="6">
        <v>57</v>
      </c>
      <c r="AB225" s="6">
        <v>0</v>
      </c>
      <c r="AC225" s="7">
        <v>70</v>
      </c>
      <c r="AD225" s="7" t="s">
        <v>52</v>
      </c>
      <c r="AE225" s="7">
        <v>26.68</v>
      </c>
      <c r="AF225" s="7">
        <v>360</v>
      </c>
      <c r="AG225" s="7">
        <v>26.19</v>
      </c>
      <c r="AH225" s="7">
        <v>30.43</v>
      </c>
      <c r="AI225" s="7">
        <v>35.5</v>
      </c>
      <c r="AJ225" s="9">
        <v>300.92725813934697</v>
      </c>
      <c r="AK225" s="9">
        <v>303.02306953473601</v>
      </c>
      <c r="AL225" s="9">
        <v>343.06038600399501</v>
      </c>
      <c r="AM225" s="9">
        <v>69.811393062323305</v>
      </c>
      <c r="AN225" s="9">
        <v>0.99730561517604699</v>
      </c>
      <c r="AO225" s="9">
        <v>0.37159606922074301</v>
      </c>
      <c r="AP225" s="9">
        <v>738.71191214761598</v>
      </c>
      <c r="AQ225" s="9">
        <v>10.5530273163945</v>
      </c>
      <c r="AR225" s="9">
        <v>7.1740543999123902</v>
      </c>
      <c r="AS225" s="73" t="s">
        <v>169</v>
      </c>
      <c r="AT225" s="8"/>
      <c r="AU225" s="10" t="s">
        <v>169</v>
      </c>
      <c r="AV225" s="10">
        <v>0</v>
      </c>
      <c r="AW225" s="8"/>
      <c r="AX225" s="74" t="s">
        <v>169</v>
      </c>
      <c r="AY225" s="74"/>
      <c r="AZ225" s="74"/>
      <c r="BA225" s="74"/>
      <c r="BB225" s="8"/>
      <c r="BC225" s="8"/>
      <c r="BD225" s="8"/>
      <c r="BE225" s="8"/>
      <c r="BF225" s="12">
        <v>0.44</v>
      </c>
      <c r="BG225" s="13">
        <v>262.89860914106168</v>
      </c>
      <c r="BH225" s="96" t="str">
        <f>+VLOOKUP(G225,Liste!$A$7:$G$50,3,FALSE)</f>
        <v>Pin sylvestre</v>
      </c>
      <c r="BI225" s="96" t="str">
        <f>+VLOOKUP(H225,Liste!$B$7:$G$50,5,FALSE)</f>
        <v>GS Pineraies des plaines du Centre et du Nord Ouest</v>
      </c>
      <c r="BJ225" s="135">
        <f t="shared" si="72"/>
        <v>70</v>
      </c>
      <c r="BK225" s="135" t="str">
        <f t="shared" si="74"/>
        <v>Pin sylvestre_F2_Eclaircie tardive_GS Pineraies des plaines du Centre et du Nord Ouest_70_</v>
      </c>
      <c r="BL225" s="322"/>
      <c r="BM225" s="13">
        <v>67.565551689926338</v>
      </c>
      <c r="BN225" s="13">
        <v>330.46416083098802</v>
      </c>
      <c r="BP225" s="13">
        <v>268.42</v>
      </c>
      <c r="BQ225" s="13">
        <v>6.6389047828051799</v>
      </c>
      <c r="BT225" s="298" t="str">
        <f>+VLOOKUP(G225,Liste!$A$7:$H$50,8,FALSE)</f>
        <v>Résineux</v>
      </c>
      <c r="BU225" s="298">
        <f t="shared" si="75"/>
        <v>0</v>
      </c>
      <c r="BV225" s="300">
        <f t="shared" si="76"/>
        <v>1</v>
      </c>
      <c r="BW225" s="321">
        <v>0</v>
      </c>
      <c r="BX225" s="298">
        <f t="shared" si="77"/>
        <v>0.43</v>
      </c>
      <c r="BY225">
        <f t="shared" si="78"/>
        <v>0</v>
      </c>
      <c r="BZ225" s="304">
        <f t="shared" si="79"/>
        <v>0</v>
      </c>
      <c r="CB225" s="299">
        <v>0.6</v>
      </c>
      <c r="CC225" s="299">
        <v>0.4</v>
      </c>
      <c r="CD225">
        <f t="shared" si="80"/>
        <v>0</v>
      </c>
      <c r="CE225">
        <f t="shared" si="81"/>
        <v>0</v>
      </c>
      <c r="CF225">
        <f t="shared" si="82"/>
        <v>0</v>
      </c>
      <c r="CG225">
        <f t="shared" si="83"/>
        <v>0</v>
      </c>
      <c r="CH225">
        <f t="shared" si="84"/>
        <v>0</v>
      </c>
      <c r="CI225">
        <f t="shared" si="85"/>
        <v>0</v>
      </c>
      <c r="CJ225">
        <f t="shared" si="86"/>
        <v>0</v>
      </c>
      <c r="CK225">
        <f t="shared" si="87"/>
        <v>0</v>
      </c>
      <c r="CL225">
        <f t="shared" si="88"/>
        <v>0</v>
      </c>
      <c r="CM225">
        <f t="shared" si="90"/>
        <v>0</v>
      </c>
      <c r="CN225">
        <f t="shared" si="89"/>
        <v>0</v>
      </c>
      <c r="CO225">
        <f t="shared" si="73"/>
        <v>0</v>
      </c>
    </row>
    <row r="226" spans="1:93" s="12" customFormat="1" ht="14.65" customHeight="1" x14ac:dyDescent="0.25">
      <c r="A226" s="4">
        <v>2021</v>
      </c>
      <c r="B226" s="4"/>
      <c r="C226" s="4" t="s">
        <v>64</v>
      </c>
      <c r="D226" s="4" t="s">
        <v>65</v>
      </c>
      <c r="E226" s="4"/>
      <c r="F226" s="4" t="s">
        <v>90</v>
      </c>
      <c r="G226" s="5" t="s">
        <v>15</v>
      </c>
      <c r="H226" s="5" t="s">
        <v>21</v>
      </c>
      <c r="I226" s="5" t="s">
        <v>147</v>
      </c>
      <c r="J226" s="5" t="s">
        <v>10</v>
      </c>
      <c r="K226" s="5">
        <v>23</v>
      </c>
      <c r="L226" s="5">
        <v>45</v>
      </c>
      <c r="M226" s="5">
        <v>2500</v>
      </c>
      <c r="N226" s="5" t="s">
        <v>170</v>
      </c>
      <c r="O226" s="6" t="s">
        <v>78</v>
      </c>
      <c r="P226" s="6" t="s">
        <v>80</v>
      </c>
      <c r="Q226" s="6">
        <v>2003</v>
      </c>
      <c r="R226" s="6" t="s">
        <v>50</v>
      </c>
      <c r="S226" s="6">
        <v>28</v>
      </c>
      <c r="T226" s="6">
        <v>13.5</v>
      </c>
      <c r="U226" s="6">
        <v>2157</v>
      </c>
      <c r="V226" s="6">
        <v>40.299999999999997</v>
      </c>
      <c r="W226" s="6">
        <v>0</v>
      </c>
      <c r="X226" s="6">
        <v>600</v>
      </c>
      <c r="Y226" s="6">
        <v>1043</v>
      </c>
      <c r="Z226" s="6">
        <v>457</v>
      </c>
      <c r="AA226" s="6">
        <v>57</v>
      </c>
      <c r="AB226" s="6">
        <v>0</v>
      </c>
      <c r="AC226" s="7">
        <v>71</v>
      </c>
      <c r="AD226" s="7" t="s">
        <v>52</v>
      </c>
      <c r="AE226" s="7">
        <v>26.89</v>
      </c>
      <c r="AF226" s="7">
        <v>360</v>
      </c>
      <c r="AG226" s="7">
        <v>26.56</v>
      </c>
      <c r="AH226" s="7">
        <v>30.65</v>
      </c>
      <c r="AI226" s="7">
        <v>35.770000000000003</v>
      </c>
      <c r="AJ226" s="9">
        <v>307.550792741262</v>
      </c>
      <c r="AK226" s="9">
        <v>309.68833052838198</v>
      </c>
      <c r="AL226" s="9">
        <v>350.23444040390802</v>
      </c>
      <c r="AM226" s="9">
        <v>70.182989131544005</v>
      </c>
      <c r="AN226" s="9">
        <v>0.98849280466963396</v>
      </c>
      <c r="AO226" s="9">
        <v>0.36643401622987398</v>
      </c>
      <c r="AP226" s="9">
        <v>745.88596654752803</v>
      </c>
      <c r="AQ226" s="9">
        <v>10.505436148556701</v>
      </c>
      <c r="AR226" s="9">
        <v>7.1020112658615098</v>
      </c>
      <c r="AS226" s="73" t="s">
        <v>169</v>
      </c>
      <c r="AT226" s="8"/>
      <c r="AU226" s="10" t="s">
        <v>169</v>
      </c>
      <c r="AV226" s="10">
        <v>0</v>
      </c>
      <c r="AW226" s="8"/>
      <c r="AX226" s="74" t="s">
        <v>169</v>
      </c>
      <c r="AY226" s="74"/>
      <c r="AZ226" s="74"/>
      <c r="BA226" s="74"/>
      <c r="BB226" s="8"/>
      <c r="BC226" s="8"/>
      <c r="BD226" s="8"/>
      <c r="BE226" s="8"/>
      <c r="BF226" s="12">
        <v>0.44</v>
      </c>
      <c r="BG226" s="13">
        <v>268.39632616286121</v>
      </c>
      <c r="BH226" s="96" t="str">
        <f>+VLOOKUP(G226,Liste!$A$7:$G$50,3,FALSE)</f>
        <v>Pin sylvestre</v>
      </c>
      <c r="BI226" s="96" t="str">
        <f>+VLOOKUP(H226,Liste!$B$7:$G$50,5,FALSE)</f>
        <v>GS Pineraies des plaines du Centre et du Nord Ouest</v>
      </c>
      <c r="BJ226" s="135">
        <f t="shared" si="72"/>
        <v>71</v>
      </c>
      <c r="BK226" s="135" t="str">
        <f t="shared" si="74"/>
        <v>Pin sylvestre_F2_Eclaircie tardive_GS Pineraies des plaines du Centre et du Nord Ouest_71_</v>
      </c>
      <c r="BL226" s="322"/>
      <c r="BM226" s="13">
        <v>68.8125053400708</v>
      </c>
      <c r="BN226" s="13">
        <v>337.20883150293201</v>
      </c>
      <c r="BP226" s="13">
        <v>268.42</v>
      </c>
      <c r="BQ226" s="13">
        <v>6.5709779142990801</v>
      </c>
      <c r="BT226" s="298" t="str">
        <f>+VLOOKUP(G226,Liste!$A$7:$H$50,8,FALSE)</f>
        <v>Résineux</v>
      </c>
      <c r="BU226" s="298">
        <f t="shared" si="75"/>
        <v>0</v>
      </c>
      <c r="BV226" s="300">
        <f t="shared" si="76"/>
        <v>1</v>
      </c>
      <c r="BW226" s="321">
        <v>0</v>
      </c>
      <c r="BX226" s="298">
        <f t="shared" si="77"/>
        <v>0.43</v>
      </c>
      <c r="BY226">
        <f t="shared" si="78"/>
        <v>0</v>
      </c>
      <c r="BZ226" s="304">
        <f t="shared" si="79"/>
        <v>0</v>
      </c>
      <c r="CB226" s="299">
        <v>0.6</v>
      </c>
      <c r="CC226" s="299">
        <v>0.4</v>
      </c>
      <c r="CD226">
        <f t="shared" si="80"/>
        <v>0</v>
      </c>
      <c r="CE226">
        <f t="shared" si="81"/>
        <v>0</v>
      </c>
      <c r="CF226">
        <f t="shared" si="82"/>
        <v>0</v>
      </c>
      <c r="CG226">
        <f t="shared" si="83"/>
        <v>0</v>
      </c>
      <c r="CH226">
        <f t="shared" si="84"/>
        <v>0</v>
      </c>
      <c r="CI226">
        <f t="shared" si="85"/>
        <v>0</v>
      </c>
      <c r="CJ226">
        <f t="shared" si="86"/>
        <v>0</v>
      </c>
      <c r="CK226">
        <f t="shared" si="87"/>
        <v>0</v>
      </c>
      <c r="CL226">
        <f t="shared" si="88"/>
        <v>0</v>
      </c>
      <c r="CM226">
        <f t="shared" si="90"/>
        <v>0</v>
      </c>
      <c r="CN226">
        <f t="shared" si="89"/>
        <v>0</v>
      </c>
      <c r="CO226">
        <f t="shared" si="73"/>
        <v>0</v>
      </c>
    </row>
    <row r="227" spans="1:93" s="12" customFormat="1" ht="14.65" customHeight="1" x14ac:dyDescent="0.25">
      <c r="A227" s="4">
        <v>2021</v>
      </c>
      <c r="B227" s="4"/>
      <c r="C227" s="4" t="s">
        <v>64</v>
      </c>
      <c r="D227" s="4" t="s">
        <v>65</v>
      </c>
      <c r="E227" s="4"/>
      <c r="F227" s="4" t="s">
        <v>90</v>
      </c>
      <c r="G227" s="5" t="s">
        <v>15</v>
      </c>
      <c r="H227" s="5" t="s">
        <v>21</v>
      </c>
      <c r="I227" s="5" t="s">
        <v>147</v>
      </c>
      <c r="J227" s="5" t="s">
        <v>10</v>
      </c>
      <c r="K227" s="5">
        <v>23</v>
      </c>
      <c r="L227" s="5">
        <v>45</v>
      </c>
      <c r="M227" s="5">
        <v>2500</v>
      </c>
      <c r="N227" s="5" t="s">
        <v>170</v>
      </c>
      <c r="O227" s="6" t="s">
        <v>78</v>
      </c>
      <c r="P227" s="6" t="s">
        <v>80</v>
      </c>
      <c r="Q227" s="6">
        <v>2003</v>
      </c>
      <c r="R227" s="6" t="s">
        <v>50</v>
      </c>
      <c r="S227" s="6">
        <v>28</v>
      </c>
      <c r="T227" s="6">
        <v>13.5</v>
      </c>
      <c r="U227" s="6">
        <v>2157</v>
      </c>
      <c r="V227" s="6">
        <v>40.299999999999997</v>
      </c>
      <c r="W227" s="6">
        <v>0</v>
      </c>
      <c r="X227" s="6">
        <v>600</v>
      </c>
      <c r="Y227" s="6">
        <v>1043</v>
      </c>
      <c r="Z227" s="6">
        <v>457</v>
      </c>
      <c r="AA227" s="6">
        <v>57</v>
      </c>
      <c r="AB227" s="6">
        <v>0</v>
      </c>
      <c r="AC227" s="7">
        <v>72</v>
      </c>
      <c r="AD227" s="7" t="s">
        <v>52</v>
      </c>
      <c r="AE227" s="7">
        <v>27.1</v>
      </c>
      <c r="AF227" s="7">
        <v>360</v>
      </c>
      <c r="AG227" s="7">
        <v>26.93</v>
      </c>
      <c r="AH227" s="7">
        <v>30.86</v>
      </c>
      <c r="AI227" s="7">
        <v>36.03</v>
      </c>
      <c r="AJ227" s="9">
        <v>314.108678049481</v>
      </c>
      <c r="AK227" s="9">
        <v>316.287780553998</v>
      </c>
      <c r="AL227" s="9">
        <v>357.33645166976902</v>
      </c>
      <c r="AM227" s="9">
        <v>70.549423147773894</v>
      </c>
      <c r="AN227" s="9">
        <v>0.97985309927463804</v>
      </c>
      <c r="AO227" s="9">
        <v>0.336909791856357</v>
      </c>
      <c r="AP227" s="9">
        <v>752.98797781338999</v>
      </c>
      <c r="AQ227" s="9">
        <v>10.4581663585193</v>
      </c>
      <c r="AR227" s="9">
        <v>6.3559838521313203</v>
      </c>
      <c r="AS227" s="73" t="s">
        <v>169</v>
      </c>
      <c r="AT227" s="8"/>
      <c r="AU227" s="10" t="s">
        <v>169</v>
      </c>
      <c r="AV227" s="10">
        <v>0</v>
      </c>
      <c r="AW227" s="8"/>
      <c r="AX227" s="74" t="s">
        <v>169</v>
      </c>
      <c r="AY227" s="74"/>
      <c r="AZ227" s="74"/>
      <c r="BA227" s="74"/>
      <c r="BB227" s="8"/>
      <c r="BC227" s="8"/>
      <c r="BD227" s="8"/>
      <c r="BE227" s="8"/>
      <c r="BF227" s="12">
        <v>0.44</v>
      </c>
      <c r="BG227" s="13">
        <v>273.83883412959955</v>
      </c>
      <c r="BH227" s="96" t="str">
        <f>+VLOOKUP(G227,Liste!$A$7:$G$50,3,FALSE)</f>
        <v>Pin sylvestre</v>
      </c>
      <c r="BI227" s="96" t="str">
        <f>+VLOOKUP(H227,Liste!$B$7:$G$50,5,FALSE)</f>
        <v>GS Pineraies des plaines du Centre et du Nord Ouest</v>
      </c>
      <c r="BJ227" s="135">
        <f t="shared" si="72"/>
        <v>72</v>
      </c>
      <c r="BK227" s="135" t="str">
        <f t="shared" si="74"/>
        <v>Pin sylvestre_F2_Eclaircie tardive_GS Pineraies des plaines du Centre et du Nord Ouest_72_</v>
      </c>
      <c r="BL227" s="322"/>
      <c r="BM227" s="13">
        <v>70.04401144726944</v>
      </c>
      <c r="BN227" s="13">
        <v>343.88284557686899</v>
      </c>
      <c r="BP227" s="13">
        <v>268.42</v>
      </c>
      <c r="BQ227" s="13">
        <v>5.8796822965316604</v>
      </c>
      <c r="BT227" s="298" t="str">
        <f>+VLOOKUP(G227,Liste!$A$7:$H$50,8,FALSE)</f>
        <v>Résineux</v>
      </c>
      <c r="BU227" s="298">
        <f t="shared" si="75"/>
        <v>0</v>
      </c>
      <c r="BV227" s="300">
        <f t="shared" si="76"/>
        <v>1</v>
      </c>
      <c r="BW227" s="321">
        <v>0</v>
      </c>
      <c r="BX227" s="298">
        <f t="shared" si="77"/>
        <v>0.43</v>
      </c>
      <c r="BY227">
        <f t="shared" si="78"/>
        <v>0</v>
      </c>
      <c r="BZ227" s="304">
        <f t="shared" si="79"/>
        <v>0</v>
      </c>
      <c r="CB227" s="299">
        <v>0.6</v>
      </c>
      <c r="CC227" s="299">
        <v>0.4</v>
      </c>
      <c r="CD227">
        <f t="shared" si="80"/>
        <v>0</v>
      </c>
      <c r="CE227">
        <f t="shared" si="81"/>
        <v>0</v>
      </c>
      <c r="CF227">
        <f t="shared" si="82"/>
        <v>0</v>
      </c>
      <c r="CG227">
        <f t="shared" si="83"/>
        <v>0</v>
      </c>
      <c r="CH227">
        <f t="shared" si="84"/>
        <v>0</v>
      </c>
      <c r="CI227">
        <f t="shared" si="85"/>
        <v>0</v>
      </c>
      <c r="CJ227">
        <f t="shared" si="86"/>
        <v>0</v>
      </c>
      <c r="CK227">
        <f t="shared" si="87"/>
        <v>0</v>
      </c>
      <c r="CL227">
        <f t="shared" si="88"/>
        <v>0</v>
      </c>
      <c r="CM227">
        <f t="shared" si="90"/>
        <v>0</v>
      </c>
      <c r="CN227">
        <f t="shared" si="89"/>
        <v>0</v>
      </c>
      <c r="CO227">
        <f t="shared" si="73"/>
        <v>0</v>
      </c>
    </row>
    <row r="228" spans="1:93" s="12" customFormat="1" ht="14.65" customHeight="1" x14ac:dyDescent="0.25">
      <c r="A228" s="4">
        <v>2021</v>
      </c>
      <c r="B228" s="4"/>
      <c r="C228" s="4" t="s">
        <v>64</v>
      </c>
      <c r="D228" s="4" t="s">
        <v>65</v>
      </c>
      <c r="E228" s="4"/>
      <c r="F228" s="4" t="s">
        <v>90</v>
      </c>
      <c r="G228" s="5" t="s">
        <v>15</v>
      </c>
      <c r="H228" s="5" t="s">
        <v>21</v>
      </c>
      <c r="I228" s="5" t="s">
        <v>147</v>
      </c>
      <c r="J228" s="5" t="s">
        <v>10</v>
      </c>
      <c r="K228" s="5">
        <v>23</v>
      </c>
      <c r="L228" s="5">
        <v>45</v>
      </c>
      <c r="M228" s="5">
        <v>2500</v>
      </c>
      <c r="N228" s="5" t="s">
        <v>170</v>
      </c>
      <c r="O228" s="6" t="s">
        <v>78</v>
      </c>
      <c r="P228" s="6" t="s">
        <v>80</v>
      </c>
      <c r="Q228" s="6">
        <v>2003</v>
      </c>
      <c r="R228" s="6" t="s">
        <v>50</v>
      </c>
      <c r="S228" s="6">
        <v>28</v>
      </c>
      <c r="T228" s="6">
        <v>13.5</v>
      </c>
      <c r="U228" s="6">
        <v>2157</v>
      </c>
      <c r="V228" s="6">
        <v>40.299999999999997</v>
      </c>
      <c r="W228" s="6">
        <v>0</v>
      </c>
      <c r="X228" s="6">
        <v>600</v>
      </c>
      <c r="Y228" s="6">
        <v>1043</v>
      </c>
      <c r="Z228" s="6">
        <v>457</v>
      </c>
      <c r="AA228" s="6">
        <v>57</v>
      </c>
      <c r="AB228" s="6">
        <v>0</v>
      </c>
      <c r="AC228" s="7">
        <v>72</v>
      </c>
      <c r="AD228" s="7" t="s">
        <v>53</v>
      </c>
      <c r="AE228" s="7">
        <v>27.1</v>
      </c>
      <c r="AF228" s="7">
        <v>304</v>
      </c>
      <c r="AG228" s="7">
        <v>24</v>
      </c>
      <c r="AH228" s="7">
        <v>31.71</v>
      </c>
      <c r="AI228" s="7">
        <v>36.03</v>
      </c>
      <c r="AJ228" s="9">
        <v>281.19022392042302</v>
      </c>
      <c r="AK228" s="9">
        <v>283.22803487074901</v>
      </c>
      <c r="AL228" s="9">
        <v>320.05811007919402</v>
      </c>
      <c r="AM228" s="9">
        <v>70.549423147773894</v>
      </c>
      <c r="AN228" s="9">
        <v>0.97985309927463804</v>
      </c>
      <c r="AO228" s="9">
        <v>0.336909791856357</v>
      </c>
      <c r="AP228" s="9">
        <v>752.98797781338999</v>
      </c>
      <c r="AQ228" s="9">
        <v>10.4581663585193</v>
      </c>
      <c r="AR228" s="9">
        <v>6.3559838521313203</v>
      </c>
      <c r="AS228" s="73">
        <v>56</v>
      </c>
      <c r="AT228" s="8">
        <v>2.9299999999999997</v>
      </c>
      <c r="AU228" s="10">
        <v>25.810407182797224</v>
      </c>
      <c r="AV228" s="10">
        <v>32.918454129057977</v>
      </c>
      <c r="AW228" s="8">
        <v>0.7</v>
      </c>
      <c r="AX228" s="74">
        <v>0.58782953801889248</v>
      </c>
      <c r="AY228" s="74"/>
      <c r="AZ228" s="74"/>
      <c r="BA228" s="74"/>
      <c r="BB228" s="8"/>
      <c r="BC228" s="8"/>
      <c r="BD228" s="8"/>
      <c r="BE228" s="8"/>
      <c r="BF228" s="12">
        <v>0.44</v>
      </c>
      <c r="BG228" s="13">
        <v>245.27119835735587</v>
      </c>
      <c r="BH228" s="96" t="str">
        <f>+VLOOKUP(G228,Liste!$A$7:$G$50,3,FALSE)</f>
        <v>Pin sylvestre</v>
      </c>
      <c r="BI228" s="96" t="str">
        <f>+VLOOKUP(H228,Liste!$B$7:$G$50,5,FALSE)</f>
        <v>GS Pineraies des plaines du Centre et du Nord Ouest</v>
      </c>
      <c r="BJ228" s="135">
        <f t="shared" si="72"/>
        <v>72</v>
      </c>
      <c r="BK228" s="135" t="str">
        <f t="shared" si="74"/>
        <v>Pin sylvestre_F2_Eclaircie tardive_GS Pineraies des plaines du Centre et du Nord Ouest_72_</v>
      </c>
      <c r="BL228" s="322"/>
      <c r="BM228" s="13">
        <v>63.546566455167152</v>
      </c>
      <c r="BN228" s="13">
        <v>308.81776481252302</v>
      </c>
      <c r="BO228" s="13">
        <v>35.065080764345964</v>
      </c>
      <c r="BP228" s="13">
        <v>268.42</v>
      </c>
      <c r="BQ228" s="13">
        <v>5.8796822965316604</v>
      </c>
      <c r="BT228" s="298" t="str">
        <f>+VLOOKUP(G228,Liste!$A$7:$H$50,8,FALSE)</f>
        <v>Résineux</v>
      </c>
      <c r="BU228" s="298">
        <f t="shared" si="75"/>
        <v>0</v>
      </c>
      <c r="BV228" s="300">
        <f t="shared" si="76"/>
        <v>1</v>
      </c>
      <c r="BW228" s="321">
        <v>0</v>
      </c>
      <c r="BX228" s="298">
        <f t="shared" si="77"/>
        <v>0.43</v>
      </c>
      <c r="BY228">
        <f t="shared" si="78"/>
        <v>0</v>
      </c>
      <c r="BZ228" s="304">
        <f t="shared" si="79"/>
        <v>0</v>
      </c>
      <c r="CB228" s="299">
        <v>0.6</v>
      </c>
      <c r="CC228" s="299">
        <v>0.4</v>
      </c>
      <c r="CD228">
        <f t="shared" si="80"/>
        <v>0</v>
      </c>
      <c r="CE228">
        <f t="shared" si="81"/>
        <v>0</v>
      </c>
      <c r="CF228">
        <f t="shared" si="82"/>
        <v>0</v>
      </c>
      <c r="CG228">
        <f t="shared" si="83"/>
        <v>0</v>
      </c>
      <c r="CH228">
        <f t="shared" si="84"/>
        <v>0</v>
      </c>
      <c r="CI228">
        <f t="shared" si="85"/>
        <v>0</v>
      </c>
      <c r="CJ228">
        <f t="shared" si="86"/>
        <v>0</v>
      </c>
      <c r="CK228">
        <f t="shared" si="87"/>
        <v>0</v>
      </c>
      <c r="CL228">
        <f t="shared" si="88"/>
        <v>0</v>
      </c>
      <c r="CM228">
        <f t="shared" si="90"/>
        <v>0</v>
      </c>
      <c r="CN228">
        <f t="shared" si="89"/>
        <v>0</v>
      </c>
      <c r="CO228">
        <f t="shared" si="73"/>
        <v>0</v>
      </c>
    </row>
    <row r="229" spans="1:93" s="12" customFormat="1" ht="14.65" customHeight="1" x14ac:dyDescent="0.25">
      <c r="A229" s="4">
        <v>2021</v>
      </c>
      <c r="B229" s="4"/>
      <c r="C229" s="4" t="s">
        <v>64</v>
      </c>
      <c r="D229" s="4" t="s">
        <v>65</v>
      </c>
      <c r="E229" s="4"/>
      <c r="F229" s="4" t="s">
        <v>90</v>
      </c>
      <c r="G229" s="5" t="s">
        <v>15</v>
      </c>
      <c r="H229" s="5" t="s">
        <v>21</v>
      </c>
      <c r="I229" s="5" t="s">
        <v>147</v>
      </c>
      <c r="J229" s="5" t="s">
        <v>10</v>
      </c>
      <c r="K229" s="5">
        <v>23</v>
      </c>
      <c r="L229" s="5">
        <v>45</v>
      </c>
      <c r="M229" s="5">
        <v>2500</v>
      </c>
      <c r="N229" s="5" t="s">
        <v>170</v>
      </c>
      <c r="O229" s="6" t="s">
        <v>78</v>
      </c>
      <c r="P229" s="6" t="s">
        <v>80</v>
      </c>
      <c r="Q229" s="6">
        <v>2003</v>
      </c>
      <c r="R229" s="6" t="s">
        <v>50</v>
      </c>
      <c r="S229" s="6">
        <v>28</v>
      </c>
      <c r="T229" s="6">
        <v>13.5</v>
      </c>
      <c r="U229" s="6">
        <v>2157</v>
      </c>
      <c r="V229" s="6">
        <v>40.299999999999997</v>
      </c>
      <c r="W229" s="6">
        <v>0</v>
      </c>
      <c r="X229" s="6">
        <v>600</v>
      </c>
      <c r="Y229" s="6">
        <v>1043</v>
      </c>
      <c r="Z229" s="6">
        <v>457</v>
      </c>
      <c r="AA229" s="6">
        <v>57</v>
      </c>
      <c r="AB229" s="6">
        <v>0</v>
      </c>
      <c r="AC229" s="7">
        <v>73</v>
      </c>
      <c r="AD229" s="7" t="s">
        <v>52</v>
      </c>
      <c r="AE229" s="7">
        <v>27.31</v>
      </c>
      <c r="AF229" s="7">
        <v>304</v>
      </c>
      <c r="AG229" s="7">
        <v>24.34</v>
      </c>
      <c r="AH229" s="7">
        <v>31.93</v>
      </c>
      <c r="AI229" s="7">
        <v>36.29</v>
      </c>
      <c r="AJ229" s="9">
        <v>287.01754948471302</v>
      </c>
      <c r="AK229" s="9">
        <v>289.09768222844201</v>
      </c>
      <c r="AL229" s="9">
        <v>326.414093931325</v>
      </c>
      <c r="AM229" s="9">
        <v>70.886332939630293</v>
      </c>
      <c r="AN229" s="9">
        <v>0.97104565670726395</v>
      </c>
      <c r="AO229" s="9">
        <v>0.33322875632821097</v>
      </c>
      <c r="AP229" s="9">
        <v>759.34396166552096</v>
      </c>
      <c r="AQ229" s="9">
        <v>10.4019720776099</v>
      </c>
      <c r="AR229" s="9">
        <v>6.5000940221270902</v>
      </c>
      <c r="AS229" s="73" t="s">
        <v>169</v>
      </c>
      <c r="AT229" s="8"/>
      <c r="AU229" s="10" t="s">
        <v>169</v>
      </c>
      <c r="AV229" s="10">
        <v>0</v>
      </c>
      <c r="AW229" s="8"/>
      <c r="AX229" s="74" t="s">
        <v>169</v>
      </c>
      <c r="AY229" s="74"/>
      <c r="AZ229" s="74"/>
      <c r="BA229" s="74"/>
      <c r="BB229" s="8"/>
      <c r="BC229" s="8"/>
      <c r="BD229" s="8"/>
      <c r="BE229" s="8"/>
      <c r="BF229" s="12">
        <v>0.44</v>
      </c>
      <c r="BG229" s="13">
        <v>250.14200064937233</v>
      </c>
      <c r="BH229" s="96" t="str">
        <f>+VLOOKUP(G229,Liste!$A$7:$G$50,3,FALSE)</f>
        <v>Pin sylvestre</v>
      </c>
      <c r="BI229" s="96" t="str">
        <f>+VLOOKUP(H229,Liste!$B$7:$G$50,5,FALSE)</f>
        <v>GS Pineraies des plaines du Centre et du Nord Ouest</v>
      </c>
      <c r="BJ229" s="135">
        <f t="shared" si="72"/>
        <v>73</v>
      </c>
      <c r="BK229" s="135" t="str">
        <f t="shared" si="74"/>
        <v>Pin sylvestre_F2_Eclaircie tardive_GS Pineraies des plaines du Centre et du Nord Ouest_73_</v>
      </c>
      <c r="BL229" s="322"/>
      <c r="BM229" s="13">
        <v>64.660356109928671</v>
      </c>
      <c r="BN229" s="13">
        <v>314.80235675930101</v>
      </c>
      <c r="BP229" s="13">
        <v>268.42</v>
      </c>
      <c r="BQ229" s="13">
        <v>6.0119771193631104</v>
      </c>
      <c r="BT229" s="298" t="str">
        <f>+VLOOKUP(G229,Liste!$A$7:$H$50,8,FALSE)</f>
        <v>Résineux</v>
      </c>
      <c r="BU229" s="298">
        <f t="shared" si="75"/>
        <v>0</v>
      </c>
      <c r="BV229" s="300">
        <f t="shared" si="76"/>
        <v>1</v>
      </c>
      <c r="BW229" s="321">
        <v>0</v>
      </c>
      <c r="BX229" s="298">
        <f t="shared" si="77"/>
        <v>0.43</v>
      </c>
      <c r="BY229">
        <f t="shared" si="78"/>
        <v>0</v>
      </c>
      <c r="BZ229" s="304">
        <f t="shared" si="79"/>
        <v>0</v>
      </c>
      <c r="CB229" s="299">
        <v>0.6</v>
      </c>
      <c r="CC229" s="299">
        <v>0.4</v>
      </c>
      <c r="CD229">
        <f t="shared" si="80"/>
        <v>0</v>
      </c>
      <c r="CE229">
        <f t="shared" si="81"/>
        <v>0</v>
      </c>
      <c r="CF229">
        <f t="shared" si="82"/>
        <v>0</v>
      </c>
      <c r="CG229">
        <f t="shared" si="83"/>
        <v>0</v>
      </c>
      <c r="CH229">
        <f t="shared" si="84"/>
        <v>0</v>
      </c>
      <c r="CI229">
        <f t="shared" si="85"/>
        <v>0</v>
      </c>
      <c r="CJ229">
        <f t="shared" si="86"/>
        <v>0</v>
      </c>
      <c r="CK229">
        <f t="shared" si="87"/>
        <v>0</v>
      </c>
      <c r="CL229">
        <f t="shared" si="88"/>
        <v>0</v>
      </c>
      <c r="CM229">
        <f t="shared" si="90"/>
        <v>0</v>
      </c>
      <c r="CN229">
        <f t="shared" si="89"/>
        <v>0</v>
      </c>
      <c r="CO229">
        <f t="shared" si="73"/>
        <v>0</v>
      </c>
    </row>
    <row r="230" spans="1:93" s="12" customFormat="1" ht="14.65" customHeight="1" x14ac:dyDescent="0.25">
      <c r="A230" s="4">
        <v>2021</v>
      </c>
      <c r="B230" s="4"/>
      <c r="C230" s="4" t="s">
        <v>64</v>
      </c>
      <c r="D230" s="4" t="s">
        <v>65</v>
      </c>
      <c r="E230" s="4"/>
      <c r="F230" s="4" t="s">
        <v>90</v>
      </c>
      <c r="G230" s="5" t="s">
        <v>15</v>
      </c>
      <c r="H230" s="5" t="s">
        <v>21</v>
      </c>
      <c r="I230" s="5" t="s">
        <v>147</v>
      </c>
      <c r="J230" s="5" t="s">
        <v>10</v>
      </c>
      <c r="K230" s="5">
        <v>23</v>
      </c>
      <c r="L230" s="5">
        <v>45</v>
      </c>
      <c r="M230" s="5">
        <v>2500</v>
      </c>
      <c r="N230" s="5" t="s">
        <v>170</v>
      </c>
      <c r="O230" s="6" t="s">
        <v>78</v>
      </c>
      <c r="P230" s="6" t="s">
        <v>80</v>
      </c>
      <c r="Q230" s="6">
        <v>2003</v>
      </c>
      <c r="R230" s="6" t="s">
        <v>50</v>
      </c>
      <c r="S230" s="6">
        <v>28</v>
      </c>
      <c r="T230" s="6">
        <v>13.5</v>
      </c>
      <c r="U230" s="6">
        <v>2157</v>
      </c>
      <c r="V230" s="6">
        <v>40.299999999999997</v>
      </c>
      <c r="W230" s="6">
        <v>0</v>
      </c>
      <c r="X230" s="6">
        <v>600</v>
      </c>
      <c r="Y230" s="6">
        <v>1043</v>
      </c>
      <c r="Z230" s="6">
        <v>457</v>
      </c>
      <c r="AA230" s="6">
        <v>57</v>
      </c>
      <c r="AB230" s="6">
        <v>0</v>
      </c>
      <c r="AC230" s="7">
        <v>74</v>
      </c>
      <c r="AD230" s="7" t="s">
        <v>52</v>
      </c>
      <c r="AE230" s="7">
        <v>27.51</v>
      </c>
      <c r="AF230" s="7">
        <v>304</v>
      </c>
      <c r="AG230" s="7">
        <v>24.67</v>
      </c>
      <c r="AH230" s="7">
        <v>32.15</v>
      </c>
      <c r="AI230" s="7">
        <v>36.549999999999997</v>
      </c>
      <c r="AJ230" s="9">
        <v>293.01131340485</v>
      </c>
      <c r="AK230" s="9">
        <v>295.131575368977</v>
      </c>
      <c r="AL230" s="9">
        <v>332.91418795345197</v>
      </c>
      <c r="AM230" s="9">
        <v>71.219561695958504</v>
      </c>
      <c r="AN230" s="9">
        <v>0.96242650940484398</v>
      </c>
      <c r="AO230" s="9">
        <v>0.328818981260184</v>
      </c>
      <c r="AP230" s="9">
        <v>765.84405568764805</v>
      </c>
      <c r="AQ230" s="9">
        <v>10.349243995779</v>
      </c>
      <c r="AR230" s="9">
        <v>6.4728704323423498</v>
      </c>
      <c r="AS230" s="73" t="s">
        <v>169</v>
      </c>
      <c r="AT230" s="8"/>
      <c r="AU230" s="10" t="s">
        <v>169</v>
      </c>
      <c r="AV230" s="10">
        <v>0</v>
      </c>
      <c r="AW230" s="8"/>
      <c r="AX230" s="74" t="s">
        <v>169</v>
      </c>
      <c r="AY230" s="74"/>
      <c r="AZ230" s="74"/>
      <c r="BA230" s="74"/>
      <c r="BB230" s="8"/>
      <c r="BC230" s="8"/>
      <c r="BD230" s="8"/>
      <c r="BE230" s="8"/>
      <c r="BF230" s="12">
        <v>0.44</v>
      </c>
      <c r="BG230" s="13">
        <v>255.12323936832919</v>
      </c>
      <c r="BH230" s="96" t="str">
        <f>+VLOOKUP(G230,Liste!$A$7:$G$50,3,FALSE)</f>
        <v>Pin sylvestre</v>
      </c>
      <c r="BI230" s="96" t="str">
        <f>+VLOOKUP(H230,Liste!$B$7:$G$50,5,FALSE)</f>
        <v>GS Pineraies des plaines du Centre et du Nord Ouest</v>
      </c>
      <c r="BJ230" s="135">
        <f t="shared" si="72"/>
        <v>74</v>
      </c>
      <c r="BK230" s="135" t="str">
        <f t="shared" si="74"/>
        <v>Pin sylvestre_F2_Eclaircie tardive_GS Pineraies des plaines du Centre et du Nord Ouest_74_</v>
      </c>
      <c r="BL230" s="322"/>
      <c r="BM230" s="13">
        <v>65.796791115867819</v>
      </c>
      <c r="BN230" s="13">
        <v>320.92003048419701</v>
      </c>
      <c r="BP230" s="13">
        <v>268.42</v>
      </c>
      <c r="BQ230" s="13">
        <v>5.9857864032082899</v>
      </c>
      <c r="BT230" s="298" t="str">
        <f>+VLOOKUP(G230,Liste!$A$7:$H$50,8,FALSE)</f>
        <v>Résineux</v>
      </c>
      <c r="BU230" s="298">
        <f t="shared" si="75"/>
        <v>0</v>
      </c>
      <c r="BV230" s="300">
        <f t="shared" si="76"/>
        <v>1</v>
      </c>
      <c r="BW230" s="321">
        <v>0</v>
      </c>
      <c r="BX230" s="298">
        <f t="shared" si="77"/>
        <v>0.43</v>
      </c>
      <c r="BY230">
        <f t="shared" si="78"/>
        <v>0</v>
      </c>
      <c r="BZ230" s="304">
        <f t="shared" si="79"/>
        <v>0</v>
      </c>
      <c r="CB230" s="299">
        <v>0.6</v>
      </c>
      <c r="CC230" s="299">
        <v>0.4</v>
      </c>
      <c r="CD230">
        <f t="shared" si="80"/>
        <v>0</v>
      </c>
      <c r="CE230">
        <f t="shared" si="81"/>
        <v>0</v>
      </c>
      <c r="CF230">
        <f t="shared" si="82"/>
        <v>0</v>
      </c>
      <c r="CG230">
        <f t="shared" si="83"/>
        <v>0</v>
      </c>
      <c r="CH230">
        <f t="shared" si="84"/>
        <v>0</v>
      </c>
      <c r="CI230">
        <f t="shared" si="85"/>
        <v>0</v>
      </c>
      <c r="CJ230">
        <f t="shared" si="86"/>
        <v>0</v>
      </c>
      <c r="CK230">
        <f t="shared" si="87"/>
        <v>0</v>
      </c>
      <c r="CL230">
        <f t="shared" si="88"/>
        <v>0</v>
      </c>
      <c r="CM230">
        <f t="shared" si="90"/>
        <v>0</v>
      </c>
      <c r="CN230">
        <f t="shared" si="89"/>
        <v>0</v>
      </c>
      <c r="CO230">
        <f t="shared" si="73"/>
        <v>0</v>
      </c>
    </row>
    <row r="231" spans="1:93" s="12" customFormat="1" ht="14.65" customHeight="1" x14ac:dyDescent="0.25">
      <c r="A231" s="4">
        <v>2021</v>
      </c>
      <c r="B231" s="4"/>
      <c r="C231" s="4" t="s">
        <v>64</v>
      </c>
      <c r="D231" s="4" t="s">
        <v>65</v>
      </c>
      <c r="E231" s="4"/>
      <c r="F231" s="4" t="s">
        <v>90</v>
      </c>
      <c r="G231" s="5" t="s">
        <v>15</v>
      </c>
      <c r="H231" s="5" t="s">
        <v>21</v>
      </c>
      <c r="I231" s="5" t="s">
        <v>147</v>
      </c>
      <c r="J231" s="5" t="s">
        <v>10</v>
      </c>
      <c r="K231" s="5">
        <v>23</v>
      </c>
      <c r="L231" s="5">
        <v>45</v>
      </c>
      <c r="M231" s="5">
        <v>2500</v>
      </c>
      <c r="N231" s="5" t="s">
        <v>170</v>
      </c>
      <c r="O231" s="6" t="s">
        <v>78</v>
      </c>
      <c r="P231" s="6" t="s">
        <v>80</v>
      </c>
      <c r="Q231" s="6">
        <v>2003</v>
      </c>
      <c r="R231" s="6" t="s">
        <v>50</v>
      </c>
      <c r="S231" s="6">
        <v>28</v>
      </c>
      <c r="T231" s="6">
        <v>13.5</v>
      </c>
      <c r="U231" s="6">
        <v>2157</v>
      </c>
      <c r="V231" s="6">
        <v>40.299999999999997</v>
      </c>
      <c r="W231" s="6">
        <v>0</v>
      </c>
      <c r="X231" s="6">
        <v>600</v>
      </c>
      <c r="Y231" s="6">
        <v>1043</v>
      </c>
      <c r="Z231" s="6">
        <v>457</v>
      </c>
      <c r="AA231" s="6">
        <v>57</v>
      </c>
      <c r="AB231" s="6">
        <v>0</v>
      </c>
      <c r="AC231" s="7">
        <v>75</v>
      </c>
      <c r="AD231" s="7" t="s">
        <v>52</v>
      </c>
      <c r="AE231" s="7">
        <v>27.7</v>
      </c>
      <c r="AF231" s="7">
        <v>304</v>
      </c>
      <c r="AG231" s="7">
        <v>25</v>
      </c>
      <c r="AH231" s="7">
        <v>32.36</v>
      </c>
      <c r="AI231" s="7">
        <v>36.799999999999997</v>
      </c>
      <c r="AJ231" s="9">
        <v>298.98699441329302</v>
      </c>
      <c r="AK231" s="9">
        <v>301.14675288664</v>
      </c>
      <c r="AL231" s="9">
        <v>339.387058385795</v>
      </c>
      <c r="AM231" s="9">
        <v>71.548380677218702</v>
      </c>
      <c r="AN231" s="9">
        <v>0.95397840902958198</v>
      </c>
      <c r="AO231" s="9">
        <v>0.324322906641967</v>
      </c>
      <c r="AP231" s="9">
        <v>772.31692611998994</v>
      </c>
      <c r="AQ231" s="9">
        <v>10.297559014933199</v>
      </c>
      <c r="AR231" s="9">
        <v>6.4192567450385196</v>
      </c>
      <c r="AS231" s="73" t="s">
        <v>169</v>
      </c>
      <c r="AT231" s="8"/>
      <c r="AU231" s="10" t="s">
        <v>169</v>
      </c>
      <c r="AV231" s="10">
        <v>0</v>
      </c>
      <c r="AW231" s="8"/>
      <c r="AX231" s="74" t="s">
        <v>169</v>
      </c>
      <c r="AY231" s="74"/>
      <c r="AZ231" s="74"/>
      <c r="BA231" s="74"/>
      <c r="BB231" s="8"/>
      <c r="BC231" s="8"/>
      <c r="BD231" s="8"/>
      <c r="BE231" s="8"/>
      <c r="BF231" s="12">
        <v>0.44</v>
      </c>
      <c r="BG231" s="13">
        <v>260.08361574298073</v>
      </c>
      <c r="BH231" s="96" t="str">
        <f>+VLOOKUP(G231,Liste!$A$7:$G$50,3,FALSE)</f>
        <v>Pin sylvestre</v>
      </c>
      <c r="BI231" s="96" t="str">
        <f>+VLOOKUP(H231,Liste!$B$7:$G$50,5,FALSE)</f>
        <v>GS Pineraies des plaines du Centre et du Nord Ouest</v>
      </c>
      <c r="BJ231" s="135">
        <f t="shared" si="72"/>
        <v>75</v>
      </c>
      <c r="BK231" s="135" t="str">
        <f t="shared" si="74"/>
        <v>Pin sylvestre_F2_Eclaircie tardive_GS Pineraies des plaines du Centre et du Nord Ouest_75_</v>
      </c>
      <c r="BL231" s="322"/>
      <c r="BM231" s="13">
        <v>66.925902625605261</v>
      </c>
      <c r="BN231" s="13">
        <v>327.00951836858599</v>
      </c>
      <c r="BP231" s="13">
        <v>268.42</v>
      </c>
      <c r="BQ231" s="13">
        <v>5.93521963882813</v>
      </c>
      <c r="BT231" s="298" t="str">
        <f>+VLOOKUP(G231,Liste!$A$7:$H$50,8,FALSE)</f>
        <v>Résineux</v>
      </c>
      <c r="BU231" s="298">
        <f t="shared" si="75"/>
        <v>0</v>
      </c>
      <c r="BV231" s="300">
        <f t="shared" si="76"/>
        <v>1</v>
      </c>
      <c r="BW231" s="321">
        <v>0</v>
      </c>
      <c r="BX231" s="298">
        <f t="shared" si="77"/>
        <v>0.43</v>
      </c>
      <c r="BY231">
        <f t="shared" si="78"/>
        <v>0</v>
      </c>
      <c r="BZ231" s="304">
        <f t="shared" si="79"/>
        <v>0</v>
      </c>
      <c r="CB231" s="299">
        <v>0.6</v>
      </c>
      <c r="CC231" s="299">
        <v>0.4</v>
      </c>
      <c r="CD231">
        <f t="shared" si="80"/>
        <v>0</v>
      </c>
      <c r="CE231">
        <f t="shared" si="81"/>
        <v>0</v>
      </c>
      <c r="CF231">
        <f t="shared" si="82"/>
        <v>0</v>
      </c>
      <c r="CG231">
        <f t="shared" si="83"/>
        <v>0</v>
      </c>
      <c r="CH231">
        <f t="shared" si="84"/>
        <v>0</v>
      </c>
      <c r="CI231">
        <f t="shared" si="85"/>
        <v>0</v>
      </c>
      <c r="CJ231">
        <f t="shared" si="86"/>
        <v>0</v>
      </c>
      <c r="CK231">
        <f t="shared" si="87"/>
        <v>0</v>
      </c>
      <c r="CL231">
        <f t="shared" si="88"/>
        <v>0</v>
      </c>
      <c r="CM231">
        <f t="shared" si="90"/>
        <v>0</v>
      </c>
      <c r="CN231">
        <f t="shared" si="89"/>
        <v>0</v>
      </c>
      <c r="CO231">
        <f t="shared" si="73"/>
        <v>0</v>
      </c>
    </row>
    <row r="232" spans="1:93" s="12" customFormat="1" ht="14.65" customHeight="1" x14ac:dyDescent="0.25">
      <c r="A232" s="4">
        <v>2021</v>
      </c>
      <c r="B232" s="4"/>
      <c r="C232" s="4" t="s">
        <v>64</v>
      </c>
      <c r="D232" s="4" t="s">
        <v>65</v>
      </c>
      <c r="E232" s="4"/>
      <c r="F232" s="4" t="s">
        <v>90</v>
      </c>
      <c r="G232" s="5" t="s">
        <v>15</v>
      </c>
      <c r="H232" s="5" t="s">
        <v>21</v>
      </c>
      <c r="I232" s="5" t="s">
        <v>147</v>
      </c>
      <c r="J232" s="5" t="s">
        <v>10</v>
      </c>
      <c r="K232" s="5">
        <v>23</v>
      </c>
      <c r="L232" s="5">
        <v>45</v>
      </c>
      <c r="M232" s="5">
        <v>2500</v>
      </c>
      <c r="N232" s="5" t="s">
        <v>170</v>
      </c>
      <c r="O232" s="6" t="s">
        <v>78</v>
      </c>
      <c r="P232" s="6" t="s">
        <v>80</v>
      </c>
      <c r="Q232" s="6">
        <v>2003</v>
      </c>
      <c r="R232" s="6" t="s">
        <v>50</v>
      </c>
      <c r="S232" s="6">
        <v>28</v>
      </c>
      <c r="T232" s="6">
        <v>13.5</v>
      </c>
      <c r="U232" s="6">
        <v>2157</v>
      </c>
      <c r="V232" s="6">
        <v>40.299999999999997</v>
      </c>
      <c r="W232" s="6">
        <v>0</v>
      </c>
      <c r="X232" s="6">
        <v>600</v>
      </c>
      <c r="Y232" s="6">
        <v>1043</v>
      </c>
      <c r="Z232" s="6">
        <v>457</v>
      </c>
      <c r="AA232" s="6">
        <v>57</v>
      </c>
      <c r="AB232" s="6">
        <v>0</v>
      </c>
      <c r="AC232" s="7">
        <v>76</v>
      </c>
      <c r="AD232" s="7" t="s">
        <v>52</v>
      </c>
      <c r="AE232" s="7">
        <v>27.9</v>
      </c>
      <c r="AF232" s="7">
        <v>304</v>
      </c>
      <c r="AG232" s="7">
        <v>25.33</v>
      </c>
      <c r="AH232" s="7">
        <v>32.57</v>
      </c>
      <c r="AI232" s="7">
        <v>37.06</v>
      </c>
      <c r="AJ232" s="9">
        <v>304.91621998862502</v>
      </c>
      <c r="AK232" s="9">
        <v>307.11506000947401</v>
      </c>
      <c r="AL232" s="9">
        <v>345.80631513083301</v>
      </c>
      <c r="AM232" s="9">
        <v>71.872703583860599</v>
      </c>
      <c r="AN232" s="9">
        <v>0.94569346820869205</v>
      </c>
      <c r="AO232" s="9">
        <v>0.32142432403411197</v>
      </c>
      <c r="AP232" s="9">
        <v>778.73618286502904</v>
      </c>
      <c r="AQ232" s="9">
        <v>10.2465287219083</v>
      </c>
      <c r="AR232" s="9">
        <v>6.4059807523500503</v>
      </c>
      <c r="AS232" s="73" t="s">
        <v>169</v>
      </c>
      <c r="AT232" s="8"/>
      <c r="AU232" s="10" t="s">
        <v>169</v>
      </c>
      <c r="AV232" s="10">
        <v>0</v>
      </c>
      <c r="AW232" s="8"/>
      <c r="AX232" s="74" t="s">
        <v>169</v>
      </c>
      <c r="AY232" s="74"/>
      <c r="AZ232" s="74"/>
      <c r="BA232" s="74"/>
      <c r="BB232" s="8"/>
      <c r="BC232" s="8"/>
      <c r="BD232" s="8"/>
      <c r="BE232" s="8"/>
      <c r="BF232" s="12">
        <v>0.44</v>
      </c>
      <c r="BG232" s="13">
        <v>265.00290616192871</v>
      </c>
      <c r="BH232" s="96" t="str">
        <f>+VLOOKUP(G232,Liste!$A$7:$G$50,3,FALSE)</f>
        <v>Pin sylvestre</v>
      </c>
      <c r="BI232" s="96" t="str">
        <f>+VLOOKUP(H232,Liste!$B$7:$G$50,5,FALSE)</f>
        <v>GS Pineraies des plaines du Centre et du Nord Ouest</v>
      </c>
      <c r="BJ232" s="135">
        <f t="shared" si="72"/>
        <v>76</v>
      </c>
      <c r="BK232" s="135" t="str">
        <f t="shared" si="74"/>
        <v>Pin sylvestre_F2_Eclaircie tardive_GS Pineraies des plaines du Centre et du Nord Ouest_76_</v>
      </c>
      <c r="BL232" s="322"/>
      <c r="BM232" s="13">
        <v>68.043188759819316</v>
      </c>
      <c r="BN232" s="13">
        <v>333.04609492174802</v>
      </c>
      <c r="BP232" s="13">
        <v>268.42</v>
      </c>
      <c r="BQ232" s="13">
        <v>5.92197338876076</v>
      </c>
      <c r="BT232" s="298" t="str">
        <f>+VLOOKUP(G232,Liste!$A$7:$H$50,8,FALSE)</f>
        <v>Résineux</v>
      </c>
      <c r="BU232" s="298">
        <f t="shared" si="75"/>
        <v>0</v>
      </c>
      <c r="BV232" s="300">
        <f t="shared" si="76"/>
        <v>1</v>
      </c>
      <c r="BW232" s="321">
        <v>0</v>
      </c>
      <c r="BX232" s="298">
        <f t="shared" si="77"/>
        <v>0.43</v>
      </c>
      <c r="BY232">
        <f t="shared" si="78"/>
        <v>0</v>
      </c>
      <c r="BZ232" s="304">
        <f t="shared" si="79"/>
        <v>0</v>
      </c>
      <c r="CB232" s="299">
        <v>0.6</v>
      </c>
      <c r="CC232" s="299">
        <v>0.4</v>
      </c>
      <c r="CD232">
        <f t="shared" si="80"/>
        <v>0</v>
      </c>
      <c r="CE232">
        <f t="shared" si="81"/>
        <v>0</v>
      </c>
      <c r="CF232">
        <f t="shared" si="82"/>
        <v>0</v>
      </c>
      <c r="CG232">
        <f t="shared" si="83"/>
        <v>0</v>
      </c>
      <c r="CH232">
        <f t="shared" si="84"/>
        <v>0</v>
      </c>
      <c r="CI232">
        <f t="shared" si="85"/>
        <v>0</v>
      </c>
      <c r="CJ232">
        <f t="shared" si="86"/>
        <v>0</v>
      </c>
      <c r="CK232">
        <f t="shared" si="87"/>
        <v>0</v>
      </c>
      <c r="CL232">
        <f t="shared" si="88"/>
        <v>0</v>
      </c>
      <c r="CM232">
        <f t="shared" si="90"/>
        <v>0</v>
      </c>
      <c r="CN232">
        <f t="shared" si="89"/>
        <v>0</v>
      </c>
      <c r="CO232">
        <f t="shared" si="73"/>
        <v>0</v>
      </c>
    </row>
    <row r="233" spans="1:93" s="12" customFormat="1" ht="14.65" customHeight="1" x14ac:dyDescent="0.25">
      <c r="A233" s="4">
        <v>2021</v>
      </c>
      <c r="B233" s="4"/>
      <c r="C233" s="4" t="s">
        <v>64</v>
      </c>
      <c r="D233" s="4" t="s">
        <v>65</v>
      </c>
      <c r="E233" s="4"/>
      <c r="F233" s="4" t="s">
        <v>90</v>
      </c>
      <c r="G233" s="5" t="s">
        <v>15</v>
      </c>
      <c r="H233" s="5" t="s">
        <v>21</v>
      </c>
      <c r="I233" s="5" t="s">
        <v>147</v>
      </c>
      <c r="J233" s="5" t="s">
        <v>10</v>
      </c>
      <c r="K233" s="5">
        <v>23</v>
      </c>
      <c r="L233" s="5">
        <v>45</v>
      </c>
      <c r="M233" s="5">
        <v>2500</v>
      </c>
      <c r="N233" s="5" t="s">
        <v>170</v>
      </c>
      <c r="O233" s="6" t="s">
        <v>78</v>
      </c>
      <c r="P233" s="6" t="s">
        <v>80</v>
      </c>
      <c r="Q233" s="6">
        <v>2003</v>
      </c>
      <c r="R233" s="6" t="s">
        <v>50</v>
      </c>
      <c r="S233" s="6">
        <v>28</v>
      </c>
      <c r="T233" s="6">
        <v>13.5</v>
      </c>
      <c r="U233" s="6">
        <v>2157</v>
      </c>
      <c r="V233" s="6">
        <v>40.299999999999997</v>
      </c>
      <c r="W233" s="6">
        <v>0</v>
      </c>
      <c r="X233" s="6">
        <v>600</v>
      </c>
      <c r="Y233" s="6">
        <v>1043</v>
      </c>
      <c r="Z233" s="6">
        <v>457</v>
      </c>
      <c r="AA233" s="6">
        <v>57</v>
      </c>
      <c r="AB233" s="6">
        <v>0</v>
      </c>
      <c r="AC233" s="7">
        <v>77</v>
      </c>
      <c r="AD233" s="7" t="s">
        <v>52</v>
      </c>
      <c r="AE233" s="7">
        <v>28.09</v>
      </c>
      <c r="AF233" s="7">
        <v>304</v>
      </c>
      <c r="AG233" s="7">
        <v>25.65</v>
      </c>
      <c r="AH233" s="7">
        <v>32.770000000000003</v>
      </c>
      <c r="AI233" s="7">
        <v>37.299999999999997</v>
      </c>
      <c r="AJ233" s="9">
        <v>310.83796309066202</v>
      </c>
      <c r="AK233" s="9">
        <v>313.07552400074098</v>
      </c>
      <c r="AL233" s="9">
        <v>352.212295883183</v>
      </c>
      <c r="AM233" s="9">
        <v>72.194127907894696</v>
      </c>
      <c r="AN233" s="9">
        <v>0.93758607672590599</v>
      </c>
      <c r="AO233" s="9">
        <v>0.31735373101693698</v>
      </c>
      <c r="AP233" s="9">
        <v>785.14216361737897</v>
      </c>
      <c r="AQ233" s="9">
        <v>10.1966514755504</v>
      </c>
      <c r="AR233" s="9">
        <v>6.34106358848305</v>
      </c>
      <c r="AS233" s="73" t="s">
        <v>169</v>
      </c>
      <c r="AT233" s="8"/>
      <c r="AU233" s="10" t="s">
        <v>169</v>
      </c>
      <c r="AV233" s="10">
        <v>0</v>
      </c>
      <c r="AW233" s="8"/>
      <c r="AX233" s="74" t="s">
        <v>169</v>
      </c>
      <c r="AY233" s="74"/>
      <c r="AZ233" s="74"/>
      <c r="BA233" s="74"/>
      <c r="BB233" s="8"/>
      <c r="BC233" s="8"/>
      <c r="BD233" s="8"/>
      <c r="BE233" s="8"/>
      <c r="BF233" s="12">
        <v>0.44</v>
      </c>
      <c r="BG233" s="13">
        <v>269.91202274514609</v>
      </c>
      <c r="BH233" s="96" t="str">
        <f>+VLOOKUP(G233,Liste!$A$7:$G$50,3,FALSE)</f>
        <v>Pin sylvestre</v>
      </c>
      <c r="BI233" s="96" t="str">
        <f>+VLOOKUP(H233,Liste!$B$7:$G$50,5,FALSE)</f>
        <v>GS Pineraies des plaines du Centre et du Nord Ouest</v>
      </c>
      <c r="BJ233" s="135">
        <f t="shared" si="72"/>
        <v>77</v>
      </c>
      <c r="BK233" s="135" t="str">
        <f t="shared" si="74"/>
        <v>Pin sylvestre_F2_Eclaircie tardive_GS Pineraies des plaines du Centre et du Nord Ouest_77_</v>
      </c>
      <c r="BL233" s="322"/>
      <c r="BM233" s="13">
        <v>69.155759902362888</v>
      </c>
      <c r="BN233" s="13">
        <v>339.06778264750898</v>
      </c>
      <c r="BP233" s="13">
        <v>268.42</v>
      </c>
      <c r="BQ233" s="13">
        <v>5.8610141399560698</v>
      </c>
      <c r="BT233" s="298" t="str">
        <f>+VLOOKUP(G233,Liste!$A$7:$H$50,8,FALSE)</f>
        <v>Résineux</v>
      </c>
      <c r="BU233" s="298">
        <f t="shared" si="75"/>
        <v>0</v>
      </c>
      <c r="BV233" s="300">
        <f t="shared" si="76"/>
        <v>1</v>
      </c>
      <c r="BW233" s="321">
        <v>0</v>
      </c>
      <c r="BX233" s="298">
        <f t="shared" si="77"/>
        <v>0.43</v>
      </c>
      <c r="BY233">
        <f t="shared" si="78"/>
        <v>0</v>
      </c>
      <c r="BZ233" s="304">
        <f t="shared" si="79"/>
        <v>0</v>
      </c>
      <c r="CB233" s="299">
        <v>0.6</v>
      </c>
      <c r="CC233" s="299">
        <v>0.4</v>
      </c>
      <c r="CD233">
        <f t="shared" si="80"/>
        <v>0</v>
      </c>
      <c r="CE233">
        <f t="shared" si="81"/>
        <v>0</v>
      </c>
      <c r="CF233">
        <f t="shared" si="82"/>
        <v>0</v>
      </c>
      <c r="CG233">
        <f t="shared" si="83"/>
        <v>0</v>
      </c>
      <c r="CH233">
        <f t="shared" si="84"/>
        <v>0</v>
      </c>
      <c r="CI233">
        <f t="shared" si="85"/>
        <v>0</v>
      </c>
      <c r="CJ233">
        <f t="shared" si="86"/>
        <v>0</v>
      </c>
      <c r="CK233">
        <f t="shared" si="87"/>
        <v>0</v>
      </c>
      <c r="CL233">
        <f t="shared" si="88"/>
        <v>0</v>
      </c>
      <c r="CM233">
        <f t="shared" si="90"/>
        <v>0</v>
      </c>
      <c r="CN233">
        <f t="shared" si="89"/>
        <v>0</v>
      </c>
      <c r="CO233">
        <f t="shared" si="73"/>
        <v>0</v>
      </c>
    </row>
    <row r="234" spans="1:93" s="12" customFormat="1" ht="14.65" customHeight="1" x14ac:dyDescent="0.25">
      <c r="A234" s="4">
        <v>2021</v>
      </c>
      <c r="B234" s="4"/>
      <c r="C234" s="4" t="s">
        <v>64</v>
      </c>
      <c r="D234" s="4" t="s">
        <v>65</v>
      </c>
      <c r="E234" s="4"/>
      <c r="F234" s="4" t="s">
        <v>90</v>
      </c>
      <c r="G234" s="5" t="s">
        <v>15</v>
      </c>
      <c r="H234" s="5" t="s">
        <v>21</v>
      </c>
      <c r="I234" s="5" t="s">
        <v>147</v>
      </c>
      <c r="J234" s="5" t="s">
        <v>10</v>
      </c>
      <c r="K234" s="5">
        <v>23</v>
      </c>
      <c r="L234" s="5">
        <v>45</v>
      </c>
      <c r="M234" s="5">
        <v>2500</v>
      </c>
      <c r="N234" s="5" t="s">
        <v>170</v>
      </c>
      <c r="O234" s="6" t="s">
        <v>78</v>
      </c>
      <c r="P234" s="6" t="s">
        <v>80</v>
      </c>
      <c r="Q234" s="6">
        <v>2003</v>
      </c>
      <c r="R234" s="6" t="s">
        <v>50</v>
      </c>
      <c r="S234" s="6">
        <v>28</v>
      </c>
      <c r="T234" s="6">
        <v>13.5</v>
      </c>
      <c r="U234" s="6">
        <v>2157</v>
      </c>
      <c r="V234" s="6">
        <v>40.299999999999997</v>
      </c>
      <c r="W234" s="6">
        <v>0</v>
      </c>
      <c r="X234" s="6">
        <v>600</v>
      </c>
      <c r="Y234" s="6">
        <v>1043</v>
      </c>
      <c r="Z234" s="6">
        <v>457</v>
      </c>
      <c r="AA234" s="6">
        <v>57</v>
      </c>
      <c r="AB234" s="6">
        <v>0</v>
      </c>
      <c r="AC234" s="7">
        <v>78</v>
      </c>
      <c r="AD234" s="7" t="s">
        <v>52</v>
      </c>
      <c r="AE234" s="7">
        <v>28.27</v>
      </c>
      <c r="AF234" s="7">
        <v>304</v>
      </c>
      <c r="AG234" s="7">
        <v>25.96</v>
      </c>
      <c r="AH234" s="7">
        <v>32.979999999999997</v>
      </c>
      <c r="AI234" s="7">
        <v>37.54</v>
      </c>
      <c r="AJ234" s="9">
        <v>316.69922098459102</v>
      </c>
      <c r="AK234" s="9">
        <v>318.975473174206</v>
      </c>
      <c r="AL234" s="9">
        <v>358.55335947166702</v>
      </c>
      <c r="AM234" s="9">
        <v>72.511481638911704</v>
      </c>
      <c r="AN234" s="9">
        <v>0.92963437998604703</v>
      </c>
      <c r="AO234" s="9">
        <v>0.31219686950791498</v>
      </c>
      <c r="AP234" s="9">
        <v>791.48322720586202</v>
      </c>
      <c r="AQ234" s="9">
        <v>10.147220861613601</v>
      </c>
      <c r="AR234" s="9">
        <v>6.3054007224161497</v>
      </c>
      <c r="AS234" s="73" t="s">
        <v>169</v>
      </c>
      <c r="AT234" s="8"/>
      <c r="AU234" s="10" t="s">
        <v>169</v>
      </c>
      <c r="AV234" s="10">
        <v>0</v>
      </c>
      <c r="AW234" s="8"/>
      <c r="AX234" s="74" t="s">
        <v>169</v>
      </c>
      <c r="AY234" s="74"/>
      <c r="AZ234" s="74"/>
      <c r="BA234" s="74"/>
      <c r="BB234" s="8"/>
      <c r="BC234" s="8"/>
      <c r="BD234" s="8"/>
      <c r="BE234" s="8"/>
      <c r="BF234" s="12">
        <v>0.44</v>
      </c>
      <c r="BG234" s="13">
        <v>274.77139114178709</v>
      </c>
      <c r="BH234" s="96" t="str">
        <f>+VLOOKUP(G234,Liste!$A$7:$G$50,3,FALSE)</f>
        <v>Pin sylvestre</v>
      </c>
      <c r="BI234" s="96" t="str">
        <f>+VLOOKUP(H234,Liste!$B$7:$G$50,5,FALSE)</f>
        <v>GS Pineraies des plaines du Centre et du Nord Ouest</v>
      </c>
      <c r="BJ234" s="135">
        <f t="shared" si="72"/>
        <v>78</v>
      </c>
      <c r="BK234" s="135" t="str">
        <f t="shared" si="74"/>
        <v>Pin sylvestre_F2_Eclaircie tardive_GS Pineraies des plaines du Centre et du Nord Ouest_78_</v>
      </c>
      <c r="BL234" s="322"/>
      <c r="BM234" s="13">
        <v>70.254738889457883</v>
      </c>
      <c r="BN234" s="13">
        <v>345.02613003124497</v>
      </c>
      <c r="BP234" s="13">
        <v>268.42</v>
      </c>
      <c r="BQ234" s="13">
        <v>5.8271253105688201</v>
      </c>
      <c r="BT234" s="298" t="str">
        <f>+VLOOKUP(G234,Liste!$A$7:$H$50,8,FALSE)</f>
        <v>Résineux</v>
      </c>
      <c r="BU234" s="298">
        <f t="shared" si="75"/>
        <v>0</v>
      </c>
      <c r="BV234" s="300">
        <f t="shared" si="76"/>
        <v>1</v>
      </c>
      <c r="BW234" s="321">
        <v>0</v>
      </c>
      <c r="BX234" s="298">
        <f t="shared" si="77"/>
        <v>0.43</v>
      </c>
      <c r="BY234">
        <f t="shared" si="78"/>
        <v>0</v>
      </c>
      <c r="BZ234" s="304">
        <f t="shared" si="79"/>
        <v>0</v>
      </c>
      <c r="CB234" s="299">
        <v>0.6</v>
      </c>
      <c r="CC234" s="299">
        <v>0.4</v>
      </c>
      <c r="CD234">
        <f t="shared" si="80"/>
        <v>0</v>
      </c>
      <c r="CE234">
        <f t="shared" si="81"/>
        <v>0</v>
      </c>
      <c r="CF234">
        <f t="shared" si="82"/>
        <v>0</v>
      </c>
      <c r="CG234">
        <f t="shared" si="83"/>
        <v>0</v>
      </c>
      <c r="CH234">
        <f t="shared" si="84"/>
        <v>0</v>
      </c>
      <c r="CI234">
        <f t="shared" si="85"/>
        <v>0</v>
      </c>
      <c r="CJ234">
        <f t="shared" si="86"/>
        <v>0</v>
      </c>
      <c r="CK234">
        <f t="shared" si="87"/>
        <v>0</v>
      </c>
      <c r="CL234">
        <f t="shared" si="88"/>
        <v>0</v>
      </c>
      <c r="CM234">
        <f t="shared" si="90"/>
        <v>0</v>
      </c>
      <c r="CN234">
        <f t="shared" si="89"/>
        <v>0</v>
      </c>
      <c r="CO234">
        <f t="shared" si="73"/>
        <v>0</v>
      </c>
    </row>
    <row r="235" spans="1:93" s="12" customFormat="1" ht="14.65" customHeight="1" x14ac:dyDescent="0.25">
      <c r="A235" s="4">
        <v>2021</v>
      </c>
      <c r="B235" s="4"/>
      <c r="C235" s="4" t="s">
        <v>64</v>
      </c>
      <c r="D235" s="4" t="s">
        <v>65</v>
      </c>
      <c r="E235" s="4"/>
      <c r="F235" s="4" t="s">
        <v>90</v>
      </c>
      <c r="G235" s="5" t="s">
        <v>15</v>
      </c>
      <c r="H235" s="5" t="s">
        <v>21</v>
      </c>
      <c r="I235" s="5" t="s">
        <v>147</v>
      </c>
      <c r="J235" s="5" t="s">
        <v>10</v>
      </c>
      <c r="K235" s="5">
        <v>23</v>
      </c>
      <c r="L235" s="5">
        <v>45</v>
      </c>
      <c r="M235" s="5">
        <v>2500</v>
      </c>
      <c r="N235" s="5" t="s">
        <v>170</v>
      </c>
      <c r="O235" s="6" t="s">
        <v>78</v>
      </c>
      <c r="P235" s="6" t="s">
        <v>80</v>
      </c>
      <c r="Q235" s="6">
        <v>2003</v>
      </c>
      <c r="R235" s="6" t="s">
        <v>50</v>
      </c>
      <c r="S235" s="6">
        <v>28</v>
      </c>
      <c r="T235" s="6">
        <v>13.5</v>
      </c>
      <c r="U235" s="6">
        <v>2157</v>
      </c>
      <c r="V235" s="6">
        <v>40.299999999999997</v>
      </c>
      <c r="W235" s="6">
        <v>0</v>
      </c>
      <c r="X235" s="6">
        <v>600</v>
      </c>
      <c r="Y235" s="6">
        <v>1043</v>
      </c>
      <c r="Z235" s="6">
        <v>457</v>
      </c>
      <c r="AA235" s="6">
        <v>57</v>
      </c>
      <c r="AB235" s="6">
        <v>0</v>
      </c>
      <c r="AC235" s="7">
        <v>79</v>
      </c>
      <c r="AD235" s="7" t="s">
        <v>52</v>
      </c>
      <c r="AE235" s="7">
        <v>28.46</v>
      </c>
      <c r="AF235" s="7">
        <v>304</v>
      </c>
      <c r="AG235" s="7">
        <v>26.28</v>
      </c>
      <c r="AH235" s="7">
        <v>33.18</v>
      </c>
      <c r="AI235" s="7">
        <v>37.78</v>
      </c>
      <c r="AJ235" s="9">
        <v>322.53652814413999</v>
      </c>
      <c r="AK235" s="9">
        <v>324.85045237951903</v>
      </c>
      <c r="AL235" s="9">
        <v>364.858760194083</v>
      </c>
      <c r="AM235" s="9">
        <v>72.823678508419604</v>
      </c>
      <c r="AN235" s="9">
        <v>0.92181871529645099</v>
      </c>
      <c r="AO235" s="9">
        <v>0.30975033852095601</v>
      </c>
      <c r="AP235" s="9">
        <v>797.78862792827795</v>
      </c>
      <c r="AQ235" s="9">
        <v>10.0985902269402</v>
      </c>
      <c r="AR235" s="9">
        <v>6.2961075484654403</v>
      </c>
      <c r="AS235" s="73" t="s">
        <v>169</v>
      </c>
      <c r="AT235" s="8"/>
      <c r="AU235" s="10" t="s">
        <v>169</v>
      </c>
      <c r="AV235" s="10">
        <v>0</v>
      </c>
      <c r="AW235" s="8"/>
      <c r="AX235" s="74" t="s">
        <v>169</v>
      </c>
      <c r="AY235" s="74"/>
      <c r="AZ235" s="74"/>
      <c r="BA235" s="74"/>
      <c r="BB235" s="8"/>
      <c r="BC235" s="8"/>
      <c r="BD235" s="8"/>
      <c r="BE235" s="8"/>
      <c r="BF235" s="12">
        <v>0.44</v>
      </c>
      <c r="BG235" s="13">
        <v>279.60342989539873</v>
      </c>
      <c r="BH235" s="96" t="str">
        <f>+VLOOKUP(G235,Liste!$A$7:$G$50,3,FALSE)</f>
        <v>Pin sylvestre</v>
      </c>
      <c r="BI235" s="96" t="str">
        <f>+VLOOKUP(H235,Liste!$B$7:$G$50,5,FALSE)</f>
        <v>GS Pineraies des plaines du Centre et du Nord Ouest</v>
      </c>
      <c r="BJ235" s="135">
        <f t="shared" si="72"/>
        <v>79</v>
      </c>
      <c r="BK235" s="135" t="str">
        <f t="shared" si="74"/>
        <v>Pin sylvestre_F2_Eclaircie tardive_GS Pineraies des plaines du Centre et du Nord Ouest_79_</v>
      </c>
      <c r="BL235" s="322"/>
      <c r="BM235" s="13">
        <v>71.345295941685265</v>
      </c>
      <c r="BN235" s="13">
        <v>350.948725837084</v>
      </c>
      <c r="BP235" s="13">
        <v>268.42</v>
      </c>
      <c r="BQ235" s="13">
        <v>5.8176240100860896</v>
      </c>
      <c r="BT235" s="298" t="str">
        <f>+VLOOKUP(G235,Liste!$A$7:$H$50,8,FALSE)</f>
        <v>Résineux</v>
      </c>
      <c r="BU235" s="298">
        <f t="shared" si="75"/>
        <v>0</v>
      </c>
      <c r="BV235" s="300">
        <f t="shared" si="76"/>
        <v>1</v>
      </c>
      <c r="BW235" s="321">
        <v>0</v>
      </c>
      <c r="BX235" s="298">
        <f t="shared" si="77"/>
        <v>0.43</v>
      </c>
      <c r="BY235">
        <f t="shared" si="78"/>
        <v>0</v>
      </c>
      <c r="BZ235" s="304">
        <f t="shared" si="79"/>
        <v>0</v>
      </c>
      <c r="CB235" s="299">
        <v>0.6</v>
      </c>
      <c r="CC235" s="299">
        <v>0.4</v>
      </c>
      <c r="CD235">
        <f t="shared" si="80"/>
        <v>0</v>
      </c>
      <c r="CE235">
        <f t="shared" si="81"/>
        <v>0</v>
      </c>
      <c r="CF235">
        <f t="shared" si="82"/>
        <v>0</v>
      </c>
      <c r="CG235">
        <f t="shared" si="83"/>
        <v>0</v>
      </c>
      <c r="CH235">
        <f t="shared" si="84"/>
        <v>0</v>
      </c>
      <c r="CI235">
        <f t="shared" si="85"/>
        <v>0</v>
      </c>
      <c r="CJ235">
        <f t="shared" si="86"/>
        <v>0</v>
      </c>
      <c r="CK235">
        <f t="shared" si="87"/>
        <v>0</v>
      </c>
      <c r="CL235">
        <f t="shared" si="88"/>
        <v>0</v>
      </c>
      <c r="CM235">
        <f t="shared" si="90"/>
        <v>0</v>
      </c>
      <c r="CN235">
        <f t="shared" si="89"/>
        <v>0</v>
      </c>
      <c r="CO235">
        <f t="shared" si="73"/>
        <v>0</v>
      </c>
    </row>
    <row r="236" spans="1:93" s="12" customFormat="1" ht="14.65" customHeight="1" x14ac:dyDescent="0.25">
      <c r="A236" s="4">
        <v>2021</v>
      </c>
      <c r="B236" s="4"/>
      <c r="C236" s="4" t="s">
        <v>64</v>
      </c>
      <c r="D236" s="4" t="s">
        <v>65</v>
      </c>
      <c r="E236" s="4"/>
      <c r="F236" s="4" t="s">
        <v>90</v>
      </c>
      <c r="G236" s="5" t="s">
        <v>15</v>
      </c>
      <c r="H236" s="5" t="s">
        <v>21</v>
      </c>
      <c r="I236" s="5" t="s">
        <v>147</v>
      </c>
      <c r="J236" s="5" t="s">
        <v>10</v>
      </c>
      <c r="K236" s="5">
        <v>23</v>
      </c>
      <c r="L236" s="5">
        <v>45</v>
      </c>
      <c r="M236" s="5">
        <v>2500</v>
      </c>
      <c r="N236" s="5" t="s">
        <v>170</v>
      </c>
      <c r="O236" s="6" t="s">
        <v>78</v>
      </c>
      <c r="P236" s="6" t="s">
        <v>80</v>
      </c>
      <c r="Q236" s="6">
        <v>2003</v>
      </c>
      <c r="R236" s="6" t="s">
        <v>50</v>
      </c>
      <c r="S236" s="6">
        <v>28</v>
      </c>
      <c r="T236" s="6">
        <v>13.5</v>
      </c>
      <c r="U236" s="6">
        <v>2157</v>
      </c>
      <c r="V236" s="6">
        <v>40.299999999999997</v>
      </c>
      <c r="W236" s="6">
        <v>0</v>
      </c>
      <c r="X236" s="6">
        <v>600</v>
      </c>
      <c r="Y236" s="6">
        <v>1043</v>
      </c>
      <c r="Z236" s="6">
        <v>457</v>
      </c>
      <c r="AA236" s="6">
        <v>57</v>
      </c>
      <c r="AB236" s="6">
        <v>0</v>
      </c>
      <c r="AC236" s="7">
        <v>80</v>
      </c>
      <c r="AD236" s="7" t="s">
        <v>52</v>
      </c>
      <c r="AE236" s="7">
        <v>28.64</v>
      </c>
      <c r="AF236" s="7">
        <v>304</v>
      </c>
      <c r="AG236" s="7">
        <v>26.59</v>
      </c>
      <c r="AH236" s="7">
        <v>33.369999999999997</v>
      </c>
      <c r="AI236" s="7">
        <v>38.020000000000003</v>
      </c>
      <c r="AJ236" s="9">
        <v>328.36923116995399</v>
      </c>
      <c r="AK236" s="9">
        <v>330.720609692496</v>
      </c>
      <c r="AL236" s="9">
        <v>371.15486774254799</v>
      </c>
      <c r="AM236" s="9">
        <v>73.133428846940504</v>
      </c>
      <c r="AN236" s="9">
        <v>0.91416786058675703</v>
      </c>
      <c r="AO236" s="9">
        <v>0.30648653005917498</v>
      </c>
      <c r="AP236" s="9">
        <v>804.08473547674396</v>
      </c>
      <c r="AQ236" s="9">
        <v>10.051059193459301</v>
      </c>
      <c r="AR236" s="9">
        <v>6.2632684788661699</v>
      </c>
      <c r="AS236" s="73" t="s">
        <v>169</v>
      </c>
      <c r="AT236" s="8"/>
      <c r="AU236" s="10" t="s">
        <v>169</v>
      </c>
      <c r="AV236" s="10">
        <v>0</v>
      </c>
      <c r="AW236" s="8"/>
      <c r="AX236" s="74" t="s">
        <v>169</v>
      </c>
      <c r="AY236" s="74"/>
      <c r="AZ236" s="74"/>
      <c r="BA236" s="74"/>
      <c r="BB236" s="8"/>
      <c r="BC236" s="8"/>
      <c r="BD236" s="8"/>
      <c r="BE236" s="8"/>
      <c r="BF236" s="12">
        <v>0.44</v>
      </c>
      <c r="BG236" s="13">
        <v>284.42834698003952</v>
      </c>
      <c r="BH236" s="96" t="str">
        <f>+VLOOKUP(G236,Liste!$A$7:$G$50,3,FALSE)</f>
        <v>Pin sylvestre</v>
      </c>
      <c r="BI236" s="96" t="str">
        <f>+VLOOKUP(H236,Liste!$B$7:$G$50,5,FALSE)</f>
        <v>GS Pineraies des plaines du Centre et du Nord Ouest</v>
      </c>
      <c r="BJ236" s="135">
        <f t="shared" si="72"/>
        <v>80</v>
      </c>
      <c r="BK236" s="135" t="str">
        <f t="shared" si="74"/>
        <v>Pin sylvestre_F2_Eclaircie tardive_GS Pineraies des plaines du Centre et du Nord Ouest_80_</v>
      </c>
      <c r="BL236" s="322"/>
      <c r="BM236" s="13">
        <v>72.432058834626503</v>
      </c>
      <c r="BN236" s="13">
        <v>356.86040581466602</v>
      </c>
      <c r="BP236" s="13">
        <v>268.42</v>
      </c>
      <c r="BQ236" s="13">
        <v>5.7863832714179999</v>
      </c>
      <c r="BT236" s="298" t="str">
        <f>+VLOOKUP(G236,Liste!$A$7:$H$50,8,FALSE)</f>
        <v>Résineux</v>
      </c>
      <c r="BU236" s="298">
        <f t="shared" si="75"/>
        <v>0</v>
      </c>
      <c r="BV236" s="300">
        <f t="shared" si="76"/>
        <v>1</v>
      </c>
      <c r="BW236" s="321">
        <v>0</v>
      </c>
      <c r="BX236" s="298">
        <f t="shared" si="77"/>
        <v>0.43</v>
      </c>
      <c r="BY236">
        <f t="shared" si="78"/>
        <v>0</v>
      </c>
      <c r="BZ236" s="304">
        <f t="shared" si="79"/>
        <v>0</v>
      </c>
      <c r="CB236" s="299">
        <v>0.6</v>
      </c>
      <c r="CC236" s="299">
        <v>0.4</v>
      </c>
      <c r="CD236">
        <f t="shared" si="80"/>
        <v>0</v>
      </c>
      <c r="CE236">
        <f t="shared" si="81"/>
        <v>0</v>
      </c>
      <c r="CF236">
        <f t="shared" si="82"/>
        <v>0</v>
      </c>
      <c r="CG236">
        <f t="shared" si="83"/>
        <v>0</v>
      </c>
      <c r="CH236">
        <f t="shared" si="84"/>
        <v>0</v>
      </c>
      <c r="CI236">
        <f t="shared" si="85"/>
        <v>0</v>
      </c>
      <c r="CJ236">
        <f t="shared" si="86"/>
        <v>0</v>
      </c>
      <c r="CK236">
        <f t="shared" si="87"/>
        <v>0</v>
      </c>
      <c r="CL236">
        <f t="shared" si="88"/>
        <v>0</v>
      </c>
      <c r="CM236">
        <f t="shared" si="90"/>
        <v>0</v>
      </c>
      <c r="CN236">
        <f t="shared" si="89"/>
        <v>0</v>
      </c>
      <c r="CO236">
        <f t="shared" si="73"/>
        <v>0</v>
      </c>
    </row>
    <row r="237" spans="1:93" s="12" customFormat="1" ht="14.65" customHeight="1" x14ac:dyDescent="0.25">
      <c r="A237" s="4">
        <v>2021</v>
      </c>
      <c r="B237" s="4"/>
      <c r="C237" s="4" t="s">
        <v>64</v>
      </c>
      <c r="D237" s="4" t="s">
        <v>65</v>
      </c>
      <c r="E237" s="4"/>
      <c r="F237" s="4" t="s">
        <v>90</v>
      </c>
      <c r="G237" s="5" t="s">
        <v>15</v>
      </c>
      <c r="H237" s="5" t="s">
        <v>21</v>
      </c>
      <c r="I237" s="5" t="s">
        <v>147</v>
      </c>
      <c r="J237" s="5" t="s">
        <v>10</v>
      </c>
      <c r="K237" s="5">
        <v>23</v>
      </c>
      <c r="L237" s="5">
        <v>45</v>
      </c>
      <c r="M237" s="5">
        <v>2500</v>
      </c>
      <c r="N237" s="5" t="s">
        <v>170</v>
      </c>
      <c r="O237" s="6" t="s">
        <v>78</v>
      </c>
      <c r="P237" s="6" t="s">
        <v>80</v>
      </c>
      <c r="Q237" s="6">
        <v>2003</v>
      </c>
      <c r="R237" s="6" t="s">
        <v>50</v>
      </c>
      <c r="S237" s="6">
        <v>28</v>
      </c>
      <c r="T237" s="6">
        <v>13.5</v>
      </c>
      <c r="U237" s="6">
        <v>2157</v>
      </c>
      <c r="V237" s="6">
        <v>40.299999999999997</v>
      </c>
      <c r="W237" s="6">
        <v>0</v>
      </c>
      <c r="X237" s="6">
        <v>600</v>
      </c>
      <c r="Y237" s="6">
        <v>1043</v>
      </c>
      <c r="Z237" s="6">
        <v>457</v>
      </c>
      <c r="AA237" s="6">
        <v>57</v>
      </c>
      <c r="AB237" s="6">
        <v>0</v>
      </c>
      <c r="AC237" s="7">
        <v>81</v>
      </c>
      <c r="AD237" s="7" t="s">
        <v>52</v>
      </c>
      <c r="AE237" s="7">
        <v>28.82</v>
      </c>
      <c r="AF237" s="7">
        <v>304</v>
      </c>
      <c r="AG237" s="7">
        <v>26.89</v>
      </c>
      <c r="AH237" s="7">
        <v>33.56</v>
      </c>
      <c r="AI237" s="7">
        <v>38.25</v>
      </c>
      <c r="AJ237" s="9">
        <v>334.17455072816603</v>
      </c>
      <c r="AK237" s="9">
        <v>336.563090421433</v>
      </c>
      <c r="AL237" s="9">
        <v>377.41813622141399</v>
      </c>
      <c r="AM237" s="9">
        <v>73.439915376999707</v>
      </c>
      <c r="AN237" s="9">
        <v>0.90666562193826805</v>
      </c>
      <c r="AO237" s="9">
        <v>0.30201768519528099</v>
      </c>
      <c r="AP237" s="9">
        <v>810.34800395561001</v>
      </c>
      <c r="AQ237" s="9">
        <v>10.004296345130999</v>
      </c>
      <c r="AR237" s="9">
        <v>6.1985842174481096</v>
      </c>
      <c r="AS237" s="73" t="s">
        <v>169</v>
      </c>
      <c r="AT237" s="8"/>
      <c r="AU237" s="10" t="s">
        <v>169</v>
      </c>
      <c r="AV237" s="10">
        <v>0</v>
      </c>
      <c r="AW237" s="8"/>
      <c r="AX237" s="74" t="s">
        <v>169</v>
      </c>
      <c r="AY237" s="74"/>
      <c r="AZ237" s="74"/>
      <c r="BA237" s="74"/>
      <c r="BB237" s="8"/>
      <c r="BC237" s="8"/>
      <c r="BD237" s="8"/>
      <c r="BE237" s="8"/>
      <c r="BF237" s="12">
        <v>0.44</v>
      </c>
      <c r="BG237" s="13">
        <v>289.22809839101052</v>
      </c>
      <c r="BH237" s="96" t="str">
        <f>+VLOOKUP(G237,Liste!$A$7:$G$50,3,FALSE)</f>
        <v>Pin sylvestre</v>
      </c>
      <c r="BI237" s="96" t="str">
        <f>+VLOOKUP(H237,Liste!$B$7:$G$50,5,FALSE)</f>
        <v>GS Pineraies des plaines du Centre et du Nord Ouest</v>
      </c>
      <c r="BJ237" s="135">
        <f t="shared" si="72"/>
        <v>81</v>
      </c>
      <c r="BK237" s="135" t="str">
        <f t="shared" si="74"/>
        <v>Pin sylvestre_F2_Eclaircie tardive_GS Pineraies des plaines du Centre et du Nord Ouest_81_</v>
      </c>
      <c r="BL237" s="322"/>
      <c r="BM237" s="13">
        <v>73.511026224815453</v>
      </c>
      <c r="BN237" s="13">
        <v>362.73912461582597</v>
      </c>
      <c r="BP237" s="13">
        <v>268.42</v>
      </c>
      <c r="BQ237" s="13">
        <v>5.7257504890234303</v>
      </c>
      <c r="BT237" s="298" t="str">
        <f>+VLOOKUP(G237,Liste!$A$7:$H$50,8,FALSE)</f>
        <v>Résineux</v>
      </c>
      <c r="BU237" s="298">
        <f t="shared" si="75"/>
        <v>0</v>
      </c>
      <c r="BV237" s="300">
        <f t="shared" si="76"/>
        <v>1</v>
      </c>
      <c r="BW237" s="321">
        <v>0</v>
      </c>
      <c r="BX237" s="298">
        <f t="shared" si="77"/>
        <v>0.43</v>
      </c>
      <c r="BY237">
        <f t="shared" si="78"/>
        <v>0</v>
      </c>
      <c r="BZ237" s="304">
        <f t="shared" si="79"/>
        <v>0</v>
      </c>
      <c r="CB237" s="299">
        <v>0.6</v>
      </c>
      <c r="CC237" s="299">
        <v>0.4</v>
      </c>
      <c r="CD237">
        <f t="shared" si="80"/>
        <v>0</v>
      </c>
      <c r="CE237">
        <f t="shared" si="81"/>
        <v>0</v>
      </c>
      <c r="CF237">
        <f t="shared" si="82"/>
        <v>0</v>
      </c>
      <c r="CG237">
        <f t="shared" si="83"/>
        <v>0</v>
      </c>
      <c r="CH237">
        <f t="shared" si="84"/>
        <v>0</v>
      </c>
      <c r="CI237">
        <f t="shared" si="85"/>
        <v>0</v>
      </c>
      <c r="CJ237">
        <f t="shared" si="86"/>
        <v>0</v>
      </c>
      <c r="CK237">
        <f t="shared" si="87"/>
        <v>0</v>
      </c>
      <c r="CL237">
        <f t="shared" si="88"/>
        <v>0</v>
      </c>
      <c r="CM237">
        <f t="shared" si="90"/>
        <v>0</v>
      </c>
      <c r="CN237">
        <f t="shared" si="89"/>
        <v>0</v>
      </c>
      <c r="CO237">
        <f t="shared" si="73"/>
        <v>0</v>
      </c>
    </row>
    <row r="238" spans="1:93" s="12" customFormat="1" ht="14.65" customHeight="1" x14ac:dyDescent="0.25">
      <c r="A238" s="4">
        <v>2021</v>
      </c>
      <c r="B238" s="4"/>
      <c r="C238" s="4" t="s">
        <v>64</v>
      </c>
      <c r="D238" s="4" t="s">
        <v>65</v>
      </c>
      <c r="E238" s="4"/>
      <c r="F238" s="4" t="s">
        <v>90</v>
      </c>
      <c r="G238" s="5" t="s">
        <v>15</v>
      </c>
      <c r="H238" s="5" t="s">
        <v>21</v>
      </c>
      <c r="I238" s="5" t="s">
        <v>147</v>
      </c>
      <c r="J238" s="5" t="s">
        <v>10</v>
      </c>
      <c r="K238" s="5">
        <v>23</v>
      </c>
      <c r="L238" s="5">
        <v>45</v>
      </c>
      <c r="M238" s="5">
        <v>2500</v>
      </c>
      <c r="N238" s="5" t="s">
        <v>170</v>
      </c>
      <c r="O238" s="6" t="s">
        <v>78</v>
      </c>
      <c r="P238" s="6" t="s">
        <v>80</v>
      </c>
      <c r="Q238" s="6">
        <v>2003</v>
      </c>
      <c r="R238" s="6" t="s">
        <v>50</v>
      </c>
      <c r="S238" s="6">
        <v>28</v>
      </c>
      <c r="T238" s="6">
        <v>13.5</v>
      </c>
      <c r="U238" s="6">
        <v>2157</v>
      </c>
      <c r="V238" s="6">
        <v>40.299999999999997</v>
      </c>
      <c r="W238" s="6">
        <v>0</v>
      </c>
      <c r="X238" s="6">
        <v>600</v>
      </c>
      <c r="Y238" s="6">
        <v>1043</v>
      </c>
      <c r="Z238" s="6">
        <v>457</v>
      </c>
      <c r="AA238" s="6">
        <v>57</v>
      </c>
      <c r="AB238" s="6">
        <v>0</v>
      </c>
      <c r="AC238" s="7">
        <v>82</v>
      </c>
      <c r="AD238" s="7" t="s">
        <v>52</v>
      </c>
      <c r="AE238" s="7">
        <v>28.99</v>
      </c>
      <c r="AF238" s="7">
        <v>304</v>
      </c>
      <c r="AG238" s="7">
        <v>27.2</v>
      </c>
      <c r="AH238" s="7">
        <v>33.75</v>
      </c>
      <c r="AI238" s="7">
        <v>38.47</v>
      </c>
      <c r="AJ238" s="9">
        <v>339.92197653032599</v>
      </c>
      <c r="AK238" s="9">
        <v>342.34726314574698</v>
      </c>
      <c r="AL238" s="9">
        <v>383.61672043886199</v>
      </c>
      <c r="AM238" s="9">
        <v>73.741933062195002</v>
      </c>
      <c r="AN238" s="9">
        <v>0.89929186661213401</v>
      </c>
      <c r="AO238" s="9">
        <v>0.27478614016247599</v>
      </c>
      <c r="AP238" s="9">
        <v>816.54658817305801</v>
      </c>
      <c r="AQ238" s="9">
        <v>9.9578852216226608</v>
      </c>
      <c r="AR238" s="9">
        <v>5.3968209982772404</v>
      </c>
      <c r="AS238" s="73" t="s">
        <v>169</v>
      </c>
      <c r="AT238" s="8"/>
      <c r="AU238" s="10" t="s">
        <v>169</v>
      </c>
      <c r="AV238" s="10">
        <v>0</v>
      </c>
      <c r="AW238" s="8"/>
      <c r="AX238" s="74" t="s">
        <v>169</v>
      </c>
      <c r="AY238" s="74"/>
      <c r="AZ238" s="74"/>
      <c r="BA238" s="74"/>
      <c r="BB238" s="8"/>
      <c r="BC238" s="8"/>
      <c r="BD238" s="8"/>
      <c r="BE238" s="8"/>
      <c r="BF238" s="12">
        <v>0.44</v>
      </c>
      <c r="BG238" s="13">
        <v>293.97828009631473</v>
      </c>
      <c r="BH238" s="96" t="str">
        <f>+VLOOKUP(G238,Liste!$A$7:$G$50,3,FALSE)</f>
        <v>Pin sylvestre</v>
      </c>
      <c r="BI238" s="96" t="str">
        <f>+VLOOKUP(H238,Liste!$B$7:$G$50,5,FALSE)</f>
        <v>GS Pineraies des plaines du Centre et du Nord Ouest</v>
      </c>
      <c r="BJ238" s="135">
        <f t="shared" si="72"/>
        <v>82</v>
      </c>
      <c r="BK238" s="135" t="str">
        <f t="shared" si="74"/>
        <v>Pin sylvestre_F2_Eclaircie tardive_GS Pineraies des plaines du Centre et du Nord Ouest_82_</v>
      </c>
      <c r="BL238" s="322"/>
      <c r="BM238" s="13">
        <v>74.576800244518267</v>
      </c>
      <c r="BN238" s="13">
        <v>368.555080340833</v>
      </c>
      <c r="BP238" s="13">
        <v>268.42</v>
      </c>
      <c r="BQ238" s="13">
        <v>4.9844445653681104</v>
      </c>
      <c r="BT238" s="298" t="str">
        <f>+VLOOKUP(G238,Liste!$A$7:$H$50,8,FALSE)</f>
        <v>Résineux</v>
      </c>
      <c r="BU238" s="298">
        <f t="shared" si="75"/>
        <v>0</v>
      </c>
      <c r="BV238" s="300">
        <f t="shared" si="76"/>
        <v>1</v>
      </c>
      <c r="BW238" s="321">
        <v>0</v>
      </c>
      <c r="BX238" s="298">
        <f t="shared" si="77"/>
        <v>0.43</v>
      </c>
      <c r="BY238">
        <f t="shared" si="78"/>
        <v>0</v>
      </c>
      <c r="BZ238" s="304">
        <f t="shared" si="79"/>
        <v>0</v>
      </c>
      <c r="CB238" s="299">
        <v>0.6</v>
      </c>
      <c r="CC238" s="299">
        <v>0.4</v>
      </c>
      <c r="CD238">
        <f t="shared" si="80"/>
        <v>0</v>
      </c>
      <c r="CE238">
        <f t="shared" si="81"/>
        <v>0</v>
      </c>
      <c r="CF238">
        <f t="shared" si="82"/>
        <v>0</v>
      </c>
      <c r="CG238">
        <f t="shared" si="83"/>
        <v>0</v>
      </c>
      <c r="CH238">
        <f t="shared" si="84"/>
        <v>0</v>
      </c>
      <c r="CI238">
        <f t="shared" si="85"/>
        <v>0</v>
      </c>
      <c r="CJ238">
        <f t="shared" si="86"/>
        <v>0</v>
      </c>
      <c r="CK238">
        <f t="shared" si="87"/>
        <v>0</v>
      </c>
      <c r="CL238">
        <f t="shared" si="88"/>
        <v>0</v>
      </c>
      <c r="CM238">
        <f t="shared" si="90"/>
        <v>0</v>
      </c>
      <c r="CN238">
        <f t="shared" si="89"/>
        <v>0</v>
      </c>
      <c r="CO238">
        <f t="shared" si="73"/>
        <v>0</v>
      </c>
    </row>
    <row r="239" spans="1:93" s="12" customFormat="1" ht="14.65" customHeight="1" x14ac:dyDescent="0.25">
      <c r="A239" s="4">
        <v>2021</v>
      </c>
      <c r="B239" s="4"/>
      <c r="C239" s="4" t="s">
        <v>64</v>
      </c>
      <c r="D239" s="4" t="s">
        <v>65</v>
      </c>
      <c r="E239" s="4"/>
      <c r="F239" s="4" t="s">
        <v>90</v>
      </c>
      <c r="G239" s="5" t="s">
        <v>15</v>
      </c>
      <c r="H239" s="5" t="s">
        <v>21</v>
      </c>
      <c r="I239" s="5" t="s">
        <v>147</v>
      </c>
      <c r="J239" s="5" t="s">
        <v>10</v>
      </c>
      <c r="K239" s="5">
        <v>23</v>
      </c>
      <c r="L239" s="5">
        <v>45</v>
      </c>
      <c r="M239" s="5">
        <v>2500</v>
      </c>
      <c r="N239" s="5" t="s">
        <v>170</v>
      </c>
      <c r="O239" s="6" t="s">
        <v>78</v>
      </c>
      <c r="P239" s="6" t="s">
        <v>80</v>
      </c>
      <c r="Q239" s="6">
        <v>2003</v>
      </c>
      <c r="R239" s="6" t="s">
        <v>50</v>
      </c>
      <c r="S239" s="6">
        <v>28</v>
      </c>
      <c r="T239" s="6">
        <v>13.5</v>
      </c>
      <c r="U239" s="6">
        <v>2157</v>
      </c>
      <c r="V239" s="6">
        <v>40.299999999999997</v>
      </c>
      <c r="W239" s="6">
        <v>0</v>
      </c>
      <c r="X239" s="6">
        <v>600</v>
      </c>
      <c r="Y239" s="6">
        <v>1043</v>
      </c>
      <c r="Z239" s="6">
        <v>457</v>
      </c>
      <c r="AA239" s="6">
        <v>57</v>
      </c>
      <c r="AB239" s="6">
        <v>0</v>
      </c>
      <c r="AC239" s="7">
        <v>82</v>
      </c>
      <c r="AD239" s="7" t="s">
        <v>53</v>
      </c>
      <c r="AE239" s="7">
        <v>28.99</v>
      </c>
      <c r="AF239" s="7">
        <v>260</v>
      </c>
      <c r="AG239" s="7">
        <v>24.03</v>
      </c>
      <c r="AH239" s="7">
        <v>34.299999999999997</v>
      </c>
      <c r="AI239" s="7">
        <v>38.47</v>
      </c>
      <c r="AJ239" s="9">
        <v>301.08984403366202</v>
      </c>
      <c r="AK239" s="9">
        <v>303.30556428314702</v>
      </c>
      <c r="AL239" s="9">
        <v>339.98687746774402</v>
      </c>
      <c r="AM239" s="9">
        <v>73.741933062195002</v>
      </c>
      <c r="AN239" s="9">
        <v>0.89929186661213401</v>
      </c>
      <c r="AO239" s="9">
        <v>0.27478614016247599</v>
      </c>
      <c r="AP239" s="9">
        <v>816.54658817305801</v>
      </c>
      <c r="AQ239" s="9">
        <v>9.9578852216226608</v>
      </c>
      <c r="AR239" s="9">
        <v>5.3968209982772404</v>
      </c>
      <c r="AS239" s="73">
        <v>44</v>
      </c>
      <c r="AT239" s="8">
        <v>3.1699999999999982</v>
      </c>
      <c r="AU239" s="10">
        <v>30.287146076461607</v>
      </c>
      <c r="AV239" s="10">
        <v>38.832132496663974</v>
      </c>
      <c r="AW239" s="8">
        <v>0.8</v>
      </c>
      <c r="AX239" s="74">
        <v>0.88254846583327218</v>
      </c>
      <c r="AY239" s="74"/>
      <c r="AZ239" s="74"/>
      <c r="BA239" s="74"/>
      <c r="BB239" s="8"/>
      <c r="BC239" s="8"/>
      <c r="BD239" s="8"/>
      <c r="BE239" s="8"/>
      <c r="BF239" s="12">
        <v>0.44</v>
      </c>
      <c r="BG239" s="13">
        <v>260.54327709944783</v>
      </c>
      <c r="BH239" s="96" t="str">
        <f>+VLOOKUP(G239,Liste!$A$7:$G$50,3,FALSE)</f>
        <v>Pin sylvestre</v>
      </c>
      <c r="BI239" s="96" t="str">
        <f>+VLOOKUP(H239,Liste!$B$7:$G$50,5,FALSE)</f>
        <v>GS Pineraies des plaines du Centre et du Nord Ouest</v>
      </c>
      <c r="BJ239" s="135">
        <f t="shared" si="72"/>
        <v>82</v>
      </c>
      <c r="BK239" s="135" t="str">
        <f t="shared" si="74"/>
        <v>Pin sylvestre_F2_Eclaircie tardive_GS Pineraies des plaines du Centre et du Nord Ouest_82_</v>
      </c>
      <c r="BL239" s="322"/>
      <c r="BM239" s="13">
        <v>67.030405996621141</v>
      </c>
      <c r="BN239" s="13">
        <v>327.57368309606898</v>
      </c>
      <c r="BO239" s="13">
        <v>40.981397244764025</v>
      </c>
      <c r="BP239" s="13">
        <v>268.42</v>
      </c>
      <c r="BQ239" s="13">
        <v>4.9844445653681104</v>
      </c>
      <c r="BT239" s="298" t="str">
        <f>+VLOOKUP(G239,Liste!$A$7:$H$50,8,FALSE)</f>
        <v>Résineux</v>
      </c>
      <c r="BU239" s="298">
        <f t="shared" si="75"/>
        <v>0</v>
      </c>
      <c r="BV239" s="300">
        <f t="shared" si="76"/>
        <v>1</v>
      </c>
      <c r="BW239" s="321">
        <v>0</v>
      </c>
      <c r="BX239" s="298">
        <f t="shared" si="77"/>
        <v>0.43</v>
      </c>
      <c r="BY239">
        <f t="shared" si="78"/>
        <v>0</v>
      </c>
      <c r="BZ239" s="304">
        <f t="shared" si="79"/>
        <v>0</v>
      </c>
      <c r="CB239" s="299">
        <v>0.6</v>
      </c>
      <c r="CC239" s="299">
        <v>0.4</v>
      </c>
      <c r="CD239">
        <f t="shared" si="80"/>
        <v>0</v>
      </c>
      <c r="CE239">
        <f t="shared" si="81"/>
        <v>0</v>
      </c>
      <c r="CF239">
        <f t="shared" si="82"/>
        <v>0</v>
      </c>
      <c r="CG239">
        <f t="shared" si="83"/>
        <v>0</v>
      </c>
      <c r="CH239">
        <f t="shared" si="84"/>
        <v>0</v>
      </c>
      <c r="CI239">
        <f t="shared" si="85"/>
        <v>0</v>
      </c>
      <c r="CJ239">
        <f t="shared" si="86"/>
        <v>0</v>
      </c>
      <c r="CK239">
        <f t="shared" si="87"/>
        <v>0</v>
      </c>
      <c r="CL239">
        <f t="shared" si="88"/>
        <v>0</v>
      </c>
      <c r="CM239">
        <f t="shared" si="90"/>
        <v>0</v>
      </c>
      <c r="CN239">
        <f t="shared" si="89"/>
        <v>0</v>
      </c>
      <c r="CO239">
        <f t="shared" si="73"/>
        <v>0</v>
      </c>
    </row>
    <row r="240" spans="1:93" s="12" customFormat="1" ht="14.65" customHeight="1" x14ac:dyDescent="0.25">
      <c r="A240" s="4">
        <v>2021</v>
      </c>
      <c r="B240" s="4"/>
      <c r="C240" s="4" t="s">
        <v>64</v>
      </c>
      <c r="D240" s="4" t="s">
        <v>65</v>
      </c>
      <c r="E240" s="4"/>
      <c r="F240" s="4" t="s">
        <v>90</v>
      </c>
      <c r="G240" s="5" t="s">
        <v>15</v>
      </c>
      <c r="H240" s="5" t="s">
        <v>21</v>
      </c>
      <c r="I240" s="5" t="s">
        <v>147</v>
      </c>
      <c r="J240" s="5" t="s">
        <v>10</v>
      </c>
      <c r="K240" s="5">
        <v>23</v>
      </c>
      <c r="L240" s="5">
        <v>45</v>
      </c>
      <c r="M240" s="5">
        <v>2500</v>
      </c>
      <c r="N240" s="5" t="s">
        <v>170</v>
      </c>
      <c r="O240" s="6" t="s">
        <v>78</v>
      </c>
      <c r="P240" s="6" t="s">
        <v>80</v>
      </c>
      <c r="Q240" s="6">
        <v>2003</v>
      </c>
      <c r="R240" s="6" t="s">
        <v>50</v>
      </c>
      <c r="S240" s="6">
        <v>28</v>
      </c>
      <c r="T240" s="6">
        <v>13.5</v>
      </c>
      <c r="U240" s="6">
        <v>2157</v>
      </c>
      <c r="V240" s="6">
        <v>40.299999999999997</v>
      </c>
      <c r="W240" s="6">
        <v>0</v>
      </c>
      <c r="X240" s="6">
        <v>600</v>
      </c>
      <c r="Y240" s="6">
        <v>1043</v>
      </c>
      <c r="Z240" s="6">
        <v>457</v>
      </c>
      <c r="AA240" s="6">
        <v>57</v>
      </c>
      <c r="AB240" s="6">
        <v>0</v>
      </c>
      <c r="AC240" s="7">
        <v>83</v>
      </c>
      <c r="AD240" s="7" t="s">
        <v>52</v>
      </c>
      <c r="AE240" s="7">
        <v>29.17</v>
      </c>
      <c r="AF240" s="7">
        <v>260</v>
      </c>
      <c r="AG240" s="7">
        <v>24.3</v>
      </c>
      <c r="AH240" s="7">
        <v>34.5</v>
      </c>
      <c r="AI240" s="7">
        <v>38.700000000000003</v>
      </c>
      <c r="AJ240" s="9">
        <v>306.04545413850701</v>
      </c>
      <c r="AK240" s="9">
        <v>308.29877558716203</v>
      </c>
      <c r="AL240" s="9">
        <v>345.38369846602097</v>
      </c>
      <c r="AM240" s="9">
        <v>74.016719202357507</v>
      </c>
      <c r="AN240" s="9">
        <v>0.89176770123322202</v>
      </c>
      <c r="AO240" s="9">
        <v>0.27156443689621301</v>
      </c>
      <c r="AP240" s="9">
        <v>821.94340917133502</v>
      </c>
      <c r="AQ240" s="9">
        <v>9.9029326406184897</v>
      </c>
      <c r="AR240" s="9">
        <v>5.5808373749596303</v>
      </c>
      <c r="AS240" s="73" t="s">
        <v>169</v>
      </c>
      <c r="AT240" s="8"/>
      <c r="AU240" s="10" t="s">
        <v>169</v>
      </c>
      <c r="AV240" s="10">
        <v>0</v>
      </c>
      <c r="AW240" s="8"/>
      <c r="AX240" s="74" t="s">
        <v>169</v>
      </c>
      <c r="AY240" s="74"/>
      <c r="AZ240" s="74"/>
      <c r="BA240" s="74"/>
      <c r="BB240" s="8"/>
      <c r="BC240" s="8"/>
      <c r="BD240" s="8"/>
      <c r="BE240" s="8"/>
      <c r="BF240" s="12">
        <v>0.44</v>
      </c>
      <c r="BG240" s="13">
        <v>264.67904092446116</v>
      </c>
      <c r="BH240" s="96" t="str">
        <f>+VLOOKUP(G240,Liste!$A$7:$G$50,3,FALSE)</f>
        <v>Pin sylvestre</v>
      </c>
      <c r="BI240" s="96" t="str">
        <f>+VLOOKUP(H240,Liste!$B$7:$G$50,5,FALSE)</f>
        <v>GS Pineraies des plaines du Centre et du Nord Ouest</v>
      </c>
      <c r="BJ240" s="135">
        <f t="shared" si="72"/>
        <v>83</v>
      </c>
      <c r="BK240" s="135" t="str">
        <f t="shared" si="74"/>
        <v>Pin sylvestre_F2_Eclaircie tardive_GS Pineraies des plaines du Centre et du Nord Ouest_83_</v>
      </c>
      <c r="BL240" s="322"/>
      <c r="BM240" s="13">
        <v>67.969706083279846</v>
      </c>
      <c r="BN240" s="13">
        <v>332.64874700774101</v>
      </c>
      <c r="BP240" s="13">
        <v>268.42</v>
      </c>
      <c r="BQ240" s="13">
        <v>5.1537182045926802</v>
      </c>
      <c r="BT240" s="298" t="str">
        <f>+VLOOKUP(G240,Liste!$A$7:$H$50,8,FALSE)</f>
        <v>Résineux</v>
      </c>
      <c r="BU240" s="298">
        <f t="shared" si="75"/>
        <v>0</v>
      </c>
      <c r="BV240" s="300">
        <f t="shared" si="76"/>
        <v>1</v>
      </c>
      <c r="BW240" s="321">
        <v>0</v>
      </c>
      <c r="BX240" s="298">
        <f t="shared" si="77"/>
        <v>0.43</v>
      </c>
      <c r="BY240">
        <f t="shared" si="78"/>
        <v>0</v>
      </c>
      <c r="BZ240" s="304">
        <f t="shared" si="79"/>
        <v>0</v>
      </c>
      <c r="CB240" s="299">
        <v>0.6</v>
      </c>
      <c r="CC240" s="299">
        <v>0.4</v>
      </c>
      <c r="CD240">
        <f t="shared" si="80"/>
        <v>0</v>
      </c>
      <c r="CE240">
        <f t="shared" si="81"/>
        <v>0</v>
      </c>
      <c r="CF240">
        <f t="shared" si="82"/>
        <v>0</v>
      </c>
      <c r="CG240">
        <f t="shared" si="83"/>
        <v>0</v>
      </c>
      <c r="CH240">
        <f t="shared" si="84"/>
        <v>0</v>
      </c>
      <c r="CI240">
        <f t="shared" si="85"/>
        <v>0</v>
      </c>
      <c r="CJ240">
        <f t="shared" si="86"/>
        <v>0</v>
      </c>
      <c r="CK240">
        <f t="shared" si="87"/>
        <v>0</v>
      </c>
      <c r="CL240">
        <f t="shared" si="88"/>
        <v>0</v>
      </c>
      <c r="CM240">
        <f t="shared" si="90"/>
        <v>0</v>
      </c>
      <c r="CN240">
        <f t="shared" si="89"/>
        <v>0</v>
      </c>
      <c r="CO240">
        <f t="shared" si="73"/>
        <v>0</v>
      </c>
    </row>
    <row r="241" spans="1:93" s="12" customFormat="1" ht="14.65" customHeight="1" x14ac:dyDescent="0.25">
      <c r="A241" s="4">
        <v>2021</v>
      </c>
      <c r="B241" s="4"/>
      <c r="C241" s="4" t="s">
        <v>64</v>
      </c>
      <c r="D241" s="4" t="s">
        <v>65</v>
      </c>
      <c r="E241" s="4"/>
      <c r="F241" s="4" t="s">
        <v>90</v>
      </c>
      <c r="G241" s="5" t="s">
        <v>15</v>
      </c>
      <c r="H241" s="5" t="s">
        <v>21</v>
      </c>
      <c r="I241" s="5" t="s">
        <v>147</v>
      </c>
      <c r="J241" s="5" t="s">
        <v>10</v>
      </c>
      <c r="K241" s="5">
        <v>23</v>
      </c>
      <c r="L241" s="5">
        <v>45</v>
      </c>
      <c r="M241" s="5">
        <v>2500</v>
      </c>
      <c r="N241" s="5" t="s">
        <v>170</v>
      </c>
      <c r="O241" s="6" t="s">
        <v>78</v>
      </c>
      <c r="P241" s="6" t="s">
        <v>80</v>
      </c>
      <c r="Q241" s="6">
        <v>2003</v>
      </c>
      <c r="R241" s="6" t="s">
        <v>50</v>
      </c>
      <c r="S241" s="6">
        <v>28</v>
      </c>
      <c r="T241" s="6">
        <v>13.5</v>
      </c>
      <c r="U241" s="6">
        <v>2157</v>
      </c>
      <c r="V241" s="6">
        <v>40.299999999999997</v>
      </c>
      <c r="W241" s="6">
        <v>0</v>
      </c>
      <c r="X241" s="6">
        <v>600</v>
      </c>
      <c r="Y241" s="6">
        <v>1043</v>
      </c>
      <c r="Z241" s="6">
        <v>457</v>
      </c>
      <c r="AA241" s="6">
        <v>57</v>
      </c>
      <c r="AB241" s="6">
        <v>0</v>
      </c>
      <c r="AC241" s="7">
        <v>84</v>
      </c>
      <c r="AD241" s="7" t="s">
        <v>52</v>
      </c>
      <c r="AE241" s="7">
        <v>29.34</v>
      </c>
      <c r="AF241" s="7">
        <v>260</v>
      </c>
      <c r="AG241" s="7">
        <v>24.58</v>
      </c>
      <c r="AH241" s="7">
        <v>34.69</v>
      </c>
      <c r="AI241" s="7">
        <v>38.93</v>
      </c>
      <c r="AJ241" s="9">
        <v>311.21136945480401</v>
      </c>
      <c r="AK241" s="9">
        <v>313.499492450601</v>
      </c>
      <c r="AL241" s="9">
        <v>350.964535840981</v>
      </c>
      <c r="AM241" s="9">
        <v>74.288283639253706</v>
      </c>
      <c r="AN241" s="9">
        <v>0.88438432903873399</v>
      </c>
      <c r="AO241" s="9">
        <v>0.26875175328549999</v>
      </c>
      <c r="AP241" s="9">
        <v>827.52424654629499</v>
      </c>
      <c r="AQ241" s="9">
        <v>9.8514791255511298</v>
      </c>
      <c r="AR241" s="9">
        <v>5.6115467604337299</v>
      </c>
      <c r="AS241" s="73" t="s">
        <v>169</v>
      </c>
      <c r="AT241" s="8"/>
      <c r="AU241" s="10" t="s">
        <v>169</v>
      </c>
      <c r="AV241" s="10">
        <v>0</v>
      </c>
      <c r="AW241" s="8"/>
      <c r="AX241" s="74" t="s">
        <v>169</v>
      </c>
      <c r="AY241" s="74"/>
      <c r="AZ241" s="74"/>
      <c r="BA241" s="74"/>
      <c r="BB241" s="8"/>
      <c r="BC241" s="8"/>
      <c r="BD241" s="8"/>
      <c r="BE241" s="8"/>
      <c r="BF241" s="12">
        <v>0.44</v>
      </c>
      <c r="BG241" s="13">
        <v>268.955822632805</v>
      </c>
      <c r="BH241" s="96" t="str">
        <f>+VLOOKUP(G241,Liste!$A$7:$G$50,3,FALSE)</f>
        <v>Pin sylvestre</v>
      </c>
      <c r="BI241" s="96" t="str">
        <f>+VLOOKUP(H241,Liste!$B$7:$G$50,5,FALSE)</f>
        <v>GS Pineraies des plaines du Centre et du Nord Ouest</v>
      </c>
      <c r="BJ241" s="135">
        <f t="shared" si="72"/>
        <v>84</v>
      </c>
      <c r="BK241" s="135" t="str">
        <f t="shared" si="74"/>
        <v>Pin sylvestre_F2_Eclaircie tardive_GS Pineraies des plaines du Centre et du Nord Ouest_84_</v>
      </c>
      <c r="BL241" s="322"/>
      <c r="BM241" s="13">
        <v>68.939238775816023</v>
      </c>
      <c r="BN241" s="13">
        <v>337.89506140862102</v>
      </c>
      <c r="BP241" s="13">
        <v>268.42</v>
      </c>
      <c r="BQ241" s="13">
        <v>5.1813834891164596</v>
      </c>
      <c r="BT241" s="298" t="str">
        <f>+VLOOKUP(G241,Liste!$A$7:$H$50,8,FALSE)</f>
        <v>Résineux</v>
      </c>
      <c r="BU241" s="298">
        <f t="shared" si="75"/>
        <v>0</v>
      </c>
      <c r="BV241" s="300">
        <f t="shared" si="76"/>
        <v>1</v>
      </c>
      <c r="BW241" s="321">
        <v>0</v>
      </c>
      <c r="BX241" s="298">
        <f t="shared" si="77"/>
        <v>0.43</v>
      </c>
      <c r="BY241">
        <f t="shared" si="78"/>
        <v>0</v>
      </c>
      <c r="BZ241" s="304">
        <f t="shared" si="79"/>
        <v>0</v>
      </c>
      <c r="CB241" s="299">
        <v>0.6</v>
      </c>
      <c r="CC241" s="299">
        <v>0.4</v>
      </c>
      <c r="CD241">
        <f t="shared" si="80"/>
        <v>0</v>
      </c>
      <c r="CE241">
        <f t="shared" si="81"/>
        <v>0</v>
      </c>
      <c r="CF241">
        <f t="shared" si="82"/>
        <v>0</v>
      </c>
      <c r="CG241">
        <f t="shared" si="83"/>
        <v>0</v>
      </c>
      <c r="CH241">
        <f t="shared" si="84"/>
        <v>0</v>
      </c>
      <c r="CI241">
        <f t="shared" si="85"/>
        <v>0</v>
      </c>
      <c r="CJ241">
        <f t="shared" si="86"/>
        <v>0</v>
      </c>
      <c r="CK241">
        <f t="shared" si="87"/>
        <v>0</v>
      </c>
      <c r="CL241">
        <f t="shared" si="88"/>
        <v>0</v>
      </c>
      <c r="CM241">
        <f t="shared" si="90"/>
        <v>0</v>
      </c>
      <c r="CN241">
        <f t="shared" si="89"/>
        <v>0</v>
      </c>
      <c r="CO241">
        <f t="shared" si="73"/>
        <v>0</v>
      </c>
    </row>
    <row r="242" spans="1:93" s="12" customFormat="1" ht="14.65" customHeight="1" x14ac:dyDescent="0.25">
      <c r="A242" s="4">
        <v>2021</v>
      </c>
      <c r="B242" s="4"/>
      <c r="C242" s="4" t="s">
        <v>64</v>
      </c>
      <c r="D242" s="4" t="s">
        <v>65</v>
      </c>
      <c r="E242" s="4"/>
      <c r="F242" s="4" t="s">
        <v>90</v>
      </c>
      <c r="G242" s="5" t="s">
        <v>15</v>
      </c>
      <c r="H242" s="5" t="s">
        <v>21</v>
      </c>
      <c r="I242" s="5" t="s">
        <v>147</v>
      </c>
      <c r="J242" s="5" t="s">
        <v>10</v>
      </c>
      <c r="K242" s="5">
        <v>23</v>
      </c>
      <c r="L242" s="5">
        <v>45</v>
      </c>
      <c r="M242" s="5">
        <v>2500</v>
      </c>
      <c r="N242" s="5" t="s">
        <v>170</v>
      </c>
      <c r="O242" s="6" t="s">
        <v>78</v>
      </c>
      <c r="P242" s="6" t="s">
        <v>80</v>
      </c>
      <c r="Q242" s="6">
        <v>2003</v>
      </c>
      <c r="R242" s="6" t="s">
        <v>50</v>
      </c>
      <c r="S242" s="6">
        <v>28</v>
      </c>
      <c r="T242" s="6">
        <v>13.5</v>
      </c>
      <c r="U242" s="6">
        <v>2157</v>
      </c>
      <c r="V242" s="6">
        <v>40.299999999999997</v>
      </c>
      <c r="W242" s="6">
        <v>0</v>
      </c>
      <c r="X242" s="6">
        <v>600</v>
      </c>
      <c r="Y242" s="6">
        <v>1043</v>
      </c>
      <c r="Z242" s="6">
        <v>457</v>
      </c>
      <c r="AA242" s="6">
        <v>57</v>
      </c>
      <c r="AB242" s="6">
        <v>0</v>
      </c>
      <c r="AC242" s="7">
        <v>85</v>
      </c>
      <c r="AD242" s="7" t="s">
        <v>52</v>
      </c>
      <c r="AE242" s="7">
        <v>29.51</v>
      </c>
      <c r="AF242" s="7">
        <v>260</v>
      </c>
      <c r="AG242" s="7">
        <v>24.84</v>
      </c>
      <c r="AH242" s="7">
        <v>34.880000000000003</v>
      </c>
      <c r="AI242" s="7">
        <v>39.15</v>
      </c>
      <c r="AJ242" s="9">
        <v>316.41855722238301</v>
      </c>
      <c r="AK242" s="9">
        <v>318.74045985326097</v>
      </c>
      <c r="AL242" s="9">
        <v>356.57608260141501</v>
      </c>
      <c r="AM242" s="9">
        <v>74.557035392539206</v>
      </c>
      <c r="AN242" s="9">
        <v>0.87714159285340199</v>
      </c>
      <c r="AO242" s="9">
        <v>0.26507326244740198</v>
      </c>
      <c r="AP242" s="9">
        <v>833.13579330672803</v>
      </c>
      <c r="AQ242" s="9">
        <v>9.8015975683144507</v>
      </c>
      <c r="AR242" s="9">
        <v>5.4738298530990104</v>
      </c>
      <c r="AS242" s="73" t="s">
        <v>169</v>
      </c>
      <c r="AT242" s="8"/>
      <c r="AU242" s="10" t="s">
        <v>169</v>
      </c>
      <c r="AV242" s="10">
        <v>0</v>
      </c>
      <c r="AW242" s="8"/>
      <c r="AX242" s="74" t="s">
        <v>169</v>
      </c>
      <c r="AY242" s="74"/>
      <c r="AZ242" s="74"/>
      <c r="BA242" s="74"/>
      <c r="BB242" s="8"/>
      <c r="BC242" s="8"/>
      <c r="BD242" s="8"/>
      <c r="BE242" s="8"/>
      <c r="BF242" s="12">
        <v>0.44</v>
      </c>
      <c r="BG242" s="13">
        <v>273.25613796688418</v>
      </c>
      <c r="BH242" s="96" t="str">
        <f>+VLOOKUP(G242,Liste!$A$7:$G$50,3,FALSE)</f>
        <v>Pin sylvestre</v>
      </c>
      <c r="BI242" s="96" t="str">
        <f>+VLOOKUP(H242,Liste!$B$7:$G$50,5,FALSE)</f>
        <v>GS Pineraies des plaines du Centre et du Nord Ouest</v>
      </c>
      <c r="BJ242" s="135">
        <f t="shared" si="72"/>
        <v>85</v>
      </c>
      <c r="BK242" s="135" t="str">
        <f t="shared" si="74"/>
        <v>Pin sylvestre_F2_Eclaircie tardive_GS Pineraies des plaines du Centre et du Nord Ouest_85_</v>
      </c>
      <c r="BL242" s="322"/>
      <c r="BM242" s="13">
        <v>69.9122987444008</v>
      </c>
      <c r="BN242" s="13">
        <v>343.16843671128498</v>
      </c>
      <c r="BP242" s="13">
        <v>268.42</v>
      </c>
      <c r="BQ242" s="13">
        <v>5.0535581926476398</v>
      </c>
      <c r="BT242" s="298" t="str">
        <f>+VLOOKUP(G242,Liste!$A$7:$H$50,8,FALSE)</f>
        <v>Résineux</v>
      </c>
      <c r="BU242" s="298">
        <f t="shared" si="75"/>
        <v>0</v>
      </c>
      <c r="BV242" s="300">
        <f t="shared" si="76"/>
        <v>1</v>
      </c>
      <c r="BW242" s="321">
        <v>0</v>
      </c>
      <c r="BX242" s="298">
        <f t="shared" si="77"/>
        <v>0.43</v>
      </c>
      <c r="BY242">
        <f t="shared" si="78"/>
        <v>0</v>
      </c>
      <c r="BZ242" s="304">
        <f t="shared" si="79"/>
        <v>0</v>
      </c>
      <c r="CB242" s="299">
        <v>0.6</v>
      </c>
      <c r="CC242" s="299">
        <v>0.4</v>
      </c>
      <c r="CD242">
        <f t="shared" si="80"/>
        <v>0</v>
      </c>
      <c r="CE242">
        <f t="shared" si="81"/>
        <v>0</v>
      </c>
      <c r="CF242">
        <f t="shared" si="82"/>
        <v>0</v>
      </c>
      <c r="CG242">
        <f t="shared" si="83"/>
        <v>0</v>
      </c>
      <c r="CH242">
        <f t="shared" si="84"/>
        <v>0</v>
      </c>
      <c r="CI242">
        <f t="shared" si="85"/>
        <v>0</v>
      </c>
      <c r="CJ242">
        <f t="shared" si="86"/>
        <v>0</v>
      </c>
      <c r="CK242">
        <f t="shared" si="87"/>
        <v>0</v>
      </c>
      <c r="CL242">
        <f t="shared" si="88"/>
        <v>0</v>
      </c>
      <c r="CM242">
        <f t="shared" si="90"/>
        <v>0</v>
      </c>
      <c r="CN242">
        <f t="shared" si="89"/>
        <v>0</v>
      </c>
      <c r="CO242">
        <f t="shared" si="73"/>
        <v>0</v>
      </c>
    </row>
    <row r="243" spans="1:93" s="12" customFormat="1" ht="14.65" customHeight="1" x14ac:dyDescent="0.25">
      <c r="A243" s="4">
        <v>2021</v>
      </c>
      <c r="B243" s="4"/>
      <c r="C243" s="4" t="s">
        <v>64</v>
      </c>
      <c r="D243" s="4" t="s">
        <v>65</v>
      </c>
      <c r="E243" s="4"/>
      <c r="F243" s="4" t="s">
        <v>90</v>
      </c>
      <c r="G243" s="5" t="s">
        <v>15</v>
      </c>
      <c r="H243" s="5" t="s">
        <v>21</v>
      </c>
      <c r="I243" s="5" t="s">
        <v>147</v>
      </c>
      <c r="J243" s="5" t="s">
        <v>10</v>
      </c>
      <c r="K243" s="5">
        <v>23</v>
      </c>
      <c r="L243" s="5">
        <v>45</v>
      </c>
      <c r="M243" s="5">
        <v>2500</v>
      </c>
      <c r="N243" s="5" t="s">
        <v>170</v>
      </c>
      <c r="O243" s="6" t="s">
        <v>78</v>
      </c>
      <c r="P243" s="6" t="s">
        <v>80</v>
      </c>
      <c r="Q243" s="6">
        <v>2003</v>
      </c>
      <c r="R243" s="6" t="s">
        <v>50</v>
      </c>
      <c r="S243" s="6">
        <v>28</v>
      </c>
      <c r="T243" s="6">
        <v>13.5</v>
      </c>
      <c r="U243" s="6">
        <v>2157</v>
      </c>
      <c r="V243" s="6">
        <v>40.299999999999997</v>
      </c>
      <c r="W243" s="6">
        <v>0</v>
      </c>
      <c r="X243" s="6">
        <v>600</v>
      </c>
      <c r="Y243" s="6">
        <v>1043</v>
      </c>
      <c r="Z243" s="6">
        <v>457</v>
      </c>
      <c r="AA243" s="6">
        <v>57</v>
      </c>
      <c r="AB243" s="6">
        <v>0</v>
      </c>
      <c r="AC243" s="7">
        <v>86</v>
      </c>
      <c r="AD243" s="7" t="s">
        <v>52</v>
      </c>
      <c r="AE243" s="7">
        <v>29.67</v>
      </c>
      <c r="AF243" s="7">
        <v>260</v>
      </c>
      <c r="AG243" s="7">
        <v>25.11</v>
      </c>
      <c r="AH243" s="7">
        <v>35.07</v>
      </c>
      <c r="AI243" s="7">
        <v>39.369999999999997</v>
      </c>
      <c r="AJ243" s="9">
        <v>321.48545068711002</v>
      </c>
      <c r="AK243" s="9">
        <v>323.84185274438101</v>
      </c>
      <c r="AL243" s="9">
        <v>362.04991245451401</v>
      </c>
      <c r="AM243" s="9">
        <v>74.822108654986593</v>
      </c>
      <c r="AN243" s="9">
        <v>0.87002451924403001</v>
      </c>
      <c r="AO243" s="9">
        <v>0.26263317957938198</v>
      </c>
      <c r="AP243" s="9">
        <v>838.60962315982704</v>
      </c>
      <c r="AQ243" s="9">
        <v>9.7512746879049708</v>
      </c>
      <c r="AR243" s="9">
        <v>5.4950876503140798</v>
      </c>
      <c r="AS243" s="73" t="s">
        <v>169</v>
      </c>
      <c r="AT243" s="8"/>
      <c r="AU243" s="10" t="s">
        <v>169</v>
      </c>
      <c r="AV243" s="10">
        <v>0</v>
      </c>
      <c r="AW243" s="8"/>
      <c r="AX243" s="74" t="s">
        <v>169</v>
      </c>
      <c r="AY243" s="74"/>
      <c r="AZ243" s="74"/>
      <c r="BA243" s="74"/>
      <c r="BB243" s="8"/>
      <c r="BC243" s="8"/>
      <c r="BD243" s="8"/>
      <c r="BE243" s="8"/>
      <c r="BF243" s="12">
        <v>0.44</v>
      </c>
      <c r="BG243" s="13">
        <v>277.45091624430876</v>
      </c>
      <c r="BH243" s="96" t="str">
        <f>+VLOOKUP(G243,Liste!$A$7:$G$50,3,FALSE)</f>
        <v>Pin sylvestre</v>
      </c>
      <c r="BI243" s="96" t="str">
        <f>+VLOOKUP(H243,Liste!$B$7:$G$50,5,FALSE)</f>
        <v>GS Pineraies des plaines du Centre et du Nord Ouest</v>
      </c>
      <c r="BJ243" s="135">
        <f t="shared" si="72"/>
        <v>86</v>
      </c>
      <c r="BK243" s="135" t="str">
        <f t="shared" si="74"/>
        <v>Pin sylvestre_F2_Eclaircie tardive_GS Pineraies des plaines du Centre et du Nord Ouest_86_</v>
      </c>
      <c r="BL243" s="322"/>
      <c r="BM243" s="13">
        <v>70.859762025458224</v>
      </c>
      <c r="BN243" s="13">
        <v>348.31067826976698</v>
      </c>
      <c r="BP243" s="13">
        <v>268.42</v>
      </c>
      <c r="BQ243" s="13">
        <v>5.0725278171553301</v>
      </c>
      <c r="BT243" s="298" t="str">
        <f>+VLOOKUP(G243,Liste!$A$7:$H$50,8,FALSE)</f>
        <v>Résineux</v>
      </c>
      <c r="BU243" s="298">
        <f t="shared" si="75"/>
        <v>0</v>
      </c>
      <c r="BV243" s="300">
        <f t="shared" si="76"/>
        <v>1</v>
      </c>
      <c r="BW243" s="321">
        <v>0</v>
      </c>
      <c r="BX243" s="298">
        <f t="shared" si="77"/>
        <v>0.43</v>
      </c>
      <c r="BY243">
        <f t="shared" si="78"/>
        <v>0</v>
      </c>
      <c r="BZ243" s="304">
        <f t="shared" si="79"/>
        <v>0</v>
      </c>
      <c r="CB243" s="299">
        <v>0.6</v>
      </c>
      <c r="CC243" s="299">
        <v>0.4</v>
      </c>
      <c r="CD243">
        <f t="shared" si="80"/>
        <v>0</v>
      </c>
      <c r="CE243">
        <f t="shared" si="81"/>
        <v>0</v>
      </c>
      <c r="CF243">
        <f t="shared" si="82"/>
        <v>0</v>
      </c>
      <c r="CG243">
        <f t="shared" si="83"/>
        <v>0</v>
      </c>
      <c r="CH243">
        <f t="shared" si="84"/>
        <v>0</v>
      </c>
      <c r="CI243">
        <f t="shared" si="85"/>
        <v>0</v>
      </c>
      <c r="CJ243">
        <f t="shared" si="86"/>
        <v>0</v>
      </c>
      <c r="CK243">
        <f t="shared" si="87"/>
        <v>0</v>
      </c>
      <c r="CL243">
        <f t="shared" si="88"/>
        <v>0</v>
      </c>
      <c r="CM243">
        <f t="shared" si="90"/>
        <v>0</v>
      </c>
      <c r="CN243">
        <f t="shared" si="89"/>
        <v>0</v>
      </c>
      <c r="CO243">
        <f t="shared" si="73"/>
        <v>0</v>
      </c>
    </row>
    <row r="244" spans="1:93" s="12" customFormat="1" ht="14.65" customHeight="1" x14ac:dyDescent="0.25">
      <c r="A244" s="4">
        <v>2021</v>
      </c>
      <c r="B244" s="4"/>
      <c r="C244" s="4" t="s">
        <v>64</v>
      </c>
      <c r="D244" s="4" t="s">
        <v>65</v>
      </c>
      <c r="E244" s="4"/>
      <c r="F244" s="4" t="s">
        <v>90</v>
      </c>
      <c r="G244" s="5" t="s">
        <v>15</v>
      </c>
      <c r="H244" s="5" t="s">
        <v>21</v>
      </c>
      <c r="I244" s="5" t="s">
        <v>147</v>
      </c>
      <c r="J244" s="5" t="s">
        <v>10</v>
      </c>
      <c r="K244" s="5">
        <v>23</v>
      </c>
      <c r="L244" s="5">
        <v>45</v>
      </c>
      <c r="M244" s="5">
        <v>2500</v>
      </c>
      <c r="N244" s="5" t="s">
        <v>170</v>
      </c>
      <c r="O244" s="6" t="s">
        <v>78</v>
      </c>
      <c r="P244" s="6" t="s">
        <v>80</v>
      </c>
      <c r="Q244" s="6">
        <v>2003</v>
      </c>
      <c r="R244" s="6" t="s">
        <v>50</v>
      </c>
      <c r="S244" s="6">
        <v>28</v>
      </c>
      <c r="T244" s="6">
        <v>13.5</v>
      </c>
      <c r="U244" s="6">
        <v>2157</v>
      </c>
      <c r="V244" s="6">
        <v>40.299999999999997</v>
      </c>
      <c r="W244" s="6">
        <v>0</v>
      </c>
      <c r="X244" s="6">
        <v>600</v>
      </c>
      <c r="Y244" s="6">
        <v>1043</v>
      </c>
      <c r="Z244" s="6">
        <v>457</v>
      </c>
      <c r="AA244" s="6">
        <v>57</v>
      </c>
      <c r="AB244" s="6">
        <v>0</v>
      </c>
      <c r="AC244" s="7">
        <v>87</v>
      </c>
      <c r="AD244" s="7" t="s">
        <v>52</v>
      </c>
      <c r="AE244" s="7">
        <v>29.83</v>
      </c>
      <c r="AF244" s="7">
        <v>260</v>
      </c>
      <c r="AG244" s="7">
        <v>25.37</v>
      </c>
      <c r="AH244" s="7">
        <v>35.25</v>
      </c>
      <c r="AI244" s="7">
        <v>39.58</v>
      </c>
      <c r="AJ244" s="9">
        <v>326.58208395475299</v>
      </c>
      <c r="AK244" s="9">
        <v>328.97220509645098</v>
      </c>
      <c r="AL244" s="9">
        <v>367.54500010482798</v>
      </c>
      <c r="AM244" s="9">
        <v>75.084741834566003</v>
      </c>
      <c r="AN244" s="9">
        <v>0.86304300959271196</v>
      </c>
      <c r="AO244" s="9">
        <v>0.25953219201085198</v>
      </c>
      <c r="AP244" s="9">
        <v>844.10471081014202</v>
      </c>
      <c r="AQ244" s="9">
        <v>9.7023529978177194</v>
      </c>
      <c r="AR244" s="9">
        <v>5.4531463683808896</v>
      </c>
      <c r="AS244" s="73" t="s">
        <v>169</v>
      </c>
      <c r="AT244" s="8"/>
      <c r="AU244" s="10" t="s">
        <v>169</v>
      </c>
      <c r="AV244" s="10">
        <v>0</v>
      </c>
      <c r="AW244" s="8"/>
      <c r="AX244" s="74" t="s">
        <v>169</v>
      </c>
      <c r="AY244" s="74"/>
      <c r="AZ244" s="74"/>
      <c r="BA244" s="74"/>
      <c r="BB244" s="8"/>
      <c r="BC244" s="8"/>
      <c r="BD244" s="8"/>
      <c r="BE244" s="8"/>
      <c r="BF244" s="12">
        <v>0.44</v>
      </c>
      <c r="BG244" s="13">
        <v>281.66198508033295</v>
      </c>
      <c r="BH244" s="96" t="str">
        <f>+VLOOKUP(G244,Liste!$A$7:$G$50,3,FALSE)</f>
        <v>Pin sylvestre</v>
      </c>
      <c r="BI244" s="96" t="str">
        <f>+VLOOKUP(H244,Liste!$B$7:$G$50,5,FALSE)</f>
        <v>GS Pineraies des plaines du Centre et du Nord Ouest</v>
      </c>
      <c r="BJ244" s="135">
        <f t="shared" si="72"/>
        <v>87</v>
      </c>
      <c r="BK244" s="135" t="str">
        <f t="shared" si="74"/>
        <v>Pin sylvestre_F2_Eclaircie tardive_GS Pineraies des plaines du Centre et du Nord Ouest_87_</v>
      </c>
      <c r="BL244" s="322"/>
      <c r="BM244" s="13">
        <v>71.809229135278031</v>
      </c>
      <c r="BN244" s="13">
        <v>353.47121421561098</v>
      </c>
      <c r="BP244" s="13">
        <v>268.42</v>
      </c>
      <c r="BQ244" s="13">
        <v>5.0331666287634098</v>
      </c>
      <c r="BT244" s="298" t="str">
        <f>+VLOOKUP(G244,Liste!$A$7:$H$50,8,FALSE)</f>
        <v>Résineux</v>
      </c>
      <c r="BU244" s="298">
        <f t="shared" si="75"/>
        <v>0</v>
      </c>
      <c r="BV244" s="300">
        <f t="shared" si="76"/>
        <v>1</v>
      </c>
      <c r="BW244" s="321">
        <v>0</v>
      </c>
      <c r="BX244" s="298">
        <f t="shared" si="77"/>
        <v>0.43</v>
      </c>
      <c r="BY244">
        <f t="shared" si="78"/>
        <v>0</v>
      </c>
      <c r="BZ244" s="304">
        <f t="shared" si="79"/>
        <v>0</v>
      </c>
      <c r="CB244" s="299">
        <v>0.6</v>
      </c>
      <c r="CC244" s="299">
        <v>0.4</v>
      </c>
      <c r="CD244">
        <f t="shared" si="80"/>
        <v>0</v>
      </c>
      <c r="CE244">
        <f t="shared" si="81"/>
        <v>0</v>
      </c>
      <c r="CF244">
        <f t="shared" si="82"/>
        <v>0</v>
      </c>
      <c r="CG244">
        <f t="shared" si="83"/>
        <v>0</v>
      </c>
      <c r="CH244">
        <f t="shared" si="84"/>
        <v>0</v>
      </c>
      <c r="CI244">
        <f t="shared" si="85"/>
        <v>0</v>
      </c>
      <c r="CJ244">
        <f t="shared" si="86"/>
        <v>0</v>
      </c>
      <c r="CK244">
        <f t="shared" si="87"/>
        <v>0</v>
      </c>
      <c r="CL244">
        <f t="shared" si="88"/>
        <v>0</v>
      </c>
      <c r="CM244">
        <f t="shared" si="90"/>
        <v>0</v>
      </c>
      <c r="CN244">
        <f t="shared" si="89"/>
        <v>0</v>
      </c>
      <c r="CO244">
        <f t="shared" si="73"/>
        <v>0</v>
      </c>
    </row>
    <row r="245" spans="1:93" s="12" customFormat="1" ht="14.65" customHeight="1" x14ac:dyDescent="0.25">
      <c r="A245" s="4">
        <v>2021</v>
      </c>
      <c r="B245" s="4"/>
      <c r="C245" s="4" t="s">
        <v>64</v>
      </c>
      <c r="D245" s="4" t="s">
        <v>65</v>
      </c>
      <c r="E245" s="4"/>
      <c r="F245" s="4" t="s">
        <v>90</v>
      </c>
      <c r="G245" s="5" t="s">
        <v>15</v>
      </c>
      <c r="H245" s="5" t="s">
        <v>21</v>
      </c>
      <c r="I245" s="5" t="s">
        <v>147</v>
      </c>
      <c r="J245" s="5" t="s">
        <v>10</v>
      </c>
      <c r="K245" s="5">
        <v>23</v>
      </c>
      <c r="L245" s="5">
        <v>45</v>
      </c>
      <c r="M245" s="5">
        <v>2500</v>
      </c>
      <c r="N245" s="5" t="s">
        <v>170</v>
      </c>
      <c r="O245" s="6" t="s">
        <v>78</v>
      </c>
      <c r="P245" s="6" t="s">
        <v>80</v>
      </c>
      <c r="Q245" s="6">
        <v>2003</v>
      </c>
      <c r="R245" s="6" t="s">
        <v>50</v>
      </c>
      <c r="S245" s="6">
        <v>28</v>
      </c>
      <c r="T245" s="6">
        <v>13.5</v>
      </c>
      <c r="U245" s="6">
        <v>2157</v>
      </c>
      <c r="V245" s="6">
        <v>40.299999999999997</v>
      </c>
      <c r="W245" s="6">
        <v>0</v>
      </c>
      <c r="X245" s="6">
        <v>600</v>
      </c>
      <c r="Y245" s="6">
        <v>1043</v>
      </c>
      <c r="Z245" s="6">
        <v>457</v>
      </c>
      <c r="AA245" s="6">
        <v>57</v>
      </c>
      <c r="AB245" s="6">
        <v>0</v>
      </c>
      <c r="AC245" s="7">
        <v>88</v>
      </c>
      <c r="AD245" s="7" t="s">
        <v>52</v>
      </c>
      <c r="AE245" s="7">
        <v>30</v>
      </c>
      <c r="AF245" s="7">
        <v>260</v>
      </c>
      <c r="AG245" s="7">
        <v>25.63</v>
      </c>
      <c r="AH245" s="7">
        <v>35.43</v>
      </c>
      <c r="AI245" s="7">
        <v>39.79</v>
      </c>
      <c r="AJ245" s="9">
        <v>331.64195009408201</v>
      </c>
      <c r="AK245" s="9">
        <v>334.06540277168699</v>
      </c>
      <c r="AL245" s="9">
        <v>372.99814647320898</v>
      </c>
      <c r="AM245" s="9">
        <v>75.344274026576798</v>
      </c>
      <c r="AN245" s="9">
        <v>0.85618493212019098</v>
      </c>
      <c r="AO245" s="9">
        <v>0.25616037559360899</v>
      </c>
      <c r="AP245" s="9">
        <v>849.557857178522</v>
      </c>
      <c r="AQ245" s="9">
        <v>9.6540665588468499</v>
      </c>
      <c r="AR245" s="9">
        <v>5.3747447866596803</v>
      </c>
      <c r="AS245" s="73" t="s">
        <v>169</v>
      </c>
      <c r="AT245" s="8"/>
      <c r="AU245" s="10" t="s">
        <v>169</v>
      </c>
      <c r="AV245" s="10">
        <v>0</v>
      </c>
      <c r="AW245" s="8"/>
      <c r="AX245" s="74" t="s">
        <v>169</v>
      </c>
      <c r="AY245" s="74"/>
      <c r="AZ245" s="74"/>
      <c r="BA245" s="74"/>
      <c r="BB245" s="8"/>
      <c r="BC245" s="8"/>
      <c r="BD245" s="8"/>
      <c r="BE245" s="8"/>
      <c r="BF245" s="12">
        <v>0.44</v>
      </c>
      <c r="BG245" s="13">
        <v>285.84091291396885</v>
      </c>
      <c r="BH245" s="96" t="str">
        <f>+VLOOKUP(G245,Liste!$A$7:$G$50,3,FALSE)</f>
        <v>Pin sylvestre</v>
      </c>
      <c r="BI245" s="96" t="str">
        <f>+VLOOKUP(H245,Liste!$B$7:$G$50,5,FALSE)</f>
        <v>GS Pineraies des plaines du Centre et du Nord Ouest</v>
      </c>
      <c r="BJ245" s="135">
        <f t="shared" si="72"/>
        <v>88</v>
      </c>
      <c r="BK245" s="135" t="str">
        <f t="shared" si="74"/>
        <v>Pin sylvestre_F2_Eclaircie tardive_GS Pineraies des plaines du Centre et du Nord Ouest_88_</v>
      </c>
      <c r="BL245" s="322"/>
      <c r="BM245" s="13">
        <v>72.749817258597147</v>
      </c>
      <c r="BN245" s="13">
        <v>358.590730172566</v>
      </c>
      <c r="BP245" s="13">
        <v>268.42</v>
      </c>
      <c r="BQ245" s="13">
        <v>4.9601788885395299</v>
      </c>
      <c r="BT245" s="298" t="str">
        <f>+VLOOKUP(G245,Liste!$A$7:$H$50,8,FALSE)</f>
        <v>Résineux</v>
      </c>
      <c r="BU245" s="298">
        <f t="shared" si="75"/>
        <v>0</v>
      </c>
      <c r="BV245" s="300">
        <f t="shared" si="76"/>
        <v>1</v>
      </c>
      <c r="BW245" s="321">
        <v>0</v>
      </c>
      <c r="BX245" s="298">
        <f t="shared" si="77"/>
        <v>0.43</v>
      </c>
      <c r="BY245">
        <f t="shared" si="78"/>
        <v>0</v>
      </c>
      <c r="BZ245" s="304">
        <f t="shared" si="79"/>
        <v>0</v>
      </c>
      <c r="CB245" s="299">
        <v>0.6</v>
      </c>
      <c r="CC245" s="299">
        <v>0.4</v>
      </c>
      <c r="CD245">
        <f t="shared" si="80"/>
        <v>0</v>
      </c>
      <c r="CE245">
        <f t="shared" si="81"/>
        <v>0</v>
      </c>
      <c r="CF245">
        <f t="shared" si="82"/>
        <v>0</v>
      </c>
      <c r="CG245">
        <f t="shared" si="83"/>
        <v>0</v>
      </c>
      <c r="CH245">
        <f t="shared" si="84"/>
        <v>0</v>
      </c>
      <c r="CI245">
        <f t="shared" si="85"/>
        <v>0</v>
      </c>
      <c r="CJ245">
        <f t="shared" si="86"/>
        <v>0</v>
      </c>
      <c r="CK245">
        <f t="shared" si="87"/>
        <v>0</v>
      </c>
      <c r="CL245">
        <f t="shared" si="88"/>
        <v>0</v>
      </c>
      <c r="CM245">
        <f t="shared" si="90"/>
        <v>0</v>
      </c>
      <c r="CN245">
        <f t="shared" si="89"/>
        <v>0</v>
      </c>
      <c r="CO245">
        <f t="shared" si="73"/>
        <v>0</v>
      </c>
    </row>
    <row r="246" spans="1:93" s="12" customFormat="1" ht="14.65" customHeight="1" x14ac:dyDescent="0.25">
      <c r="A246" s="4">
        <v>2021</v>
      </c>
      <c r="B246" s="4"/>
      <c r="C246" s="4" t="s">
        <v>64</v>
      </c>
      <c r="D246" s="4" t="s">
        <v>65</v>
      </c>
      <c r="E246" s="4"/>
      <c r="F246" s="4" t="s">
        <v>90</v>
      </c>
      <c r="G246" s="5" t="s">
        <v>15</v>
      </c>
      <c r="H246" s="5" t="s">
        <v>21</v>
      </c>
      <c r="I246" s="5" t="s">
        <v>147</v>
      </c>
      <c r="J246" s="5" t="s">
        <v>10</v>
      </c>
      <c r="K246" s="5">
        <v>23</v>
      </c>
      <c r="L246" s="5">
        <v>45</v>
      </c>
      <c r="M246" s="5">
        <v>2500</v>
      </c>
      <c r="N246" s="5" t="s">
        <v>170</v>
      </c>
      <c r="O246" s="6" t="s">
        <v>78</v>
      </c>
      <c r="P246" s="6" t="s">
        <v>80</v>
      </c>
      <c r="Q246" s="6">
        <v>2003</v>
      </c>
      <c r="R246" s="6" t="s">
        <v>50</v>
      </c>
      <c r="S246" s="6">
        <v>28</v>
      </c>
      <c r="T246" s="6">
        <v>13.5</v>
      </c>
      <c r="U246" s="6">
        <v>2157</v>
      </c>
      <c r="V246" s="6">
        <v>40.299999999999997</v>
      </c>
      <c r="W246" s="6">
        <v>0</v>
      </c>
      <c r="X246" s="6">
        <v>600</v>
      </c>
      <c r="Y246" s="6">
        <v>1043</v>
      </c>
      <c r="Z246" s="6">
        <v>457</v>
      </c>
      <c r="AA246" s="6">
        <v>57</v>
      </c>
      <c r="AB246" s="6">
        <v>0</v>
      </c>
      <c r="AC246" s="7">
        <v>89</v>
      </c>
      <c r="AD246" s="7" t="s">
        <v>52</v>
      </c>
      <c r="AE246" s="7">
        <v>30.15</v>
      </c>
      <c r="AF246" s="7">
        <v>260</v>
      </c>
      <c r="AG246" s="7">
        <v>25.89</v>
      </c>
      <c r="AH246" s="7">
        <v>35.61</v>
      </c>
      <c r="AI246" s="7">
        <v>40</v>
      </c>
      <c r="AJ246" s="9">
        <v>336.62562485413201</v>
      </c>
      <c r="AK246" s="9">
        <v>339.08254030151699</v>
      </c>
      <c r="AL246" s="9">
        <v>378.37289125986803</v>
      </c>
      <c r="AM246" s="9">
        <v>75.600434402170393</v>
      </c>
      <c r="AN246" s="9">
        <v>0.84944308317045403</v>
      </c>
      <c r="AO246" s="9">
        <v>0.254819449601285</v>
      </c>
      <c r="AP246" s="9">
        <v>854.93260196518202</v>
      </c>
      <c r="AQ246" s="9">
        <v>9.6059842917436207</v>
      </c>
      <c r="AR246" s="9">
        <v>5.4808639592042701</v>
      </c>
      <c r="AS246" s="73" t="s">
        <v>169</v>
      </c>
      <c r="AT246" s="8"/>
      <c r="AU246" s="10" t="s">
        <v>169</v>
      </c>
      <c r="AV246" s="10">
        <v>0</v>
      </c>
      <c r="AW246" s="8"/>
      <c r="AX246" s="74" t="s">
        <v>169</v>
      </c>
      <c r="AY246" s="74"/>
      <c r="AZ246" s="74"/>
      <c r="BA246" s="74"/>
      <c r="BB246" s="8"/>
      <c r="BC246" s="8"/>
      <c r="BD246" s="8"/>
      <c r="BE246" s="8"/>
      <c r="BF246" s="12">
        <v>0.44</v>
      </c>
      <c r="BG246" s="13">
        <v>289.95975900214586</v>
      </c>
      <c r="BH246" s="96" t="str">
        <f>+VLOOKUP(G246,Liste!$A$7:$G$50,3,FALSE)</f>
        <v>Pin sylvestre</v>
      </c>
      <c r="BI246" s="96" t="str">
        <f>+VLOOKUP(H246,Liste!$B$7:$G$50,5,FALSE)</f>
        <v>GS Pineraies des plaines du Centre et du Nord Ouest</v>
      </c>
      <c r="BJ246" s="135">
        <f t="shared" si="72"/>
        <v>89</v>
      </c>
      <c r="BK246" s="135" t="str">
        <f t="shared" si="74"/>
        <v>Pin sylvestre_F2_Eclaircie tardive_GS Pineraies des plaines du Centre et du Nord Ouest_89_</v>
      </c>
      <c r="BL246" s="322"/>
      <c r="BM246" s="13">
        <v>73.675317121863145</v>
      </c>
      <c r="BN246" s="13">
        <v>363.635076124009</v>
      </c>
      <c r="BP246" s="13">
        <v>268.42</v>
      </c>
      <c r="BQ246" s="13">
        <v>5.0574790904291804</v>
      </c>
      <c r="BT246" s="298" t="str">
        <f>+VLOOKUP(G246,Liste!$A$7:$H$50,8,FALSE)</f>
        <v>Résineux</v>
      </c>
      <c r="BU246" s="298">
        <f t="shared" si="75"/>
        <v>0</v>
      </c>
      <c r="BV246" s="300">
        <f t="shared" si="76"/>
        <v>1</v>
      </c>
      <c r="BW246" s="321">
        <v>0</v>
      </c>
      <c r="BX246" s="298">
        <f t="shared" si="77"/>
        <v>0.43</v>
      </c>
      <c r="BY246">
        <f t="shared" si="78"/>
        <v>0</v>
      </c>
      <c r="BZ246" s="304">
        <f t="shared" si="79"/>
        <v>0</v>
      </c>
      <c r="CB246" s="299">
        <v>0.6</v>
      </c>
      <c r="CC246" s="299">
        <v>0.4</v>
      </c>
      <c r="CD246">
        <f t="shared" si="80"/>
        <v>0</v>
      </c>
      <c r="CE246">
        <f t="shared" si="81"/>
        <v>0</v>
      </c>
      <c r="CF246">
        <f t="shared" si="82"/>
        <v>0</v>
      </c>
      <c r="CG246">
        <f t="shared" si="83"/>
        <v>0</v>
      </c>
      <c r="CH246">
        <f t="shared" si="84"/>
        <v>0</v>
      </c>
      <c r="CI246">
        <f t="shared" si="85"/>
        <v>0</v>
      </c>
      <c r="CJ246">
        <f t="shared" si="86"/>
        <v>0</v>
      </c>
      <c r="CK246">
        <f t="shared" si="87"/>
        <v>0</v>
      </c>
      <c r="CL246">
        <f t="shared" si="88"/>
        <v>0</v>
      </c>
      <c r="CM246">
        <f t="shared" si="90"/>
        <v>0</v>
      </c>
      <c r="CN246">
        <f t="shared" si="89"/>
        <v>0</v>
      </c>
      <c r="CO246">
        <f t="shared" si="73"/>
        <v>0</v>
      </c>
    </row>
    <row r="247" spans="1:93" s="12" customFormat="1" ht="14.65" customHeight="1" x14ac:dyDescent="0.25">
      <c r="A247" s="4">
        <v>2021</v>
      </c>
      <c r="B247" s="4"/>
      <c r="C247" s="4" t="s">
        <v>64</v>
      </c>
      <c r="D247" s="4" t="s">
        <v>65</v>
      </c>
      <c r="E247" s="4"/>
      <c r="F247" s="4" t="s">
        <v>90</v>
      </c>
      <c r="G247" s="5" t="s">
        <v>15</v>
      </c>
      <c r="H247" s="5" t="s">
        <v>21</v>
      </c>
      <c r="I247" s="5" t="s">
        <v>147</v>
      </c>
      <c r="J247" s="5" t="s">
        <v>10</v>
      </c>
      <c r="K247" s="5">
        <v>23</v>
      </c>
      <c r="L247" s="5">
        <v>45</v>
      </c>
      <c r="M247" s="5">
        <v>2500</v>
      </c>
      <c r="N247" s="5" t="s">
        <v>170</v>
      </c>
      <c r="O247" s="6" t="s">
        <v>78</v>
      </c>
      <c r="P247" s="6" t="s">
        <v>80</v>
      </c>
      <c r="Q247" s="6">
        <v>2003</v>
      </c>
      <c r="R247" s="6" t="s">
        <v>50</v>
      </c>
      <c r="S247" s="6">
        <v>28</v>
      </c>
      <c r="T247" s="6">
        <v>13.5</v>
      </c>
      <c r="U247" s="6">
        <v>2157</v>
      </c>
      <c r="V247" s="6">
        <v>40.299999999999997</v>
      </c>
      <c r="W247" s="6">
        <v>0</v>
      </c>
      <c r="X247" s="6">
        <v>600</v>
      </c>
      <c r="Y247" s="6">
        <v>1043</v>
      </c>
      <c r="Z247" s="6">
        <v>457</v>
      </c>
      <c r="AA247" s="6">
        <v>57</v>
      </c>
      <c r="AB247" s="6">
        <v>0</v>
      </c>
      <c r="AC247" s="7">
        <v>90</v>
      </c>
      <c r="AD247" s="7" t="s">
        <v>52</v>
      </c>
      <c r="AE247" s="7">
        <v>30.31</v>
      </c>
      <c r="AF247" s="7">
        <v>260</v>
      </c>
      <c r="AG247" s="7">
        <v>26.14</v>
      </c>
      <c r="AH247" s="7">
        <v>35.78</v>
      </c>
      <c r="AI247" s="7">
        <v>40.200000000000003</v>
      </c>
      <c r="AJ247" s="9">
        <v>341.72880848267698</v>
      </c>
      <c r="AK247" s="9">
        <v>344.217627752493</v>
      </c>
      <c r="AL247" s="9">
        <v>383.85375521907298</v>
      </c>
      <c r="AM247" s="9">
        <v>75.855253851771707</v>
      </c>
      <c r="AN247" s="9">
        <v>0.84283615390857403</v>
      </c>
      <c r="AO247" s="9">
        <v>0.249579131683419</v>
      </c>
      <c r="AP247" s="9">
        <v>860.41346592438595</v>
      </c>
      <c r="AQ247" s="9">
        <v>9.5601496213820703</v>
      </c>
      <c r="AR247" s="9">
        <v>5.2466461000417404</v>
      </c>
      <c r="AS247" s="73" t="s">
        <v>169</v>
      </c>
      <c r="AT247" s="8"/>
      <c r="AU247" s="10" t="s">
        <v>169</v>
      </c>
      <c r="AV247" s="10">
        <v>0</v>
      </c>
      <c r="AW247" s="8"/>
      <c r="AX247" s="74" t="s">
        <v>169</v>
      </c>
      <c r="AY247" s="74"/>
      <c r="AZ247" s="74"/>
      <c r="BA247" s="74"/>
      <c r="BB247" s="8"/>
      <c r="BC247" s="8"/>
      <c r="BD247" s="8"/>
      <c r="BE247" s="8"/>
      <c r="BF247" s="12">
        <v>0.44</v>
      </c>
      <c r="BG247" s="13">
        <v>294.15992774954941</v>
      </c>
      <c r="BH247" s="96" t="str">
        <f>+VLOOKUP(G247,Liste!$A$7:$G$50,3,FALSE)</f>
        <v>Pin sylvestre</v>
      </c>
      <c r="BI247" s="96" t="str">
        <f>+VLOOKUP(H247,Liste!$B$7:$G$50,5,FALSE)</f>
        <v>GS Pineraies des plaines du Centre et du Nord Ouest</v>
      </c>
      <c r="BJ247" s="135">
        <f t="shared" si="72"/>
        <v>90</v>
      </c>
      <c r="BK247" s="135" t="str">
        <f t="shared" si="74"/>
        <v>Pin sylvestre_F2_Eclaircie tardive_GS Pineraies des plaines du Centre et du Nord Ouest_90_</v>
      </c>
      <c r="BL247" s="322"/>
      <c r="BM247" s="13">
        <v>74.617515614455613</v>
      </c>
      <c r="BN247" s="13">
        <v>368.77744336400502</v>
      </c>
      <c r="BP247" s="13">
        <v>268.42</v>
      </c>
      <c r="BQ247" s="13">
        <v>4.8407587047423704</v>
      </c>
      <c r="BT247" s="298" t="str">
        <f>+VLOOKUP(G247,Liste!$A$7:$H$50,8,FALSE)</f>
        <v>Résineux</v>
      </c>
      <c r="BU247" s="298">
        <f t="shared" si="75"/>
        <v>0</v>
      </c>
      <c r="BV247" s="300">
        <f t="shared" si="76"/>
        <v>1</v>
      </c>
      <c r="BW247" s="321">
        <v>0</v>
      </c>
      <c r="BX247" s="298">
        <f t="shared" si="77"/>
        <v>0.43</v>
      </c>
      <c r="BY247">
        <f t="shared" si="78"/>
        <v>0</v>
      </c>
      <c r="BZ247" s="304">
        <f t="shared" si="79"/>
        <v>0</v>
      </c>
      <c r="CB247" s="299">
        <v>0.6</v>
      </c>
      <c r="CC247" s="299">
        <v>0.4</v>
      </c>
      <c r="CD247">
        <f t="shared" si="80"/>
        <v>0</v>
      </c>
      <c r="CE247">
        <f t="shared" si="81"/>
        <v>0</v>
      </c>
      <c r="CF247">
        <f t="shared" si="82"/>
        <v>0</v>
      </c>
      <c r="CG247">
        <f t="shared" si="83"/>
        <v>0</v>
      </c>
      <c r="CH247">
        <f t="shared" si="84"/>
        <v>0</v>
      </c>
      <c r="CI247">
        <f t="shared" si="85"/>
        <v>0</v>
      </c>
      <c r="CJ247">
        <f t="shared" si="86"/>
        <v>0</v>
      </c>
      <c r="CK247">
        <f t="shared" si="87"/>
        <v>0</v>
      </c>
      <c r="CL247">
        <f t="shared" si="88"/>
        <v>0</v>
      </c>
      <c r="CM247">
        <f t="shared" si="90"/>
        <v>0</v>
      </c>
      <c r="CN247">
        <f t="shared" si="89"/>
        <v>0</v>
      </c>
      <c r="CO247">
        <f t="shared" si="73"/>
        <v>0</v>
      </c>
    </row>
    <row r="248" spans="1:93" s="12" customFormat="1" ht="14.65" customHeight="1" x14ac:dyDescent="0.25">
      <c r="A248" s="4">
        <v>2021</v>
      </c>
      <c r="B248" s="4"/>
      <c r="C248" s="4" t="s">
        <v>64</v>
      </c>
      <c r="D248" s="4" t="s">
        <v>65</v>
      </c>
      <c r="E248" s="4"/>
      <c r="F248" s="4" t="s">
        <v>90</v>
      </c>
      <c r="G248" s="5" t="s">
        <v>15</v>
      </c>
      <c r="H248" s="5" t="s">
        <v>21</v>
      </c>
      <c r="I248" s="5" t="s">
        <v>147</v>
      </c>
      <c r="J248" s="5" t="s">
        <v>10</v>
      </c>
      <c r="K248" s="5">
        <v>23</v>
      </c>
      <c r="L248" s="5">
        <v>45</v>
      </c>
      <c r="M248" s="5">
        <v>2500</v>
      </c>
      <c r="N248" s="5" t="s">
        <v>170</v>
      </c>
      <c r="O248" s="6" t="s">
        <v>78</v>
      </c>
      <c r="P248" s="6" t="s">
        <v>80</v>
      </c>
      <c r="Q248" s="6">
        <v>2003</v>
      </c>
      <c r="R248" s="6" t="s">
        <v>50</v>
      </c>
      <c r="S248" s="6">
        <v>28</v>
      </c>
      <c r="T248" s="6">
        <v>13.5</v>
      </c>
      <c r="U248" s="6">
        <v>2157</v>
      </c>
      <c r="V248" s="6">
        <v>40.299999999999997</v>
      </c>
      <c r="W248" s="6">
        <v>0</v>
      </c>
      <c r="X248" s="6">
        <v>600</v>
      </c>
      <c r="Y248" s="6">
        <v>1043</v>
      </c>
      <c r="Z248" s="6">
        <v>457</v>
      </c>
      <c r="AA248" s="6">
        <v>57</v>
      </c>
      <c r="AB248" s="6">
        <v>0</v>
      </c>
      <c r="AC248" s="7">
        <v>91</v>
      </c>
      <c r="AD248" s="7" t="s">
        <v>52</v>
      </c>
      <c r="AE248" s="7">
        <v>30.46</v>
      </c>
      <c r="AF248" s="7">
        <v>260</v>
      </c>
      <c r="AG248" s="7">
        <v>26.39</v>
      </c>
      <c r="AH248" s="7">
        <v>35.950000000000003</v>
      </c>
      <c r="AI248" s="7">
        <v>40.409999999999997</v>
      </c>
      <c r="AJ248" s="9">
        <v>346.59174833840802</v>
      </c>
      <c r="AK248" s="9">
        <v>349.11371922365601</v>
      </c>
      <c r="AL248" s="9">
        <v>389.10040131911398</v>
      </c>
      <c r="AM248" s="9">
        <v>76.104832983455097</v>
      </c>
      <c r="AN248" s="9">
        <v>0.83631684597203404</v>
      </c>
      <c r="AO248" s="9">
        <v>0.24855131252290599</v>
      </c>
      <c r="AP248" s="9">
        <v>865.66011202442803</v>
      </c>
      <c r="AQ248" s="9">
        <v>9.5127484837849305</v>
      </c>
      <c r="AR248" s="9">
        <v>5.4230352227355096</v>
      </c>
      <c r="AS248" s="73" t="s">
        <v>169</v>
      </c>
      <c r="AT248" s="8"/>
      <c r="AU248" s="10" t="s">
        <v>169</v>
      </c>
      <c r="AV248" s="10">
        <v>0</v>
      </c>
      <c r="AW248" s="8"/>
      <c r="AX248" s="74" t="s">
        <v>169</v>
      </c>
      <c r="AY248" s="74"/>
      <c r="AZ248" s="74"/>
      <c r="BA248" s="74"/>
      <c r="BB248" s="8"/>
      <c r="BC248" s="8"/>
      <c r="BD248" s="8"/>
      <c r="BE248" s="8"/>
      <c r="BF248" s="12">
        <v>0.44</v>
      </c>
      <c r="BG248" s="13">
        <v>298.18060754421464</v>
      </c>
      <c r="BH248" s="96" t="str">
        <f>+VLOOKUP(G248,Liste!$A$7:$G$50,3,FALSE)</f>
        <v>Pin sylvestre</v>
      </c>
      <c r="BI248" s="96" t="str">
        <f>+VLOOKUP(H248,Liste!$B$7:$G$50,5,FALSE)</f>
        <v>GS Pineraies des plaines du Centre et du Nord Ouest</v>
      </c>
      <c r="BJ248" s="135">
        <f t="shared" si="72"/>
        <v>91</v>
      </c>
      <c r="BK248" s="135" t="str">
        <f t="shared" si="74"/>
        <v>Pin sylvestre_F2_Eclaircie tardive_GS Pineraies des plaines du Centre et du Nord Ouest_91_</v>
      </c>
      <c r="BL248" s="322"/>
      <c r="BM248" s="13">
        <v>75.517984265482369</v>
      </c>
      <c r="BN248" s="13">
        <v>373.69859180969701</v>
      </c>
      <c r="BP248" s="13">
        <v>268.42</v>
      </c>
      <c r="BQ248" s="13">
        <v>5.0028943353056503</v>
      </c>
      <c r="BT248" s="298" t="str">
        <f>+VLOOKUP(G248,Liste!$A$7:$H$50,8,FALSE)</f>
        <v>Résineux</v>
      </c>
      <c r="BU248" s="298">
        <f t="shared" si="75"/>
        <v>0</v>
      </c>
      <c r="BV248" s="300">
        <f t="shared" si="76"/>
        <v>1</v>
      </c>
      <c r="BW248" s="321">
        <v>0</v>
      </c>
      <c r="BX248" s="298">
        <f t="shared" si="77"/>
        <v>0.43</v>
      </c>
      <c r="BY248">
        <f t="shared" si="78"/>
        <v>0</v>
      </c>
      <c r="BZ248" s="304">
        <f t="shared" si="79"/>
        <v>0</v>
      </c>
      <c r="CB248" s="299">
        <v>0.6</v>
      </c>
      <c r="CC248" s="299">
        <v>0.4</v>
      </c>
      <c r="CD248">
        <f t="shared" si="80"/>
        <v>0</v>
      </c>
      <c r="CE248">
        <f t="shared" si="81"/>
        <v>0</v>
      </c>
      <c r="CF248">
        <f t="shared" si="82"/>
        <v>0</v>
      </c>
      <c r="CG248">
        <f t="shared" si="83"/>
        <v>0</v>
      </c>
      <c r="CH248">
        <f t="shared" si="84"/>
        <v>0</v>
      </c>
      <c r="CI248">
        <f t="shared" si="85"/>
        <v>0</v>
      </c>
      <c r="CJ248">
        <f t="shared" si="86"/>
        <v>0</v>
      </c>
      <c r="CK248">
        <f t="shared" si="87"/>
        <v>0</v>
      </c>
      <c r="CL248">
        <f t="shared" si="88"/>
        <v>0</v>
      </c>
      <c r="CM248">
        <f t="shared" si="90"/>
        <v>0</v>
      </c>
      <c r="CN248">
        <f t="shared" si="89"/>
        <v>0</v>
      </c>
      <c r="CO248">
        <f t="shared" si="73"/>
        <v>0</v>
      </c>
    </row>
    <row r="249" spans="1:93" s="12" customFormat="1" ht="14.65" customHeight="1" x14ac:dyDescent="0.25">
      <c r="A249" s="4">
        <v>2021</v>
      </c>
      <c r="B249" s="4"/>
      <c r="C249" s="4" t="s">
        <v>64</v>
      </c>
      <c r="D249" s="4" t="s">
        <v>65</v>
      </c>
      <c r="E249" s="4"/>
      <c r="F249" s="4" t="s">
        <v>90</v>
      </c>
      <c r="G249" s="5" t="s">
        <v>15</v>
      </c>
      <c r="H249" s="5" t="s">
        <v>21</v>
      </c>
      <c r="I249" s="5" t="s">
        <v>147</v>
      </c>
      <c r="J249" s="5" t="s">
        <v>10</v>
      </c>
      <c r="K249" s="5">
        <v>23</v>
      </c>
      <c r="L249" s="5">
        <v>45</v>
      </c>
      <c r="M249" s="5">
        <v>2500</v>
      </c>
      <c r="N249" s="5" t="s">
        <v>170</v>
      </c>
      <c r="O249" s="6" t="s">
        <v>78</v>
      </c>
      <c r="P249" s="6" t="s">
        <v>80</v>
      </c>
      <c r="Q249" s="6">
        <v>2003</v>
      </c>
      <c r="R249" s="6" t="s">
        <v>50</v>
      </c>
      <c r="S249" s="6">
        <v>28</v>
      </c>
      <c r="T249" s="6">
        <v>13.5</v>
      </c>
      <c r="U249" s="6">
        <v>2157</v>
      </c>
      <c r="V249" s="6">
        <v>40.299999999999997</v>
      </c>
      <c r="W249" s="6">
        <v>0</v>
      </c>
      <c r="X249" s="6">
        <v>600</v>
      </c>
      <c r="Y249" s="6">
        <v>1043</v>
      </c>
      <c r="Z249" s="6">
        <v>457</v>
      </c>
      <c r="AA249" s="6">
        <v>57</v>
      </c>
      <c r="AB249" s="6">
        <v>0</v>
      </c>
      <c r="AC249" s="7">
        <v>92</v>
      </c>
      <c r="AD249" s="7" t="s">
        <v>52</v>
      </c>
      <c r="AE249" s="7">
        <v>30.61</v>
      </c>
      <c r="AF249" s="7">
        <v>260</v>
      </c>
      <c r="AG249" s="7">
        <v>26.64</v>
      </c>
      <c r="AH249" s="7">
        <v>36.119999999999997</v>
      </c>
      <c r="AI249" s="7">
        <v>40.6</v>
      </c>
      <c r="AJ249" s="9">
        <v>351.65023565731502</v>
      </c>
      <c r="AK249" s="9">
        <v>354.20303404656403</v>
      </c>
      <c r="AL249" s="9">
        <v>394.52343654185</v>
      </c>
      <c r="AM249" s="9">
        <v>76.353384295978003</v>
      </c>
      <c r="AN249" s="9">
        <v>0.82992809017367397</v>
      </c>
      <c r="AO249" s="9">
        <v>0.22903177269809299</v>
      </c>
      <c r="AP249" s="9">
        <v>871.08314724716399</v>
      </c>
      <c r="AQ249" s="9">
        <v>9.4682950787735205</v>
      </c>
      <c r="AR249" s="9">
        <v>4.7148933119619896</v>
      </c>
      <c r="AS249" s="73" t="s">
        <v>169</v>
      </c>
      <c r="AT249" s="8"/>
      <c r="AU249" s="10" t="s">
        <v>169</v>
      </c>
      <c r="AV249" s="10">
        <v>0</v>
      </c>
      <c r="AW249" s="8"/>
      <c r="AX249" s="74" t="s">
        <v>169</v>
      </c>
      <c r="AY249" s="74"/>
      <c r="AZ249" s="74"/>
      <c r="BA249" s="74"/>
      <c r="BB249" s="8"/>
      <c r="BC249" s="8"/>
      <c r="BD249" s="8"/>
      <c r="BE249" s="8"/>
      <c r="BF249" s="12">
        <v>0.44</v>
      </c>
      <c r="BG249" s="13">
        <v>302.33646020323755</v>
      </c>
      <c r="BH249" s="96" t="str">
        <f>+VLOOKUP(G249,Liste!$A$7:$G$50,3,FALSE)</f>
        <v>Pin sylvestre</v>
      </c>
      <c r="BI249" s="96" t="str">
        <f>+VLOOKUP(H249,Liste!$B$7:$G$50,5,FALSE)</f>
        <v>GS Pineraies des plaines du Centre et du Nord Ouest</v>
      </c>
      <c r="BJ249" s="135">
        <f t="shared" si="72"/>
        <v>92</v>
      </c>
      <c r="BK249" s="135" t="str">
        <f t="shared" si="74"/>
        <v>Pin sylvestre_F2_Eclaircie tardive_GS Pineraies des plaines du Centre et du Nord Ouest_92_</v>
      </c>
      <c r="BL249" s="322"/>
      <c r="BM249" s="13">
        <v>76.44724210814644</v>
      </c>
      <c r="BN249" s="13">
        <v>378.78370231138399</v>
      </c>
      <c r="BP249" s="13">
        <v>268.42</v>
      </c>
      <c r="BQ249" s="13">
        <v>4.3491157778037204</v>
      </c>
      <c r="BT249" s="298" t="str">
        <f>+VLOOKUP(G249,Liste!$A$7:$H$50,8,FALSE)</f>
        <v>Résineux</v>
      </c>
      <c r="BU249" s="298">
        <f t="shared" si="75"/>
        <v>0</v>
      </c>
      <c r="BV249" s="300">
        <f t="shared" si="76"/>
        <v>1</v>
      </c>
      <c r="BW249" s="321">
        <v>0</v>
      </c>
      <c r="BX249" s="298">
        <f t="shared" si="77"/>
        <v>0.43</v>
      </c>
      <c r="BY249">
        <f t="shared" si="78"/>
        <v>0</v>
      </c>
      <c r="BZ249" s="304">
        <f t="shared" si="79"/>
        <v>0</v>
      </c>
      <c r="CB249" s="299">
        <v>0.6</v>
      </c>
      <c r="CC249" s="299">
        <v>0.4</v>
      </c>
      <c r="CD249">
        <f t="shared" si="80"/>
        <v>0</v>
      </c>
      <c r="CE249">
        <f t="shared" si="81"/>
        <v>0</v>
      </c>
      <c r="CF249">
        <f t="shared" si="82"/>
        <v>0</v>
      </c>
      <c r="CG249">
        <f t="shared" si="83"/>
        <v>0</v>
      </c>
      <c r="CH249">
        <f t="shared" si="84"/>
        <v>0</v>
      </c>
      <c r="CI249">
        <f t="shared" si="85"/>
        <v>0</v>
      </c>
      <c r="CJ249">
        <f t="shared" si="86"/>
        <v>0</v>
      </c>
      <c r="CK249">
        <f t="shared" si="87"/>
        <v>0</v>
      </c>
      <c r="CL249">
        <f t="shared" si="88"/>
        <v>0</v>
      </c>
      <c r="CM249">
        <f t="shared" si="90"/>
        <v>0</v>
      </c>
      <c r="CN249">
        <f t="shared" si="89"/>
        <v>0</v>
      </c>
      <c r="CO249">
        <f t="shared" si="73"/>
        <v>0</v>
      </c>
    </row>
    <row r="250" spans="1:93" s="12" customFormat="1" ht="14.65" customHeight="1" x14ac:dyDescent="0.25">
      <c r="A250" s="4">
        <v>2021</v>
      </c>
      <c r="B250" s="4"/>
      <c r="C250" s="4" t="s">
        <v>64</v>
      </c>
      <c r="D250" s="4" t="s">
        <v>65</v>
      </c>
      <c r="E250" s="4"/>
      <c r="F250" s="4" t="s">
        <v>90</v>
      </c>
      <c r="G250" s="5" t="s">
        <v>15</v>
      </c>
      <c r="H250" s="5" t="s">
        <v>21</v>
      </c>
      <c r="I250" s="5" t="s">
        <v>147</v>
      </c>
      <c r="J250" s="5" t="s">
        <v>10</v>
      </c>
      <c r="K250" s="5">
        <v>23</v>
      </c>
      <c r="L250" s="5">
        <v>45</v>
      </c>
      <c r="M250" s="5">
        <v>2500</v>
      </c>
      <c r="N250" s="5" t="s">
        <v>170</v>
      </c>
      <c r="O250" s="6" t="s">
        <v>78</v>
      </c>
      <c r="P250" s="6" t="s">
        <v>80</v>
      </c>
      <c r="Q250" s="6">
        <v>2003</v>
      </c>
      <c r="R250" s="6" t="s">
        <v>50</v>
      </c>
      <c r="S250" s="6">
        <v>28</v>
      </c>
      <c r="T250" s="6">
        <v>13.5</v>
      </c>
      <c r="U250" s="6">
        <v>2157</v>
      </c>
      <c r="V250" s="6">
        <v>40.299999999999997</v>
      </c>
      <c r="W250" s="6">
        <v>0</v>
      </c>
      <c r="X250" s="6">
        <v>600</v>
      </c>
      <c r="Y250" s="6">
        <v>1043</v>
      </c>
      <c r="Z250" s="6">
        <v>457</v>
      </c>
      <c r="AA250" s="6">
        <v>57</v>
      </c>
      <c r="AB250" s="6">
        <v>0</v>
      </c>
      <c r="AC250" s="7">
        <v>92</v>
      </c>
      <c r="AD250" s="7" t="s">
        <v>53</v>
      </c>
      <c r="AE250" s="7">
        <v>30.61</v>
      </c>
      <c r="AF250" s="7">
        <v>225</v>
      </c>
      <c r="AG250" s="7">
        <v>23.98</v>
      </c>
      <c r="AH250" s="7">
        <v>36.840000000000003</v>
      </c>
      <c r="AI250" s="7">
        <v>40.6</v>
      </c>
      <c r="AJ250" s="9">
        <v>317.42860936815401</v>
      </c>
      <c r="AK250" s="9">
        <v>319.81034642186597</v>
      </c>
      <c r="AL250" s="9">
        <v>356.36382632161201</v>
      </c>
      <c r="AM250" s="9">
        <v>76.353384295978003</v>
      </c>
      <c r="AN250" s="9">
        <v>0.82992809017367397</v>
      </c>
      <c r="AO250" s="9">
        <v>0.22903177269809299</v>
      </c>
      <c r="AP250" s="9">
        <v>871.08314724716399</v>
      </c>
      <c r="AQ250" s="9">
        <v>9.4682950787735205</v>
      </c>
      <c r="AR250" s="9">
        <v>4.7148933119619896</v>
      </c>
      <c r="AS250" s="73">
        <v>35</v>
      </c>
      <c r="AT250" s="8">
        <v>2.66</v>
      </c>
      <c r="AU250" s="10">
        <v>31.107266900175009</v>
      </c>
      <c r="AV250" s="10">
        <v>34.221626289161009</v>
      </c>
      <c r="AW250" s="8">
        <v>0.74</v>
      </c>
      <c r="AX250" s="74">
        <v>0.97776075111888594</v>
      </c>
      <c r="AY250" s="74"/>
      <c r="AZ250" s="74"/>
      <c r="BA250" s="74"/>
      <c r="BB250" s="8"/>
      <c r="BC250" s="8"/>
      <c r="BD250" s="8"/>
      <c r="BE250" s="8"/>
      <c r="BF250" s="12">
        <v>0.44</v>
      </c>
      <c r="BG250" s="13">
        <v>273.09347890446162</v>
      </c>
      <c r="BH250" s="96" t="str">
        <f>+VLOOKUP(G250,Liste!$A$7:$G$50,3,FALSE)</f>
        <v>Pin sylvestre</v>
      </c>
      <c r="BI250" s="96" t="str">
        <f>+VLOOKUP(H250,Liste!$B$7:$G$50,5,FALSE)</f>
        <v>GS Pineraies des plaines du Centre et du Nord Ouest</v>
      </c>
      <c r="BJ250" s="135">
        <f t="shared" si="72"/>
        <v>92</v>
      </c>
      <c r="BK250" s="135" t="str">
        <f t="shared" si="74"/>
        <v>Pin sylvestre_F2_Eclaircie tardive_GS Pineraies des plaines du Centre et du Nord Ouest_92_</v>
      </c>
      <c r="BL250" s="322"/>
      <c r="BM250" s="13">
        <v>69.875525438294403</v>
      </c>
      <c r="BN250" s="13">
        <v>342.96900434275602</v>
      </c>
      <c r="BO250" s="13">
        <v>35.814697968627968</v>
      </c>
      <c r="BP250" s="13">
        <v>268.42</v>
      </c>
      <c r="BQ250" s="13">
        <v>4.3491157778037204</v>
      </c>
      <c r="BT250" s="298" t="str">
        <f>+VLOOKUP(G250,Liste!$A$7:$H$50,8,FALSE)</f>
        <v>Résineux</v>
      </c>
      <c r="BU250" s="298">
        <f t="shared" si="75"/>
        <v>0</v>
      </c>
      <c r="BV250" s="300">
        <f t="shared" si="76"/>
        <v>1</v>
      </c>
      <c r="BW250" s="321">
        <v>0</v>
      </c>
      <c r="BX250" s="298">
        <f t="shared" si="77"/>
        <v>0.43</v>
      </c>
      <c r="BY250">
        <f t="shared" si="78"/>
        <v>0</v>
      </c>
      <c r="BZ250" s="304">
        <f t="shared" si="79"/>
        <v>0</v>
      </c>
      <c r="CB250" s="299">
        <v>0.6</v>
      </c>
      <c r="CC250" s="299">
        <v>0.4</v>
      </c>
      <c r="CD250">
        <f t="shared" si="80"/>
        <v>0</v>
      </c>
      <c r="CE250">
        <f t="shared" si="81"/>
        <v>0</v>
      </c>
      <c r="CF250">
        <f t="shared" si="82"/>
        <v>0</v>
      </c>
      <c r="CG250">
        <f t="shared" si="83"/>
        <v>0</v>
      </c>
      <c r="CH250">
        <f t="shared" si="84"/>
        <v>0</v>
      </c>
      <c r="CI250">
        <f t="shared" si="85"/>
        <v>0</v>
      </c>
      <c r="CJ250">
        <f t="shared" si="86"/>
        <v>0</v>
      </c>
      <c r="CK250">
        <f t="shared" si="87"/>
        <v>0</v>
      </c>
      <c r="CL250">
        <f t="shared" si="88"/>
        <v>0</v>
      </c>
      <c r="CM250">
        <f t="shared" si="90"/>
        <v>0</v>
      </c>
      <c r="CN250">
        <f t="shared" si="89"/>
        <v>0</v>
      </c>
      <c r="CO250">
        <f t="shared" si="73"/>
        <v>0</v>
      </c>
    </row>
    <row r="251" spans="1:93" s="12" customFormat="1" ht="14.65" customHeight="1" x14ac:dyDescent="0.25">
      <c r="A251" s="4">
        <v>2021</v>
      </c>
      <c r="B251" s="4"/>
      <c r="C251" s="4" t="s">
        <v>64</v>
      </c>
      <c r="D251" s="4" t="s">
        <v>65</v>
      </c>
      <c r="E251" s="4"/>
      <c r="F251" s="4" t="s">
        <v>90</v>
      </c>
      <c r="G251" s="5" t="s">
        <v>15</v>
      </c>
      <c r="H251" s="5" t="s">
        <v>21</v>
      </c>
      <c r="I251" s="5" t="s">
        <v>147</v>
      </c>
      <c r="J251" s="5" t="s">
        <v>10</v>
      </c>
      <c r="K251" s="5">
        <v>23</v>
      </c>
      <c r="L251" s="5">
        <v>45</v>
      </c>
      <c r="M251" s="5">
        <v>2500</v>
      </c>
      <c r="N251" s="5" t="s">
        <v>170</v>
      </c>
      <c r="O251" s="6" t="s">
        <v>78</v>
      </c>
      <c r="P251" s="6" t="s">
        <v>80</v>
      </c>
      <c r="Q251" s="6">
        <v>2003</v>
      </c>
      <c r="R251" s="6" t="s">
        <v>50</v>
      </c>
      <c r="S251" s="6">
        <v>28</v>
      </c>
      <c r="T251" s="6">
        <v>13.5</v>
      </c>
      <c r="U251" s="6">
        <v>2157</v>
      </c>
      <c r="V251" s="6">
        <v>40.299999999999997</v>
      </c>
      <c r="W251" s="6">
        <v>0</v>
      </c>
      <c r="X251" s="6">
        <v>600</v>
      </c>
      <c r="Y251" s="6">
        <v>1043</v>
      </c>
      <c r="Z251" s="6">
        <v>457</v>
      </c>
      <c r="AA251" s="6">
        <v>57</v>
      </c>
      <c r="AB251" s="6">
        <v>0</v>
      </c>
      <c r="AC251" s="7">
        <v>93</v>
      </c>
      <c r="AD251" s="7" t="s">
        <v>52</v>
      </c>
      <c r="AE251" s="7">
        <v>30.76</v>
      </c>
      <c r="AF251" s="7">
        <v>225</v>
      </c>
      <c r="AG251" s="7">
        <v>24.21</v>
      </c>
      <c r="AH251" s="7">
        <v>37.01</v>
      </c>
      <c r="AI251" s="7">
        <v>40.81</v>
      </c>
      <c r="AJ251" s="9">
        <v>321.77380622517597</v>
      </c>
      <c r="AK251" s="9">
        <v>324.18848348512302</v>
      </c>
      <c r="AL251" s="9">
        <v>361.078719633574</v>
      </c>
      <c r="AM251" s="9">
        <v>76.582416068676096</v>
      </c>
      <c r="AN251" s="9">
        <v>0.82346683944813004</v>
      </c>
      <c r="AO251" s="9">
        <v>0.22679305806518399</v>
      </c>
      <c r="AP251" s="9">
        <v>875.79804055912598</v>
      </c>
      <c r="AQ251" s="9">
        <v>9.4171832318185604</v>
      </c>
      <c r="AR251" s="9">
        <v>4.8416181607867701</v>
      </c>
      <c r="AS251" s="73" t="s">
        <v>169</v>
      </c>
      <c r="AT251" s="8"/>
      <c r="AU251" s="10" t="s">
        <v>169</v>
      </c>
      <c r="AV251" s="10">
        <v>0</v>
      </c>
      <c r="AW251" s="8"/>
      <c r="AX251" s="74" t="s">
        <v>169</v>
      </c>
      <c r="AY251" s="74"/>
      <c r="AZ251" s="74"/>
      <c r="BA251" s="74"/>
      <c r="BB251" s="8"/>
      <c r="BC251" s="8"/>
      <c r="BD251" s="8"/>
      <c r="BE251" s="8"/>
      <c r="BF251" s="12">
        <v>0.44</v>
      </c>
      <c r="BG251" s="13">
        <v>276.70665881252864</v>
      </c>
      <c r="BH251" s="96" t="str">
        <f>+VLOOKUP(G251,Liste!$A$7:$G$50,3,FALSE)</f>
        <v>Pin sylvestre</v>
      </c>
      <c r="BI251" s="96" t="str">
        <f>+VLOOKUP(H251,Liste!$B$7:$G$50,5,FALSE)</f>
        <v>GS Pineraies des plaines du Centre et du Nord Ouest</v>
      </c>
      <c r="BJ251" s="135">
        <f t="shared" si="72"/>
        <v>93</v>
      </c>
      <c r="BK251" s="135" t="str">
        <f t="shared" si="74"/>
        <v>Pin sylvestre_F2_Eclaircie tardive_GS Pineraies des plaines du Centre et du Nord Ouest_93_</v>
      </c>
      <c r="BL251" s="322"/>
      <c r="BM251" s="13">
        <v>70.69178098068636</v>
      </c>
      <c r="BN251" s="13">
        <v>347.398439793215</v>
      </c>
      <c r="BP251" s="13">
        <v>268.42</v>
      </c>
      <c r="BQ251" s="13">
        <v>4.4655296619829397</v>
      </c>
      <c r="BT251" s="298" t="str">
        <f>+VLOOKUP(G251,Liste!$A$7:$H$50,8,FALSE)</f>
        <v>Résineux</v>
      </c>
      <c r="BU251" s="298">
        <f t="shared" si="75"/>
        <v>0</v>
      </c>
      <c r="BV251" s="300">
        <f t="shared" si="76"/>
        <v>1</v>
      </c>
      <c r="BW251" s="321">
        <v>0</v>
      </c>
      <c r="BX251" s="298">
        <f t="shared" si="77"/>
        <v>0.43</v>
      </c>
      <c r="BY251">
        <f t="shared" si="78"/>
        <v>0</v>
      </c>
      <c r="BZ251" s="304">
        <f t="shared" si="79"/>
        <v>0</v>
      </c>
      <c r="CB251" s="299">
        <v>0.6</v>
      </c>
      <c r="CC251" s="299">
        <v>0.4</v>
      </c>
      <c r="CD251">
        <f t="shared" si="80"/>
        <v>0</v>
      </c>
      <c r="CE251">
        <f t="shared" si="81"/>
        <v>0</v>
      </c>
      <c r="CF251">
        <f t="shared" si="82"/>
        <v>0</v>
      </c>
      <c r="CG251">
        <f t="shared" si="83"/>
        <v>0</v>
      </c>
      <c r="CH251">
        <f t="shared" si="84"/>
        <v>0</v>
      </c>
      <c r="CI251">
        <f t="shared" si="85"/>
        <v>0</v>
      </c>
      <c r="CJ251">
        <f t="shared" si="86"/>
        <v>0</v>
      </c>
      <c r="CK251">
        <f t="shared" si="87"/>
        <v>0</v>
      </c>
      <c r="CL251">
        <f t="shared" si="88"/>
        <v>0</v>
      </c>
      <c r="CM251">
        <f t="shared" si="90"/>
        <v>0</v>
      </c>
      <c r="CN251">
        <f t="shared" si="89"/>
        <v>0</v>
      </c>
      <c r="CO251">
        <f t="shared" si="73"/>
        <v>0</v>
      </c>
    </row>
    <row r="252" spans="1:93" s="12" customFormat="1" ht="14.65" customHeight="1" x14ac:dyDescent="0.25">
      <c r="A252" s="4">
        <v>2021</v>
      </c>
      <c r="B252" s="4"/>
      <c r="C252" s="4" t="s">
        <v>64</v>
      </c>
      <c r="D252" s="4" t="s">
        <v>65</v>
      </c>
      <c r="E252" s="4"/>
      <c r="F252" s="4" t="s">
        <v>90</v>
      </c>
      <c r="G252" s="5" t="s">
        <v>15</v>
      </c>
      <c r="H252" s="5" t="s">
        <v>21</v>
      </c>
      <c r="I252" s="5" t="s">
        <v>147</v>
      </c>
      <c r="J252" s="5" t="s">
        <v>10</v>
      </c>
      <c r="K252" s="5">
        <v>23</v>
      </c>
      <c r="L252" s="5">
        <v>45</v>
      </c>
      <c r="M252" s="5">
        <v>2500</v>
      </c>
      <c r="N252" s="5" t="s">
        <v>170</v>
      </c>
      <c r="O252" s="6" t="s">
        <v>78</v>
      </c>
      <c r="P252" s="6" t="s">
        <v>80</v>
      </c>
      <c r="Q252" s="6">
        <v>2003</v>
      </c>
      <c r="R252" s="6" t="s">
        <v>50</v>
      </c>
      <c r="S252" s="6">
        <v>28</v>
      </c>
      <c r="T252" s="6">
        <v>13.5</v>
      </c>
      <c r="U252" s="6">
        <v>2157</v>
      </c>
      <c r="V252" s="6">
        <v>40.299999999999997</v>
      </c>
      <c r="W252" s="6">
        <v>0</v>
      </c>
      <c r="X252" s="6">
        <v>600</v>
      </c>
      <c r="Y252" s="6">
        <v>1043</v>
      </c>
      <c r="Z252" s="6">
        <v>457</v>
      </c>
      <c r="AA252" s="6">
        <v>57</v>
      </c>
      <c r="AB252" s="6">
        <v>0</v>
      </c>
      <c r="AC252" s="7">
        <v>94</v>
      </c>
      <c r="AD252" s="7" t="s">
        <v>52</v>
      </c>
      <c r="AE252" s="7">
        <v>30.91</v>
      </c>
      <c r="AF252" s="7">
        <v>225</v>
      </c>
      <c r="AG252" s="7">
        <v>24.44</v>
      </c>
      <c r="AH252" s="7">
        <v>37.19</v>
      </c>
      <c r="AI252" s="7">
        <v>41</v>
      </c>
      <c r="AJ252" s="9">
        <v>326.26364070516701</v>
      </c>
      <c r="AK252" s="9">
        <v>328.70945168113502</v>
      </c>
      <c r="AL252" s="9">
        <v>365.92033779436002</v>
      </c>
      <c r="AM252" s="9">
        <v>76.809209126741294</v>
      </c>
      <c r="AN252" s="9">
        <v>0.81711924602916297</v>
      </c>
      <c r="AO252" s="9">
        <v>0.22410087024067599</v>
      </c>
      <c r="AP252" s="9">
        <v>880.63965871991195</v>
      </c>
      <c r="AQ252" s="9">
        <v>9.3685070076586392</v>
      </c>
      <c r="AR252" s="9">
        <v>4.8681110325594501</v>
      </c>
      <c r="AS252" s="73" t="s">
        <v>169</v>
      </c>
      <c r="AT252" s="8"/>
      <c r="AU252" s="10" t="s">
        <v>169</v>
      </c>
      <c r="AV252" s="10">
        <v>0</v>
      </c>
      <c r="AW252" s="8"/>
      <c r="AX252" s="74" t="s">
        <v>169</v>
      </c>
      <c r="AY252" s="74"/>
      <c r="AZ252" s="74"/>
      <c r="BA252" s="74"/>
      <c r="BB252" s="8"/>
      <c r="BC252" s="8"/>
      <c r="BD252" s="8"/>
      <c r="BE252" s="8"/>
      <c r="BF252" s="12">
        <v>0.44</v>
      </c>
      <c r="BG252" s="13">
        <v>280.41695219641144</v>
      </c>
      <c r="BH252" s="96" t="str">
        <f>+VLOOKUP(G252,Liste!$A$7:$G$50,3,FALSE)</f>
        <v>Pin sylvestre</v>
      </c>
      <c r="BI252" s="96" t="str">
        <f>+VLOOKUP(H252,Liste!$B$7:$G$50,5,FALSE)</f>
        <v>GS Pineraies des plaines du Centre et du Nord Ouest</v>
      </c>
      <c r="BJ252" s="135">
        <f t="shared" si="72"/>
        <v>94</v>
      </c>
      <c r="BK252" s="135" t="str">
        <f t="shared" si="74"/>
        <v>Pin sylvestre_F2_Eclaircie tardive_GS Pineraies des plaines du Centre et du Nord Ouest_94_</v>
      </c>
      <c r="BL252" s="322"/>
      <c r="BM252" s="13">
        <v>71.528685477210558</v>
      </c>
      <c r="BN252" s="13">
        <v>351.945637673622</v>
      </c>
      <c r="BP252" s="13">
        <v>268.42</v>
      </c>
      <c r="BQ252" s="13">
        <v>4.4894774853692097</v>
      </c>
      <c r="BT252" s="298" t="str">
        <f>+VLOOKUP(G252,Liste!$A$7:$H$50,8,FALSE)</f>
        <v>Résineux</v>
      </c>
      <c r="BU252" s="298">
        <f t="shared" si="75"/>
        <v>0</v>
      </c>
      <c r="BV252" s="300">
        <f t="shared" si="76"/>
        <v>1</v>
      </c>
      <c r="BW252" s="321">
        <v>0</v>
      </c>
      <c r="BX252" s="298">
        <f t="shared" si="77"/>
        <v>0.43</v>
      </c>
      <c r="BY252">
        <f t="shared" si="78"/>
        <v>0</v>
      </c>
      <c r="BZ252" s="304">
        <f t="shared" si="79"/>
        <v>0</v>
      </c>
      <c r="CB252" s="299">
        <v>0.6</v>
      </c>
      <c r="CC252" s="299">
        <v>0.4</v>
      </c>
      <c r="CD252">
        <f t="shared" si="80"/>
        <v>0</v>
      </c>
      <c r="CE252">
        <f t="shared" si="81"/>
        <v>0</v>
      </c>
      <c r="CF252">
        <f t="shared" si="82"/>
        <v>0</v>
      </c>
      <c r="CG252">
        <f t="shared" si="83"/>
        <v>0</v>
      </c>
      <c r="CH252">
        <f t="shared" si="84"/>
        <v>0</v>
      </c>
      <c r="CI252">
        <f t="shared" si="85"/>
        <v>0</v>
      </c>
      <c r="CJ252">
        <f t="shared" si="86"/>
        <v>0</v>
      </c>
      <c r="CK252">
        <f t="shared" si="87"/>
        <v>0</v>
      </c>
      <c r="CL252">
        <f t="shared" si="88"/>
        <v>0</v>
      </c>
      <c r="CM252">
        <f t="shared" si="90"/>
        <v>0</v>
      </c>
      <c r="CN252">
        <f t="shared" si="89"/>
        <v>0</v>
      </c>
      <c r="CO252">
        <f t="shared" si="73"/>
        <v>0</v>
      </c>
    </row>
    <row r="253" spans="1:93" s="12" customFormat="1" ht="14.65" customHeight="1" x14ac:dyDescent="0.25">
      <c r="A253" s="4">
        <v>2021</v>
      </c>
      <c r="B253" s="4"/>
      <c r="C253" s="4" t="s">
        <v>64</v>
      </c>
      <c r="D253" s="4" t="s">
        <v>65</v>
      </c>
      <c r="E253" s="4"/>
      <c r="F253" s="4" t="s">
        <v>90</v>
      </c>
      <c r="G253" s="5" t="s">
        <v>15</v>
      </c>
      <c r="H253" s="5" t="s">
        <v>21</v>
      </c>
      <c r="I253" s="5" t="s">
        <v>147</v>
      </c>
      <c r="J253" s="5" t="s">
        <v>10</v>
      </c>
      <c r="K253" s="5">
        <v>23</v>
      </c>
      <c r="L253" s="5">
        <v>45</v>
      </c>
      <c r="M253" s="5">
        <v>2500</v>
      </c>
      <c r="N253" s="5" t="s">
        <v>170</v>
      </c>
      <c r="O253" s="6" t="s">
        <v>78</v>
      </c>
      <c r="P253" s="6" t="s">
        <v>80</v>
      </c>
      <c r="Q253" s="6">
        <v>2003</v>
      </c>
      <c r="R253" s="6" t="s">
        <v>50</v>
      </c>
      <c r="S253" s="6">
        <v>28</v>
      </c>
      <c r="T253" s="6">
        <v>13.5</v>
      </c>
      <c r="U253" s="6">
        <v>2157</v>
      </c>
      <c r="V253" s="6">
        <v>40.299999999999997</v>
      </c>
      <c r="W253" s="6">
        <v>0</v>
      </c>
      <c r="X253" s="6">
        <v>600</v>
      </c>
      <c r="Y253" s="6">
        <v>1043</v>
      </c>
      <c r="Z253" s="6">
        <v>457</v>
      </c>
      <c r="AA253" s="6">
        <v>57</v>
      </c>
      <c r="AB253" s="6">
        <v>0</v>
      </c>
      <c r="AC253" s="7">
        <v>95</v>
      </c>
      <c r="AD253" s="7" t="s">
        <v>52</v>
      </c>
      <c r="AE253" s="7">
        <v>31.06</v>
      </c>
      <c r="AF253" s="7">
        <v>225</v>
      </c>
      <c r="AG253" s="7">
        <v>24.66</v>
      </c>
      <c r="AH253" s="7">
        <v>37.36</v>
      </c>
      <c r="AI253" s="7">
        <v>41.2</v>
      </c>
      <c r="AJ253" s="9">
        <v>330.79089841513002</v>
      </c>
      <c r="AK253" s="9">
        <v>333.26666648979898</v>
      </c>
      <c r="AL253" s="9">
        <v>370.78844882691999</v>
      </c>
      <c r="AM253" s="9">
        <v>77.033309996981998</v>
      </c>
      <c r="AN253" s="9">
        <v>0.81087694733665205</v>
      </c>
      <c r="AO253" s="9">
        <v>0.221236138293676</v>
      </c>
      <c r="AP253" s="9">
        <v>885.50776975247197</v>
      </c>
      <c r="AQ253" s="9">
        <v>9.3211344184470697</v>
      </c>
      <c r="AR253" s="9">
        <v>4.7879934219092801</v>
      </c>
      <c r="AS253" s="73" t="s">
        <v>169</v>
      </c>
      <c r="AT253" s="8"/>
      <c r="AU253" s="10" t="s">
        <v>169</v>
      </c>
      <c r="AV253" s="10">
        <v>0</v>
      </c>
      <c r="AW253" s="8"/>
      <c r="AX253" s="74" t="s">
        <v>169</v>
      </c>
      <c r="AY253" s="74"/>
      <c r="AZ253" s="74"/>
      <c r="BA253" s="74"/>
      <c r="BB253" s="8"/>
      <c r="BC253" s="8"/>
      <c r="BD253" s="8"/>
      <c r="BE253" s="8"/>
      <c r="BF253" s="12">
        <v>0.44</v>
      </c>
      <c r="BG253" s="13">
        <v>284.14754795102971</v>
      </c>
      <c r="BH253" s="96" t="str">
        <f>+VLOOKUP(G253,Liste!$A$7:$G$50,3,FALSE)</f>
        <v>Pin sylvestre</v>
      </c>
      <c r="BI253" s="96" t="str">
        <f>+VLOOKUP(H253,Liste!$B$7:$G$50,5,FALSE)</f>
        <v>GS Pineraies des plaines du Centre et du Nord Ouest</v>
      </c>
      <c r="BJ253" s="135">
        <f t="shared" si="72"/>
        <v>95</v>
      </c>
      <c r="BK253" s="135" t="str">
        <f t="shared" si="74"/>
        <v>Pin sylvestre_F2_Eclaircie tardive_GS Pineraies des plaines du Centre et du Nord Ouest_95_</v>
      </c>
      <c r="BL253" s="322"/>
      <c r="BM253" s="13">
        <v>72.36887089080227</v>
      </c>
      <c r="BN253" s="13">
        <v>356.51641884183198</v>
      </c>
      <c r="BP253" s="13">
        <v>268.42</v>
      </c>
      <c r="BQ253" s="13">
        <v>4.4151177257853096</v>
      </c>
      <c r="BT253" s="298" t="str">
        <f>+VLOOKUP(G253,Liste!$A$7:$H$50,8,FALSE)</f>
        <v>Résineux</v>
      </c>
      <c r="BU253" s="298">
        <f t="shared" si="75"/>
        <v>0</v>
      </c>
      <c r="BV253" s="300">
        <f t="shared" si="76"/>
        <v>1</v>
      </c>
      <c r="BW253" s="321">
        <v>0</v>
      </c>
      <c r="BX253" s="298">
        <f t="shared" si="77"/>
        <v>0.43</v>
      </c>
      <c r="BY253">
        <f t="shared" si="78"/>
        <v>0</v>
      </c>
      <c r="BZ253" s="304">
        <f t="shared" si="79"/>
        <v>0</v>
      </c>
      <c r="CB253" s="299">
        <v>0.6</v>
      </c>
      <c r="CC253" s="299">
        <v>0.4</v>
      </c>
      <c r="CD253">
        <f t="shared" si="80"/>
        <v>0</v>
      </c>
      <c r="CE253">
        <f t="shared" si="81"/>
        <v>0</v>
      </c>
      <c r="CF253">
        <f t="shared" si="82"/>
        <v>0</v>
      </c>
      <c r="CG253">
        <f t="shared" si="83"/>
        <v>0</v>
      </c>
      <c r="CH253">
        <f t="shared" si="84"/>
        <v>0</v>
      </c>
      <c r="CI253">
        <f t="shared" si="85"/>
        <v>0</v>
      </c>
      <c r="CJ253">
        <f t="shared" si="86"/>
        <v>0</v>
      </c>
      <c r="CK253">
        <f t="shared" si="87"/>
        <v>0</v>
      </c>
      <c r="CL253">
        <f t="shared" si="88"/>
        <v>0</v>
      </c>
      <c r="CM253">
        <f t="shared" si="90"/>
        <v>0</v>
      </c>
      <c r="CN253">
        <f t="shared" si="89"/>
        <v>0</v>
      </c>
      <c r="CO253">
        <f t="shared" si="73"/>
        <v>0</v>
      </c>
    </row>
    <row r="254" spans="1:93" s="12" customFormat="1" ht="14.65" customHeight="1" x14ac:dyDescent="0.25">
      <c r="A254" s="4">
        <v>2021</v>
      </c>
      <c r="B254" s="4"/>
      <c r="C254" s="4" t="s">
        <v>64</v>
      </c>
      <c r="D254" s="4" t="s">
        <v>65</v>
      </c>
      <c r="E254" s="4"/>
      <c r="F254" s="4" t="s">
        <v>90</v>
      </c>
      <c r="G254" s="5" t="s">
        <v>15</v>
      </c>
      <c r="H254" s="5" t="s">
        <v>21</v>
      </c>
      <c r="I254" s="5" t="s">
        <v>147</v>
      </c>
      <c r="J254" s="5" t="s">
        <v>10</v>
      </c>
      <c r="K254" s="5">
        <v>23</v>
      </c>
      <c r="L254" s="5">
        <v>45</v>
      </c>
      <c r="M254" s="5">
        <v>2500</v>
      </c>
      <c r="N254" s="5" t="s">
        <v>170</v>
      </c>
      <c r="O254" s="6" t="s">
        <v>78</v>
      </c>
      <c r="P254" s="6" t="s">
        <v>80</v>
      </c>
      <c r="Q254" s="6">
        <v>2003</v>
      </c>
      <c r="R254" s="6" t="s">
        <v>50</v>
      </c>
      <c r="S254" s="6">
        <v>28</v>
      </c>
      <c r="T254" s="6">
        <v>13.5</v>
      </c>
      <c r="U254" s="6">
        <v>2157</v>
      </c>
      <c r="V254" s="6">
        <v>40.299999999999997</v>
      </c>
      <c r="W254" s="6">
        <v>0</v>
      </c>
      <c r="X254" s="6">
        <v>600</v>
      </c>
      <c r="Y254" s="6">
        <v>1043</v>
      </c>
      <c r="Z254" s="6">
        <v>457</v>
      </c>
      <c r="AA254" s="6">
        <v>57</v>
      </c>
      <c r="AB254" s="6">
        <v>0</v>
      </c>
      <c r="AC254" s="7">
        <v>96</v>
      </c>
      <c r="AD254" s="7" t="s">
        <v>52</v>
      </c>
      <c r="AE254" s="7">
        <v>31.2</v>
      </c>
      <c r="AF254" s="7">
        <v>225</v>
      </c>
      <c r="AG254" s="7">
        <v>24.88</v>
      </c>
      <c r="AH254" s="7">
        <v>37.520000000000003</v>
      </c>
      <c r="AI254" s="7">
        <v>41.39</v>
      </c>
      <c r="AJ254" s="9">
        <v>335.23933961756097</v>
      </c>
      <c r="AK254" s="9">
        <v>337.74512509048998</v>
      </c>
      <c r="AL254" s="9">
        <v>375.57644224882898</v>
      </c>
      <c r="AM254" s="9">
        <v>77.254546135275703</v>
      </c>
      <c r="AN254" s="9">
        <v>0.80473485557578806</v>
      </c>
      <c r="AO254" s="9">
        <v>0.219792513637486</v>
      </c>
      <c r="AP254" s="9">
        <v>890.29576317438102</v>
      </c>
      <c r="AQ254" s="9">
        <v>9.2739141997331398</v>
      </c>
      <c r="AR254" s="9">
        <v>4.7420477202087996</v>
      </c>
      <c r="AS254" s="73" t="s">
        <v>169</v>
      </c>
      <c r="AT254" s="8"/>
      <c r="AU254" s="10" t="s">
        <v>169</v>
      </c>
      <c r="AV254" s="10">
        <v>0</v>
      </c>
      <c r="AW254" s="8"/>
      <c r="AX254" s="74" t="s">
        <v>169</v>
      </c>
      <c r="AY254" s="74"/>
      <c r="AZ254" s="74"/>
      <c r="BA254" s="74"/>
      <c r="BB254" s="8"/>
      <c r="BC254" s="8"/>
      <c r="BD254" s="8"/>
      <c r="BE254" s="8"/>
      <c r="BF254" s="12">
        <v>0.44</v>
      </c>
      <c r="BG254" s="13">
        <v>287.81674691001939</v>
      </c>
      <c r="BH254" s="96" t="str">
        <f>+VLOOKUP(G254,Liste!$A$7:$G$50,3,FALSE)</f>
        <v>Pin sylvestre</v>
      </c>
      <c r="BI254" s="96" t="str">
        <f>+VLOOKUP(H254,Liste!$B$7:$G$50,5,FALSE)</f>
        <v>GS Pineraies des plaines du Centre et du Nord Ouest</v>
      </c>
      <c r="BJ254" s="135">
        <f t="shared" si="72"/>
        <v>96</v>
      </c>
      <c r="BK254" s="135" t="str">
        <f t="shared" si="74"/>
        <v>Pin sylvestre_F2_Eclaircie tardive_GS Pineraies des plaines du Centre et du Nord Ouest_96_</v>
      </c>
      <c r="BL254" s="322"/>
      <c r="BM254" s="13">
        <v>73.193977186402606</v>
      </c>
      <c r="BN254" s="13">
        <v>361.010724096422</v>
      </c>
      <c r="BP254" s="13">
        <v>268.42</v>
      </c>
      <c r="BQ254" s="13">
        <v>4.3722900380496403</v>
      </c>
      <c r="BT254" s="298" t="str">
        <f>+VLOOKUP(G254,Liste!$A$7:$H$50,8,FALSE)</f>
        <v>Résineux</v>
      </c>
      <c r="BU254" s="298">
        <f t="shared" si="75"/>
        <v>0</v>
      </c>
      <c r="BV254" s="300">
        <f t="shared" si="76"/>
        <v>1</v>
      </c>
      <c r="BW254" s="321">
        <v>0</v>
      </c>
      <c r="BX254" s="298">
        <f t="shared" si="77"/>
        <v>0.43</v>
      </c>
      <c r="BY254">
        <f t="shared" si="78"/>
        <v>0</v>
      </c>
      <c r="BZ254" s="304">
        <f t="shared" si="79"/>
        <v>0</v>
      </c>
      <c r="CB254" s="299">
        <v>0.6</v>
      </c>
      <c r="CC254" s="299">
        <v>0.4</v>
      </c>
      <c r="CD254">
        <f t="shared" si="80"/>
        <v>0</v>
      </c>
      <c r="CE254">
        <f t="shared" si="81"/>
        <v>0</v>
      </c>
      <c r="CF254">
        <f t="shared" si="82"/>
        <v>0</v>
      </c>
      <c r="CG254">
        <f t="shared" si="83"/>
        <v>0</v>
      </c>
      <c r="CH254">
        <f t="shared" si="84"/>
        <v>0</v>
      </c>
      <c r="CI254">
        <f t="shared" si="85"/>
        <v>0</v>
      </c>
      <c r="CJ254">
        <f t="shared" si="86"/>
        <v>0</v>
      </c>
      <c r="CK254">
        <f t="shared" si="87"/>
        <v>0</v>
      </c>
      <c r="CL254">
        <f t="shared" si="88"/>
        <v>0</v>
      </c>
      <c r="CM254">
        <f t="shared" si="90"/>
        <v>0</v>
      </c>
      <c r="CN254">
        <f t="shared" si="89"/>
        <v>0</v>
      </c>
      <c r="CO254">
        <f t="shared" si="73"/>
        <v>0</v>
      </c>
    </row>
    <row r="255" spans="1:93" s="12" customFormat="1" ht="14.65" customHeight="1" x14ac:dyDescent="0.25">
      <c r="A255" s="4">
        <v>2021</v>
      </c>
      <c r="B255" s="4"/>
      <c r="C255" s="4" t="s">
        <v>64</v>
      </c>
      <c r="D255" s="4" t="s">
        <v>65</v>
      </c>
      <c r="E255" s="4"/>
      <c r="F255" s="4" t="s">
        <v>90</v>
      </c>
      <c r="G255" s="5" t="s">
        <v>15</v>
      </c>
      <c r="H255" s="5" t="s">
        <v>21</v>
      </c>
      <c r="I255" s="5" t="s">
        <v>147</v>
      </c>
      <c r="J255" s="5" t="s">
        <v>10</v>
      </c>
      <c r="K255" s="5">
        <v>23</v>
      </c>
      <c r="L255" s="5">
        <v>45</v>
      </c>
      <c r="M255" s="5">
        <v>2500</v>
      </c>
      <c r="N255" s="5" t="s">
        <v>170</v>
      </c>
      <c r="O255" s="6" t="s">
        <v>78</v>
      </c>
      <c r="P255" s="6" t="s">
        <v>80</v>
      </c>
      <c r="Q255" s="6">
        <v>2003</v>
      </c>
      <c r="R255" s="6" t="s">
        <v>50</v>
      </c>
      <c r="S255" s="6">
        <v>28</v>
      </c>
      <c r="T255" s="6">
        <v>13.5</v>
      </c>
      <c r="U255" s="6">
        <v>2157</v>
      </c>
      <c r="V255" s="6">
        <v>40.299999999999997</v>
      </c>
      <c r="W255" s="6">
        <v>0</v>
      </c>
      <c r="X255" s="6">
        <v>600</v>
      </c>
      <c r="Y255" s="6">
        <v>1043</v>
      </c>
      <c r="Z255" s="6">
        <v>457</v>
      </c>
      <c r="AA255" s="6">
        <v>57</v>
      </c>
      <c r="AB255" s="6">
        <v>0</v>
      </c>
      <c r="AC255" s="7">
        <v>97</v>
      </c>
      <c r="AD255" s="7" t="s">
        <v>52</v>
      </c>
      <c r="AE255" s="7">
        <v>31.34</v>
      </c>
      <c r="AF255" s="7">
        <v>225</v>
      </c>
      <c r="AG255" s="7">
        <v>25.1</v>
      </c>
      <c r="AH255" s="7">
        <v>37.69</v>
      </c>
      <c r="AI255" s="7">
        <v>41.58</v>
      </c>
      <c r="AJ255" s="9">
        <v>339.64073415175397</v>
      </c>
      <c r="AK255" s="9">
        <v>342.17695366553698</v>
      </c>
      <c r="AL255" s="9">
        <v>380.31848996903801</v>
      </c>
      <c r="AM255" s="9">
        <v>77.474338648913104</v>
      </c>
      <c r="AN255" s="9">
        <v>0.79870452215374399</v>
      </c>
      <c r="AO255" s="9">
        <v>0.21732035510848399</v>
      </c>
      <c r="AP255" s="9">
        <v>895.03781089459005</v>
      </c>
      <c r="AQ255" s="9">
        <v>9.2271939267483507</v>
      </c>
      <c r="AR255" s="9">
        <v>4.7738756428050202</v>
      </c>
      <c r="AS255" s="73" t="s">
        <v>169</v>
      </c>
      <c r="AT255" s="8"/>
      <c r="AU255" s="10" t="s">
        <v>169</v>
      </c>
      <c r="AV255" s="10">
        <v>0</v>
      </c>
      <c r="AW255" s="8"/>
      <c r="AX255" s="74" t="s">
        <v>169</v>
      </c>
      <c r="AY255" s="74"/>
      <c r="AZ255" s="74"/>
      <c r="BA255" s="74"/>
      <c r="BB255" s="8"/>
      <c r="BC255" s="8"/>
      <c r="BD255" s="8"/>
      <c r="BE255" s="8"/>
      <c r="BF255" s="12">
        <v>0.44</v>
      </c>
      <c r="BG255" s="13">
        <v>291.45073614627262</v>
      </c>
      <c r="BH255" s="96" t="str">
        <f>+VLOOKUP(G255,Liste!$A$7:$G$50,3,FALSE)</f>
        <v>Pin sylvestre</v>
      </c>
      <c r="BI255" s="96" t="str">
        <f>+VLOOKUP(H255,Liste!$B$7:$G$50,5,FALSE)</f>
        <v>GS Pineraies des plaines du Centre et du Nord Ouest</v>
      </c>
      <c r="BJ255" s="135">
        <f t="shared" si="72"/>
        <v>97</v>
      </c>
      <c r="BK255" s="135" t="str">
        <f t="shared" si="74"/>
        <v>Pin sylvestre_F2_Eclaircie tardive_GS Pineraies des plaines du Centre et du Nord Ouest_97_</v>
      </c>
      <c r="BL255" s="322"/>
      <c r="BM255" s="13">
        <v>74.00995972998237</v>
      </c>
      <c r="BN255" s="13">
        <v>365.46069587625499</v>
      </c>
      <c r="BP255" s="13">
        <v>268.42</v>
      </c>
      <c r="BQ255" s="13">
        <v>4.4011764392730601</v>
      </c>
      <c r="BT255" s="298" t="str">
        <f>+VLOOKUP(G255,Liste!$A$7:$H$50,8,FALSE)</f>
        <v>Résineux</v>
      </c>
      <c r="BU255" s="298">
        <f t="shared" si="75"/>
        <v>0</v>
      </c>
      <c r="BV255" s="300">
        <f t="shared" si="76"/>
        <v>1</v>
      </c>
      <c r="BW255" s="321">
        <v>0</v>
      </c>
      <c r="BX255" s="298">
        <f t="shared" si="77"/>
        <v>0.43</v>
      </c>
      <c r="BY255">
        <f t="shared" si="78"/>
        <v>0</v>
      </c>
      <c r="BZ255" s="304">
        <f t="shared" si="79"/>
        <v>0</v>
      </c>
      <c r="CB255" s="299">
        <v>0.6</v>
      </c>
      <c r="CC255" s="299">
        <v>0.4</v>
      </c>
      <c r="CD255">
        <f t="shared" si="80"/>
        <v>0</v>
      </c>
      <c r="CE255">
        <f t="shared" si="81"/>
        <v>0</v>
      </c>
      <c r="CF255">
        <f t="shared" si="82"/>
        <v>0</v>
      </c>
      <c r="CG255">
        <f t="shared" si="83"/>
        <v>0</v>
      </c>
      <c r="CH255">
        <f t="shared" si="84"/>
        <v>0</v>
      </c>
      <c r="CI255">
        <f t="shared" si="85"/>
        <v>0</v>
      </c>
      <c r="CJ255">
        <f t="shared" si="86"/>
        <v>0</v>
      </c>
      <c r="CK255">
        <f t="shared" si="87"/>
        <v>0</v>
      </c>
      <c r="CL255">
        <f t="shared" si="88"/>
        <v>0</v>
      </c>
      <c r="CM255">
        <f t="shared" si="90"/>
        <v>0</v>
      </c>
      <c r="CN255">
        <f t="shared" si="89"/>
        <v>0</v>
      </c>
      <c r="CO255">
        <f t="shared" si="73"/>
        <v>0</v>
      </c>
    </row>
    <row r="256" spans="1:93" s="12" customFormat="1" ht="14.65" customHeight="1" x14ac:dyDescent="0.25">
      <c r="A256" s="4">
        <v>2021</v>
      </c>
      <c r="B256" s="4"/>
      <c r="C256" s="4" t="s">
        <v>64</v>
      </c>
      <c r="D256" s="4" t="s">
        <v>65</v>
      </c>
      <c r="E256" s="4"/>
      <c r="F256" s="4" t="s">
        <v>90</v>
      </c>
      <c r="G256" s="5" t="s">
        <v>15</v>
      </c>
      <c r="H256" s="5" t="s">
        <v>21</v>
      </c>
      <c r="I256" s="5" t="s">
        <v>147</v>
      </c>
      <c r="J256" s="5" t="s">
        <v>10</v>
      </c>
      <c r="K256" s="5">
        <v>23</v>
      </c>
      <c r="L256" s="5">
        <v>45</v>
      </c>
      <c r="M256" s="5">
        <v>2500</v>
      </c>
      <c r="N256" s="5" t="s">
        <v>170</v>
      </c>
      <c r="O256" s="6" t="s">
        <v>78</v>
      </c>
      <c r="P256" s="6" t="s">
        <v>80</v>
      </c>
      <c r="Q256" s="6">
        <v>2003</v>
      </c>
      <c r="R256" s="6" t="s">
        <v>50</v>
      </c>
      <c r="S256" s="6">
        <v>28</v>
      </c>
      <c r="T256" s="6">
        <v>13.5</v>
      </c>
      <c r="U256" s="6">
        <v>2157</v>
      </c>
      <c r="V256" s="6">
        <v>40.299999999999997</v>
      </c>
      <c r="W256" s="6">
        <v>0</v>
      </c>
      <c r="X256" s="6">
        <v>600</v>
      </c>
      <c r="Y256" s="6">
        <v>1043</v>
      </c>
      <c r="Z256" s="6">
        <v>457</v>
      </c>
      <c r="AA256" s="6">
        <v>57</v>
      </c>
      <c r="AB256" s="6">
        <v>0</v>
      </c>
      <c r="AC256" s="7">
        <v>98</v>
      </c>
      <c r="AD256" s="7" t="s">
        <v>52</v>
      </c>
      <c r="AE256" s="7">
        <v>31.48</v>
      </c>
      <c r="AF256" s="7">
        <v>225</v>
      </c>
      <c r="AG256" s="7">
        <v>25.32</v>
      </c>
      <c r="AH256" s="7">
        <v>37.85</v>
      </c>
      <c r="AI256" s="7">
        <v>41.76</v>
      </c>
      <c r="AJ256" s="9">
        <v>344.08484863719298</v>
      </c>
      <c r="AK256" s="9">
        <v>346.65027376526001</v>
      </c>
      <c r="AL256" s="9">
        <v>385.09236561184298</v>
      </c>
      <c r="AM256" s="9">
        <v>77.691659004021602</v>
      </c>
      <c r="AN256" s="9">
        <v>0.79277203065328194</v>
      </c>
      <c r="AO256" s="9">
        <v>0.21482815321831999</v>
      </c>
      <c r="AP256" s="9">
        <v>899.81168653739496</v>
      </c>
      <c r="AQ256" s="9">
        <v>9.1817519034428106</v>
      </c>
      <c r="AR256" s="9">
        <v>4.72452401350517</v>
      </c>
      <c r="AS256" s="73" t="s">
        <v>169</v>
      </c>
      <c r="AT256" s="8"/>
      <c r="AU256" s="10" t="s">
        <v>169</v>
      </c>
      <c r="AV256" s="10">
        <v>0</v>
      </c>
      <c r="AW256" s="8"/>
      <c r="AX256" s="74" t="s">
        <v>169</v>
      </c>
      <c r="AY256" s="74"/>
      <c r="AZ256" s="74"/>
      <c r="BA256" s="74"/>
      <c r="BB256" s="8"/>
      <c r="BC256" s="8"/>
      <c r="BD256" s="8"/>
      <c r="BE256" s="8"/>
      <c r="BF256" s="12">
        <v>0.44</v>
      </c>
      <c r="BG256" s="13">
        <v>295.1091161805424</v>
      </c>
      <c r="BH256" s="96" t="str">
        <f>+VLOOKUP(G256,Liste!$A$7:$G$50,3,FALSE)</f>
        <v>Pin sylvestre</v>
      </c>
      <c r="BI256" s="96" t="str">
        <f>+VLOOKUP(H256,Liste!$B$7:$G$50,5,FALSE)</f>
        <v>GS Pineraies des plaines du Centre et du Nord Ouest</v>
      </c>
      <c r="BJ256" s="135">
        <f t="shared" si="72"/>
        <v>98</v>
      </c>
      <c r="BK256" s="135" t="str">
        <f t="shared" si="74"/>
        <v>Pin sylvestre_F2_Eclaircie tardive_GS Pineraies des plaines du Centre et du Nord Ouest_98_</v>
      </c>
      <c r="BL256" s="322"/>
      <c r="BM256" s="13">
        <v>74.830223675476589</v>
      </c>
      <c r="BN256" s="13">
        <v>369.93933985601899</v>
      </c>
      <c r="BP256" s="13">
        <v>268.42</v>
      </c>
      <c r="BQ256" s="13">
        <v>4.3552262223140596</v>
      </c>
      <c r="BT256" s="298" t="str">
        <f>+VLOOKUP(G256,Liste!$A$7:$H$50,8,FALSE)</f>
        <v>Résineux</v>
      </c>
      <c r="BU256" s="298">
        <f t="shared" si="75"/>
        <v>0</v>
      </c>
      <c r="BV256" s="300">
        <f t="shared" si="76"/>
        <v>1</v>
      </c>
      <c r="BW256" s="321">
        <v>0</v>
      </c>
      <c r="BX256" s="298">
        <f t="shared" si="77"/>
        <v>0.43</v>
      </c>
      <c r="BY256">
        <f t="shared" si="78"/>
        <v>0</v>
      </c>
      <c r="BZ256" s="304">
        <f t="shared" si="79"/>
        <v>0</v>
      </c>
      <c r="CB256" s="299">
        <v>0.6</v>
      </c>
      <c r="CC256" s="299">
        <v>0.4</v>
      </c>
      <c r="CD256">
        <f t="shared" si="80"/>
        <v>0</v>
      </c>
      <c r="CE256">
        <f t="shared" si="81"/>
        <v>0</v>
      </c>
      <c r="CF256">
        <f t="shared" si="82"/>
        <v>0</v>
      </c>
      <c r="CG256">
        <f t="shared" si="83"/>
        <v>0</v>
      </c>
      <c r="CH256">
        <f t="shared" si="84"/>
        <v>0</v>
      </c>
      <c r="CI256">
        <f t="shared" si="85"/>
        <v>0</v>
      </c>
      <c r="CJ256">
        <f t="shared" si="86"/>
        <v>0</v>
      </c>
      <c r="CK256">
        <f t="shared" si="87"/>
        <v>0</v>
      </c>
      <c r="CL256">
        <f t="shared" si="88"/>
        <v>0</v>
      </c>
      <c r="CM256">
        <f t="shared" si="90"/>
        <v>0</v>
      </c>
      <c r="CN256">
        <f t="shared" si="89"/>
        <v>0</v>
      </c>
      <c r="CO256">
        <f t="shared" si="73"/>
        <v>0</v>
      </c>
    </row>
    <row r="257" spans="1:93" s="12" customFormat="1" ht="14.65" customHeight="1" x14ac:dyDescent="0.25">
      <c r="A257" s="4">
        <v>2021</v>
      </c>
      <c r="B257" s="4"/>
      <c r="C257" s="4" t="s">
        <v>64</v>
      </c>
      <c r="D257" s="4" t="s">
        <v>65</v>
      </c>
      <c r="E257" s="4"/>
      <c r="F257" s="4" t="s">
        <v>90</v>
      </c>
      <c r="G257" s="5" t="s">
        <v>15</v>
      </c>
      <c r="H257" s="5" t="s">
        <v>21</v>
      </c>
      <c r="I257" s="5" t="s">
        <v>147</v>
      </c>
      <c r="J257" s="5" t="s">
        <v>10</v>
      </c>
      <c r="K257" s="5">
        <v>23</v>
      </c>
      <c r="L257" s="5">
        <v>45</v>
      </c>
      <c r="M257" s="5">
        <v>2500</v>
      </c>
      <c r="N257" s="5" t="s">
        <v>170</v>
      </c>
      <c r="O257" s="6" t="s">
        <v>78</v>
      </c>
      <c r="P257" s="6" t="s">
        <v>80</v>
      </c>
      <c r="Q257" s="6">
        <v>2003</v>
      </c>
      <c r="R257" s="6" t="s">
        <v>50</v>
      </c>
      <c r="S257" s="6">
        <v>28</v>
      </c>
      <c r="T257" s="6">
        <v>13.5</v>
      </c>
      <c r="U257" s="6">
        <v>2157</v>
      </c>
      <c r="V257" s="6">
        <v>40.299999999999997</v>
      </c>
      <c r="W257" s="6">
        <v>0</v>
      </c>
      <c r="X257" s="6">
        <v>600</v>
      </c>
      <c r="Y257" s="6">
        <v>1043</v>
      </c>
      <c r="Z257" s="6">
        <v>457</v>
      </c>
      <c r="AA257" s="6">
        <v>57</v>
      </c>
      <c r="AB257" s="6">
        <v>0</v>
      </c>
      <c r="AC257" s="7">
        <v>99</v>
      </c>
      <c r="AD257" s="7" t="s">
        <v>52</v>
      </c>
      <c r="AE257" s="7">
        <v>31.62</v>
      </c>
      <c r="AF257" s="7">
        <v>225</v>
      </c>
      <c r="AG257" s="7">
        <v>25.53</v>
      </c>
      <c r="AH257" s="7">
        <v>38.01</v>
      </c>
      <c r="AI257" s="7">
        <v>41.95</v>
      </c>
      <c r="AJ257" s="9">
        <v>348.48263032276702</v>
      </c>
      <c r="AK257" s="9">
        <v>351.07707102607401</v>
      </c>
      <c r="AL257" s="9">
        <v>389.81688962534798</v>
      </c>
      <c r="AM257" s="9">
        <v>77.906487157239994</v>
      </c>
      <c r="AN257" s="9">
        <v>0.78693421370949401</v>
      </c>
      <c r="AO257" s="9">
        <v>0.212851494536622</v>
      </c>
      <c r="AP257" s="9">
        <v>904.53621055090002</v>
      </c>
      <c r="AQ257" s="9">
        <v>9.1367293995040395</v>
      </c>
      <c r="AR257" s="9">
        <v>4.6901464022749897</v>
      </c>
      <c r="AS257" s="73" t="s">
        <v>169</v>
      </c>
      <c r="AT257" s="8"/>
      <c r="AU257" s="10" t="s">
        <v>169</v>
      </c>
      <c r="AV257" s="10">
        <v>0</v>
      </c>
      <c r="AW257" s="8"/>
      <c r="AX257" s="74" t="s">
        <v>169</v>
      </c>
      <c r="AY257" s="74"/>
      <c r="AZ257" s="74"/>
      <c r="BA257" s="74"/>
      <c r="BB257" s="8"/>
      <c r="BC257" s="8"/>
      <c r="BD257" s="8"/>
      <c r="BE257" s="8"/>
      <c r="BF257" s="12">
        <v>0.44</v>
      </c>
      <c r="BG257" s="13">
        <v>298.72967641622523</v>
      </c>
      <c r="BH257" s="96" t="str">
        <f>+VLOOKUP(G257,Liste!$A$7:$G$50,3,FALSE)</f>
        <v>Pin sylvestre</v>
      </c>
      <c r="BI257" s="96" t="str">
        <f>+VLOOKUP(H257,Liste!$B$7:$G$50,5,FALSE)</f>
        <v>GS Pineraies des plaines du Centre et du Nord Ouest</v>
      </c>
      <c r="BJ257" s="135">
        <f t="shared" si="72"/>
        <v>99</v>
      </c>
      <c r="BK257" s="135" t="str">
        <f t="shared" si="74"/>
        <v>Pin sylvestre_F2_Eclaircie tardive_GS Pineraies des plaines du Centre et du Nord Ouest_99_</v>
      </c>
      <c r="BL257" s="322"/>
      <c r="BM257" s="13">
        <v>75.640843275271777</v>
      </c>
      <c r="BN257" s="13">
        <v>374.37051969149701</v>
      </c>
      <c r="BP257" s="13">
        <v>268.42</v>
      </c>
      <c r="BQ257" s="13">
        <v>4.3230941074532403</v>
      </c>
      <c r="BT257" s="298" t="str">
        <f>+VLOOKUP(G257,Liste!$A$7:$H$50,8,FALSE)</f>
        <v>Résineux</v>
      </c>
      <c r="BU257" s="298">
        <f t="shared" si="75"/>
        <v>0</v>
      </c>
      <c r="BV257" s="300">
        <f t="shared" si="76"/>
        <v>1</v>
      </c>
      <c r="BW257" s="321">
        <v>0</v>
      </c>
      <c r="BX257" s="298">
        <f t="shared" si="77"/>
        <v>0.43</v>
      </c>
      <c r="BY257">
        <f t="shared" si="78"/>
        <v>0</v>
      </c>
      <c r="BZ257" s="304">
        <f t="shared" si="79"/>
        <v>0</v>
      </c>
      <c r="CB257" s="299">
        <v>0.6</v>
      </c>
      <c r="CC257" s="299">
        <v>0.4</v>
      </c>
      <c r="CD257">
        <f t="shared" si="80"/>
        <v>0</v>
      </c>
      <c r="CE257">
        <f t="shared" si="81"/>
        <v>0</v>
      </c>
      <c r="CF257">
        <f t="shared" si="82"/>
        <v>0</v>
      </c>
      <c r="CG257">
        <f t="shared" si="83"/>
        <v>0</v>
      </c>
      <c r="CH257">
        <f t="shared" si="84"/>
        <v>0</v>
      </c>
      <c r="CI257">
        <f t="shared" si="85"/>
        <v>0</v>
      </c>
      <c r="CJ257">
        <f t="shared" si="86"/>
        <v>0</v>
      </c>
      <c r="CK257">
        <f t="shared" si="87"/>
        <v>0</v>
      </c>
      <c r="CL257">
        <f t="shared" si="88"/>
        <v>0</v>
      </c>
      <c r="CM257">
        <f t="shared" si="90"/>
        <v>0</v>
      </c>
      <c r="CN257">
        <f t="shared" si="89"/>
        <v>0</v>
      </c>
      <c r="CO257">
        <f t="shared" si="73"/>
        <v>0</v>
      </c>
    </row>
    <row r="258" spans="1:93" s="12" customFormat="1" ht="14.65" customHeight="1" x14ac:dyDescent="0.25">
      <c r="A258" s="4">
        <v>2021</v>
      </c>
      <c r="B258" s="4"/>
      <c r="C258" s="4" t="s">
        <v>64</v>
      </c>
      <c r="D258" s="4" t="s">
        <v>65</v>
      </c>
      <c r="E258" s="4"/>
      <c r="F258" s="4" t="s">
        <v>90</v>
      </c>
      <c r="G258" s="5" t="s">
        <v>15</v>
      </c>
      <c r="H258" s="5" t="s">
        <v>21</v>
      </c>
      <c r="I258" s="5" t="s">
        <v>147</v>
      </c>
      <c r="J258" s="5" t="s">
        <v>10</v>
      </c>
      <c r="K258" s="5">
        <v>23</v>
      </c>
      <c r="L258" s="5">
        <v>45</v>
      </c>
      <c r="M258" s="5">
        <v>2500</v>
      </c>
      <c r="N258" s="5" t="s">
        <v>170</v>
      </c>
      <c r="O258" s="6" t="s">
        <v>78</v>
      </c>
      <c r="P258" s="6" t="s">
        <v>80</v>
      </c>
      <c r="Q258" s="6">
        <v>2003</v>
      </c>
      <c r="R258" s="6" t="s">
        <v>50</v>
      </c>
      <c r="S258" s="6">
        <v>28</v>
      </c>
      <c r="T258" s="6">
        <v>13.5</v>
      </c>
      <c r="U258" s="6">
        <v>2157</v>
      </c>
      <c r="V258" s="6">
        <v>40.299999999999997</v>
      </c>
      <c r="W258" s="6">
        <v>0</v>
      </c>
      <c r="X258" s="6">
        <v>600</v>
      </c>
      <c r="Y258" s="6">
        <v>1043</v>
      </c>
      <c r="Z258" s="6">
        <v>457</v>
      </c>
      <c r="AA258" s="6">
        <v>57</v>
      </c>
      <c r="AB258" s="6">
        <v>0</v>
      </c>
      <c r="AC258" s="7">
        <v>100</v>
      </c>
      <c r="AD258" s="7" t="s">
        <v>52</v>
      </c>
      <c r="AE258" s="7">
        <v>31.75</v>
      </c>
      <c r="AF258" s="7">
        <v>225</v>
      </c>
      <c r="AG258" s="7">
        <v>25.75</v>
      </c>
      <c r="AH258" s="7">
        <v>38.17</v>
      </c>
      <c r="AI258" s="7">
        <v>42.13</v>
      </c>
      <c r="AJ258" s="9">
        <v>352.84829614848701</v>
      </c>
      <c r="AK258" s="9">
        <v>355.47174469532899</v>
      </c>
      <c r="AL258" s="9">
        <v>394.50703602762297</v>
      </c>
      <c r="AM258" s="9">
        <v>78.119338651776602</v>
      </c>
      <c r="AN258" s="9">
        <v>0.78119338651776604</v>
      </c>
      <c r="AO258" s="9">
        <v>0.21059490424150301</v>
      </c>
      <c r="AP258" s="9">
        <v>909.22635695317501</v>
      </c>
      <c r="AQ258" s="9">
        <v>9.0922635695317506</v>
      </c>
      <c r="AR258" s="9">
        <v>4.6715362112586298</v>
      </c>
      <c r="AS258" s="73" t="s">
        <v>169</v>
      </c>
      <c r="AT258" s="8"/>
      <c r="AU258" s="10" t="s">
        <v>169</v>
      </c>
      <c r="AV258" s="10">
        <v>0</v>
      </c>
      <c r="AW258" s="8"/>
      <c r="AX258" s="74" t="s">
        <v>169</v>
      </c>
      <c r="AY258" s="74"/>
      <c r="AZ258" s="74"/>
      <c r="BA258" s="74"/>
      <c r="BB258" s="8"/>
      <c r="BC258" s="8"/>
      <c r="BD258" s="8"/>
      <c r="BE258" s="8"/>
      <c r="BF258" s="12">
        <v>0.44</v>
      </c>
      <c r="BG258" s="13">
        <v>302.32389194250175</v>
      </c>
      <c r="BH258" s="96" t="str">
        <f>+VLOOKUP(G258,Liste!$A$7:$G$50,3,FALSE)</f>
        <v>Pin sylvestre</v>
      </c>
      <c r="BI258" s="96" t="str">
        <f>+VLOOKUP(H258,Liste!$B$7:$G$50,5,FALSE)</f>
        <v>GS Pineraies des plaines du Centre et du Nord Ouest</v>
      </c>
      <c r="BJ258" s="135">
        <f t="shared" si="72"/>
        <v>100</v>
      </c>
      <c r="BK258" s="135" t="str">
        <f t="shared" si="74"/>
        <v>Pin sylvestre_F2_Eclaircie tardive_GS Pineraies des plaines du Centre et du Nord Ouest_100_</v>
      </c>
      <c r="BL258" s="322"/>
      <c r="BM258" s="13">
        <v>76.444434068480234</v>
      </c>
      <c r="BN258" s="13">
        <v>378.76832601098198</v>
      </c>
      <c r="BP258" s="13">
        <v>268.42</v>
      </c>
      <c r="BQ258" s="13">
        <v>4.3055054367207504</v>
      </c>
      <c r="BT258" s="298" t="str">
        <f>+VLOOKUP(G258,Liste!$A$7:$H$50,8,FALSE)</f>
        <v>Résineux</v>
      </c>
      <c r="BU258" s="298">
        <f t="shared" si="75"/>
        <v>0</v>
      </c>
      <c r="BV258" s="300">
        <f t="shared" si="76"/>
        <v>1</v>
      </c>
      <c r="BW258" s="321">
        <v>0</v>
      </c>
      <c r="BX258" s="298">
        <f t="shared" si="77"/>
        <v>0.43</v>
      </c>
      <c r="BY258">
        <f t="shared" si="78"/>
        <v>0</v>
      </c>
      <c r="BZ258" s="304">
        <f t="shared" si="79"/>
        <v>0</v>
      </c>
      <c r="CB258" s="299">
        <v>0.6</v>
      </c>
      <c r="CC258" s="299">
        <v>0.4</v>
      </c>
      <c r="CD258">
        <f t="shared" si="80"/>
        <v>0</v>
      </c>
      <c r="CE258">
        <f t="shared" si="81"/>
        <v>0</v>
      </c>
      <c r="CF258">
        <f t="shared" si="82"/>
        <v>0</v>
      </c>
      <c r="CG258">
        <f t="shared" si="83"/>
        <v>0</v>
      </c>
      <c r="CH258">
        <f t="shared" si="84"/>
        <v>0</v>
      </c>
      <c r="CI258">
        <f t="shared" si="85"/>
        <v>0</v>
      </c>
      <c r="CJ258">
        <f t="shared" si="86"/>
        <v>0</v>
      </c>
      <c r="CK258">
        <f t="shared" si="87"/>
        <v>0</v>
      </c>
      <c r="CL258">
        <f t="shared" si="88"/>
        <v>0</v>
      </c>
      <c r="CM258">
        <f t="shared" si="90"/>
        <v>0</v>
      </c>
      <c r="CN258">
        <f t="shared" si="89"/>
        <v>0</v>
      </c>
      <c r="CO258">
        <f t="shared" si="73"/>
        <v>0</v>
      </c>
    </row>
    <row r="259" spans="1:93" s="12" customFormat="1" ht="14.65" customHeight="1" x14ac:dyDescent="0.25">
      <c r="A259" s="4">
        <v>2021</v>
      </c>
      <c r="B259" s="4"/>
      <c r="C259" s="4" t="s">
        <v>64</v>
      </c>
      <c r="D259" s="4" t="s">
        <v>65</v>
      </c>
      <c r="E259" s="4"/>
      <c r="F259" s="4" t="s">
        <v>90</v>
      </c>
      <c r="G259" s="5" t="s">
        <v>15</v>
      </c>
      <c r="H259" s="5" t="s">
        <v>21</v>
      </c>
      <c r="I259" s="5" t="s">
        <v>147</v>
      </c>
      <c r="J259" s="5" t="s">
        <v>10</v>
      </c>
      <c r="K259" s="5">
        <v>23</v>
      </c>
      <c r="L259" s="5">
        <v>45</v>
      </c>
      <c r="M259" s="5">
        <v>2500</v>
      </c>
      <c r="N259" s="5" t="s">
        <v>170</v>
      </c>
      <c r="O259" s="6" t="s">
        <v>78</v>
      </c>
      <c r="P259" s="6" t="s">
        <v>80</v>
      </c>
      <c r="Q259" s="6">
        <v>2003</v>
      </c>
      <c r="R259" s="6" t="s">
        <v>50</v>
      </c>
      <c r="S259" s="6">
        <v>28</v>
      </c>
      <c r="T259" s="6">
        <v>13.5</v>
      </c>
      <c r="U259" s="6">
        <v>2157</v>
      </c>
      <c r="V259" s="6">
        <v>40.299999999999997</v>
      </c>
      <c r="W259" s="6">
        <v>0</v>
      </c>
      <c r="X259" s="6">
        <v>600</v>
      </c>
      <c r="Y259" s="6">
        <v>1043</v>
      </c>
      <c r="Z259" s="6">
        <v>457</v>
      </c>
      <c r="AA259" s="6">
        <v>57</v>
      </c>
      <c r="AB259" s="6">
        <v>0</v>
      </c>
      <c r="AC259" s="7">
        <v>101</v>
      </c>
      <c r="AD259" s="7" t="s">
        <v>52</v>
      </c>
      <c r="AE259" s="7">
        <v>31.89</v>
      </c>
      <c r="AF259" s="7">
        <v>225</v>
      </c>
      <c r="AG259" s="7">
        <v>25.96</v>
      </c>
      <c r="AH259" s="7">
        <v>38.33</v>
      </c>
      <c r="AI259" s="7">
        <v>42.31</v>
      </c>
      <c r="AJ259" s="9">
        <v>357.20066023165299</v>
      </c>
      <c r="AK259" s="9">
        <v>359.85258120458002</v>
      </c>
      <c r="AL259" s="9">
        <v>399.178572238882</v>
      </c>
      <c r="AM259" s="9">
        <v>78.329933556018105</v>
      </c>
      <c r="AN259" s="9">
        <v>0.77554389659423795</v>
      </c>
      <c r="AO259" s="9">
        <v>0.20905978069929201</v>
      </c>
      <c r="AP259" s="9">
        <v>913.89789316443398</v>
      </c>
      <c r="AQ259" s="9">
        <v>9.0484939917270708</v>
      </c>
      <c r="AR259" s="9">
        <v>4.62764680280657</v>
      </c>
      <c r="AS259" s="73" t="s">
        <v>169</v>
      </c>
      <c r="AT259" s="8"/>
      <c r="AU259" s="10" t="s">
        <v>169</v>
      </c>
      <c r="AV259" s="10">
        <v>0</v>
      </c>
      <c r="AW259" s="8"/>
      <c r="AX259" s="74" t="s">
        <v>169</v>
      </c>
      <c r="AY259" s="74"/>
      <c r="AZ259" s="74"/>
      <c r="BA259" s="74"/>
      <c r="BB259" s="8"/>
      <c r="BC259" s="8"/>
      <c r="BD259" s="8"/>
      <c r="BE259" s="8"/>
      <c r="BF259" s="12">
        <v>0.44</v>
      </c>
      <c r="BG259" s="13">
        <v>305.9038458590631</v>
      </c>
      <c r="BH259" s="96" t="str">
        <f>+VLOOKUP(G259,Liste!$A$7:$G$50,3,FALSE)</f>
        <v>Pin sylvestre</v>
      </c>
      <c r="BI259" s="96" t="str">
        <f>+VLOOKUP(H259,Liste!$B$7:$G$50,5,FALSE)</f>
        <v>GS Pineraies des plaines du Centre et du Nord Ouest</v>
      </c>
      <c r="BJ259" s="135">
        <f t="shared" ref="BJ259:BJ322" si="91">+AC259</f>
        <v>101</v>
      </c>
      <c r="BK259" s="135" t="str">
        <f t="shared" si="74"/>
        <v>Pin sylvestre_F2_Eclaircie tardive_GS Pineraies des plaines du Centre et du Nord Ouest_101_</v>
      </c>
      <c r="BL259" s="322"/>
      <c r="BM259" s="13">
        <v>77.243731556351918</v>
      </c>
      <c r="BN259" s="13">
        <v>383.14757741541501</v>
      </c>
      <c r="BP259" s="13">
        <v>268.42</v>
      </c>
      <c r="BQ259" s="13">
        <v>4.2646293934931201</v>
      </c>
      <c r="BT259" s="298" t="str">
        <f>+VLOOKUP(G259,Liste!$A$7:$H$50,8,FALSE)</f>
        <v>Résineux</v>
      </c>
      <c r="BU259" s="298">
        <f t="shared" si="75"/>
        <v>0</v>
      </c>
      <c r="BV259" s="300">
        <f t="shared" si="76"/>
        <v>1</v>
      </c>
      <c r="BW259" s="321">
        <v>0</v>
      </c>
      <c r="BX259" s="298">
        <f t="shared" si="77"/>
        <v>0.43</v>
      </c>
      <c r="BY259">
        <f t="shared" si="78"/>
        <v>0</v>
      </c>
      <c r="BZ259" s="304">
        <f t="shared" si="79"/>
        <v>0</v>
      </c>
      <c r="CB259" s="299">
        <v>0.6</v>
      </c>
      <c r="CC259" s="299">
        <v>0.4</v>
      </c>
      <c r="CD259">
        <f t="shared" si="80"/>
        <v>0</v>
      </c>
      <c r="CE259">
        <f t="shared" si="81"/>
        <v>0</v>
      </c>
      <c r="CF259">
        <f t="shared" si="82"/>
        <v>0</v>
      </c>
      <c r="CG259">
        <f t="shared" si="83"/>
        <v>0</v>
      </c>
      <c r="CH259">
        <f t="shared" si="84"/>
        <v>0</v>
      </c>
      <c r="CI259">
        <f t="shared" si="85"/>
        <v>0</v>
      </c>
      <c r="CJ259">
        <f t="shared" si="86"/>
        <v>0</v>
      </c>
      <c r="CK259">
        <f t="shared" si="87"/>
        <v>0</v>
      </c>
      <c r="CL259">
        <f t="shared" si="88"/>
        <v>0</v>
      </c>
      <c r="CM259">
        <f t="shared" si="90"/>
        <v>0</v>
      </c>
      <c r="CN259">
        <f t="shared" si="89"/>
        <v>0</v>
      </c>
      <c r="CO259">
        <f t="shared" ref="CO259:CO322" si="92">+IF(BJ259=30,CN259/30,0)</f>
        <v>0</v>
      </c>
    </row>
    <row r="260" spans="1:93" s="12" customFormat="1" ht="14.65" customHeight="1" x14ac:dyDescent="0.25">
      <c r="A260" s="4">
        <v>2021</v>
      </c>
      <c r="B260" s="4"/>
      <c r="C260" s="4" t="s">
        <v>64</v>
      </c>
      <c r="D260" s="4" t="s">
        <v>65</v>
      </c>
      <c r="E260" s="4"/>
      <c r="F260" s="4" t="s">
        <v>90</v>
      </c>
      <c r="G260" s="5" t="s">
        <v>15</v>
      </c>
      <c r="H260" s="5" t="s">
        <v>21</v>
      </c>
      <c r="I260" s="5" t="s">
        <v>147</v>
      </c>
      <c r="J260" s="5" t="s">
        <v>10</v>
      </c>
      <c r="K260" s="5">
        <v>23</v>
      </c>
      <c r="L260" s="5">
        <v>45</v>
      </c>
      <c r="M260" s="5">
        <v>2500</v>
      </c>
      <c r="N260" s="5" t="s">
        <v>170</v>
      </c>
      <c r="O260" s="6" t="s">
        <v>78</v>
      </c>
      <c r="P260" s="6" t="s">
        <v>80</v>
      </c>
      <c r="Q260" s="6">
        <v>2003</v>
      </c>
      <c r="R260" s="6" t="s">
        <v>50</v>
      </c>
      <c r="S260" s="6">
        <v>28</v>
      </c>
      <c r="T260" s="6">
        <v>13.5</v>
      </c>
      <c r="U260" s="6">
        <v>2157</v>
      </c>
      <c r="V260" s="6">
        <v>40.299999999999997</v>
      </c>
      <c r="W260" s="6">
        <v>0</v>
      </c>
      <c r="X260" s="6">
        <v>600</v>
      </c>
      <c r="Y260" s="6">
        <v>1043</v>
      </c>
      <c r="Z260" s="6">
        <v>457</v>
      </c>
      <c r="AA260" s="6">
        <v>57</v>
      </c>
      <c r="AB260" s="6">
        <v>0</v>
      </c>
      <c r="AC260" s="7">
        <v>102</v>
      </c>
      <c r="AD260" s="7" t="s">
        <v>52</v>
      </c>
      <c r="AE260" s="7">
        <v>32.020000000000003</v>
      </c>
      <c r="AF260" s="7">
        <v>225</v>
      </c>
      <c r="AG260" s="7">
        <v>26.17</v>
      </c>
      <c r="AH260" s="7">
        <v>38.479999999999997</v>
      </c>
      <c r="AI260" s="7">
        <v>42.48</v>
      </c>
      <c r="AJ260" s="9">
        <v>361.50919563750102</v>
      </c>
      <c r="AK260" s="9">
        <v>364.18980029710701</v>
      </c>
      <c r="AL260" s="9">
        <v>403.806219041688</v>
      </c>
      <c r="AM260" s="9">
        <v>78.538993336717397</v>
      </c>
      <c r="AN260" s="9">
        <v>0.76999013075213096</v>
      </c>
      <c r="AO260" s="9">
        <v>0.19955524555503201</v>
      </c>
      <c r="AP260" s="9">
        <v>918.52553996723998</v>
      </c>
      <c r="AQ260" s="9">
        <v>9.0051523526199997</v>
      </c>
      <c r="AR260" s="9">
        <v>4.3547855852058301</v>
      </c>
      <c r="AS260" s="73" t="s">
        <v>169</v>
      </c>
      <c r="AT260" s="8"/>
      <c r="AU260" s="10" t="s">
        <v>169</v>
      </c>
      <c r="AV260" s="10">
        <v>0</v>
      </c>
      <c r="AW260" s="8"/>
      <c r="AX260" s="74" t="s">
        <v>169</v>
      </c>
      <c r="AY260" s="74"/>
      <c r="AZ260" s="74"/>
      <c r="BA260" s="74"/>
      <c r="BB260" s="8"/>
      <c r="BC260" s="8"/>
      <c r="BD260" s="8"/>
      <c r="BE260" s="8"/>
      <c r="BF260" s="12">
        <v>0.44</v>
      </c>
      <c r="BG260" s="13">
        <v>309.45016585894695</v>
      </c>
      <c r="BH260" s="96" t="str">
        <f>+VLOOKUP(G260,Liste!$A$7:$G$50,3,FALSE)</f>
        <v>Pin sylvestre</v>
      </c>
      <c r="BI260" s="96" t="str">
        <f>+VLOOKUP(H260,Liste!$B$7:$G$50,5,FALSE)</f>
        <v>GS Pineraies des plaines du Centre et du Nord Ouest</v>
      </c>
      <c r="BJ260" s="135">
        <f t="shared" si="91"/>
        <v>102</v>
      </c>
      <c r="BK260" s="135" t="str">
        <f t="shared" ref="BK260:BK323" si="93">+_xlfn.CONCAT(BH260,"_",J260,"_",I260,"_",BI260,"_",BJ260,"_")</f>
        <v>Pin sylvestre_F2_Eclaircie tardive_GS Pineraies des plaines du Centre et du Nord Ouest_102_</v>
      </c>
      <c r="BL260" s="322"/>
      <c r="BM260" s="13">
        <v>78.034446731515061</v>
      </c>
      <c r="BN260" s="13">
        <v>387.48461259046201</v>
      </c>
      <c r="BP260" s="13">
        <v>268.42</v>
      </c>
      <c r="BQ260" s="13">
        <v>4.0127882212286696</v>
      </c>
      <c r="BT260" s="298" t="str">
        <f>+VLOOKUP(G260,Liste!$A$7:$H$50,8,FALSE)</f>
        <v>Résineux</v>
      </c>
      <c r="BU260" s="298">
        <f t="shared" ref="BU260:BU323" si="94">IF(BT260="Résineux",0%,100%)</f>
        <v>0</v>
      </c>
      <c r="BV260" s="300">
        <f t="shared" ref="BV260:BV323" si="95">+IF(BT260="Résineux",100%,0%)</f>
        <v>1</v>
      </c>
      <c r="BW260" s="321">
        <v>0</v>
      </c>
      <c r="BX260" s="298">
        <f t="shared" ref="BX260:BX323" si="96">+IF(BV260&lt;&gt;0,0.43,0.25)</f>
        <v>0.43</v>
      </c>
      <c r="BY260">
        <f t="shared" ref="BY260:BY323" si="97">+IF(BJ260&lt;=30,AV260*BX260,0)</f>
        <v>0</v>
      </c>
      <c r="BZ260" s="304">
        <f t="shared" ref="BZ260:BZ323" si="98">+IF(BJ260&gt;=31,0,BY260+BZ259)</f>
        <v>0</v>
      </c>
      <c r="CB260" s="299">
        <v>0.6</v>
      </c>
      <c r="CC260" s="299">
        <v>0.4</v>
      </c>
      <c r="CD260">
        <f t="shared" ref="CD260:CD323" si="99">+IF(BJ260&lt;=31,AV260*CA260*0.5,0)</f>
        <v>0</v>
      </c>
      <c r="CE260">
        <f t="shared" ref="CE260:CE323" si="100">IF(BJ260&lt;=31,AV260*CB260,0)</f>
        <v>0</v>
      </c>
      <c r="CF260">
        <f t="shared" ref="CF260:CF323" si="101">IF(BJ260&lt;=31,AV260*CC260,0)</f>
        <v>0</v>
      </c>
      <c r="CG260">
        <f t="shared" ref="CG260:CG323" si="102">CD260*44/12*0.475*BF260</f>
        <v>0</v>
      </c>
      <c r="CH260">
        <f t="shared" ref="CH260:CH323" si="103">CE260*44/12*0.475*BF260</f>
        <v>0</v>
      </c>
      <c r="CI260">
        <f t="shared" ref="CI260:CI323" si="104">CF260*44/12*0.475*BF260</f>
        <v>0</v>
      </c>
      <c r="CJ260">
        <f t="shared" ref="CJ260:CJ323" si="105">+IF(BJ260&lt;=31,CJ259*EXP(-$CJ$1)+CG259*(1-EXP(-$CJ$1))/$CJ$1,0)</f>
        <v>0</v>
      </c>
      <c r="CK260">
        <f t="shared" ref="CK260:CK323" si="106">+IF(BJ260&lt;=31,CK259*EXP(-$CK$1)+CH259*(1-EXP(-$CK$1))/$CK$1,0)</f>
        <v>0</v>
      </c>
      <c r="CL260">
        <f t="shared" ref="CL260:CL323" si="107">+IF(BJ260&lt;=31,CL259*EXP(-$CL$1)+CI259*(1-EXP(-$CL$1))/$CL$1,0)</f>
        <v>0</v>
      </c>
      <c r="CM260">
        <f t="shared" si="90"/>
        <v>0</v>
      </c>
      <c r="CN260">
        <f t="shared" ref="CN260:CN323" si="108">+IF(BJ260&lt;=31,CM260+CN259,0)</f>
        <v>0</v>
      </c>
      <c r="CO260">
        <f t="shared" si="92"/>
        <v>0</v>
      </c>
    </row>
    <row r="261" spans="1:93" s="12" customFormat="1" ht="14.65" customHeight="1" x14ac:dyDescent="0.25">
      <c r="A261" s="4">
        <v>2021</v>
      </c>
      <c r="B261" s="4"/>
      <c r="C261" s="4" t="s">
        <v>64</v>
      </c>
      <c r="D261" s="4" t="s">
        <v>65</v>
      </c>
      <c r="E261" s="4"/>
      <c r="F261" s="4" t="s">
        <v>90</v>
      </c>
      <c r="G261" s="5" t="s">
        <v>15</v>
      </c>
      <c r="H261" s="5" t="s">
        <v>21</v>
      </c>
      <c r="I261" s="5" t="s">
        <v>147</v>
      </c>
      <c r="J261" s="5" t="s">
        <v>10</v>
      </c>
      <c r="K261" s="5">
        <v>23</v>
      </c>
      <c r="L261" s="5">
        <v>45</v>
      </c>
      <c r="M261" s="5">
        <v>2500</v>
      </c>
      <c r="N261" s="5" t="s">
        <v>170</v>
      </c>
      <c r="O261" s="6" t="s">
        <v>78</v>
      </c>
      <c r="P261" s="6" t="s">
        <v>80</v>
      </c>
      <c r="Q261" s="6">
        <v>2003</v>
      </c>
      <c r="R261" s="6" t="s">
        <v>50</v>
      </c>
      <c r="S261" s="6">
        <v>28</v>
      </c>
      <c r="T261" s="6">
        <v>13.5</v>
      </c>
      <c r="U261" s="6">
        <v>2157</v>
      </c>
      <c r="V261" s="6">
        <v>40.299999999999997</v>
      </c>
      <c r="W261" s="6">
        <v>0</v>
      </c>
      <c r="X261" s="6">
        <v>600</v>
      </c>
      <c r="Y261" s="6">
        <v>1043</v>
      </c>
      <c r="Z261" s="6">
        <v>457</v>
      </c>
      <c r="AA261" s="6">
        <v>57</v>
      </c>
      <c r="AB261" s="6">
        <v>0</v>
      </c>
      <c r="AC261" s="7">
        <v>102</v>
      </c>
      <c r="AD261" s="7" t="s">
        <v>53</v>
      </c>
      <c r="AE261" s="7">
        <v>32.020000000000003</v>
      </c>
      <c r="AF261" s="7">
        <v>213</v>
      </c>
      <c r="AG261" s="7">
        <v>25.09</v>
      </c>
      <c r="AH261" s="7">
        <v>38.729999999999997</v>
      </c>
      <c r="AI261" s="7">
        <v>42.48</v>
      </c>
      <c r="AJ261" s="9">
        <v>346.95646252133798</v>
      </c>
      <c r="AK261" s="9">
        <v>349.55723946588898</v>
      </c>
      <c r="AL261" s="9">
        <v>387.64198865789399</v>
      </c>
      <c r="AM261" s="9">
        <v>78.538993336717397</v>
      </c>
      <c r="AN261" s="9">
        <v>0.76999013075213096</v>
      </c>
      <c r="AO261" s="9">
        <v>0.19955524555503201</v>
      </c>
      <c r="AP261" s="9">
        <v>918.52553996723998</v>
      </c>
      <c r="AQ261" s="9">
        <v>9.0051523526199997</v>
      </c>
      <c r="AR261" s="9">
        <v>4.3547855852058301</v>
      </c>
      <c r="AS261" s="73">
        <v>12</v>
      </c>
      <c r="AT261" s="8">
        <v>1.0800000000000018</v>
      </c>
      <c r="AU261" s="10">
        <v>33.851375012865411</v>
      </c>
      <c r="AV261" s="10">
        <v>14.55273311616304</v>
      </c>
      <c r="AW261" s="8">
        <v>0.77</v>
      </c>
      <c r="AX261" s="74">
        <v>1.2127277596802533</v>
      </c>
      <c r="AY261" s="74"/>
      <c r="AZ261" s="74"/>
      <c r="BA261" s="74"/>
      <c r="BB261" s="8"/>
      <c r="BC261" s="8"/>
      <c r="BD261" s="8"/>
      <c r="BE261" s="8"/>
      <c r="BF261" s="12">
        <v>0.44</v>
      </c>
      <c r="BG261" s="13">
        <v>297.0629773081663</v>
      </c>
      <c r="BH261" s="96" t="str">
        <f>+VLOOKUP(G261,Liste!$A$7:$G$50,3,FALSE)</f>
        <v>Pin sylvestre</v>
      </c>
      <c r="BI261" s="96" t="str">
        <f>+VLOOKUP(H261,Liste!$B$7:$G$50,5,FALSE)</f>
        <v>GS Pineraies des plaines du Centre et du Nord Ouest</v>
      </c>
      <c r="BJ261" s="135">
        <f t="shared" si="91"/>
        <v>102</v>
      </c>
      <c r="BK261" s="135" t="str">
        <f t="shared" si="93"/>
        <v>Pin sylvestre_F2_Eclaircie tardive_GS Pineraies des plaines du Centre et du Nord Ouest_102_</v>
      </c>
      <c r="BL261" s="322"/>
      <c r="BM261" s="13">
        <v>75.267823207990716</v>
      </c>
      <c r="BN261" s="13">
        <v>372.33080051615701</v>
      </c>
      <c r="BO261" s="13">
        <v>15.153812074304994</v>
      </c>
      <c r="BP261" s="13">
        <v>268.42</v>
      </c>
      <c r="BQ261" s="13">
        <v>4.0127882212286696</v>
      </c>
      <c r="BT261" s="298" t="str">
        <f>+VLOOKUP(G261,Liste!$A$7:$H$50,8,FALSE)</f>
        <v>Résineux</v>
      </c>
      <c r="BU261" s="298">
        <f t="shared" si="94"/>
        <v>0</v>
      </c>
      <c r="BV261" s="300">
        <f t="shared" si="95"/>
        <v>1</v>
      </c>
      <c r="BW261" s="321">
        <v>0</v>
      </c>
      <c r="BX261" s="298">
        <f t="shared" si="96"/>
        <v>0.43</v>
      </c>
      <c r="BY261">
        <f t="shared" si="97"/>
        <v>0</v>
      </c>
      <c r="BZ261" s="304">
        <f t="shared" si="98"/>
        <v>0</v>
      </c>
      <c r="CB261" s="299">
        <v>0.6</v>
      </c>
      <c r="CC261" s="299">
        <v>0.4</v>
      </c>
      <c r="CD261">
        <f t="shared" si="99"/>
        <v>0</v>
      </c>
      <c r="CE261">
        <f t="shared" si="100"/>
        <v>0</v>
      </c>
      <c r="CF261">
        <f t="shared" si="101"/>
        <v>0</v>
      </c>
      <c r="CG261">
        <f t="shared" si="102"/>
        <v>0</v>
      </c>
      <c r="CH261">
        <f t="shared" si="103"/>
        <v>0</v>
      </c>
      <c r="CI261">
        <f t="shared" si="104"/>
        <v>0</v>
      </c>
      <c r="CJ261">
        <f t="shared" si="105"/>
        <v>0</v>
      </c>
      <c r="CK261">
        <f t="shared" si="106"/>
        <v>0</v>
      </c>
      <c r="CL261">
        <f t="shared" si="107"/>
        <v>0</v>
      </c>
      <c r="CM261">
        <f t="shared" ref="CM261:CM324" si="109">+CJ261+CK261+CL261</f>
        <v>0</v>
      </c>
      <c r="CN261">
        <f t="shared" si="108"/>
        <v>0</v>
      </c>
      <c r="CO261">
        <f t="shared" si="92"/>
        <v>0</v>
      </c>
    </row>
    <row r="262" spans="1:93" s="12" customFormat="1" ht="14.65" customHeight="1" x14ac:dyDescent="0.25">
      <c r="A262" s="4">
        <v>2021</v>
      </c>
      <c r="B262" s="4"/>
      <c r="C262" s="4" t="s">
        <v>64</v>
      </c>
      <c r="D262" s="4" t="s">
        <v>65</v>
      </c>
      <c r="E262" s="4"/>
      <c r="F262" s="4" t="s">
        <v>90</v>
      </c>
      <c r="G262" s="5" t="s">
        <v>15</v>
      </c>
      <c r="H262" s="5" t="s">
        <v>21</v>
      </c>
      <c r="I262" s="5" t="s">
        <v>147</v>
      </c>
      <c r="J262" s="5" t="s">
        <v>10</v>
      </c>
      <c r="K262" s="5">
        <v>23</v>
      </c>
      <c r="L262" s="5">
        <v>45</v>
      </c>
      <c r="M262" s="5">
        <v>2500</v>
      </c>
      <c r="N262" s="5" t="s">
        <v>170</v>
      </c>
      <c r="O262" s="6" t="s">
        <v>78</v>
      </c>
      <c r="P262" s="6" t="s">
        <v>80</v>
      </c>
      <c r="Q262" s="6">
        <v>2003</v>
      </c>
      <c r="R262" s="6" t="s">
        <v>50</v>
      </c>
      <c r="S262" s="6">
        <v>28</v>
      </c>
      <c r="T262" s="6">
        <v>13.5</v>
      </c>
      <c r="U262" s="6">
        <v>2157</v>
      </c>
      <c r="V262" s="6">
        <v>40.299999999999997</v>
      </c>
      <c r="W262" s="6">
        <v>0</v>
      </c>
      <c r="X262" s="6">
        <v>600</v>
      </c>
      <c r="Y262" s="6">
        <v>1043</v>
      </c>
      <c r="Z262" s="6">
        <v>457</v>
      </c>
      <c r="AA262" s="6">
        <v>57</v>
      </c>
      <c r="AB262" s="6">
        <v>0</v>
      </c>
      <c r="AC262" s="7">
        <v>103</v>
      </c>
      <c r="AD262" s="7" t="s">
        <v>52</v>
      </c>
      <c r="AE262" s="7">
        <v>32.15</v>
      </c>
      <c r="AF262" s="7">
        <v>213</v>
      </c>
      <c r="AG262" s="7">
        <v>25.29</v>
      </c>
      <c r="AH262" s="7">
        <v>38.880000000000003</v>
      </c>
      <c r="AI262" s="7">
        <v>42.66</v>
      </c>
      <c r="AJ262" s="9">
        <v>350.99799657438001</v>
      </c>
      <c r="AK262" s="9">
        <v>353.62730443794902</v>
      </c>
      <c r="AL262" s="9">
        <v>391.99677424309999</v>
      </c>
      <c r="AM262" s="9">
        <v>78.738548582272401</v>
      </c>
      <c r="AN262" s="9">
        <v>0.76445192798322703</v>
      </c>
      <c r="AO262" s="9">
        <v>0.199188158307436</v>
      </c>
      <c r="AP262" s="9">
        <v>922.88032555244604</v>
      </c>
      <c r="AQ262" s="9">
        <v>8.9600031607033603</v>
      </c>
      <c r="AR262" s="9">
        <v>4.5065654935310704</v>
      </c>
      <c r="AS262" s="73" t="s">
        <v>169</v>
      </c>
      <c r="AT262" s="8"/>
      <c r="AU262" s="10" t="s">
        <v>169</v>
      </c>
      <c r="AV262" s="10">
        <v>0</v>
      </c>
      <c r="AW262" s="8"/>
      <c r="AX262" s="74" t="s">
        <v>169</v>
      </c>
      <c r="AY262" s="74"/>
      <c r="AZ262" s="74"/>
      <c r="BA262" s="74"/>
      <c r="BB262" s="8"/>
      <c r="BC262" s="8"/>
      <c r="BD262" s="8"/>
      <c r="BE262" s="8"/>
      <c r="BF262" s="12">
        <v>0.44</v>
      </c>
      <c r="BG262" s="13">
        <v>300.40019466162931</v>
      </c>
      <c r="BH262" s="96" t="str">
        <f>+VLOOKUP(G262,Liste!$A$7:$G$50,3,FALSE)</f>
        <v>Pin sylvestre</v>
      </c>
      <c r="BI262" s="96" t="str">
        <f>+VLOOKUP(H262,Liste!$B$7:$G$50,5,FALSE)</f>
        <v>GS Pineraies des plaines du Centre et du Nord Ouest</v>
      </c>
      <c r="BJ262" s="135">
        <f t="shared" si="91"/>
        <v>103</v>
      </c>
      <c r="BK262" s="135" t="str">
        <f t="shared" si="93"/>
        <v>Pin sylvestre_F2_Eclaircie tardive_GS Pineraies des plaines du Centre et du Nord Ouest_103_</v>
      </c>
      <c r="BL262" s="322"/>
      <c r="BM262" s="13">
        <v>76.014475090158669</v>
      </c>
      <c r="BN262" s="13">
        <v>376.41466975178798</v>
      </c>
      <c r="BP262" s="13">
        <v>268.42</v>
      </c>
      <c r="BQ262" s="13">
        <v>4.1522577379032599</v>
      </c>
      <c r="BT262" s="298" t="str">
        <f>+VLOOKUP(G262,Liste!$A$7:$H$50,8,FALSE)</f>
        <v>Résineux</v>
      </c>
      <c r="BU262" s="298">
        <f t="shared" si="94"/>
        <v>0</v>
      </c>
      <c r="BV262" s="300">
        <f t="shared" si="95"/>
        <v>1</v>
      </c>
      <c r="BW262" s="321">
        <v>0</v>
      </c>
      <c r="BX262" s="298">
        <f t="shared" si="96"/>
        <v>0.43</v>
      </c>
      <c r="BY262">
        <f t="shared" si="97"/>
        <v>0</v>
      </c>
      <c r="BZ262" s="304">
        <f t="shared" si="98"/>
        <v>0</v>
      </c>
      <c r="CB262" s="299">
        <v>0.6</v>
      </c>
      <c r="CC262" s="299">
        <v>0.4</v>
      </c>
      <c r="CD262">
        <f t="shared" si="99"/>
        <v>0</v>
      </c>
      <c r="CE262">
        <f t="shared" si="100"/>
        <v>0</v>
      </c>
      <c r="CF262">
        <f t="shared" si="101"/>
        <v>0</v>
      </c>
      <c r="CG262">
        <f t="shared" si="102"/>
        <v>0</v>
      </c>
      <c r="CH262">
        <f t="shared" si="103"/>
        <v>0</v>
      </c>
      <c r="CI262">
        <f t="shared" si="104"/>
        <v>0</v>
      </c>
      <c r="CJ262">
        <f t="shared" si="105"/>
        <v>0</v>
      </c>
      <c r="CK262">
        <f t="shared" si="106"/>
        <v>0</v>
      </c>
      <c r="CL262">
        <f t="shared" si="107"/>
        <v>0</v>
      </c>
      <c r="CM262">
        <f t="shared" si="109"/>
        <v>0</v>
      </c>
      <c r="CN262">
        <f t="shared" si="108"/>
        <v>0</v>
      </c>
      <c r="CO262">
        <f t="shared" si="92"/>
        <v>0</v>
      </c>
    </row>
    <row r="263" spans="1:93" s="12" customFormat="1" ht="14.65" customHeight="1" x14ac:dyDescent="0.25">
      <c r="A263" s="4">
        <v>2021</v>
      </c>
      <c r="B263" s="4"/>
      <c r="C263" s="4" t="s">
        <v>64</v>
      </c>
      <c r="D263" s="4" t="s">
        <v>65</v>
      </c>
      <c r="E263" s="4"/>
      <c r="F263" s="4" t="s">
        <v>90</v>
      </c>
      <c r="G263" s="5" t="s">
        <v>15</v>
      </c>
      <c r="H263" s="5" t="s">
        <v>21</v>
      </c>
      <c r="I263" s="5" t="s">
        <v>147</v>
      </c>
      <c r="J263" s="5" t="s">
        <v>10</v>
      </c>
      <c r="K263" s="5">
        <v>23</v>
      </c>
      <c r="L263" s="5">
        <v>45</v>
      </c>
      <c r="M263" s="5">
        <v>2500</v>
      </c>
      <c r="N263" s="5" t="s">
        <v>170</v>
      </c>
      <c r="O263" s="6" t="s">
        <v>78</v>
      </c>
      <c r="P263" s="6" t="s">
        <v>80</v>
      </c>
      <c r="Q263" s="6">
        <v>2003</v>
      </c>
      <c r="R263" s="6" t="s">
        <v>50</v>
      </c>
      <c r="S263" s="6">
        <v>28</v>
      </c>
      <c r="T263" s="6">
        <v>13.5</v>
      </c>
      <c r="U263" s="6">
        <v>2157</v>
      </c>
      <c r="V263" s="6">
        <v>40.299999999999997</v>
      </c>
      <c r="W263" s="6">
        <v>0</v>
      </c>
      <c r="X263" s="6">
        <v>600</v>
      </c>
      <c r="Y263" s="6">
        <v>1043</v>
      </c>
      <c r="Z263" s="6">
        <v>457</v>
      </c>
      <c r="AA263" s="6">
        <v>57</v>
      </c>
      <c r="AB263" s="6">
        <v>0</v>
      </c>
      <c r="AC263" s="7">
        <v>104</v>
      </c>
      <c r="AD263" s="7" t="s">
        <v>52</v>
      </c>
      <c r="AE263" s="7">
        <v>32.28</v>
      </c>
      <c r="AF263" s="7">
        <v>213</v>
      </c>
      <c r="AG263" s="7">
        <v>25.49</v>
      </c>
      <c r="AH263" s="7">
        <v>39.04</v>
      </c>
      <c r="AI263" s="7">
        <v>42.83</v>
      </c>
      <c r="AJ263" s="9">
        <v>355.20580171326799</v>
      </c>
      <c r="AK263" s="9">
        <v>357.861996579199</v>
      </c>
      <c r="AL263" s="9">
        <v>396.50333973663101</v>
      </c>
      <c r="AM263" s="9">
        <v>78.937736740579794</v>
      </c>
      <c r="AN263" s="9">
        <v>0.75901669942865202</v>
      </c>
      <c r="AO263" s="9">
        <v>0.196710604093042</v>
      </c>
      <c r="AP263" s="9">
        <v>927.38689104597699</v>
      </c>
      <c r="AQ263" s="9">
        <v>8.9171816446728602</v>
      </c>
      <c r="AR263" s="9">
        <v>4.3878504942746304</v>
      </c>
      <c r="AS263" s="73" t="s">
        <v>169</v>
      </c>
      <c r="AT263" s="8"/>
      <c r="AU263" s="10" t="s">
        <v>169</v>
      </c>
      <c r="AV263" s="10">
        <v>0</v>
      </c>
      <c r="AW263" s="8"/>
      <c r="AX263" s="74" t="s">
        <v>169</v>
      </c>
      <c r="AY263" s="74"/>
      <c r="AZ263" s="74"/>
      <c r="BA263" s="74"/>
      <c r="BB263" s="8"/>
      <c r="BC263" s="8"/>
      <c r="BD263" s="8"/>
      <c r="BE263" s="8"/>
      <c r="BF263" s="12">
        <v>0.44</v>
      </c>
      <c r="BG263" s="13">
        <v>303.85372601817164</v>
      </c>
      <c r="BH263" s="96" t="str">
        <f>+VLOOKUP(G263,Liste!$A$7:$G$50,3,FALSE)</f>
        <v>Pin sylvestre</v>
      </c>
      <c r="BI263" s="96" t="str">
        <f>+VLOOKUP(H263,Liste!$B$7:$G$50,5,FALSE)</f>
        <v>GS Pineraies des plaines du Centre et du Nord Ouest</v>
      </c>
      <c r="BJ263" s="135">
        <f t="shared" si="91"/>
        <v>104</v>
      </c>
      <c r="BK263" s="135" t="str">
        <f t="shared" si="93"/>
        <v>Pin sylvestre_F2_Eclaircie tardive_GS Pineraies des plaines du Centre et du Nord Ouest_104_</v>
      </c>
      <c r="BL263" s="322"/>
      <c r="BM263" s="13">
        <v>76.786134680264354</v>
      </c>
      <c r="BN263" s="13">
        <v>380.639860698436</v>
      </c>
      <c r="BP263" s="13">
        <v>268.42</v>
      </c>
      <c r="BQ263" s="13">
        <v>4.0424964955815303</v>
      </c>
      <c r="BT263" s="298" t="str">
        <f>+VLOOKUP(G263,Liste!$A$7:$H$50,8,FALSE)</f>
        <v>Résineux</v>
      </c>
      <c r="BU263" s="298">
        <f t="shared" si="94"/>
        <v>0</v>
      </c>
      <c r="BV263" s="300">
        <f t="shared" si="95"/>
        <v>1</v>
      </c>
      <c r="BW263" s="321">
        <v>0</v>
      </c>
      <c r="BX263" s="298">
        <f t="shared" si="96"/>
        <v>0.43</v>
      </c>
      <c r="BY263">
        <f t="shared" si="97"/>
        <v>0</v>
      </c>
      <c r="BZ263" s="304">
        <f t="shared" si="98"/>
        <v>0</v>
      </c>
      <c r="CB263" s="299">
        <v>0.6</v>
      </c>
      <c r="CC263" s="299">
        <v>0.4</v>
      </c>
      <c r="CD263">
        <f t="shared" si="99"/>
        <v>0</v>
      </c>
      <c r="CE263">
        <f t="shared" si="100"/>
        <v>0</v>
      </c>
      <c r="CF263">
        <f t="shared" si="101"/>
        <v>0</v>
      </c>
      <c r="CG263">
        <f t="shared" si="102"/>
        <v>0</v>
      </c>
      <c r="CH263">
        <f t="shared" si="103"/>
        <v>0</v>
      </c>
      <c r="CI263">
        <f t="shared" si="104"/>
        <v>0</v>
      </c>
      <c r="CJ263">
        <f t="shared" si="105"/>
        <v>0</v>
      </c>
      <c r="CK263">
        <f t="shared" si="106"/>
        <v>0</v>
      </c>
      <c r="CL263">
        <f t="shared" si="107"/>
        <v>0</v>
      </c>
      <c r="CM263">
        <f t="shared" si="109"/>
        <v>0</v>
      </c>
      <c r="CN263">
        <f t="shared" si="108"/>
        <v>0</v>
      </c>
      <c r="CO263">
        <f t="shared" si="92"/>
        <v>0</v>
      </c>
    </row>
    <row r="264" spans="1:93" s="12" customFormat="1" ht="14.65" customHeight="1" x14ac:dyDescent="0.25">
      <c r="A264" s="4">
        <v>2021</v>
      </c>
      <c r="B264" s="4"/>
      <c r="C264" s="4" t="s">
        <v>64</v>
      </c>
      <c r="D264" s="4" t="s">
        <v>65</v>
      </c>
      <c r="E264" s="4"/>
      <c r="F264" s="4" t="s">
        <v>90</v>
      </c>
      <c r="G264" s="5" t="s">
        <v>15</v>
      </c>
      <c r="H264" s="5" t="s">
        <v>21</v>
      </c>
      <c r="I264" s="5" t="s">
        <v>147</v>
      </c>
      <c r="J264" s="5" t="s">
        <v>10</v>
      </c>
      <c r="K264" s="5">
        <v>23</v>
      </c>
      <c r="L264" s="5">
        <v>45</v>
      </c>
      <c r="M264" s="5">
        <v>2500</v>
      </c>
      <c r="N264" s="5" t="s">
        <v>170</v>
      </c>
      <c r="O264" s="6" t="s">
        <v>78</v>
      </c>
      <c r="P264" s="6" t="s">
        <v>80</v>
      </c>
      <c r="Q264" s="6">
        <v>2003</v>
      </c>
      <c r="R264" s="6" t="s">
        <v>50</v>
      </c>
      <c r="S264" s="6">
        <v>28</v>
      </c>
      <c r="T264" s="6">
        <v>13.5</v>
      </c>
      <c r="U264" s="6">
        <v>2157</v>
      </c>
      <c r="V264" s="6">
        <v>40.299999999999997</v>
      </c>
      <c r="W264" s="6">
        <v>0</v>
      </c>
      <c r="X264" s="6">
        <v>600</v>
      </c>
      <c r="Y264" s="6">
        <v>1043</v>
      </c>
      <c r="Z264" s="6">
        <v>457</v>
      </c>
      <c r="AA264" s="6">
        <v>57</v>
      </c>
      <c r="AB264" s="6">
        <v>0</v>
      </c>
      <c r="AC264" s="7">
        <v>105</v>
      </c>
      <c r="AD264" s="7" t="s">
        <v>52</v>
      </c>
      <c r="AE264" s="7">
        <v>32.409999999999997</v>
      </c>
      <c r="AF264" s="7">
        <v>213</v>
      </c>
      <c r="AG264" s="7">
        <v>25.69</v>
      </c>
      <c r="AH264" s="7">
        <v>39.19</v>
      </c>
      <c r="AI264" s="7">
        <v>43.01</v>
      </c>
      <c r="AJ264" s="9">
        <v>359.29138001892397</v>
      </c>
      <c r="AK264" s="9">
        <v>361.97513281617898</v>
      </c>
      <c r="AL264" s="9">
        <v>400.89119023090598</v>
      </c>
      <c r="AM264" s="9">
        <v>79.134447344672907</v>
      </c>
      <c r="AN264" s="9">
        <v>0.75366140328259901</v>
      </c>
      <c r="AO264" s="9">
        <v>0.19527493552026001</v>
      </c>
      <c r="AP264" s="9">
        <v>931.77474154025197</v>
      </c>
      <c r="AQ264" s="9">
        <v>8.8740451575262096</v>
      </c>
      <c r="AR264" s="9">
        <v>4.3720139100978503</v>
      </c>
      <c r="AS264" s="73" t="s">
        <v>169</v>
      </c>
      <c r="AT264" s="8"/>
      <c r="AU264" s="10" t="s">
        <v>169</v>
      </c>
      <c r="AV264" s="10">
        <v>0</v>
      </c>
      <c r="AW264" s="8"/>
      <c r="AX264" s="74" t="s">
        <v>169</v>
      </c>
      <c r="AY264" s="74"/>
      <c r="AZ264" s="74"/>
      <c r="BA264" s="74"/>
      <c r="BB264" s="8"/>
      <c r="BC264" s="8"/>
      <c r="BD264" s="8"/>
      <c r="BE264" s="8"/>
      <c r="BF264" s="12">
        <v>0.44</v>
      </c>
      <c r="BG264" s="13">
        <v>307.21628211361741</v>
      </c>
      <c r="BH264" s="96" t="str">
        <f>+VLOOKUP(G264,Liste!$A$7:$G$50,3,FALSE)</f>
        <v>Pin sylvestre</v>
      </c>
      <c r="BI264" s="96" t="str">
        <f>+VLOOKUP(H264,Liste!$B$7:$G$50,5,FALSE)</f>
        <v>GS Pineraies des plaines du Centre et du Nord Ouest</v>
      </c>
      <c r="BJ264" s="135">
        <f t="shared" si="91"/>
        <v>105</v>
      </c>
      <c r="BK264" s="135" t="str">
        <f t="shared" si="93"/>
        <v>Pin sylvestre_F2_Eclaircie tardive_GS Pineraies des plaines du Centre et du Nord Ouest_105_</v>
      </c>
      <c r="BL264" s="322"/>
      <c r="BM264" s="13">
        <v>77.5364863070306</v>
      </c>
      <c r="BN264" s="13">
        <v>384.75276842064801</v>
      </c>
      <c r="BP264" s="13">
        <v>268.42</v>
      </c>
      <c r="BQ264" s="13">
        <v>4.0275357679869304</v>
      </c>
      <c r="BT264" s="298" t="str">
        <f>+VLOOKUP(G264,Liste!$A$7:$H$50,8,FALSE)</f>
        <v>Résineux</v>
      </c>
      <c r="BU264" s="298">
        <f t="shared" si="94"/>
        <v>0</v>
      </c>
      <c r="BV264" s="300">
        <f t="shared" si="95"/>
        <v>1</v>
      </c>
      <c r="BW264" s="321">
        <v>0</v>
      </c>
      <c r="BX264" s="298">
        <f t="shared" si="96"/>
        <v>0.43</v>
      </c>
      <c r="BY264">
        <f t="shared" si="97"/>
        <v>0</v>
      </c>
      <c r="BZ264" s="304">
        <f t="shared" si="98"/>
        <v>0</v>
      </c>
      <c r="CB264" s="299">
        <v>0.6</v>
      </c>
      <c r="CC264" s="299">
        <v>0.4</v>
      </c>
      <c r="CD264">
        <f t="shared" si="99"/>
        <v>0</v>
      </c>
      <c r="CE264">
        <f t="shared" si="100"/>
        <v>0</v>
      </c>
      <c r="CF264">
        <f t="shared" si="101"/>
        <v>0</v>
      </c>
      <c r="CG264">
        <f t="shared" si="102"/>
        <v>0</v>
      </c>
      <c r="CH264">
        <f t="shared" si="103"/>
        <v>0</v>
      </c>
      <c r="CI264">
        <f t="shared" si="104"/>
        <v>0</v>
      </c>
      <c r="CJ264">
        <f t="shared" si="105"/>
        <v>0</v>
      </c>
      <c r="CK264">
        <f t="shared" si="106"/>
        <v>0</v>
      </c>
      <c r="CL264">
        <f t="shared" si="107"/>
        <v>0</v>
      </c>
      <c r="CM264">
        <f t="shared" si="109"/>
        <v>0</v>
      </c>
      <c r="CN264">
        <f t="shared" si="108"/>
        <v>0</v>
      </c>
      <c r="CO264">
        <f t="shared" si="92"/>
        <v>0</v>
      </c>
    </row>
    <row r="265" spans="1:93" s="12" customFormat="1" ht="14.65" customHeight="1" x14ac:dyDescent="0.25">
      <c r="A265" s="4">
        <v>2021</v>
      </c>
      <c r="B265" s="4"/>
      <c r="C265" s="4" t="s">
        <v>64</v>
      </c>
      <c r="D265" s="4" t="s">
        <v>65</v>
      </c>
      <c r="E265" s="4"/>
      <c r="F265" s="4" t="s">
        <v>90</v>
      </c>
      <c r="G265" s="5" t="s">
        <v>15</v>
      </c>
      <c r="H265" s="5" t="s">
        <v>21</v>
      </c>
      <c r="I265" s="5" t="s">
        <v>147</v>
      </c>
      <c r="J265" s="5" t="s">
        <v>10</v>
      </c>
      <c r="K265" s="5">
        <v>23</v>
      </c>
      <c r="L265" s="5">
        <v>45</v>
      </c>
      <c r="M265" s="5">
        <v>2500</v>
      </c>
      <c r="N265" s="5" t="s">
        <v>170</v>
      </c>
      <c r="O265" s="6" t="s">
        <v>78</v>
      </c>
      <c r="P265" s="6" t="s">
        <v>80</v>
      </c>
      <c r="Q265" s="6">
        <v>2003</v>
      </c>
      <c r="R265" s="6" t="s">
        <v>50</v>
      </c>
      <c r="S265" s="6">
        <v>28</v>
      </c>
      <c r="T265" s="6">
        <v>13.5</v>
      </c>
      <c r="U265" s="6">
        <v>2157</v>
      </c>
      <c r="V265" s="6">
        <v>40.299999999999997</v>
      </c>
      <c r="W265" s="6">
        <v>0</v>
      </c>
      <c r="X265" s="6">
        <v>600</v>
      </c>
      <c r="Y265" s="6">
        <v>1043</v>
      </c>
      <c r="Z265" s="6">
        <v>457</v>
      </c>
      <c r="AA265" s="6">
        <v>57</v>
      </c>
      <c r="AB265" s="6">
        <v>0</v>
      </c>
      <c r="AC265" s="7">
        <v>106</v>
      </c>
      <c r="AD265" s="7" t="s">
        <v>52</v>
      </c>
      <c r="AE265" s="7">
        <v>32.53</v>
      </c>
      <c r="AF265" s="7">
        <v>213</v>
      </c>
      <c r="AG265" s="7">
        <v>25.88</v>
      </c>
      <c r="AH265" s="7">
        <v>39.33</v>
      </c>
      <c r="AI265" s="7">
        <v>43.17</v>
      </c>
      <c r="AJ265" s="9">
        <v>363.363860701862</v>
      </c>
      <c r="AK265" s="9">
        <v>366.07500383656901</v>
      </c>
      <c r="AL265" s="9">
        <v>405.263204141004</v>
      </c>
      <c r="AM265" s="9">
        <v>79.329722280193096</v>
      </c>
      <c r="AN265" s="9">
        <v>0.74839360641691599</v>
      </c>
      <c r="AO265" s="9">
        <v>0.193204767333199</v>
      </c>
      <c r="AP265" s="9">
        <v>936.14675545035004</v>
      </c>
      <c r="AQ265" s="9">
        <v>8.8315731646259401</v>
      </c>
      <c r="AR265" s="9">
        <v>4.3474510374215898</v>
      </c>
      <c r="AS265" s="73" t="s">
        <v>169</v>
      </c>
      <c r="AT265" s="8"/>
      <c r="AU265" s="10" t="s">
        <v>169</v>
      </c>
      <c r="AV265" s="10">
        <v>0</v>
      </c>
      <c r="AW265" s="8"/>
      <c r="AX265" s="74" t="s">
        <v>169</v>
      </c>
      <c r="AY265" s="74"/>
      <c r="AZ265" s="74"/>
      <c r="BA265" s="74"/>
      <c r="BB265" s="8"/>
      <c r="BC265" s="8"/>
      <c r="BD265" s="8"/>
      <c r="BE265" s="8"/>
      <c r="BF265" s="12">
        <v>0.44</v>
      </c>
      <c r="BG265" s="13">
        <v>310.56670210672263</v>
      </c>
      <c r="BH265" s="96" t="str">
        <f>+VLOOKUP(G265,Liste!$A$7:$G$50,3,FALSE)</f>
        <v>Pin sylvestre</v>
      </c>
      <c r="BI265" s="96" t="str">
        <f>+VLOOKUP(H265,Liste!$B$7:$G$50,5,FALSE)</f>
        <v>GS Pineraies des plaines du Centre et du Nord Ouest</v>
      </c>
      <c r="BJ265" s="135">
        <f t="shared" si="91"/>
        <v>106</v>
      </c>
      <c r="BK265" s="135" t="str">
        <f t="shared" si="93"/>
        <v>Pin sylvestre_F2_Eclaircie tardive_GS Pineraies des plaines du Centre et du Nord Ouest_106_</v>
      </c>
      <c r="BL265" s="322"/>
      <c r="BM265" s="13">
        <v>78.283179545701387</v>
      </c>
      <c r="BN265" s="13">
        <v>388.84988165242402</v>
      </c>
      <c r="BP265" s="13">
        <v>268.42</v>
      </c>
      <c r="BQ265" s="13">
        <v>4.0045433451680301</v>
      </c>
      <c r="BT265" s="298" t="str">
        <f>+VLOOKUP(G265,Liste!$A$7:$H$50,8,FALSE)</f>
        <v>Résineux</v>
      </c>
      <c r="BU265" s="298">
        <f t="shared" si="94"/>
        <v>0</v>
      </c>
      <c r="BV265" s="300">
        <f t="shared" si="95"/>
        <v>1</v>
      </c>
      <c r="BW265" s="321">
        <v>0</v>
      </c>
      <c r="BX265" s="298">
        <f t="shared" si="96"/>
        <v>0.43</v>
      </c>
      <c r="BY265">
        <f t="shared" si="97"/>
        <v>0</v>
      </c>
      <c r="BZ265" s="304">
        <f t="shared" si="98"/>
        <v>0</v>
      </c>
      <c r="CB265" s="299">
        <v>0.6</v>
      </c>
      <c r="CC265" s="299">
        <v>0.4</v>
      </c>
      <c r="CD265">
        <f t="shared" si="99"/>
        <v>0</v>
      </c>
      <c r="CE265">
        <f t="shared" si="100"/>
        <v>0</v>
      </c>
      <c r="CF265">
        <f t="shared" si="101"/>
        <v>0</v>
      </c>
      <c r="CG265">
        <f t="shared" si="102"/>
        <v>0</v>
      </c>
      <c r="CH265">
        <f t="shared" si="103"/>
        <v>0</v>
      </c>
      <c r="CI265">
        <f t="shared" si="104"/>
        <v>0</v>
      </c>
      <c r="CJ265">
        <f t="shared" si="105"/>
        <v>0</v>
      </c>
      <c r="CK265">
        <f t="shared" si="106"/>
        <v>0</v>
      </c>
      <c r="CL265">
        <f t="shared" si="107"/>
        <v>0</v>
      </c>
      <c r="CM265">
        <f t="shared" si="109"/>
        <v>0</v>
      </c>
      <c r="CN265">
        <f t="shared" si="108"/>
        <v>0</v>
      </c>
      <c r="CO265">
        <f t="shared" si="92"/>
        <v>0</v>
      </c>
    </row>
    <row r="266" spans="1:93" s="12" customFormat="1" ht="14.65" customHeight="1" x14ac:dyDescent="0.25">
      <c r="A266" s="4">
        <v>2021</v>
      </c>
      <c r="B266" s="4"/>
      <c r="C266" s="4" t="s">
        <v>64</v>
      </c>
      <c r="D266" s="4" t="s">
        <v>65</v>
      </c>
      <c r="E266" s="4"/>
      <c r="F266" s="4" t="s">
        <v>90</v>
      </c>
      <c r="G266" s="5" t="s">
        <v>15</v>
      </c>
      <c r="H266" s="5" t="s">
        <v>21</v>
      </c>
      <c r="I266" s="5" t="s">
        <v>147</v>
      </c>
      <c r="J266" s="5" t="s">
        <v>10</v>
      </c>
      <c r="K266" s="5">
        <v>23</v>
      </c>
      <c r="L266" s="5">
        <v>45</v>
      </c>
      <c r="M266" s="5">
        <v>2500</v>
      </c>
      <c r="N266" s="5" t="s">
        <v>170</v>
      </c>
      <c r="O266" s="6" t="s">
        <v>78</v>
      </c>
      <c r="P266" s="6" t="s">
        <v>80</v>
      </c>
      <c r="Q266" s="6">
        <v>2003</v>
      </c>
      <c r="R266" s="6" t="s">
        <v>50</v>
      </c>
      <c r="S266" s="6">
        <v>28</v>
      </c>
      <c r="T266" s="6">
        <v>13.5</v>
      </c>
      <c r="U266" s="6">
        <v>2157</v>
      </c>
      <c r="V266" s="6">
        <v>40.299999999999997</v>
      </c>
      <c r="W266" s="6">
        <v>0</v>
      </c>
      <c r="X266" s="6">
        <v>600</v>
      </c>
      <c r="Y266" s="6">
        <v>1043</v>
      </c>
      <c r="Z266" s="6">
        <v>457</v>
      </c>
      <c r="AA266" s="6">
        <v>57</v>
      </c>
      <c r="AB266" s="6">
        <v>0</v>
      </c>
      <c r="AC266" s="7">
        <v>107</v>
      </c>
      <c r="AD266" s="7" t="s">
        <v>52</v>
      </c>
      <c r="AE266" s="7">
        <v>32.659999999999997</v>
      </c>
      <c r="AF266" s="7">
        <v>213</v>
      </c>
      <c r="AG266" s="7">
        <v>26.08</v>
      </c>
      <c r="AH266" s="7">
        <v>39.479999999999997</v>
      </c>
      <c r="AI266" s="7">
        <v>43.34</v>
      </c>
      <c r="AJ266" s="9">
        <v>367.41604145914999</v>
      </c>
      <c r="AK266" s="9">
        <v>370.15408857795001</v>
      </c>
      <c r="AL266" s="9">
        <v>409.61065517842502</v>
      </c>
      <c r="AM266" s="9">
        <v>79.522927047526295</v>
      </c>
      <c r="AN266" s="9">
        <v>0.74320492567781604</v>
      </c>
      <c r="AO266" s="9">
        <v>0.19143228075806501</v>
      </c>
      <c r="AP266" s="9">
        <v>940.49420648777095</v>
      </c>
      <c r="AQ266" s="9">
        <v>8.7896654811941204</v>
      </c>
      <c r="AR266" s="9">
        <v>4.3788540714939499</v>
      </c>
      <c r="AS266" s="73" t="s">
        <v>169</v>
      </c>
      <c r="AT266" s="8"/>
      <c r="AU266" s="10" t="s">
        <v>169</v>
      </c>
      <c r="AV266" s="10">
        <v>0</v>
      </c>
      <c r="AW266" s="8"/>
      <c r="AX266" s="74" t="s">
        <v>169</v>
      </c>
      <c r="AY266" s="74"/>
      <c r="AZ266" s="74"/>
      <c r="BA266" s="74"/>
      <c r="BB266" s="8"/>
      <c r="BC266" s="8"/>
      <c r="BD266" s="8"/>
      <c r="BE266" s="8"/>
      <c r="BF266" s="12">
        <v>0.44</v>
      </c>
      <c r="BG266" s="13">
        <v>313.89829875173331</v>
      </c>
      <c r="BH266" s="96" t="str">
        <f>+VLOOKUP(G266,Liste!$A$7:$G$50,3,FALSE)</f>
        <v>Pin sylvestre</v>
      </c>
      <c r="BI266" s="96" t="str">
        <f>+VLOOKUP(H266,Liste!$B$7:$G$50,5,FALSE)</f>
        <v>GS Pineraies des plaines du Centre et du Nord Ouest</v>
      </c>
      <c r="BJ266" s="135">
        <f t="shared" si="91"/>
        <v>107</v>
      </c>
      <c r="BK266" s="135" t="str">
        <f t="shared" si="93"/>
        <v>Pin sylvestre_F2_Eclaircie tardive_GS Pineraies des plaines du Centre et du Nord Ouest_107_</v>
      </c>
      <c r="BL266" s="322"/>
      <c r="BM266" s="13">
        <v>79.024748491548678</v>
      </c>
      <c r="BN266" s="13">
        <v>392.92304724328199</v>
      </c>
      <c r="BP266" s="13">
        <v>268.42</v>
      </c>
      <c r="BQ266" s="13">
        <v>4.03310352948517</v>
      </c>
      <c r="BT266" s="298" t="str">
        <f>+VLOOKUP(G266,Liste!$A$7:$H$50,8,FALSE)</f>
        <v>Résineux</v>
      </c>
      <c r="BU266" s="298">
        <f t="shared" si="94"/>
        <v>0</v>
      </c>
      <c r="BV266" s="300">
        <f t="shared" si="95"/>
        <v>1</v>
      </c>
      <c r="BW266" s="321">
        <v>0</v>
      </c>
      <c r="BX266" s="298">
        <f t="shared" si="96"/>
        <v>0.43</v>
      </c>
      <c r="BY266">
        <f t="shared" si="97"/>
        <v>0</v>
      </c>
      <c r="BZ266" s="304">
        <f t="shared" si="98"/>
        <v>0</v>
      </c>
      <c r="CB266" s="299">
        <v>0.6</v>
      </c>
      <c r="CC266" s="299">
        <v>0.4</v>
      </c>
      <c r="CD266">
        <f t="shared" si="99"/>
        <v>0</v>
      </c>
      <c r="CE266">
        <f t="shared" si="100"/>
        <v>0</v>
      </c>
      <c r="CF266">
        <f t="shared" si="101"/>
        <v>0</v>
      </c>
      <c r="CG266">
        <f t="shared" si="102"/>
        <v>0</v>
      </c>
      <c r="CH266">
        <f t="shared" si="103"/>
        <v>0</v>
      </c>
      <c r="CI266">
        <f t="shared" si="104"/>
        <v>0</v>
      </c>
      <c r="CJ266">
        <f t="shared" si="105"/>
        <v>0</v>
      </c>
      <c r="CK266">
        <f t="shared" si="106"/>
        <v>0</v>
      </c>
      <c r="CL266">
        <f t="shared" si="107"/>
        <v>0</v>
      </c>
      <c r="CM266">
        <f t="shared" si="109"/>
        <v>0</v>
      </c>
      <c r="CN266">
        <f t="shared" si="108"/>
        <v>0</v>
      </c>
      <c r="CO266">
        <f t="shared" si="92"/>
        <v>0</v>
      </c>
    </row>
    <row r="267" spans="1:93" s="12" customFormat="1" ht="14.65" customHeight="1" x14ac:dyDescent="0.25">
      <c r="A267" s="4">
        <v>2021</v>
      </c>
      <c r="B267" s="4"/>
      <c r="C267" s="4" t="s">
        <v>64</v>
      </c>
      <c r="D267" s="4" t="s">
        <v>65</v>
      </c>
      <c r="E267" s="4"/>
      <c r="F267" s="4" t="s">
        <v>90</v>
      </c>
      <c r="G267" s="5" t="s">
        <v>15</v>
      </c>
      <c r="H267" s="5" t="s">
        <v>21</v>
      </c>
      <c r="I267" s="5" t="s">
        <v>147</v>
      </c>
      <c r="J267" s="5" t="s">
        <v>10</v>
      </c>
      <c r="K267" s="5">
        <v>23</v>
      </c>
      <c r="L267" s="5">
        <v>45</v>
      </c>
      <c r="M267" s="5">
        <v>2500</v>
      </c>
      <c r="N267" s="5" t="s">
        <v>170</v>
      </c>
      <c r="O267" s="6" t="s">
        <v>78</v>
      </c>
      <c r="P267" s="6" t="s">
        <v>80</v>
      </c>
      <c r="Q267" s="6">
        <v>2003</v>
      </c>
      <c r="R267" s="6" t="s">
        <v>50</v>
      </c>
      <c r="S267" s="6">
        <v>28</v>
      </c>
      <c r="T267" s="6">
        <v>13.5</v>
      </c>
      <c r="U267" s="6">
        <v>2157</v>
      </c>
      <c r="V267" s="6">
        <v>40.299999999999997</v>
      </c>
      <c r="W267" s="6">
        <v>0</v>
      </c>
      <c r="X267" s="6">
        <v>600</v>
      </c>
      <c r="Y267" s="6">
        <v>1043</v>
      </c>
      <c r="Z267" s="6">
        <v>457</v>
      </c>
      <c r="AA267" s="6">
        <v>57</v>
      </c>
      <c r="AB267" s="6">
        <v>0</v>
      </c>
      <c r="AC267" s="7">
        <v>108</v>
      </c>
      <c r="AD267" s="7" t="s">
        <v>52</v>
      </c>
      <c r="AE267" s="7">
        <v>32.78</v>
      </c>
      <c r="AF267" s="7">
        <v>213</v>
      </c>
      <c r="AG267" s="7">
        <v>26.27</v>
      </c>
      <c r="AH267" s="7">
        <v>39.630000000000003</v>
      </c>
      <c r="AI267" s="7">
        <v>43.51</v>
      </c>
      <c r="AJ267" s="9">
        <v>371.50807337451602</v>
      </c>
      <c r="AK267" s="9">
        <v>374.272174329623</v>
      </c>
      <c r="AL267" s="9">
        <v>413.98950924991902</v>
      </c>
      <c r="AM267" s="9">
        <v>79.714359328284402</v>
      </c>
      <c r="AN267" s="9">
        <v>0.73809591970633703</v>
      </c>
      <c r="AO267" s="9">
        <v>0.18963817217145601</v>
      </c>
      <c r="AP267" s="9">
        <v>944.87306055926501</v>
      </c>
      <c r="AQ267" s="9">
        <v>8.7488246348080096</v>
      </c>
      <c r="AR267" s="9">
        <v>4.3072563882638004</v>
      </c>
      <c r="AS267" s="73" t="s">
        <v>169</v>
      </c>
      <c r="AT267" s="8"/>
      <c r="AU267" s="10" t="s">
        <v>169</v>
      </c>
      <c r="AV267" s="10">
        <v>0</v>
      </c>
      <c r="AW267" s="8"/>
      <c r="AX267" s="74" t="s">
        <v>169</v>
      </c>
      <c r="AY267" s="74"/>
      <c r="AZ267" s="74"/>
      <c r="BA267" s="74"/>
      <c r="BB267" s="8"/>
      <c r="BC267" s="8"/>
      <c r="BD267" s="8"/>
      <c r="BE267" s="8"/>
      <c r="BF267" s="12">
        <v>0.44</v>
      </c>
      <c r="BG267" s="13">
        <v>317.25396058852175</v>
      </c>
      <c r="BH267" s="96" t="str">
        <f>+VLOOKUP(G267,Liste!$A$7:$G$50,3,FALSE)</f>
        <v>Pin sylvestre</v>
      </c>
      <c r="BI267" s="96" t="str">
        <f>+VLOOKUP(H267,Liste!$B$7:$G$50,5,FALSE)</f>
        <v>GS Pineraies des plaines du Centre et du Nord Ouest</v>
      </c>
      <c r="BJ267" s="135">
        <f t="shared" si="91"/>
        <v>108</v>
      </c>
      <c r="BK267" s="135" t="str">
        <f t="shared" si="93"/>
        <v>Pin sylvestre_F2_Eclaircie tardive_GS Pineraies des plaines du Centre et du Nord Ouest_108_</v>
      </c>
      <c r="BL267" s="322"/>
      <c r="BM267" s="13">
        <v>79.770748504275275</v>
      </c>
      <c r="BN267" s="13">
        <v>397.02470909279702</v>
      </c>
      <c r="BP267" s="13">
        <v>268.42</v>
      </c>
      <c r="BQ267" s="13">
        <v>3.96680269977958</v>
      </c>
      <c r="BT267" s="298" t="str">
        <f>+VLOOKUP(G267,Liste!$A$7:$H$50,8,FALSE)</f>
        <v>Résineux</v>
      </c>
      <c r="BU267" s="298">
        <f t="shared" si="94"/>
        <v>0</v>
      </c>
      <c r="BV267" s="300">
        <f t="shared" si="95"/>
        <v>1</v>
      </c>
      <c r="BW267" s="321">
        <v>0</v>
      </c>
      <c r="BX267" s="298">
        <f t="shared" si="96"/>
        <v>0.43</v>
      </c>
      <c r="BY267">
        <f t="shared" si="97"/>
        <v>0</v>
      </c>
      <c r="BZ267" s="304">
        <f t="shared" si="98"/>
        <v>0</v>
      </c>
      <c r="CB267" s="299">
        <v>0.6</v>
      </c>
      <c r="CC267" s="299">
        <v>0.4</v>
      </c>
      <c r="CD267">
        <f t="shared" si="99"/>
        <v>0</v>
      </c>
      <c r="CE267">
        <f t="shared" si="100"/>
        <v>0</v>
      </c>
      <c r="CF267">
        <f t="shared" si="101"/>
        <v>0</v>
      </c>
      <c r="CG267">
        <f t="shared" si="102"/>
        <v>0</v>
      </c>
      <c r="CH267">
        <f t="shared" si="103"/>
        <v>0</v>
      </c>
      <c r="CI267">
        <f t="shared" si="104"/>
        <v>0</v>
      </c>
      <c r="CJ267">
        <f t="shared" si="105"/>
        <v>0</v>
      </c>
      <c r="CK267">
        <f t="shared" si="106"/>
        <v>0</v>
      </c>
      <c r="CL267">
        <f t="shared" si="107"/>
        <v>0</v>
      </c>
      <c r="CM267">
        <f t="shared" si="109"/>
        <v>0</v>
      </c>
      <c r="CN267">
        <f t="shared" si="108"/>
        <v>0</v>
      </c>
      <c r="CO267">
        <f t="shared" si="92"/>
        <v>0</v>
      </c>
    </row>
    <row r="268" spans="1:93" s="12" customFormat="1" ht="14.65" customHeight="1" x14ac:dyDescent="0.25">
      <c r="A268" s="4">
        <v>2021</v>
      </c>
      <c r="B268" s="4"/>
      <c r="C268" s="4" t="s">
        <v>64</v>
      </c>
      <c r="D268" s="4" t="s">
        <v>65</v>
      </c>
      <c r="E268" s="4"/>
      <c r="F268" s="4" t="s">
        <v>90</v>
      </c>
      <c r="G268" s="5" t="s">
        <v>15</v>
      </c>
      <c r="H268" s="5" t="s">
        <v>21</v>
      </c>
      <c r="I268" s="5" t="s">
        <v>147</v>
      </c>
      <c r="J268" s="5" t="s">
        <v>10</v>
      </c>
      <c r="K268" s="5">
        <v>23</v>
      </c>
      <c r="L268" s="5">
        <v>45</v>
      </c>
      <c r="M268" s="5">
        <v>2500</v>
      </c>
      <c r="N268" s="5" t="s">
        <v>170</v>
      </c>
      <c r="O268" s="6" t="s">
        <v>78</v>
      </c>
      <c r="P268" s="6" t="s">
        <v>80</v>
      </c>
      <c r="Q268" s="6">
        <v>2003</v>
      </c>
      <c r="R268" s="6" t="s">
        <v>50</v>
      </c>
      <c r="S268" s="6">
        <v>28</v>
      </c>
      <c r="T268" s="6">
        <v>13.5</v>
      </c>
      <c r="U268" s="6">
        <v>2157</v>
      </c>
      <c r="V268" s="6">
        <v>40.299999999999997</v>
      </c>
      <c r="W268" s="6">
        <v>0</v>
      </c>
      <c r="X268" s="6">
        <v>600</v>
      </c>
      <c r="Y268" s="6">
        <v>1043</v>
      </c>
      <c r="Z268" s="6">
        <v>457</v>
      </c>
      <c r="AA268" s="6">
        <v>57</v>
      </c>
      <c r="AB268" s="6">
        <v>0</v>
      </c>
      <c r="AC268" s="7">
        <v>109</v>
      </c>
      <c r="AD268" s="7" t="s">
        <v>52</v>
      </c>
      <c r="AE268" s="7">
        <v>32.9</v>
      </c>
      <c r="AF268" s="7">
        <v>213</v>
      </c>
      <c r="AG268" s="7">
        <v>26.46</v>
      </c>
      <c r="AH268" s="7">
        <v>39.770000000000003</v>
      </c>
      <c r="AI268" s="7">
        <v>43.67</v>
      </c>
      <c r="AJ268" s="9">
        <v>375.52724890698403</v>
      </c>
      <c r="AK268" s="9">
        <v>378.31772645043299</v>
      </c>
      <c r="AL268" s="9">
        <v>418.29676563818299</v>
      </c>
      <c r="AM268" s="9">
        <v>79.903997500455901</v>
      </c>
      <c r="AN268" s="9">
        <v>0.73306419725188898</v>
      </c>
      <c r="AO268" s="9">
        <v>0.18845398809059999</v>
      </c>
      <c r="AP268" s="9">
        <v>949.18031694752904</v>
      </c>
      <c r="AQ268" s="9">
        <v>8.7080763022709107</v>
      </c>
      <c r="AR268" s="9">
        <v>4.30499443174131</v>
      </c>
      <c r="AS268" s="73" t="s">
        <v>169</v>
      </c>
      <c r="AT268" s="8"/>
      <c r="AU268" s="10" t="s">
        <v>169</v>
      </c>
      <c r="AV268" s="10">
        <v>0</v>
      </c>
      <c r="AW268" s="8"/>
      <c r="AX268" s="74" t="s">
        <v>169</v>
      </c>
      <c r="AY268" s="74"/>
      <c r="AZ268" s="74"/>
      <c r="BA268" s="74"/>
      <c r="BB268" s="8"/>
      <c r="BC268" s="8"/>
      <c r="BD268" s="8"/>
      <c r="BE268" s="8"/>
      <c r="BF268" s="12">
        <v>0.44</v>
      </c>
      <c r="BG268" s="13">
        <v>320.55475473406108</v>
      </c>
      <c r="BH268" s="96" t="str">
        <f>+VLOOKUP(G268,Liste!$A$7:$G$50,3,FALSE)</f>
        <v>Pin sylvestre</v>
      </c>
      <c r="BI268" s="96" t="str">
        <f>+VLOOKUP(H268,Liste!$B$7:$G$50,5,FALSE)</f>
        <v>GS Pineraies des plaines du Centre et du Nord Ouest</v>
      </c>
      <c r="BJ268" s="135">
        <f t="shared" si="91"/>
        <v>109</v>
      </c>
      <c r="BK268" s="135" t="str">
        <f t="shared" si="93"/>
        <v>Pin sylvestre_F2_Eclaircie tardive_GS Pineraies des plaines du Centre et du Nord Ouest_109_</v>
      </c>
      <c r="BL268" s="322"/>
      <c r="BM268" s="13">
        <v>80.503655248647931</v>
      </c>
      <c r="BN268" s="13">
        <v>401.05840998270901</v>
      </c>
      <c r="BP268" s="13">
        <v>268.42</v>
      </c>
      <c r="BQ268" s="13">
        <v>3.96436810982516</v>
      </c>
      <c r="BT268" s="298" t="str">
        <f>+VLOOKUP(G268,Liste!$A$7:$H$50,8,FALSE)</f>
        <v>Résineux</v>
      </c>
      <c r="BU268" s="298">
        <f t="shared" si="94"/>
        <v>0</v>
      </c>
      <c r="BV268" s="300">
        <f t="shared" si="95"/>
        <v>1</v>
      </c>
      <c r="BW268" s="321">
        <v>0</v>
      </c>
      <c r="BX268" s="298">
        <f t="shared" si="96"/>
        <v>0.43</v>
      </c>
      <c r="BY268">
        <f t="shared" si="97"/>
        <v>0</v>
      </c>
      <c r="BZ268" s="304">
        <f t="shared" si="98"/>
        <v>0</v>
      </c>
      <c r="CB268" s="299">
        <v>0.6</v>
      </c>
      <c r="CC268" s="299">
        <v>0.4</v>
      </c>
      <c r="CD268">
        <f t="shared" si="99"/>
        <v>0</v>
      </c>
      <c r="CE268">
        <f t="shared" si="100"/>
        <v>0</v>
      </c>
      <c r="CF268">
        <f t="shared" si="101"/>
        <v>0</v>
      </c>
      <c r="CG268">
        <f t="shared" si="102"/>
        <v>0</v>
      </c>
      <c r="CH268">
        <f t="shared" si="103"/>
        <v>0</v>
      </c>
      <c r="CI268">
        <f t="shared" si="104"/>
        <v>0</v>
      </c>
      <c r="CJ268">
        <f t="shared" si="105"/>
        <v>0</v>
      </c>
      <c r="CK268">
        <f t="shared" si="106"/>
        <v>0</v>
      </c>
      <c r="CL268">
        <f t="shared" si="107"/>
        <v>0</v>
      </c>
      <c r="CM268">
        <f t="shared" si="109"/>
        <v>0</v>
      </c>
      <c r="CN268">
        <f t="shared" si="108"/>
        <v>0</v>
      </c>
      <c r="CO268">
        <f t="shared" si="92"/>
        <v>0</v>
      </c>
    </row>
    <row r="269" spans="1:93" s="12" customFormat="1" ht="14.65" customHeight="1" x14ac:dyDescent="0.25">
      <c r="A269" s="4">
        <v>2021</v>
      </c>
      <c r="B269" s="4"/>
      <c r="C269" s="4" t="s">
        <v>64</v>
      </c>
      <c r="D269" s="4" t="s">
        <v>65</v>
      </c>
      <c r="E269" s="4"/>
      <c r="F269" s="4" t="s">
        <v>90</v>
      </c>
      <c r="G269" s="5" t="s">
        <v>15</v>
      </c>
      <c r="H269" s="5" t="s">
        <v>21</v>
      </c>
      <c r="I269" s="5" t="s">
        <v>147</v>
      </c>
      <c r="J269" s="5" t="s">
        <v>10</v>
      </c>
      <c r="K269" s="5">
        <v>23</v>
      </c>
      <c r="L269" s="5">
        <v>45</v>
      </c>
      <c r="M269" s="5">
        <v>2500</v>
      </c>
      <c r="N269" s="5" t="s">
        <v>170</v>
      </c>
      <c r="O269" s="6" t="s">
        <v>78</v>
      </c>
      <c r="P269" s="6" t="s">
        <v>80</v>
      </c>
      <c r="Q269" s="6">
        <v>2003</v>
      </c>
      <c r="R269" s="6" t="s">
        <v>50</v>
      </c>
      <c r="S269" s="6">
        <v>28</v>
      </c>
      <c r="T269" s="6">
        <v>13.5</v>
      </c>
      <c r="U269" s="6">
        <v>2157</v>
      </c>
      <c r="V269" s="6">
        <v>40.299999999999997</v>
      </c>
      <c r="W269" s="6">
        <v>0</v>
      </c>
      <c r="X269" s="6">
        <v>600</v>
      </c>
      <c r="Y269" s="6">
        <v>1043</v>
      </c>
      <c r="Z269" s="6">
        <v>457</v>
      </c>
      <c r="AA269" s="6">
        <v>57</v>
      </c>
      <c r="AB269" s="6">
        <v>0</v>
      </c>
      <c r="AC269" s="7">
        <v>110</v>
      </c>
      <c r="AD269" s="7" t="s">
        <v>52</v>
      </c>
      <c r="AE269" s="7">
        <v>33.020000000000003</v>
      </c>
      <c r="AF269" s="7">
        <v>213</v>
      </c>
      <c r="AG269" s="7">
        <v>26.64</v>
      </c>
      <c r="AH269" s="7">
        <v>39.909999999999997</v>
      </c>
      <c r="AI269" s="7">
        <v>43.83</v>
      </c>
      <c r="AJ269" s="9">
        <v>379.54696023227501</v>
      </c>
      <c r="AK269" s="9">
        <v>382.36367647388801</v>
      </c>
      <c r="AL269" s="9">
        <v>422.60176006992401</v>
      </c>
      <c r="AM269" s="9">
        <v>80.092451488546502</v>
      </c>
      <c r="AN269" s="9">
        <v>0.72811319535042196</v>
      </c>
      <c r="AO269" s="9">
        <v>0.18637523550162899</v>
      </c>
      <c r="AP269" s="9">
        <v>953.48531137927</v>
      </c>
      <c r="AQ269" s="9">
        <v>8.6680482852660905</v>
      </c>
      <c r="AR269" s="9">
        <v>4.2384814049094102</v>
      </c>
      <c r="AS269" s="73" t="s">
        <v>169</v>
      </c>
      <c r="AT269" s="8"/>
      <c r="AU269" s="10" t="s">
        <v>169</v>
      </c>
      <c r="AV269" s="10">
        <v>0</v>
      </c>
      <c r="AW269" s="8"/>
      <c r="AX269" s="74" t="s">
        <v>169</v>
      </c>
      <c r="AY269" s="74"/>
      <c r="AZ269" s="74"/>
      <c r="BA269" s="74"/>
      <c r="BB269" s="8"/>
      <c r="BC269" s="8"/>
      <c r="BD269" s="8"/>
      <c r="BE269" s="8"/>
      <c r="BF269" s="12">
        <v>0.44</v>
      </c>
      <c r="BG269" s="13">
        <v>323.85381546691877</v>
      </c>
      <c r="BH269" s="96" t="str">
        <f>+VLOOKUP(G269,Liste!$A$7:$G$50,3,FALSE)</f>
        <v>Pin sylvestre</v>
      </c>
      <c r="BI269" s="96" t="str">
        <f>+VLOOKUP(H269,Liste!$B$7:$G$50,5,FALSE)</f>
        <v>GS Pineraies des plaines du Centre et du Nord Ouest</v>
      </c>
      <c r="BJ269" s="135">
        <f t="shared" si="91"/>
        <v>110</v>
      </c>
      <c r="BK269" s="135" t="str">
        <f t="shared" si="93"/>
        <v>Pin sylvestre_F2_Eclaircie tardive_GS Pineraies des plaines du Centre et du Nord Ouest_110_</v>
      </c>
      <c r="BL269" s="322"/>
      <c r="BM269" s="13">
        <v>81.235299854677237</v>
      </c>
      <c r="BN269" s="13">
        <v>405.08911532159601</v>
      </c>
      <c r="BP269" s="13">
        <v>268.42</v>
      </c>
      <c r="BQ269" s="13">
        <v>3.90277631883021</v>
      </c>
      <c r="BT269" s="298" t="str">
        <f>+VLOOKUP(G269,Liste!$A$7:$H$50,8,FALSE)</f>
        <v>Résineux</v>
      </c>
      <c r="BU269" s="298">
        <f t="shared" si="94"/>
        <v>0</v>
      </c>
      <c r="BV269" s="300">
        <f t="shared" si="95"/>
        <v>1</v>
      </c>
      <c r="BW269" s="321">
        <v>0</v>
      </c>
      <c r="BX269" s="298">
        <f t="shared" si="96"/>
        <v>0.43</v>
      </c>
      <c r="BY269">
        <f t="shared" si="97"/>
        <v>0</v>
      </c>
      <c r="BZ269" s="304">
        <f t="shared" si="98"/>
        <v>0</v>
      </c>
      <c r="CB269" s="299">
        <v>0.6</v>
      </c>
      <c r="CC269" s="299">
        <v>0.4</v>
      </c>
      <c r="CD269">
        <f t="shared" si="99"/>
        <v>0</v>
      </c>
      <c r="CE269">
        <f t="shared" si="100"/>
        <v>0</v>
      </c>
      <c r="CF269">
        <f t="shared" si="101"/>
        <v>0</v>
      </c>
      <c r="CG269">
        <f t="shared" si="102"/>
        <v>0</v>
      </c>
      <c r="CH269">
        <f t="shared" si="103"/>
        <v>0</v>
      </c>
      <c r="CI269">
        <f t="shared" si="104"/>
        <v>0</v>
      </c>
      <c r="CJ269">
        <f t="shared" si="105"/>
        <v>0</v>
      </c>
      <c r="CK269">
        <f t="shared" si="106"/>
        <v>0</v>
      </c>
      <c r="CL269">
        <f t="shared" si="107"/>
        <v>0</v>
      </c>
      <c r="CM269">
        <f t="shared" si="109"/>
        <v>0</v>
      </c>
      <c r="CN269">
        <f t="shared" si="108"/>
        <v>0</v>
      </c>
      <c r="CO269">
        <f t="shared" si="92"/>
        <v>0</v>
      </c>
    </row>
    <row r="270" spans="1:93" s="12" customFormat="1" ht="14.65" customHeight="1" x14ac:dyDescent="0.25">
      <c r="A270" s="4">
        <v>2021</v>
      </c>
      <c r="B270" s="4"/>
      <c r="C270" s="4" t="s">
        <v>64</v>
      </c>
      <c r="D270" s="4" t="s">
        <v>65</v>
      </c>
      <c r="E270" s="4"/>
      <c r="F270" s="4" t="s">
        <v>90</v>
      </c>
      <c r="G270" s="5" t="s">
        <v>15</v>
      </c>
      <c r="H270" s="5" t="s">
        <v>21</v>
      </c>
      <c r="I270" s="5" t="s">
        <v>147</v>
      </c>
      <c r="J270" s="5" t="s">
        <v>10</v>
      </c>
      <c r="K270" s="5">
        <v>23</v>
      </c>
      <c r="L270" s="5">
        <v>45</v>
      </c>
      <c r="M270" s="5">
        <v>2500</v>
      </c>
      <c r="N270" s="5" t="s">
        <v>170</v>
      </c>
      <c r="O270" s="6" t="s">
        <v>78</v>
      </c>
      <c r="P270" s="6" t="s">
        <v>80</v>
      </c>
      <c r="Q270" s="6">
        <v>2003</v>
      </c>
      <c r="R270" s="6" t="s">
        <v>50</v>
      </c>
      <c r="S270" s="6">
        <v>28</v>
      </c>
      <c r="T270" s="6">
        <v>13.5</v>
      </c>
      <c r="U270" s="6">
        <v>2157</v>
      </c>
      <c r="V270" s="6">
        <v>40.299999999999997</v>
      </c>
      <c r="W270" s="6">
        <v>0</v>
      </c>
      <c r="X270" s="6">
        <v>600</v>
      </c>
      <c r="Y270" s="6">
        <v>1043</v>
      </c>
      <c r="Z270" s="6">
        <v>457</v>
      </c>
      <c r="AA270" s="6">
        <v>57</v>
      </c>
      <c r="AB270" s="6">
        <v>0</v>
      </c>
      <c r="AC270" s="7">
        <v>111</v>
      </c>
      <c r="AD270" s="7" t="s">
        <v>52</v>
      </c>
      <c r="AE270" s="7">
        <v>33.14</v>
      </c>
      <c r="AF270" s="7">
        <v>213</v>
      </c>
      <c r="AG270" s="7">
        <v>26.83</v>
      </c>
      <c r="AH270" s="7">
        <v>40.049999999999997</v>
      </c>
      <c r="AI270" s="7">
        <v>43.99</v>
      </c>
      <c r="AJ270" s="9">
        <v>383.50081813998497</v>
      </c>
      <c r="AK270" s="9">
        <v>386.34373600472702</v>
      </c>
      <c r="AL270" s="9">
        <v>426.84024147483399</v>
      </c>
      <c r="AM270" s="9">
        <v>80.278826724048102</v>
      </c>
      <c r="AN270" s="9">
        <v>0.72323267318962203</v>
      </c>
      <c r="AO270" s="9">
        <v>0.18425209220845301</v>
      </c>
      <c r="AP270" s="9">
        <v>957.72379278417998</v>
      </c>
      <c r="AQ270" s="9">
        <v>8.6281422773349501</v>
      </c>
      <c r="AR270" s="9">
        <v>4.2374784683568096</v>
      </c>
      <c r="AS270" s="73" t="s">
        <v>169</v>
      </c>
      <c r="AT270" s="8"/>
      <c r="AU270" s="10" t="s">
        <v>169</v>
      </c>
      <c r="AV270" s="10">
        <v>0</v>
      </c>
      <c r="AW270" s="8"/>
      <c r="AX270" s="74" t="s">
        <v>169</v>
      </c>
      <c r="AY270" s="74"/>
      <c r="AZ270" s="74"/>
      <c r="BA270" s="74"/>
      <c r="BB270" s="8"/>
      <c r="BC270" s="8"/>
      <c r="BD270" s="8"/>
      <c r="BE270" s="8"/>
      <c r="BF270" s="12">
        <v>0.44</v>
      </c>
      <c r="BG270" s="13">
        <v>327.10190505021444</v>
      </c>
      <c r="BH270" s="96" t="str">
        <f>+VLOOKUP(G270,Liste!$A$7:$G$50,3,FALSE)</f>
        <v>Pin sylvestre</v>
      </c>
      <c r="BI270" s="96" t="str">
        <f>+VLOOKUP(H270,Liste!$B$7:$G$50,5,FALSE)</f>
        <v>GS Pineraies des plaines du Centre et du Nord Ouest</v>
      </c>
      <c r="BJ270" s="135">
        <f t="shared" si="91"/>
        <v>111</v>
      </c>
      <c r="BK270" s="135" t="str">
        <f t="shared" si="93"/>
        <v>Pin sylvestre_F2_Eclaircie tardive_GS Pineraies des plaines du Centre et du Nord Ouest_111_</v>
      </c>
      <c r="BL270" s="322"/>
      <c r="BM270" s="13">
        <v>81.954793294659567</v>
      </c>
      <c r="BN270" s="13">
        <v>409.05669834487401</v>
      </c>
      <c r="BP270" s="13">
        <v>268.42</v>
      </c>
      <c r="BQ270" s="13">
        <v>3.9015157706324999</v>
      </c>
      <c r="BT270" s="298" t="str">
        <f>+VLOOKUP(G270,Liste!$A$7:$H$50,8,FALSE)</f>
        <v>Résineux</v>
      </c>
      <c r="BU270" s="298">
        <f t="shared" si="94"/>
        <v>0</v>
      </c>
      <c r="BV270" s="300">
        <f t="shared" si="95"/>
        <v>1</v>
      </c>
      <c r="BW270" s="321">
        <v>0</v>
      </c>
      <c r="BX270" s="298">
        <f t="shared" si="96"/>
        <v>0.43</v>
      </c>
      <c r="BY270">
        <f t="shared" si="97"/>
        <v>0</v>
      </c>
      <c r="BZ270" s="304">
        <f t="shared" si="98"/>
        <v>0</v>
      </c>
      <c r="CB270" s="299">
        <v>0.6</v>
      </c>
      <c r="CC270" s="299">
        <v>0.4</v>
      </c>
      <c r="CD270">
        <f t="shared" si="99"/>
        <v>0</v>
      </c>
      <c r="CE270">
        <f t="shared" si="100"/>
        <v>0</v>
      </c>
      <c r="CF270">
        <f t="shared" si="101"/>
        <v>0</v>
      </c>
      <c r="CG270">
        <f t="shared" si="102"/>
        <v>0</v>
      </c>
      <c r="CH270">
        <f t="shared" si="103"/>
        <v>0</v>
      </c>
      <c r="CI270">
        <f t="shared" si="104"/>
        <v>0</v>
      </c>
      <c r="CJ270">
        <f t="shared" si="105"/>
        <v>0</v>
      </c>
      <c r="CK270">
        <f t="shared" si="106"/>
        <v>0</v>
      </c>
      <c r="CL270">
        <f t="shared" si="107"/>
        <v>0</v>
      </c>
      <c r="CM270">
        <f t="shared" si="109"/>
        <v>0</v>
      </c>
      <c r="CN270">
        <f t="shared" si="108"/>
        <v>0</v>
      </c>
      <c r="CO270">
        <f t="shared" si="92"/>
        <v>0</v>
      </c>
    </row>
    <row r="271" spans="1:93" s="12" customFormat="1" ht="14.65" customHeight="1" x14ac:dyDescent="0.25">
      <c r="A271" s="4">
        <v>2021</v>
      </c>
      <c r="B271" s="4"/>
      <c r="C271" s="4" t="s">
        <v>64</v>
      </c>
      <c r="D271" s="4" t="s">
        <v>65</v>
      </c>
      <c r="E271" s="4"/>
      <c r="F271" s="4" t="s">
        <v>90</v>
      </c>
      <c r="G271" s="5" t="s">
        <v>15</v>
      </c>
      <c r="H271" s="5" t="s">
        <v>21</v>
      </c>
      <c r="I271" s="5" t="s">
        <v>147</v>
      </c>
      <c r="J271" s="5" t="s">
        <v>10</v>
      </c>
      <c r="K271" s="5">
        <v>23</v>
      </c>
      <c r="L271" s="5">
        <v>45</v>
      </c>
      <c r="M271" s="5">
        <v>2500</v>
      </c>
      <c r="N271" s="5" t="s">
        <v>170</v>
      </c>
      <c r="O271" s="6" t="s">
        <v>78</v>
      </c>
      <c r="P271" s="6" t="s">
        <v>80</v>
      </c>
      <c r="Q271" s="6">
        <v>2003</v>
      </c>
      <c r="R271" s="6" t="s">
        <v>50</v>
      </c>
      <c r="S271" s="6">
        <v>28</v>
      </c>
      <c r="T271" s="6">
        <v>13.5</v>
      </c>
      <c r="U271" s="6">
        <v>2157</v>
      </c>
      <c r="V271" s="6">
        <v>40.299999999999997</v>
      </c>
      <c r="W271" s="6">
        <v>0</v>
      </c>
      <c r="X271" s="6">
        <v>600</v>
      </c>
      <c r="Y271" s="6">
        <v>1043</v>
      </c>
      <c r="Z271" s="6">
        <v>457</v>
      </c>
      <c r="AA271" s="6">
        <v>57</v>
      </c>
      <c r="AB271" s="6">
        <v>0</v>
      </c>
      <c r="AC271" s="7">
        <v>112</v>
      </c>
      <c r="AD271" s="7" t="s">
        <v>52</v>
      </c>
      <c r="AE271" s="7">
        <v>33.26</v>
      </c>
      <c r="AF271" s="7">
        <v>213</v>
      </c>
      <c r="AG271" s="7">
        <v>27.02</v>
      </c>
      <c r="AH271" s="7">
        <v>40.19</v>
      </c>
      <c r="AI271" s="7">
        <v>44.14</v>
      </c>
      <c r="AJ271" s="9">
        <v>387.460505388005</v>
      </c>
      <c r="AK271" s="9">
        <v>390.328943329624</v>
      </c>
      <c r="AL271" s="9">
        <v>431.07771994319103</v>
      </c>
      <c r="AM271" s="9">
        <v>80.463078816256498</v>
      </c>
      <c r="AN271" s="9">
        <v>0.718420346573719</v>
      </c>
      <c r="AO271" s="9">
        <v>0.10519528752766399</v>
      </c>
      <c r="AP271" s="9">
        <v>961.96127125253702</v>
      </c>
      <c r="AQ271" s="9">
        <v>8.5889399218976497</v>
      </c>
      <c r="AR271" s="9">
        <v>3.6814813000062299</v>
      </c>
      <c r="AS271" s="73" t="s">
        <v>169</v>
      </c>
      <c r="AT271" s="8"/>
      <c r="AU271" s="10" t="s">
        <v>169</v>
      </c>
      <c r="AV271" s="10">
        <v>0</v>
      </c>
      <c r="AW271" s="8"/>
      <c r="AX271" s="74" t="s">
        <v>169</v>
      </c>
      <c r="AY271" s="74"/>
      <c r="AZ271" s="74"/>
      <c r="BA271" s="74"/>
      <c r="BB271" s="8"/>
      <c r="BC271" s="8"/>
      <c r="BD271" s="8"/>
      <c r="BE271" s="8"/>
      <c r="BF271" s="12">
        <v>0.44</v>
      </c>
      <c r="BG271" s="13">
        <v>330.34922604979863</v>
      </c>
      <c r="BH271" s="96" t="str">
        <f>+VLOOKUP(G271,Liste!$A$7:$G$50,3,FALSE)</f>
        <v>Pin sylvestre</v>
      </c>
      <c r="BI271" s="96" t="str">
        <f>+VLOOKUP(H271,Liste!$B$7:$G$50,5,FALSE)</f>
        <v>GS Pineraies des plaines du Centre et du Nord Ouest</v>
      </c>
      <c r="BJ271" s="135">
        <f t="shared" si="91"/>
        <v>112</v>
      </c>
      <c r="BK271" s="135" t="str">
        <f t="shared" si="93"/>
        <v>Pin sylvestre_F2_Eclaircie tardive_GS Pineraies des plaines du Centre et du Nord Ouest_112_</v>
      </c>
      <c r="BL271" s="322"/>
      <c r="BM271" s="13">
        <v>82.673285624096366</v>
      </c>
      <c r="BN271" s="13">
        <v>413.022511673895</v>
      </c>
      <c r="BP271" s="13">
        <v>268.42</v>
      </c>
      <c r="BQ271" s="13">
        <v>3.3893277844191498</v>
      </c>
      <c r="BT271" s="298" t="str">
        <f>+VLOOKUP(G271,Liste!$A$7:$H$50,8,FALSE)</f>
        <v>Résineux</v>
      </c>
      <c r="BU271" s="298">
        <f t="shared" si="94"/>
        <v>0</v>
      </c>
      <c r="BV271" s="300">
        <f t="shared" si="95"/>
        <v>1</v>
      </c>
      <c r="BW271" s="321">
        <v>0</v>
      </c>
      <c r="BX271" s="298">
        <f t="shared" si="96"/>
        <v>0.43</v>
      </c>
      <c r="BY271">
        <f t="shared" si="97"/>
        <v>0</v>
      </c>
      <c r="BZ271" s="304">
        <f t="shared" si="98"/>
        <v>0</v>
      </c>
      <c r="CB271" s="299">
        <v>0.6</v>
      </c>
      <c r="CC271" s="299">
        <v>0.4</v>
      </c>
      <c r="CD271">
        <f t="shared" si="99"/>
        <v>0</v>
      </c>
      <c r="CE271">
        <f t="shared" si="100"/>
        <v>0</v>
      </c>
      <c r="CF271">
        <f t="shared" si="101"/>
        <v>0</v>
      </c>
      <c r="CG271">
        <f t="shared" si="102"/>
        <v>0</v>
      </c>
      <c r="CH271">
        <f t="shared" si="103"/>
        <v>0</v>
      </c>
      <c r="CI271">
        <f t="shared" si="104"/>
        <v>0</v>
      </c>
      <c r="CJ271">
        <f t="shared" si="105"/>
        <v>0</v>
      </c>
      <c r="CK271">
        <f t="shared" si="106"/>
        <v>0</v>
      </c>
      <c r="CL271">
        <f t="shared" si="107"/>
        <v>0</v>
      </c>
      <c r="CM271">
        <f t="shared" si="109"/>
        <v>0</v>
      </c>
      <c r="CN271">
        <f t="shared" si="108"/>
        <v>0</v>
      </c>
      <c r="CO271">
        <f t="shared" si="92"/>
        <v>0</v>
      </c>
    </row>
    <row r="272" spans="1:93" s="12" customFormat="1" ht="14.65" customHeight="1" x14ac:dyDescent="0.25">
      <c r="A272" s="4">
        <v>2021</v>
      </c>
      <c r="B272" s="4"/>
      <c r="C272" s="4" t="s">
        <v>64</v>
      </c>
      <c r="D272" s="4" t="s">
        <v>65</v>
      </c>
      <c r="E272" s="4"/>
      <c r="F272" s="4" t="s">
        <v>90</v>
      </c>
      <c r="G272" s="5" t="s">
        <v>15</v>
      </c>
      <c r="H272" s="5" t="s">
        <v>21</v>
      </c>
      <c r="I272" s="5" t="s">
        <v>147</v>
      </c>
      <c r="J272" s="5" t="s">
        <v>10</v>
      </c>
      <c r="K272" s="5">
        <v>23</v>
      </c>
      <c r="L272" s="5">
        <v>45</v>
      </c>
      <c r="M272" s="5">
        <v>2500</v>
      </c>
      <c r="N272" s="5" t="s">
        <v>170</v>
      </c>
      <c r="O272" s="6" t="s">
        <v>78</v>
      </c>
      <c r="P272" s="6" t="s">
        <v>80</v>
      </c>
      <c r="Q272" s="6">
        <v>2003</v>
      </c>
      <c r="R272" s="6" t="s">
        <v>50</v>
      </c>
      <c r="S272" s="6">
        <v>28</v>
      </c>
      <c r="T272" s="6">
        <v>13.5</v>
      </c>
      <c r="U272" s="6">
        <v>2157</v>
      </c>
      <c r="V272" s="6">
        <v>40.299999999999997</v>
      </c>
      <c r="W272" s="6">
        <v>0</v>
      </c>
      <c r="X272" s="6">
        <v>600</v>
      </c>
      <c r="Y272" s="6">
        <v>1043</v>
      </c>
      <c r="Z272" s="6">
        <v>457</v>
      </c>
      <c r="AA272" s="6">
        <v>57</v>
      </c>
      <c r="AB272" s="6">
        <v>0</v>
      </c>
      <c r="AC272" s="7">
        <v>112</v>
      </c>
      <c r="AD272" s="7" t="s">
        <v>53</v>
      </c>
      <c r="AE272" s="7">
        <v>33.26</v>
      </c>
      <c r="AF272" s="7">
        <v>68</v>
      </c>
      <c r="AG272" s="7">
        <v>9.0399999999999991</v>
      </c>
      <c r="AH272" s="7">
        <v>41.13</v>
      </c>
      <c r="AI272" s="7">
        <v>41.13</v>
      </c>
      <c r="AJ272" s="9">
        <v>129.971790813719</v>
      </c>
      <c r="AK272" s="9">
        <v>130.96624819152399</v>
      </c>
      <c r="AL272" s="9">
        <v>144.712630095706</v>
      </c>
      <c r="AM272" s="9">
        <v>80.463078816256498</v>
      </c>
      <c r="AN272" s="9">
        <v>0.718420346573719</v>
      </c>
      <c r="AO272" s="9">
        <v>0.10519528752766399</v>
      </c>
      <c r="AP272" s="9">
        <v>961.96127125253702</v>
      </c>
      <c r="AQ272" s="9">
        <v>8.5889399218976497</v>
      </c>
      <c r="AR272" s="9">
        <v>3.6814813000062299</v>
      </c>
      <c r="AS272" s="73">
        <v>145</v>
      </c>
      <c r="AT272" s="8">
        <v>17.98</v>
      </c>
      <c r="AU272" s="10">
        <v>39.734330691124043</v>
      </c>
      <c r="AV272" s="10">
        <v>257.48871457428601</v>
      </c>
      <c r="AW272" s="8">
        <v>0.98</v>
      </c>
      <c r="AX272" s="74">
        <v>1.7757842384433518</v>
      </c>
      <c r="AY272" s="74"/>
      <c r="AZ272" s="74"/>
      <c r="BA272" s="74"/>
      <c r="BB272" s="8"/>
      <c r="BC272" s="8"/>
      <c r="BD272" s="8"/>
      <c r="BE272" s="8"/>
      <c r="BF272" s="12">
        <v>0.44</v>
      </c>
      <c r="BG272" s="13">
        <v>110.89811219667619</v>
      </c>
      <c r="BH272" s="96" t="str">
        <f>+VLOOKUP(G272,Liste!$A$7:$G$50,3,FALSE)</f>
        <v>Pin sylvestre</v>
      </c>
      <c r="BI272" s="96" t="str">
        <f>+VLOOKUP(H272,Liste!$B$7:$G$50,5,FALSE)</f>
        <v>GS Pineraies des plaines du Centre et du Nord Ouest</v>
      </c>
      <c r="BJ272" s="135">
        <f t="shared" si="91"/>
        <v>112</v>
      </c>
      <c r="BK272" s="135" t="str">
        <f t="shared" si="93"/>
        <v>Pin sylvestre_F2_Eclaircie tardive_GS Pineraies des plaines du Centre et du Nord Ouest_112_</v>
      </c>
      <c r="BL272" s="322"/>
      <c r="BM272" s="13">
        <v>31.513408371452797</v>
      </c>
      <c r="BN272" s="13">
        <v>142.41152056812899</v>
      </c>
      <c r="BO272" s="13">
        <v>270.610991105766</v>
      </c>
      <c r="BP272" s="13">
        <v>268.42</v>
      </c>
      <c r="BQ272" s="13">
        <v>3.3893277844191498</v>
      </c>
      <c r="BT272" s="298" t="str">
        <f>+VLOOKUP(G272,Liste!$A$7:$H$50,8,FALSE)</f>
        <v>Résineux</v>
      </c>
      <c r="BU272" s="298">
        <f t="shared" si="94"/>
        <v>0</v>
      </c>
      <c r="BV272" s="300">
        <f t="shared" si="95"/>
        <v>1</v>
      </c>
      <c r="BW272" s="321">
        <v>0</v>
      </c>
      <c r="BX272" s="298">
        <f t="shared" si="96"/>
        <v>0.43</v>
      </c>
      <c r="BY272">
        <f t="shared" si="97"/>
        <v>0</v>
      </c>
      <c r="BZ272" s="304">
        <f t="shared" si="98"/>
        <v>0</v>
      </c>
      <c r="CB272" s="299">
        <v>0.6</v>
      </c>
      <c r="CC272" s="299">
        <v>0.4</v>
      </c>
      <c r="CD272">
        <f t="shared" si="99"/>
        <v>0</v>
      </c>
      <c r="CE272">
        <f t="shared" si="100"/>
        <v>0</v>
      </c>
      <c r="CF272">
        <f t="shared" si="101"/>
        <v>0</v>
      </c>
      <c r="CG272">
        <f t="shared" si="102"/>
        <v>0</v>
      </c>
      <c r="CH272">
        <f t="shared" si="103"/>
        <v>0</v>
      </c>
      <c r="CI272">
        <f t="shared" si="104"/>
        <v>0</v>
      </c>
      <c r="CJ272">
        <f t="shared" si="105"/>
        <v>0</v>
      </c>
      <c r="CK272">
        <f t="shared" si="106"/>
        <v>0</v>
      </c>
      <c r="CL272">
        <f t="shared" si="107"/>
        <v>0</v>
      </c>
      <c r="CM272">
        <f t="shared" si="109"/>
        <v>0</v>
      </c>
      <c r="CN272">
        <f t="shared" si="108"/>
        <v>0</v>
      </c>
      <c r="CO272">
        <f t="shared" si="92"/>
        <v>0</v>
      </c>
    </row>
    <row r="273" spans="1:93" s="12" customFormat="1" ht="14.65" customHeight="1" x14ac:dyDescent="0.25">
      <c r="A273" s="4">
        <v>2021</v>
      </c>
      <c r="B273" s="4"/>
      <c r="C273" s="4" t="s">
        <v>64</v>
      </c>
      <c r="D273" s="4" t="s">
        <v>65</v>
      </c>
      <c r="E273" s="4"/>
      <c r="F273" s="4" t="s">
        <v>90</v>
      </c>
      <c r="G273" s="5" t="s">
        <v>15</v>
      </c>
      <c r="H273" s="5" t="s">
        <v>21</v>
      </c>
      <c r="I273" s="5" t="s">
        <v>147</v>
      </c>
      <c r="J273" s="5" t="s">
        <v>10</v>
      </c>
      <c r="K273" s="5">
        <v>23</v>
      </c>
      <c r="L273" s="5">
        <v>45</v>
      </c>
      <c r="M273" s="5">
        <v>2500</v>
      </c>
      <c r="N273" s="5" t="s">
        <v>170</v>
      </c>
      <c r="O273" s="6" t="s">
        <v>78</v>
      </c>
      <c r="P273" s="6" t="s">
        <v>80</v>
      </c>
      <c r="Q273" s="6">
        <v>2003</v>
      </c>
      <c r="R273" s="6" t="s">
        <v>50</v>
      </c>
      <c r="S273" s="6">
        <v>28</v>
      </c>
      <c r="T273" s="6">
        <v>13.5</v>
      </c>
      <c r="U273" s="6">
        <v>2157</v>
      </c>
      <c r="V273" s="6">
        <v>40.299999999999997</v>
      </c>
      <c r="W273" s="6">
        <v>0</v>
      </c>
      <c r="X273" s="6">
        <v>600</v>
      </c>
      <c r="Y273" s="6">
        <v>1043</v>
      </c>
      <c r="Z273" s="6">
        <v>457</v>
      </c>
      <c r="AA273" s="6">
        <v>57</v>
      </c>
      <c r="AB273" s="6">
        <v>0</v>
      </c>
      <c r="AC273" s="7">
        <v>113</v>
      </c>
      <c r="AD273" s="7" t="s">
        <v>52</v>
      </c>
      <c r="AE273" s="7">
        <v>33.369999999999997</v>
      </c>
      <c r="AF273" s="7">
        <v>68</v>
      </c>
      <c r="AG273" s="7">
        <v>9.14</v>
      </c>
      <c r="AH273" s="7">
        <v>41.37</v>
      </c>
      <c r="AI273" s="7">
        <v>41.37</v>
      </c>
      <c r="AJ273" s="9">
        <v>133.618122442089</v>
      </c>
      <c r="AK273" s="9">
        <v>134.60993395378199</v>
      </c>
      <c r="AL273" s="9">
        <v>148.394111395712</v>
      </c>
      <c r="AM273" s="9">
        <v>80.568274103784205</v>
      </c>
      <c r="AN273" s="9">
        <v>0.71299357613968295</v>
      </c>
      <c r="AO273" s="9">
        <v>0.104228085397395</v>
      </c>
      <c r="AP273" s="9">
        <v>965.64275255254302</v>
      </c>
      <c r="AQ273" s="9">
        <v>8.5455110845357805</v>
      </c>
      <c r="AR273" s="9">
        <v>2.1256880546352499</v>
      </c>
      <c r="AS273" s="73" t="s">
        <v>169</v>
      </c>
      <c r="AT273" s="8"/>
      <c r="AU273" s="10" t="s">
        <v>169</v>
      </c>
      <c r="AV273" s="10">
        <v>0</v>
      </c>
      <c r="AW273" s="8"/>
      <c r="AX273" s="74" t="s">
        <v>169</v>
      </c>
      <c r="AY273" s="74"/>
      <c r="AZ273" s="74"/>
      <c r="BA273" s="74"/>
      <c r="BB273" s="8"/>
      <c r="BC273" s="8"/>
      <c r="BD273" s="8"/>
      <c r="BE273" s="8"/>
      <c r="BF273" s="12">
        <v>0.44</v>
      </c>
      <c r="BG273" s="13">
        <v>113.71935403291394</v>
      </c>
      <c r="BH273" s="96" t="str">
        <f>+VLOOKUP(G273,Liste!$A$7:$G$50,3,FALSE)</f>
        <v>Pin sylvestre</v>
      </c>
      <c r="BI273" s="96" t="str">
        <f>+VLOOKUP(H273,Liste!$B$7:$G$50,5,FALSE)</f>
        <v>GS Pineraies des plaines du Centre et du Nord Ouest</v>
      </c>
      <c r="BJ273" s="135">
        <f t="shared" si="91"/>
        <v>113</v>
      </c>
      <c r="BK273" s="135" t="str">
        <f t="shared" si="93"/>
        <v>Pin sylvestre_F2_Eclaircie tardive_GS Pineraies des plaines du Centre et du Nord Ouest_113_</v>
      </c>
      <c r="BL273" s="322"/>
      <c r="BM273" s="13">
        <v>32.220750894813051</v>
      </c>
      <c r="BN273" s="13">
        <v>145.94010492772699</v>
      </c>
      <c r="BP273" s="13">
        <v>268.42</v>
      </c>
      <c r="BQ273" s="13">
        <v>1.9568837061864299</v>
      </c>
      <c r="BT273" s="298" t="str">
        <f>+VLOOKUP(G273,Liste!$A$7:$H$50,8,FALSE)</f>
        <v>Résineux</v>
      </c>
      <c r="BU273" s="298">
        <f t="shared" si="94"/>
        <v>0</v>
      </c>
      <c r="BV273" s="300">
        <f t="shared" si="95"/>
        <v>1</v>
      </c>
      <c r="BW273" s="321">
        <v>0</v>
      </c>
      <c r="BX273" s="298">
        <f t="shared" si="96"/>
        <v>0.43</v>
      </c>
      <c r="BY273">
        <f t="shared" si="97"/>
        <v>0</v>
      </c>
      <c r="BZ273" s="304">
        <f t="shared" si="98"/>
        <v>0</v>
      </c>
      <c r="CB273" s="299">
        <v>0.6</v>
      </c>
      <c r="CC273" s="299">
        <v>0.4</v>
      </c>
      <c r="CD273">
        <f t="shared" si="99"/>
        <v>0</v>
      </c>
      <c r="CE273">
        <f t="shared" si="100"/>
        <v>0</v>
      </c>
      <c r="CF273">
        <f t="shared" si="101"/>
        <v>0</v>
      </c>
      <c r="CG273">
        <f t="shared" si="102"/>
        <v>0</v>
      </c>
      <c r="CH273">
        <f t="shared" si="103"/>
        <v>0</v>
      </c>
      <c r="CI273">
        <f t="shared" si="104"/>
        <v>0</v>
      </c>
      <c r="CJ273">
        <f t="shared" si="105"/>
        <v>0</v>
      </c>
      <c r="CK273">
        <f t="shared" si="106"/>
        <v>0</v>
      </c>
      <c r="CL273">
        <f t="shared" si="107"/>
        <v>0</v>
      </c>
      <c r="CM273">
        <f t="shared" si="109"/>
        <v>0</v>
      </c>
      <c r="CN273">
        <f t="shared" si="108"/>
        <v>0</v>
      </c>
      <c r="CO273">
        <f t="shared" si="92"/>
        <v>0</v>
      </c>
    </row>
    <row r="274" spans="1:93" s="12" customFormat="1" ht="14.65" customHeight="1" x14ac:dyDescent="0.25">
      <c r="A274" s="4">
        <v>2021</v>
      </c>
      <c r="B274" s="4"/>
      <c r="C274" s="4" t="s">
        <v>64</v>
      </c>
      <c r="D274" s="4" t="s">
        <v>65</v>
      </c>
      <c r="E274" s="4"/>
      <c r="F274" s="4" t="s">
        <v>90</v>
      </c>
      <c r="G274" s="5" t="s">
        <v>15</v>
      </c>
      <c r="H274" s="5" t="s">
        <v>21</v>
      </c>
      <c r="I274" s="5" t="s">
        <v>147</v>
      </c>
      <c r="J274" s="5" t="s">
        <v>10</v>
      </c>
      <c r="K274" s="5">
        <v>23</v>
      </c>
      <c r="L274" s="5">
        <v>45</v>
      </c>
      <c r="M274" s="5">
        <v>2500</v>
      </c>
      <c r="N274" s="5" t="s">
        <v>170</v>
      </c>
      <c r="O274" s="6" t="s">
        <v>78</v>
      </c>
      <c r="P274" s="6" t="s">
        <v>80</v>
      </c>
      <c r="Q274" s="6">
        <v>2003</v>
      </c>
      <c r="R274" s="6" t="s">
        <v>50</v>
      </c>
      <c r="S274" s="6">
        <v>28</v>
      </c>
      <c r="T274" s="6">
        <v>13.5</v>
      </c>
      <c r="U274" s="6">
        <v>2157</v>
      </c>
      <c r="V274" s="6">
        <v>40.299999999999997</v>
      </c>
      <c r="W274" s="6">
        <v>0</v>
      </c>
      <c r="X274" s="6">
        <v>600</v>
      </c>
      <c r="Y274" s="6">
        <v>1043</v>
      </c>
      <c r="Z274" s="6">
        <v>457</v>
      </c>
      <c r="AA274" s="6">
        <v>57</v>
      </c>
      <c r="AB274" s="6">
        <v>0</v>
      </c>
      <c r="AC274" s="7">
        <v>114</v>
      </c>
      <c r="AD274" s="7" t="s">
        <v>52</v>
      </c>
      <c r="AE274" s="7">
        <v>33.49</v>
      </c>
      <c r="AF274" s="7">
        <v>68</v>
      </c>
      <c r="AG274" s="7">
        <v>9.25</v>
      </c>
      <c r="AH274" s="7">
        <v>41.61</v>
      </c>
      <c r="AI274" s="7">
        <v>41.61</v>
      </c>
      <c r="AJ274" s="9">
        <v>135.557433851317</v>
      </c>
      <c r="AK274" s="9">
        <v>136.567595364591</v>
      </c>
      <c r="AL274" s="9">
        <v>150.51979945034699</v>
      </c>
      <c r="AM274" s="9">
        <v>80.6725021891816</v>
      </c>
      <c r="AN274" s="9">
        <v>0.70765352797527703</v>
      </c>
      <c r="AO274" s="9">
        <v>0.103381331929484</v>
      </c>
      <c r="AP274" s="9">
        <v>967.76844060717804</v>
      </c>
      <c r="AQ274" s="9">
        <v>8.4891968474313906</v>
      </c>
      <c r="AR274" s="9">
        <v>2.1051702040482501</v>
      </c>
      <c r="AS274" s="73" t="s">
        <v>169</v>
      </c>
      <c r="AT274" s="8"/>
      <c r="AU274" s="10" t="s">
        <v>169</v>
      </c>
      <c r="AV274" s="10">
        <v>0</v>
      </c>
      <c r="AW274" s="8"/>
      <c r="AX274" s="74" t="s">
        <v>169</v>
      </c>
      <c r="AY274" s="74"/>
      <c r="AZ274" s="74"/>
      <c r="BA274" s="74"/>
      <c r="BB274" s="8"/>
      <c r="BC274" s="8"/>
      <c r="BD274" s="8"/>
      <c r="BE274" s="8"/>
      <c r="BF274" s="12">
        <v>0.44</v>
      </c>
      <c r="BG274" s="13">
        <v>115.34833964544953</v>
      </c>
      <c r="BH274" s="96" t="str">
        <f>+VLOOKUP(G274,Liste!$A$7:$G$50,3,FALSE)</f>
        <v>Pin sylvestre</v>
      </c>
      <c r="BI274" s="96" t="str">
        <f>+VLOOKUP(H274,Liste!$B$7:$G$50,5,FALSE)</f>
        <v>GS Pineraies des plaines du Centre et du Nord Ouest</v>
      </c>
      <c r="BJ274" s="135">
        <f t="shared" si="91"/>
        <v>114</v>
      </c>
      <c r="BK274" s="135" t="str">
        <f t="shared" si="93"/>
        <v>Pin sylvestre_F2_Eclaircie tardive_GS Pineraies des plaines du Centre et du Nord Ouest_114_</v>
      </c>
      <c r="BL274" s="322"/>
      <c r="BM274" s="13">
        <v>32.628238053441464</v>
      </c>
      <c r="BN274" s="13">
        <v>147.97657769889099</v>
      </c>
      <c r="BP274" s="13">
        <v>268.42</v>
      </c>
      <c r="BQ274" s="13">
        <v>1.93791259728278</v>
      </c>
      <c r="BT274" s="298" t="str">
        <f>+VLOOKUP(G274,Liste!$A$7:$H$50,8,FALSE)</f>
        <v>Résineux</v>
      </c>
      <c r="BU274" s="298">
        <f t="shared" si="94"/>
        <v>0</v>
      </c>
      <c r="BV274" s="300">
        <f t="shared" si="95"/>
        <v>1</v>
      </c>
      <c r="BW274" s="321">
        <v>0</v>
      </c>
      <c r="BX274" s="298">
        <f t="shared" si="96"/>
        <v>0.43</v>
      </c>
      <c r="BY274">
        <f t="shared" si="97"/>
        <v>0</v>
      </c>
      <c r="BZ274" s="304">
        <f t="shared" si="98"/>
        <v>0</v>
      </c>
      <c r="CB274" s="299">
        <v>0.6</v>
      </c>
      <c r="CC274" s="299">
        <v>0.4</v>
      </c>
      <c r="CD274">
        <f t="shared" si="99"/>
        <v>0</v>
      </c>
      <c r="CE274">
        <f t="shared" si="100"/>
        <v>0</v>
      </c>
      <c r="CF274">
        <f t="shared" si="101"/>
        <v>0</v>
      </c>
      <c r="CG274">
        <f t="shared" si="102"/>
        <v>0</v>
      </c>
      <c r="CH274">
        <f t="shared" si="103"/>
        <v>0</v>
      </c>
      <c r="CI274">
        <f t="shared" si="104"/>
        <v>0</v>
      </c>
      <c r="CJ274">
        <f t="shared" si="105"/>
        <v>0</v>
      </c>
      <c r="CK274">
        <f t="shared" si="106"/>
        <v>0</v>
      </c>
      <c r="CL274">
        <f t="shared" si="107"/>
        <v>0</v>
      </c>
      <c r="CM274">
        <f t="shared" si="109"/>
        <v>0</v>
      </c>
      <c r="CN274">
        <f t="shared" si="108"/>
        <v>0</v>
      </c>
      <c r="CO274">
        <f t="shared" si="92"/>
        <v>0</v>
      </c>
    </row>
    <row r="275" spans="1:93" s="12" customFormat="1" x14ac:dyDescent="0.25">
      <c r="A275" s="4">
        <v>2021</v>
      </c>
      <c r="B275" s="4"/>
      <c r="C275" s="4" t="s">
        <v>64</v>
      </c>
      <c r="D275" s="4" t="s">
        <v>65</v>
      </c>
      <c r="E275" s="4"/>
      <c r="F275" s="4" t="s">
        <v>90</v>
      </c>
      <c r="G275" s="5" t="s">
        <v>15</v>
      </c>
      <c r="H275" s="5" t="s">
        <v>21</v>
      </c>
      <c r="I275" s="5" t="s">
        <v>147</v>
      </c>
      <c r="J275" s="5" t="s">
        <v>10</v>
      </c>
      <c r="K275" s="5">
        <v>23</v>
      </c>
      <c r="L275" s="5">
        <v>45</v>
      </c>
      <c r="M275" s="5">
        <v>2500</v>
      </c>
      <c r="N275" s="5" t="s">
        <v>170</v>
      </c>
      <c r="O275" s="6" t="s">
        <v>78</v>
      </c>
      <c r="P275" s="6" t="s">
        <v>80</v>
      </c>
      <c r="Q275" s="6">
        <v>2003</v>
      </c>
      <c r="R275" s="6" t="s">
        <v>50</v>
      </c>
      <c r="S275" s="6">
        <v>28</v>
      </c>
      <c r="T275" s="6">
        <v>13.5</v>
      </c>
      <c r="U275" s="6">
        <v>2157</v>
      </c>
      <c r="V275" s="6">
        <v>40.299999999999997</v>
      </c>
      <c r="W275" s="6">
        <v>0</v>
      </c>
      <c r="X275" s="6">
        <v>600</v>
      </c>
      <c r="Y275" s="6">
        <v>1043</v>
      </c>
      <c r="Z275" s="6">
        <v>457</v>
      </c>
      <c r="AA275" s="6">
        <v>57</v>
      </c>
      <c r="AB275" s="6">
        <v>0</v>
      </c>
      <c r="AC275" s="7">
        <v>115</v>
      </c>
      <c r="AD275" s="7" t="s">
        <v>52</v>
      </c>
      <c r="AE275" s="7">
        <v>33.6</v>
      </c>
      <c r="AF275" s="7">
        <v>68</v>
      </c>
      <c r="AG275" s="7">
        <v>9.35</v>
      </c>
      <c r="AH275" s="7">
        <v>41.84</v>
      </c>
      <c r="AI275" s="7">
        <v>41.84</v>
      </c>
      <c r="AJ275" s="9">
        <v>137.47655320682901</v>
      </c>
      <c r="AK275" s="9">
        <v>138.505125252407</v>
      </c>
      <c r="AL275" s="9">
        <v>152.62496965439601</v>
      </c>
      <c r="AM275" s="9">
        <v>80.775883521111098</v>
      </c>
      <c r="AN275" s="9">
        <v>0.70239898714009597</v>
      </c>
      <c r="AO275" s="9">
        <v>0.102614602680418</v>
      </c>
      <c r="AP275" s="9">
        <v>969.87361081122594</v>
      </c>
      <c r="AQ275" s="9">
        <v>8.43368357227153</v>
      </c>
      <c r="AR275" s="9">
        <v>2.11926905138569</v>
      </c>
      <c r="AS275" s="73" t="s">
        <v>169</v>
      </c>
      <c r="AT275" s="8"/>
      <c r="AU275" s="10" t="s">
        <v>169</v>
      </c>
      <c r="AV275" s="10">
        <v>0</v>
      </c>
      <c r="AW275" s="8"/>
      <c r="AX275" s="74" t="s">
        <v>169</v>
      </c>
      <c r="AY275" s="74"/>
      <c r="AZ275" s="74"/>
      <c r="BA275" s="74"/>
      <c r="BB275" s="8"/>
      <c r="BC275" s="8"/>
      <c r="BD275" s="8"/>
      <c r="BE275" s="8"/>
      <c r="BF275" s="12">
        <v>0.44</v>
      </c>
      <c r="BG275" s="13">
        <v>116.9616017451519</v>
      </c>
      <c r="BH275" s="96" t="str">
        <f>+VLOOKUP(G275,Liste!$A$7:$G$50,3,FALSE)</f>
        <v>Pin sylvestre</v>
      </c>
      <c r="BI275" s="96" t="str">
        <f>+VLOOKUP(H275,Liste!$B$7:$G$50,5,FALSE)</f>
        <v>GS Pineraies des plaines du Centre et du Nord Ouest</v>
      </c>
      <c r="BJ275" s="135">
        <f t="shared" si="91"/>
        <v>115</v>
      </c>
      <c r="BK275" s="135" t="str">
        <f t="shared" si="93"/>
        <v>Pin sylvestre_F2_Eclaircie tardive_GS Pineraies des plaines du Centre et du Nord Ouest_115_</v>
      </c>
      <c r="BL275" s="322"/>
      <c r="BM275" s="13">
        <v>33.031132320364108</v>
      </c>
      <c r="BN275" s="13">
        <v>149.992734065516</v>
      </c>
      <c r="BP275" s="13">
        <v>268.42</v>
      </c>
      <c r="BQ275" s="13">
        <v>1.95080843988399</v>
      </c>
      <c r="BT275" s="298" t="str">
        <f>+VLOOKUP(G275,Liste!$A$7:$H$50,8,FALSE)</f>
        <v>Résineux</v>
      </c>
      <c r="BU275" s="298">
        <f t="shared" si="94"/>
        <v>0</v>
      </c>
      <c r="BV275" s="300">
        <f t="shared" si="95"/>
        <v>1</v>
      </c>
      <c r="BW275" s="321">
        <v>0</v>
      </c>
      <c r="BX275" s="298">
        <f t="shared" si="96"/>
        <v>0.43</v>
      </c>
      <c r="BY275">
        <f t="shared" si="97"/>
        <v>0</v>
      </c>
      <c r="BZ275" s="304">
        <f t="shared" si="98"/>
        <v>0</v>
      </c>
      <c r="CB275" s="299">
        <v>0.6</v>
      </c>
      <c r="CC275" s="299">
        <v>0.4</v>
      </c>
      <c r="CD275">
        <f t="shared" si="99"/>
        <v>0</v>
      </c>
      <c r="CE275">
        <f t="shared" si="100"/>
        <v>0</v>
      </c>
      <c r="CF275">
        <f t="shared" si="101"/>
        <v>0</v>
      </c>
      <c r="CG275">
        <f t="shared" si="102"/>
        <v>0</v>
      </c>
      <c r="CH275">
        <f t="shared" si="103"/>
        <v>0</v>
      </c>
      <c r="CI275">
        <f t="shared" si="104"/>
        <v>0</v>
      </c>
      <c r="CJ275">
        <f t="shared" si="105"/>
        <v>0</v>
      </c>
      <c r="CK275">
        <f t="shared" si="106"/>
        <v>0</v>
      </c>
      <c r="CL275">
        <f t="shared" si="107"/>
        <v>0</v>
      </c>
      <c r="CM275">
        <f t="shared" si="109"/>
        <v>0</v>
      </c>
      <c r="CN275">
        <f t="shared" si="108"/>
        <v>0</v>
      </c>
      <c r="CO275">
        <f t="shared" si="92"/>
        <v>0</v>
      </c>
    </row>
    <row r="276" spans="1:93" s="12" customFormat="1" x14ac:dyDescent="0.25">
      <c r="A276" s="4">
        <v>2021</v>
      </c>
      <c r="B276" s="4"/>
      <c r="C276" s="4" t="s">
        <v>64</v>
      </c>
      <c r="D276" s="4" t="s">
        <v>65</v>
      </c>
      <c r="E276" s="4"/>
      <c r="F276" s="4" t="s">
        <v>90</v>
      </c>
      <c r="G276" s="5" t="s">
        <v>15</v>
      </c>
      <c r="H276" s="5" t="s">
        <v>21</v>
      </c>
      <c r="I276" s="5" t="s">
        <v>147</v>
      </c>
      <c r="J276" s="5" t="s">
        <v>10</v>
      </c>
      <c r="K276" s="5">
        <v>23</v>
      </c>
      <c r="L276" s="5">
        <v>45</v>
      </c>
      <c r="M276" s="5">
        <v>2500</v>
      </c>
      <c r="N276" s="5" t="s">
        <v>170</v>
      </c>
      <c r="O276" s="6" t="s">
        <v>78</v>
      </c>
      <c r="P276" s="6" t="s">
        <v>80</v>
      </c>
      <c r="Q276" s="6">
        <v>2003</v>
      </c>
      <c r="R276" s="6" t="s">
        <v>50</v>
      </c>
      <c r="S276" s="6">
        <v>28</v>
      </c>
      <c r="T276" s="6">
        <v>13.5</v>
      </c>
      <c r="U276" s="6">
        <v>2157</v>
      </c>
      <c r="V276" s="6">
        <v>40.299999999999997</v>
      </c>
      <c r="W276" s="6">
        <v>0</v>
      </c>
      <c r="X276" s="6">
        <v>600</v>
      </c>
      <c r="Y276" s="6">
        <v>1043</v>
      </c>
      <c r="Z276" s="6">
        <v>457</v>
      </c>
      <c r="AA276" s="6">
        <v>57</v>
      </c>
      <c r="AB276" s="6">
        <v>0</v>
      </c>
      <c r="AC276" s="7">
        <v>116</v>
      </c>
      <c r="AD276" s="7" t="s">
        <v>52</v>
      </c>
      <c r="AE276" s="7">
        <v>33.71</v>
      </c>
      <c r="AF276" s="7">
        <v>68</v>
      </c>
      <c r="AG276" s="7">
        <v>9.4499999999999993</v>
      </c>
      <c r="AH276" s="7">
        <v>42.07</v>
      </c>
      <c r="AI276" s="7">
        <v>42.07</v>
      </c>
      <c r="AJ276" s="9">
        <v>139.413068672153</v>
      </c>
      <c r="AK276" s="9">
        <v>140.45973978439699</v>
      </c>
      <c r="AL276" s="9">
        <v>154.74423870578099</v>
      </c>
      <c r="AM276" s="9">
        <v>80.878498123791502</v>
      </c>
      <c r="AN276" s="9">
        <v>0.69722843210165097</v>
      </c>
      <c r="AO276" s="9"/>
      <c r="AP276" s="9">
        <v>971.99287986261197</v>
      </c>
      <c r="AQ276" s="9">
        <v>8.3792489643328594</v>
      </c>
      <c r="AR276" s="9"/>
      <c r="AS276" s="73" t="s">
        <v>169</v>
      </c>
      <c r="AT276" s="8"/>
      <c r="AU276" s="10" t="s">
        <v>169</v>
      </c>
      <c r="AV276" s="10">
        <v>0</v>
      </c>
      <c r="AW276" s="8"/>
      <c r="AX276" s="74" t="s">
        <v>169</v>
      </c>
      <c r="AY276" s="74"/>
      <c r="AZ276" s="74"/>
      <c r="BA276" s="74"/>
      <c r="BB276" s="8"/>
      <c r="BC276" s="8"/>
      <c r="BD276" s="8"/>
      <c r="BE276" s="8"/>
      <c r="BF276" s="12">
        <v>0.44</v>
      </c>
      <c r="BG276" s="13">
        <v>118.58566826153044</v>
      </c>
      <c r="BH276" s="96" t="str">
        <f>+VLOOKUP(G276,Liste!$A$7:$G$50,3,FALSE)</f>
        <v>Pin sylvestre</v>
      </c>
      <c r="BI276" s="96" t="str">
        <f>+VLOOKUP(H276,Liste!$B$7:$G$50,5,FALSE)</f>
        <v>GS Pineraies des plaines du Centre et du Nord Ouest</v>
      </c>
      <c r="BJ276" s="135">
        <f t="shared" si="91"/>
        <v>116</v>
      </c>
      <c r="BK276" s="135" t="str">
        <f t="shared" si="93"/>
        <v>Pin sylvestre_F2_Eclaircie tardive_GS Pineraies des plaines du Centre et du Nord Ouest_116_</v>
      </c>
      <c r="BL276" s="322"/>
      <c r="BM276" s="13">
        <v>33.436072028939563</v>
      </c>
      <c r="BN276" s="13">
        <v>152.02174029047001</v>
      </c>
      <c r="BP276" s="13">
        <v>268.42</v>
      </c>
      <c r="BQ276" s="13"/>
      <c r="BT276" s="298" t="str">
        <f>+VLOOKUP(G276,Liste!$A$7:$H$50,8,FALSE)</f>
        <v>Résineux</v>
      </c>
      <c r="BU276" s="298">
        <f t="shared" si="94"/>
        <v>0</v>
      </c>
      <c r="BV276" s="300">
        <f t="shared" si="95"/>
        <v>1</v>
      </c>
      <c r="BW276" s="321">
        <v>0</v>
      </c>
      <c r="BX276" s="298">
        <f t="shared" si="96"/>
        <v>0.43</v>
      </c>
      <c r="BY276">
        <f t="shared" si="97"/>
        <v>0</v>
      </c>
      <c r="BZ276" s="304">
        <f t="shared" si="98"/>
        <v>0</v>
      </c>
      <c r="CB276" s="299">
        <v>0.6</v>
      </c>
      <c r="CC276" s="299">
        <v>0.4</v>
      </c>
      <c r="CD276">
        <f t="shared" si="99"/>
        <v>0</v>
      </c>
      <c r="CE276">
        <f t="shared" si="100"/>
        <v>0</v>
      </c>
      <c r="CF276">
        <f t="shared" si="101"/>
        <v>0</v>
      </c>
      <c r="CG276">
        <f t="shared" si="102"/>
        <v>0</v>
      </c>
      <c r="CH276">
        <f t="shared" si="103"/>
        <v>0</v>
      </c>
      <c r="CI276">
        <f t="shared" si="104"/>
        <v>0</v>
      </c>
      <c r="CJ276">
        <f t="shared" si="105"/>
        <v>0</v>
      </c>
      <c r="CK276">
        <f t="shared" si="106"/>
        <v>0</v>
      </c>
      <c r="CL276">
        <f t="shared" si="107"/>
        <v>0</v>
      </c>
      <c r="CM276">
        <f t="shared" si="109"/>
        <v>0</v>
      </c>
      <c r="CN276">
        <f t="shared" si="108"/>
        <v>0</v>
      </c>
      <c r="CO276">
        <f t="shared" si="92"/>
        <v>0</v>
      </c>
    </row>
    <row r="277" spans="1:93" s="12" customFormat="1" x14ac:dyDescent="0.25">
      <c r="A277" s="4">
        <v>2021</v>
      </c>
      <c r="B277" s="4"/>
      <c r="C277" s="4" t="s">
        <v>64</v>
      </c>
      <c r="D277" s="4" t="s">
        <v>65</v>
      </c>
      <c r="E277" s="4"/>
      <c r="F277" s="4" t="s">
        <v>90</v>
      </c>
      <c r="G277" s="5" t="s">
        <v>15</v>
      </c>
      <c r="H277" s="5" t="s">
        <v>21</v>
      </c>
      <c r="I277" s="5" t="s">
        <v>147</v>
      </c>
      <c r="J277" s="5" t="s">
        <v>10</v>
      </c>
      <c r="K277" s="5">
        <v>23</v>
      </c>
      <c r="L277" s="5">
        <v>45</v>
      </c>
      <c r="M277" s="5">
        <v>2500</v>
      </c>
      <c r="N277" s="5" t="s">
        <v>170</v>
      </c>
      <c r="O277" s="6" t="s">
        <v>78</v>
      </c>
      <c r="P277" s="6" t="s">
        <v>80</v>
      </c>
      <c r="Q277" s="6">
        <v>2003</v>
      </c>
      <c r="R277" s="6" t="s">
        <v>50</v>
      </c>
      <c r="S277" s="6">
        <v>28</v>
      </c>
      <c r="T277" s="6">
        <v>13.5</v>
      </c>
      <c r="U277" s="6">
        <v>2157</v>
      </c>
      <c r="V277" s="6">
        <v>40.299999999999997</v>
      </c>
      <c r="W277" s="6">
        <v>0</v>
      </c>
      <c r="X277" s="6">
        <v>600</v>
      </c>
      <c r="Y277" s="6">
        <v>1043</v>
      </c>
      <c r="Z277" s="6">
        <v>457</v>
      </c>
      <c r="AA277" s="6">
        <v>57</v>
      </c>
      <c r="AB277" s="6">
        <v>0</v>
      </c>
      <c r="AC277" s="7">
        <v>116</v>
      </c>
      <c r="AD277" s="7" t="s">
        <v>53</v>
      </c>
      <c r="AE277" s="7">
        <v>33.71</v>
      </c>
      <c r="AF277" s="7">
        <v>0</v>
      </c>
      <c r="AG277" s="7">
        <v>0</v>
      </c>
      <c r="AH277" s="7">
        <v>0</v>
      </c>
      <c r="AI277" s="7">
        <v>0</v>
      </c>
      <c r="AJ277" s="9">
        <v>0</v>
      </c>
      <c r="AK277" s="9">
        <v>0</v>
      </c>
      <c r="AL277" s="9">
        <v>0</v>
      </c>
      <c r="AM277" s="9">
        <v>80.878498123791502</v>
      </c>
      <c r="AN277" s="9">
        <v>0.69722843210165097</v>
      </c>
      <c r="AO277" s="9"/>
      <c r="AP277" s="9">
        <v>971.99287986261197</v>
      </c>
      <c r="AQ277" s="9">
        <v>8.3792489643328594</v>
      </c>
      <c r="AR277" s="9"/>
      <c r="AS277" s="73">
        <v>68</v>
      </c>
      <c r="AT277" s="8">
        <v>9.4499999999999993</v>
      </c>
      <c r="AU277" s="10">
        <v>42.06457517868018</v>
      </c>
      <c r="AV277" s="10">
        <v>139.413068672153</v>
      </c>
      <c r="AW277" s="8">
        <v>1</v>
      </c>
      <c r="AX277" s="74">
        <v>2.0501921863551913</v>
      </c>
      <c r="AY277" s="74"/>
      <c r="AZ277" s="74"/>
      <c r="BA277" s="74"/>
      <c r="BB277" s="8"/>
      <c r="BC277" s="8"/>
      <c r="BD277" s="8"/>
      <c r="BE277" s="8"/>
      <c r="BF277" s="12">
        <v>0.44</v>
      </c>
      <c r="BG277" s="13">
        <v>0</v>
      </c>
      <c r="BH277" s="96" t="str">
        <f>+VLOOKUP(G277,Liste!$A$7:$G$50,3,FALSE)</f>
        <v>Pin sylvestre</v>
      </c>
      <c r="BI277" s="96" t="str">
        <f>+VLOOKUP(H277,Liste!$B$7:$G$50,5,FALSE)</f>
        <v>GS Pineraies des plaines du Centre et du Nord Ouest</v>
      </c>
      <c r="BJ277" s="135">
        <f t="shared" si="91"/>
        <v>116</v>
      </c>
      <c r="BK277" s="135" t="str">
        <f t="shared" si="93"/>
        <v>Pin sylvestre_F2_Eclaircie tardive_GS Pineraies des plaines du Centre et du Nord Ouest_116_</v>
      </c>
      <c r="BL277" s="322"/>
      <c r="BM277" s="13">
        <v>0</v>
      </c>
      <c r="BN277" s="13">
        <v>0</v>
      </c>
      <c r="BO277" s="13">
        <v>152.02174029047001</v>
      </c>
      <c r="BP277" s="13">
        <v>268.42</v>
      </c>
      <c r="BQ277" s="13"/>
      <c r="BT277" s="298" t="str">
        <f>+VLOOKUP(G277,Liste!$A$7:$H$50,8,FALSE)</f>
        <v>Résineux</v>
      </c>
      <c r="BU277" s="298">
        <f t="shared" si="94"/>
        <v>0</v>
      </c>
      <c r="BV277" s="300">
        <f t="shared" si="95"/>
        <v>1</v>
      </c>
      <c r="BW277" s="321">
        <v>0</v>
      </c>
      <c r="BX277" s="298">
        <f t="shared" si="96"/>
        <v>0.43</v>
      </c>
      <c r="BY277">
        <f t="shared" si="97"/>
        <v>0</v>
      </c>
      <c r="BZ277" s="304">
        <f t="shared" si="98"/>
        <v>0</v>
      </c>
      <c r="CB277" s="299">
        <v>0.6</v>
      </c>
      <c r="CC277" s="299">
        <v>0.4</v>
      </c>
      <c r="CD277">
        <f t="shared" si="99"/>
        <v>0</v>
      </c>
      <c r="CE277">
        <f t="shared" si="100"/>
        <v>0</v>
      </c>
      <c r="CF277">
        <f t="shared" si="101"/>
        <v>0</v>
      </c>
      <c r="CG277">
        <f t="shared" si="102"/>
        <v>0</v>
      </c>
      <c r="CH277">
        <f t="shared" si="103"/>
        <v>0</v>
      </c>
      <c r="CI277">
        <f t="shared" si="104"/>
        <v>0</v>
      </c>
      <c r="CJ277">
        <f t="shared" si="105"/>
        <v>0</v>
      </c>
      <c r="CK277">
        <f t="shared" si="106"/>
        <v>0</v>
      </c>
      <c r="CL277">
        <f t="shared" si="107"/>
        <v>0</v>
      </c>
      <c r="CM277">
        <f t="shared" si="109"/>
        <v>0</v>
      </c>
      <c r="CN277">
        <f t="shared" si="108"/>
        <v>0</v>
      </c>
      <c r="CO277">
        <f t="shared" si="92"/>
        <v>0</v>
      </c>
    </row>
    <row r="278" spans="1:93" s="12" customFormat="1" x14ac:dyDescent="0.25">
      <c r="A278" s="4">
        <v>2021</v>
      </c>
      <c r="B278" s="4"/>
      <c r="C278" s="4" t="s">
        <v>64</v>
      </c>
      <c r="D278" s="4" t="s">
        <v>65</v>
      </c>
      <c r="E278" s="4"/>
      <c r="F278" s="4" t="s">
        <v>90</v>
      </c>
      <c r="G278" s="5" t="s">
        <v>15</v>
      </c>
      <c r="H278" s="5" t="s">
        <v>21</v>
      </c>
      <c r="I278" s="5" t="s">
        <v>147</v>
      </c>
      <c r="J278" s="5" t="s">
        <v>9</v>
      </c>
      <c r="K278" s="5">
        <v>28</v>
      </c>
      <c r="L278" s="5">
        <v>45</v>
      </c>
      <c r="M278" s="5">
        <v>2500</v>
      </c>
      <c r="N278" s="5" t="s">
        <v>170</v>
      </c>
      <c r="O278" s="6" t="s">
        <v>148</v>
      </c>
      <c r="P278" s="6" t="s">
        <v>80</v>
      </c>
      <c r="Q278" s="6">
        <v>1997</v>
      </c>
      <c r="R278" s="6" t="s">
        <v>2</v>
      </c>
      <c r="S278" s="6">
        <v>21</v>
      </c>
      <c r="T278" s="6">
        <v>12.5</v>
      </c>
      <c r="U278" s="6">
        <v>2024</v>
      </c>
      <c r="V278" s="6">
        <v>28.8</v>
      </c>
      <c r="W278" s="6">
        <v>0</v>
      </c>
      <c r="X278" s="6">
        <v>1100</v>
      </c>
      <c r="Y278" s="6">
        <v>712</v>
      </c>
      <c r="Z278" s="6">
        <v>162</v>
      </c>
      <c r="AA278" s="6">
        <v>50</v>
      </c>
      <c r="AB278" s="6">
        <v>0</v>
      </c>
      <c r="AC278" s="7">
        <v>21</v>
      </c>
      <c r="AD278" s="7" t="s">
        <v>52</v>
      </c>
      <c r="AE278" s="7">
        <v>13.16</v>
      </c>
      <c r="AF278" s="7">
        <v>2024</v>
      </c>
      <c r="AG278" s="7">
        <v>29.41</v>
      </c>
      <c r="AH278" s="7">
        <v>13.6</v>
      </c>
      <c r="AI278" s="7">
        <v>23.5</v>
      </c>
      <c r="AJ278" s="9">
        <v>155.21203776234901</v>
      </c>
      <c r="AK278" s="9">
        <v>156.270668422282</v>
      </c>
      <c r="AL278" s="9">
        <v>213.73842771067001</v>
      </c>
      <c r="AM278" s="9">
        <v>29.407145752599199</v>
      </c>
      <c r="AN278" s="9">
        <v>1.4003402739333</v>
      </c>
      <c r="AO278" s="9">
        <v>1.8474213196773299</v>
      </c>
      <c r="AP278" s="9">
        <v>213.73842771067001</v>
      </c>
      <c r="AQ278" s="9">
        <v>10.178020367174801</v>
      </c>
      <c r="AR278" s="9">
        <v>20.472117861764001</v>
      </c>
      <c r="AS278" s="73" t="s">
        <v>169</v>
      </c>
      <c r="AT278" s="8"/>
      <c r="AU278" s="10" t="s">
        <v>169</v>
      </c>
      <c r="AV278" s="10">
        <v>0</v>
      </c>
      <c r="AW278" s="8"/>
      <c r="AX278" s="74" t="s">
        <v>169</v>
      </c>
      <c r="AY278" s="74"/>
      <c r="AZ278" s="74"/>
      <c r="BA278" s="74"/>
      <c r="BB278" s="8"/>
      <c r="BC278" s="8"/>
      <c r="BD278" s="8"/>
      <c r="BE278" s="8"/>
      <c r="BF278" s="12">
        <v>0.44</v>
      </c>
      <c r="BG278" s="13">
        <v>163.79488176894336</v>
      </c>
      <c r="BH278" s="96" t="str">
        <f>+VLOOKUP(G278,Liste!$A$7:$G$50,3,FALSE)</f>
        <v>Pin sylvestre</v>
      </c>
      <c r="BI278" s="96" t="str">
        <f>+VLOOKUP(H278,Liste!$B$7:$G$50,5,FALSE)</f>
        <v>GS Pineraies des plaines du Centre et du Nord Ouest</v>
      </c>
      <c r="BJ278" s="135">
        <f t="shared" si="91"/>
        <v>21</v>
      </c>
      <c r="BK278" s="135" t="str">
        <f t="shared" si="93"/>
        <v>Pin sylvestre_F1_Eclaircie tardive_GS Pineraies des plaines du Centre et du Nord Ouest_21_</v>
      </c>
      <c r="BL278" s="322"/>
      <c r="BM278" s="13">
        <v>44.479117750634657</v>
      </c>
      <c r="BN278" s="13">
        <v>208.27399951957801</v>
      </c>
      <c r="BP278" s="13">
        <v>336.6929998</v>
      </c>
      <c r="BQ278" s="13">
        <v>19.432561825720001</v>
      </c>
      <c r="BT278" s="298" t="str">
        <f>+VLOOKUP(G278,Liste!$A$7:$H$50,8,FALSE)</f>
        <v>Résineux</v>
      </c>
      <c r="BU278" s="298">
        <f t="shared" si="94"/>
        <v>0</v>
      </c>
      <c r="BV278" s="300">
        <f t="shared" si="95"/>
        <v>1</v>
      </c>
      <c r="BW278" s="321">
        <v>0</v>
      </c>
      <c r="BX278" s="298">
        <f t="shared" si="96"/>
        <v>0.43</v>
      </c>
      <c r="BY278">
        <f t="shared" si="97"/>
        <v>0</v>
      </c>
      <c r="BZ278" s="304">
        <f t="shared" si="98"/>
        <v>0</v>
      </c>
      <c r="CB278" s="299">
        <v>0.6</v>
      </c>
      <c r="CC278" s="299">
        <v>0.4</v>
      </c>
      <c r="CD278">
        <f t="shared" si="99"/>
        <v>0</v>
      </c>
      <c r="CE278">
        <f t="shared" si="100"/>
        <v>0</v>
      </c>
      <c r="CF278">
        <f t="shared" si="101"/>
        <v>0</v>
      </c>
      <c r="CG278">
        <f t="shared" si="102"/>
        <v>0</v>
      </c>
      <c r="CH278">
        <f t="shared" si="103"/>
        <v>0</v>
      </c>
      <c r="CI278">
        <f t="shared" si="104"/>
        <v>0</v>
      </c>
      <c r="CJ278">
        <f t="shared" si="105"/>
        <v>0</v>
      </c>
      <c r="CK278">
        <f t="shared" si="106"/>
        <v>0</v>
      </c>
      <c r="CL278">
        <f t="shared" si="107"/>
        <v>0</v>
      </c>
      <c r="CM278">
        <f t="shared" si="109"/>
        <v>0</v>
      </c>
      <c r="CN278">
        <f t="shared" si="108"/>
        <v>0</v>
      </c>
      <c r="CO278">
        <f t="shared" si="92"/>
        <v>0</v>
      </c>
    </row>
    <row r="279" spans="1:93" s="12" customFormat="1" x14ac:dyDescent="0.25">
      <c r="A279" s="4">
        <v>2021</v>
      </c>
      <c r="B279" s="4"/>
      <c r="C279" s="4" t="s">
        <v>64</v>
      </c>
      <c r="D279" s="4" t="s">
        <v>65</v>
      </c>
      <c r="E279" s="4"/>
      <c r="F279" s="4" t="s">
        <v>90</v>
      </c>
      <c r="G279" s="5" t="s">
        <v>15</v>
      </c>
      <c r="H279" s="5" t="s">
        <v>21</v>
      </c>
      <c r="I279" s="5" t="s">
        <v>147</v>
      </c>
      <c r="J279" s="5" t="s">
        <v>9</v>
      </c>
      <c r="K279" s="5">
        <v>28</v>
      </c>
      <c r="L279" s="5">
        <v>45</v>
      </c>
      <c r="M279" s="5">
        <v>2500</v>
      </c>
      <c r="N279" s="5" t="s">
        <v>170</v>
      </c>
      <c r="O279" s="6" t="s">
        <v>148</v>
      </c>
      <c r="P279" s="6" t="s">
        <v>80</v>
      </c>
      <c r="Q279" s="6">
        <v>1997</v>
      </c>
      <c r="R279" s="6" t="s">
        <v>2</v>
      </c>
      <c r="S279" s="6">
        <v>21</v>
      </c>
      <c r="T279" s="6">
        <v>12.5</v>
      </c>
      <c r="U279" s="6">
        <v>2024</v>
      </c>
      <c r="V279" s="6">
        <v>28.8</v>
      </c>
      <c r="W279" s="6">
        <v>0</v>
      </c>
      <c r="X279" s="6">
        <v>1100</v>
      </c>
      <c r="Y279" s="6">
        <v>712</v>
      </c>
      <c r="Z279" s="6">
        <v>162</v>
      </c>
      <c r="AA279" s="6">
        <v>50</v>
      </c>
      <c r="AB279" s="6">
        <v>0</v>
      </c>
      <c r="AC279" s="7">
        <v>22</v>
      </c>
      <c r="AD279" s="7" t="s">
        <v>52</v>
      </c>
      <c r="AE279" s="7">
        <v>13.78</v>
      </c>
      <c r="AF279" s="7">
        <v>2024</v>
      </c>
      <c r="AG279" s="7">
        <v>31.25</v>
      </c>
      <c r="AH279" s="7">
        <v>14.02</v>
      </c>
      <c r="AI279" s="7">
        <v>24.39</v>
      </c>
      <c r="AJ279" s="9">
        <v>172.824243418257</v>
      </c>
      <c r="AK279" s="9">
        <v>173.990245160901</v>
      </c>
      <c r="AL279" s="9">
        <v>234.210545572434</v>
      </c>
      <c r="AM279" s="9">
        <v>31.254567072276501</v>
      </c>
      <c r="AN279" s="9">
        <v>1.4206621396489301</v>
      </c>
      <c r="AO279" s="9">
        <v>1.8214217109337301</v>
      </c>
      <c r="AP279" s="9">
        <v>234.210545572434</v>
      </c>
      <c r="AQ279" s="9">
        <v>10.645933889656099</v>
      </c>
      <c r="AR279" s="9">
        <v>20.9847793177372</v>
      </c>
      <c r="AS279" s="73" t="s">
        <v>169</v>
      </c>
      <c r="AT279" s="8"/>
      <c r="AU279" s="10" t="s">
        <v>169</v>
      </c>
      <c r="AV279" s="10">
        <v>0</v>
      </c>
      <c r="AW279" s="8"/>
      <c r="AX279" s="74" t="s">
        <v>169</v>
      </c>
      <c r="AY279" s="74"/>
      <c r="AZ279" s="74"/>
      <c r="BA279" s="74"/>
      <c r="BB279" s="8"/>
      <c r="BC279" s="8"/>
      <c r="BD279" s="8"/>
      <c r="BE279" s="8"/>
      <c r="BF279" s="12">
        <v>0.44</v>
      </c>
      <c r="BG279" s="13">
        <v>179.48334809034191</v>
      </c>
      <c r="BH279" s="96" t="str">
        <f>+VLOOKUP(G279,Liste!$A$7:$G$50,3,FALSE)</f>
        <v>Pin sylvestre</v>
      </c>
      <c r="BI279" s="96" t="str">
        <f>+VLOOKUP(H279,Liste!$B$7:$G$50,5,FALSE)</f>
        <v>GS Pineraies des plaines du Centre et du Nord Ouest</v>
      </c>
      <c r="BJ279" s="135">
        <f t="shared" si="91"/>
        <v>22</v>
      </c>
      <c r="BK279" s="135" t="str">
        <f t="shared" si="93"/>
        <v>Pin sylvestre_F1_Eclaircie tardive_GS Pineraies des plaines du Centre et du Nord Ouest_22_</v>
      </c>
      <c r="BL279" s="322"/>
      <c r="BM279" s="13">
        <v>48.223213254956107</v>
      </c>
      <c r="BN279" s="13">
        <v>227.70656134529801</v>
      </c>
      <c r="BP279" s="13">
        <v>336.6929998</v>
      </c>
      <c r="BQ279" s="13">
        <v>19.879832172862798</v>
      </c>
      <c r="BT279" s="298" t="str">
        <f>+VLOOKUP(G279,Liste!$A$7:$H$50,8,FALSE)</f>
        <v>Résineux</v>
      </c>
      <c r="BU279" s="298">
        <f t="shared" si="94"/>
        <v>0</v>
      </c>
      <c r="BV279" s="300">
        <f t="shared" si="95"/>
        <v>1</v>
      </c>
      <c r="BW279" s="321">
        <v>0</v>
      </c>
      <c r="BX279" s="298">
        <f t="shared" si="96"/>
        <v>0.43</v>
      </c>
      <c r="BY279">
        <f t="shared" si="97"/>
        <v>0</v>
      </c>
      <c r="BZ279" s="304">
        <f t="shared" si="98"/>
        <v>0</v>
      </c>
      <c r="CB279" s="299">
        <v>0.6</v>
      </c>
      <c r="CC279" s="299">
        <v>0.4</v>
      </c>
      <c r="CD279">
        <f t="shared" si="99"/>
        <v>0</v>
      </c>
      <c r="CE279">
        <f t="shared" si="100"/>
        <v>0</v>
      </c>
      <c r="CF279">
        <f t="shared" si="101"/>
        <v>0</v>
      </c>
      <c r="CG279">
        <f t="shared" si="102"/>
        <v>0</v>
      </c>
      <c r="CH279">
        <f t="shared" si="103"/>
        <v>0</v>
      </c>
      <c r="CI279">
        <f t="shared" si="104"/>
        <v>0</v>
      </c>
      <c r="CJ279">
        <f t="shared" si="105"/>
        <v>0</v>
      </c>
      <c r="CK279">
        <f t="shared" si="106"/>
        <v>0</v>
      </c>
      <c r="CL279">
        <f t="shared" si="107"/>
        <v>0</v>
      </c>
      <c r="CM279">
        <f t="shared" si="109"/>
        <v>0</v>
      </c>
      <c r="CN279">
        <f t="shared" si="108"/>
        <v>0</v>
      </c>
      <c r="CO279">
        <f t="shared" si="92"/>
        <v>0</v>
      </c>
    </row>
    <row r="280" spans="1:93" s="12" customFormat="1" x14ac:dyDescent="0.25">
      <c r="A280" s="4">
        <v>2021</v>
      </c>
      <c r="B280" s="4"/>
      <c r="C280" s="4" t="s">
        <v>64</v>
      </c>
      <c r="D280" s="4" t="s">
        <v>65</v>
      </c>
      <c r="E280" s="4"/>
      <c r="F280" s="4" t="s">
        <v>90</v>
      </c>
      <c r="G280" s="5" t="s">
        <v>15</v>
      </c>
      <c r="H280" s="5" t="s">
        <v>21</v>
      </c>
      <c r="I280" s="5" t="s">
        <v>147</v>
      </c>
      <c r="J280" s="5" t="s">
        <v>9</v>
      </c>
      <c r="K280" s="5">
        <v>28</v>
      </c>
      <c r="L280" s="5">
        <v>45</v>
      </c>
      <c r="M280" s="5">
        <v>2500</v>
      </c>
      <c r="N280" s="5" t="s">
        <v>170</v>
      </c>
      <c r="O280" s="6" t="s">
        <v>148</v>
      </c>
      <c r="P280" s="6" t="s">
        <v>80</v>
      </c>
      <c r="Q280" s="6">
        <v>1997</v>
      </c>
      <c r="R280" s="6" t="s">
        <v>2</v>
      </c>
      <c r="S280" s="6">
        <v>21</v>
      </c>
      <c r="T280" s="6">
        <v>12.5</v>
      </c>
      <c r="U280" s="6">
        <v>2024</v>
      </c>
      <c r="V280" s="6">
        <v>28.8</v>
      </c>
      <c r="W280" s="6">
        <v>0</v>
      </c>
      <c r="X280" s="6">
        <v>1100</v>
      </c>
      <c r="Y280" s="6">
        <v>712</v>
      </c>
      <c r="Z280" s="6">
        <v>162</v>
      </c>
      <c r="AA280" s="6">
        <v>50</v>
      </c>
      <c r="AB280" s="6">
        <v>0</v>
      </c>
      <c r="AC280" s="7">
        <v>23</v>
      </c>
      <c r="AD280" s="7" t="s">
        <v>52</v>
      </c>
      <c r="AE280" s="7">
        <v>14.4</v>
      </c>
      <c r="AF280" s="7">
        <v>2024</v>
      </c>
      <c r="AG280" s="7">
        <v>33.08</v>
      </c>
      <c r="AH280" s="7">
        <v>14.42</v>
      </c>
      <c r="AI280" s="7">
        <v>25.25</v>
      </c>
      <c r="AJ280" s="9">
        <v>190.993277092591</v>
      </c>
      <c r="AK280" s="9">
        <v>192.269727634004</v>
      </c>
      <c r="AL280" s="9">
        <v>255.19532489017101</v>
      </c>
      <c r="AM280" s="9">
        <v>33.075988783210299</v>
      </c>
      <c r="AN280" s="9">
        <v>1.4380864688352299</v>
      </c>
      <c r="AO280" s="9">
        <v>1.39949441357528</v>
      </c>
      <c r="AP280" s="9">
        <v>255.19532489017101</v>
      </c>
      <c r="AQ280" s="9">
        <v>11.095448908268301</v>
      </c>
      <c r="AR280" s="9">
        <v>18.194009838981501</v>
      </c>
      <c r="AS280" s="73" t="s">
        <v>169</v>
      </c>
      <c r="AT280" s="8"/>
      <c r="AU280" s="10" t="s">
        <v>169</v>
      </c>
      <c r="AV280" s="10">
        <v>0</v>
      </c>
      <c r="AW280" s="8"/>
      <c r="AX280" s="74" t="s">
        <v>169</v>
      </c>
      <c r="AY280" s="74"/>
      <c r="AZ280" s="74"/>
      <c r="BA280" s="74"/>
      <c r="BB280" s="8"/>
      <c r="BC280" s="8"/>
      <c r="BD280" s="8"/>
      <c r="BE280" s="8"/>
      <c r="BF280" s="12">
        <v>0.44</v>
      </c>
      <c r="BG280" s="13">
        <v>195.56468397416793</v>
      </c>
      <c r="BH280" s="96" t="str">
        <f>+VLOOKUP(G280,Liste!$A$7:$G$50,3,FALSE)</f>
        <v>Pin sylvestre</v>
      </c>
      <c r="BI280" s="96" t="str">
        <f>+VLOOKUP(H280,Liste!$B$7:$G$50,5,FALSE)</f>
        <v>GS Pineraies des plaines du Centre et du Nord Ouest</v>
      </c>
      <c r="BJ280" s="135">
        <f t="shared" si="91"/>
        <v>23</v>
      </c>
      <c r="BK280" s="135" t="str">
        <f t="shared" si="93"/>
        <v>Pin sylvestre_F1_Eclaircie tardive_GS Pineraies des plaines du Centre et du Nord Ouest_23_</v>
      </c>
      <c r="BL280" s="322"/>
      <c r="BM280" s="13">
        <v>52.021709543993069</v>
      </c>
      <c r="BN280" s="13">
        <v>247.586393518161</v>
      </c>
      <c r="BP280" s="13">
        <v>336.6929998</v>
      </c>
      <c r="BQ280" s="13">
        <v>17.2065738267029</v>
      </c>
      <c r="BT280" s="298" t="str">
        <f>+VLOOKUP(G280,Liste!$A$7:$H$50,8,FALSE)</f>
        <v>Résineux</v>
      </c>
      <c r="BU280" s="298">
        <f t="shared" si="94"/>
        <v>0</v>
      </c>
      <c r="BV280" s="300">
        <f t="shared" si="95"/>
        <v>1</v>
      </c>
      <c r="BW280" s="321">
        <v>0</v>
      </c>
      <c r="BX280" s="298">
        <f t="shared" si="96"/>
        <v>0.43</v>
      </c>
      <c r="BY280">
        <f t="shared" si="97"/>
        <v>0</v>
      </c>
      <c r="BZ280" s="304">
        <f t="shared" si="98"/>
        <v>0</v>
      </c>
      <c r="CB280" s="299">
        <v>0.6</v>
      </c>
      <c r="CC280" s="299">
        <v>0.4</v>
      </c>
      <c r="CD280">
        <f t="shared" si="99"/>
        <v>0</v>
      </c>
      <c r="CE280">
        <f t="shared" si="100"/>
        <v>0</v>
      </c>
      <c r="CF280">
        <f t="shared" si="101"/>
        <v>0</v>
      </c>
      <c r="CG280">
        <f t="shared" si="102"/>
        <v>0</v>
      </c>
      <c r="CH280">
        <f t="shared" si="103"/>
        <v>0</v>
      </c>
      <c r="CI280">
        <f t="shared" si="104"/>
        <v>0</v>
      </c>
      <c r="CJ280">
        <f t="shared" si="105"/>
        <v>0</v>
      </c>
      <c r="CK280">
        <f t="shared" si="106"/>
        <v>0</v>
      </c>
      <c r="CL280">
        <f t="shared" si="107"/>
        <v>0</v>
      </c>
      <c r="CM280">
        <f t="shared" si="109"/>
        <v>0</v>
      </c>
      <c r="CN280">
        <f t="shared" si="108"/>
        <v>0</v>
      </c>
      <c r="CO280">
        <f t="shared" si="92"/>
        <v>0</v>
      </c>
    </row>
    <row r="281" spans="1:93" s="12" customFormat="1" x14ac:dyDescent="0.25">
      <c r="A281" s="4">
        <v>2021</v>
      </c>
      <c r="B281" s="4"/>
      <c r="C281" s="4" t="s">
        <v>64</v>
      </c>
      <c r="D281" s="4" t="s">
        <v>65</v>
      </c>
      <c r="E281" s="4"/>
      <c r="F281" s="4" t="s">
        <v>90</v>
      </c>
      <c r="G281" s="5" t="s">
        <v>15</v>
      </c>
      <c r="H281" s="5" t="s">
        <v>21</v>
      </c>
      <c r="I281" s="5" t="s">
        <v>147</v>
      </c>
      <c r="J281" s="5" t="s">
        <v>9</v>
      </c>
      <c r="K281" s="5">
        <v>28</v>
      </c>
      <c r="L281" s="5">
        <v>45</v>
      </c>
      <c r="M281" s="5">
        <v>2500</v>
      </c>
      <c r="N281" s="5" t="s">
        <v>170</v>
      </c>
      <c r="O281" s="6" t="s">
        <v>148</v>
      </c>
      <c r="P281" s="6" t="s">
        <v>80</v>
      </c>
      <c r="Q281" s="6">
        <v>1997</v>
      </c>
      <c r="R281" s="6" t="s">
        <v>2</v>
      </c>
      <c r="S281" s="6">
        <v>21</v>
      </c>
      <c r="T281" s="6">
        <v>12.5</v>
      </c>
      <c r="U281" s="6">
        <v>2024</v>
      </c>
      <c r="V281" s="6">
        <v>28.8</v>
      </c>
      <c r="W281" s="6">
        <v>0</v>
      </c>
      <c r="X281" s="6">
        <v>1100</v>
      </c>
      <c r="Y281" s="6">
        <v>712</v>
      </c>
      <c r="Z281" s="6">
        <v>162</v>
      </c>
      <c r="AA281" s="6">
        <v>50</v>
      </c>
      <c r="AB281" s="6">
        <v>0</v>
      </c>
      <c r="AC281" s="7">
        <v>23</v>
      </c>
      <c r="AD281" s="7" t="s">
        <v>53</v>
      </c>
      <c r="AE281" s="7">
        <v>14.4</v>
      </c>
      <c r="AF281" s="7">
        <v>1500</v>
      </c>
      <c r="AG281" s="7">
        <v>24.07</v>
      </c>
      <c r="AH281" s="7">
        <v>14.29</v>
      </c>
      <c r="AI281" s="7">
        <v>22.36</v>
      </c>
      <c r="AJ281" s="9">
        <v>138.32335345802599</v>
      </c>
      <c r="AK281" s="9">
        <v>139.06621006250501</v>
      </c>
      <c r="AL281" s="9">
        <v>184.212889125624</v>
      </c>
      <c r="AM281" s="9">
        <v>33.075988783210299</v>
      </c>
      <c r="AN281" s="9">
        <v>1.4380864688352299</v>
      </c>
      <c r="AO281" s="9">
        <v>1.39949441357528</v>
      </c>
      <c r="AP281" s="9">
        <v>255.19532489017101</v>
      </c>
      <c r="AQ281" s="9">
        <v>11.095448908268301</v>
      </c>
      <c r="AR281" s="9">
        <v>18.194009838981501</v>
      </c>
      <c r="AS281" s="73">
        <v>524</v>
      </c>
      <c r="AT281" s="8">
        <v>9.009999999999998</v>
      </c>
      <c r="AU281" s="10">
        <v>14.796255134106881</v>
      </c>
      <c r="AV281" s="10">
        <v>52.669923634565009</v>
      </c>
      <c r="AW281" s="8">
        <v>1.05</v>
      </c>
      <c r="AX281" s="74">
        <v>0.10051512144000956</v>
      </c>
      <c r="AY281" s="74"/>
      <c r="AZ281" s="74"/>
      <c r="BA281" s="74"/>
      <c r="BB281" s="8"/>
      <c r="BC281" s="8"/>
      <c r="BD281" s="8"/>
      <c r="BE281" s="8"/>
      <c r="BF281" s="12">
        <v>0.44</v>
      </c>
      <c r="BG281" s="13">
        <v>141.16847736660313</v>
      </c>
      <c r="BH281" s="96" t="str">
        <f>+VLOOKUP(G281,Liste!$A$7:$G$50,3,FALSE)</f>
        <v>Pin sylvestre</v>
      </c>
      <c r="BI281" s="96" t="str">
        <f>+VLOOKUP(H281,Liste!$B$7:$G$50,5,FALSE)</f>
        <v>GS Pineraies des plaines du Centre et du Nord Ouest</v>
      </c>
      <c r="BJ281" s="135">
        <f t="shared" si="91"/>
        <v>23</v>
      </c>
      <c r="BK281" s="135" t="str">
        <f t="shared" si="93"/>
        <v>Pin sylvestre_F1_Eclaircie tardive_GS Pineraies des plaines du Centre et du Nord Ouest_23_</v>
      </c>
      <c r="BL281" s="322"/>
      <c r="BM281" s="13">
        <v>39.003955670580865</v>
      </c>
      <c r="BN281" s="13">
        <v>180.17243303718399</v>
      </c>
      <c r="BO281" s="13">
        <v>67.413960480977011</v>
      </c>
      <c r="BP281" s="13">
        <v>336.6929998</v>
      </c>
      <c r="BQ281" s="13">
        <v>17.2065738267029</v>
      </c>
      <c r="BT281" s="298" t="str">
        <f>+VLOOKUP(G281,Liste!$A$7:$H$50,8,FALSE)</f>
        <v>Résineux</v>
      </c>
      <c r="BU281" s="298">
        <f t="shared" si="94"/>
        <v>0</v>
      </c>
      <c r="BV281" s="300">
        <f t="shared" si="95"/>
        <v>1</v>
      </c>
      <c r="BW281" s="321">
        <v>0</v>
      </c>
      <c r="BX281" s="298">
        <f t="shared" si="96"/>
        <v>0.43</v>
      </c>
      <c r="BY281">
        <f t="shared" si="97"/>
        <v>22.648067162862954</v>
      </c>
      <c r="BZ281" s="304">
        <f t="shared" si="98"/>
        <v>22.648067162862954</v>
      </c>
      <c r="CB281" s="299">
        <v>0.6</v>
      </c>
      <c r="CC281" s="299">
        <v>0.4</v>
      </c>
      <c r="CD281">
        <f t="shared" si="99"/>
        <v>0</v>
      </c>
      <c r="CE281">
        <f t="shared" si="100"/>
        <v>31.601954180739003</v>
      </c>
      <c r="CF281">
        <f t="shared" si="101"/>
        <v>21.067969453826006</v>
      </c>
      <c r="CG281">
        <f t="shared" si="102"/>
        <v>0</v>
      </c>
      <c r="CH281">
        <f t="shared" si="103"/>
        <v>24.217630887172987</v>
      </c>
      <c r="CI281">
        <f t="shared" si="104"/>
        <v>16.145087258115328</v>
      </c>
      <c r="CJ281">
        <f t="shared" si="105"/>
        <v>0</v>
      </c>
      <c r="CK281">
        <f t="shared" si="106"/>
        <v>0</v>
      </c>
      <c r="CL281">
        <f t="shared" si="107"/>
        <v>0</v>
      </c>
      <c r="CM281">
        <f t="shared" si="109"/>
        <v>0</v>
      </c>
      <c r="CN281">
        <f t="shared" si="108"/>
        <v>0</v>
      </c>
      <c r="CO281">
        <f t="shared" si="92"/>
        <v>0</v>
      </c>
    </row>
    <row r="282" spans="1:93" s="12" customFormat="1" x14ac:dyDescent="0.25">
      <c r="A282" s="4">
        <v>2021</v>
      </c>
      <c r="B282" s="4"/>
      <c r="C282" s="4" t="s">
        <v>64</v>
      </c>
      <c r="D282" s="4" t="s">
        <v>65</v>
      </c>
      <c r="E282" s="4"/>
      <c r="F282" s="4" t="s">
        <v>90</v>
      </c>
      <c r="G282" s="5" t="s">
        <v>15</v>
      </c>
      <c r="H282" s="5" t="s">
        <v>21</v>
      </c>
      <c r="I282" s="5" t="s">
        <v>147</v>
      </c>
      <c r="J282" s="5" t="s">
        <v>9</v>
      </c>
      <c r="K282" s="5">
        <v>28</v>
      </c>
      <c r="L282" s="5">
        <v>45</v>
      </c>
      <c r="M282" s="5">
        <v>2500</v>
      </c>
      <c r="N282" s="5" t="s">
        <v>170</v>
      </c>
      <c r="O282" s="6" t="s">
        <v>148</v>
      </c>
      <c r="P282" s="6" t="s">
        <v>80</v>
      </c>
      <c r="Q282" s="6">
        <v>1997</v>
      </c>
      <c r="R282" s="6" t="s">
        <v>2</v>
      </c>
      <c r="S282" s="6">
        <v>21</v>
      </c>
      <c r="T282" s="6">
        <v>12.5</v>
      </c>
      <c r="U282" s="6">
        <v>2024</v>
      </c>
      <c r="V282" s="6">
        <v>28.8</v>
      </c>
      <c r="W282" s="6">
        <v>0</v>
      </c>
      <c r="X282" s="6">
        <v>1100</v>
      </c>
      <c r="Y282" s="6">
        <v>712</v>
      </c>
      <c r="Z282" s="6">
        <v>162</v>
      </c>
      <c r="AA282" s="6">
        <v>50</v>
      </c>
      <c r="AB282" s="6">
        <v>0</v>
      </c>
      <c r="AC282" s="7">
        <v>24</v>
      </c>
      <c r="AD282" s="7" t="s">
        <v>52</v>
      </c>
      <c r="AE282" s="7">
        <v>15</v>
      </c>
      <c r="AF282" s="7">
        <v>1500</v>
      </c>
      <c r="AG282" s="7">
        <v>25.47</v>
      </c>
      <c r="AH282" s="7">
        <v>14.7</v>
      </c>
      <c r="AI282" s="7">
        <v>23.12</v>
      </c>
      <c r="AJ282" s="9">
        <v>154.657612047654</v>
      </c>
      <c r="AK282" s="9">
        <v>155.43946401667901</v>
      </c>
      <c r="AL282" s="9">
        <v>202.40689896460501</v>
      </c>
      <c r="AM282" s="9">
        <v>34.475483196785603</v>
      </c>
      <c r="AN282" s="9">
        <v>1.4364784665327299</v>
      </c>
      <c r="AO282" s="9">
        <v>1.3691527782092301</v>
      </c>
      <c r="AP282" s="9">
        <v>273.38933472915301</v>
      </c>
      <c r="AQ282" s="9">
        <v>11.391222280381401</v>
      </c>
      <c r="AR282" s="9">
        <v>16.8390549990417</v>
      </c>
      <c r="AS282" s="73" t="s">
        <v>169</v>
      </c>
      <c r="AT282" s="8"/>
      <c r="AU282" s="10" t="s">
        <v>169</v>
      </c>
      <c r="AV282" s="10">
        <v>0</v>
      </c>
      <c r="AW282" s="8"/>
      <c r="AX282" s="74" t="s">
        <v>169</v>
      </c>
      <c r="AY282" s="74"/>
      <c r="AZ282" s="74"/>
      <c r="BA282" s="74"/>
      <c r="BB282" s="8"/>
      <c r="BC282" s="8"/>
      <c r="BD282" s="8"/>
      <c r="BE282" s="8"/>
      <c r="BF282" s="12">
        <v>0.44</v>
      </c>
      <c r="BG282" s="13">
        <v>155.11115357320918</v>
      </c>
      <c r="BH282" s="96" t="str">
        <f>+VLOOKUP(G282,Liste!$A$7:$G$50,3,FALSE)</f>
        <v>Pin sylvestre</v>
      </c>
      <c r="BI282" s="96" t="str">
        <f>+VLOOKUP(H282,Liste!$B$7:$G$50,5,FALSE)</f>
        <v>GS Pineraies des plaines du Centre et du Nord Ouest</v>
      </c>
      <c r="BJ282" s="135">
        <f t="shared" si="91"/>
        <v>24</v>
      </c>
      <c r="BK282" s="135" t="str">
        <f t="shared" si="93"/>
        <v>Pin sylvestre_F1_Eclaircie tardive_GS Pineraies des plaines du Centre et du Nord Ouest_24_</v>
      </c>
      <c r="BL282" s="322"/>
      <c r="BM282" s="13">
        <v>42.388941789314828</v>
      </c>
      <c r="BN282" s="13">
        <v>197.50009536252401</v>
      </c>
      <c r="BP282" s="13">
        <v>336.6929998</v>
      </c>
      <c r="BQ282" s="13">
        <v>15.9026561090195</v>
      </c>
      <c r="BT282" s="298" t="str">
        <f>+VLOOKUP(G282,Liste!$A$7:$H$50,8,FALSE)</f>
        <v>Résineux</v>
      </c>
      <c r="BU282" s="298">
        <f t="shared" si="94"/>
        <v>0</v>
      </c>
      <c r="BV282" s="300">
        <f t="shared" si="95"/>
        <v>1</v>
      </c>
      <c r="BW282" s="321">
        <v>0</v>
      </c>
      <c r="BX282" s="298">
        <f t="shared" si="96"/>
        <v>0.43</v>
      </c>
      <c r="BY282">
        <f t="shared" si="97"/>
        <v>0</v>
      </c>
      <c r="BZ282" s="304">
        <f t="shared" si="98"/>
        <v>22.648067162862954</v>
      </c>
      <c r="CB282" s="299">
        <v>0.6</v>
      </c>
      <c r="CC282" s="299">
        <v>0.4</v>
      </c>
      <c r="CD282">
        <f t="shared" si="99"/>
        <v>0</v>
      </c>
      <c r="CE282">
        <f t="shared" si="100"/>
        <v>0</v>
      </c>
      <c r="CF282">
        <f t="shared" si="101"/>
        <v>0</v>
      </c>
      <c r="CG282">
        <f t="shared" si="102"/>
        <v>0</v>
      </c>
      <c r="CH282">
        <f t="shared" si="103"/>
        <v>0</v>
      </c>
      <c r="CI282">
        <f t="shared" si="104"/>
        <v>0</v>
      </c>
      <c r="CJ282">
        <f t="shared" si="105"/>
        <v>0</v>
      </c>
      <c r="CK282">
        <f t="shared" si="106"/>
        <v>23.884984629982629</v>
      </c>
      <c r="CL282">
        <f t="shared" si="107"/>
        <v>13.644393882503854</v>
      </c>
      <c r="CM282">
        <f t="shared" si="109"/>
        <v>37.529378512486481</v>
      </c>
      <c r="CN282">
        <f t="shared" si="108"/>
        <v>37.529378512486481</v>
      </c>
      <c r="CO282">
        <f t="shared" si="92"/>
        <v>0</v>
      </c>
    </row>
    <row r="283" spans="1:93" s="12" customFormat="1" x14ac:dyDescent="0.25">
      <c r="A283" s="4">
        <v>2021</v>
      </c>
      <c r="B283" s="4"/>
      <c r="C283" s="4" t="s">
        <v>64</v>
      </c>
      <c r="D283" s="4" t="s">
        <v>65</v>
      </c>
      <c r="E283" s="4"/>
      <c r="F283" s="4" t="s">
        <v>90</v>
      </c>
      <c r="G283" s="5" t="s">
        <v>15</v>
      </c>
      <c r="H283" s="5" t="s">
        <v>21</v>
      </c>
      <c r="I283" s="5" t="s">
        <v>147</v>
      </c>
      <c r="J283" s="5" t="s">
        <v>9</v>
      </c>
      <c r="K283" s="5">
        <v>28</v>
      </c>
      <c r="L283" s="5">
        <v>45</v>
      </c>
      <c r="M283" s="5">
        <v>2500</v>
      </c>
      <c r="N283" s="5" t="s">
        <v>170</v>
      </c>
      <c r="O283" s="6" t="s">
        <v>148</v>
      </c>
      <c r="P283" s="6" t="s">
        <v>80</v>
      </c>
      <c r="Q283" s="6">
        <v>1997</v>
      </c>
      <c r="R283" s="6" t="s">
        <v>2</v>
      </c>
      <c r="S283" s="6">
        <v>21</v>
      </c>
      <c r="T283" s="6">
        <v>12.5</v>
      </c>
      <c r="U283" s="6">
        <v>2024</v>
      </c>
      <c r="V283" s="6">
        <v>28.8</v>
      </c>
      <c r="W283" s="6">
        <v>0</v>
      </c>
      <c r="X283" s="6">
        <v>1100</v>
      </c>
      <c r="Y283" s="6">
        <v>712</v>
      </c>
      <c r="Z283" s="6">
        <v>162</v>
      </c>
      <c r="AA283" s="6">
        <v>50</v>
      </c>
      <c r="AB283" s="6">
        <v>0</v>
      </c>
      <c r="AC283" s="7">
        <v>25</v>
      </c>
      <c r="AD283" s="7" t="s">
        <v>52</v>
      </c>
      <c r="AE283" s="7">
        <v>15.6</v>
      </c>
      <c r="AF283" s="7">
        <v>1500</v>
      </c>
      <c r="AG283" s="7">
        <v>26.83</v>
      </c>
      <c r="AH283" s="7">
        <v>15.09</v>
      </c>
      <c r="AI283" s="7">
        <v>23.84</v>
      </c>
      <c r="AJ283" s="9">
        <v>169.48666920235601</v>
      </c>
      <c r="AK283" s="9">
        <v>170.340355387199</v>
      </c>
      <c r="AL283" s="9">
        <v>219.245953963647</v>
      </c>
      <c r="AM283" s="9">
        <v>35.844635974994802</v>
      </c>
      <c r="AN283" s="9">
        <v>1.4337854389997899</v>
      </c>
      <c r="AO283" s="9">
        <v>1.34146996695368</v>
      </c>
      <c r="AP283" s="9">
        <v>290.22838972819397</v>
      </c>
      <c r="AQ283" s="9">
        <v>11.609135589127799</v>
      </c>
      <c r="AR283" s="9">
        <v>17.173735565981598</v>
      </c>
      <c r="AS283" s="73" t="s">
        <v>169</v>
      </c>
      <c r="AT283" s="8"/>
      <c r="AU283" s="10" t="s">
        <v>169</v>
      </c>
      <c r="AV283" s="10">
        <v>0</v>
      </c>
      <c r="AW283" s="8"/>
      <c r="AX283" s="74" t="s">
        <v>169</v>
      </c>
      <c r="AY283" s="74"/>
      <c r="AZ283" s="74"/>
      <c r="BA283" s="74"/>
      <c r="BB283" s="8"/>
      <c r="BC283" s="8"/>
      <c r="BD283" s="8"/>
      <c r="BE283" s="8"/>
      <c r="BF283" s="12">
        <v>0.44</v>
      </c>
      <c r="BG283" s="13">
        <v>168.01548272080805</v>
      </c>
      <c r="BH283" s="96" t="str">
        <f>+VLOOKUP(G283,Liste!$A$7:$G$50,3,FALSE)</f>
        <v>Pin sylvestre</v>
      </c>
      <c r="BI283" s="96" t="str">
        <f>+VLOOKUP(H283,Liste!$B$7:$G$50,5,FALSE)</f>
        <v>GS Pineraies des plaines du Centre et du Nord Ouest</v>
      </c>
      <c r="BJ283" s="135">
        <f t="shared" si="91"/>
        <v>25</v>
      </c>
      <c r="BK283" s="135" t="str">
        <f t="shared" si="93"/>
        <v>Pin sylvestre_F1_Eclaircie tardive_GS Pineraies des plaines du Centre et du Nord Ouest_25_</v>
      </c>
      <c r="BL283" s="322"/>
      <c r="BM283" s="13">
        <v>45.490325103375937</v>
      </c>
      <c r="BN283" s="13">
        <v>213.50580782418399</v>
      </c>
      <c r="BP283" s="13">
        <v>336.6929998</v>
      </c>
      <c r="BQ283" s="13">
        <v>16.1979351408498</v>
      </c>
      <c r="BT283" s="298" t="str">
        <f>+VLOOKUP(G283,Liste!$A$7:$H$50,8,FALSE)</f>
        <v>Résineux</v>
      </c>
      <c r="BU283" s="298">
        <f t="shared" si="94"/>
        <v>0</v>
      </c>
      <c r="BV283" s="300">
        <f t="shared" si="95"/>
        <v>1</v>
      </c>
      <c r="BW283" s="321">
        <v>0</v>
      </c>
      <c r="BX283" s="298">
        <f t="shared" si="96"/>
        <v>0.43</v>
      </c>
      <c r="BY283">
        <f t="shared" si="97"/>
        <v>0</v>
      </c>
      <c r="BZ283" s="304">
        <f t="shared" si="98"/>
        <v>22.648067162862954</v>
      </c>
      <c r="CB283" s="299">
        <v>0.6</v>
      </c>
      <c r="CC283" s="299">
        <v>0.4</v>
      </c>
      <c r="CD283">
        <f t="shared" si="99"/>
        <v>0</v>
      </c>
      <c r="CE283">
        <f t="shared" si="100"/>
        <v>0</v>
      </c>
      <c r="CF283">
        <f t="shared" si="101"/>
        <v>0</v>
      </c>
      <c r="CG283">
        <f t="shared" si="102"/>
        <v>0</v>
      </c>
      <c r="CH283">
        <f t="shared" si="103"/>
        <v>0</v>
      </c>
      <c r="CI283">
        <f t="shared" si="104"/>
        <v>0</v>
      </c>
      <c r="CJ283">
        <f t="shared" si="105"/>
        <v>0</v>
      </c>
      <c r="CK283">
        <f t="shared" si="106"/>
        <v>23.231848469219003</v>
      </c>
      <c r="CL283">
        <f t="shared" si="107"/>
        <v>9.6480434394987213</v>
      </c>
      <c r="CM283">
        <f t="shared" si="109"/>
        <v>32.879891908717724</v>
      </c>
      <c r="CN283">
        <f t="shared" si="108"/>
        <v>70.409270421204212</v>
      </c>
      <c r="CO283">
        <f t="shared" si="92"/>
        <v>0</v>
      </c>
    </row>
    <row r="284" spans="1:93" s="12" customFormat="1" x14ac:dyDescent="0.25">
      <c r="A284" s="4">
        <v>2021</v>
      </c>
      <c r="B284" s="4"/>
      <c r="C284" s="4" t="s">
        <v>64</v>
      </c>
      <c r="D284" s="4" t="s">
        <v>65</v>
      </c>
      <c r="E284" s="4"/>
      <c r="F284" s="4" t="s">
        <v>90</v>
      </c>
      <c r="G284" s="5" t="s">
        <v>15</v>
      </c>
      <c r="H284" s="5" t="s">
        <v>21</v>
      </c>
      <c r="I284" s="5" t="s">
        <v>147</v>
      </c>
      <c r="J284" s="5" t="s">
        <v>9</v>
      </c>
      <c r="K284" s="5">
        <v>28</v>
      </c>
      <c r="L284" s="5">
        <v>45</v>
      </c>
      <c r="M284" s="5">
        <v>2500</v>
      </c>
      <c r="N284" s="5" t="s">
        <v>170</v>
      </c>
      <c r="O284" s="6" t="s">
        <v>148</v>
      </c>
      <c r="P284" s="6" t="s">
        <v>80</v>
      </c>
      <c r="Q284" s="6">
        <v>1997</v>
      </c>
      <c r="R284" s="6" t="s">
        <v>2</v>
      </c>
      <c r="S284" s="6">
        <v>21</v>
      </c>
      <c r="T284" s="6">
        <v>12.5</v>
      </c>
      <c r="U284" s="6">
        <v>2024</v>
      </c>
      <c r="V284" s="6">
        <v>28.8</v>
      </c>
      <c r="W284" s="6">
        <v>0</v>
      </c>
      <c r="X284" s="6">
        <v>1100</v>
      </c>
      <c r="Y284" s="6">
        <v>712</v>
      </c>
      <c r="Z284" s="6">
        <v>162</v>
      </c>
      <c r="AA284" s="6">
        <v>50</v>
      </c>
      <c r="AB284" s="6">
        <v>0</v>
      </c>
      <c r="AC284" s="7">
        <v>26</v>
      </c>
      <c r="AD284" s="7" t="s">
        <v>52</v>
      </c>
      <c r="AE284" s="7">
        <v>16.18</v>
      </c>
      <c r="AF284" s="7">
        <v>1500</v>
      </c>
      <c r="AG284" s="7">
        <v>28.18</v>
      </c>
      <c r="AH284" s="7">
        <v>15.46</v>
      </c>
      <c r="AI284" s="7">
        <v>24.55</v>
      </c>
      <c r="AJ284" s="9">
        <v>184.70938873652301</v>
      </c>
      <c r="AK284" s="9">
        <v>185.63437239323301</v>
      </c>
      <c r="AL284" s="9">
        <v>236.41968952962901</v>
      </c>
      <c r="AM284" s="9">
        <v>37.186105941948497</v>
      </c>
      <c r="AN284" s="9">
        <v>1.4302348439210999</v>
      </c>
      <c r="AO284" s="9">
        <v>1.31487764963209</v>
      </c>
      <c r="AP284" s="9">
        <v>307.40212529417602</v>
      </c>
      <c r="AQ284" s="9">
        <v>11.8231586651606</v>
      </c>
      <c r="AR284" s="9">
        <v>17.398766579486601</v>
      </c>
      <c r="AS284" s="73" t="s">
        <v>169</v>
      </c>
      <c r="AT284" s="8"/>
      <c r="AU284" s="10" t="s">
        <v>169</v>
      </c>
      <c r="AV284" s="10">
        <v>0</v>
      </c>
      <c r="AW284" s="8"/>
      <c r="AX284" s="74" t="s">
        <v>169</v>
      </c>
      <c r="AY284" s="74"/>
      <c r="AZ284" s="74"/>
      <c r="BA284" s="74"/>
      <c r="BB284" s="8"/>
      <c r="BC284" s="8"/>
      <c r="BD284" s="8"/>
      <c r="BE284" s="8"/>
      <c r="BF284" s="12">
        <v>0.44</v>
      </c>
      <c r="BG284" s="13">
        <v>181.17628874287212</v>
      </c>
      <c r="BH284" s="96" t="str">
        <f>+VLOOKUP(G284,Liste!$A$7:$G$50,3,FALSE)</f>
        <v>Pin sylvestre</v>
      </c>
      <c r="BI284" s="96" t="str">
        <f>+VLOOKUP(H284,Liste!$B$7:$G$50,5,FALSE)</f>
        <v>GS Pineraies des plaines du Centre et du Nord Ouest</v>
      </c>
      <c r="BJ284" s="135">
        <f t="shared" si="91"/>
        <v>26</v>
      </c>
      <c r="BK284" s="135" t="str">
        <f t="shared" si="93"/>
        <v>Pin sylvestre_F1_Eclaircie tardive_GS Pineraies des plaines du Centre et du Nord Ouest_26_</v>
      </c>
      <c r="BL284" s="322"/>
      <c r="BM284" s="13">
        <v>48.624903959132894</v>
      </c>
      <c r="BN284" s="13">
        <v>229.80119270200501</v>
      </c>
      <c r="BP284" s="13">
        <v>336.6929998</v>
      </c>
      <c r="BQ284" s="13">
        <v>16.3900994650073</v>
      </c>
      <c r="BT284" s="298" t="str">
        <f>+VLOOKUP(G284,Liste!$A$7:$H$50,8,FALSE)</f>
        <v>Résineux</v>
      </c>
      <c r="BU284" s="298">
        <f t="shared" si="94"/>
        <v>0</v>
      </c>
      <c r="BV284" s="300">
        <f t="shared" si="95"/>
        <v>1</v>
      </c>
      <c r="BW284" s="321">
        <v>0</v>
      </c>
      <c r="BX284" s="298">
        <f t="shared" si="96"/>
        <v>0.43</v>
      </c>
      <c r="BY284">
        <f t="shared" si="97"/>
        <v>0</v>
      </c>
      <c r="BZ284" s="304">
        <f t="shared" si="98"/>
        <v>22.648067162862954</v>
      </c>
      <c r="CB284" s="299">
        <v>0.6</v>
      </c>
      <c r="CC284" s="299">
        <v>0.4</v>
      </c>
      <c r="CD284">
        <f t="shared" si="99"/>
        <v>0</v>
      </c>
      <c r="CE284">
        <f t="shared" si="100"/>
        <v>0</v>
      </c>
      <c r="CF284">
        <f t="shared" si="101"/>
        <v>0</v>
      </c>
      <c r="CG284">
        <f t="shared" si="102"/>
        <v>0</v>
      </c>
      <c r="CH284">
        <f t="shared" si="103"/>
        <v>0</v>
      </c>
      <c r="CI284">
        <f t="shared" si="104"/>
        <v>0</v>
      </c>
      <c r="CJ284">
        <f t="shared" si="105"/>
        <v>0</v>
      </c>
      <c r="CK284">
        <f t="shared" si="106"/>
        <v>22.596572351118397</v>
      </c>
      <c r="CL284">
        <f t="shared" si="107"/>
        <v>6.8221969412519279</v>
      </c>
      <c r="CM284">
        <f t="shared" si="109"/>
        <v>29.418769292370325</v>
      </c>
      <c r="CN284">
        <f t="shared" si="108"/>
        <v>99.82803971357454</v>
      </c>
      <c r="CO284">
        <f t="shared" si="92"/>
        <v>0</v>
      </c>
    </row>
    <row r="285" spans="1:93" s="12" customFormat="1" x14ac:dyDescent="0.25">
      <c r="A285" s="4">
        <v>2021</v>
      </c>
      <c r="B285" s="4"/>
      <c r="C285" s="4" t="s">
        <v>64</v>
      </c>
      <c r="D285" s="4" t="s">
        <v>65</v>
      </c>
      <c r="E285" s="4"/>
      <c r="F285" s="4" t="s">
        <v>90</v>
      </c>
      <c r="G285" s="5" t="s">
        <v>15</v>
      </c>
      <c r="H285" s="5" t="s">
        <v>21</v>
      </c>
      <c r="I285" s="5" t="s">
        <v>147</v>
      </c>
      <c r="J285" s="5" t="s">
        <v>9</v>
      </c>
      <c r="K285" s="5">
        <v>28</v>
      </c>
      <c r="L285" s="5">
        <v>45</v>
      </c>
      <c r="M285" s="5">
        <v>2500</v>
      </c>
      <c r="N285" s="5" t="s">
        <v>170</v>
      </c>
      <c r="O285" s="6" t="s">
        <v>148</v>
      </c>
      <c r="P285" s="6" t="s">
        <v>80</v>
      </c>
      <c r="Q285" s="6">
        <v>1997</v>
      </c>
      <c r="R285" s="6" t="s">
        <v>2</v>
      </c>
      <c r="S285" s="6">
        <v>21</v>
      </c>
      <c r="T285" s="6">
        <v>12.5</v>
      </c>
      <c r="U285" s="6">
        <v>2024</v>
      </c>
      <c r="V285" s="6">
        <v>28.8</v>
      </c>
      <c r="W285" s="6">
        <v>0</v>
      </c>
      <c r="X285" s="6">
        <v>1100</v>
      </c>
      <c r="Y285" s="6">
        <v>712</v>
      </c>
      <c r="Z285" s="6">
        <v>162</v>
      </c>
      <c r="AA285" s="6">
        <v>50</v>
      </c>
      <c r="AB285" s="6">
        <v>0</v>
      </c>
      <c r="AC285" s="7">
        <v>27</v>
      </c>
      <c r="AD285" s="7" t="s">
        <v>52</v>
      </c>
      <c r="AE285" s="7">
        <v>16.760000000000002</v>
      </c>
      <c r="AF285" s="7">
        <v>1500</v>
      </c>
      <c r="AG285" s="7">
        <v>29.49</v>
      </c>
      <c r="AH285" s="7">
        <v>15.82</v>
      </c>
      <c r="AI285" s="7">
        <v>25.24</v>
      </c>
      <c r="AJ285" s="9">
        <v>200.20537721726399</v>
      </c>
      <c r="AK285" s="9">
        <v>201.20237866732401</v>
      </c>
      <c r="AL285" s="9">
        <v>253.818456109115</v>
      </c>
      <c r="AM285" s="9">
        <v>38.500983591580599</v>
      </c>
      <c r="AN285" s="9">
        <v>1.4259623552437199</v>
      </c>
      <c r="AO285" s="9">
        <v>1.2909908954657101</v>
      </c>
      <c r="AP285" s="9">
        <v>324.80089187366298</v>
      </c>
      <c r="AQ285" s="9">
        <v>12.0296626619875</v>
      </c>
      <c r="AR285" s="9">
        <v>17.700412840215801</v>
      </c>
      <c r="AS285" s="73" t="s">
        <v>169</v>
      </c>
      <c r="AT285" s="8"/>
      <c r="AU285" s="10" t="s">
        <v>169</v>
      </c>
      <c r="AV285" s="10">
        <v>0</v>
      </c>
      <c r="AW285" s="8"/>
      <c r="AX285" s="74" t="s">
        <v>169</v>
      </c>
      <c r="AY285" s="74"/>
      <c r="AZ285" s="74"/>
      <c r="BA285" s="74"/>
      <c r="BB285" s="8"/>
      <c r="BC285" s="8"/>
      <c r="BD285" s="8"/>
      <c r="BE285" s="8"/>
      <c r="BF285" s="12">
        <v>0.44</v>
      </c>
      <c r="BG285" s="13">
        <v>194.50954353161868</v>
      </c>
      <c r="BH285" s="96" t="str">
        <f>+VLOOKUP(G285,Liste!$A$7:$G$50,3,FALSE)</f>
        <v>Pin sylvestre</v>
      </c>
      <c r="BI285" s="96" t="str">
        <f>+VLOOKUP(H285,Liste!$B$7:$G$50,5,FALSE)</f>
        <v>GS Pineraies des plaines du Centre et du Nord Ouest</v>
      </c>
      <c r="BJ285" s="135">
        <f t="shared" si="91"/>
        <v>27</v>
      </c>
      <c r="BK285" s="135" t="str">
        <f t="shared" si="93"/>
        <v>Pin sylvestre_F1_Eclaircie tardive_GS Pineraies des plaines du Centre et du Nord Ouest_27_</v>
      </c>
      <c r="BL285" s="322"/>
      <c r="BM285" s="13">
        <v>51.773626665827322</v>
      </c>
      <c r="BN285" s="13">
        <v>246.283170197446</v>
      </c>
      <c r="BP285" s="13">
        <v>336.6929998</v>
      </c>
      <c r="BQ285" s="13">
        <v>16.654757051700798</v>
      </c>
      <c r="BT285" s="298" t="str">
        <f>+VLOOKUP(G285,Liste!$A$7:$H$50,8,FALSE)</f>
        <v>Résineux</v>
      </c>
      <c r="BU285" s="298">
        <f t="shared" si="94"/>
        <v>0</v>
      </c>
      <c r="BV285" s="300">
        <f t="shared" si="95"/>
        <v>1</v>
      </c>
      <c r="BW285" s="321">
        <v>0</v>
      </c>
      <c r="BX285" s="298">
        <f t="shared" si="96"/>
        <v>0.43</v>
      </c>
      <c r="BY285">
        <f t="shared" si="97"/>
        <v>0</v>
      </c>
      <c r="BZ285" s="304">
        <f t="shared" si="98"/>
        <v>22.648067162862954</v>
      </c>
      <c r="CB285" s="299">
        <v>0.6</v>
      </c>
      <c r="CC285" s="299">
        <v>0.4</v>
      </c>
      <c r="CD285">
        <f t="shared" si="99"/>
        <v>0</v>
      </c>
      <c r="CE285">
        <f t="shared" si="100"/>
        <v>0</v>
      </c>
      <c r="CF285">
        <f t="shared" si="101"/>
        <v>0</v>
      </c>
      <c r="CG285">
        <f t="shared" si="102"/>
        <v>0</v>
      </c>
      <c r="CH285">
        <f t="shared" si="103"/>
        <v>0</v>
      </c>
      <c r="CI285">
        <f t="shared" si="104"/>
        <v>0</v>
      </c>
      <c r="CJ285">
        <f t="shared" si="105"/>
        <v>0</v>
      </c>
      <c r="CK285">
        <f t="shared" si="106"/>
        <v>21.97866789187497</v>
      </c>
      <c r="CL285">
        <f t="shared" si="107"/>
        <v>4.8240217197493616</v>
      </c>
      <c r="CM285">
        <f t="shared" si="109"/>
        <v>26.802689611624331</v>
      </c>
      <c r="CN285">
        <f t="shared" si="108"/>
        <v>126.63072932519887</v>
      </c>
      <c r="CO285">
        <f t="shared" si="92"/>
        <v>0</v>
      </c>
    </row>
    <row r="286" spans="1:93" s="12" customFormat="1" x14ac:dyDescent="0.25">
      <c r="A286" s="4">
        <v>2021</v>
      </c>
      <c r="B286" s="4"/>
      <c r="C286" s="4" t="s">
        <v>64</v>
      </c>
      <c r="D286" s="4" t="s">
        <v>65</v>
      </c>
      <c r="E286" s="4"/>
      <c r="F286" s="4" t="s">
        <v>90</v>
      </c>
      <c r="G286" s="5" t="s">
        <v>15</v>
      </c>
      <c r="H286" s="5" t="s">
        <v>21</v>
      </c>
      <c r="I286" s="5" t="s">
        <v>147</v>
      </c>
      <c r="J286" s="5" t="s">
        <v>9</v>
      </c>
      <c r="K286" s="5">
        <v>28</v>
      </c>
      <c r="L286" s="5">
        <v>45</v>
      </c>
      <c r="M286" s="5">
        <v>2500</v>
      </c>
      <c r="N286" s="5" t="s">
        <v>170</v>
      </c>
      <c r="O286" s="6" t="s">
        <v>148</v>
      </c>
      <c r="P286" s="6" t="s">
        <v>80</v>
      </c>
      <c r="Q286" s="6">
        <v>1997</v>
      </c>
      <c r="R286" s="6" t="s">
        <v>2</v>
      </c>
      <c r="S286" s="6">
        <v>21</v>
      </c>
      <c r="T286" s="6">
        <v>12.5</v>
      </c>
      <c r="U286" s="6">
        <v>2024</v>
      </c>
      <c r="V286" s="6">
        <v>28.8</v>
      </c>
      <c r="W286" s="6">
        <v>0</v>
      </c>
      <c r="X286" s="6">
        <v>1100</v>
      </c>
      <c r="Y286" s="6">
        <v>712</v>
      </c>
      <c r="Z286" s="6">
        <v>162</v>
      </c>
      <c r="AA286" s="6">
        <v>50</v>
      </c>
      <c r="AB286" s="6">
        <v>0</v>
      </c>
      <c r="AC286" s="7">
        <v>28</v>
      </c>
      <c r="AD286" s="7" t="s">
        <v>52</v>
      </c>
      <c r="AE286" s="7">
        <v>17.329999999999998</v>
      </c>
      <c r="AF286" s="7">
        <v>1500</v>
      </c>
      <c r="AG286" s="7">
        <v>30.78</v>
      </c>
      <c r="AH286" s="7">
        <v>16.16</v>
      </c>
      <c r="AI286" s="7">
        <v>25.91</v>
      </c>
      <c r="AJ286" s="9">
        <v>216.05368470674401</v>
      </c>
      <c r="AK286" s="9">
        <v>217.122087781022</v>
      </c>
      <c r="AL286" s="9">
        <v>271.51886894933102</v>
      </c>
      <c r="AM286" s="9">
        <v>39.791974487046303</v>
      </c>
      <c r="AN286" s="9">
        <v>1.42114194596594</v>
      </c>
      <c r="AO286" s="9">
        <v>1.08318145293459</v>
      </c>
      <c r="AP286" s="9">
        <v>342.50130471387803</v>
      </c>
      <c r="AQ286" s="9">
        <v>12.2321894540671</v>
      </c>
      <c r="AR286" s="9">
        <v>18.2044273173669</v>
      </c>
      <c r="AS286" s="73" t="s">
        <v>169</v>
      </c>
      <c r="AT286" s="8"/>
      <c r="AU286" s="10" t="s">
        <v>169</v>
      </c>
      <c r="AV286" s="10">
        <v>0</v>
      </c>
      <c r="AW286" s="8"/>
      <c r="AX286" s="74" t="s">
        <v>169</v>
      </c>
      <c r="AY286" s="74"/>
      <c r="AZ286" s="74"/>
      <c r="BA286" s="74"/>
      <c r="BB286" s="8"/>
      <c r="BC286" s="8"/>
      <c r="BD286" s="8"/>
      <c r="BE286" s="8"/>
      <c r="BF286" s="12">
        <v>0.44</v>
      </c>
      <c r="BG286" s="13">
        <v>208.07395990483738</v>
      </c>
      <c r="BH286" s="96" t="str">
        <f>+VLOOKUP(G286,Liste!$A$7:$G$50,3,FALSE)</f>
        <v>Pin sylvestre</v>
      </c>
      <c r="BI286" s="96" t="str">
        <f>+VLOOKUP(H286,Liste!$B$7:$G$50,5,FALSE)</f>
        <v>GS Pineraies des plaines du Centre et du Nord Ouest</v>
      </c>
      <c r="BJ286" s="135">
        <f t="shared" si="91"/>
        <v>28</v>
      </c>
      <c r="BK286" s="135" t="str">
        <f t="shared" si="93"/>
        <v>Pin sylvestre_F1_Eclaircie tardive_GS Pineraies des plaines du Centre et du Nord Ouest_28_</v>
      </c>
      <c r="BL286" s="322"/>
      <c r="BM286" s="13">
        <v>54.951251003891599</v>
      </c>
      <c r="BN286" s="13">
        <v>263.02521090872898</v>
      </c>
      <c r="BP286" s="13">
        <v>336.6929998</v>
      </c>
      <c r="BQ286" s="13">
        <v>17.109664585046499</v>
      </c>
      <c r="BT286" s="298" t="str">
        <f>+VLOOKUP(G286,Liste!$A$7:$H$50,8,FALSE)</f>
        <v>Résineux</v>
      </c>
      <c r="BU286" s="298">
        <f t="shared" si="94"/>
        <v>0</v>
      </c>
      <c r="BV286" s="300">
        <f t="shared" si="95"/>
        <v>1</v>
      </c>
      <c r="BW286" s="321">
        <v>0</v>
      </c>
      <c r="BX286" s="298">
        <f t="shared" si="96"/>
        <v>0.43</v>
      </c>
      <c r="BY286">
        <f t="shared" si="97"/>
        <v>0</v>
      </c>
      <c r="BZ286" s="304">
        <f t="shared" si="98"/>
        <v>22.648067162862954</v>
      </c>
      <c r="CB286" s="299">
        <v>0.6</v>
      </c>
      <c r="CC286" s="299">
        <v>0.4</v>
      </c>
      <c r="CD286">
        <f t="shared" si="99"/>
        <v>0</v>
      </c>
      <c r="CE286">
        <f t="shared" si="100"/>
        <v>0</v>
      </c>
      <c r="CF286">
        <f t="shared" si="101"/>
        <v>0</v>
      </c>
      <c r="CG286">
        <f t="shared" si="102"/>
        <v>0</v>
      </c>
      <c r="CH286">
        <f t="shared" si="103"/>
        <v>0</v>
      </c>
      <c r="CI286">
        <f t="shared" si="104"/>
        <v>0</v>
      </c>
      <c r="CJ286">
        <f t="shared" si="105"/>
        <v>0</v>
      </c>
      <c r="CK286">
        <f t="shared" si="106"/>
        <v>21.377660062563738</v>
      </c>
      <c r="CL286">
        <f t="shared" si="107"/>
        <v>3.4110984706259648</v>
      </c>
      <c r="CM286">
        <f t="shared" si="109"/>
        <v>24.788758533189704</v>
      </c>
      <c r="CN286">
        <f t="shared" si="108"/>
        <v>151.41948785838858</v>
      </c>
      <c r="CO286">
        <f t="shared" si="92"/>
        <v>0</v>
      </c>
    </row>
    <row r="287" spans="1:93" s="12" customFormat="1" x14ac:dyDescent="0.25">
      <c r="A287" s="4">
        <v>2021</v>
      </c>
      <c r="B287" s="4"/>
      <c r="C287" s="4" t="s">
        <v>64</v>
      </c>
      <c r="D287" s="4" t="s">
        <v>65</v>
      </c>
      <c r="E287" s="4"/>
      <c r="F287" s="4" t="s">
        <v>90</v>
      </c>
      <c r="G287" s="5" t="s">
        <v>15</v>
      </c>
      <c r="H287" s="5" t="s">
        <v>21</v>
      </c>
      <c r="I287" s="5" t="s">
        <v>147</v>
      </c>
      <c r="J287" s="5" t="s">
        <v>9</v>
      </c>
      <c r="K287" s="5">
        <v>28</v>
      </c>
      <c r="L287" s="5">
        <v>45</v>
      </c>
      <c r="M287" s="5">
        <v>2500</v>
      </c>
      <c r="N287" s="5" t="s">
        <v>170</v>
      </c>
      <c r="O287" s="6" t="s">
        <v>148</v>
      </c>
      <c r="P287" s="6" t="s">
        <v>80</v>
      </c>
      <c r="Q287" s="6">
        <v>1997</v>
      </c>
      <c r="R287" s="6" t="s">
        <v>2</v>
      </c>
      <c r="S287" s="6">
        <v>21</v>
      </c>
      <c r="T287" s="6">
        <v>12.5</v>
      </c>
      <c r="U287" s="6">
        <v>2024</v>
      </c>
      <c r="V287" s="6">
        <v>28.8</v>
      </c>
      <c r="W287" s="6">
        <v>0</v>
      </c>
      <c r="X287" s="6">
        <v>1100</v>
      </c>
      <c r="Y287" s="6">
        <v>712</v>
      </c>
      <c r="Z287" s="6">
        <v>162</v>
      </c>
      <c r="AA287" s="6">
        <v>50</v>
      </c>
      <c r="AB287" s="6">
        <v>0</v>
      </c>
      <c r="AC287" s="7">
        <v>28</v>
      </c>
      <c r="AD287" s="7" t="s">
        <v>53</v>
      </c>
      <c r="AE287" s="7">
        <v>17.329999999999998</v>
      </c>
      <c r="AF287" s="7">
        <v>1050</v>
      </c>
      <c r="AG287" s="7">
        <v>23.95</v>
      </c>
      <c r="AH287" s="7">
        <v>17.04</v>
      </c>
      <c r="AI287" s="7">
        <v>22.91</v>
      </c>
      <c r="AJ287" s="9">
        <v>170.74505423909099</v>
      </c>
      <c r="AK287" s="9">
        <v>171.49363449327399</v>
      </c>
      <c r="AL287" s="9">
        <v>212.09482608257201</v>
      </c>
      <c r="AM287" s="9">
        <v>39.791974487046303</v>
      </c>
      <c r="AN287" s="9">
        <v>1.42114194596594</v>
      </c>
      <c r="AO287" s="9">
        <v>1.08318145293459</v>
      </c>
      <c r="AP287" s="9">
        <v>342.50130471387803</v>
      </c>
      <c r="AQ287" s="9">
        <v>12.2321894540671</v>
      </c>
      <c r="AR287" s="9">
        <v>18.2044273173669</v>
      </c>
      <c r="AS287" s="73">
        <v>450</v>
      </c>
      <c r="AT287" s="8">
        <v>6.8300000000000018</v>
      </c>
      <c r="AU287" s="10">
        <v>13.901419664145548</v>
      </c>
      <c r="AV287" s="10">
        <v>45.308630467653018</v>
      </c>
      <c r="AW287" s="8">
        <v>0.74</v>
      </c>
      <c r="AX287" s="74">
        <v>0.10068584548367338</v>
      </c>
      <c r="AY287" s="74"/>
      <c r="AZ287" s="74"/>
      <c r="BA287" s="74"/>
      <c r="BB287" s="8"/>
      <c r="BC287" s="8"/>
      <c r="BD287" s="8"/>
      <c r="BE287" s="8"/>
      <c r="BF287" s="12">
        <v>0.44</v>
      </c>
      <c r="BG287" s="13">
        <v>162.53533505461084</v>
      </c>
      <c r="BH287" s="96" t="str">
        <f>+VLOOKUP(G287,Liste!$A$7:$G$50,3,FALSE)</f>
        <v>Pin sylvestre</v>
      </c>
      <c r="BI287" s="96" t="str">
        <f>+VLOOKUP(H287,Liste!$B$7:$G$50,5,FALSE)</f>
        <v>GS Pineraies des plaines du Centre et du Nord Ouest</v>
      </c>
      <c r="BJ287" s="135">
        <f t="shared" si="91"/>
        <v>28</v>
      </c>
      <c r="BK287" s="135" t="str">
        <f t="shared" si="93"/>
        <v>Pin sylvestre_F1_Eclaircie tardive_GS Pineraies des plaines du Centre et du Nord Ouest_28_</v>
      </c>
      <c r="BL287" s="322"/>
      <c r="BM287" s="13">
        <v>44.17676027889317</v>
      </c>
      <c r="BN287" s="13">
        <v>206.71209533350401</v>
      </c>
      <c r="BO287" s="13">
        <v>56.31311557522497</v>
      </c>
      <c r="BP287" s="13">
        <v>336.6929998</v>
      </c>
      <c r="BQ287" s="13">
        <v>17.109664585046499</v>
      </c>
      <c r="BT287" s="298" t="str">
        <f>+VLOOKUP(G287,Liste!$A$7:$H$50,8,FALSE)</f>
        <v>Résineux</v>
      </c>
      <c r="BU287" s="298">
        <f t="shared" si="94"/>
        <v>0</v>
      </c>
      <c r="BV287" s="300">
        <f t="shared" si="95"/>
        <v>1</v>
      </c>
      <c r="BW287" s="321">
        <v>0</v>
      </c>
      <c r="BX287" s="298">
        <f t="shared" si="96"/>
        <v>0.43</v>
      </c>
      <c r="BY287">
        <f t="shared" si="97"/>
        <v>19.482711101090796</v>
      </c>
      <c r="BZ287" s="304">
        <f t="shared" si="98"/>
        <v>42.130778263953751</v>
      </c>
      <c r="CB287" s="299">
        <v>0.6</v>
      </c>
      <c r="CC287" s="299">
        <v>0.4</v>
      </c>
      <c r="CD287">
        <f t="shared" si="99"/>
        <v>0</v>
      </c>
      <c r="CE287">
        <f t="shared" si="100"/>
        <v>27.18517828059181</v>
      </c>
      <c r="CF287">
        <f t="shared" si="101"/>
        <v>18.123452187061208</v>
      </c>
      <c r="CG287">
        <f t="shared" si="102"/>
        <v>0</v>
      </c>
      <c r="CH287">
        <f t="shared" si="103"/>
        <v>20.832908289026854</v>
      </c>
      <c r="CI287">
        <f t="shared" si="104"/>
        <v>13.888605526017905</v>
      </c>
      <c r="CJ287">
        <f t="shared" si="105"/>
        <v>0</v>
      </c>
      <c r="CK287">
        <f t="shared" si="106"/>
        <v>20.793086823950649</v>
      </c>
      <c r="CL287">
        <f t="shared" si="107"/>
        <v>2.4120108598746812</v>
      </c>
      <c r="CM287">
        <f t="shared" si="109"/>
        <v>23.205097683825329</v>
      </c>
      <c r="CN287">
        <f t="shared" si="108"/>
        <v>174.62458554221391</v>
      </c>
      <c r="CO287">
        <f t="shared" si="92"/>
        <v>0</v>
      </c>
    </row>
    <row r="288" spans="1:93" s="12" customFormat="1" x14ac:dyDescent="0.25">
      <c r="A288" s="4">
        <v>2021</v>
      </c>
      <c r="B288" s="4"/>
      <c r="C288" s="4" t="s">
        <v>64</v>
      </c>
      <c r="D288" s="4" t="s">
        <v>65</v>
      </c>
      <c r="E288" s="4"/>
      <c r="F288" s="4" t="s">
        <v>90</v>
      </c>
      <c r="G288" s="5" t="s">
        <v>15</v>
      </c>
      <c r="H288" s="5" t="s">
        <v>21</v>
      </c>
      <c r="I288" s="5" t="s">
        <v>147</v>
      </c>
      <c r="J288" s="5" t="s">
        <v>9</v>
      </c>
      <c r="K288" s="5">
        <v>28</v>
      </c>
      <c r="L288" s="5">
        <v>45</v>
      </c>
      <c r="M288" s="5">
        <v>2500</v>
      </c>
      <c r="N288" s="5" t="s">
        <v>170</v>
      </c>
      <c r="O288" s="6" t="s">
        <v>148</v>
      </c>
      <c r="P288" s="6" t="s">
        <v>80</v>
      </c>
      <c r="Q288" s="6">
        <v>1997</v>
      </c>
      <c r="R288" s="6" t="s">
        <v>2</v>
      </c>
      <c r="S288" s="6">
        <v>21</v>
      </c>
      <c r="T288" s="6">
        <v>12.5</v>
      </c>
      <c r="U288" s="6">
        <v>2024</v>
      </c>
      <c r="V288" s="6">
        <v>28.8</v>
      </c>
      <c r="W288" s="6">
        <v>0</v>
      </c>
      <c r="X288" s="6">
        <v>1100</v>
      </c>
      <c r="Y288" s="6">
        <v>712</v>
      </c>
      <c r="Z288" s="6">
        <v>162</v>
      </c>
      <c r="AA288" s="6">
        <v>50</v>
      </c>
      <c r="AB288" s="6">
        <v>0</v>
      </c>
      <c r="AC288" s="7">
        <v>29</v>
      </c>
      <c r="AD288" s="7" t="s">
        <v>52</v>
      </c>
      <c r="AE288" s="7">
        <v>17.89</v>
      </c>
      <c r="AF288" s="7">
        <v>1050</v>
      </c>
      <c r="AG288" s="7">
        <v>25.03</v>
      </c>
      <c r="AH288" s="7">
        <v>17.420000000000002</v>
      </c>
      <c r="AI288" s="7">
        <v>23.49</v>
      </c>
      <c r="AJ288" s="9">
        <v>187.75341036807501</v>
      </c>
      <c r="AK288" s="9">
        <v>188.51415953839199</v>
      </c>
      <c r="AL288" s="9">
        <v>230.299253399939</v>
      </c>
      <c r="AM288" s="9">
        <v>40.8751559399808</v>
      </c>
      <c r="AN288" s="9">
        <v>1.40948813586141</v>
      </c>
      <c r="AO288" s="9">
        <v>1.0623446197481601</v>
      </c>
      <c r="AP288" s="9">
        <v>360.70573203124502</v>
      </c>
      <c r="AQ288" s="9">
        <v>12.438128690732601</v>
      </c>
      <c r="AR288" s="9">
        <v>15.328251337039299</v>
      </c>
      <c r="AS288" s="73" t="s">
        <v>169</v>
      </c>
      <c r="AT288" s="8"/>
      <c r="AU288" s="10" t="s">
        <v>169</v>
      </c>
      <c r="AV288" s="10">
        <v>0</v>
      </c>
      <c r="AW288" s="8"/>
      <c r="AX288" s="74" t="s">
        <v>169</v>
      </c>
      <c r="AY288" s="74"/>
      <c r="AZ288" s="74"/>
      <c r="BA288" s="74"/>
      <c r="BB288" s="8"/>
      <c r="BC288" s="8"/>
      <c r="BD288" s="8"/>
      <c r="BE288" s="8"/>
      <c r="BF288" s="12">
        <v>0.44</v>
      </c>
      <c r="BG288" s="13">
        <v>176.48599452215308</v>
      </c>
      <c r="BH288" s="96" t="str">
        <f>+VLOOKUP(G288,Liste!$A$7:$G$50,3,FALSE)</f>
        <v>Pin sylvestre</v>
      </c>
      <c r="BI288" s="96" t="str">
        <f>+VLOOKUP(H288,Liste!$B$7:$G$50,5,FALSE)</f>
        <v>GS Pineraies des plaines du Centre et du Nord Ouest</v>
      </c>
      <c r="BJ288" s="135">
        <f t="shared" si="91"/>
        <v>29</v>
      </c>
      <c r="BK288" s="135" t="str">
        <f t="shared" si="93"/>
        <v>Pin sylvestre_F1_Eclaircie tardive_GS Pineraies des plaines du Centre et du Nord Ouest_29_</v>
      </c>
      <c r="BL288" s="322"/>
      <c r="BM288" s="13">
        <v>47.510934140162931</v>
      </c>
      <c r="BN288" s="13">
        <v>223.99692866231601</v>
      </c>
      <c r="BP288" s="13">
        <v>336.6929998</v>
      </c>
      <c r="BQ288" s="13">
        <v>14.3920563289065</v>
      </c>
      <c r="BT288" s="298" t="str">
        <f>+VLOOKUP(G288,Liste!$A$7:$H$50,8,FALSE)</f>
        <v>Résineux</v>
      </c>
      <c r="BU288" s="298">
        <f t="shared" si="94"/>
        <v>0</v>
      </c>
      <c r="BV288" s="300">
        <f t="shared" si="95"/>
        <v>1</v>
      </c>
      <c r="BW288" s="321">
        <v>0</v>
      </c>
      <c r="BX288" s="298">
        <f t="shared" si="96"/>
        <v>0.43</v>
      </c>
      <c r="BY288">
        <f t="shared" si="97"/>
        <v>0</v>
      </c>
      <c r="BZ288" s="304">
        <f t="shared" si="98"/>
        <v>42.130778263953751</v>
      </c>
      <c r="CB288" s="299">
        <v>0.6</v>
      </c>
      <c r="CC288" s="299">
        <v>0.4</v>
      </c>
      <c r="CD288">
        <f t="shared" si="99"/>
        <v>0</v>
      </c>
      <c r="CE288">
        <f t="shared" si="100"/>
        <v>0</v>
      </c>
      <c r="CF288">
        <f t="shared" si="101"/>
        <v>0</v>
      </c>
      <c r="CG288">
        <f t="shared" si="102"/>
        <v>0</v>
      </c>
      <c r="CH288">
        <f t="shared" si="103"/>
        <v>0</v>
      </c>
      <c r="CI288">
        <f t="shared" si="104"/>
        <v>0</v>
      </c>
      <c r="CJ288">
        <f t="shared" si="105"/>
        <v>0</v>
      </c>
      <c r="CK288">
        <f t="shared" si="106"/>
        <v>40.771252357528226</v>
      </c>
      <c r="CL288">
        <f t="shared" si="107"/>
        <v>13.442965159185114</v>
      </c>
      <c r="CM288">
        <f t="shared" si="109"/>
        <v>54.21421751671334</v>
      </c>
      <c r="CN288">
        <f t="shared" si="108"/>
        <v>228.83880305892725</v>
      </c>
      <c r="CO288">
        <f t="shared" si="92"/>
        <v>0</v>
      </c>
    </row>
    <row r="289" spans="1:93" s="12" customFormat="1" x14ac:dyDescent="0.25">
      <c r="A289" s="4">
        <v>2021</v>
      </c>
      <c r="B289" s="4"/>
      <c r="C289" s="4" t="s">
        <v>64</v>
      </c>
      <c r="D289" s="4" t="s">
        <v>65</v>
      </c>
      <c r="E289" s="4"/>
      <c r="F289" s="4" t="s">
        <v>90</v>
      </c>
      <c r="G289" s="5" t="s">
        <v>15</v>
      </c>
      <c r="H289" s="5" t="s">
        <v>21</v>
      </c>
      <c r="I289" s="5" t="s">
        <v>147</v>
      </c>
      <c r="J289" s="5" t="s">
        <v>9</v>
      </c>
      <c r="K289" s="5">
        <v>28</v>
      </c>
      <c r="L289" s="5">
        <v>45</v>
      </c>
      <c r="M289" s="5">
        <v>2500</v>
      </c>
      <c r="N289" s="5" t="s">
        <v>170</v>
      </c>
      <c r="O289" s="6" t="s">
        <v>148</v>
      </c>
      <c r="P289" s="6" t="s">
        <v>80</v>
      </c>
      <c r="Q289" s="6">
        <v>1997</v>
      </c>
      <c r="R289" s="6" t="s">
        <v>2</v>
      </c>
      <c r="S289" s="6">
        <v>21</v>
      </c>
      <c r="T289" s="6">
        <v>12.5</v>
      </c>
      <c r="U289" s="6">
        <v>2024</v>
      </c>
      <c r="V289" s="6">
        <v>28.8</v>
      </c>
      <c r="W289" s="6">
        <v>0</v>
      </c>
      <c r="X289" s="6">
        <v>1100</v>
      </c>
      <c r="Y289" s="6">
        <v>712</v>
      </c>
      <c r="Z289" s="6">
        <v>162</v>
      </c>
      <c r="AA289" s="6">
        <v>50</v>
      </c>
      <c r="AB289" s="6">
        <v>0</v>
      </c>
      <c r="AC289" s="7">
        <v>30</v>
      </c>
      <c r="AD289" s="7" t="s">
        <v>52</v>
      </c>
      <c r="AE289" s="7">
        <v>18.440000000000001</v>
      </c>
      <c r="AF289" s="7">
        <v>1050</v>
      </c>
      <c r="AG289" s="7">
        <v>26.09</v>
      </c>
      <c r="AH289" s="7">
        <v>17.79</v>
      </c>
      <c r="AI289" s="7">
        <v>24.05</v>
      </c>
      <c r="AJ289" s="9">
        <v>201.65827280813301</v>
      </c>
      <c r="AK289" s="9">
        <v>202.47286397613499</v>
      </c>
      <c r="AL289" s="9">
        <v>245.62750473697801</v>
      </c>
      <c r="AM289" s="9">
        <v>41.937500559729003</v>
      </c>
      <c r="AN289" s="9">
        <v>1.3979166853242999</v>
      </c>
      <c r="AO289" s="9">
        <v>1.03988044942117</v>
      </c>
      <c r="AP289" s="9">
        <v>376.03398336828502</v>
      </c>
      <c r="AQ289" s="9">
        <v>12.534466112276199</v>
      </c>
      <c r="AR289" s="9">
        <v>15.521178152406501</v>
      </c>
      <c r="AS289" s="73" t="s">
        <v>169</v>
      </c>
      <c r="AT289" s="8"/>
      <c r="AU289" s="10" t="s">
        <v>169</v>
      </c>
      <c r="AV289" s="10">
        <v>0</v>
      </c>
      <c r="AW289" s="8"/>
      <c r="AX289" s="74" t="s">
        <v>169</v>
      </c>
      <c r="AY289" s="74"/>
      <c r="AZ289" s="74"/>
      <c r="BA289" s="74"/>
      <c r="BB289" s="8"/>
      <c r="BC289" s="8"/>
      <c r="BD289" s="8"/>
      <c r="BE289" s="8"/>
      <c r="BF289" s="12">
        <v>0.44</v>
      </c>
      <c r="BG289" s="13">
        <v>188.23254446343745</v>
      </c>
      <c r="BH289" s="96" t="str">
        <f>+VLOOKUP(G289,Liste!$A$7:$G$50,3,FALSE)</f>
        <v>Pin sylvestre</v>
      </c>
      <c r="BI289" s="96" t="str">
        <f>+VLOOKUP(H289,Liste!$B$7:$G$50,5,FALSE)</f>
        <v>GS Pineraies des plaines du Centre et du Nord Ouest</v>
      </c>
      <c r="BJ289" s="135">
        <f t="shared" si="91"/>
        <v>30</v>
      </c>
      <c r="BK289" s="135" t="str">
        <f t="shared" si="93"/>
        <v>Pin sylvestre_F1_Eclaircie tardive_GS Pineraies des plaines du Centre et du Nord Ouest_30_</v>
      </c>
      <c r="BL289" s="322"/>
      <c r="BM289" s="13">
        <v>50.294517241362541</v>
      </c>
      <c r="BN289" s="13">
        <v>238.52706170479999</v>
      </c>
      <c r="BP289" s="13">
        <v>336.6929998</v>
      </c>
      <c r="BQ289" s="13">
        <v>14.560438416208701</v>
      </c>
      <c r="BT289" s="298" t="str">
        <f>+VLOOKUP(G289,Liste!$A$7:$H$50,8,FALSE)</f>
        <v>Résineux</v>
      </c>
      <c r="BU289" s="298">
        <f t="shared" si="94"/>
        <v>0</v>
      </c>
      <c r="BV289" s="300">
        <f t="shared" si="95"/>
        <v>1</v>
      </c>
      <c r="BW289" s="321">
        <v>0</v>
      </c>
      <c r="BX289" s="298">
        <f t="shared" si="96"/>
        <v>0.43</v>
      </c>
      <c r="BY289">
        <f t="shared" si="97"/>
        <v>0</v>
      </c>
      <c r="BZ289" s="304">
        <f t="shared" si="98"/>
        <v>42.130778263953751</v>
      </c>
      <c r="CB289" s="299">
        <v>0.6</v>
      </c>
      <c r="CC289" s="299">
        <v>0.4</v>
      </c>
      <c r="CD289">
        <f t="shared" si="99"/>
        <v>0</v>
      </c>
      <c r="CE289">
        <f t="shared" si="100"/>
        <v>0</v>
      </c>
      <c r="CF289">
        <f t="shared" si="101"/>
        <v>0</v>
      </c>
      <c r="CG289">
        <f t="shared" si="102"/>
        <v>0</v>
      </c>
      <c r="CH289">
        <f t="shared" si="103"/>
        <v>0</v>
      </c>
      <c r="CI289">
        <f t="shared" si="104"/>
        <v>0</v>
      </c>
      <c r="CJ289">
        <f t="shared" si="105"/>
        <v>0</v>
      </c>
      <c r="CK289">
        <f t="shared" si="106"/>
        <v>39.656360317744642</v>
      </c>
      <c r="CL289">
        <f t="shared" si="107"/>
        <v>9.5056118233142914</v>
      </c>
      <c r="CM289">
        <f t="shared" si="109"/>
        <v>49.161972141058932</v>
      </c>
      <c r="CN289">
        <f t="shared" si="108"/>
        <v>278.00077519998621</v>
      </c>
      <c r="CO289">
        <f t="shared" si="92"/>
        <v>9.2666925066662067</v>
      </c>
    </row>
    <row r="290" spans="1:93" x14ac:dyDescent="0.25">
      <c r="A290" s="4">
        <v>2021</v>
      </c>
      <c r="C290" s="4" t="s">
        <v>64</v>
      </c>
      <c r="D290" s="4" t="s">
        <v>65</v>
      </c>
      <c r="F290" s="4" t="s">
        <v>90</v>
      </c>
      <c r="G290" s="5" t="s">
        <v>15</v>
      </c>
      <c r="H290" s="5" t="s">
        <v>21</v>
      </c>
      <c r="I290" s="5" t="s">
        <v>147</v>
      </c>
      <c r="J290" s="5" t="s">
        <v>9</v>
      </c>
      <c r="K290" s="5">
        <v>28</v>
      </c>
      <c r="L290" s="5">
        <v>45</v>
      </c>
      <c r="M290" s="5">
        <v>2500</v>
      </c>
      <c r="N290" s="5" t="s">
        <v>170</v>
      </c>
      <c r="O290" s="6" t="s">
        <v>148</v>
      </c>
      <c r="P290" s="6" t="s">
        <v>80</v>
      </c>
      <c r="Q290" s="6">
        <v>1997</v>
      </c>
      <c r="R290" s="6" t="s">
        <v>2</v>
      </c>
      <c r="S290" s="6">
        <v>21</v>
      </c>
      <c r="T290" s="6">
        <v>12.5</v>
      </c>
      <c r="U290" s="6">
        <v>2024</v>
      </c>
      <c r="V290" s="6">
        <v>28.8</v>
      </c>
      <c r="W290" s="6">
        <v>0</v>
      </c>
      <c r="X290" s="6">
        <v>1100</v>
      </c>
      <c r="Y290" s="6">
        <v>712</v>
      </c>
      <c r="Z290" s="6">
        <v>162</v>
      </c>
      <c r="AA290" s="6">
        <v>50</v>
      </c>
      <c r="AB290" s="6">
        <v>0</v>
      </c>
      <c r="AC290" s="7">
        <v>31</v>
      </c>
      <c r="AD290" s="7" t="s">
        <v>52</v>
      </c>
      <c r="AE290" s="7">
        <v>18.98</v>
      </c>
      <c r="AF290" s="7">
        <v>1050</v>
      </c>
      <c r="AG290" s="7">
        <v>27.13</v>
      </c>
      <c r="AH290" s="7">
        <v>18.14</v>
      </c>
      <c r="AI290" s="7">
        <v>24.6</v>
      </c>
      <c r="AJ290" s="9">
        <v>215.80741661457401</v>
      </c>
      <c r="AK290" s="9">
        <v>216.67413533176401</v>
      </c>
      <c r="AL290" s="9">
        <v>261.14868288938402</v>
      </c>
      <c r="AM290" s="9">
        <v>42.9773810091502</v>
      </c>
      <c r="AN290" s="9">
        <v>1.38636712932743</v>
      </c>
      <c r="AO290" s="9">
        <v>1.01994269292831</v>
      </c>
      <c r="AP290" s="9">
        <v>391.555161520691</v>
      </c>
      <c r="AQ290" s="9">
        <v>12.6308116619578</v>
      </c>
      <c r="AR290" s="9">
        <v>15.637750305427501</v>
      </c>
      <c r="AS290" s="73" t="s">
        <v>169</v>
      </c>
      <c r="AU290" s="10" t="s">
        <v>169</v>
      </c>
      <c r="AV290" s="10">
        <v>0</v>
      </c>
      <c r="AX290" s="74" t="s">
        <v>169</v>
      </c>
      <c r="AY290" s="74"/>
      <c r="AZ290" s="74"/>
      <c r="BA290" s="74"/>
      <c r="BF290" s="12">
        <v>0.44</v>
      </c>
      <c r="BG290" s="13">
        <v>200.12694065423145</v>
      </c>
      <c r="BH290" s="96" t="str">
        <f>+VLOOKUP(G290,Liste!$A$7:$G$50,3,FALSE)</f>
        <v>Pin sylvestre</v>
      </c>
      <c r="BI290" s="96" t="str">
        <f>+VLOOKUP(H290,Liste!$B$7:$G$50,5,FALSE)</f>
        <v>GS Pineraies des plaines du Centre et du Nord Ouest</v>
      </c>
      <c r="BJ290" s="135">
        <f t="shared" si="91"/>
        <v>31</v>
      </c>
      <c r="BK290" s="135" t="str">
        <f t="shared" si="93"/>
        <v>Pin sylvestre_F1_Eclaircie tardive_GS Pineraies des plaines du Centre et du Nord Ouest_31_</v>
      </c>
      <c r="BL290" s="322"/>
      <c r="BM290" s="13">
        <v>53.092598949843563</v>
      </c>
      <c r="BN290" s="13">
        <v>253.21953960407501</v>
      </c>
      <c r="BP290" s="13">
        <v>336.6929998</v>
      </c>
      <c r="BQ290" s="13">
        <v>14.657381230133</v>
      </c>
      <c r="BT290" s="298" t="str">
        <f>+VLOOKUP(G290,Liste!$A$7:$H$50,8,FALSE)</f>
        <v>Résineux</v>
      </c>
      <c r="BU290" s="298">
        <f t="shared" si="94"/>
        <v>0</v>
      </c>
      <c r="BV290" s="300">
        <f t="shared" si="95"/>
        <v>1</v>
      </c>
      <c r="BW290" s="321">
        <v>0</v>
      </c>
      <c r="BX290" s="298">
        <f t="shared" si="96"/>
        <v>0.43</v>
      </c>
      <c r="BY290">
        <f t="shared" si="97"/>
        <v>0</v>
      </c>
      <c r="BZ290" s="304">
        <f t="shared" si="98"/>
        <v>0</v>
      </c>
      <c r="CB290" s="299">
        <v>0.6</v>
      </c>
      <c r="CC290" s="299">
        <v>0.4</v>
      </c>
      <c r="CD290">
        <f t="shared" si="99"/>
        <v>0</v>
      </c>
      <c r="CE290">
        <f t="shared" si="100"/>
        <v>0</v>
      </c>
      <c r="CF290">
        <f t="shared" si="101"/>
        <v>0</v>
      </c>
      <c r="CG290">
        <f t="shared" si="102"/>
        <v>0</v>
      </c>
      <c r="CH290">
        <f t="shared" si="103"/>
        <v>0</v>
      </c>
      <c r="CI290">
        <f t="shared" si="104"/>
        <v>0</v>
      </c>
      <c r="CJ290">
        <f t="shared" si="105"/>
        <v>0</v>
      </c>
      <c r="CK290">
        <f t="shared" si="106"/>
        <v>38.571955059418563</v>
      </c>
      <c r="CL290">
        <f t="shared" si="107"/>
        <v>6.7214825795925579</v>
      </c>
      <c r="CM290">
        <f t="shared" si="109"/>
        <v>45.293437639011124</v>
      </c>
      <c r="CN290">
        <f t="shared" si="108"/>
        <v>323.29421283899734</v>
      </c>
      <c r="CO290">
        <f t="shared" si="92"/>
        <v>0</v>
      </c>
    </row>
    <row r="291" spans="1:93" x14ac:dyDescent="0.25">
      <c r="A291" s="4">
        <v>2021</v>
      </c>
      <c r="C291" s="4" t="s">
        <v>64</v>
      </c>
      <c r="D291" s="4" t="s">
        <v>65</v>
      </c>
      <c r="F291" s="4" t="s">
        <v>90</v>
      </c>
      <c r="G291" s="5" t="s">
        <v>15</v>
      </c>
      <c r="H291" s="5" t="s">
        <v>21</v>
      </c>
      <c r="I291" s="5" t="s">
        <v>147</v>
      </c>
      <c r="J291" s="5" t="s">
        <v>9</v>
      </c>
      <c r="K291" s="5">
        <v>28</v>
      </c>
      <c r="L291" s="5">
        <v>45</v>
      </c>
      <c r="M291" s="5">
        <v>2500</v>
      </c>
      <c r="N291" s="5" t="s">
        <v>170</v>
      </c>
      <c r="O291" s="6" t="s">
        <v>148</v>
      </c>
      <c r="P291" s="6" t="s">
        <v>80</v>
      </c>
      <c r="Q291" s="6">
        <v>1997</v>
      </c>
      <c r="R291" s="6" t="s">
        <v>2</v>
      </c>
      <c r="S291" s="6">
        <v>21</v>
      </c>
      <c r="T291" s="6">
        <v>12.5</v>
      </c>
      <c r="U291" s="6">
        <v>2024</v>
      </c>
      <c r="V291" s="6">
        <v>28.8</v>
      </c>
      <c r="W291" s="6">
        <v>0</v>
      </c>
      <c r="X291" s="6">
        <v>1100</v>
      </c>
      <c r="Y291" s="6">
        <v>712</v>
      </c>
      <c r="Z291" s="6">
        <v>162</v>
      </c>
      <c r="AA291" s="6">
        <v>50</v>
      </c>
      <c r="AB291" s="6">
        <v>0</v>
      </c>
      <c r="AC291" s="7">
        <v>32</v>
      </c>
      <c r="AD291" s="7" t="s">
        <v>52</v>
      </c>
      <c r="AE291" s="7">
        <v>19.510000000000002</v>
      </c>
      <c r="AF291" s="7">
        <v>1050</v>
      </c>
      <c r="AG291" s="7">
        <v>28.15</v>
      </c>
      <c r="AH291" s="7">
        <v>18.48</v>
      </c>
      <c r="AI291" s="7">
        <v>25.13</v>
      </c>
      <c r="AJ291" s="9">
        <v>230.110826574859</v>
      </c>
      <c r="AK291" s="9">
        <v>231.029384679788</v>
      </c>
      <c r="AL291" s="9">
        <v>276.78643319481199</v>
      </c>
      <c r="AM291" s="9">
        <v>43.997323702078504</v>
      </c>
      <c r="AN291" s="9">
        <v>1.3749163656899499</v>
      </c>
      <c r="AO291" s="9">
        <v>0.99954407264715395</v>
      </c>
      <c r="AP291" s="9">
        <v>407.19291182611897</v>
      </c>
      <c r="AQ291" s="9">
        <v>12.7247784945662</v>
      </c>
      <c r="AR291" s="9">
        <v>15.741792452225001</v>
      </c>
      <c r="AS291" s="73" t="s">
        <v>169</v>
      </c>
      <c r="AU291" s="10" t="s">
        <v>169</v>
      </c>
      <c r="AV291" s="10">
        <v>0</v>
      </c>
      <c r="AX291" s="74" t="s">
        <v>169</v>
      </c>
      <c r="AY291" s="74"/>
      <c r="AZ291" s="74"/>
      <c r="BA291" s="74"/>
      <c r="BF291" s="12">
        <v>0.44</v>
      </c>
      <c r="BG291" s="13">
        <v>212.11066997162425</v>
      </c>
      <c r="BH291" s="96" t="str">
        <f>+VLOOKUP(G291,Liste!$A$7:$G$50,3,FALSE)</f>
        <v>Pin sylvestre</v>
      </c>
      <c r="BI291" s="96" t="str">
        <f>+VLOOKUP(H291,Liste!$B$7:$G$50,5,FALSE)</f>
        <v>GS Pineraies des plaines du Centre et du Nord Ouest</v>
      </c>
      <c r="BJ291" s="135">
        <f t="shared" si="91"/>
        <v>32</v>
      </c>
      <c r="BK291" s="135" t="str">
        <f t="shared" si="93"/>
        <v>Pin sylvestre_F1_Eclaircie tardive_GS Pineraies des plaines du Centre et du Nord Ouest_32_</v>
      </c>
      <c r="BL291" s="322"/>
      <c r="BM291" s="13">
        <v>55.892178121693746</v>
      </c>
      <c r="BN291" s="13">
        <v>268.00284809331799</v>
      </c>
      <c r="BP291" s="13">
        <v>336.6929998</v>
      </c>
      <c r="BQ291" s="13">
        <v>14.742854350749001</v>
      </c>
      <c r="BT291" s="298" t="str">
        <f>+VLOOKUP(G291,Liste!$A$7:$H$50,8,FALSE)</f>
        <v>Résineux</v>
      </c>
      <c r="BU291" s="298">
        <f t="shared" si="94"/>
        <v>0</v>
      </c>
      <c r="BV291" s="300">
        <f t="shared" si="95"/>
        <v>1</v>
      </c>
      <c r="BW291" s="321">
        <v>0</v>
      </c>
      <c r="BX291" s="298">
        <f t="shared" si="96"/>
        <v>0.43</v>
      </c>
      <c r="BY291">
        <f t="shared" si="97"/>
        <v>0</v>
      </c>
      <c r="BZ291" s="304">
        <f t="shared" si="98"/>
        <v>0</v>
      </c>
      <c r="CB291" s="299">
        <v>0.6</v>
      </c>
      <c r="CC291" s="299">
        <v>0.4</v>
      </c>
      <c r="CD291">
        <f t="shared" si="99"/>
        <v>0</v>
      </c>
      <c r="CE291">
        <f t="shared" si="100"/>
        <v>0</v>
      </c>
      <c r="CF291">
        <f t="shared" si="101"/>
        <v>0</v>
      </c>
      <c r="CG291">
        <f t="shared" si="102"/>
        <v>0</v>
      </c>
      <c r="CH291">
        <f t="shared" si="103"/>
        <v>0</v>
      </c>
      <c r="CI291">
        <f t="shared" si="104"/>
        <v>0</v>
      </c>
      <c r="CJ291">
        <f t="shared" si="105"/>
        <v>0</v>
      </c>
      <c r="CK291">
        <f t="shared" si="106"/>
        <v>0</v>
      </c>
      <c r="CL291">
        <f t="shared" si="107"/>
        <v>0</v>
      </c>
      <c r="CM291">
        <f t="shared" si="109"/>
        <v>0</v>
      </c>
      <c r="CN291">
        <f t="shared" si="108"/>
        <v>0</v>
      </c>
      <c r="CO291">
        <f t="shared" si="92"/>
        <v>0</v>
      </c>
    </row>
    <row r="292" spans="1:93" x14ac:dyDescent="0.25">
      <c r="A292" s="4">
        <v>2021</v>
      </c>
      <c r="C292" s="4" t="s">
        <v>64</v>
      </c>
      <c r="D292" s="4" t="s">
        <v>65</v>
      </c>
      <c r="F292" s="4" t="s">
        <v>90</v>
      </c>
      <c r="G292" s="5" t="s">
        <v>15</v>
      </c>
      <c r="H292" s="5" t="s">
        <v>21</v>
      </c>
      <c r="I292" s="5" t="s">
        <v>147</v>
      </c>
      <c r="J292" s="5" t="s">
        <v>9</v>
      </c>
      <c r="K292" s="5">
        <v>28</v>
      </c>
      <c r="L292" s="5">
        <v>45</v>
      </c>
      <c r="M292" s="5">
        <v>2500</v>
      </c>
      <c r="N292" s="5" t="s">
        <v>170</v>
      </c>
      <c r="O292" s="6" t="s">
        <v>148</v>
      </c>
      <c r="P292" s="6" t="s">
        <v>80</v>
      </c>
      <c r="Q292" s="6">
        <v>1997</v>
      </c>
      <c r="R292" s="6" t="s">
        <v>2</v>
      </c>
      <c r="S292" s="6">
        <v>21</v>
      </c>
      <c r="T292" s="6">
        <v>12.5</v>
      </c>
      <c r="U292" s="6">
        <v>2024</v>
      </c>
      <c r="V292" s="6">
        <v>28.8</v>
      </c>
      <c r="W292" s="6">
        <v>0</v>
      </c>
      <c r="X292" s="6">
        <v>1100</v>
      </c>
      <c r="Y292" s="6">
        <v>712</v>
      </c>
      <c r="Z292" s="6">
        <v>162</v>
      </c>
      <c r="AA292" s="6">
        <v>50</v>
      </c>
      <c r="AB292" s="6">
        <v>0</v>
      </c>
      <c r="AC292" s="7">
        <v>33</v>
      </c>
      <c r="AD292" s="7" t="s">
        <v>52</v>
      </c>
      <c r="AE292" s="7">
        <v>20.04</v>
      </c>
      <c r="AF292" s="7">
        <v>1050</v>
      </c>
      <c r="AG292" s="7">
        <v>29.15</v>
      </c>
      <c r="AH292" s="7">
        <v>18.8</v>
      </c>
      <c r="AI292" s="7">
        <v>25.64</v>
      </c>
      <c r="AJ292" s="9">
        <v>244.55933757771899</v>
      </c>
      <c r="AK292" s="9">
        <v>245.52881654087599</v>
      </c>
      <c r="AL292" s="9">
        <v>292.528225647037</v>
      </c>
      <c r="AM292" s="9">
        <v>44.996867774725601</v>
      </c>
      <c r="AN292" s="9">
        <v>1.36354144771896</v>
      </c>
      <c r="AO292" s="9">
        <v>0.98202315123670303</v>
      </c>
      <c r="AP292" s="9">
        <v>422.93470427834399</v>
      </c>
      <c r="AQ292" s="9">
        <v>12.816203159949801</v>
      </c>
      <c r="AR292" s="9">
        <v>15.8942110234912</v>
      </c>
      <c r="AS292" s="73" t="s">
        <v>169</v>
      </c>
      <c r="AU292" s="10" t="s">
        <v>169</v>
      </c>
      <c r="AV292" s="10">
        <v>0</v>
      </c>
      <c r="AX292" s="74" t="s">
        <v>169</v>
      </c>
      <c r="AY292" s="74"/>
      <c r="AZ292" s="74"/>
      <c r="BA292" s="74"/>
      <c r="BF292" s="12">
        <v>0.44</v>
      </c>
      <c r="BG292" s="13">
        <v>224.17413025417923</v>
      </c>
      <c r="BH292" s="96" t="str">
        <f>+VLOOKUP(G292,Liste!$A$7:$G$50,3,FALSE)</f>
        <v>Pin sylvestre</v>
      </c>
      <c r="BI292" s="96" t="str">
        <f>+VLOOKUP(H292,Liste!$B$7:$G$50,5,FALSE)</f>
        <v>GS Pineraies des plaines du Centre et du Nord Ouest</v>
      </c>
      <c r="BJ292" s="135">
        <f t="shared" si="91"/>
        <v>33</v>
      </c>
      <c r="BK292" s="135" t="str">
        <f t="shared" si="93"/>
        <v>Pin sylvestre_F1_Eclaircie tardive_GS Pineraies des plaines du Centre et du Nord Ouest_33_</v>
      </c>
      <c r="BL292" s="322"/>
      <c r="BM292" s="13">
        <v>58.691841705821759</v>
      </c>
      <c r="BN292" s="13">
        <v>282.86597196000099</v>
      </c>
      <c r="BP292" s="13">
        <v>336.6929998</v>
      </c>
      <c r="BQ292" s="13">
        <v>14.873847455961799</v>
      </c>
      <c r="BT292" s="298" t="str">
        <f>+VLOOKUP(G292,Liste!$A$7:$H$50,8,FALSE)</f>
        <v>Résineux</v>
      </c>
      <c r="BU292" s="298">
        <f t="shared" si="94"/>
        <v>0</v>
      </c>
      <c r="BV292" s="300">
        <f t="shared" si="95"/>
        <v>1</v>
      </c>
      <c r="BW292" s="321">
        <v>0</v>
      </c>
      <c r="BX292" s="298">
        <f t="shared" si="96"/>
        <v>0.43</v>
      </c>
      <c r="BY292">
        <f t="shared" si="97"/>
        <v>0</v>
      </c>
      <c r="BZ292" s="304">
        <f t="shared" si="98"/>
        <v>0</v>
      </c>
      <c r="CB292" s="299">
        <v>0.6</v>
      </c>
      <c r="CC292" s="299">
        <v>0.4</v>
      </c>
      <c r="CD292">
        <f t="shared" si="99"/>
        <v>0</v>
      </c>
      <c r="CE292">
        <f t="shared" si="100"/>
        <v>0</v>
      </c>
      <c r="CF292">
        <f t="shared" si="101"/>
        <v>0</v>
      </c>
      <c r="CG292">
        <f t="shared" si="102"/>
        <v>0</v>
      </c>
      <c r="CH292">
        <f t="shared" si="103"/>
        <v>0</v>
      </c>
      <c r="CI292">
        <f t="shared" si="104"/>
        <v>0</v>
      </c>
      <c r="CJ292">
        <f t="shared" si="105"/>
        <v>0</v>
      </c>
      <c r="CK292">
        <f t="shared" si="106"/>
        <v>0</v>
      </c>
      <c r="CL292">
        <f t="shared" si="107"/>
        <v>0</v>
      </c>
      <c r="CM292">
        <f t="shared" si="109"/>
        <v>0</v>
      </c>
      <c r="CN292">
        <f t="shared" si="108"/>
        <v>0</v>
      </c>
      <c r="CO292">
        <f t="shared" si="92"/>
        <v>0</v>
      </c>
    </row>
    <row r="293" spans="1:93" ht="14.65" customHeight="1" x14ac:dyDescent="0.25">
      <c r="A293" s="4">
        <v>2021</v>
      </c>
      <c r="C293" s="4" t="s">
        <v>64</v>
      </c>
      <c r="D293" s="4" t="s">
        <v>65</v>
      </c>
      <c r="F293" s="4" t="s">
        <v>90</v>
      </c>
      <c r="G293" s="5" t="s">
        <v>15</v>
      </c>
      <c r="H293" s="5" t="s">
        <v>21</v>
      </c>
      <c r="I293" s="5" t="s">
        <v>147</v>
      </c>
      <c r="J293" s="5" t="s">
        <v>9</v>
      </c>
      <c r="K293" s="5">
        <v>28</v>
      </c>
      <c r="L293" s="5">
        <v>45</v>
      </c>
      <c r="M293" s="5">
        <v>2500</v>
      </c>
      <c r="N293" s="5" t="s">
        <v>170</v>
      </c>
      <c r="O293" s="6" t="s">
        <v>148</v>
      </c>
      <c r="P293" s="6" t="s">
        <v>80</v>
      </c>
      <c r="Q293" s="6">
        <v>1997</v>
      </c>
      <c r="R293" s="6" t="s">
        <v>2</v>
      </c>
      <c r="S293" s="6">
        <v>21</v>
      </c>
      <c r="T293" s="6">
        <v>12.5</v>
      </c>
      <c r="U293" s="6">
        <v>2024</v>
      </c>
      <c r="V293" s="6">
        <v>28.8</v>
      </c>
      <c r="W293" s="6">
        <v>0</v>
      </c>
      <c r="X293" s="6">
        <v>1100</v>
      </c>
      <c r="Y293" s="6">
        <v>712</v>
      </c>
      <c r="Z293" s="6">
        <v>162</v>
      </c>
      <c r="AA293" s="6">
        <v>50</v>
      </c>
      <c r="AB293" s="6">
        <v>0</v>
      </c>
      <c r="AC293" s="7">
        <v>34</v>
      </c>
      <c r="AD293" s="7" t="s">
        <v>52</v>
      </c>
      <c r="AE293" s="7">
        <v>20.55</v>
      </c>
      <c r="AF293" s="7">
        <v>1050</v>
      </c>
      <c r="AG293" s="7">
        <v>30.13</v>
      </c>
      <c r="AH293" s="7">
        <v>19.12</v>
      </c>
      <c r="AI293" s="7">
        <v>26.14</v>
      </c>
      <c r="AJ293" s="9">
        <v>259.19841346789599</v>
      </c>
      <c r="AK293" s="9">
        <v>260.21790305187898</v>
      </c>
      <c r="AL293" s="9">
        <v>308.42243667052799</v>
      </c>
      <c r="AM293" s="9">
        <v>45.978890925962297</v>
      </c>
      <c r="AN293" s="9">
        <v>1.35232032135183</v>
      </c>
      <c r="AO293" s="9">
        <v>0.87383994991407798</v>
      </c>
      <c r="AP293" s="9">
        <v>438.82891530183502</v>
      </c>
      <c r="AQ293" s="9">
        <v>12.9067328029951</v>
      </c>
      <c r="AR293" s="9">
        <v>13.8785320333693</v>
      </c>
      <c r="AS293" s="73" t="s">
        <v>169</v>
      </c>
      <c r="AU293" s="10" t="s">
        <v>169</v>
      </c>
      <c r="AV293" s="10">
        <v>0</v>
      </c>
      <c r="AX293" s="74" t="s">
        <v>169</v>
      </c>
      <c r="AY293" s="74"/>
      <c r="AZ293" s="74"/>
      <c r="BA293" s="74"/>
      <c r="BF293" s="12">
        <v>0.44</v>
      </c>
      <c r="BG293" s="13">
        <v>236.35439396851442</v>
      </c>
      <c r="BH293" s="96" t="str">
        <f>+VLOOKUP(G293,Liste!$A$7:$G$50,3,FALSE)</f>
        <v>Pin sylvestre</v>
      </c>
      <c r="BI293" s="96" t="str">
        <f>+VLOOKUP(H293,Liste!$B$7:$G$50,5,FALSE)</f>
        <v>GS Pineraies des plaines du Centre et du Nord Ouest</v>
      </c>
      <c r="BJ293" s="135">
        <f t="shared" si="91"/>
        <v>34</v>
      </c>
      <c r="BK293" s="135" t="str">
        <f t="shared" si="93"/>
        <v>Pin sylvestre_F1_Eclaircie tardive_GS Pineraies des plaines du Centre et du Nord Ouest_34_</v>
      </c>
      <c r="BL293" s="322"/>
      <c r="BM293" s="13">
        <v>61.500870597352588</v>
      </c>
      <c r="BN293" s="13">
        <v>297.855264565867</v>
      </c>
      <c r="BP293" s="13">
        <v>336.6929998</v>
      </c>
      <c r="BQ293" s="13">
        <v>12.9782840667524</v>
      </c>
      <c r="BT293" s="298" t="str">
        <f>+VLOOKUP(G293,Liste!$A$7:$H$50,8,FALSE)</f>
        <v>Résineux</v>
      </c>
      <c r="BU293" s="298">
        <f t="shared" si="94"/>
        <v>0</v>
      </c>
      <c r="BV293" s="300">
        <f t="shared" si="95"/>
        <v>1</v>
      </c>
      <c r="BW293" s="321">
        <v>0</v>
      </c>
      <c r="BX293" s="298">
        <f t="shared" si="96"/>
        <v>0.43</v>
      </c>
      <c r="BY293">
        <f t="shared" si="97"/>
        <v>0</v>
      </c>
      <c r="BZ293" s="304">
        <f t="shared" si="98"/>
        <v>0</v>
      </c>
      <c r="CB293" s="299">
        <v>0.6</v>
      </c>
      <c r="CC293" s="299">
        <v>0.4</v>
      </c>
      <c r="CD293">
        <f t="shared" si="99"/>
        <v>0</v>
      </c>
      <c r="CE293">
        <f t="shared" si="100"/>
        <v>0</v>
      </c>
      <c r="CF293">
        <f t="shared" si="101"/>
        <v>0</v>
      </c>
      <c r="CG293">
        <f t="shared" si="102"/>
        <v>0</v>
      </c>
      <c r="CH293">
        <f t="shared" si="103"/>
        <v>0</v>
      </c>
      <c r="CI293">
        <f t="shared" si="104"/>
        <v>0</v>
      </c>
      <c r="CJ293">
        <f t="shared" si="105"/>
        <v>0</v>
      </c>
      <c r="CK293">
        <f t="shared" si="106"/>
        <v>0</v>
      </c>
      <c r="CL293">
        <f t="shared" si="107"/>
        <v>0</v>
      </c>
      <c r="CM293">
        <f t="shared" si="109"/>
        <v>0</v>
      </c>
      <c r="CN293">
        <f t="shared" si="108"/>
        <v>0</v>
      </c>
      <c r="CO293">
        <f t="shared" si="92"/>
        <v>0</v>
      </c>
    </row>
    <row r="294" spans="1:93" ht="14.65" customHeight="1" x14ac:dyDescent="0.25">
      <c r="A294" s="4">
        <v>2021</v>
      </c>
      <c r="C294" s="4" t="s">
        <v>64</v>
      </c>
      <c r="D294" s="4" t="s">
        <v>65</v>
      </c>
      <c r="F294" s="4" t="s">
        <v>90</v>
      </c>
      <c r="G294" s="5" t="s">
        <v>15</v>
      </c>
      <c r="H294" s="5" t="s">
        <v>21</v>
      </c>
      <c r="I294" s="5" t="s">
        <v>147</v>
      </c>
      <c r="J294" s="5" t="s">
        <v>9</v>
      </c>
      <c r="K294" s="5">
        <v>28</v>
      </c>
      <c r="L294" s="5">
        <v>45</v>
      </c>
      <c r="M294" s="5">
        <v>2500</v>
      </c>
      <c r="N294" s="5" t="s">
        <v>170</v>
      </c>
      <c r="O294" s="6" t="s">
        <v>148</v>
      </c>
      <c r="P294" s="6" t="s">
        <v>80</v>
      </c>
      <c r="Q294" s="6">
        <v>1997</v>
      </c>
      <c r="R294" s="6" t="s">
        <v>2</v>
      </c>
      <c r="S294" s="6">
        <v>21</v>
      </c>
      <c r="T294" s="6">
        <v>12.5</v>
      </c>
      <c r="U294" s="6">
        <v>2024</v>
      </c>
      <c r="V294" s="6">
        <v>28.8</v>
      </c>
      <c r="W294" s="6">
        <v>0</v>
      </c>
      <c r="X294" s="6">
        <v>1100</v>
      </c>
      <c r="Y294" s="6">
        <v>712</v>
      </c>
      <c r="Z294" s="6">
        <v>162</v>
      </c>
      <c r="AA294" s="6">
        <v>50</v>
      </c>
      <c r="AB294" s="6">
        <v>0</v>
      </c>
      <c r="AC294" s="7">
        <v>34</v>
      </c>
      <c r="AD294" s="7" t="s">
        <v>53</v>
      </c>
      <c r="AE294" s="7">
        <v>20.55</v>
      </c>
      <c r="AF294" s="7">
        <v>770</v>
      </c>
      <c r="AG294" s="7">
        <v>24.95</v>
      </c>
      <c r="AH294" s="7">
        <v>20.309999999999999</v>
      </c>
      <c r="AI294" s="7">
        <v>26.01</v>
      </c>
      <c r="AJ294" s="9">
        <v>218.07968044114199</v>
      </c>
      <c r="AK294" s="9">
        <v>219.064921624102</v>
      </c>
      <c r="AL294" s="9">
        <v>258.49056139308698</v>
      </c>
      <c r="AM294" s="9">
        <v>45.978890925962297</v>
      </c>
      <c r="AN294" s="9">
        <v>1.35232032135183</v>
      </c>
      <c r="AO294" s="9">
        <v>0.87383994991407798</v>
      </c>
      <c r="AP294" s="9">
        <v>438.82891530183502</v>
      </c>
      <c r="AQ294" s="9">
        <v>12.9067328029951</v>
      </c>
      <c r="AR294" s="9">
        <v>13.8785320333693</v>
      </c>
      <c r="AS294" s="73">
        <v>280</v>
      </c>
      <c r="AT294" s="8">
        <v>5.18</v>
      </c>
      <c r="AU294" s="10">
        <v>15.347615963921077</v>
      </c>
      <c r="AV294" s="10">
        <v>41.118733026754001</v>
      </c>
      <c r="AW294" s="8">
        <v>0.65</v>
      </c>
      <c r="AX294" s="74">
        <v>0.14685261795269286</v>
      </c>
      <c r="AY294" s="74"/>
      <c r="AZ294" s="74"/>
      <c r="BA294" s="74"/>
      <c r="BF294" s="12">
        <v>0.44</v>
      </c>
      <c r="BG294" s="13">
        <v>198.08993354756868</v>
      </c>
      <c r="BH294" s="96" t="str">
        <f>+VLOOKUP(G294,Liste!$A$7:$G$50,3,FALSE)</f>
        <v>Pin sylvestre</v>
      </c>
      <c r="BI294" s="96" t="str">
        <f>+VLOOKUP(H294,Liste!$B$7:$G$50,5,FALSE)</f>
        <v>GS Pineraies des plaines du Centre et du Nord Ouest</v>
      </c>
      <c r="BJ294" s="135">
        <f t="shared" si="91"/>
        <v>34</v>
      </c>
      <c r="BK294" s="135" t="str">
        <f t="shared" si="93"/>
        <v>Pin sylvestre_F1_Eclaircie tardive_GS Pineraies des plaines du Centre et du Nord Ouest_34_</v>
      </c>
      <c r="BL294" s="322"/>
      <c r="BM294" s="13">
        <v>52.614811369797337</v>
      </c>
      <c r="BN294" s="13">
        <v>250.70474491736601</v>
      </c>
      <c r="BO294" s="13">
        <v>47.150519648500989</v>
      </c>
      <c r="BP294" s="13">
        <v>336.6929998</v>
      </c>
      <c r="BQ294" s="13">
        <v>12.9782840667524</v>
      </c>
      <c r="BT294" s="298" t="str">
        <f>+VLOOKUP(G294,Liste!$A$7:$H$50,8,FALSE)</f>
        <v>Résineux</v>
      </c>
      <c r="BU294" s="298">
        <f t="shared" si="94"/>
        <v>0</v>
      </c>
      <c r="BV294" s="300">
        <f t="shared" si="95"/>
        <v>1</v>
      </c>
      <c r="BW294" s="321">
        <v>0</v>
      </c>
      <c r="BX294" s="298">
        <f t="shared" si="96"/>
        <v>0.43</v>
      </c>
      <c r="BY294">
        <f t="shared" si="97"/>
        <v>0</v>
      </c>
      <c r="BZ294" s="304">
        <f t="shared" si="98"/>
        <v>0</v>
      </c>
      <c r="CB294" s="299">
        <v>0.6</v>
      </c>
      <c r="CC294" s="299">
        <v>0.4</v>
      </c>
      <c r="CD294">
        <f t="shared" si="99"/>
        <v>0</v>
      </c>
      <c r="CE294">
        <f t="shared" si="100"/>
        <v>0</v>
      </c>
      <c r="CF294">
        <f t="shared" si="101"/>
        <v>0</v>
      </c>
      <c r="CG294">
        <f t="shared" si="102"/>
        <v>0</v>
      </c>
      <c r="CH294">
        <f t="shared" si="103"/>
        <v>0</v>
      </c>
      <c r="CI294">
        <f t="shared" si="104"/>
        <v>0</v>
      </c>
      <c r="CJ294">
        <f t="shared" si="105"/>
        <v>0</v>
      </c>
      <c r="CK294">
        <f t="shared" si="106"/>
        <v>0</v>
      </c>
      <c r="CL294">
        <f t="shared" si="107"/>
        <v>0</v>
      </c>
      <c r="CM294">
        <f t="shared" si="109"/>
        <v>0</v>
      </c>
      <c r="CN294">
        <f t="shared" si="108"/>
        <v>0</v>
      </c>
      <c r="CO294">
        <f t="shared" si="92"/>
        <v>0</v>
      </c>
    </row>
    <row r="295" spans="1:93" ht="14.65" customHeight="1" x14ac:dyDescent="0.25">
      <c r="A295" s="4">
        <v>2021</v>
      </c>
      <c r="C295" s="4" t="s">
        <v>64</v>
      </c>
      <c r="D295" s="4" t="s">
        <v>65</v>
      </c>
      <c r="F295" s="4" t="s">
        <v>90</v>
      </c>
      <c r="G295" s="5" t="s">
        <v>15</v>
      </c>
      <c r="H295" s="5" t="s">
        <v>21</v>
      </c>
      <c r="I295" s="5" t="s">
        <v>147</v>
      </c>
      <c r="J295" s="5" t="s">
        <v>9</v>
      </c>
      <c r="K295" s="5">
        <v>28</v>
      </c>
      <c r="L295" s="5">
        <v>45</v>
      </c>
      <c r="M295" s="5">
        <v>2500</v>
      </c>
      <c r="N295" s="5" t="s">
        <v>170</v>
      </c>
      <c r="O295" s="6" t="s">
        <v>148</v>
      </c>
      <c r="P295" s="6" t="s">
        <v>80</v>
      </c>
      <c r="Q295" s="6">
        <v>1997</v>
      </c>
      <c r="R295" s="6" t="s">
        <v>2</v>
      </c>
      <c r="S295" s="6">
        <v>21</v>
      </c>
      <c r="T295" s="6">
        <v>12.5</v>
      </c>
      <c r="U295" s="6">
        <v>2024</v>
      </c>
      <c r="V295" s="6">
        <v>28.8</v>
      </c>
      <c r="W295" s="6">
        <v>0</v>
      </c>
      <c r="X295" s="6">
        <v>1100</v>
      </c>
      <c r="Y295" s="6">
        <v>712</v>
      </c>
      <c r="Z295" s="6">
        <v>162</v>
      </c>
      <c r="AA295" s="6">
        <v>50</v>
      </c>
      <c r="AB295" s="6">
        <v>0</v>
      </c>
      <c r="AC295" s="7">
        <v>35</v>
      </c>
      <c r="AD295" s="7" t="s">
        <v>52</v>
      </c>
      <c r="AE295" s="7">
        <v>21.06</v>
      </c>
      <c r="AF295" s="7">
        <v>770</v>
      </c>
      <c r="AG295" s="7">
        <v>25.82</v>
      </c>
      <c r="AH295" s="7">
        <v>20.66</v>
      </c>
      <c r="AI295" s="7">
        <v>26.51</v>
      </c>
      <c r="AJ295" s="9">
        <v>230.79917024359</v>
      </c>
      <c r="AK295" s="9">
        <v>231.83936311256301</v>
      </c>
      <c r="AL295" s="9">
        <v>272.369093426456</v>
      </c>
      <c r="AM295" s="9">
        <v>46.852730875876397</v>
      </c>
      <c r="AN295" s="9">
        <v>1.3386494535964699</v>
      </c>
      <c r="AO295" s="9">
        <v>0.85756161479191195</v>
      </c>
      <c r="AP295" s="9">
        <v>452.70744733520399</v>
      </c>
      <c r="AQ295" s="9">
        <v>12.9344984952915</v>
      </c>
      <c r="AR295" s="9">
        <v>14.2881354374477</v>
      </c>
      <c r="AS295" s="73" t="s">
        <v>169</v>
      </c>
      <c r="AU295" s="10" t="s">
        <v>169</v>
      </c>
      <c r="AV295" s="10">
        <v>0</v>
      </c>
      <c r="AX295" s="74" t="s">
        <v>169</v>
      </c>
      <c r="AY295" s="74"/>
      <c r="AZ295" s="74"/>
      <c r="BA295" s="74"/>
      <c r="BF295" s="12">
        <v>0.44</v>
      </c>
      <c r="BG295" s="13">
        <v>208.72551526247409</v>
      </c>
      <c r="BH295" s="96" t="str">
        <f>+VLOOKUP(G295,Liste!$A$7:$G$50,3,FALSE)</f>
        <v>Pin sylvestre</v>
      </c>
      <c r="BI295" s="96" t="str">
        <f>+VLOOKUP(H295,Liste!$B$7:$G$50,5,FALSE)</f>
        <v>GS Pineraies des plaines du Centre et du Nord Ouest</v>
      </c>
      <c r="BJ295" s="135">
        <f t="shared" si="91"/>
        <v>35</v>
      </c>
      <c r="BK295" s="135" t="str">
        <f t="shared" si="93"/>
        <v>Pin sylvestre_F1_Eclaircie tardive_GS Pineraies des plaines du Centre et du Nord Ouest_35_</v>
      </c>
      <c r="BL295" s="322"/>
      <c r="BM295" s="13">
        <v>55.103266484067916</v>
      </c>
      <c r="BN295" s="13">
        <v>263.82878174654201</v>
      </c>
      <c r="BP295" s="13">
        <v>336.6929998</v>
      </c>
      <c r="BQ295" s="13">
        <v>13.352601521084599</v>
      </c>
      <c r="BT295" s="298" t="str">
        <f>+VLOOKUP(G295,Liste!$A$7:$H$50,8,FALSE)</f>
        <v>Résineux</v>
      </c>
      <c r="BU295" s="298">
        <f t="shared" si="94"/>
        <v>0</v>
      </c>
      <c r="BV295" s="300">
        <f t="shared" si="95"/>
        <v>1</v>
      </c>
      <c r="BW295" s="321">
        <v>0</v>
      </c>
      <c r="BX295" s="298">
        <f t="shared" si="96"/>
        <v>0.43</v>
      </c>
      <c r="BY295">
        <f t="shared" si="97"/>
        <v>0</v>
      </c>
      <c r="BZ295" s="304">
        <f t="shared" si="98"/>
        <v>0</v>
      </c>
      <c r="CB295" s="299">
        <v>0.6</v>
      </c>
      <c r="CC295" s="299">
        <v>0.4</v>
      </c>
      <c r="CD295">
        <f t="shared" si="99"/>
        <v>0</v>
      </c>
      <c r="CE295">
        <f t="shared" si="100"/>
        <v>0</v>
      </c>
      <c r="CF295">
        <f t="shared" si="101"/>
        <v>0</v>
      </c>
      <c r="CG295">
        <f t="shared" si="102"/>
        <v>0</v>
      </c>
      <c r="CH295">
        <f t="shared" si="103"/>
        <v>0</v>
      </c>
      <c r="CI295">
        <f t="shared" si="104"/>
        <v>0</v>
      </c>
      <c r="CJ295">
        <f t="shared" si="105"/>
        <v>0</v>
      </c>
      <c r="CK295">
        <f t="shared" si="106"/>
        <v>0</v>
      </c>
      <c r="CL295">
        <f t="shared" si="107"/>
        <v>0</v>
      </c>
      <c r="CM295">
        <f t="shared" si="109"/>
        <v>0</v>
      </c>
      <c r="CN295">
        <f t="shared" si="108"/>
        <v>0</v>
      </c>
      <c r="CO295">
        <f t="shared" si="92"/>
        <v>0</v>
      </c>
    </row>
    <row r="296" spans="1:93" ht="14.65" customHeight="1" x14ac:dyDescent="0.25">
      <c r="A296" s="4">
        <v>2021</v>
      </c>
      <c r="C296" s="4" t="s">
        <v>64</v>
      </c>
      <c r="D296" s="4" t="s">
        <v>65</v>
      </c>
      <c r="F296" s="4" t="s">
        <v>90</v>
      </c>
      <c r="G296" s="5" t="s">
        <v>15</v>
      </c>
      <c r="H296" s="5" t="s">
        <v>21</v>
      </c>
      <c r="I296" s="5" t="s">
        <v>147</v>
      </c>
      <c r="J296" s="5" t="s">
        <v>9</v>
      </c>
      <c r="K296" s="5">
        <v>28</v>
      </c>
      <c r="L296" s="5">
        <v>45</v>
      </c>
      <c r="M296" s="5">
        <v>2500</v>
      </c>
      <c r="N296" s="5" t="s">
        <v>170</v>
      </c>
      <c r="O296" s="6" t="s">
        <v>148</v>
      </c>
      <c r="P296" s="6" t="s">
        <v>80</v>
      </c>
      <c r="Q296" s="6">
        <v>1997</v>
      </c>
      <c r="R296" s="6" t="s">
        <v>2</v>
      </c>
      <c r="S296" s="6">
        <v>21</v>
      </c>
      <c r="T296" s="6">
        <v>12.5</v>
      </c>
      <c r="U296" s="6">
        <v>2024</v>
      </c>
      <c r="V296" s="6">
        <v>28.8</v>
      </c>
      <c r="W296" s="6">
        <v>0</v>
      </c>
      <c r="X296" s="6">
        <v>1100</v>
      </c>
      <c r="Y296" s="6">
        <v>712</v>
      </c>
      <c r="Z296" s="6">
        <v>162</v>
      </c>
      <c r="AA296" s="6">
        <v>50</v>
      </c>
      <c r="AB296" s="6">
        <v>0</v>
      </c>
      <c r="AC296" s="7">
        <v>36</v>
      </c>
      <c r="AD296" s="7" t="s">
        <v>52</v>
      </c>
      <c r="AE296" s="7">
        <v>21.55</v>
      </c>
      <c r="AF296" s="7">
        <v>770</v>
      </c>
      <c r="AG296" s="7">
        <v>26.68</v>
      </c>
      <c r="AH296" s="7">
        <v>21</v>
      </c>
      <c r="AI296" s="7">
        <v>27</v>
      </c>
      <c r="AJ296" s="9">
        <v>243.97686306534001</v>
      </c>
      <c r="AK296" s="9">
        <v>245.06849679055799</v>
      </c>
      <c r="AL296" s="9">
        <v>286.65722886390398</v>
      </c>
      <c r="AM296" s="9">
        <v>47.710292490668301</v>
      </c>
      <c r="AN296" s="9">
        <v>1.3252859025185599</v>
      </c>
      <c r="AO296" s="9">
        <v>0.84225649794992596</v>
      </c>
      <c r="AP296" s="9">
        <v>466.99558277265203</v>
      </c>
      <c r="AQ296" s="9">
        <v>12.9720995214625</v>
      </c>
      <c r="AR296" s="9">
        <v>14.367984882767599</v>
      </c>
      <c r="AS296" s="73" t="s">
        <v>169</v>
      </c>
      <c r="AU296" s="10" t="s">
        <v>169</v>
      </c>
      <c r="AV296" s="10">
        <v>0</v>
      </c>
      <c r="AX296" s="74" t="s">
        <v>169</v>
      </c>
      <c r="AY296" s="74"/>
      <c r="AZ296" s="74"/>
      <c r="BA296" s="74"/>
      <c r="BF296" s="12">
        <v>0.44</v>
      </c>
      <c r="BG296" s="13">
        <v>219.67498971937164</v>
      </c>
      <c r="BH296" s="96" t="str">
        <f>+VLOOKUP(G296,Liste!$A$7:$G$50,3,FALSE)</f>
        <v>Pin sylvestre</v>
      </c>
      <c r="BI296" s="96" t="str">
        <f>+VLOOKUP(H296,Liste!$B$7:$G$50,5,FALSE)</f>
        <v>GS Pineraies des plaines du Centre et du Nord Ouest</v>
      </c>
      <c r="BJ296" s="135">
        <f t="shared" si="91"/>
        <v>36</v>
      </c>
      <c r="BK296" s="135" t="str">
        <f t="shared" si="93"/>
        <v>Pin sylvestre_F1_Eclaircie tardive_GS Pineraies des plaines du Centre et du Nord Ouest_36_</v>
      </c>
      <c r="BL296" s="322"/>
      <c r="BM296" s="13">
        <v>57.64979226845935</v>
      </c>
      <c r="BN296" s="13">
        <v>277.32478198783099</v>
      </c>
      <c r="BP296" s="13">
        <v>336.6929998</v>
      </c>
      <c r="BQ296" s="13">
        <v>13.4186069155847</v>
      </c>
      <c r="BT296" s="298" t="str">
        <f>+VLOOKUP(G296,Liste!$A$7:$H$50,8,FALSE)</f>
        <v>Résineux</v>
      </c>
      <c r="BU296" s="298">
        <f t="shared" si="94"/>
        <v>0</v>
      </c>
      <c r="BV296" s="300">
        <f t="shared" si="95"/>
        <v>1</v>
      </c>
      <c r="BW296" s="321">
        <v>0</v>
      </c>
      <c r="BX296" s="298">
        <f t="shared" si="96"/>
        <v>0.43</v>
      </c>
      <c r="BY296">
        <f t="shared" si="97"/>
        <v>0</v>
      </c>
      <c r="BZ296" s="304">
        <f t="shared" si="98"/>
        <v>0</v>
      </c>
      <c r="CB296" s="299">
        <v>0.6</v>
      </c>
      <c r="CC296" s="299">
        <v>0.4</v>
      </c>
      <c r="CD296">
        <f t="shared" si="99"/>
        <v>0</v>
      </c>
      <c r="CE296">
        <f t="shared" si="100"/>
        <v>0</v>
      </c>
      <c r="CF296">
        <f t="shared" si="101"/>
        <v>0</v>
      </c>
      <c r="CG296">
        <f t="shared" si="102"/>
        <v>0</v>
      </c>
      <c r="CH296">
        <f t="shared" si="103"/>
        <v>0</v>
      </c>
      <c r="CI296">
        <f t="shared" si="104"/>
        <v>0</v>
      </c>
      <c r="CJ296">
        <f t="shared" si="105"/>
        <v>0</v>
      </c>
      <c r="CK296">
        <f t="shared" si="106"/>
        <v>0</v>
      </c>
      <c r="CL296">
        <f t="shared" si="107"/>
        <v>0</v>
      </c>
      <c r="CM296">
        <f t="shared" si="109"/>
        <v>0</v>
      </c>
      <c r="CN296">
        <f t="shared" si="108"/>
        <v>0</v>
      </c>
      <c r="CO296">
        <f t="shared" si="92"/>
        <v>0</v>
      </c>
    </row>
    <row r="297" spans="1:93" ht="14.65" customHeight="1" x14ac:dyDescent="0.25">
      <c r="A297" s="4">
        <v>2021</v>
      </c>
      <c r="C297" s="4" t="s">
        <v>64</v>
      </c>
      <c r="D297" s="4" t="s">
        <v>65</v>
      </c>
      <c r="F297" s="4" t="s">
        <v>90</v>
      </c>
      <c r="G297" s="5" t="s">
        <v>15</v>
      </c>
      <c r="H297" s="5" t="s">
        <v>21</v>
      </c>
      <c r="I297" s="5" t="s">
        <v>147</v>
      </c>
      <c r="J297" s="5" t="s">
        <v>9</v>
      </c>
      <c r="K297" s="5">
        <v>28</v>
      </c>
      <c r="L297" s="5">
        <v>45</v>
      </c>
      <c r="M297" s="5">
        <v>2500</v>
      </c>
      <c r="N297" s="5" t="s">
        <v>170</v>
      </c>
      <c r="O297" s="6" t="s">
        <v>148</v>
      </c>
      <c r="P297" s="6" t="s">
        <v>80</v>
      </c>
      <c r="Q297" s="6">
        <v>1997</v>
      </c>
      <c r="R297" s="6" t="s">
        <v>2</v>
      </c>
      <c r="S297" s="6">
        <v>21</v>
      </c>
      <c r="T297" s="6">
        <v>12.5</v>
      </c>
      <c r="U297" s="6">
        <v>2024</v>
      </c>
      <c r="V297" s="6">
        <v>28.8</v>
      </c>
      <c r="W297" s="6">
        <v>0</v>
      </c>
      <c r="X297" s="6">
        <v>1100</v>
      </c>
      <c r="Y297" s="6">
        <v>712</v>
      </c>
      <c r="Z297" s="6">
        <v>162</v>
      </c>
      <c r="AA297" s="6">
        <v>50</v>
      </c>
      <c r="AB297" s="6">
        <v>0</v>
      </c>
      <c r="AC297" s="7">
        <v>37</v>
      </c>
      <c r="AD297" s="7" t="s">
        <v>52</v>
      </c>
      <c r="AE297" s="7">
        <v>22.04</v>
      </c>
      <c r="AF297" s="7">
        <v>770</v>
      </c>
      <c r="AG297" s="7">
        <v>27.52</v>
      </c>
      <c r="AH297" s="7">
        <v>21.33</v>
      </c>
      <c r="AI297" s="7">
        <v>27.48</v>
      </c>
      <c r="AJ297" s="9">
        <v>257.26692119344898</v>
      </c>
      <c r="AK297" s="9">
        <v>258.40906016867302</v>
      </c>
      <c r="AL297" s="9">
        <v>301.025213746671</v>
      </c>
      <c r="AM297" s="9">
        <v>48.552548988618298</v>
      </c>
      <c r="AN297" s="9">
        <v>1.3122310537464399</v>
      </c>
      <c r="AO297" s="9">
        <v>0.82686541927896695</v>
      </c>
      <c r="AP297" s="9">
        <v>481.36356765541899</v>
      </c>
      <c r="AQ297" s="9">
        <v>13.0098261528492</v>
      </c>
      <c r="AR297" s="9">
        <v>14.413713053128699</v>
      </c>
      <c r="AS297" s="73" t="s">
        <v>169</v>
      </c>
      <c r="AU297" s="10" t="s">
        <v>169</v>
      </c>
      <c r="AV297" s="10">
        <v>0</v>
      </c>
      <c r="AX297" s="74" t="s">
        <v>169</v>
      </c>
      <c r="AY297" s="74"/>
      <c r="AZ297" s="74"/>
      <c r="BA297" s="74"/>
      <c r="BF297" s="12">
        <v>0.44</v>
      </c>
      <c r="BG297" s="13">
        <v>230.68565546786576</v>
      </c>
      <c r="BH297" s="96" t="str">
        <f>+VLOOKUP(G297,Liste!$A$7:$G$50,3,FALSE)</f>
        <v>Pin sylvestre</v>
      </c>
      <c r="BI297" s="96" t="str">
        <f>+VLOOKUP(H297,Liste!$B$7:$G$50,5,FALSE)</f>
        <v>GS Pineraies des plaines du Centre et du Nord Ouest</v>
      </c>
      <c r="BJ297" s="135">
        <f t="shared" si="91"/>
        <v>37</v>
      </c>
      <c r="BK297" s="135" t="str">
        <f t="shared" si="93"/>
        <v>Pin sylvestre_F1_Eclaircie tardive_GS Pineraies des plaines du Centre et du Nord Ouest_37_</v>
      </c>
      <c r="BL297" s="322"/>
      <c r="BM297" s="13">
        <v>60.195688874744263</v>
      </c>
      <c r="BN297" s="13">
        <v>290.88134434261002</v>
      </c>
      <c r="BP297" s="13">
        <v>336.6929998</v>
      </c>
      <c r="BQ297" s="13">
        <v>13.452921064108599</v>
      </c>
      <c r="BT297" s="298" t="str">
        <f>+VLOOKUP(G297,Liste!$A$7:$H$50,8,FALSE)</f>
        <v>Résineux</v>
      </c>
      <c r="BU297" s="298">
        <f t="shared" si="94"/>
        <v>0</v>
      </c>
      <c r="BV297" s="300">
        <f t="shared" si="95"/>
        <v>1</v>
      </c>
      <c r="BW297" s="321">
        <v>0</v>
      </c>
      <c r="BX297" s="298">
        <f t="shared" si="96"/>
        <v>0.43</v>
      </c>
      <c r="BY297">
        <f t="shared" si="97"/>
        <v>0</v>
      </c>
      <c r="BZ297" s="304">
        <f t="shared" si="98"/>
        <v>0</v>
      </c>
      <c r="CB297" s="299">
        <v>0.6</v>
      </c>
      <c r="CC297" s="299">
        <v>0.4</v>
      </c>
      <c r="CD297">
        <f t="shared" si="99"/>
        <v>0</v>
      </c>
      <c r="CE297">
        <f t="shared" si="100"/>
        <v>0</v>
      </c>
      <c r="CF297">
        <f t="shared" si="101"/>
        <v>0</v>
      </c>
      <c r="CG297">
        <f t="shared" si="102"/>
        <v>0</v>
      </c>
      <c r="CH297">
        <f t="shared" si="103"/>
        <v>0</v>
      </c>
      <c r="CI297">
        <f t="shared" si="104"/>
        <v>0</v>
      </c>
      <c r="CJ297">
        <f t="shared" si="105"/>
        <v>0</v>
      </c>
      <c r="CK297">
        <f t="shared" si="106"/>
        <v>0</v>
      </c>
      <c r="CL297">
        <f t="shared" si="107"/>
        <v>0</v>
      </c>
      <c r="CM297">
        <f t="shared" si="109"/>
        <v>0</v>
      </c>
      <c r="CN297">
        <f t="shared" si="108"/>
        <v>0</v>
      </c>
      <c r="CO297">
        <f t="shared" si="92"/>
        <v>0</v>
      </c>
    </row>
    <row r="298" spans="1:93" ht="14.65" customHeight="1" x14ac:dyDescent="0.25">
      <c r="A298" s="4">
        <v>2021</v>
      </c>
      <c r="C298" s="4" t="s">
        <v>64</v>
      </c>
      <c r="D298" s="4" t="s">
        <v>65</v>
      </c>
      <c r="F298" s="4" t="s">
        <v>90</v>
      </c>
      <c r="G298" s="5" t="s">
        <v>15</v>
      </c>
      <c r="H298" s="5" t="s">
        <v>21</v>
      </c>
      <c r="I298" s="5" t="s">
        <v>147</v>
      </c>
      <c r="J298" s="5" t="s">
        <v>9</v>
      </c>
      <c r="K298" s="5">
        <v>28</v>
      </c>
      <c r="L298" s="5">
        <v>45</v>
      </c>
      <c r="M298" s="5">
        <v>2500</v>
      </c>
      <c r="N298" s="5" t="s">
        <v>170</v>
      </c>
      <c r="O298" s="6" t="s">
        <v>148</v>
      </c>
      <c r="P298" s="6" t="s">
        <v>80</v>
      </c>
      <c r="Q298" s="6">
        <v>1997</v>
      </c>
      <c r="R298" s="6" t="s">
        <v>2</v>
      </c>
      <c r="S298" s="6">
        <v>21</v>
      </c>
      <c r="T298" s="6">
        <v>12.5</v>
      </c>
      <c r="U298" s="6">
        <v>2024</v>
      </c>
      <c r="V298" s="6">
        <v>28.8</v>
      </c>
      <c r="W298" s="6">
        <v>0</v>
      </c>
      <c r="X298" s="6">
        <v>1100</v>
      </c>
      <c r="Y298" s="6">
        <v>712</v>
      </c>
      <c r="Z298" s="6">
        <v>162</v>
      </c>
      <c r="AA298" s="6">
        <v>50</v>
      </c>
      <c r="AB298" s="6">
        <v>0</v>
      </c>
      <c r="AC298" s="7">
        <v>38</v>
      </c>
      <c r="AD298" s="7" t="s">
        <v>52</v>
      </c>
      <c r="AE298" s="7">
        <v>22.52</v>
      </c>
      <c r="AF298" s="7">
        <v>770</v>
      </c>
      <c r="AG298" s="7">
        <v>28.35</v>
      </c>
      <c r="AH298" s="7">
        <v>21.65</v>
      </c>
      <c r="AI298" s="7">
        <v>27.94</v>
      </c>
      <c r="AJ298" s="9">
        <v>270.633660362265</v>
      </c>
      <c r="AK298" s="9">
        <v>271.82537652235698</v>
      </c>
      <c r="AL298" s="9">
        <v>315.43892679980002</v>
      </c>
      <c r="AM298" s="9">
        <v>49.379414407897201</v>
      </c>
      <c r="AN298" s="9">
        <v>1.2994582738920299</v>
      </c>
      <c r="AO298" s="9">
        <v>0.81353922306540505</v>
      </c>
      <c r="AP298" s="9">
        <v>495.77728070854801</v>
      </c>
      <c r="AQ298" s="9">
        <v>13.046770544961801</v>
      </c>
      <c r="AR298" s="9">
        <v>14.481427208864501</v>
      </c>
      <c r="AS298" s="73" t="s">
        <v>169</v>
      </c>
      <c r="AU298" s="10" t="s">
        <v>169</v>
      </c>
      <c r="AV298" s="10">
        <v>0</v>
      </c>
      <c r="AX298" s="74" t="s">
        <v>169</v>
      </c>
      <c r="AY298" s="74"/>
      <c r="AZ298" s="74"/>
      <c r="BA298" s="74"/>
      <c r="BF298" s="12">
        <v>0.44</v>
      </c>
      <c r="BG298" s="13">
        <v>241.73136423758004</v>
      </c>
      <c r="BH298" s="96" t="str">
        <f>+VLOOKUP(G298,Liste!$A$7:$G$50,3,FALSE)</f>
        <v>Pin sylvestre</v>
      </c>
      <c r="BI298" s="96" t="str">
        <f>+VLOOKUP(H298,Liste!$B$7:$G$50,5,FALSE)</f>
        <v>GS Pineraies des plaines du Centre et du Nord Ouest</v>
      </c>
      <c r="BJ298" s="135">
        <f t="shared" si="91"/>
        <v>38</v>
      </c>
      <c r="BK298" s="135" t="str">
        <f t="shared" si="93"/>
        <v>Pin sylvestre_F1_Eclaircie tardive_GS Pineraies des plaines du Centre et du Nord Ouest_38_</v>
      </c>
      <c r="BL298" s="322"/>
      <c r="BM298" s="13">
        <v>62.735510597725948</v>
      </c>
      <c r="BN298" s="13">
        <v>304.46687483530599</v>
      </c>
      <c r="BP298" s="13">
        <v>336.6929998</v>
      </c>
      <c r="BQ298" s="13">
        <v>13.507930848886099</v>
      </c>
      <c r="BT298" s="298" t="str">
        <f>+VLOOKUP(G298,Liste!$A$7:$H$50,8,FALSE)</f>
        <v>Résineux</v>
      </c>
      <c r="BU298" s="298">
        <f t="shared" si="94"/>
        <v>0</v>
      </c>
      <c r="BV298" s="300">
        <f t="shared" si="95"/>
        <v>1</v>
      </c>
      <c r="BW298" s="321">
        <v>0</v>
      </c>
      <c r="BX298" s="298">
        <f t="shared" si="96"/>
        <v>0.43</v>
      </c>
      <c r="BY298">
        <f t="shared" si="97"/>
        <v>0</v>
      </c>
      <c r="BZ298" s="304">
        <f t="shared" si="98"/>
        <v>0</v>
      </c>
      <c r="CB298" s="299">
        <v>0.6</v>
      </c>
      <c r="CC298" s="299">
        <v>0.4</v>
      </c>
      <c r="CD298">
        <f t="shared" si="99"/>
        <v>0</v>
      </c>
      <c r="CE298">
        <f t="shared" si="100"/>
        <v>0</v>
      </c>
      <c r="CF298">
        <f t="shared" si="101"/>
        <v>0</v>
      </c>
      <c r="CG298">
        <f t="shared" si="102"/>
        <v>0</v>
      </c>
      <c r="CH298">
        <f t="shared" si="103"/>
        <v>0</v>
      </c>
      <c r="CI298">
        <f t="shared" si="104"/>
        <v>0</v>
      </c>
      <c r="CJ298">
        <f t="shared" si="105"/>
        <v>0</v>
      </c>
      <c r="CK298">
        <f t="shared" si="106"/>
        <v>0</v>
      </c>
      <c r="CL298">
        <f t="shared" si="107"/>
        <v>0</v>
      </c>
      <c r="CM298">
        <f t="shared" si="109"/>
        <v>0</v>
      </c>
      <c r="CN298">
        <f t="shared" si="108"/>
        <v>0</v>
      </c>
      <c r="CO298">
        <f t="shared" si="92"/>
        <v>0</v>
      </c>
    </row>
    <row r="299" spans="1:93" ht="14.65" customHeight="1" x14ac:dyDescent="0.25">
      <c r="A299" s="4">
        <v>2021</v>
      </c>
      <c r="C299" s="4" t="s">
        <v>64</v>
      </c>
      <c r="D299" s="4" t="s">
        <v>65</v>
      </c>
      <c r="F299" s="4" t="s">
        <v>90</v>
      </c>
      <c r="G299" s="5" t="s">
        <v>15</v>
      </c>
      <c r="H299" s="5" t="s">
        <v>21</v>
      </c>
      <c r="I299" s="5" t="s">
        <v>147</v>
      </c>
      <c r="J299" s="5" t="s">
        <v>9</v>
      </c>
      <c r="K299" s="5">
        <v>28</v>
      </c>
      <c r="L299" s="5">
        <v>45</v>
      </c>
      <c r="M299" s="5">
        <v>2500</v>
      </c>
      <c r="N299" s="5" t="s">
        <v>170</v>
      </c>
      <c r="O299" s="6" t="s">
        <v>148</v>
      </c>
      <c r="P299" s="6" t="s">
        <v>80</v>
      </c>
      <c r="Q299" s="6">
        <v>1997</v>
      </c>
      <c r="R299" s="6" t="s">
        <v>2</v>
      </c>
      <c r="S299" s="6">
        <v>21</v>
      </c>
      <c r="T299" s="6">
        <v>12.5</v>
      </c>
      <c r="U299" s="6">
        <v>2024</v>
      </c>
      <c r="V299" s="6">
        <v>28.8</v>
      </c>
      <c r="W299" s="6">
        <v>0</v>
      </c>
      <c r="X299" s="6">
        <v>1100</v>
      </c>
      <c r="Y299" s="6">
        <v>712</v>
      </c>
      <c r="Z299" s="6">
        <v>162</v>
      </c>
      <c r="AA299" s="6">
        <v>50</v>
      </c>
      <c r="AB299" s="6">
        <v>0</v>
      </c>
      <c r="AC299" s="7">
        <v>39</v>
      </c>
      <c r="AD299" s="7" t="s">
        <v>52</v>
      </c>
      <c r="AE299" s="7">
        <v>22.99</v>
      </c>
      <c r="AF299" s="7">
        <v>770</v>
      </c>
      <c r="AG299" s="7">
        <v>29.16</v>
      </c>
      <c r="AH299" s="7">
        <v>21.96</v>
      </c>
      <c r="AI299" s="7">
        <v>28.4</v>
      </c>
      <c r="AJ299" s="9">
        <v>284.09586727581501</v>
      </c>
      <c r="AK299" s="9">
        <v>285.33627192717699</v>
      </c>
      <c r="AL299" s="9">
        <v>329.92035400866502</v>
      </c>
      <c r="AM299" s="9">
        <v>50.192953630962599</v>
      </c>
      <c r="AN299" s="9">
        <v>1.2869988110503201</v>
      </c>
      <c r="AO299" s="9">
        <v>0.799490649037089</v>
      </c>
      <c r="AP299" s="9">
        <v>510.25870791741198</v>
      </c>
      <c r="AQ299" s="9">
        <v>13.083556613267</v>
      </c>
      <c r="AR299" s="9">
        <v>14.5406689995081</v>
      </c>
      <c r="AS299" s="73" t="s">
        <v>169</v>
      </c>
      <c r="AU299" s="10" t="s">
        <v>169</v>
      </c>
      <c r="AV299" s="10">
        <v>0</v>
      </c>
      <c r="AX299" s="74" t="s">
        <v>169</v>
      </c>
      <c r="AY299" s="74"/>
      <c r="AZ299" s="74"/>
      <c r="BA299" s="74"/>
      <c r="BF299" s="12">
        <v>0.44</v>
      </c>
      <c r="BG299" s="13">
        <v>252.82896462197331</v>
      </c>
      <c r="BH299" s="96" t="str">
        <f>+VLOOKUP(G299,Liste!$A$7:$G$50,3,FALSE)</f>
        <v>Pin sylvestre</v>
      </c>
      <c r="BI299" s="96" t="str">
        <f>+VLOOKUP(H299,Liste!$B$7:$G$50,5,FALSE)</f>
        <v>GS Pineraies des plaines du Centre et du Nord Ouest</v>
      </c>
      <c r="BJ299" s="135">
        <f t="shared" si="91"/>
        <v>39</v>
      </c>
      <c r="BK299" s="135" t="str">
        <f t="shared" si="93"/>
        <v>Pin sylvestre_F1_Eclaircie tardive_GS Pineraies des plaines du Centre et du Nord Ouest_39_</v>
      </c>
      <c r="BL299" s="322"/>
      <c r="BM299" s="13">
        <v>65.273692186385659</v>
      </c>
      <c r="BN299" s="13">
        <v>318.10265680835897</v>
      </c>
      <c r="BP299" s="13">
        <v>336.6929998</v>
      </c>
      <c r="BQ299" s="13">
        <v>13.5551911595152</v>
      </c>
      <c r="BT299" s="298" t="str">
        <f>+VLOOKUP(G299,Liste!$A$7:$H$50,8,FALSE)</f>
        <v>Résineux</v>
      </c>
      <c r="BU299" s="298">
        <f t="shared" si="94"/>
        <v>0</v>
      </c>
      <c r="BV299" s="300">
        <f t="shared" si="95"/>
        <v>1</v>
      </c>
      <c r="BW299" s="321">
        <v>0</v>
      </c>
      <c r="BX299" s="298">
        <f t="shared" si="96"/>
        <v>0.43</v>
      </c>
      <c r="BY299">
        <f t="shared" si="97"/>
        <v>0</v>
      </c>
      <c r="BZ299" s="304">
        <f t="shared" si="98"/>
        <v>0</v>
      </c>
      <c r="CB299" s="299">
        <v>0.6</v>
      </c>
      <c r="CC299" s="299">
        <v>0.4</v>
      </c>
      <c r="CD299">
        <f t="shared" si="99"/>
        <v>0</v>
      </c>
      <c r="CE299">
        <f t="shared" si="100"/>
        <v>0</v>
      </c>
      <c r="CF299">
        <f t="shared" si="101"/>
        <v>0</v>
      </c>
      <c r="CG299">
        <f t="shared" si="102"/>
        <v>0</v>
      </c>
      <c r="CH299">
        <f t="shared" si="103"/>
        <v>0</v>
      </c>
      <c r="CI299">
        <f t="shared" si="104"/>
        <v>0</v>
      </c>
      <c r="CJ299">
        <f t="shared" si="105"/>
        <v>0</v>
      </c>
      <c r="CK299">
        <f t="shared" si="106"/>
        <v>0</v>
      </c>
      <c r="CL299">
        <f t="shared" si="107"/>
        <v>0</v>
      </c>
      <c r="CM299">
        <f t="shared" si="109"/>
        <v>0</v>
      </c>
      <c r="CN299">
        <f t="shared" si="108"/>
        <v>0</v>
      </c>
      <c r="CO299">
        <f t="shared" si="92"/>
        <v>0</v>
      </c>
    </row>
    <row r="300" spans="1:93" ht="14.65" customHeight="1" x14ac:dyDescent="0.25">
      <c r="A300" s="4">
        <v>2021</v>
      </c>
      <c r="C300" s="4" t="s">
        <v>64</v>
      </c>
      <c r="D300" s="4" t="s">
        <v>65</v>
      </c>
      <c r="F300" s="4" t="s">
        <v>90</v>
      </c>
      <c r="G300" s="5" t="s">
        <v>15</v>
      </c>
      <c r="H300" s="5" t="s">
        <v>21</v>
      </c>
      <c r="I300" s="5" t="s">
        <v>147</v>
      </c>
      <c r="J300" s="5" t="s">
        <v>9</v>
      </c>
      <c r="K300" s="5">
        <v>28</v>
      </c>
      <c r="L300" s="5">
        <v>45</v>
      </c>
      <c r="M300" s="5">
        <v>2500</v>
      </c>
      <c r="N300" s="5" t="s">
        <v>170</v>
      </c>
      <c r="O300" s="6" t="s">
        <v>148</v>
      </c>
      <c r="P300" s="6" t="s">
        <v>80</v>
      </c>
      <c r="Q300" s="6">
        <v>1997</v>
      </c>
      <c r="R300" s="6" t="s">
        <v>2</v>
      </c>
      <c r="S300" s="6">
        <v>21</v>
      </c>
      <c r="T300" s="6">
        <v>12.5</v>
      </c>
      <c r="U300" s="6">
        <v>2024</v>
      </c>
      <c r="V300" s="6">
        <v>28.8</v>
      </c>
      <c r="W300" s="6">
        <v>0</v>
      </c>
      <c r="X300" s="6">
        <v>1100</v>
      </c>
      <c r="Y300" s="6">
        <v>712</v>
      </c>
      <c r="Z300" s="6">
        <v>162</v>
      </c>
      <c r="AA300" s="6">
        <v>50</v>
      </c>
      <c r="AB300" s="6">
        <v>0</v>
      </c>
      <c r="AC300" s="7">
        <v>40</v>
      </c>
      <c r="AD300" s="7" t="s">
        <v>52</v>
      </c>
      <c r="AE300" s="7">
        <v>23.45</v>
      </c>
      <c r="AF300" s="7">
        <v>770</v>
      </c>
      <c r="AG300" s="7">
        <v>29.96</v>
      </c>
      <c r="AH300" s="7">
        <v>22.26</v>
      </c>
      <c r="AI300" s="7">
        <v>28.84</v>
      </c>
      <c r="AJ300" s="9">
        <v>297.64820330104601</v>
      </c>
      <c r="AK300" s="9">
        <v>298.93615341862102</v>
      </c>
      <c r="AL300" s="9">
        <v>344.46102300817302</v>
      </c>
      <c r="AM300" s="9">
        <v>50.992444279999702</v>
      </c>
      <c r="AN300" s="9">
        <v>1.2748111069999899</v>
      </c>
      <c r="AO300" s="9">
        <v>0.71329967228508895</v>
      </c>
      <c r="AP300" s="9">
        <v>524.79937691692101</v>
      </c>
      <c r="AQ300" s="9">
        <v>13.119984422923</v>
      </c>
      <c r="AR300" s="9">
        <v>12.462555651768399</v>
      </c>
      <c r="AS300" s="73" t="s">
        <v>169</v>
      </c>
      <c r="AU300" s="10" t="s">
        <v>169</v>
      </c>
      <c r="AV300" s="10">
        <v>0</v>
      </c>
      <c r="AX300" s="74" t="s">
        <v>169</v>
      </c>
      <c r="AY300" s="74"/>
      <c r="AZ300" s="74"/>
      <c r="BA300" s="74"/>
      <c r="BF300" s="12">
        <v>0.44</v>
      </c>
      <c r="BG300" s="13">
        <v>263.97196396526306</v>
      </c>
      <c r="BH300" s="96" t="str">
        <f>+VLOOKUP(G300,Liste!$A$7:$G$50,3,FALSE)</f>
        <v>Pin sylvestre</v>
      </c>
      <c r="BI300" s="96" t="str">
        <f>+VLOOKUP(H300,Liste!$B$7:$G$50,5,FALSE)</f>
        <v>GS Pineraies des plaines du Centre et du Nord Ouest</v>
      </c>
      <c r="BJ300" s="135">
        <f t="shared" si="91"/>
        <v>40</v>
      </c>
      <c r="BK300" s="135" t="str">
        <f t="shared" si="93"/>
        <v>Pin sylvestre_F1_Eclaircie tardive_GS Pineraies des plaines du Centre et du Nord Ouest_40_</v>
      </c>
      <c r="BL300" s="322"/>
      <c r="BM300" s="13">
        <v>67.809239052086923</v>
      </c>
      <c r="BN300" s="13">
        <v>331.78120301734998</v>
      </c>
      <c r="BP300" s="13">
        <v>336.6929998</v>
      </c>
      <c r="BQ300" s="13">
        <v>11.6117285245041</v>
      </c>
      <c r="BT300" s="298" t="str">
        <f>+VLOOKUP(G300,Liste!$A$7:$H$50,8,FALSE)</f>
        <v>Résineux</v>
      </c>
      <c r="BU300" s="298">
        <f t="shared" si="94"/>
        <v>0</v>
      </c>
      <c r="BV300" s="300">
        <f t="shared" si="95"/>
        <v>1</v>
      </c>
      <c r="BW300" s="321">
        <v>0</v>
      </c>
      <c r="BX300" s="298">
        <f t="shared" si="96"/>
        <v>0.43</v>
      </c>
      <c r="BY300">
        <f t="shared" si="97"/>
        <v>0</v>
      </c>
      <c r="BZ300" s="304">
        <f t="shared" si="98"/>
        <v>0</v>
      </c>
      <c r="CB300" s="299">
        <v>0.6</v>
      </c>
      <c r="CC300" s="299">
        <v>0.4</v>
      </c>
      <c r="CD300">
        <f t="shared" si="99"/>
        <v>0</v>
      </c>
      <c r="CE300">
        <f t="shared" si="100"/>
        <v>0</v>
      </c>
      <c r="CF300">
        <f t="shared" si="101"/>
        <v>0</v>
      </c>
      <c r="CG300">
        <f t="shared" si="102"/>
        <v>0</v>
      </c>
      <c r="CH300">
        <f t="shared" si="103"/>
        <v>0</v>
      </c>
      <c r="CI300">
        <f t="shared" si="104"/>
        <v>0</v>
      </c>
      <c r="CJ300">
        <f t="shared" si="105"/>
        <v>0</v>
      </c>
      <c r="CK300">
        <f t="shared" si="106"/>
        <v>0</v>
      </c>
      <c r="CL300">
        <f t="shared" si="107"/>
        <v>0</v>
      </c>
      <c r="CM300">
        <f t="shared" si="109"/>
        <v>0</v>
      </c>
      <c r="CN300">
        <f t="shared" si="108"/>
        <v>0</v>
      </c>
      <c r="CO300">
        <f t="shared" si="92"/>
        <v>0</v>
      </c>
    </row>
    <row r="301" spans="1:93" ht="14.65" customHeight="1" x14ac:dyDescent="0.25">
      <c r="A301" s="4">
        <v>2021</v>
      </c>
      <c r="C301" s="4" t="s">
        <v>64</v>
      </c>
      <c r="D301" s="4" t="s">
        <v>65</v>
      </c>
      <c r="F301" s="4" t="s">
        <v>90</v>
      </c>
      <c r="G301" s="5" t="s">
        <v>15</v>
      </c>
      <c r="H301" s="5" t="s">
        <v>21</v>
      </c>
      <c r="I301" s="5" t="s">
        <v>147</v>
      </c>
      <c r="J301" s="5" t="s">
        <v>9</v>
      </c>
      <c r="K301" s="5">
        <v>28</v>
      </c>
      <c r="L301" s="5">
        <v>45</v>
      </c>
      <c r="M301" s="5">
        <v>2500</v>
      </c>
      <c r="N301" s="5" t="s">
        <v>170</v>
      </c>
      <c r="O301" s="6" t="s">
        <v>148</v>
      </c>
      <c r="P301" s="6" t="s">
        <v>80</v>
      </c>
      <c r="Q301" s="6">
        <v>1997</v>
      </c>
      <c r="R301" s="6" t="s">
        <v>2</v>
      </c>
      <c r="S301" s="6">
        <v>21</v>
      </c>
      <c r="T301" s="6">
        <v>12.5</v>
      </c>
      <c r="U301" s="6">
        <v>2024</v>
      </c>
      <c r="V301" s="6">
        <v>28.8</v>
      </c>
      <c r="W301" s="6">
        <v>0</v>
      </c>
      <c r="X301" s="6">
        <v>1100</v>
      </c>
      <c r="Y301" s="6">
        <v>712</v>
      </c>
      <c r="Z301" s="6">
        <v>162</v>
      </c>
      <c r="AA301" s="6">
        <v>50</v>
      </c>
      <c r="AB301" s="6">
        <v>0</v>
      </c>
      <c r="AC301" s="7">
        <v>40</v>
      </c>
      <c r="AD301" s="7" t="s">
        <v>53</v>
      </c>
      <c r="AE301" s="7">
        <v>23.45</v>
      </c>
      <c r="AF301" s="7">
        <v>580</v>
      </c>
      <c r="AG301" s="7">
        <v>25.07</v>
      </c>
      <c r="AH301" s="7">
        <v>23.46</v>
      </c>
      <c r="AI301" s="7">
        <v>28.84</v>
      </c>
      <c r="AJ301" s="9">
        <v>251.87376354194899</v>
      </c>
      <c r="AK301" s="9">
        <v>253.085699317625</v>
      </c>
      <c r="AL301" s="9">
        <v>291.04956839172098</v>
      </c>
      <c r="AM301" s="9">
        <v>50.992444279999702</v>
      </c>
      <c r="AN301" s="9">
        <v>1.2748111069999899</v>
      </c>
      <c r="AO301" s="9">
        <v>0.71329967228508895</v>
      </c>
      <c r="AP301" s="9">
        <v>524.79937691692101</v>
      </c>
      <c r="AQ301" s="9">
        <v>13.119984422923</v>
      </c>
      <c r="AR301" s="9">
        <v>12.462555651768399</v>
      </c>
      <c r="AS301" s="73">
        <v>190</v>
      </c>
      <c r="AT301" s="8">
        <v>4.8900000000000006</v>
      </c>
      <c r="AU301" s="10">
        <v>18.102255418876961</v>
      </c>
      <c r="AV301" s="10">
        <v>45.774439759097021</v>
      </c>
      <c r="AW301" s="8">
        <v>0.66</v>
      </c>
      <c r="AX301" s="74">
        <v>0.24091810399524749</v>
      </c>
      <c r="AY301" s="74"/>
      <c r="AZ301" s="74"/>
      <c r="BA301" s="74"/>
      <c r="BF301" s="12">
        <v>0.44</v>
      </c>
      <c r="BG301" s="13">
        <v>223.0409859108552</v>
      </c>
      <c r="BH301" s="96" t="str">
        <f>+VLOOKUP(G301,Liste!$A$7:$G$50,3,FALSE)</f>
        <v>Pin sylvestre</v>
      </c>
      <c r="BI301" s="96" t="str">
        <f>+VLOOKUP(H301,Liste!$B$7:$G$50,5,FALSE)</f>
        <v>GS Pineraies des plaines du Centre et du Nord Ouest</v>
      </c>
      <c r="BJ301" s="135">
        <f t="shared" si="91"/>
        <v>40</v>
      </c>
      <c r="BK301" s="135" t="str">
        <f t="shared" si="93"/>
        <v>Pin sylvestre_F1_Eclaircie tardive_GS Pineraies des plaines du Centre et du Nord Ouest_40_</v>
      </c>
      <c r="BL301" s="322"/>
      <c r="BM301" s="13">
        <v>58.429624507941782</v>
      </c>
      <c r="BN301" s="13">
        <v>281.47061041879698</v>
      </c>
      <c r="BO301" s="13">
        <v>50.310592598553001</v>
      </c>
      <c r="BP301" s="13">
        <v>336.6929998</v>
      </c>
      <c r="BQ301" s="13">
        <v>11.6117285245041</v>
      </c>
      <c r="BT301" s="298" t="str">
        <f>+VLOOKUP(G301,Liste!$A$7:$H$50,8,FALSE)</f>
        <v>Résineux</v>
      </c>
      <c r="BU301" s="298">
        <f t="shared" si="94"/>
        <v>0</v>
      </c>
      <c r="BV301" s="300">
        <f t="shared" si="95"/>
        <v>1</v>
      </c>
      <c r="BW301" s="321">
        <v>0</v>
      </c>
      <c r="BX301" s="298">
        <f t="shared" si="96"/>
        <v>0.43</v>
      </c>
      <c r="BY301">
        <f t="shared" si="97"/>
        <v>0</v>
      </c>
      <c r="BZ301" s="304">
        <f t="shared" si="98"/>
        <v>0</v>
      </c>
      <c r="CB301" s="299">
        <v>0.6</v>
      </c>
      <c r="CC301" s="299">
        <v>0.4</v>
      </c>
      <c r="CD301">
        <f t="shared" si="99"/>
        <v>0</v>
      </c>
      <c r="CE301">
        <f t="shared" si="100"/>
        <v>0</v>
      </c>
      <c r="CF301">
        <f t="shared" si="101"/>
        <v>0</v>
      </c>
      <c r="CG301">
        <f t="shared" si="102"/>
        <v>0</v>
      </c>
      <c r="CH301">
        <f t="shared" si="103"/>
        <v>0</v>
      </c>
      <c r="CI301">
        <f t="shared" si="104"/>
        <v>0</v>
      </c>
      <c r="CJ301">
        <f t="shared" si="105"/>
        <v>0</v>
      </c>
      <c r="CK301">
        <f t="shared" si="106"/>
        <v>0</v>
      </c>
      <c r="CL301">
        <f t="shared" si="107"/>
        <v>0</v>
      </c>
      <c r="CM301">
        <f t="shared" si="109"/>
        <v>0</v>
      </c>
      <c r="CN301">
        <f t="shared" si="108"/>
        <v>0</v>
      </c>
      <c r="CO301">
        <f t="shared" si="92"/>
        <v>0</v>
      </c>
    </row>
    <row r="302" spans="1:93" ht="14.65" customHeight="1" x14ac:dyDescent="0.25">
      <c r="A302" s="4">
        <v>2021</v>
      </c>
      <c r="C302" s="4" t="s">
        <v>64</v>
      </c>
      <c r="D302" s="4" t="s">
        <v>65</v>
      </c>
      <c r="F302" s="4" t="s">
        <v>90</v>
      </c>
      <c r="G302" s="5" t="s">
        <v>15</v>
      </c>
      <c r="H302" s="5" t="s">
        <v>21</v>
      </c>
      <c r="I302" s="5" t="s">
        <v>147</v>
      </c>
      <c r="J302" s="5" t="s">
        <v>9</v>
      </c>
      <c r="K302" s="5">
        <v>28</v>
      </c>
      <c r="L302" s="5">
        <v>45</v>
      </c>
      <c r="M302" s="5">
        <v>2500</v>
      </c>
      <c r="N302" s="5" t="s">
        <v>170</v>
      </c>
      <c r="O302" s="6" t="s">
        <v>148</v>
      </c>
      <c r="P302" s="6" t="s">
        <v>80</v>
      </c>
      <c r="Q302" s="6">
        <v>1997</v>
      </c>
      <c r="R302" s="6" t="s">
        <v>2</v>
      </c>
      <c r="S302" s="6">
        <v>21</v>
      </c>
      <c r="T302" s="6">
        <v>12.5</v>
      </c>
      <c r="U302" s="6">
        <v>2024</v>
      </c>
      <c r="V302" s="6">
        <v>28.8</v>
      </c>
      <c r="W302" s="6">
        <v>0</v>
      </c>
      <c r="X302" s="6">
        <v>1100</v>
      </c>
      <c r="Y302" s="6">
        <v>712</v>
      </c>
      <c r="Z302" s="6">
        <v>162</v>
      </c>
      <c r="AA302" s="6">
        <v>50</v>
      </c>
      <c r="AB302" s="6">
        <v>0</v>
      </c>
      <c r="AC302" s="7">
        <v>41</v>
      </c>
      <c r="AD302" s="7" t="s">
        <v>52</v>
      </c>
      <c r="AE302" s="7">
        <v>23.9</v>
      </c>
      <c r="AF302" s="7">
        <v>580</v>
      </c>
      <c r="AG302" s="7">
        <v>25.78</v>
      </c>
      <c r="AH302" s="7">
        <v>23.79</v>
      </c>
      <c r="AI302" s="7">
        <v>29.28</v>
      </c>
      <c r="AJ302" s="9">
        <v>263.38468078697503</v>
      </c>
      <c r="AK302" s="9">
        <v>264.65016504064698</v>
      </c>
      <c r="AL302" s="9">
        <v>303.512124043489</v>
      </c>
      <c r="AM302" s="9">
        <v>51.705743952284799</v>
      </c>
      <c r="AN302" s="9">
        <v>1.2611157061532901</v>
      </c>
      <c r="AO302" s="9">
        <v>0.70117652541627296</v>
      </c>
      <c r="AP302" s="9">
        <v>537.26193256868896</v>
      </c>
      <c r="AQ302" s="9">
        <v>13.1039495748461</v>
      </c>
      <c r="AR302" s="9">
        <v>12.9735859860772</v>
      </c>
      <c r="AS302" s="73" t="s">
        <v>169</v>
      </c>
      <c r="AU302" s="10" t="s">
        <v>169</v>
      </c>
      <c r="AV302" s="10">
        <v>0</v>
      </c>
      <c r="AX302" s="74" t="s">
        <v>169</v>
      </c>
      <c r="AY302" s="74"/>
      <c r="AZ302" s="74"/>
      <c r="BA302" s="74"/>
      <c r="BF302" s="12">
        <v>0.44</v>
      </c>
      <c r="BG302" s="13">
        <v>232.5914577253271</v>
      </c>
      <c r="BH302" s="96" t="str">
        <f>+VLOOKUP(G302,Liste!$A$7:$G$50,3,FALSE)</f>
        <v>Pin sylvestre</v>
      </c>
      <c r="BI302" s="96" t="str">
        <f>+VLOOKUP(H302,Liste!$B$7:$G$50,5,FALSE)</f>
        <v>GS Pineraies des plaines du Centre et du Nord Ouest</v>
      </c>
      <c r="BJ302" s="135">
        <f t="shared" si="91"/>
        <v>41</v>
      </c>
      <c r="BK302" s="135" t="str">
        <f t="shared" si="93"/>
        <v>Pin sylvestre_F1_Eclaircie tardive_GS Pineraies des plaines du Centre et du Nord Ouest_41_</v>
      </c>
      <c r="BL302" s="322"/>
      <c r="BM302" s="13">
        <v>60.63489674730792</v>
      </c>
      <c r="BN302" s="13">
        <v>293.22635447263502</v>
      </c>
      <c r="BP302" s="13">
        <v>336.6929998</v>
      </c>
      <c r="BQ302" s="13">
        <v>12.0819674232739</v>
      </c>
      <c r="BT302" s="298" t="str">
        <f>+VLOOKUP(G302,Liste!$A$7:$H$50,8,FALSE)</f>
        <v>Résineux</v>
      </c>
      <c r="BU302" s="298">
        <f t="shared" si="94"/>
        <v>0</v>
      </c>
      <c r="BV302" s="300">
        <f t="shared" si="95"/>
        <v>1</v>
      </c>
      <c r="BW302" s="321">
        <v>0</v>
      </c>
      <c r="BX302" s="298">
        <f t="shared" si="96"/>
        <v>0.43</v>
      </c>
      <c r="BY302">
        <f t="shared" si="97"/>
        <v>0</v>
      </c>
      <c r="BZ302" s="304">
        <f t="shared" si="98"/>
        <v>0</v>
      </c>
      <c r="CB302" s="299">
        <v>0.6</v>
      </c>
      <c r="CC302" s="299">
        <v>0.4</v>
      </c>
      <c r="CD302">
        <f t="shared" si="99"/>
        <v>0</v>
      </c>
      <c r="CE302">
        <f t="shared" si="100"/>
        <v>0</v>
      </c>
      <c r="CF302">
        <f t="shared" si="101"/>
        <v>0</v>
      </c>
      <c r="CG302">
        <f t="shared" si="102"/>
        <v>0</v>
      </c>
      <c r="CH302">
        <f t="shared" si="103"/>
        <v>0</v>
      </c>
      <c r="CI302">
        <f t="shared" si="104"/>
        <v>0</v>
      </c>
      <c r="CJ302">
        <f t="shared" si="105"/>
        <v>0</v>
      </c>
      <c r="CK302">
        <f t="shared" si="106"/>
        <v>0</v>
      </c>
      <c r="CL302">
        <f t="shared" si="107"/>
        <v>0</v>
      </c>
      <c r="CM302">
        <f t="shared" si="109"/>
        <v>0</v>
      </c>
      <c r="CN302">
        <f t="shared" si="108"/>
        <v>0</v>
      </c>
      <c r="CO302">
        <f t="shared" si="92"/>
        <v>0</v>
      </c>
    </row>
    <row r="303" spans="1:93" ht="14.65" customHeight="1" x14ac:dyDescent="0.25">
      <c r="A303" s="4">
        <v>2021</v>
      </c>
      <c r="C303" s="4" t="s">
        <v>64</v>
      </c>
      <c r="D303" s="4" t="s">
        <v>65</v>
      </c>
      <c r="F303" s="4" t="s">
        <v>90</v>
      </c>
      <c r="G303" s="5" t="s">
        <v>15</v>
      </c>
      <c r="H303" s="5" t="s">
        <v>21</v>
      </c>
      <c r="I303" s="5" t="s">
        <v>147</v>
      </c>
      <c r="J303" s="5" t="s">
        <v>9</v>
      </c>
      <c r="K303" s="5">
        <v>28</v>
      </c>
      <c r="L303" s="5">
        <v>45</v>
      </c>
      <c r="M303" s="5">
        <v>2500</v>
      </c>
      <c r="N303" s="5" t="s">
        <v>170</v>
      </c>
      <c r="O303" s="6" t="s">
        <v>148</v>
      </c>
      <c r="P303" s="6" t="s">
        <v>80</v>
      </c>
      <c r="Q303" s="6">
        <v>1997</v>
      </c>
      <c r="R303" s="6" t="s">
        <v>2</v>
      </c>
      <c r="S303" s="6">
        <v>21</v>
      </c>
      <c r="T303" s="6">
        <v>12.5</v>
      </c>
      <c r="U303" s="6">
        <v>2024</v>
      </c>
      <c r="V303" s="6">
        <v>28.8</v>
      </c>
      <c r="W303" s="6">
        <v>0</v>
      </c>
      <c r="X303" s="6">
        <v>1100</v>
      </c>
      <c r="Y303" s="6">
        <v>712</v>
      </c>
      <c r="Z303" s="6">
        <v>162</v>
      </c>
      <c r="AA303" s="6">
        <v>50</v>
      </c>
      <c r="AB303" s="6">
        <v>0</v>
      </c>
      <c r="AC303" s="7">
        <v>42</v>
      </c>
      <c r="AD303" s="7" t="s">
        <v>52</v>
      </c>
      <c r="AE303" s="7">
        <v>24.35</v>
      </c>
      <c r="AF303" s="7">
        <v>580</v>
      </c>
      <c r="AG303" s="7">
        <v>26.48</v>
      </c>
      <c r="AH303" s="7">
        <v>24.11</v>
      </c>
      <c r="AI303" s="7">
        <v>29.72</v>
      </c>
      <c r="AJ303" s="9">
        <v>275.46328240180497</v>
      </c>
      <c r="AK303" s="9">
        <v>276.77690716774998</v>
      </c>
      <c r="AL303" s="9">
        <v>316.48571002956601</v>
      </c>
      <c r="AM303" s="9">
        <v>52.4069204777011</v>
      </c>
      <c r="AN303" s="9">
        <v>1.24778382089764</v>
      </c>
      <c r="AO303" s="9">
        <v>0.68882226728390294</v>
      </c>
      <c r="AP303" s="9">
        <v>550.23551855476603</v>
      </c>
      <c r="AQ303" s="9">
        <v>13.1008456798754</v>
      </c>
      <c r="AR303" s="9">
        <v>12.989757271221</v>
      </c>
      <c r="AS303" s="73" t="s">
        <v>169</v>
      </c>
      <c r="AU303" s="10" t="s">
        <v>169</v>
      </c>
      <c r="AV303" s="10">
        <v>0</v>
      </c>
      <c r="AX303" s="74" t="s">
        <v>169</v>
      </c>
      <c r="AY303" s="74"/>
      <c r="AZ303" s="74"/>
      <c r="BA303" s="74"/>
      <c r="BF303" s="12">
        <v>0.44</v>
      </c>
      <c r="BG303" s="13">
        <v>242.53354911932445</v>
      </c>
      <c r="BH303" s="96" t="str">
        <f>+VLOOKUP(G303,Liste!$A$7:$G$50,3,FALSE)</f>
        <v>Pin sylvestre</v>
      </c>
      <c r="BI303" s="96" t="str">
        <f>+VLOOKUP(H303,Liste!$B$7:$G$50,5,FALSE)</f>
        <v>GS Pineraies des plaines du Centre et du Nord Ouest</v>
      </c>
      <c r="BJ303" s="135">
        <f t="shared" si="91"/>
        <v>42</v>
      </c>
      <c r="BK303" s="135" t="str">
        <f t="shared" si="93"/>
        <v>Pin sylvestre_F1_Eclaircie tardive_GS Pineraies des plaines du Centre et du Nord Ouest_42_</v>
      </c>
      <c r="BL303" s="322"/>
      <c r="BM303" s="13">
        <v>62.919429696944576</v>
      </c>
      <c r="BN303" s="13">
        <v>305.45297881626902</v>
      </c>
      <c r="BP303" s="13">
        <v>336.6929998</v>
      </c>
      <c r="BQ303" s="13">
        <v>12.091150989971901</v>
      </c>
      <c r="BT303" s="298" t="str">
        <f>+VLOOKUP(G303,Liste!$A$7:$H$50,8,FALSE)</f>
        <v>Résineux</v>
      </c>
      <c r="BU303" s="298">
        <f t="shared" si="94"/>
        <v>0</v>
      </c>
      <c r="BV303" s="300">
        <f t="shared" si="95"/>
        <v>1</v>
      </c>
      <c r="BW303" s="321">
        <v>0</v>
      </c>
      <c r="BX303" s="298">
        <f t="shared" si="96"/>
        <v>0.43</v>
      </c>
      <c r="BY303">
        <f t="shared" si="97"/>
        <v>0</v>
      </c>
      <c r="BZ303" s="304">
        <f t="shared" si="98"/>
        <v>0</v>
      </c>
      <c r="CB303" s="299">
        <v>0.6</v>
      </c>
      <c r="CC303" s="299">
        <v>0.4</v>
      </c>
      <c r="CD303">
        <f t="shared" si="99"/>
        <v>0</v>
      </c>
      <c r="CE303">
        <f t="shared" si="100"/>
        <v>0</v>
      </c>
      <c r="CF303">
        <f t="shared" si="101"/>
        <v>0</v>
      </c>
      <c r="CG303">
        <f t="shared" si="102"/>
        <v>0</v>
      </c>
      <c r="CH303">
        <f t="shared" si="103"/>
        <v>0</v>
      </c>
      <c r="CI303">
        <f t="shared" si="104"/>
        <v>0</v>
      </c>
      <c r="CJ303">
        <f t="shared" si="105"/>
        <v>0</v>
      </c>
      <c r="CK303">
        <f t="shared" si="106"/>
        <v>0</v>
      </c>
      <c r="CL303">
        <f t="shared" si="107"/>
        <v>0</v>
      </c>
      <c r="CM303">
        <f t="shared" si="109"/>
        <v>0</v>
      </c>
      <c r="CN303">
        <f t="shared" si="108"/>
        <v>0</v>
      </c>
      <c r="CO303">
        <f t="shared" si="92"/>
        <v>0</v>
      </c>
    </row>
    <row r="304" spans="1:93" ht="14.65" customHeight="1" x14ac:dyDescent="0.25">
      <c r="A304" s="4">
        <v>2021</v>
      </c>
      <c r="C304" s="4" t="s">
        <v>64</v>
      </c>
      <c r="D304" s="4" t="s">
        <v>65</v>
      </c>
      <c r="F304" s="4" t="s">
        <v>90</v>
      </c>
      <c r="G304" s="5" t="s">
        <v>15</v>
      </c>
      <c r="H304" s="5" t="s">
        <v>21</v>
      </c>
      <c r="I304" s="5" t="s">
        <v>147</v>
      </c>
      <c r="J304" s="5" t="s">
        <v>9</v>
      </c>
      <c r="K304" s="5">
        <v>28</v>
      </c>
      <c r="L304" s="5">
        <v>45</v>
      </c>
      <c r="M304" s="5">
        <v>2500</v>
      </c>
      <c r="N304" s="5" t="s">
        <v>170</v>
      </c>
      <c r="O304" s="6" t="s">
        <v>148</v>
      </c>
      <c r="P304" s="6" t="s">
        <v>80</v>
      </c>
      <c r="Q304" s="6">
        <v>1997</v>
      </c>
      <c r="R304" s="6" t="s">
        <v>2</v>
      </c>
      <c r="S304" s="6">
        <v>21</v>
      </c>
      <c r="T304" s="6">
        <v>12.5</v>
      </c>
      <c r="U304" s="6">
        <v>2024</v>
      </c>
      <c r="V304" s="6">
        <v>28.8</v>
      </c>
      <c r="W304" s="6">
        <v>0</v>
      </c>
      <c r="X304" s="6">
        <v>1100</v>
      </c>
      <c r="Y304" s="6">
        <v>712</v>
      </c>
      <c r="Z304" s="6">
        <v>162</v>
      </c>
      <c r="AA304" s="6">
        <v>50</v>
      </c>
      <c r="AB304" s="6">
        <v>0</v>
      </c>
      <c r="AC304" s="7">
        <v>43</v>
      </c>
      <c r="AD304" s="7" t="s">
        <v>52</v>
      </c>
      <c r="AE304" s="7">
        <v>24.79</v>
      </c>
      <c r="AF304" s="7">
        <v>580</v>
      </c>
      <c r="AG304" s="7">
        <v>27.17</v>
      </c>
      <c r="AH304" s="7">
        <v>24.42</v>
      </c>
      <c r="AI304" s="7">
        <v>30.14</v>
      </c>
      <c r="AJ304" s="9">
        <v>287.58904784631397</v>
      </c>
      <c r="AK304" s="9">
        <v>288.94952444734099</v>
      </c>
      <c r="AL304" s="9">
        <v>329.47546730078699</v>
      </c>
      <c r="AM304" s="9">
        <v>53.095742744985003</v>
      </c>
      <c r="AN304" s="9">
        <v>1.23478471499965</v>
      </c>
      <c r="AO304" s="9">
        <v>0.67749063683018595</v>
      </c>
      <c r="AP304" s="9">
        <v>563.22527582598696</v>
      </c>
      <c r="AQ304" s="9">
        <v>13.098262228511301</v>
      </c>
      <c r="AR304" s="9">
        <v>13.027192937500001</v>
      </c>
      <c r="AS304" s="73" t="s">
        <v>169</v>
      </c>
      <c r="AU304" s="10" t="s">
        <v>169</v>
      </c>
      <c r="AV304" s="10">
        <v>0</v>
      </c>
      <c r="AX304" s="74" t="s">
        <v>169</v>
      </c>
      <c r="AY304" s="74"/>
      <c r="AZ304" s="74"/>
      <c r="BA304" s="74"/>
      <c r="BF304" s="12">
        <v>0.44</v>
      </c>
      <c r="BG304" s="13">
        <v>252.48803310816984</v>
      </c>
      <c r="BH304" s="96" t="str">
        <f>+VLOOKUP(G304,Liste!$A$7:$G$50,3,FALSE)</f>
        <v>Pin sylvestre</v>
      </c>
      <c r="BI304" s="96" t="str">
        <f>+VLOOKUP(H304,Liste!$B$7:$G$50,5,FALSE)</f>
        <v>GS Pineraies des plaines du Centre et du Nord Ouest</v>
      </c>
      <c r="BJ304" s="135">
        <f t="shared" si="91"/>
        <v>43</v>
      </c>
      <c r="BK304" s="135" t="str">
        <f t="shared" si="93"/>
        <v>Pin sylvestre_F1_Eclaircie tardive_GS Pineraies des plaines du Centre et du Nord Ouest_43_</v>
      </c>
      <c r="BL304" s="322"/>
      <c r="BM304" s="13">
        <v>65.195912120525151</v>
      </c>
      <c r="BN304" s="13">
        <v>317.68394522869499</v>
      </c>
      <c r="BP304" s="13">
        <v>336.6929998</v>
      </c>
      <c r="BQ304" s="13">
        <v>12.1202434420298</v>
      </c>
      <c r="BT304" s="298" t="str">
        <f>+VLOOKUP(G304,Liste!$A$7:$H$50,8,FALSE)</f>
        <v>Résineux</v>
      </c>
      <c r="BU304" s="298">
        <f t="shared" si="94"/>
        <v>0</v>
      </c>
      <c r="BV304" s="300">
        <f t="shared" si="95"/>
        <v>1</v>
      </c>
      <c r="BW304" s="321">
        <v>0</v>
      </c>
      <c r="BX304" s="298">
        <f t="shared" si="96"/>
        <v>0.43</v>
      </c>
      <c r="BY304">
        <f t="shared" si="97"/>
        <v>0</v>
      </c>
      <c r="BZ304" s="304">
        <f t="shared" si="98"/>
        <v>0</v>
      </c>
      <c r="CB304" s="299">
        <v>0.6</v>
      </c>
      <c r="CC304" s="299">
        <v>0.4</v>
      </c>
      <c r="CD304">
        <f t="shared" si="99"/>
        <v>0</v>
      </c>
      <c r="CE304">
        <f t="shared" si="100"/>
        <v>0</v>
      </c>
      <c r="CF304">
        <f t="shared" si="101"/>
        <v>0</v>
      </c>
      <c r="CG304">
        <f t="shared" si="102"/>
        <v>0</v>
      </c>
      <c r="CH304">
        <f t="shared" si="103"/>
        <v>0</v>
      </c>
      <c r="CI304">
        <f t="shared" si="104"/>
        <v>0</v>
      </c>
      <c r="CJ304">
        <f t="shared" si="105"/>
        <v>0</v>
      </c>
      <c r="CK304">
        <f t="shared" si="106"/>
        <v>0</v>
      </c>
      <c r="CL304">
        <f t="shared" si="107"/>
        <v>0</v>
      </c>
      <c r="CM304">
        <f t="shared" si="109"/>
        <v>0</v>
      </c>
      <c r="CN304">
        <f t="shared" si="108"/>
        <v>0</v>
      </c>
      <c r="CO304">
        <f t="shared" si="92"/>
        <v>0</v>
      </c>
    </row>
    <row r="305" spans="1:93" ht="14.65" customHeight="1" x14ac:dyDescent="0.25">
      <c r="A305" s="4">
        <v>2021</v>
      </c>
      <c r="C305" s="4" t="s">
        <v>64</v>
      </c>
      <c r="D305" s="4" t="s">
        <v>65</v>
      </c>
      <c r="F305" s="4" t="s">
        <v>90</v>
      </c>
      <c r="G305" s="5" t="s">
        <v>15</v>
      </c>
      <c r="H305" s="5" t="s">
        <v>21</v>
      </c>
      <c r="I305" s="5" t="s">
        <v>147</v>
      </c>
      <c r="J305" s="5" t="s">
        <v>9</v>
      </c>
      <c r="K305" s="5">
        <v>28</v>
      </c>
      <c r="L305" s="5">
        <v>45</v>
      </c>
      <c r="M305" s="5">
        <v>2500</v>
      </c>
      <c r="N305" s="5" t="s">
        <v>170</v>
      </c>
      <c r="O305" s="6" t="s">
        <v>148</v>
      </c>
      <c r="P305" s="6" t="s">
        <v>80</v>
      </c>
      <c r="Q305" s="6">
        <v>1997</v>
      </c>
      <c r="R305" s="6" t="s">
        <v>2</v>
      </c>
      <c r="S305" s="6">
        <v>21</v>
      </c>
      <c r="T305" s="6">
        <v>12.5</v>
      </c>
      <c r="U305" s="6">
        <v>2024</v>
      </c>
      <c r="V305" s="6">
        <v>28.8</v>
      </c>
      <c r="W305" s="6">
        <v>0</v>
      </c>
      <c r="X305" s="6">
        <v>1100</v>
      </c>
      <c r="Y305" s="6">
        <v>712</v>
      </c>
      <c r="Z305" s="6">
        <v>162</v>
      </c>
      <c r="AA305" s="6">
        <v>50</v>
      </c>
      <c r="AB305" s="6">
        <v>0</v>
      </c>
      <c r="AC305" s="7">
        <v>44</v>
      </c>
      <c r="AD305" s="7" t="s">
        <v>52</v>
      </c>
      <c r="AE305" s="7">
        <v>25.22</v>
      </c>
      <c r="AF305" s="7">
        <v>580</v>
      </c>
      <c r="AG305" s="7">
        <v>27.85</v>
      </c>
      <c r="AH305" s="7">
        <v>24.72</v>
      </c>
      <c r="AI305" s="7">
        <v>30.56</v>
      </c>
      <c r="AJ305" s="9">
        <v>299.77719158533</v>
      </c>
      <c r="AK305" s="9">
        <v>301.18338487929998</v>
      </c>
      <c r="AL305" s="9">
        <v>342.50266023828698</v>
      </c>
      <c r="AM305" s="9">
        <v>53.773233381815203</v>
      </c>
      <c r="AN305" s="9">
        <v>1.2221189404957999</v>
      </c>
      <c r="AO305" s="9">
        <v>0.66729545395695999</v>
      </c>
      <c r="AP305" s="9">
        <v>576.25246876348695</v>
      </c>
      <c r="AQ305" s="9">
        <v>13.096647017352</v>
      </c>
      <c r="AR305" s="9">
        <v>12.9885801996186</v>
      </c>
      <c r="AS305" s="73" t="s">
        <v>169</v>
      </c>
      <c r="AU305" s="10" t="s">
        <v>169</v>
      </c>
      <c r="AV305" s="10">
        <v>0</v>
      </c>
      <c r="AX305" s="74" t="s">
        <v>169</v>
      </c>
      <c r="AY305" s="74"/>
      <c r="AZ305" s="74"/>
      <c r="BA305" s="74"/>
      <c r="BF305" s="12">
        <v>0.44</v>
      </c>
      <c r="BG305" s="13">
        <v>262.47120529594071</v>
      </c>
      <c r="BH305" s="96" t="str">
        <f>+VLOOKUP(G305,Liste!$A$7:$G$50,3,FALSE)</f>
        <v>Pin sylvestre</v>
      </c>
      <c r="BI305" s="96" t="str">
        <f>+VLOOKUP(H305,Liste!$B$7:$G$50,5,FALSE)</f>
        <v>GS Pineraies des plaines du Centre et du Nord Ouest</v>
      </c>
      <c r="BJ305" s="135">
        <f t="shared" si="91"/>
        <v>44</v>
      </c>
      <c r="BK305" s="135" t="str">
        <f t="shared" si="93"/>
        <v>Pin sylvestre_F1_Eclaircie tardive_GS Pineraies des plaines du Centre et du Nord Ouest_44_</v>
      </c>
      <c r="BL305" s="322"/>
      <c r="BM305" s="13">
        <v>67.468484538268285</v>
      </c>
      <c r="BN305" s="13">
        <v>329.93968983420899</v>
      </c>
      <c r="BP305" s="13">
        <v>336.6929998</v>
      </c>
      <c r="BQ305" s="13">
        <v>12.0787270650435</v>
      </c>
      <c r="BT305" s="298" t="str">
        <f>+VLOOKUP(G305,Liste!$A$7:$H$50,8,FALSE)</f>
        <v>Résineux</v>
      </c>
      <c r="BU305" s="298">
        <f t="shared" si="94"/>
        <v>0</v>
      </c>
      <c r="BV305" s="300">
        <f t="shared" si="95"/>
        <v>1</v>
      </c>
      <c r="BW305" s="321">
        <v>0</v>
      </c>
      <c r="BX305" s="298">
        <f t="shared" si="96"/>
        <v>0.43</v>
      </c>
      <c r="BY305">
        <f t="shared" si="97"/>
        <v>0</v>
      </c>
      <c r="BZ305" s="304">
        <f t="shared" si="98"/>
        <v>0</v>
      </c>
      <c r="CB305" s="299">
        <v>0.6</v>
      </c>
      <c r="CC305" s="299">
        <v>0.4</v>
      </c>
      <c r="CD305">
        <f t="shared" si="99"/>
        <v>0</v>
      </c>
      <c r="CE305">
        <f t="shared" si="100"/>
        <v>0</v>
      </c>
      <c r="CF305">
        <f t="shared" si="101"/>
        <v>0</v>
      </c>
      <c r="CG305">
        <f t="shared" si="102"/>
        <v>0</v>
      </c>
      <c r="CH305">
        <f t="shared" si="103"/>
        <v>0</v>
      </c>
      <c r="CI305">
        <f t="shared" si="104"/>
        <v>0</v>
      </c>
      <c r="CJ305">
        <f t="shared" si="105"/>
        <v>0</v>
      </c>
      <c r="CK305">
        <f t="shared" si="106"/>
        <v>0</v>
      </c>
      <c r="CL305">
        <f t="shared" si="107"/>
        <v>0</v>
      </c>
      <c r="CM305">
        <f t="shared" si="109"/>
        <v>0</v>
      </c>
      <c r="CN305">
        <f t="shared" si="108"/>
        <v>0</v>
      </c>
      <c r="CO305">
        <f t="shared" si="92"/>
        <v>0</v>
      </c>
    </row>
    <row r="306" spans="1:93" s="12" customFormat="1" ht="14.65" customHeight="1" x14ac:dyDescent="0.25">
      <c r="A306" s="4">
        <v>2021</v>
      </c>
      <c r="B306" s="4"/>
      <c r="C306" s="4" t="s">
        <v>64</v>
      </c>
      <c r="D306" s="4" t="s">
        <v>65</v>
      </c>
      <c r="E306" s="4"/>
      <c r="F306" s="4" t="s">
        <v>90</v>
      </c>
      <c r="G306" s="5" t="s">
        <v>15</v>
      </c>
      <c r="H306" s="5" t="s">
        <v>21</v>
      </c>
      <c r="I306" s="5" t="s">
        <v>147</v>
      </c>
      <c r="J306" s="5" t="s">
        <v>9</v>
      </c>
      <c r="K306" s="5">
        <v>28</v>
      </c>
      <c r="L306" s="5">
        <v>45</v>
      </c>
      <c r="M306" s="5">
        <v>2500</v>
      </c>
      <c r="N306" s="5" t="s">
        <v>170</v>
      </c>
      <c r="O306" s="6" t="s">
        <v>148</v>
      </c>
      <c r="P306" s="6" t="s">
        <v>80</v>
      </c>
      <c r="Q306" s="6">
        <v>1997</v>
      </c>
      <c r="R306" s="6" t="s">
        <v>2</v>
      </c>
      <c r="S306" s="6">
        <v>21</v>
      </c>
      <c r="T306" s="6">
        <v>12.5</v>
      </c>
      <c r="U306" s="6">
        <v>2024</v>
      </c>
      <c r="V306" s="6">
        <v>28.8</v>
      </c>
      <c r="W306" s="6">
        <v>0</v>
      </c>
      <c r="X306" s="6">
        <v>1100</v>
      </c>
      <c r="Y306" s="6">
        <v>712</v>
      </c>
      <c r="Z306" s="6">
        <v>162</v>
      </c>
      <c r="AA306" s="6">
        <v>50</v>
      </c>
      <c r="AB306" s="6">
        <v>0</v>
      </c>
      <c r="AC306" s="7">
        <v>45</v>
      </c>
      <c r="AD306" s="7" t="s">
        <v>52</v>
      </c>
      <c r="AE306" s="7">
        <v>25.64</v>
      </c>
      <c r="AF306" s="7">
        <v>580</v>
      </c>
      <c r="AG306" s="7">
        <v>28.51</v>
      </c>
      <c r="AH306" s="7">
        <v>25.02</v>
      </c>
      <c r="AI306" s="7">
        <v>30.96</v>
      </c>
      <c r="AJ306" s="9">
        <v>311.942659854444</v>
      </c>
      <c r="AK306" s="9">
        <v>313.394407851479</v>
      </c>
      <c r="AL306" s="9">
        <v>355.49124043790601</v>
      </c>
      <c r="AM306" s="9">
        <v>54.440528835772099</v>
      </c>
      <c r="AN306" s="9">
        <v>1.2097895296838299</v>
      </c>
      <c r="AO306" s="9">
        <v>0.65571248823696504</v>
      </c>
      <c r="AP306" s="9">
        <v>589.24104896310598</v>
      </c>
      <c r="AQ306" s="9">
        <v>13.094245532513501</v>
      </c>
      <c r="AR306" s="9">
        <v>12.9950673918877</v>
      </c>
      <c r="AS306" s="73" t="s">
        <v>169</v>
      </c>
      <c r="AT306" s="8"/>
      <c r="AU306" s="10" t="s">
        <v>169</v>
      </c>
      <c r="AV306" s="10">
        <v>0</v>
      </c>
      <c r="AW306" s="8"/>
      <c r="AX306" s="74" t="s">
        <v>169</v>
      </c>
      <c r="AY306" s="74"/>
      <c r="AZ306" s="74"/>
      <c r="BA306" s="74"/>
      <c r="BB306" s="8"/>
      <c r="BC306" s="8"/>
      <c r="BD306" s="8"/>
      <c r="BE306" s="8"/>
      <c r="BF306" s="12">
        <v>0.44</v>
      </c>
      <c r="BG306" s="13">
        <v>272.42478725558175</v>
      </c>
      <c r="BH306" s="96" t="str">
        <f>+VLOOKUP(G306,Liste!$A$7:$G$50,3,FALSE)</f>
        <v>Pin sylvestre</v>
      </c>
      <c r="BI306" s="96" t="str">
        <f>+VLOOKUP(H306,Liste!$B$7:$G$50,5,FALSE)</f>
        <v>GS Pineraies des plaines du Centre et du Nord Ouest</v>
      </c>
      <c r="BJ306" s="135">
        <f t="shared" si="91"/>
        <v>45</v>
      </c>
      <c r="BK306" s="135" t="str">
        <f t="shared" si="93"/>
        <v>Pin sylvestre_F1_Eclaircie tardive_GS Pineraies des plaines du Centre et du Nord Ouest_45_</v>
      </c>
      <c r="BL306" s="322"/>
      <c r="BM306" s="13">
        <v>69.724323518420249</v>
      </c>
      <c r="BN306" s="13">
        <v>342.149110774002</v>
      </c>
      <c r="BP306" s="13">
        <v>336.6929998</v>
      </c>
      <c r="BQ306" s="13">
        <v>12.079309609203399</v>
      </c>
      <c r="BT306" s="298" t="str">
        <f>+VLOOKUP(G306,Liste!$A$7:$H$50,8,FALSE)</f>
        <v>Résineux</v>
      </c>
      <c r="BU306" s="298">
        <f t="shared" si="94"/>
        <v>0</v>
      </c>
      <c r="BV306" s="300">
        <f t="shared" si="95"/>
        <v>1</v>
      </c>
      <c r="BW306" s="321">
        <v>0</v>
      </c>
      <c r="BX306" s="298">
        <f t="shared" si="96"/>
        <v>0.43</v>
      </c>
      <c r="BY306">
        <f t="shared" si="97"/>
        <v>0</v>
      </c>
      <c r="BZ306" s="304">
        <f t="shared" si="98"/>
        <v>0</v>
      </c>
      <c r="CB306" s="299">
        <v>0.6</v>
      </c>
      <c r="CC306" s="299">
        <v>0.4</v>
      </c>
      <c r="CD306">
        <f t="shared" si="99"/>
        <v>0</v>
      </c>
      <c r="CE306">
        <f t="shared" si="100"/>
        <v>0</v>
      </c>
      <c r="CF306">
        <f t="shared" si="101"/>
        <v>0</v>
      </c>
      <c r="CG306">
        <f t="shared" si="102"/>
        <v>0</v>
      </c>
      <c r="CH306">
        <f t="shared" si="103"/>
        <v>0</v>
      </c>
      <c r="CI306">
        <f t="shared" si="104"/>
        <v>0</v>
      </c>
      <c r="CJ306">
        <f t="shared" si="105"/>
        <v>0</v>
      </c>
      <c r="CK306">
        <f t="shared" si="106"/>
        <v>0</v>
      </c>
      <c r="CL306">
        <f t="shared" si="107"/>
        <v>0</v>
      </c>
      <c r="CM306">
        <f t="shared" si="109"/>
        <v>0</v>
      </c>
      <c r="CN306">
        <f t="shared" si="108"/>
        <v>0</v>
      </c>
      <c r="CO306">
        <f t="shared" si="92"/>
        <v>0</v>
      </c>
    </row>
    <row r="307" spans="1:93" s="12" customFormat="1" ht="14.65" customHeight="1" x14ac:dyDescent="0.25">
      <c r="A307" s="4">
        <v>2021</v>
      </c>
      <c r="B307" s="4"/>
      <c r="C307" s="4" t="s">
        <v>64</v>
      </c>
      <c r="D307" s="4" t="s">
        <v>65</v>
      </c>
      <c r="E307" s="4"/>
      <c r="F307" s="4" t="s">
        <v>90</v>
      </c>
      <c r="G307" s="5" t="s">
        <v>15</v>
      </c>
      <c r="H307" s="5" t="s">
        <v>21</v>
      </c>
      <c r="I307" s="5" t="s">
        <v>147</v>
      </c>
      <c r="J307" s="5" t="s">
        <v>9</v>
      </c>
      <c r="K307" s="5">
        <v>28</v>
      </c>
      <c r="L307" s="5">
        <v>45</v>
      </c>
      <c r="M307" s="5">
        <v>2500</v>
      </c>
      <c r="N307" s="5" t="s">
        <v>170</v>
      </c>
      <c r="O307" s="6" t="s">
        <v>148</v>
      </c>
      <c r="P307" s="6" t="s">
        <v>80</v>
      </c>
      <c r="Q307" s="6">
        <v>1997</v>
      </c>
      <c r="R307" s="6" t="s">
        <v>2</v>
      </c>
      <c r="S307" s="6">
        <v>21</v>
      </c>
      <c r="T307" s="6">
        <v>12.5</v>
      </c>
      <c r="U307" s="6">
        <v>2024</v>
      </c>
      <c r="V307" s="6">
        <v>28.8</v>
      </c>
      <c r="W307" s="6">
        <v>0</v>
      </c>
      <c r="X307" s="6">
        <v>1100</v>
      </c>
      <c r="Y307" s="6">
        <v>712</v>
      </c>
      <c r="Z307" s="6">
        <v>162</v>
      </c>
      <c r="AA307" s="6">
        <v>50</v>
      </c>
      <c r="AB307" s="6">
        <v>0</v>
      </c>
      <c r="AC307" s="7">
        <v>46</v>
      </c>
      <c r="AD307" s="7" t="s">
        <v>52</v>
      </c>
      <c r="AE307" s="7">
        <v>26.05</v>
      </c>
      <c r="AF307" s="7">
        <v>580</v>
      </c>
      <c r="AG307" s="7">
        <v>29.17</v>
      </c>
      <c r="AH307" s="7">
        <v>25.31</v>
      </c>
      <c r="AI307" s="7">
        <v>31.36</v>
      </c>
      <c r="AJ307" s="9">
        <v>324.12357685158503</v>
      </c>
      <c r="AK307" s="9">
        <v>325.61958618050699</v>
      </c>
      <c r="AL307" s="9">
        <v>368.48630782979399</v>
      </c>
      <c r="AM307" s="9">
        <v>55.0962413240091</v>
      </c>
      <c r="AN307" s="9">
        <v>1.19774437660889</v>
      </c>
      <c r="AO307" s="9">
        <v>0.64675151930761399</v>
      </c>
      <c r="AP307" s="9">
        <v>602.23611635499299</v>
      </c>
      <c r="AQ307" s="9">
        <v>13.0920894859781</v>
      </c>
      <c r="AR307" s="9">
        <v>13.019485197042901</v>
      </c>
      <c r="AS307" s="73" t="s">
        <v>169</v>
      </c>
      <c r="AT307" s="8"/>
      <c r="AU307" s="10" t="s">
        <v>169</v>
      </c>
      <c r="AV307" s="10">
        <v>0</v>
      </c>
      <c r="AW307" s="8"/>
      <c r="AX307" s="74" t="s">
        <v>169</v>
      </c>
      <c r="AY307" s="74"/>
      <c r="AZ307" s="74"/>
      <c r="BA307" s="74"/>
      <c r="BB307" s="8"/>
      <c r="BC307" s="8"/>
      <c r="BD307" s="8"/>
      <c r="BE307" s="8"/>
      <c r="BF307" s="12">
        <v>0.44</v>
      </c>
      <c r="BG307" s="13">
        <v>282.3833405668986</v>
      </c>
      <c r="BH307" s="96" t="str">
        <f>+VLOOKUP(G307,Liste!$A$7:$G$50,3,FALSE)</f>
        <v>Pin sylvestre</v>
      </c>
      <c r="BI307" s="96" t="str">
        <f>+VLOOKUP(H307,Liste!$B$7:$G$50,5,FALSE)</f>
        <v>GS Pineraies des plaines du Centre et du Nord Ouest</v>
      </c>
      <c r="BJ307" s="135">
        <f t="shared" si="91"/>
        <v>46</v>
      </c>
      <c r="BK307" s="135" t="str">
        <f t="shared" si="93"/>
        <v>Pin sylvestre_F1_Eclaircie tardive_GS Pineraies des plaines du Centre et du Nord Ouest_46_</v>
      </c>
      <c r="BL307" s="322"/>
      <c r="BM307" s="13">
        <v>71.971706325047421</v>
      </c>
      <c r="BN307" s="13">
        <v>354.35504689194602</v>
      </c>
      <c r="BP307" s="13">
        <v>336.6929998</v>
      </c>
      <c r="BQ307" s="13">
        <v>12.0966713560753</v>
      </c>
      <c r="BT307" s="298" t="str">
        <f>+VLOOKUP(G307,Liste!$A$7:$H$50,8,FALSE)</f>
        <v>Résineux</v>
      </c>
      <c r="BU307" s="298">
        <f t="shared" si="94"/>
        <v>0</v>
      </c>
      <c r="BV307" s="300">
        <f t="shared" si="95"/>
        <v>1</v>
      </c>
      <c r="BW307" s="321">
        <v>0</v>
      </c>
      <c r="BX307" s="298">
        <f t="shared" si="96"/>
        <v>0.43</v>
      </c>
      <c r="BY307">
        <f t="shared" si="97"/>
        <v>0</v>
      </c>
      <c r="BZ307" s="304">
        <f t="shared" si="98"/>
        <v>0</v>
      </c>
      <c r="CB307" s="299">
        <v>0.6</v>
      </c>
      <c r="CC307" s="299">
        <v>0.4</v>
      </c>
      <c r="CD307">
        <f t="shared" si="99"/>
        <v>0</v>
      </c>
      <c r="CE307">
        <f t="shared" si="100"/>
        <v>0</v>
      </c>
      <c r="CF307">
        <f t="shared" si="101"/>
        <v>0</v>
      </c>
      <c r="CG307">
        <f t="shared" si="102"/>
        <v>0</v>
      </c>
      <c r="CH307">
        <f t="shared" si="103"/>
        <v>0</v>
      </c>
      <c r="CI307">
        <f t="shared" si="104"/>
        <v>0</v>
      </c>
      <c r="CJ307">
        <f t="shared" si="105"/>
        <v>0</v>
      </c>
      <c r="CK307">
        <f t="shared" si="106"/>
        <v>0</v>
      </c>
      <c r="CL307">
        <f t="shared" si="107"/>
        <v>0</v>
      </c>
      <c r="CM307">
        <f t="shared" si="109"/>
        <v>0</v>
      </c>
      <c r="CN307">
        <f t="shared" si="108"/>
        <v>0</v>
      </c>
      <c r="CO307">
        <f t="shared" si="92"/>
        <v>0</v>
      </c>
    </row>
    <row r="308" spans="1:93" s="12" customFormat="1" ht="14.65" customHeight="1" x14ac:dyDescent="0.25">
      <c r="A308" s="4">
        <v>2021</v>
      </c>
      <c r="B308" s="4"/>
      <c r="C308" s="4" t="s">
        <v>64</v>
      </c>
      <c r="D308" s="4" t="s">
        <v>65</v>
      </c>
      <c r="E308" s="4"/>
      <c r="F308" s="4" t="s">
        <v>90</v>
      </c>
      <c r="G308" s="5" t="s">
        <v>15</v>
      </c>
      <c r="H308" s="5" t="s">
        <v>21</v>
      </c>
      <c r="I308" s="5" t="s">
        <v>147</v>
      </c>
      <c r="J308" s="5" t="s">
        <v>9</v>
      </c>
      <c r="K308" s="5">
        <v>28</v>
      </c>
      <c r="L308" s="5">
        <v>45</v>
      </c>
      <c r="M308" s="5">
        <v>2500</v>
      </c>
      <c r="N308" s="5" t="s">
        <v>170</v>
      </c>
      <c r="O308" s="6" t="s">
        <v>148</v>
      </c>
      <c r="P308" s="6" t="s">
        <v>80</v>
      </c>
      <c r="Q308" s="6">
        <v>1997</v>
      </c>
      <c r="R308" s="6" t="s">
        <v>2</v>
      </c>
      <c r="S308" s="6">
        <v>21</v>
      </c>
      <c r="T308" s="6">
        <v>12.5</v>
      </c>
      <c r="U308" s="6">
        <v>2024</v>
      </c>
      <c r="V308" s="6">
        <v>28.8</v>
      </c>
      <c r="W308" s="6">
        <v>0</v>
      </c>
      <c r="X308" s="6">
        <v>1100</v>
      </c>
      <c r="Y308" s="6">
        <v>712</v>
      </c>
      <c r="Z308" s="6">
        <v>162</v>
      </c>
      <c r="AA308" s="6">
        <v>50</v>
      </c>
      <c r="AB308" s="6">
        <v>0</v>
      </c>
      <c r="AC308" s="7">
        <v>47</v>
      </c>
      <c r="AD308" s="7" t="s">
        <v>52</v>
      </c>
      <c r="AE308" s="7">
        <v>26.45</v>
      </c>
      <c r="AF308" s="7">
        <v>580</v>
      </c>
      <c r="AG308" s="7">
        <v>29.82</v>
      </c>
      <c r="AH308" s="7">
        <v>25.58</v>
      </c>
      <c r="AI308" s="7">
        <v>31.75</v>
      </c>
      <c r="AJ308" s="9">
        <v>336.36371334413099</v>
      </c>
      <c r="AK308" s="9">
        <v>337.90317576290698</v>
      </c>
      <c r="AL308" s="9">
        <v>381.50579302683599</v>
      </c>
      <c r="AM308" s="9">
        <v>55.742992843316699</v>
      </c>
      <c r="AN308" s="9">
        <v>1.18602112432589</v>
      </c>
      <c r="AO308" s="9">
        <v>0.59049972419477104</v>
      </c>
      <c r="AP308" s="9">
        <v>615.25560155203596</v>
      </c>
      <c r="AQ308" s="9">
        <v>13.090544713873101</v>
      </c>
      <c r="AR308" s="9">
        <v>11.563241739936499</v>
      </c>
      <c r="AS308" s="73" t="s">
        <v>169</v>
      </c>
      <c r="AT308" s="8"/>
      <c r="AU308" s="10" t="s">
        <v>169</v>
      </c>
      <c r="AV308" s="10">
        <v>0</v>
      </c>
      <c r="AW308" s="8"/>
      <c r="AX308" s="74" t="s">
        <v>169</v>
      </c>
      <c r="AY308" s="74"/>
      <c r="AZ308" s="74"/>
      <c r="BA308" s="74"/>
      <c r="BB308" s="8"/>
      <c r="BC308" s="8"/>
      <c r="BD308" s="8"/>
      <c r="BE308" s="8"/>
      <c r="BF308" s="12">
        <v>0.44</v>
      </c>
      <c r="BG308" s="13">
        <v>292.36060605623226</v>
      </c>
      <c r="BH308" s="96" t="str">
        <f>+VLOOKUP(G308,Liste!$A$7:$G$50,3,FALSE)</f>
        <v>Pin sylvestre</v>
      </c>
      <c r="BI308" s="96" t="str">
        <f>+VLOOKUP(H308,Liste!$B$7:$G$50,5,FALSE)</f>
        <v>GS Pineraies des plaines du Centre et du Nord Ouest</v>
      </c>
      <c r="BJ308" s="135">
        <f t="shared" si="91"/>
        <v>47</v>
      </c>
      <c r="BK308" s="135" t="str">
        <f t="shared" si="93"/>
        <v>Pin sylvestre_F1_Eclaircie tardive_GS Pineraies des plaines du Centre et du Nord Ouest_47_</v>
      </c>
      <c r="BL308" s="322"/>
      <c r="BM308" s="13">
        <v>74.214077679827767</v>
      </c>
      <c r="BN308" s="13">
        <v>366.57468373606002</v>
      </c>
      <c r="BP308" s="13">
        <v>336.6929998</v>
      </c>
      <c r="BQ308" s="13">
        <v>10.739269640156101</v>
      </c>
      <c r="BT308" s="298" t="str">
        <f>+VLOOKUP(G308,Liste!$A$7:$H$50,8,FALSE)</f>
        <v>Résineux</v>
      </c>
      <c r="BU308" s="298">
        <f t="shared" si="94"/>
        <v>0</v>
      </c>
      <c r="BV308" s="300">
        <f t="shared" si="95"/>
        <v>1</v>
      </c>
      <c r="BW308" s="321">
        <v>0</v>
      </c>
      <c r="BX308" s="298">
        <f t="shared" si="96"/>
        <v>0.43</v>
      </c>
      <c r="BY308">
        <f t="shared" si="97"/>
        <v>0</v>
      </c>
      <c r="BZ308" s="304">
        <f t="shared" si="98"/>
        <v>0</v>
      </c>
      <c r="CB308" s="299">
        <v>0.6</v>
      </c>
      <c r="CC308" s="299">
        <v>0.4</v>
      </c>
      <c r="CD308">
        <f t="shared" si="99"/>
        <v>0</v>
      </c>
      <c r="CE308">
        <f t="shared" si="100"/>
        <v>0</v>
      </c>
      <c r="CF308">
        <f t="shared" si="101"/>
        <v>0</v>
      </c>
      <c r="CG308">
        <f t="shared" si="102"/>
        <v>0</v>
      </c>
      <c r="CH308">
        <f t="shared" si="103"/>
        <v>0</v>
      </c>
      <c r="CI308">
        <f t="shared" si="104"/>
        <v>0</v>
      </c>
      <c r="CJ308">
        <f t="shared" si="105"/>
        <v>0</v>
      </c>
      <c r="CK308">
        <f t="shared" si="106"/>
        <v>0</v>
      </c>
      <c r="CL308">
        <f t="shared" si="107"/>
        <v>0</v>
      </c>
      <c r="CM308">
        <f t="shared" si="109"/>
        <v>0</v>
      </c>
      <c r="CN308">
        <f t="shared" si="108"/>
        <v>0</v>
      </c>
      <c r="CO308">
        <f t="shared" si="92"/>
        <v>0</v>
      </c>
    </row>
    <row r="309" spans="1:93" s="12" customFormat="1" ht="14.65" customHeight="1" x14ac:dyDescent="0.25">
      <c r="A309" s="4">
        <v>2021</v>
      </c>
      <c r="B309" s="4"/>
      <c r="C309" s="4" t="s">
        <v>64</v>
      </c>
      <c r="D309" s="4" t="s">
        <v>65</v>
      </c>
      <c r="E309" s="4"/>
      <c r="F309" s="4" t="s">
        <v>90</v>
      </c>
      <c r="G309" s="5" t="s">
        <v>15</v>
      </c>
      <c r="H309" s="5" t="s">
        <v>21</v>
      </c>
      <c r="I309" s="5" t="s">
        <v>147</v>
      </c>
      <c r="J309" s="5" t="s">
        <v>9</v>
      </c>
      <c r="K309" s="5">
        <v>28</v>
      </c>
      <c r="L309" s="5">
        <v>45</v>
      </c>
      <c r="M309" s="5">
        <v>2500</v>
      </c>
      <c r="N309" s="5" t="s">
        <v>170</v>
      </c>
      <c r="O309" s="6" t="s">
        <v>148</v>
      </c>
      <c r="P309" s="6" t="s">
        <v>80</v>
      </c>
      <c r="Q309" s="6">
        <v>1997</v>
      </c>
      <c r="R309" s="6" t="s">
        <v>2</v>
      </c>
      <c r="S309" s="6">
        <v>21</v>
      </c>
      <c r="T309" s="6">
        <v>12.5</v>
      </c>
      <c r="U309" s="6">
        <v>2024</v>
      </c>
      <c r="V309" s="6">
        <v>28.8</v>
      </c>
      <c r="W309" s="6">
        <v>0</v>
      </c>
      <c r="X309" s="6">
        <v>1100</v>
      </c>
      <c r="Y309" s="6">
        <v>712</v>
      </c>
      <c r="Z309" s="6">
        <v>162</v>
      </c>
      <c r="AA309" s="6">
        <v>50</v>
      </c>
      <c r="AB309" s="6">
        <v>0</v>
      </c>
      <c r="AC309" s="7">
        <v>47</v>
      </c>
      <c r="AD309" s="7" t="s">
        <v>53</v>
      </c>
      <c r="AE309" s="7">
        <v>26.45</v>
      </c>
      <c r="AF309" s="7">
        <v>460</v>
      </c>
      <c r="AG309" s="7">
        <v>26.06</v>
      </c>
      <c r="AH309" s="7">
        <v>26.86</v>
      </c>
      <c r="AI309" s="7">
        <v>31.75</v>
      </c>
      <c r="AJ309" s="9">
        <v>296.59294087440401</v>
      </c>
      <c r="AK309" s="9">
        <v>298.07019040439201</v>
      </c>
      <c r="AL309" s="9">
        <v>336.21513286176798</v>
      </c>
      <c r="AM309" s="9">
        <v>55.742992843316699</v>
      </c>
      <c r="AN309" s="9">
        <v>1.18602112432589</v>
      </c>
      <c r="AO309" s="9">
        <v>0.59049972419477104</v>
      </c>
      <c r="AP309" s="9">
        <v>615.25560155203596</v>
      </c>
      <c r="AQ309" s="9">
        <v>13.090544713873101</v>
      </c>
      <c r="AR309" s="9">
        <v>11.563241739936499</v>
      </c>
      <c r="AS309" s="73">
        <v>120</v>
      </c>
      <c r="AT309" s="8">
        <v>3.7600000000000016</v>
      </c>
      <c r="AU309" s="10">
        <v>19.973692464932078</v>
      </c>
      <c r="AV309" s="10">
        <v>39.770772469726978</v>
      </c>
      <c r="AW309" s="8">
        <v>0.61</v>
      </c>
      <c r="AX309" s="74">
        <v>0.3314231039143915</v>
      </c>
      <c r="AY309" s="74"/>
      <c r="AZ309" s="74"/>
      <c r="BA309" s="74"/>
      <c r="BB309" s="8"/>
      <c r="BC309" s="8"/>
      <c r="BD309" s="8"/>
      <c r="BE309" s="8"/>
      <c r="BF309" s="12">
        <v>0.44</v>
      </c>
      <c r="BG309" s="13">
        <v>257.65286348306853</v>
      </c>
      <c r="BH309" s="96" t="str">
        <f>+VLOOKUP(G309,Liste!$A$7:$G$50,3,FALSE)</f>
        <v>Pin sylvestre</v>
      </c>
      <c r="BI309" s="96" t="str">
        <f>+VLOOKUP(H309,Liste!$B$7:$G$50,5,FALSE)</f>
        <v>GS Pineraies des plaines du Centre et du Nord Ouest</v>
      </c>
      <c r="BJ309" s="135">
        <f t="shared" si="91"/>
        <v>47</v>
      </c>
      <c r="BK309" s="135" t="str">
        <f t="shared" si="93"/>
        <v>Pin sylvestre_F1_Eclaircie tardive_GS Pineraies des plaines du Centre et du Nord Ouest_47_</v>
      </c>
      <c r="BL309" s="322"/>
      <c r="BM309" s="13">
        <v>66.372915985107454</v>
      </c>
      <c r="BN309" s="13">
        <v>324.02577946817598</v>
      </c>
      <c r="BO309" s="13">
        <v>42.548904267884041</v>
      </c>
      <c r="BP309" s="13">
        <v>336.6929998</v>
      </c>
      <c r="BQ309" s="13">
        <v>10.739269640156101</v>
      </c>
      <c r="BT309" s="298" t="str">
        <f>+VLOOKUP(G309,Liste!$A$7:$H$50,8,FALSE)</f>
        <v>Résineux</v>
      </c>
      <c r="BU309" s="298">
        <f t="shared" si="94"/>
        <v>0</v>
      </c>
      <c r="BV309" s="300">
        <f t="shared" si="95"/>
        <v>1</v>
      </c>
      <c r="BW309" s="321">
        <v>0</v>
      </c>
      <c r="BX309" s="298">
        <f t="shared" si="96"/>
        <v>0.43</v>
      </c>
      <c r="BY309">
        <f t="shared" si="97"/>
        <v>0</v>
      </c>
      <c r="BZ309" s="304">
        <f t="shared" si="98"/>
        <v>0</v>
      </c>
      <c r="CB309" s="299">
        <v>0.6</v>
      </c>
      <c r="CC309" s="299">
        <v>0.4</v>
      </c>
      <c r="CD309">
        <f t="shared" si="99"/>
        <v>0</v>
      </c>
      <c r="CE309">
        <f t="shared" si="100"/>
        <v>0</v>
      </c>
      <c r="CF309">
        <f t="shared" si="101"/>
        <v>0</v>
      </c>
      <c r="CG309">
        <f t="shared" si="102"/>
        <v>0</v>
      </c>
      <c r="CH309">
        <f t="shared" si="103"/>
        <v>0</v>
      </c>
      <c r="CI309">
        <f t="shared" si="104"/>
        <v>0</v>
      </c>
      <c r="CJ309">
        <f t="shared" si="105"/>
        <v>0</v>
      </c>
      <c r="CK309">
        <f t="shared" si="106"/>
        <v>0</v>
      </c>
      <c r="CL309">
        <f t="shared" si="107"/>
        <v>0</v>
      </c>
      <c r="CM309">
        <f t="shared" si="109"/>
        <v>0</v>
      </c>
      <c r="CN309">
        <f t="shared" si="108"/>
        <v>0</v>
      </c>
      <c r="CO309">
        <f t="shared" si="92"/>
        <v>0</v>
      </c>
    </row>
    <row r="310" spans="1:93" s="12" customFormat="1" ht="14.65" customHeight="1" x14ac:dyDescent="0.25">
      <c r="A310" s="4">
        <v>2021</v>
      </c>
      <c r="B310" s="4"/>
      <c r="C310" s="4" t="s">
        <v>64</v>
      </c>
      <c r="D310" s="4" t="s">
        <v>65</v>
      </c>
      <c r="E310" s="4"/>
      <c r="F310" s="4" t="s">
        <v>90</v>
      </c>
      <c r="G310" s="5" t="s">
        <v>15</v>
      </c>
      <c r="H310" s="5" t="s">
        <v>21</v>
      </c>
      <c r="I310" s="5" t="s">
        <v>147</v>
      </c>
      <c r="J310" s="5" t="s">
        <v>9</v>
      </c>
      <c r="K310" s="5">
        <v>28</v>
      </c>
      <c r="L310" s="5">
        <v>45</v>
      </c>
      <c r="M310" s="5">
        <v>2500</v>
      </c>
      <c r="N310" s="5" t="s">
        <v>170</v>
      </c>
      <c r="O310" s="6" t="s">
        <v>148</v>
      </c>
      <c r="P310" s="6" t="s">
        <v>80</v>
      </c>
      <c r="Q310" s="6">
        <v>1997</v>
      </c>
      <c r="R310" s="6" t="s">
        <v>2</v>
      </c>
      <c r="S310" s="6">
        <v>21</v>
      </c>
      <c r="T310" s="6">
        <v>12.5</v>
      </c>
      <c r="U310" s="6">
        <v>2024</v>
      </c>
      <c r="V310" s="6">
        <v>28.8</v>
      </c>
      <c r="W310" s="6">
        <v>0</v>
      </c>
      <c r="X310" s="6">
        <v>1100</v>
      </c>
      <c r="Y310" s="6">
        <v>712</v>
      </c>
      <c r="Z310" s="6">
        <v>162</v>
      </c>
      <c r="AA310" s="6">
        <v>50</v>
      </c>
      <c r="AB310" s="6">
        <v>0</v>
      </c>
      <c r="AC310" s="7">
        <v>48</v>
      </c>
      <c r="AD310" s="7" t="s">
        <v>52</v>
      </c>
      <c r="AE310" s="7">
        <v>26.85</v>
      </c>
      <c r="AF310" s="7">
        <v>460</v>
      </c>
      <c r="AG310" s="7">
        <v>26.65</v>
      </c>
      <c r="AH310" s="7">
        <v>27.16</v>
      </c>
      <c r="AI310" s="7">
        <v>32.130000000000003</v>
      </c>
      <c r="AJ310" s="9">
        <v>307.39259775647503</v>
      </c>
      <c r="AK310" s="9">
        <v>308.91715325886099</v>
      </c>
      <c r="AL310" s="9">
        <v>347.77837460170502</v>
      </c>
      <c r="AM310" s="9">
        <v>56.333492567511499</v>
      </c>
      <c r="AN310" s="9">
        <v>1.17361442848982</v>
      </c>
      <c r="AO310" s="9">
        <v>0.582790837017512</v>
      </c>
      <c r="AP310" s="9">
        <v>626.81884329197305</v>
      </c>
      <c r="AQ310" s="9">
        <v>13.0587259019161</v>
      </c>
      <c r="AR310" s="9">
        <v>11.9285408812977</v>
      </c>
      <c r="AS310" s="73" t="s">
        <v>169</v>
      </c>
      <c r="AT310" s="8"/>
      <c r="AU310" s="10" t="s">
        <v>169</v>
      </c>
      <c r="AV310" s="10">
        <v>0</v>
      </c>
      <c r="AW310" s="8"/>
      <c r="AX310" s="74" t="s">
        <v>169</v>
      </c>
      <c r="AY310" s="74"/>
      <c r="AZ310" s="74"/>
      <c r="BA310" s="74"/>
      <c r="BB310" s="8"/>
      <c r="BC310" s="8"/>
      <c r="BD310" s="8"/>
      <c r="BE310" s="8"/>
      <c r="BF310" s="12">
        <v>0.44</v>
      </c>
      <c r="BG310" s="13">
        <v>266.51416106977308</v>
      </c>
      <c r="BH310" s="96" t="str">
        <f>+VLOOKUP(G310,Liste!$A$7:$G$50,3,FALSE)</f>
        <v>Pin sylvestre</v>
      </c>
      <c r="BI310" s="96" t="str">
        <f>+VLOOKUP(H310,Liste!$B$7:$G$50,5,FALSE)</f>
        <v>GS Pineraies des plaines du Centre et du Nord Ouest</v>
      </c>
      <c r="BJ310" s="135">
        <f t="shared" si="91"/>
        <v>48</v>
      </c>
      <c r="BK310" s="135" t="str">
        <f t="shared" si="93"/>
        <v>Pin sylvestre_F1_Eclaircie tardive_GS Pineraies des plaines du Centre et du Nord Ouest_48_</v>
      </c>
      <c r="BL310" s="322"/>
      <c r="BM310" s="13">
        <v>68.3859435955859</v>
      </c>
      <c r="BN310" s="13">
        <v>334.90010466535898</v>
      </c>
      <c r="BP310" s="13">
        <v>336.6929998</v>
      </c>
      <c r="BQ310" s="13">
        <v>11.0743178735352</v>
      </c>
      <c r="BT310" s="298" t="str">
        <f>+VLOOKUP(G310,Liste!$A$7:$H$50,8,FALSE)</f>
        <v>Résineux</v>
      </c>
      <c r="BU310" s="298">
        <f t="shared" si="94"/>
        <v>0</v>
      </c>
      <c r="BV310" s="300">
        <f t="shared" si="95"/>
        <v>1</v>
      </c>
      <c r="BW310" s="321">
        <v>0</v>
      </c>
      <c r="BX310" s="298">
        <f t="shared" si="96"/>
        <v>0.43</v>
      </c>
      <c r="BY310">
        <f t="shared" si="97"/>
        <v>0</v>
      </c>
      <c r="BZ310" s="304">
        <f t="shared" si="98"/>
        <v>0</v>
      </c>
      <c r="CB310" s="299">
        <v>0.6</v>
      </c>
      <c r="CC310" s="299">
        <v>0.4</v>
      </c>
      <c r="CD310">
        <f t="shared" si="99"/>
        <v>0</v>
      </c>
      <c r="CE310">
        <f t="shared" si="100"/>
        <v>0</v>
      </c>
      <c r="CF310">
        <f t="shared" si="101"/>
        <v>0</v>
      </c>
      <c r="CG310">
        <f t="shared" si="102"/>
        <v>0</v>
      </c>
      <c r="CH310">
        <f t="shared" si="103"/>
        <v>0</v>
      </c>
      <c r="CI310">
        <f t="shared" si="104"/>
        <v>0</v>
      </c>
      <c r="CJ310">
        <f t="shared" si="105"/>
        <v>0</v>
      </c>
      <c r="CK310">
        <f t="shared" si="106"/>
        <v>0</v>
      </c>
      <c r="CL310">
        <f t="shared" si="107"/>
        <v>0</v>
      </c>
      <c r="CM310">
        <f t="shared" si="109"/>
        <v>0</v>
      </c>
      <c r="CN310">
        <f t="shared" si="108"/>
        <v>0</v>
      </c>
      <c r="CO310">
        <f t="shared" si="92"/>
        <v>0</v>
      </c>
    </row>
    <row r="311" spans="1:93" s="12" customFormat="1" ht="14.65" customHeight="1" x14ac:dyDescent="0.25">
      <c r="A311" s="4">
        <v>2021</v>
      </c>
      <c r="B311" s="4"/>
      <c r="C311" s="4" t="s">
        <v>64</v>
      </c>
      <c r="D311" s="4" t="s">
        <v>65</v>
      </c>
      <c r="E311" s="4"/>
      <c r="F311" s="4" t="s">
        <v>90</v>
      </c>
      <c r="G311" s="5" t="s">
        <v>15</v>
      </c>
      <c r="H311" s="5" t="s">
        <v>21</v>
      </c>
      <c r="I311" s="5" t="s">
        <v>147</v>
      </c>
      <c r="J311" s="5" t="s">
        <v>9</v>
      </c>
      <c r="K311" s="5">
        <v>28</v>
      </c>
      <c r="L311" s="5">
        <v>45</v>
      </c>
      <c r="M311" s="5">
        <v>2500</v>
      </c>
      <c r="N311" s="5" t="s">
        <v>170</v>
      </c>
      <c r="O311" s="6" t="s">
        <v>148</v>
      </c>
      <c r="P311" s="6" t="s">
        <v>80</v>
      </c>
      <c r="Q311" s="6">
        <v>1997</v>
      </c>
      <c r="R311" s="6" t="s">
        <v>2</v>
      </c>
      <c r="S311" s="6">
        <v>21</v>
      </c>
      <c r="T311" s="6">
        <v>12.5</v>
      </c>
      <c r="U311" s="6">
        <v>2024</v>
      </c>
      <c r="V311" s="6">
        <v>28.8</v>
      </c>
      <c r="W311" s="6">
        <v>0</v>
      </c>
      <c r="X311" s="6">
        <v>1100</v>
      </c>
      <c r="Y311" s="6">
        <v>712</v>
      </c>
      <c r="Z311" s="6">
        <v>162</v>
      </c>
      <c r="AA311" s="6">
        <v>50</v>
      </c>
      <c r="AB311" s="6">
        <v>0</v>
      </c>
      <c r="AC311" s="7">
        <v>49</v>
      </c>
      <c r="AD311" s="7" t="s">
        <v>52</v>
      </c>
      <c r="AE311" s="7">
        <v>27.24</v>
      </c>
      <c r="AF311" s="7">
        <v>460</v>
      </c>
      <c r="AG311" s="7">
        <v>27.23</v>
      </c>
      <c r="AH311" s="7">
        <v>27.45</v>
      </c>
      <c r="AI311" s="7">
        <v>32.51</v>
      </c>
      <c r="AJ311" s="9">
        <v>318.60374711741503</v>
      </c>
      <c r="AK311" s="9">
        <v>320.17153541002199</v>
      </c>
      <c r="AL311" s="9">
        <v>359.706915483003</v>
      </c>
      <c r="AM311" s="9">
        <v>56.916283404528997</v>
      </c>
      <c r="AN311" s="9">
        <v>1.16155680417406</v>
      </c>
      <c r="AO311" s="9">
        <v>0.57207138516225298</v>
      </c>
      <c r="AP311" s="9">
        <v>638.74738417327103</v>
      </c>
      <c r="AQ311" s="9">
        <v>13.0356609014953</v>
      </c>
      <c r="AR311" s="9">
        <v>11.822536883604</v>
      </c>
      <c r="AS311" s="73" t="s">
        <v>169</v>
      </c>
      <c r="AT311" s="8"/>
      <c r="AU311" s="10" t="s">
        <v>169</v>
      </c>
      <c r="AV311" s="10">
        <v>0</v>
      </c>
      <c r="AW311" s="8"/>
      <c r="AX311" s="74" t="s">
        <v>169</v>
      </c>
      <c r="AY311" s="74"/>
      <c r="AZ311" s="74"/>
      <c r="BA311" s="74"/>
      <c r="BB311" s="8"/>
      <c r="BC311" s="8"/>
      <c r="BD311" s="8"/>
      <c r="BE311" s="8"/>
      <c r="BF311" s="12">
        <v>0.44</v>
      </c>
      <c r="BG311" s="13">
        <v>275.65539956514118</v>
      </c>
      <c r="BH311" s="96" t="str">
        <f>+VLOOKUP(G311,Liste!$A$7:$G$50,3,FALSE)</f>
        <v>Pin sylvestre</v>
      </c>
      <c r="BI311" s="96" t="str">
        <f>+VLOOKUP(H311,Liste!$B$7:$G$50,5,FALSE)</f>
        <v>GS Pineraies des plaines du Centre et du Nord Ouest</v>
      </c>
      <c r="BJ311" s="135">
        <f t="shared" si="91"/>
        <v>49</v>
      </c>
      <c r="BK311" s="135" t="str">
        <f t="shared" si="93"/>
        <v>Pin sylvestre_F1_Eclaircie tardive_GS Pineraies des plaines du Centre et du Nord Ouest_49_</v>
      </c>
      <c r="BL311" s="322"/>
      <c r="BM311" s="13">
        <v>70.45441908462783</v>
      </c>
      <c r="BN311" s="13">
        <v>346.10981864976901</v>
      </c>
      <c r="BP311" s="13">
        <v>336.6929998</v>
      </c>
      <c r="BQ311" s="13">
        <v>10.971762797215201</v>
      </c>
      <c r="BT311" s="298" t="str">
        <f>+VLOOKUP(G311,Liste!$A$7:$H$50,8,FALSE)</f>
        <v>Résineux</v>
      </c>
      <c r="BU311" s="298">
        <f t="shared" si="94"/>
        <v>0</v>
      </c>
      <c r="BV311" s="300">
        <f t="shared" si="95"/>
        <v>1</v>
      </c>
      <c r="BW311" s="321">
        <v>0</v>
      </c>
      <c r="BX311" s="298">
        <f t="shared" si="96"/>
        <v>0.43</v>
      </c>
      <c r="BY311">
        <f t="shared" si="97"/>
        <v>0</v>
      </c>
      <c r="BZ311" s="304">
        <f t="shared" si="98"/>
        <v>0</v>
      </c>
      <c r="CB311" s="299">
        <v>0.6</v>
      </c>
      <c r="CC311" s="299">
        <v>0.4</v>
      </c>
      <c r="CD311">
        <f t="shared" si="99"/>
        <v>0</v>
      </c>
      <c r="CE311">
        <f t="shared" si="100"/>
        <v>0</v>
      </c>
      <c r="CF311">
        <f t="shared" si="101"/>
        <v>0</v>
      </c>
      <c r="CG311">
        <f t="shared" si="102"/>
        <v>0</v>
      </c>
      <c r="CH311">
        <f t="shared" si="103"/>
        <v>0</v>
      </c>
      <c r="CI311">
        <f t="shared" si="104"/>
        <v>0</v>
      </c>
      <c r="CJ311">
        <f t="shared" si="105"/>
        <v>0</v>
      </c>
      <c r="CK311">
        <f t="shared" si="106"/>
        <v>0</v>
      </c>
      <c r="CL311">
        <f t="shared" si="107"/>
        <v>0</v>
      </c>
      <c r="CM311">
        <f t="shared" si="109"/>
        <v>0</v>
      </c>
      <c r="CN311">
        <f t="shared" si="108"/>
        <v>0</v>
      </c>
      <c r="CO311">
        <f t="shared" si="92"/>
        <v>0</v>
      </c>
    </row>
    <row r="312" spans="1:93" s="12" customFormat="1" ht="14.65" customHeight="1" x14ac:dyDescent="0.25">
      <c r="A312" s="4">
        <v>2021</v>
      </c>
      <c r="B312" s="4"/>
      <c r="C312" s="4" t="s">
        <v>64</v>
      </c>
      <c r="D312" s="4" t="s">
        <v>65</v>
      </c>
      <c r="E312" s="4"/>
      <c r="F312" s="4" t="s">
        <v>90</v>
      </c>
      <c r="G312" s="5" t="s">
        <v>15</v>
      </c>
      <c r="H312" s="5" t="s">
        <v>21</v>
      </c>
      <c r="I312" s="5" t="s">
        <v>147</v>
      </c>
      <c r="J312" s="5" t="s">
        <v>9</v>
      </c>
      <c r="K312" s="5">
        <v>28</v>
      </c>
      <c r="L312" s="5">
        <v>45</v>
      </c>
      <c r="M312" s="5">
        <v>2500</v>
      </c>
      <c r="N312" s="5" t="s">
        <v>170</v>
      </c>
      <c r="O312" s="6" t="s">
        <v>148</v>
      </c>
      <c r="P312" s="6" t="s">
        <v>80</v>
      </c>
      <c r="Q312" s="6">
        <v>1997</v>
      </c>
      <c r="R312" s="6" t="s">
        <v>2</v>
      </c>
      <c r="S312" s="6">
        <v>21</v>
      </c>
      <c r="T312" s="6">
        <v>12.5</v>
      </c>
      <c r="U312" s="6">
        <v>2024</v>
      </c>
      <c r="V312" s="6">
        <v>28.8</v>
      </c>
      <c r="W312" s="6">
        <v>0</v>
      </c>
      <c r="X312" s="6">
        <v>1100</v>
      </c>
      <c r="Y312" s="6">
        <v>712</v>
      </c>
      <c r="Z312" s="6">
        <v>162</v>
      </c>
      <c r="AA312" s="6">
        <v>50</v>
      </c>
      <c r="AB312" s="6">
        <v>0</v>
      </c>
      <c r="AC312" s="7">
        <v>50</v>
      </c>
      <c r="AD312" s="7" t="s">
        <v>52</v>
      </c>
      <c r="AE312" s="7">
        <v>27.62</v>
      </c>
      <c r="AF312" s="7">
        <v>460</v>
      </c>
      <c r="AG312" s="7">
        <v>27.8</v>
      </c>
      <c r="AH312" s="7">
        <v>27.74</v>
      </c>
      <c r="AI312" s="7">
        <v>32.880000000000003</v>
      </c>
      <c r="AJ312" s="9">
        <v>329.72417614224503</v>
      </c>
      <c r="AK312" s="9">
        <v>331.33477738120899</v>
      </c>
      <c r="AL312" s="9">
        <v>371.52945236660702</v>
      </c>
      <c r="AM312" s="9">
        <v>57.4883547896913</v>
      </c>
      <c r="AN312" s="9">
        <v>1.14976709579383</v>
      </c>
      <c r="AO312" s="9">
        <v>0.56429891214967398</v>
      </c>
      <c r="AP312" s="9">
        <v>650.56992105687505</v>
      </c>
      <c r="AQ312" s="9">
        <v>13.0113984211375</v>
      </c>
      <c r="AR312" s="9">
        <v>11.8670401081738</v>
      </c>
      <c r="AS312" s="73" t="s">
        <v>169</v>
      </c>
      <c r="AT312" s="8"/>
      <c r="AU312" s="10" t="s">
        <v>169</v>
      </c>
      <c r="AV312" s="10">
        <v>0</v>
      </c>
      <c r="AW312" s="8"/>
      <c r="AX312" s="74" t="s">
        <v>169</v>
      </c>
      <c r="AY312" s="74"/>
      <c r="AZ312" s="74"/>
      <c r="BA312" s="74"/>
      <c r="BB312" s="8"/>
      <c r="BC312" s="8"/>
      <c r="BD312" s="8"/>
      <c r="BE312" s="8"/>
      <c r="BF312" s="12">
        <v>0.44</v>
      </c>
      <c r="BG312" s="13">
        <v>284.71540366360961</v>
      </c>
      <c r="BH312" s="96" t="str">
        <f>+VLOOKUP(G312,Liste!$A$7:$G$50,3,FALSE)</f>
        <v>Pin sylvestre</v>
      </c>
      <c r="BI312" s="96" t="str">
        <f>+VLOOKUP(H312,Liste!$B$7:$G$50,5,FALSE)</f>
        <v>GS Pineraies des plaines du Centre et du Nord Ouest</v>
      </c>
      <c r="BJ312" s="135">
        <f t="shared" si="91"/>
        <v>50</v>
      </c>
      <c r="BK312" s="135" t="str">
        <f t="shared" si="93"/>
        <v>Pin sylvestre_F1_Eclaircie tardive_GS Pineraies des plaines du Centre et du Nord Ouest_50_</v>
      </c>
      <c r="BL312" s="322"/>
      <c r="BM312" s="13">
        <v>72.496647427361381</v>
      </c>
      <c r="BN312" s="13">
        <v>357.21205109097099</v>
      </c>
      <c r="BP312" s="13">
        <v>336.6929998</v>
      </c>
      <c r="BQ312" s="13">
        <v>11.0090008582627</v>
      </c>
      <c r="BT312" s="298" t="str">
        <f>+VLOOKUP(G312,Liste!$A$7:$H$50,8,FALSE)</f>
        <v>Résineux</v>
      </c>
      <c r="BU312" s="298">
        <f t="shared" si="94"/>
        <v>0</v>
      </c>
      <c r="BV312" s="300">
        <f t="shared" si="95"/>
        <v>1</v>
      </c>
      <c r="BW312" s="321">
        <v>0</v>
      </c>
      <c r="BX312" s="298">
        <f t="shared" si="96"/>
        <v>0.43</v>
      </c>
      <c r="BY312">
        <f t="shared" si="97"/>
        <v>0</v>
      </c>
      <c r="BZ312" s="304">
        <f t="shared" si="98"/>
        <v>0</v>
      </c>
      <c r="CB312" s="299">
        <v>0.6</v>
      </c>
      <c r="CC312" s="299">
        <v>0.4</v>
      </c>
      <c r="CD312">
        <f t="shared" si="99"/>
        <v>0</v>
      </c>
      <c r="CE312">
        <f t="shared" si="100"/>
        <v>0</v>
      </c>
      <c r="CF312">
        <f t="shared" si="101"/>
        <v>0</v>
      </c>
      <c r="CG312">
        <f t="shared" si="102"/>
        <v>0</v>
      </c>
      <c r="CH312">
        <f t="shared" si="103"/>
        <v>0</v>
      </c>
      <c r="CI312">
        <f t="shared" si="104"/>
        <v>0</v>
      </c>
      <c r="CJ312">
        <f t="shared" si="105"/>
        <v>0</v>
      </c>
      <c r="CK312">
        <f t="shared" si="106"/>
        <v>0</v>
      </c>
      <c r="CL312">
        <f t="shared" si="107"/>
        <v>0</v>
      </c>
      <c r="CM312">
        <f t="shared" si="109"/>
        <v>0</v>
      </c>
      <c r="CN312">
        <f t="shared" si="108"/>
        <v>0</v>
      </c>
      <c r="CO312">
        <f t="shared" si="92"/>
        <v>0</v>
      </c>
    </row>
    <row r="313" spans="1:93" s="12" customFormat="1" ht="14.65" customHeight="1" x14ac:dyDescent="0.25">
      <c r="A313" s="4">
        <v>2021</v>
      </c>
      <c r="B313" s="4"/>
      <c r="C313" s="4" t="s">
        <v>64</v>
      </c>
      <c r="D313" s="4" t="s">
        <v>65</v>
      </c>
      <c r="E313" s="4"/>
      <c r="F313" s="4" t="s">
        <v>90</v>
      </c>
      <c r="G313" s="5" t="s">
        <v>15</v>
      </c>
      <c r="H313" s="5" t="s">
        <v>21</v>
      </c>
      <c r="I313" s="5" t="s">
        <v>147</v>
      </c>
      <c r="J313" s="5" t="s">
        <v>9</v>
      </c>
      <c r="K313" s="5">
        <v>28</v>
      </c>
      <c r="L313" s="5">
        <v>45</v>
      </c>
      <c r="M313" s="5">
        <v>2500</v>
      </c>
      <c r="N313" s="5" t="s">
        <v>170</v>
      </c>
      <c r="O313" s="6" t="s">
        <v>148</v>
      </c>
      <c r="P313" s="6" t="s">
        <v>80</v>
      </c>
      <c r="Q313" s="6">
        <v>1997</v>
      </c>
      <c r="R313" s="6" t="s">
        <v>2</v>
      </c>
      <c r="S313" s="6">
        <v>21</v>
      </c>
      <c r="T313" s="6">
        <v>12.5</v>
      </c>
      <c r="U313" s="6">
        <v>2024</v>
      </c>
      <c r="V313" s="6">
        <v>28.8</v>
      </c>
      <c r="W313" s="6">
        <v>0</v>
      </c>
      <c r="X313" s="6">
        <v>1100</v>
      </c>
      <c r="Y313" s="6">
        <v>712</v>
      </c>
      <c r="Z313" s="6">
        <v>162</v>
      </c>
      <c r="AA313" s="6">
        <v>50</v>
      </c>
      <c r="AB313" s="6">
        <v>0</v>
      </c>
      <c r="AC313" s="7">
        <v>51</v>
      </c>
      <c r="AD313" s="7" t="s">
        <v>52</v>
      </c>
      <c r="AE313" s="7">
        <v>28</v>
      </c>
      <c r="AF313" s="7">
        <v>460</v>
      </c>
      <c r="AG313" s="7">
        <v>28.37</v>
      </c>
      <c r="AH313" s="7">
        <v>28.02</v>
      </c>
      <c r="AI313" s="7">
        <v>33.24</v>
      </c>
      <c r="AJ313" s="9">
        <v>340.90980631104298</v>
      </c>
      <c r="AK313" s="9">
        <v>342.561889405535</v>
      </c>
      <c r="AL313" s="9">
        <v>383.39649247478098</v>
      </c>
      <c r="AM313" s="9">
        <v>58.052653701840903</v>
      </c>
      <c r="AN313" s="9">
        <v>1.1382873274870799</v>
      </c>
      <c r="AO313" s="9">
        <v>0.55519622597572005</v>
      </c>
      <c r="AP313" s="9">
        <v>662.43696116504805</v>
      </c>
      <c r="AQ313" s="9">
        <v>12.9889600228441</v>
      </c>
      <c r="AR313" s="9">
        <v>11.810312338004501</v>
      </c>
      <c r="AS313" s="73" t="s">
        <v>169</v>
      </c>
      <c r="AT313" s="8"/>
      <c r="AU313" s="10" t="s">
        <v>169</v>
      </c>
      <c r="AV313" s="10">
        <v>0</v>
      </c>
      <c r="AW313" s="8"/>
      <c r="AX313" s="74" t="s">
        <v>169</v>
      </c>
      <c r="AY313" s="74"/>
      <c r="AZ313" s="74"/>
      <c r="BA313" s="74"/>
      <c r="BB313" s="8"/>
      <c r="BC313" s="8"/>
      <c r="BD313" s="8"/>
      <c r="BE313" s="8"/>
      <c r="BF313" s="12">
        <v>0.44</v>
      </c>
      <c r="BG313" s="13">
        <v>293.80951206650667</v>
      </c>
      <c r="BH313" s="96" t="str">
        <f>+VLOOKUP(G313,Liste!$A$7:$G$50,3,FALSE)</f>
        <v>Pin sylvestre</v>
      </c>
      <c r="BI313" s="96" t="str">
        <f>+VLOOKUP(H313,Liste!$B$7:$G$50,5,FALSE)</f>
        <v>GS Pineraies des plaines du Centre et du Nord Ouest</v>
      </c>
      <c r="BJ313" s="135">
        <f t="shared" si="91"/>
        <v>51</v>
      </c>
      <c r="BK313" s="135" t="str">
        <f t="shared" si="93"/>
        <v>Pin sylvestre_F1_Eclaircie tardive_GS Pineraies des plaines du Centre et du Nord Ouest_51_</v>
      </c>
      <c r="BL313" s="322"/>
      <c r="BM313" s="13">
        <v>74.538969150372338</v>
      </c>
      <c r="BN313" s="13">
        <v>368.34848121687901</v>
      </c>
      <c r="BP313" s="13">
        <v>336.6929998</v>
      </c>
      <c r="BQ313" s="13">
        <v>10.9524141602594</v>
      </c>
      <c r="BT313" s="298" t="str">
        <f>+VLOOKUP(G313,Liste!$A$7:$H$50,8,FALSE)</f>
        <v>Résineux</v>
      </c>
      <c r="BU313" s="298">
        <f t="shared" si="94"/>
        <v>0</v>
      </c>
      <c r="BV313" s="300">
        <f t="shared" si="95"/>
        <v>1</v>
      </c>
      <c r="BW313" s="321">
        <v>0</v>
      </c>
      <c r="BX313" s="298">
        <f t="shared" si="96"/>
        <v>0.43</v>
      </c>
      <c r="BY313">
        <f t="shared" si="97"/>
        <v>0</v>
      </c>
      <c r="BZ313" s="304">
        <f t="shared" si="98"/>
        <v>0</v>
      </c>
      <c r="CB313" s="299">
        <v>0.6</v>
      </c>
      <c r="CC313" s="299">
        <v>0.4</v>
      </c>
      <c r="CD313">
        <f t="shared" si="99"/>
        <v>0</v>
      </c>
      <c r="CE313">
        <f t="shared" si="100"/>
        <v>0</v>
      </c>
      <c r="CF313">
        <f t="shared" si="101"/>
        <v>0</v>
      </c>
      <c r="CG313">
        <f t="shared" si="102"/>
        <v>0</v>
      </c>
      <c r="CH313">
        <f t="shared" si="103"/>
        <v>0</v>
      </c>
      <c r="CI313">
        <f t="shared" si="104"/>
        <v>0</v>
      </c>
      <c r="CJ313">
        <f t="shared" si="105"/>
        <v>0</v>
      </c>
      <c r="CK313">
        <f t="shared" si="106"/>
        <v>0</v>
      </c>
      <c r="CL313">
        <f t="shared" si="107"/>
        <v>0</v>
      </c>
      <c r="CM313">
        <f t="shared" si="109"/>
        <v>0</v>
      </c>
      <c r="CN313">
        <f t="shared" si="108"/>
        <v>0</v>
      </c>
      <c r="CO313">
        <f t="shared" si="92"/>
        <v>0</v>
      </c>
    </row>
    <row r="314" spans="1:93" s="12" customFormat="1" ht="14.65" customHeight="1" x14ac:dyDescent="0.25">
      <c r="A314" s="4">
        <v>2021</v>
      </c>
      <c r="B314" s="4"/>
      <c r="C314" s="4" t="s">
        <v>64</v>
      </c>
      <c r="D314" s="4" t="s">
        <v>65</v>
      </c>
      <c r="E314" s="4"/>
      <c r="F314" s="4" t="s">
        <v>90</v>
      </c>
      <c r="G314" s="5" t="s">
        <v>15</v>
      </c>
      <c r="H314" s="5" t="s">
        <v>21</v>
      </c>
      <c r="I314" s="5" t="s">
        <v>147</v>
      </c>
      <c r="J314" s="5" t="s">
        <v>9</v>
      </c>
      <c r="K314" s="5">
        <v>28</v>
      </c>
      <c r="L314" s="5">
        <v>45</v>
      </c>
      <c r="M314" s="5">
        <v>2500</v>
      </c>
      <c r="N314" s="5" t="s">
        <v>170</v>
      </c>
      <c r="O314" s="6" t="s">
        <v>148</v>
      </c>
      <c r="P314" s="6" t="s">
        <v>80</v>
      </c>
      <c r="Q314" s="6">
        <v>1997</v>
      </c>
      <c r="R314" s="6" t="s">
        <v>2</v>
      </c>
      <c r="S314" s="6">
        <v>21</v>
      </c>
      <c r="T314" s="6">
        <v>12.5</v>
      </c>
      <c r="U314" s="6">
        <v>2024</v>
      </c>
      <c r="V314" s="6">
        <v>28.8</v>
      </c>
      <c r="W314" s="6">
        <v>0</v>
      </c>
      <c r="X314" s="6">
        <v>1100</v>
      </c>
      <c r="Y314" s="6">
        <v>712</v>
      </c>
      <c r="Z314" s="6">
        <v>162</v>
      </c>
      <c r="AA314" s="6">
        <v>50</v>
      </c>
      <c r="AB314" s="6">
        <v>0</v>
      </c>
      <c r="AC314" s="7">
        <v>52</v>
      </c>
      <c r="AD314" s="7" t="s">
        <v>52</v>
      </c>
      <c r="AE314" s="7">
        <v>28.37</v>
      </c>
      <c r="AF314" s="7">
        <v>460</v>
      </c>
      <c r="AG314" s="7">
        <v>28.92</v>
      </c>
      <c r="AH314" s="7">
        <v>28.29</v>
      </c>
      <c r="AI314" s="7">
        <v>33.6</v>
      </c>
      <c r="AJ314" s="9">
        <v>352.05406392240002</v>
      </c>
      <c r="AK314" s="9">
        <v>353.74707222552098</v>
      </c>
      <c r="AL314" s="9">
        <v>395.20680481278498</v>
      </c>
      <c r="AM314" s="9">
        <v>58.607849927816602</v>
      </c>
      <c r="AN314" s="9">
        <v>1.1270740370734</v>
      </c>
      <c r="AO314" s="9">
        <v>0.54688855909265</v>
      </c>
      <c r="AP314" s="9">
        <v>674.24727350305295</v>
      </c>
      <c r="AQ314" s="9">
        <v>12.966293721212599</v>
      </c>
      <c r="AR314" s="9">
        <v>11.7619184347492</v>
      </c>
      <c r="AS314" s="73" t="s">
        <v>169</v>
      </c>
      <c r="AT314" s="8"/>
      <c r="AU314" s="10" t="s">
        <v>169</v>
      </c>
      <c r="AV314" s="10">
        <v>0</v>
      </c>
      <c r="AW314" s="8"/>
      <c r="AX314" s="74" t="s">
        <v>169</v>
      </c>
      <c r="AY314" s="74"/>
      <c r="AZ314" s="74"/>
      <c r="BA314" s="74"/>
      <c r="BB314" s="8"/>
      <c r="BC314" s="8"/>
      <c r="BD314" s="8"/>
      <c r="BE314" s="8"/>
      <c r="BF314" s="12">
        <v>0.44</v>
      </c>
      <c r="BG314" s="13">
        <v>302.86014808819738</v>
      </c>
      <c r="BH314" s="96" t="str">
        <f>+VLOOKUP(G314,Liste!$A$7:$G$50,3,FALSE)</f>
        <v>Pin sylvestre</v>
      </c>
      <c r="BI314" s="96" t="str">
        <f>+VLOOKUP(H314,Liste!$B$7:$G$50,5,FALSE)</f>
        <v>GS Pineraies des plaines du Centre et du Nord Ouest</v>
      </c>
      <c r="BJ314" s="135">
        <f t="shared" si="91"/>
        <v>52</v>
      </c>
      <c r="BK314" s="135" t="str">
        <f t="shared" si="93"/>
        <v>Pin sylvestre_F1_Eclaircie tardive_GS Pineraies des plaines du Centre et du Nord Ouest_52_</v>
      </c>
      <c r="BL314" s="322"/>
      <c r="BM314" s="13">
        <v>76.56423400362462</v>
      </c>
      <c r="BN314" s="13">
        <v>379.424382091822</v>
      </c>
      <c r="BP314" s="13">
        <v>336.6929998</v>
      </c>
      <c r="BQ314" s="13">
        <v>10.9036854658058</v>
      </c>
      <c r="BT314" s="298" t="str">
        <f>+VLOOKUP(G314,Liste!$A$7:$H$50,8,FALSE)</f>
        <v>Résineux</v>
      </c>
      <c r="BU314" s="298">
        <f t="shared" si="94"/>
        <v>0</v>
      </c>
      <c r="BV314" s="300">
        <f t="shared" si="95"/>
        <v>1</v>
      </c>
      <c r="BW314" s="321">
        <v>0</v>
      </c>
      <c r="BX314" s="298">
        <f t="shared" si="96"/>
        <v>0.43</v>
      </c>
      <c r="BY314">
        <f t="shared" si="97"/>
        <v>0</v>
      </c>
      <c r="BZ314" s="304">
        <f t="shared" si="98"/>
        <v>0</v>
      </c>
      <c r="CB314" s="299">
        <v>0.6</v>
      </c>
      <c r="CC314" s="299">
        <v>0.4</v>
      </c>
      <c r="CD314">
        <f t="shared" si="99"/>
        <v>0</v>
      </c>
      <c r="CE314">
        <f t="shared" si="100"/>
        <v>0</v>
      </c>
      <c r="CF314">
        <f t="shared" si="101"/>
        <v>0</v>
      </c>
      <c r="CG314">
        <f t="shared" si="102"/>
        <v>0</v>
      </c>
      <c r="CH314">
        <f t="shared" si="103"/>
        <v>0</v>
      </c>
      <c r="CI314">
        <f t="shared" si="104"/>
        <v>0</v>
      </c>
      <c r="CJ314">
        <f t="shared" si="105"/>
        <v>0</v>
      </c>
      <c r="CK314">
        <f t="shared" si="106"/>
        <v>0</v>
      </c>
      <c r="CL314">
        <f t="shared" si="107"/>
        <v>0</v>
      </c>
      <c r="CM314">
        <f t="shared" si="109"/>
        <v>0</v>
      </c>
      <c r="CN314">
        <f t="shared" si="108"/>
        <v>0</v>
      </c>
      <c r="CO314">
        <f t="shared" si="92"/>
        <v>0</v>
      </c>
    </row>
    <row r="315" spans="1:93" s="12" customFormat="1" ht="14.65" customHeight="1" x14ac:dyDescent="0.25">
      <c r="A315" s="4">
        <v>2021</v>
      </c>
      <c r="B315" s="4"/>
      <c r="C315" s="4" t="s">
        <v>64</v>
      </c>
      <c r="D315" s="4" t="s">
        <v>65</v>
      </c>
      <c r="E315" s="4"/>
      <c r="F315" s="4" t="s">
        <v>90</v>
      </c>
      <c r="G315" s="5" t="s">
        <v>15</v>
      </c>
      <c r="H315" s="5" t="s">
        <v>21</v>
      </c>
      <c r="I315" s="5" t="s">
        <v>147</v>
      </c>
      <c r="J315" s="5" t="s">
        <v>9</v>
      </c>
      <c r="K315" s="5">
        <v>28</v>
      </c>
      <c r="L315" s="5">
        <v>45</v>
      </c>
      <c r="M315" s="5">
        <v>2500</v>
      </c>
      <c r="N315" s="5" t="s">
        <v>170</v>
      </c>
      <c r="O315" s="6" t="s">
        <v>148</v>
      </c>
      <c r="P315" s="6" t="s">
        <v>80</v>
      </c>
      <c r="Q315" s="6">
        <v>1997</v>
      </c>
      <c r="R315" s="6" t="s">
        <v>2</v>
      </c>
      <c r="S315" s="6">
        <v>21</v>
      </c>
      <c r="T315" s="6">
        <v>12.5</v>
      </c>
      <c r="U315" s="6">
        <v>2024</v>
      </c>
      <c r="V315" s="6">
        <v>28.8</v>
      </c>
      <c r="W315" s="6">
        <v>0</v>
      </c>
      <c r="X315" s="6">
        <v>1100</v>
      </c>
      <c r="Y315" s="6">
        <v>712</v>
      </c>
      <c r="Z315" s="6">
        <v>162</v>
      </c>
      <c r="AA315" s="6">
        <v>50</v>
      </c>
      <c r="AB315" s="6">
        <v>0</v>
      </c>
      <c r="AC315" s="7">
        <v>53</v>
      </c>
      <c r="AD315" s="7" t="s">
        <v>52</v>
      </c>
      <c r="AE315" s="7">
        <v>28.73</v>
      </c>
      <c r="AF315" s="7">
        <v>460</v>
      </c>
      <c r="AG315" s="7">
        <v>29.47</v>
      </c>
      <c r="AH315" s="7">
        <v>28.56</v>
      </c>
      <c r="AI315" s="7">
        <v>33.950000000000003</v>
      </c>
      <c r="AJ315" s="9">
        <v>363.16484828878498</v>
      </c>
      <c r="AK315" s="9">
        <v>364.89805757002699</v>
      </c>
      <c r="AL315" s="9">
        <v>406.968723247534</v>
      </c>
      <c r="AM315" s="9">
        <v>59.154738486909302</v>
      </c>
      <c r="AN315" s="9">
        <v>1.1161271412624401</v>
      </c>
      <c r="AO315" s="9">
        <v>0.53917963264547797</v>
      </c>
      <c r="AP315" s="9">
        <v>686.00919193780203</v>
      </c>
      <c r="AQ315" s="9">
        <v>12.943569659203799</v>
      </c>
      <c r="AR315" s="9">
        <v>11.7563311430259</v>
      </c>
      <c r="AS315" s="73" t="s">
        <v>169</v>
      </c>
      <c r="AT315" s="8"/>
      <c r="AU315" s="10" t="s">
        <v>169</v>
      </c>
      <c r="AV315" s="10">
        <v>0</v>
      </c>
      <c r="AW315" s="8"/>
      <c r="AX315" s="74" t="s">
        <v>169</v>
      </c>
      <c r="AY315" s="74"/>
      <c r="AZ315" s="74"/>
      <c r="BA315" s="74"/>
      <c r="BB315" s="8"/>
      <c r="BC315" s="8"/>
      <c r="BD315" s="8"/>
      <c r="BE315" s="8"/>
      <c r="BF315" s="12">
        <v>0.44</v>
      </c>
      <c r="BG315" s="13">
        <v>311.87369824869353</v>
      </c>
      <c r="BH315" s="96" t="str">
        <f>+VLOOKUP(G315,Liste!$A$7:$G$50,3,FALSE)</f>
        <v>Pin sylvestre</v>
      </c>
      <c r="BI315" s="96" t="str">
        <f>+VLOOKUP(H315,Liste!$B$7:$G$50,5,FALSE)</f>
        <v>GS Pineraies des plaines du Centre et du Nord Ouest</v>
      </c>
      <c r="BJ315" s="135">
        <f t="shared" si="91"/>
        <v>53</v>
      </c>
      <c r="BK315" s="135" t="str">
        <f t="shared" si="93"/>
        <v>Pin sylvestre_F1_Eclaircie tardive_GS Pineraies des plaines du Centre et du Nord Ouest_53_</v>
      </c>
      <c r="BL315" s="322"/>
      <c r="BM315" s="13">
        <v>78.574209278452486</v>
      </c>
      <c r="BN315" s="13">
        <v>390.44790752714601</v>
      </c>
      <c r="BP315" s="13">
        <v>336.6929998</v>
      </c>
      <c r="BQ315" s="13">
        <v>10.894739907803199</v>
      </c>
      <c r="BT315" s="298" t="str">
        <f>+VLOOKUP(G315,Liste!$A$7:$H$50,8,FALSE)</f>
        <v>Résineux</v>
      </c>
      <c r="BU315" s="298">
        <f t="shared" si="94"/>
        <v>0</v>
      </c>
      <c r="BV315" s="300">
        <f t="shared" si="95"/>
        <v>1</v>
      </c>
      <c r="BW315" s="321">
        <v>0</v>
      </c>
      <c r="BX315" s="298">
        <f t="shared" si="96"/>
        <v>0.43</v>
      </c>
      <c r="BY315">
        <f t="shared" si="97"/>
        <v>0</v>
      </c>
      <c r="BZ315" s="304">
        <f t="shared" si="98"/>
        <v>0</v>
      </c>
      <c r="CB315" s="299">
        <v>0.6</v>
      </c>
      <c r="CC315" s="299">
        <v>0.4</v>
      </c>
      <c r="CD315">
        <f t="shared" si="99"/>
        <v>0</v>
      </c>
      <c r="CE315">
        <f t="shared" si="100"/>
        <v>0</v>
      </c>
      <c r="CF315">
        <f t="shared" si="101"/>
        <v>0</v>
      </c>
      <c r="CG315">
        <f t="shared" si="102"/>
        <v>0</v>
      </c>
      <c r="CH315">
        <f t="shared" si="103"/>
        <v>0</v>
      </c>
      <c r="CI315">
        <f t="shared" si="104"/>
        <v>0</v>
      </c>
      <c r="CJ315">
        <f t="shared" si="105"/>
        <v>0</v>
      </c>
      <c r="CK315">
        <f t="shared" si="106"/>
        <v>0</v>
      </c>
      <c r="CL315">
        <f t="shared" si="107"/>
        <v>0</v>
      </c>
      <c r="CM315">
        <f t="shared" si="109"/>
        <v>0</v>
      </c>
      <c r="CN315">
        <f t="shared" si="108"/>
        <v>0</v>
      </c>
      <c r="CO315">
        <f t="shared" si="92"/>
        <v>0</v>
      </c>
    </row>
    <row r="316" spans="1:93" s="12" customFormat="1" ht="14.65" customHeight="1" x14ac:dyDescent="0.25">
      <c r="A316" s="4">
        <v>2021</v>
      </c>
      <c r="B316" s="4"/>
      <c r="C316" s="4" t="s">
        <v>64</v>
      </c>
      <c r="D316" s="4" t="s">
        <v>65</v>
      </c>
      <c r="E316" s="4"/>
      <c r="F316" s="4" t="s">
        <v>90</v>
      </c>
      <c r="G316" s="5" t="s">
        <v>15</v>
      </c>
      <c r="H316" s="5" t="s">
        <v>21</v>
      </c>
      <c r="I316" s="5" t="s">
        <v>147</v>
      </c>
      <c r="J316" s="5" t="s">
        <v>9</v>
      </c>
      <c r="K316" s="5">
        <v>28</v>
      </c>
      <c r="L316" s="5">
        <v>45</v>
      </c>
      <c r="M316" s="5">
        <v>2500</v>
      </c>
      <c r="N316" s="5" t="s">
        <v>170</v>
      </c>
      <c r="O316" s="6" t="s">
        <v>148</v>
      </c>
      <c r="P316" s="6" t="s">
        <v>80</v>
      </c>
      <c r="Q316" s="6">
        <v>1997</v>
      </c>
      <c r="R316" s="6" t="s">
        <v>2</v>
      </c>
      <c r="S316" s="6">
        <v>21</v>
      </c>
      <c r="T316" s="6">
        <v>12.5</v>
      </c>
      <c r="U316" s="6">
        <v>2024</v>
      </c>
      <c r="V316" s="6">
        <v>28.8</v>
      </c>
      <c r="W316" s="6">
        <v>0</v>
      </c>
      <c r="X316" s="6">
        <v>1100</v>
      </c>
      <c r="Y316" s="6">
        <v>712</v>
      </c>
      <c r="Z316" s="6">
        <v>162</v>
      </c>
      <c r="AA316" s="6">
        <v>50</v>
      </c>
      <c r="AB316" s="6">
        <v>0</v>
      </c>
      <c r="AC316" s="7">
        <v>54</v>
      </c>
      <c r="AD316" s="7" t="s">
        <v>52</v>
      </c>
      <c r="AE316" s="7">
        <v>29.08</v>
      </c>
      <c r="AF316" s="7">
        <v>460</v>
      </c>
      <c r="AG316" s="7">
        <v>30.01</v>
      </c>
      <c r="AH316" s="7">
        <v>28.82</v>
      </c>
      <c r="AI316" s="7">
        <v>34.28</v>
      </c>
      <c r="AJ316" s="9">
        <v>374.28690381310503</v>
      </c>
      <c r="AK316" s="9">
        <v>376.059386338884</v>
      </c>
      <c r="AL316" s="9">
        <v>418.72505439055999</v>
      </c>
      <c r="AM316" s="9">
        <v>59.693918119554802</v>
      </c>
      <c r="AN316" s="9">
        <v>1.1054429281399001</v>
      </c>
      <c r="AO316" s="9">
        <v>0.48345242067394201</v>
      </c>
      <c r="AP316" s="9">
        <v>697.76552308082796</v>
      </c>
      <c r="AQ316" s="9">
        <v>12.9215837607561</v>
      </c>
      <c r="AR316" s="9">
        <v>10.4335019980255</v>
      </c>
      <c r="AS316" s="73" t="s">
        <v>169</v>
      </c>
      <c r="AT316" s="8"/>
      <c r="AU316" s="10" t="s">
        <v>169</v>
      </c>
      <c r="AV316" s="10">
        <v>0</v>
      </c>
      <c r="AW316" s="8"/>
      <c r="AX316" s="74" t="s">
        <v>169</v>
      </c>
      <c r="AY316" s="74"/>
      <c r="AZ316" s="74"/>
      <c r="BA316" s="74"/>
      <c r="BB316" s="8"/>
      <c r="BC316" s="8"/>
      <c r="BD316" s="8"/>
      <c r="BE316" s="8"/>
      <c r="BF316" s="12">
        <v>0.44</v>
      </c>
      <c r="BG316" s="13">
        <v>320.88296668129902</v>
      </c>
      <c r="BH316" s="96" t="str">
        <f>+VLOOKUP(G316,Liste!$A$7:$G$50,3,FALSE)</f>
        <v>Pin sylvestre</v>
      </c>
      <c r="BI316" s="96" t="str">
        <f>+VLOOKUP(H316,Liste!$B$7:$G$50,5,FALSE)</f>
        <v>GS Pineraies des plaines du Centre et du Nord Ouest</v>
      </c>
      <c r="BJ316" s="135">
        <f t="shared" si="91"/>
        <v>54</v>
      </c>
      <c r="BK316" s="135" t="str">
        <f t="shared" si="93"/>
        <v>Pin sylvestre_F1_Eclaircie tardive_GS Pineraies des plaines du Centre et du Nord Ouest_54_</v>
      </c>
      <c r="BL316" s="322"/>
      <c r="BM316" s="13">
        <v>80.576483117101986</v>
      </c>
      <c r="BN316" s="13">
        <v>401.45944979840101</v>
      </c>
      <c r="BP316" s="13">
        <v>336.6929998</v>
      </c>
      <c r="BQ316" s="13">
        <v>9.6657611860612196</v>
      </c>
      <c r="BT316" s="298" t="str">
        <f>+VLOOKUP(G316,Liste!$A$7:$H$50,8,FALSE)</f>
        <v>Résineux</v>
      </c>
      <c r="BU316" s="298">
        <f t="shared" si="94"/>
        <v>0</v>
      </c>
      <c r="BV316" s="300">
        <f t="shared" si="95"/>
        <v>1</v>
      </c>
      <c r="BW316" s="321">
        <v>0</v>
      </c>
      <c r="BX316" s="298">
        <f t="shared" si="96"/>
        <v>0.43</v>
      </c>
      <c r="BY316">
        <f t="shared" si="97"/>
        <v>0</v>
      </c>
      <c r="BZ316" s="304">
        <f t="shared" si="98"/>
        <v>0</v>
      </c>
      <c r="CB316" s="299">
        <v>0.6</v>
      </c>
      <c r="CC316" s="299">
        <v>0.4</v>
      </c>
      <c r="CD316">
        <f t="shared" si="99"/>
        <v>0</v>
      </c>
      <c r="CE316">
        <f t="shared" si="100"/>
        <v>0</v>
      </c>
      <c r="CF316">
        <f t="shared" si="101"/>
        <v>0</v>
      </c>
      <c r="CG316">
        <f t="shared" si="102"/>
        <v>0</v>
      </c>
      <c r="CH316">
        <f t="shared" si="103"/>
        <v>0</v>
      </c>
      <c r="CI316">
        <f t="shared" si="104"/>
        <v>0</v>
      </c>
      <c r="CJ316">
        <f t="shared" si="105"/>
        <v>0</v>
      </c>
      <c r="CK316">
        <f t="shared" si="106"/>
        <v>0</v>
      </c>
      <c r="CL316">
        <f t="shared" si="107"/>
        <v>0</v>
      </c>
      <c r="CM316">
        <f t="shared" si="109"/>
        <v>0</v>
      </c>
      <c r="CN316">
        <f t="shared" si="108"/>
        <v>0</v>
      </c>
      <c r="CO316">
        <f t="shared" si="92"/>
        <v>0</v>
      </c>
    </row>
    <row r="317" spans="1:93" s="12" customFormat="1" ht="14.65" customHeight="1" x14ac:dyDescent="0.25">
      <c r="A317" s="4">
        <v>2021</v>
      </c>
      <c r="B317" s="4"/>
      <c r="C317" s="4" t="s">
        <v>64</v>
      </c>
      <c r="D317" s="4" t="s">
        <v>65</v>
      </c>
      <c r="E317" s="4"/>
      <c r="F317" s="4" t="s">
        <v>90</v>
      </c>
      <c r="G317" s="5" t="s">
        <v>15</v>
      </c>
      <c r="H317" s="5" t="s">
        <v>21</v>
      </c>
      <c r="I317" s="5" t="s">
        <v>147</v>
      </c>
      <c r="J317" s="5" t="s">
        <v>9</v>
      </c>
      <c r="K317" s="5">
        <v>28</v>
      </c>
      <c r="L317" s="5">
        <v>45</v>
      </c>
      <c r="M317" s="5">
        <v>2500</v>
      </c>
      <c r="N317" s="5" t="s">
        <v>170</v>
      </c>
      <c r="O317" s="6" t="s">
        <v>148</v>
      </c>
      <c r="P317" s="6" t="s">
        <v>80</v>
      </c>
      <c r="Q317" s="6">
        <v>1997</v>
      </c>
      <c r="R317" s="6" t="s">
        <v>2</v>
      </c>
      <c r="S317" s="6">
        <v>21</v>
      </c>
      <c r="T317" s="6">
        <v>12.5</v>
      </c>
      <c r="U317" s="6">
        <v>2024</v>
      </c>
      <c r="V317" s="6">
        <v>28.8</v>
      </c>
      <c r="W317" s="6">
        <v>0</v>
      </c>
      <c r="X317" s="6">
        <v>1100</v>
      </c>
      <c r="Y317" s="6">
        <v>712</v>
      </c>
      <c r="Z317" s="6">
        <v>162</v>
      </c>
      <c r="AA317" s="6">
        <v>50</v>
      </c>
      <c r="AB317" s="6">
        <v>0</v>
      </c>
      <c r="AC317" s="7">
        <v>54</v>
      </c>
      <c r="AD317" s="7" t="s">
        <v>53</v>
      </c>
      <c r="AE317" s="7">
        <v>29.08</v>
      </c>
      <c r="AF317" s="7">
        <v>380</v>
      </c>
      <c r="AG317" s="7">
        <v>25.98</v>
      </c>
      <c r="AH317" s="7">
        <v>29.5</v>
      </c>
      <c r="AI317" s="7">
        <v>34.15</v>
      </c>
      <c r="AJ317" s="9">
        <v>325.36894582577497</v>
      </c>
      <c r="AK317" s="9">
        <v>326.98273987206699</v>
      </c>
      <c r="AL317" s="9">
        <v>364.08292693343998</v>
      </c>
      <c r="AM317" s="9">
        <v>59.693918119554802</v>
      </c>
      <c r="AN317" s="9">
        <v>1.1054429281399001</v>
      </c>
      <c r="AO317" s="9">
        <v>0.48345242067394201</v>
      </c>
      <c r="AP317" s="9">
        <v>697.76552308082796</v>
      </c>
      <c r="AQ317" s="9">
        <v>12.9215837607561</v>
      </c>
      <c r="AR317" s="9">
        <v>10.4335019980255</v>
      </c>
      <c r="AS317" s="73">
        <v>80</v>
      </c>
      <c r="AT317" s="8">
        <v>4.0300000000000011</v>
      </c>
      <c r="AU317" s="10">
        <v>25.325765944198775</v>
      </c>
      <c r="AV317" s="10">
        <v>48.917957987330055</v>
      </c>
      <c r="AW317" s="8">
        <v>0.77</v>
      </c>
      <c r="AX317" s="74">
        <v>0.61147447484162565</v>
      </c>
      <c r="AY317" s="74"/>
      <c r="AZ317" s="74"/>
      <c r="BA317" s="74"/>
      <c r="BB317" s="8"/>
      <c r="BC317" s="8"/>
      <c r="BD317" s="8"/>
      <c r="BE317" s="8"/>
      <c r="BF317" s="12">
        <v>0.44</v>
      </c>
      <c r="BG317" s="13">
        <v>279.00888300665929</v>
      </c>
      <c r="BH317" s="96" t="str">
        <f>+VLOOKUP(G317,Liste!$A$7:$G$50,3,FALSE)</f>
        <v>Pin sylvestre</v>
      </c>
      <c r="BI317" s="96" t="str">
        <f>+VLOOKUP(H317,Liste!$B$7:$G$50,5,FALSE)</f>
        <v>GS Pineraies des plaines du Centre et du Nord Ouest</v>
      </c>
      <c r="BJ317" s="135">
        <f t="shared" si="91"/>
        <v>54</v>
      </c>
      <c r="BK317" s="135" t="str">
        <f t="shared" si="93"/>
        <v>Pin sylvestre_F1_Eclaircie tardive_GS Pineraies des plaines du Centre et du Nord Ouest_54_</v>
      </c>
      <c r="BL317" s="322"/>
      <c r="BM317" s="13">
        <v>71.211230003101718</v>
      </c>
      <c r="BN317" s="13">
        <v>350.22011300976101</v>
      </c>
      <c r="BO317" s="13">
        <v>51.239336788640003</v>
      </c>
      <c r="BP317" s="13">
        <v>336.6929998</v>
      </c>
      <c r="BQ317" s="13">
        <v>9.6657611860612196</v>
      </c>
      <c r="BT317" s="298" t="str">
        <f>+VLOOKUP(G317,Liste!$A$7:$H$50,8,FALSE)</f>
        <v>Résineux</v>
      </c>
      <c r="BU317" s="298">
        <f t="shared" si="94"/>
        <v>0</v>
      </c>
      <c r="BV317" s="300">
        <f t="shared" si="95"/>
        <v>1</v>
      </c>
      <c r="BW317" s="321">
        <v>0</v>
      </c>
      <c r="BX317" s="298">
        <f t="shared" si="96"/>
        <v>0.43</v>
      </c>
      <c r="BY317">
        <f t="shared" si="97"/>
        <v>0</v>
      </c>
      <c r="BZ317" s="304">
        <f t="shared" si="98"/>
        <v>0</v>
      </c>
      <c r="CB317" s="299">
        <v>0.6</v>
      </c>
      <c r="CC317" s="299">
        <v>0.4</v>
      </c>
      <c r="CD317">
        <f t="shared" si="99"/>
        <v>0</v>
      </c>
      <c r="CE317">
        <f t="shared" si="100"/>
        <v>0</v>
      </c>
      <c r="CF317">
        <f t="shared" si="101"/>
        <v>0</v>
      </c>
      <c r="CG317">
        <f t="shared" si="102"/>
        <v>0</v>
      </c>
      <c r="CH317">
        <f t="shared" si="103"/>
        <v>0</v>
      </c>
      <c r="CI317">
        <f t="shared" si="104"/>
        <v>0</v>
      </c>
      <c r="CJ317">
        <f t="shared" si="105"/>
        <v>0</v>
      </c>
      <c r="CK317">
        <f t="shared" si="106"/>
        <v>0</v>
      </c>
      <c r="CL317">
        <f t="shared" si="107"/>
        <v>0</v>
      </c>
      <c r="CM317">
        <f t="shared" si="109"/>
        <v>0</v>
      </c>
      <c r="CN317">
        <f t="shared" si="108"/>
        <v>0</v>
      </c>
      <c r="CO317">
        <f t="shared" si="92"/>
        <v>0</v>
      </c>
    </row>
    <row r="318" spans="1:93" s="12" customFormat="1" ht="14.65" customHeight="1" x14ac:dyDescent="0.25">
      <c r="A318" s="4">
        <v>2021</v>
      </c>
      <c r="B318" s="4"/>
      <c r="C318" s="4" t="s">
        <v>64</v>
      </c>
      <c r="D318" s="4" t="s">
        <v>65</v>
      </c>
      <c r="E318" s="4"/>
      <c r="F318" s="4" t="s">
        <v>90</v>
      </c>
      <c r="G318" s="5" t="s">
        <v>15</v>
      </c>
      <c r="H318" s="5" t="s">
        <v>21</v>
      </c>
      <c r="I318" s="5" t="s">
        <v>147</v>
      </c>
      <c r="J318" s="5" t="s">
        <v>9</v>
      </c>
      <c r="K318" s="5">
        <v>28</v>
      </c>
      <c r="L318" s="5">
        <v>45</v>
      </c>
      <c r="M318" s="5">
        <v>2500</v>
      </c>
      <c r="N318" s="5" t="s">
        <v>170</v>
      </c>
      <c r="O318" s="6" t="s">
        <v>148</v>
      </c>
      <c r="P318" s="6" t="s">
        <v>80</v>
      </c>
      <c r="Q318" s="6">
        <v>1997</v>
      </c>
      <c r="R318" s="6" t="s">
        <v>2</v>
      </c>
      <c r="S318" s="6">
        <v>21</v>
      </c>
      <c r="T318" s="6">
        <v>12.5</v>
      </c>
      <c r="U318" s="6">
        <v>2024</v>
      </c>
      <c r="V318" s="6">
        <v>28.8</v>
      </c>
      <c r="W318" s="6">
        <v>0</v>
      </c>
      <c r="X318" s="6">
        <v>1100</v>
      </c>
      <c r="Y318" s="6">
        <v>712</v>
      </c>
      <c r="Z318" s="6">
        <v>162</v>
      </c>
      <c r="AA318" s="6">
        <v>50</v>
      </c>
      <c r="AB318" s="6">
        <v>0</v>
      </c>
      <c r="AC318" s="7">
        <v>55</v>
      </c>
      <c r="AD318" s="7" t="s">
        <v>52</v>
      </c>
      <c r="AE318" s="7">
        <v>29.43</v>
      </c>
      <c r="AF318" s="7">
        <v>380</v>
      </c>
      <c r="AG318" s="7">
        <v>26.46</v>
      </c>
      <c r="AH318" s="7">
        <v>29.78</v>
      </c>
      <c r="AI318" s="7">
        <v>34.49</v>
      </c>
      <c r="AJ318" s="9">
        <v>335.209677689187</v>
      </c>
      <c r="AK318" s="9">
        <v>336.86205881931699</v>
      </c>
      <c r="AL318" s="9">
        <v>374.51642893146499</v>
      </c>
      <c r="AM318" s="9">
        <v>60.177370540228701</v>
      </c>
      <c r="AN318" s="9">
        <v>1.09413400982234</v>
      </c>
      <c r="AO318" s="9">
        <v>0.47572259478163698</v>
      </c>
      <c r="AP318" s="9">
        <v>708.19902507885297</v>
      </c>
      <c r="AQ318" s="9">
        <v>12.8763459105246</v>
      </c>
      <c r="AR318" s="9">
        <v>10.4091289900667</v>
      </c>
      <c r="AS318" s="73" t="s">
        <v>169</v>
      </c>
      <c r="AT318" s="8"/>
      <c r="AU318" s="10" t="s">
        <v>169</v>
      </c>
      <c r="AV318" s="10">
        <v>0</v>
      </c>
      <c r="AW318" s="8"/>
      <c r="AX318" s="74" t="s">
        <v>169</v>
      </c>
      <c r="AY318" s="74"/>
      <c r="AZ318" s="74"/>
      <c r="BA318" s="74"/>
      <c r="BB318" s="8"/>
      <c r="BC318" s="8"/>
      <c r="BD318" s="8"/>
      <c r="BE318" s="8"/>
      <c r="BF318" s="12">
        <v>0.44</v>
      </c>
      <c r="BG318" s="13">
        <v>287.00442337114606</v>
      </c>
      <c r="BH318" s="96" t="str">
        <f>+VLOOKUP(G318,Liste!$A$7:$G$50,3,FALSE)</f>
        <v>Pin sylvestre</v>
      </c>
      <c r="BI318" s="96" t="str">
        <f>+VLOOKUP(H318,Liste!$B$7:$G$50,5,FALSE)</f>
        <v>GS Pineraies des plaines du Centre et du Nord Ouest</v>
      </c>
      <c r="BJ318" s="135">
        <f t="shared" si="91"/>
        <v>55</v>
      </c>
      <c r="BK318" s="135" t="str">
        <f t="shared" si="93"/>
        <v>Pin sylvestre_F1_Eclaircie tardive_GS Pineraies des plaines du Centre et du Nord Ouest_55_</v>
      </c>
      <c r="BL318" s="322"/>
      <c r="BM318" s="13">
        <v>73.01141306204795</v>
      </c>
      <c r="BN318" s="13">
        <v>360.01583643319401</v>
      </c>
      <c r="BP318" s="13">
        <v>336.6929998</v>
      </c>
      <c r="BQ318" s="13">
        <v>9.6403297862875696</v>
      </c>
      <c r="BT318" s="298" t="str">
        <f>+VLOOKUP(G318,Liste!$A$7:$H$50,8,FALSE)</f>
        <v>Résineux</v>
      </c>
      <c r="BU318" s="298">
        <f t="shared" si="94"/>
        <v>0</v>
      </c>
      <c r="BV318" s="300">
        <f t="shared" si="95"/>
        <v>1</v>
      </c>
      <c r="BW318" s="321">
        <v>0</v>
      </c>
      <c r="BX318" s="298">
        <f t="shared" si="96"/>
        <v>0.43</v>
      </c>
      <c r="BY318">
        <f t="shared" si="97"/>
        <v>0</v>
      </c>
      <c r="BZ318" s="304">
        <f t="shared" si="98"/>
        <v>0</v>
      </c>
      <c r="CB318" s="299">
        <v>0.6</v>
      </c>
      <c r="CC318" s="299">
        <v>0.4</v>
      </c>
      <c r="CD318">
        <f t="shared" si="99"/>
        <v>0</v>
      </c>
      <c r="CE318">
        <f t="shared" si="100"/>
        <v>0</v>
      </c>
      <c r="CF318">
        <f t="shared" si="101"/>
        <v>0</v>
      </c>
      <c r="CG318">
        <f t="shared" si="102"/>
        <v>0</v>
      </c>
      <c r="CH318">
        <f t="shared" si="103"/>
        <v>0</v>
      </c>
      <c r="CI318">
        <f t="shared" si="104"/>
        <v>0</v>
      </c>
      <c r="CJ318">
        <f t="shared" si="105"/>
        <v>0</v>
      </c>
      <c r="CK318">
        <f t="shared" si="106"/>
        <v>0</v>
      </c>
      <c r="CL318">
        <f t="shared" si="107"/>
        <v>0</v>
      </c>
      <c r="CM318">
        <f t="shared" si="109"/>
        <v>0</v>
      </c>
      <c r="CN318">
        <f t="shared" si="108"/>
        <v>0</v>
      </c>
      <c r="CO318">
        <f t="shared" si="92"/>
        <v>0</v>
      </c>
    </row>
    <row r="319" spans="1:93" s="12" customFormat="1" ht="14.65" customHeight="1" x14ac:dyDescent="0.25">
      <c r="A319" s="4">
        <v>2021</v>
      </c>
      <c r="B319" s="4"/>
      <c r="C319" s="4" t="s">
        <v>64</v>
      </c>
      <c r="D319" s="4" t="s">
        <v>65</v>
      </c>
      <c r="E319" s="4"/>
      <c r="F319" s="4" t="s">
        <v>90</v>
      </c>
      <c r="G319" s="5" t="s">
        <v>15</v>
      </c>
      <c r="H319" s="5" t="s">
        <v>21</v>
      </c>
      <c r="I319" s="5" t="s">
        <v>147</v>
      </c>
      <c r="J319" s="5" t="s">
        <v>9</v>
      </c>
      <c r="K319" s="5">
        <v>28</v>
      </c>
      <c r="L319" s="5">
        <v>45</v>
      </c>
      <c r="M319" s="5">
        <v>2500</v>
      </c>
      <c r="N319" s="5" t="s">
        <v>170</v>
      </c>
      <c r="O319" s="6" t="s">
        <v>148</v>
      </c>
      <c r="P319" s="6" t="s">
        <v>80</v>
      </c>
      <c r="Q319" s="6">
        <v>1997</v>
      </c>
      <c r="R319" s="6" t="s">
        <v>2</v>
      </c>
      <c r="S319" s="6">
        <v>21</v>
      </c>
      <c r="T319" s="6">
        <v>12.5</v>
      </c>
      <c r="U319" s="6">
        <v>2024</v>
      </c>
      <c r="V319" s="6">
        <v>28.8</v>
      </c>
      <c r="W319" s="6">
        <v>0</v>
      </c>
      <c r="X319" s="6">
        <v>1100</v>
      </c>
      <c r="Y319" s="6">
        <v>712</v>
      </c>
      <c r="Z319" s="6">
        <v>162</v>
      </c>
      <c r="AA319" s="6">
        <v>50</v>
      </c>
      <c r="AB319" s="6">
        <v>0</v>
      </c>
      <c r="AC319" s="7">
        <v>56</v>
      </c>
      <c r="AD319" s="7" t="s">
        <v>52</v>
      </c>
      <c r="AE319" s="7">
        <v>29.77</v>
      </c>
      <c r="AF319" s="7">
        <v>380</v>
      </c>
      <c r="AG319" s="7">
        <v>26.94</v>
      </c>
      <c r="AH319" s="7">
        <v>30.04</v>
      </c>
      <c r="AI319" s="7">
        <v>34.82</v>
      </c>
      <c r="AJ319" s="9">
        <v>345.04095317107198</v>
      </c>
      <c r="AK319" s="9">
        <v>346.73138383565902</v>
      </c>
      <c r="AL319" s="9">
        <v>384.925557921532</v>
      </c>
      <c r="AM319" s="9">
        <v>60.653093135010302</v>
      </c>
      <c r="AN319" s="9">
        <v>1.08309094883947</v>
      </c>
      <c r="AO319" s="9">
        <v>0.468862911514556</v>
      </c>
      <c r="AP319" s="9">
        <v>718.60815406892004</v>
      </c>
      <c r="AQ319" s="9">
        <v>12.832288465516401</v>
      </c>
      <c r="AR319" s="9">
        <v>10.4664501801014</v>
      </c>
      <c r="AS319" s="73" t="s">
        <v>169</v>
      </c>
      <c r="AT319" s="8"/>
      <c r="AU319" s="10" t="s">
        <v>169</v>
      </c>
      <c r="AV319" s="10">
        <v>0</v>
      </c>
      <c r="AW319" s="8"/>
      <c r="AX319" s="74" t="s">
        <v>169</v>
      </c>
      <c r="AY319" s="74"/>
      <c r="AZ319" s="74"/>
      <c r="BA319" s="74"/>
      <c r="BB319" s="8"/>
      <c r="BC319" s="8"/>
      <c r="BD319" s="8"/>
      <c r="BE319" s="8"/>
      <c r="BF319" s="12">
        <v>0.44</v>
      </c>
      <c r="BG319" s="13">
        <v>294.98128588720039</v>
      </c>
      <c r="BH319" s="96" t="str">
        <f>+VLOOKUP(G319,Liste!$A$7:$G$50,3,FALSE)</f>
        <v>Pin sylvestre</v>
      </c>
      <c r="BI319" s="96" t="str">
        <f>+VLOOKUP(H319,Liste!$B$7:$G$50,5,FALSE)</f>
        <v>GS Pineraies des plaines du Centre et du Nord Ouest</v>
      </c>
      <c r="BJ319" s="135">
        <f t="shared" si="91"/>
        <v>56</v>
      </c>
      <c r="BK319" s="135" t="str">
        <f t="shared" si="93"/>
        <v>Pin sylvestre_F1_Eclaircie tardive_GS Pineraies des plaines du Centre et du Nord Ouest_56_</v>
      </c>
      <c r="BL319" s="322"/>
      <c r="BM319" s="13">
        <v>74.801582234701641</v>
      </c>
      <c r="BN319" s="13">
        <v>369.78286812190203</v>
      </c>
      <c r="BP319" s="13">
        <v>336.6929998</v>
      </c>
      <c r="BQ319" s="13">
        <v>9.6905917696494708</v>
      </c>
      <c r="BT319" s="298" t="str">
        <f>+VLOOKUP(G319,Liste!$A$7:$H$50,8,FALSE)</f>
        <v>Résineux</v>
      </c>
      <c r="BU319" s="298">
        <f t="shared" si="94"/>
        <v>0</v>
      </c>
      <c r="BV319" s="300">
        <f t="shared" si="95"/>
        <v>1</v>
      </c>
      <c r="BW319" s="321">
        <v>0</v>
      </c>
      <c r="BX319" s="298">
        <f t="shared" si="96"/>
        <v>0.43</v>
      </c>
      <c r="BY319">
        <f t="shared" si="97"/>
        <v>0</v>
      </c>
      <c r="BZ319" s="304">
        <f t="shared" si="98"/>
        <v>0</v>
      </c>
      <c r="CB319" s="299">
        <v>0.6</v>
      </c>
      <c r="CC319" s="299">
        <v>0.4</v>
      </c>
      <c r="CD319">
        <f t="shared" si="99"/>
        <v>0</v>
      </c>
      <c r="CE319">
        <f t="shared" si="100"/>
        <v>0</v>
      </c>
      <c r="CF319">
        <f t="shared" si="101"/>
        <v>0</v>
      </c>
      <c r="CG319">
        <f t="shared" si="102"/>
        <v>0</v>
      </c>
      <c r="CH319">
        <f t="shared" si="103"/>
        <v>0</v>
      </c>
      <c r="CI319">
        <f t="shared" si="104"/>
        <v>0</v>
      </c>
      <c r="CJ319">
        <f t="shared" si="105"/>
        <v>0</v>
      </c>
      <c r="CK319">
        <f t="shared" si="106"/>
        <v>0</v>
      </c>
      <c r="CL319">
        <f t="shared" si="107"/>
        <v>0</v>
      </c>
      <c r="CM319">
        <f t="shared" si="109"/>
        <v>0</v>
      </c>
      <c r="CN319">
        <f t="shared" si="108"/>
        <v>0</v>
      </c>
      <c r="CO319">
        <f t="shared" si="92"/>
        <v>0</v>
      </c>
    </row>
    <row r="320" spans="1:93" s="12" customFormat="1" ht="14.65" customHeight="1" x14ac:dyDescent="0.25">
      <c r="A320" s="4">
        <v>2021</v>
      </c>
      <c r="B320" s="4"/>
      <c r="C320" s="4" t="s">
        <v>64</v>
      </c>
      <c r="D320" s="4" t="s">
        <v>65</v>
      </c>
      <c r="E320" s="4"/>
      <c r="F320" s="4" t="s">
        <v>90</v>
      </c>
      <c r="G320" s="5" t="s">
        <v>15</v>
      </c>
      <c r="H320" s="5" t="s">
        <v>21</v>
      </c>
      <c r="I320" s="5" t="s">
        <v>147</v>
      </c>
      <c r="J320" s="5" t="s">
        <v>9</v>
      </c>
      <c r="K320" s="5">
        <v>28</v>
      </c>
      <c r="L320" s="5">
        <v>45</v>
      </c>
      <c r="M320" s="5">
        <v>2500</v>
      </c>
      <c r="N320" s="5" t="s">
        <v>170</v>
      </c>
      <c r="O320" s="6" t="s">
        <v>148</v>
      </c>
      <c r="P320" s="6" t="s">
        <v>80</v>
      </c>
      <c r="Q320" s="6">
        <v>1997</v>
      </c>
      <c r="R320" s="6" t="s">
        <v>2</v>
      </c>
      <c r="S320" s="6">
        <v>21</v>
      </c>
      <c r="T320" s="6">
        <v>12.5</v>
      </c>
      <c r="U320" s="6">
        <v>2024</v>
      </c>
      <c r="V320" s="6">
        <v>28.8</v>
      </c>
      <c r="W320" s="6">
        <v>0</v>
      </c>
      <c r="X320" s="6">
        <v>1100</v>
      </c>
      <c r="Y320" s="6">
        <v>712</v>
      </c>
      <c r="Z320" s="6">
        <v>162</v>
      </c>
      <c r="AA320" s="6">
        <v>50</v>
      </c>
      <c r="AB320" s="6">
        <v>0</v>
      </c>
      <c r="AC320" s="7">
        <v>57</v>
      </c>
      <c r="AD320" s="7" t="s">
        <v>52</v>
      </c>
      <c r="AE320" s="7">
        <v>30.11</v>
      </c>
      <c r="AF320" s="7">
        <v>380</v>
      </c>
      <c r="AG320" s="7">
        <v>27.41</v>
      </c>
      <c r="AH320" s="7">
        <v>30.31</v>
      </c>
      <c r="AI320" s="7">
        <v>35.15</v>
      </c>
      <c r="AJ320" s="9">
        <v>354.95157680000301</v>
      </c>
      <c r="AK320" s="9">
        <v>356.67825313716003</v>
      </c>
      <c r="AL320" s="9">
        <v>395.392008101633</v>
      </c>
      <c r="AM320" s="9">
        <v>61.1219560465249</v>
      </c>
      <c r="AN320" s="9">
        <v>1.07231501836009</v>
      </c>
      <c r="AO320" s="9">
        <v>0.46189379872137698</v>
      </c>
      <c r="AP320" s="9">
        <v>729.07460424902195</v>
      </c>
      <c r="AQ320" s="9">
        <v>12.7907825306846</v>
      </c>
      <c r="AR320" s="9">
        <v>10.412981416155199</v>
      </c>
      <c r="AS320" s="73" t="s">
        <v>169</v>
      </c>
      <c r="AT320" s="8"/>
      <c r="AU320" s="10" t="s">
        <v>169</v>
      </c>
      <c r="AV320" s="10">
        <v>0</v>
      </c>
      <c r="AW320" s="8"/>
      <c r="AX320" s="74" t="s">
        <v>169</v>
      </c>
      <c r="AY320" s="74"/>
      <c r="AZ320" s="74"/>
      <c r="BA320" s="74"/>
      <c r="BB320" s="8"/>
      <c r="BC320" s="8"/>
      <c r="BD320" s="8"/>
      <c r="BE320" s="8"/>
      <c r="BF320" s="12">
        <v>0.44</v>
      </c>
      <c r="BG320" s="13">
        <v>303.00207554188512</v>
      </c>
      <c r="BH320" s="96" t="str">
        <f>+VLOOKUP(G320,Liste!$A$7:$G$50,3,FALSE)</f>
        <v>Pin sylvestre</v>
      </c>
      <c r="BI320" s="96" t="str">
        <f>+VLOOKUP(H320,Liste!$B$7:$G$50,5,FALSE)</f>
        <v>GS Pineraies des plaines du Centre et du Nord Ouest</v>
      </c>
      <c r="BJ320" s="135">
        <f t="shared" si="91"/>
        <v>57</v>
      </c>
      <c r="BK320" s="135" t="str">
        <f t="shared" si="93"/>
        <v>Pin sylvestre_F1_Eclaircie tardive_GS Pineraies des plaines du Centre et du Nord Ouest_57_</v>
      </c>
      <c r="BL320" s="322"/>
      <c r="BM320" s="13">
        <v>76.595936545650886</v>
      </c>
      <c r="BN320" s="13">
        <v>379.59801208753601</v>
      </c>
      <c r="BP320" s="13">
        <v>336.6929998</v>
      </c>
      <c r="BQ320" s="13">
        <v>9.6383197622957404</v>
      </c>
      <c r="BT320" s="298" t="str">
        <f>+VLOOKUP(G320,Liste!$A$7:$H$50,8,FALSE)</f>
        <v>Résineux</v>
      </c>
      <c r="BU320" s="298">
        <f t="shared" si="94"/>
        <v>0</v>
      </c>
      <c r="BV320" s="300">
        <f t="shared" si="95"/>
        <v>1</v>
      </c>
      <c r="BW320" s="321">
        <v>0</v>
      </c>
      <c r="BX320" s="298">
        <f t="shared" si="96"/>
        <v>0.43</v>
      </c>
      <c r="BY320">
        <f t="shared" si="97"/>
        <v>0</v>
      </c>
      <c r="BZ320" s="304">
        <f t="shared" si="98"/>
        <v>0</v>
      </c>
      <c r="CB320" s="299">
        <v>0.6</v>
      </c>
      <c r="CC320" s="299">
        <v>0.4</v>
      </c>
      <c r="CD320">
        <f t="shared" si="99"/>
        <v>0</v>
      </c>
      <c r="CE320">
        <f t="shared" si="100"/>
        <v>0</v>
      </c>
      <c r="CF320">
        <f t="shared" si="101"/>
        <v>0</v>
      </c>
      <c r="CG320">
        <f t="shared" si="102"/>
        <v>0</v>
      </c>
      <c r="CH320">
        <f t="shared" si="103"/>
        <v>0</v>
      </c>
      <c r="CI320">
        <f t="shared" si="104"/>
        <v>0</v>
      </c>
      <c r="CJ320">
        <f t="shared" si="105"/>
        <v>0</v>
      </c>
      <c r="CK320">
        <f t="shared" si="106"/>
        <v>0</v>
      </c>
      <c r="CL320">
        <f t="shared" si="107"/>
        <v>0</v>
      </c>
      <c r="CM320">
        <f t="shared" si="109"/>
        <v>0</v>
      </c>
      <c r="CN320">
        <f t="shared" si="108"/>
        <v>0</v>
      </c>
      <c r="CO320">
        <f t="shared" si="92"/>
        <v>0</v>
      </c>
    </row>
    <row r="321" spans="1:93" s="12" customFormat="1" ht="14.65" customHeight="1" x14ac:dyDescent="0.25">
      <c r="A321" s="4">
        <v>2021</v>
      </c>
      <c r="B321" s="4"/>
      <c r="C321" s="4" t="s">
        <v>64</v>
      </c>
      <c r="D321" s="4" t="s">
        <v>65</v>
      </c>
      <c r="E321" s="4"/>
      <c r="F321" s="4" t="s">
        <v>90</v>
      </c>
      <c r="G321" s="5" t="s">
        <v>15</v>
      </c>
      <c r="H321" s="5" t="s">
        <v>21</v>
      </c>
      <c r="I321" s="5" t="s">
        <v>147</v>
      </c>
      <c r="J321" s="5" t="s">
        <v>9</v>
      </c>
      <c r="K321" s="5">
        <v>28</v>
      </c>
      <c r="L321" s="5">
        <v>45</v>
      </c>
      <c r="M321" s="5">
        <v>2500</v>
      </c>
      <c r="N321" s="5" t="s">
        <v>170</v>
      </c>
      <c r="O321" s="6" t="s">
        <v>148</v>
      </c>
      <c r="P321" s="6" t="s">
        <v>80</v>
      </c>
      <c r="Q321" s="6">
        <v>1997</v>
      </c>
      <c r="R321" s="6" t="s">
        <v>2</v>
      </c>
      <c r="S321" s="6">
        <v>21</v>
      </c>
      <c r="T321" s="6">
        <v>12.5</v>
      </c>
      <c r="U321" s="6">
        <v>2024</v>
      </c>
      <c r="V321" s="6">
        <v>28.8</v>
      </c>
      <c r="W321" s="6">
        <v>0</v>
      </c>
      <c r="X321" s="6">
        <v>1100</v>
      </c>
      <c r="Y321" s="6">
        <v>712</v>
      </c>
      <c r="Z321" s="6">
        <v>162</v>
      </c>
      <c r="AA321" s="6">
        <v>50</v>
      </c>
      <c r="AB321" s="6">
        <v>0</v>
      </c>
      <c r="AC321" s="7">
        <v>58</v>
      </c>
      <c r="AD321" s="7" t="s">
        <v>52</v>
      </c>
      <c r="AE321" s="7">
        <v>30.44</v>
      </c>
      <c r="AF321" s="7">
        <v>380</v>
      </c>
      <c r="AG321" s="7">
        <v>27.87</v>
      </c>
      <c r="AH321" s="7">
        <v>30.56</v>
      </c>
      <c r="AI321" s="7">
        <v>35.46</v>
      </c>
      <c r="AJ321" s="9">
        <v>364.82059112475798</v>
      </c>
      <c r="AK321" s="9">
        <v>366.58301233184801</v>
      </c>
      <c r="AL321" s="9">
        <v>405.80498951778799</v>
      </c>
      <c r="AM321" s="9">
        <v>61.583849845246299</v>
      </c>
      <c r="AN321" s="9">
        <v>1.0617905145732101</v>
      </c>
      <c r="AO321" s="9">
        <v>0.45480480275253399</v>
      </c>
      <c r="AP321" s="9">
        <v>739.48758566517699</v>
      </c>
      <c r="AQ321" s="9">
        <v>12.749785959744401</v>
      </c>
      <c r="AR321" s="9">
        <v>10.280398934194199</v>
      </c>
      <c r="AS321" s="73" t="s">
        <v>169</v>
      </c>
      <c r="AT321" s="8"/>
      <c r="AU321" s="10" t="s">
        <v>169</v>
      </c>
      <c r="AV321" s="10">
        <v>0</v>
      </c>
      <c r="AW321" s="8"/>
      <c r="AX321" s="74" t="s">
        <v>169</v>
      </c>
      <c r="AY321" s="74"/>
      <c r="AZ321" s="74"/>
      <c r="BA321" s="74"/>
      <c r="BB321" s="8"/>
      <c r="BC321" s="8"/>
      <c r="BD321" s="8"/>
      <c r="BE321" s="8"/>
      <c r="BF321" s="12">
        <v>0.44</v>
      </c>
      <c r="BG321" s="13">
        <v>310.98189030046524</v>
      </c>
      <c r="BH321" s="96" t="str">
        <f>+VLOOKUP(G321,Liste!$A$7:$G$50,3,FALSE)</f>
        <v>Pin sylvestre</v>
      </c>
      <c r="BI321" s="96" t="str">
        <f>+VLOOKUP(H321,Liste!$B$7:$G$50,5,FALSE)</f>
        <v>GS Pineraies des plaines du Centre et du Nord Ouest</v>
      </c>
      <c r="BJ321" s="135">
        <f t="shared" si="91"/>
        <v>58</v>
      </c>
      <c r="BK321" s="135" t="str">
        <f t="shared" si="93"/>
        <v>Pin sylvestre_F1_Eclaircie tardive_GS Pineraies des plaines du Centre et du Nord Ouest_58_</v>
      </c>
      <c r="BL321" s="322"/>
      <c r="BM321" s="13">
        <v>78.375645209918787</v>
      </c>
      <c r="BN321" s="13">
        <v>389.35753551038403</v>
      </c>
      <c r="BP321" s="13">
        <v>336.6929998</v>
      </c>
      <c r="BQ321" s="13">
        <v>9.5129358083287308</v>
      </c>
      <c r="BT321" s="298" t="str">
        <f>+VLOOKUP(G321,Liste!$A$7:$H$50,8,FALSE)</f>
        <v>Résineux</v>
      </c>
      <c r="BU321" s="298">
        <f t="shared" si="94"/>
        <v>0</v>
      </c>
      <c r="BV321" s="300">
        <f t="shared" si="95"/>
        <v>1</v>
      </c>
      <c r="BW321" s="321">
        <v>0</v>
      </c>
      <c r="BX321" s="298">
        <f t="shared" si="96"/>
        <v>0.43</v>
      </c>
      <c r="BY321">
        <f t="shared" si="97"/>
        <v>0</v>
      </c>
      <c r="BZ321" s="304">
        <f t="shared" si="98"/>
        <v>0</v>
      </c>
      <c r="CB321" s="299">
        <v>0.6</v>
      </c>
      <c r="CC321" s="299">
        <v>0.4</v>
      </c>
      <c r="CD321">
        <f t="shared" si="99"/>
        <v>0</v>
      </c>
      <c r="CE321">
        <f t="shared" si="100"/>
        <v>0</v>
      </c>
      <c r="CF321">
        <f t="shared" si="101"/>
        <v>0</v>
      </c>
      <c r="CG321">
        <f t="shared" si="102"/>
        <v>0</v>
      </c>
      <c r="CH321">
        <f t="shared" si="103"/>
        <v>0</v>
      </c>
      <c r="CI321">
        <f t="shared" si="104"/>
        <v>0</v>
      </c>
      <c r="CJ321">
        <f t="shared" si="105"/>
        <v>0</v>
      </c>
      <c r="CK321">
        <f t="shared" si="106"/>
        <v>0</v>
      </c>
      <c r="CL321">
        <f t="shared" si="107"/>
        <v>0</v>
      </c>
      <c r="CM321">
        <f t="shared" si="109"/>
        <v>0</v>
      </c>
      <c r="CN321">
        <f t="shared" si="108"/>
        <v>0</v>
      </c>
      <c r="CO321">
        <f t="shared" si="92"/>
        <v>0</v>
      </c>
    </row>
    <row r="322" spans="1:93" s="12" customFormat="1" ht="14.65" customHeight="1" x14ac:dyDescent="0.25">
      <c r="A322" s="4">
        <v>2021</v>
      </c>
      <c r="B322" s="4"/>
      <c r="C322" s="4" t="s">
        <v>64</v>
      </c>
      <c r="D322" s="4" t="s">
        <v>65</v>
      </c>
      <c r="E322" s="4"/>
      <c r="F322" s="4" t="s">
        <v>90</v>
      </c>
      <c r="G322" s="5" t="s">
        <v>15</v>
      </c>
      <c r="H322" s="5" t="s">
        <v>21</v>
      </c>
      <c r="I322" s="5" t="s">
        <v>147</v>
      </c>
      <c r="J322" s="5" t="s">
        <v>9</v>
      </c>
      <c r="K322" s="5">
        <v>28</v>
      </c>
      <c r="L322" s="5">
        <v>45</v>
      </c>
      <c r="M322" s="5">
        <v>2500</v>
      </c>
      <c r="N322" s="5" t="s">
        <v>170</v>
      </c>
      <c r="O322" s="6" t="s">
        <v>148</v>
      </c>
      <c r="P322" s="6" t="s">
        <v>80</v>
      </c>
      <c r="Q322" s="6">
        <v>1997</v>
      </c>
      <c r="R322" s="6" t="s">
        <v>2</v>
      </c>
      <c r="S322" s="6">
        <v>21</v>
      </c>
      <c r="T322" s="6">
        <v>12.5</v>
      </c>
      <c r="U322" s="6">
        <v>2024</v>
      </c>
      <c r="V322" s="6">
        <v>28.8</v>
      </c>
      <c r="W322" s="6">
        <v>0</v>
      </c>
      <c r="X322" s="6">
        <v>1100</v>
      </c>
      <c r="Y322" s="6">
        <v>712</v>
      </c>
      <c r="Z322" s="6">
        <v>162</v>
      </c>
      <c r="AA322" s="6">
        <v>50</v>
      </c>
      <c r="AB322" s="6">
        <v>0</v>
      </c>
      <c r="AC322" s="7">
        <v>59</v>
      </c>
      <c r="AD322" s="7" t="s">
        <v>52</v>
      </c>
      <c r="AE322" s="7">
        <v>30.76</v>
      </c>
      <c r="AF322" s="7">
        <v>380</v>
      </c>
      <c r="AG322" s="7">
        <v>28.33</v>
      </c>
      <c r="AH322" s="7">
        <v>30.81</v>
      </c>
      <c r="AI322" s="7">
        <v>35.78</v>
      </c>
      <c r="AJ322" s="9">
        <v>374.56263224428102</v>
      </c>
      <c r="AK322" s="9">
        <v>376.36094646526999</v>
      </c>
      <c r="AL322" s="9">
        <v>416.08538845198302</v>
      </c>
      <c r="AM322" s="9">
        <v>62.038654647998797</v>
      </c>
      <c r="AN322" s="9">
        <v>1.05150262115252</v>
      </c>
      <c r="AO322" s="9">
        <v>0.44757225956136898</v>
      </c>
      <c r="AP322" s="9">
        <v>749.76798459937095</v>
      </c>
      <c r="AQ322" s="9">
        <v>12.707931942362199</v>
      </c>
      <c r="AR322" s="9">
        <v>10.313154057644301</v>
      </c>
      <c r="AS322" s="73" t="s">
        <v>169</v>
      </c>
      <c r="AT322" s="8"/>
      <c r="AU322" s="10" t="s">
        <v>169</v>
      </c>
      <c r="AV322" s="10">
        <v>0</v>
      </c>
      <c r="AW322" s="8"/>
      <c r="AX322" s="74" t="s">
        <v>169</v>
      </c>
      <c r="AY322" s="74"/>
      <c r="AZ322" s="74"/>
      <c r="BA322" s="74"/>
      <c r="BB322" s="8"/>
      <c r="BC322" s="8"/>
      <c r="BD322" s="8"/>
      <c r="BE322" s="8"/>
      <c r="BF322" s="12">
        <v>0.44</v>
      </c>
      <c r="BG322" s="13">
        <v>318.86010268370279</v>
      </c>
      <c r="BH322" s="96" t="str">
        <f>+VLOOKUP(G322,Liste!$A$7:$G$50,3,FALSE)</f>
        <v>Pin sylvestre</v>
      </c>
      <c r="BI322" s="96" t="str">
        <f>+VLOOKUP(H322,Liste!$B$7:$G$50,5,FALSE)</f>
        <v>GS Pineraies des plaines du Centre et du Nord Ouest</v>
      </c>
      <c r="BJ322" s="135">
        <f t="shared" si="91"/>
        <v>59</v>
      </c>
      <c r="BK322" s="135" t="str">
        <f t="shared" si="93"/>
        <v>Pin sylvestre_F1_Eclaircie tardive_GS Pineraies des plaines du Centre et du Nord Ouest_59_</v>
      </c>
      <c r="BL322" s="322"/>
      <c r="BM322" s="13">
        <v>80.12748582411723</v>
      </c>
      <c r="BN322" s="13">
        <v>398.98758850782002</v>
      </c>
      <c r="BP322" s="13">
        <v>336.6929998</v>
      </c>
      <c r="BQ322" s="13">
        <v>9.5406261881715899</v>
      </c>
      <c r="BT322" s="298" t="str">
        <f>+VLOOKUP(G322,Liste!$A$7:$H$50,8,FALSE)</f>
        <v>Résineux</v>
      </c>
      <c r="BU322" s="298">
        <f t="shared" si="94"/>
        <v>0</v>
      </c>
      <c r="BV322" s="300">
        <f t="shared" si="95"/>
        <v>1</v>
      </c>
      <c r="BW322" s="321">
        <v>0</v>
      </c>
      <c r="BX322" s="298">
        <f t="shared" si="96"/>
        <v>0.43</v>
      </c>
      <c r="BY322">
        <f t="shared" si="97"/>
        <v>0</v>
      </c>
      <c r="BZ322" s="304">
        <f t="shared" si="98"/>
        <v>0</v>
      </c>
      <c r="CB322" s="299">
        <v>0.6</v>
      </c>
      <c r="CC322" s="299">
        <v>0.4</v>
      </c>
      <c r="CD322">
        <f t="shared" si="99"/>
        <v>0</v>
      </c>
      <c r="CE322">
        <f t="shared" si="100"/>
        <v>0</v>
      </c>
      <c r="CF322">
        <f t="shared" si="101"/>
        <v>0</v>
      </c>
      <c r="CG322">
        <f t="shared" si="102"/>
        <v>0</v>
      </c>
      <c r="CH322">
        <f t="shared" si="103"/>
        <v>0</v>
      </c>
      <c r="CI322">
        <f t="shared" si="104"/>
        <v>0</v>
      </c>
      <c r="CJ322">
        <f t="shared" si="105"/>
        <v>0</v>
      </c>
      <c r="CK322">
        <f t="shared" si="106"/>
        <v>0</v>
      </c>
      <c r="CL322">
        <f t="shared" si="107"/>
        <v>0</v>
      </c>
      <c r="CM322">
        <f t="shared" si="109"/>
        <v>0</v>
      </c>
      <c r="CN322">
        <f t="shared" si="108"/>
        <v>0</v>
      </c>
      <c r="CO322">
        <f t="shared" si="92"/>
        <v>0</v>
      </c>
    </row>
    <row r="323" spans="1:93" s="12" customFormat="1" ht="14.65" customHeight="1" x14ac:dyDescent="0.25">
      <c r="A323" s="4">
        <v>2021</v>
      </c>
      <c r="B323" s="4"/>
      <c r="C323" s="4" t="s">
        <v>64</v>
      </c>
      <c r="D323" s="4" t="s">
        <v>65</v>
      </c>
      <c r="E323" s="4"/>
      <c r="F323" s="4" t="s">
        <v>90</v>
      </c>
      <c r="G323" s="5" t="s">
        <v>15</v>
      </c>
      <c r="H323" s="5" t="s">
        <v>21</v>
      </c>
      <c r="I323" s="5" t="s">
        <v>147</v>
      </c>
      <c r="J323" s="5" t="s">
        <v>9</v>
      </c>
      <c r="K323" s="5">
        <v>28</v>
      </c>
      <c r="L323" s="5">
        <v>45</v>
      </c>
      <c r="M323" s="5">
        <v>2500</v>
      </c>
      <c r="N323" s="5" t="s">
        <v>170</v>
      </c>
      <c r="O323" s="6" t="s">
        <v>148</v>
      </c>
      <c r="P323" s="6" t="s">
        <v>80</v>
      </c>
      <c r="Q323" s="6">
        <v>1997</v>
      </c>
      <c r="R323" s="6" t="s">
        <v>2</v>
      </c>
      <c r="S323" s="6">
        <v>21</v>
      </c>
      <c r="T323" s="6">
        <v>12.5</v>
      </c>
      <c r="U323" s="6">
        <v>2024</v>
      </c>
      <c r="V323" s="6">
        <v>28.8</v>
      </c>
      <c r="W323" s="6">
        <v>0</v>
      </c>
      <c r="X323" s="6">
        <v>1100</v>
      </c>
      <c r="Y323" s="6">
        <v>712</v>
      </c>
      <c r="Z323" s="6">
        <v>162</v>
      </c>
      <c r="AA323" s="6">
        <v>50</v>
      </c>
      <c r="AB323" s="6">
        <v>0</v>
      </c>
      <c r="AC323" s="7">
        <v>60</v>
      </c>
      <c r="AD323" s="7" t="s">
        <v>52</v>
      </c>
      <c r="AE323" s="7">
        <v>31.08</v>
      </c>
      <c r="AF323" s="7">
        <v>380</v>
      </c>
      <c r="AG323" s="7">
        <v>28.77</v>
      </c>
      <c r="AH323" s="7">
        <v>31.05</v>
      </c>
      <c r="AI323" s="7">
        <v>36.08</v>
      </c>
      <c r="AJ323" s="9">
        <v>384.35913223256898</v>
      </c>
      <c r="AK323" s="9">
        <v>386.19156934958301</v>
      </c>
      <c r="AL323" s="9">
        <v>426.39854250962702</v>
      </c>
      <c r="AM323" s="9">
        <v>62.486226907560201</v>
      </c>
      <c r="AN323" s="9">
        <v>1.041437115126</v>
      </c>
      <c r="AO323" s="9">
        <v>0.44109137382849201</v>
      </c>
      <c r="AP323" s="9">
        <v>760.081138657015</v>
      </c>
      <c r="AQ323" s="9">
        <v>12.668018977616899</v>
      </c>
      <c r="AR323" s="9">
        <v>10.211175491411201</v>
      </c>
      <c r="AS323" s="73" t="s">
        <v>169</v>
      </c>
      <c r="AT323" s="8"/>
      <c r="AU323" s="10" t="s">
        <v>169</v>
      </c>
      <c r="AV323" s="10">
        <v>0</v>
      </c>
      <c r="AW323" s="8"/>
      <c r="AX323" s="74" t="s">
        <v>169</v>
      </c>
      <c r="AY323" s="74"/>
      <c r="AZ323" s="74"/>
      <c r="BA323" s="74"/>
      <c r="BB323" s="8"/>
      <c r="BC323" s="8"/>
      <c r="BD323" s="8"/>
      <c r="BE323" s="8"/>
      <c r="BF323" s="12">
        <v>0.44</v>
      </c>
      <c r="BG323" s="13">
        <v>326.76341640987738</v>
      </c>
      <c r="BH323" s="96" t="str">
        <f>+VLOOKUP(G323,Liste!$A$7:$G$50,3,FALSE)</f>
        <v>Pin sylvestre</v>
      </c>
      <c r="BI323" s="96" t="str">
        <f>+VLOOKUP(H323,Liste!$B$7:$G$50,5,FALSE)</f>
        <v>GS Pineraies des plaines du Centre et du Nord Ouest</v>
      </c>
      <c r="BJ323" s="135">
        <f t="shared" ref="BJ323:BJ386" si="110">+AC323</f>
        <v>60</v>
      </c>
      <c r="BK323" s="135" t="str">
        <f t="shared" si="93"/>
        <v>Pin sylvestre_F1_Eclaircie tardive_GS Pineraies des plaines du Centre et du Nord Ouest_60_</v>
      </c>
      <c r="BL323" s="322"/>
      <c r="BM323" s="13">
        <v>81.879852679031615</v>
      </c>
      <c r="BN323" s="13">
        <v>408.64326908890899</v>
      </c>
      <c r="BP323" s="13">
        <v>336.6929998</v>
      </c>
      <c r="BQ323" s="13">
        <v>9.4437406395412609</v>
      </c>
      <c r="BT323" s="298" t="str">
        <f>+VLOOKUP(G323,Liste!$A$7:$H$50,8,FALSE)</f>
        <v>Résineux</v>
      </c>
      <c r="BU323" s="298">
        <f t="shared" si="94"/>
        <v>0</v>
      </c>
      <c r="BV323" s="300">
        <f t="shared" si="95"/>
        <v>1</v>
      </c>
      <c r="BW323" s="321">
        <v>0</v>
      </c>
      <c r="BX323" s="298">
        <f t="shared" si="96"/>
        <v>0.43</v>
      </c>
      <c r="BY323">
        <f t="shared" si="97"/>
        <v>0</v>
      </c>
      <c r="BZ323" s="304">
        <f t="shared" si="98"/>
        <v>0</v>
      </c>
      <c r="CB323" s="299">
        <v>0.6</v>
      </c>
      <c r="CC323" s="299">
        <v>0.4</v>
      </c>
      <c r="CD323">
        <f t="shared" si="99"/>
        <v>0</v>
      </c>
      <c r="CE323">
        <f t="shared" si="100"/>
        <v>0</v>
      </c>
      <c r="CF323">
        <f t="shared" si="101"/>
        <v>0</v>
      </c>
      <c r="CG323">
        <f t="shared" si="102"/>
        <v>0</v>
      </c>
      <c r="CH323">
        <f t="shared" si="103"/>
        <v>0</v>
      </c>
      <c r="CI323">
        <f t="shared" si="104"/>
        <v>0</v>
      </c>
      <c r="CJ323">
        <f t="shared" si="105"/>
        <v>0</v>
      </c>
      <c r="CK323">
        <f t="shared" si="106"/>
        <v>0</v>
      </c>
      <c r="CL323">
        <f t="shared" si="107"/>
        <v>0</v>
      </c>
      <c r="CM323">
        <f t="shared" si="109"/>
        <v>0</v>
      </c>
      <c r="CN323">
        <f t="shared" si="108"/>
        <v>0</v>
      </c>
      <c r="CO323">
        <f t="shared" ref="CO323:CO386" si="111">+IF(BJ323=30,CN323/30,0)</f>
        <v>0</v>
      </c>
    </row>
    <row r="324" spans="1:93" s="12" customFormat="1" ht="14.65" customHeight="1" x14ac:dyDescent="0.25">
      <c r="A324" s="4">
        <v>2021</v>
      </c>
      <c r="B324" s="4"/>
      <c r="C324" s="4" t="s">
        <v>64</v>
      </c>
      <c r="D324" s="4" t="s">
        <v>65</v>
      </c>
      <c r="E324" s="4"/>
      <c r="F324" s="4" t="s">
        <v>90</v>
      </c>
      <c r="G324" s="5" t="s">
        <v>15</v>
      </c>
      <c r="H324" s="5" t="s">
        <v>21</v>
      </c>
      <c r="I324" s="5" t="s">
        <v>147</v>
      </c>
      <c r="J324" s="5" t="s">
        <v>9</v>
      </c>
      <c r="K324" s="5">
        <v>28</v>
      </c>
      <c r="L324" s="5">
        <v>45</v>
      </c>
      <c r="M324" s="5">
        <v>2500</v>
      </c>
      <c r="N324" s="5" t="s">
        <v>170</v>
      </c>
      <c r="O324" s="6" t="s">
        <v>148</v>
      </c>
      <c r="P324" s="6" t="s">
        <v>80</v>
      </c>
      <c r="Q324" s="6">
        <v>1997</v>
      </c>
      <c r="R324" s="6" t="s">
        <v>2</v>
      </c>
      <c r="S324" s="6">
        <v>21</v>
      </c>
      <c r="T324" s="6">
        <v>12.5</v>
      </c>
      <c r="U324" s="6">
        <v>2024</v>
      </c>
      <c r="V324" s="6">
        <v>28.8</v>
      </c>
      <c r="W324" s="6">
        <v>0</v>
      </c>
      <c r="X324" s="6">
        <v>1100</v>
      </c>
      <c r="Y324" s="6">
        <v>712</v>
      </c>
      <c r="Z324" s="6">
        <v>162</v>
      </c>
      <c r="AA324" s="6">
        <v>50</v>
      </c>
      <c r="AB324" s="6">
        <v>0</v>
      </c>
      <c r="AC324" s="7">
        <v>61</v>
      </c>
      <c r="AD324" s="7" t="s">
        <v>52</v>
      </c>
      <c r="AE324" s="7">
        <v>31.39</v>
      </c>
      <c r="AF324" s="7">
        <v>380</v>
      </c>
      <c r="AG324" s="7">
        <v>29.21</v>
      </c>
      <c r="AH324" s="7">
        <v>31.29</v>
      </c>
      <c r="AI324" s="7">
        <v>36.380000000000003</v>
      </c>
      <c r="AJ324" s="9">
        <v>394.06092421697002</v>
      </c>
      <c r="AK324" s="9">
        <v>395.92733077104901</v>
      </c>
      <c r="AL324" s="9">
        <v>436.609718001038</v>
      </c>
      <c r="AM324" s="9">
        <v>62.9273182813887</v>
      </c>
      <c r="AN324" s="9">
        <v>1.03159538166211</v>
      </c>
      <c r="AO324" s="9">
        <v>0.43437015625762099</v>
      </c>
      <c r="AP324" s="9">
        <v>770.29231414842604</v>
      </c>
      <c r="AQ324" s="9">
        <v>12.627742854892199</v>
      </c>
      <c r="AR324" s="9">
        <v>10.1412080986634</v>
      </c>
      <c r="AS324" s="73" t="s">
        <v>169</v>
      </c>
      <c r="AT324" s="8"/>
      <c r="AU324" s="10" t="s">
        <v>169</v>
      </c>
      <c r="AV324" s="10">
        <v>0</v>
      </c>
      <c r="AW324" s="8"/>
      <c r="AX324" s="74" t="s">
        <v>169</v>
      </c>
      <c r="AY324" s="74"/>
      <c r="AZ324" s="74"/>
      <c r="BA324" s="74"/>
      <c r="BB324" s="8"/>
      <c r="BC324" s="8"/>
      <c r="BD324" s="8"/>
      <c r="BE324" s="8"/>
      <c r="BF324" s="12">
        <v>0.44</v>
      </c>
      <c r="BG324" s="13">
        <v>334.58858056146232</v>
      </c>
      <c r="BH324" s="96" t="str">
        <f>+VLOOKUP(G324,Liste!$A$7:$G$50,3,FALSE)</f>
        <v>Pin sylvestre</v>
      </c>
      <c r="BI324" s="96" t="str">
        <f>+VLOOKUP(H324,Liste!$B$7:$G$50,5,FALSE)</f>
        <v>GS Pineraies des plaines du Centre et du Nord Ouest</v>
      </c>
      <c r="BJ324" s="135">
        <f t="shared" si="110"/>
        <v>61</v>
      </c>
      <c r="BK324" s="135" t="str">
        <f t="shared" ref="BK324:BK387" si="112">+_xlfn.CONCAT(BH324,"_",J324,"_",I324,"_",BI324,"_",BJ324,"_")</f>
        <v>Pin sylvestre_F1_Eclaircie tardive_GS Pineraies des plaines du Centre et du Nord Ouest_61_</v>
      </c>
      <c r="BL324" s="322"/>
      <c r="BM324" s="13">
        <v>83.610037131444699</v>
      </c>
      <c r="BN324" s="13">
        <v>418.19861769290702</v>
      </c>
      <c r="BP324" s="13">
        <v>336.6929998</v>
      </c>
      <c r="BQ324" s="13">
        <v>9.3765615943213998</v>
      </c>
      <c r="BT324" s="298" t="str">
        <f>+VLOOKUP(G324,Liste!$A$7:$H$50,8,FALSE)</f>
        <v>Résineux</v>
      </c>
      <c r="BU324" s="298">
        <f t="shared" ref="BU324:BU387" si="113">IF(BT324="Résineux",0%,100%)</f>
        <v>0</v>
      </c>
      <c r="BV324" s="300">
        <f t="shared" ref="BV324:BV387" si="114">+IF(BT324="Résineux",100%,0%)</f>
        <v>1</v>
      </c>
      <c r="BW324" s="321">
        <v>0</v>
      </c>
      <c r="BX324" s="298">
        <f t="shared" ref="BX324:BX387" si="115">+IF(BV324&lt;&gt;0,0.43,0.25)</f>
        <v>0.43</v>
      </c>
      <c r="BY324">
        <f t="shared" ref="BY324:BY387" si="116">+IF(BJ324&lt;=30,AV324*BX324,0)</f>
        <v>0</v>
      </c>
      <c r="BZ324" s="304">
        <f t="shared" ref="BZ324:BZ387" si="117">+IF(BJ324&gt;=31,0,BY324+BZ323)</f>
        <v>0</v>
      </c>
      <c r="CB324" s="299">
        <v>0.6</v>
      </c>
      <c r="CC324" s="299">
        <v>0.4</v>
      </c>
      <c r="CD324">
        <f t="shared" ref="CD324:CD387" si="118">+IF(BJ324&lt;=31,AV324*CA324*0.5,0)</f>
        <v>0</v>
      </c>
      <c r="CE324">
        <f t="shared" ref="CE324:CE387" si="119">IF(BJ324&lt;=31,AV324*CB324,0)</f>
        <v>0</v>
      </c>
      <c r="CF324">
        <f t="shared" ref="CF324:CF387" si="120">IF(BJ324&lt;=31,AV324*CC324,0)</f>
        <v>0</v>
      </c>
      <c r="CG324">
        <f t="shared" ref="CG324:CG387" si="121">CD324*44/12*0.475*BF324</f>
        <v>0</v>
      </c>
      <c r="CH324">
        <f t="shared" ref="CH324:CH387" si="122">CE324*44/12*0.475*BF324</f>
        <v>0</v>
      </c>
      <c r="CI324">
        <f t="shared" ref="CI324:CI387" si="123">CF324*44/12*0.475*BF324</f>
        <v>0</v>
      </c>
      <c r="CJ324">
        <f t="shared" ref="CJ324:CJ387" si="124">+IF(BJ324&lt;=31,CJ323*EXP(-$CJ$1)+CG323*(1-EXP(-$CJ$1))/$CJ$1,0)</f>
        <v>0</v>
      </c>
      <c r="CK324">
        <f t="shared" ref="CK324:CK387" si="125">+IF(BJ324&lt;=31,CK323*EXP(-$CK$1)+CH323*(1-EXP(-$CK$1))/$CK$1,0)</f>
        <v>0</v>
      </c>
      <c r="CL324">
        <f t="shared" ref="CL324:CL387" si="126">+IF(BJ324&lt;=31,CL323*EXP(-$CL$1)+CI323*(1-EXP(-$CL$1))/$CL$1,0)</f>
        <v>0</v>
      </c>
      <c r="CM324">
        <f t="shared" si="109"/>
        <v>0</v>
      </c>
      <c r="CN324">
        <f t="shared" ref="CN324:CN387" si="127">+IF(BJ324&lt;=31,CM324+CN323,0)</f>
        <v>0</v>
      </c>
      <c r="CO324">
        <f t="shared" si="111"/>
        <v>0</v>
      </c>
    </row>
    <row r="325" spans="1:93" s="12" customFormat="1" ht="14.65" customHeight="1" x14ac:dyDescent="0.25">
      <c r="A325" s="4">
        <v>2021</v>
      </c>
      <c r="B325" s="4"/>
      <c r="C325" s="4" t="s">
        <v>64</v>
      </c>
      <c r="D325" s="4" t="s">
        <v>65</v>
      </c>
      <c r="E325" s="4"/>
      <c r="F325" s="4" t="s">
        <v>90</v>
      </c>
      <c r="G325" s="5" t="s">
        <v>15</v>
      </c>
      <c r="H325" s="5" t="s">
        <v>21</v>
      </c>
      <c r="I325" s="5" t="s">
        <v>147</v>
      </c>
      <c r="J325" s="5" t="s">
        <v>9</v>
      </c>
      <c r="K325" s="5">
        <v>28</v>
      </c>
      <c r="L325" s="5">
        <v>45</v>
      </c>
      <c r="M325" s="5">
        <v>2500</v>
      </c>
      <c r="N325" s="5" t="s">
        <v>170</v>
      </c>
      <c r="O325" s="6" t="s">
        <v>148</v>
      </c>
      <c r="P325" s="6" t="s">
        <v>80</v>
      </c>
      <c r="Q325" s="6">
        <v>1997</v>
      </c>
      <c r="R325" s="6" t="s">
        <v>2</v>
      </c>
      <c r="S325" s="6">
        <v>21</v>
      </c>
      <c r="T325" s="6">
        <v>12.5</v>
      </c>
      <c r="U325" s="6">
        <v>2024</v>
      </c>
      <c r="V325" s="6">
        <v>28.8</v>
      </c>
      <c r="W325" s="6">
        <v>0</v>
      </c>
      <c r="X325" s="6">
        <v>1100</v>
      </c>
      <c r="Y325" s="6">
        <v>712</v>
      </c>
      <c r="Z325" s="6">
        <v>162</v>
      </c>
      <c r="AA325" s="6">
        <v>50</v>
      </c>
      <c r="AB325" s="6">
        <v>0</v>
      </c>
      <c r="AC325" s="7">
        <v>62</v>
      </c>
      <c r="AD325" s="7" t="s">
        <v>52</v>
      </c>
      <c r="AE325" s="7">
        <v>31.69</v>
      </c>
      <c r="AF325" s="7">
        <v>380</v>
      </c>
      <c r="AG325" s="7">
        <v>29.65</v>
      </c>
      <c r="AH325" s="7">
        <v>31.52</v>
      </c>
      <c r="AI325" s="7">
        <v>36.67</v>
      </c>
      <c r="AJ325" s="9">
        <v>403.70386769631</v>
      </c>
      <c r="AK325" s="9">
        <v>405.60368393457998</v>
      </c>
      <c r="AL325" s="9">
        <v>446.75092609970102</v>
      </c>
      <c r="AM325" s="9">
        <v>63.361688437646301</v>
      </c>
      <c r="AN325" s="9">
        <v>1.02196271673623</v>
      </c>
      <c r="AO325" s="9">
        <v>0.42778543303357702</v>
      </c>
      <c r="AP325" s="9">
        <v>780.43352224708997</v>
      </c>
      <c r="AQ325" s="9">
        <v>12.5876374555982</v>
      </c>
      <c r="AR325" s="9">
        <v>10.102090859065401</v>
      </c>
      <c r="AS325" s="73" t="s">
        <v>169</v>
      </c>
      <c r="AT325" s="8"/>
      <c r="AU325" s="10" t="s">
        <v>169</v>
      </c>
      <c r="AV325" s="10">
        <v>0</v>
      </c>
      <c r="AW325" s="8"/>
      <c r="AX325" s="74" t="s">
        <v>169</v>
      </c>
      <c r="AY325" s="74"/>
      <c r="AZ325" s="74"/>
      <c r="BA325" s="74"/>
      <c r="BB325" s="8"/>
      <c r="BC325" s="8"/>
      <c r="BD325" s="8"/>
      <c r="BE325" s="8"/>
      <c r="BF325" s="12">
        <v>0.44</v>
      </c>
      <c r="BG325" s="13">
        <v>342.36012636773785</v>
      </c>
      <c r="BH325" s="96" t="str">
        <f>+VLOOKUP(G325,Liste!$A$7:$G$50,3,FALSE)</f>
        <v>Pin sylvestre</v>
      </c>
      <c r="BI325" s="96" t="str">
        <f>+VLOOKUP(H325,Liste!$B$7:$G$50,5,FALSE)</f>
        <v>GS Pineraies des plaines du Centre et du Nord Ouest</v>
      </c>
      <c r="BJ325" s="135">
        <f t="shared" si="110"/>
        <v>62</v>
      </c>
      <c r="BK325" s="135" t="str">
        <f t="shared" si="112"/>
        <v>Pin sylvestre_F1_Eclaircie tardive_GS Pineraies des plaines du Centre et du Nord Ouest_62_</v>
      </c>
      <c r="BL325" s="322"/>
      <c r="BM325" s="13">
        <v>85.323710131718144</v>
      </c>
      <c r="BN325" s="13">
        <v>427.68383649945599</v>
      </c>
      <c r="BP325" s="13">
        <v>336.6929998</v>
      </c>
      <c r="BQ325" s="13">
        <v>9.3379818783744195</v>
      </c>
      <c r="BT325" s="298" t="str">
        <f>+VLOOKUP(G325,Liste!$A$7:$H$50,8,FALSE)</f>
        <v>Résineux</v>
      </c>
      <c r="BU325" s="298">
        <f t="shared" si="113"/>
        <v>0</v>
      </c>
      <c r="BV325" s="300">
        <f t="shared" si="114"/>
        <v>1</v>
      </c>
      <c r="BW325" s="321">
        <v>0</v>
      </c>
      <c r="BX325" s="298">
        <f t="shared" si="115"/>
        <v>0.43</v>
      </c>
      <c r="BY325">
        <f t="shared" si="116"/>
        <v>0</v>
      </c>
      <c r="BZ325" s="304">
        <f t="shared" si="117"/>
        <v>0</v>
      </c>
      <c r="CB325" s="299">
        <v>0.6</v>
      </c>
      <c r="CC325" s="299">
        <v>0.4</v>
      </c>
      <c r="CD325">
        <f t="shared" si="118"/>
        <v>0</v>
      </c>
      <c r="CE325">
        <f t="shared" si="119"/>
        <v>0</v>
      </c>
      <c r="CF325">
        <f t="shared" si="120"/>
        <v>0</v>
      </c>
      <c r="CG325">
        <f t="shared" si="121"/>
        <v>0</v>
      </c>
      <c r="CH325">
        <f t="shared" si="122"/>
        <v>0</v>
      </c>
      <c r="CI325">
        <f t="shared" si="123"/>
        <v>0</v>
      </c>
      <c r="CJ325">
        <f t="shared" si="124"/>
        <v>0</v>
      </c>
      <c r="CK325">
        <f t="shared" si="125"/>
        <v>0</v>
      </c>
      <c r="CL325">
        <f t="shared" si="126"/>
        <v>0</v>
      </c>
      <c r="CM325">
        <f t="shared" ref="CM325:CM388" si="128">+CJ325+CK325+CL325</f>
        <v>0</v>
      </c>
      <c r="CN325">
        <f t="shared" si="127"/>
        <v>0</v>
      </c>
      <c r="CO325">
        <f t="shared" si="111"/>
        <v>0</v>
      </c>
    </row>
    <row r="326" spans="1:93" s="12" customFormat="1" ht="14.65" customHeight="1" x14ac:dyDescent="0.25">
      <c r="A326" s="4">
        <v>2021</v>
      </c>
      <c r="B326" s="4"/>
      <c r="C326" s="4" t="s">
        <v>64</v>
      </c>
      <c r="D326" s="4" t="s">
        <v>65</v>
      </c>
      <c r="E326" s="4"/>
      <c r="F326" s="4" t="s">
        <v>90</v>
      </c>
      <c r="G326" s="5" t="s">
        <v>15</v>
      </c>
      <c r="H326" s="5" t="s">
        <v>21</v>
      </c>
      <c r="I326" s="5" t="s">
        <v>147</v>
      </c>
      <c r="J326" s="5" t="s">
        <v>9</v>
      </c>
      <c r="K326" s="5">
        <v>28</v>
      </c>
      <c r="L326" s="5">
        <v>45</v>
      </c>
      <c r="M326" s="5">
        <v>2500</v>
      </c>
      <c r="N326" s="5" t="s">
        <v>170</v>
      </c>
      <c r="O326" s="6" t="s">
        <v>148</v>
      </c>
      <c r="P326" s="6" t="s">
        <v>80</v>
      </c>
      <c r="Q326" s="6">
        <v>1997</v>
      </c>
      <c r="R326" s="6" t="s">
        <v>2</v>
      </c>
      <c r="S326" s="6">
        <v>21</v>
      </c>
      <c r="T326" s="6">
        <v>12.5</v>
      </c>
      <c r="U326" s="6">
        <v>2024</v>
      </c>
      <c r="V326" s="6">
        <v>28.8</v>
      </c>
      <c r="W326" s="6">
        <v>0</v>
      </c>
      <c r="X326" s="6">
        <v>1100</v>
      </c>
      <c r="Y326" s="6">
        <v>712</v>
      </c>
      <c r="Z326" s="6">
        <v>162</v>
      </c>
      <c r="AA326" s="6">
        <v>50</v>
      </c>
      <c r="AB326" s="6">
        <v>0</v>
      </c>
      <c r="AC326" s="7">
        <v>63</v>
      </c>
      <c r="AD326" s="7" t="s">
        <v>52</v>
      </c>
      <c r="AE326" s="7">
        <v>31.99</v>
      </c>
      <c r="AF326" s="7">
        <v>380</v>
      </c>
      <c r="AG326" s="7">
        <v>30.08</v>
      </c>
      <c r="AH326" s="7">
        <v>31.75</v>
      </c>
      <c r="AI326" s="7">
        <v>36.96</v>
      </c>
      <c r="AJ326" s="9">
        <v>413.32129813801401</v>
      </c>
      <c r="AK326" s="9">
        <v>415.25362390981098</v>
      </c>
      <c r="AL326" s="9">
        <v>456.853016958767</v>
      </c>
      <c r="AM326" s="9">
        <v>63.789473870679899</v>
      </c>
      <c r="AN326" s="9">
        <v>1.0125313312806301</v>
      </c>
      <c r="AO326" s="9">
        <v>0.38384089782701403</v>
      </c>
      <c r="AP326" s="9">
        <v>790.53561310615498</v>
      </c>
      <c r="AQ326" s="9">
        <v>12.5481843350183</v>
      </c>
      <c r="AR326" s="9">
        <v>8.7094242454306805</v>
      </c>
      <c r="AS326" s="73" t="s">
        <v>169</v>
      </c>
      <c r="AT326" s="8"/>
      <c r="AU326" s="10" t="s">
        <v>169</v>
      </c>
      <c r="AV326" s="10">
        <v>0</v>
      </c>
      <c r="AW326" s="8"/>
      <c r="AX326" s="74" t="s">
        <v>169</v>
      </c>
      <c r="AY326" s="74"/>
      <c r="AZ326" s="74"/>
      <c r="BA326" s="74"/>
      <c r="BB326" s="8"/>
      <c r="BC326" s="8"/>
      <c r="BD326" s="8"/>
      <c r="BE326" s="8"/>
      <c r="BF326" s="12">
        <v>0.44</v>
      </c>
      <c r="BG326" s="13">
        <v>350.10169532940137</v>
      </c>
      <c r="BH326" s="96" t="str">
        <f>+VLOOKUP(G326,Liste!$A$7:$G$50,3,FALSE)</f>
        <v>Pin sylvestre</v>
      </c>
      <c r="BI326" s="96" t="str">
        <f>+VLOOKUP(H326,Liste!$B$7:$G$50,5,FALSE)</f>
        <v>GS Pineraies des plaines du Centre et du Nord Ouest</v>
      </c>
      <c r="BJ326" s="135">
        <f t="shared" si="110"/>
        <v>63</v>
      </c>
      <c r="BK326" s="135" t="str">
        <f t="shared" si="112"/>
        <v>Pin sylvestre_F1_Eclaircie tardive_GS Pineraies des plaines du Centre et du Nord Ouest_63_</v>
      </c>
      <c r="BL326" s="322"/>
      <c r="BM326" s="13">
        <v>87.026276623008641</v>
      </c>
      <c r="BN326" s="13">
        <v>437.12797195241001</v>
      </c>
      <c r="BP326" s="13">
        <v>336.6929998</v>
      </c>
      <c r="BQ326" s="13">
        <v>8.04874875874361</v>
      </c>
      <c r="BT326" s="298" t="str">
        <f>+VLOOKUP(G326,Liste!$A$7:$H$50,8,FALSE)</f>
        <v>Résineux</v>
      </c>
      <c r="BU326" s="298">
        <f t="shared" si="113"/>
        <v>0</v>
      </c>
      <c r="BV326" s="300">
        <f t="shared" si="114"/>
        <v>1</v>
      </c>
      <c r="BW326" s="321">
        <v>0</v>
      </c>
      <c r="BX326" s="298">
        <f t="shared" si="115"/>
        <v>0.43</v>
      </c>
      <c r="BY326">
        <f t="shared" si="116"/>
        <v>0</v>
      </c>
      <c r="BZ326" s="304">
        <f t="shared" si="117"/>
        <v>0</v>
      </c>
      <c r="CB326" s="299">
        <v>0.6</v>
      </c>
      <c r="CC326" s="299">
        <v>0.4</v>
      </c>
      <c r="CD326">
        <f t="shared" si="118"/>
        <v>0</v>
      </c>
      <c r="CE326">
        <f t="shared" si="119"/>
        <v>0</v>
      </c>
      <c r="CF326">
        <f t="shared" si="120"/>
        <v>0</v>
      </c>
      <c r="CG326">
        <f t="shared" si="121"/>
        <v>0</v>
      </c>
      <c r="CH326">
        <f t="shared" si="122"/>
        <v>0</v>
      </c>
      <c r="CI326">
        <f t="shared" si="123"/>
        <v>0</v>
      </c>
      <c r="CJ326">
        <f t="shared" si="124"/>
        <v>0</v>
      </c>
      <c r="CK326">
        <f t="shared" si="125"/>
        <v>0</v>
      </c>
      <c r="CL326">
        <f t="shared" si="126"/>
        <v>0</v>
      </c>
      <c r="CM326">
        <f t="shared" si="128"/>
        <v>0</v>
      </c>
      <c r="CN326">
        <f t="shared" si="127"/>
        <v>0</v>
      </c>
      <c r="CO326">
        <f t="shared" si="111"/>
        <v>0</v>
      </c>
    </row>
    <row r="327" spans="1:93" s="12" customFormat="1" ht="14.65" customHeight="1" x14ac:dyDescent="0.25">
      <c r="A327" s="4">
        <v>2021</v>
      </c>
      <c r="B327" s="4"/>
      <c r="C327" s="4" t="s">
        <v>64</v>
      </c>
      <c r="D327" s="4" t="s">
        <v>65</v>
      </c>
      <c r="E327" s="4"/>
      <c r="F327" s="4" t="s">
        <v>90</v>
      </c>
      <c r="G327" s="5" t="s">
        <v>15</v>
      </c>
      <c r="H327" s="5" t="s">
        <v>21</v>
      </c>
      <c r="I327" s="5" t="s">
        <v>147</v>
      </c>
      <c r="J327" s="5" t="s">
        <v>9</v>
      </c>
      <c r="K327" s="5">
        <v>28</v>
      </c>
      <c r="L327" s="5">
        <v>45</v>
      </c>
      <c r="M327" s="5">
        <v>2500</v>
      </c>
      <c r="N327" s="5" t="s">
        <v>170</v>
      </c>
      <c r="O327" s="6" t="s">
        <v>148</v>
      </c>
      <c r="P327" s="6" t="s">
        <v>80</v>
      </c>
      <c r="Q327" s="6">
        <v>1997</v>
      </c>
      <c r="R327" s="6" t="s">
        <v>2</v>
      </c>
      <c r="S327" s="6">
        <v>21</v>
      </c>
      <c r="T327" s="6">
        <v>12.5</v>
      </c>
      <c r="U327" s="6">
        <v>2024</v>
      </c>
      <c r="V327" s="6">
        <v>28.8</v>
      </c>
      <c r="W327" s="6">
        <v>0</v>
      </c>
      <c r="X327" s="6">
        <v>1100</v>
      </c>
      <c r="Y327" s="6">
        <v>712</v>
      </c>
      <c r="Z327" s="6">
        <v>162</v>
      </c>
      <c r="AA327" s="6">
        <v>50</v>
      </c>
      <c r="AB327" s="6">
        <v>0</v>
      </c>
      <c r="AC327" s="7">
        <v>63</v>
      </c>
      <c r="AD327" s="7" t="s">
        <v>53</v>
      </c>
      <c r="AE327" s="7">
        <v>31.99</v>
      </c>
      <c r="AF327" s="7">
        <v>312</v>
      </c>
      <c r="AG327" s="7">
        <v>25.98</v>
      </c>
      <c r="AH327" s="7">
        <v>32.56</v>
      </c>
      <c r="AI327" s="7">
        <v>36.96</v>
      </c>
      <c r="AJ327" s="9">
        <v>358.50542809206303</v>
      </c>
      <c r="AK327" s="9">
        <v>360.26830779097202</v>
      </c>
      <c r="AL327" s="9">
        <v>396.45026163523602</v>
      </c>
      <c r="AM327" s="9">
        <v>63.789473870679899</v>
      </c>
      <c r="AN327" s="9">
        <v>1.0125313312806301</v>
      </c>
      <c r="AO327" s="9">
        <v>0.38384089782701403</v>
      </c>
      <c r="AP327" s="9">
        <v>790.53561310615498</v>
      </c>
      <c r="AQ327" s="9">
        <v>12.5481843350183</v>
      </c>
      <c r="AR327" s="9">
        <v>8.7094242454306805</v>
      </c>
      <c r="AS327" s="73">
        <v>68</v>
      </c>
      <c r="AT327" s="8">
        <v>4.0999999999999979</v>
      </c>
      <c r="AU327" s="10">
        <v>27.707193091893931</v>
      </c>
      <c r="AV327" s="10">
        <v>54.815870045950987</v>
      </c>
      <c r="AW327" s="8">
        <v>0.76</v>
      </c>
      <c r="AX327" s="74">
        <v>0.80611573596986741</v>
      </c>
      <c r="AY327" s="74"/>
      <c r="AZ327" s="74"/>
      <c r="BA327" s="74"/>
      <c r="BB327" s="8"/>
      <c r="BC327" s="8"/>
      <c r="BD327" s="8"/>
      <c r="BE327" s="8"/>
      <c r="BF327" s="12">
        <v>0.44</v>
      </c>
      <c r="BG327" s="13">
        <v>303.81305049980244</v>
      </c>
      <c r="BH327" s="96" t="str">
        <f>+VLOOKUP(G327,Liste!$A$7:$G$50,3,FALSE)</f>
        <v>Pin sylvestre</v>
      </c>
      <c r="BI327" s="96" t="str">
        <f>+VLOOKUP(H327,Liste!$B$7:$G$50,5,FALSE)</f>
        <v>GS Pineraies des plaines du Centre et du Nord Ouest</v>
      </c>
      <c r="BJ327" s="135">
        <f t="shared" si="110"/>
        <v>63</v>
      </c>
      <c r="BK327" s="135" t="str">
        <f t="shared" si="112"/>
        <v>Pin sylvestre_F1_Eclaircie tardive_GS Pineraies des plaines du Centre et du Nord Ouest_63_</v>
      </c>
      <c r="BL327" s="322"/>
      <c r="BM327" s="13">
        <v>76.777052075264578</v>
      </c>
      <c r="BN327" s="13">
        <v>380.59010257506702</v>
      </c>
      <c r="BO327" s="13">
        <v>56.537869377342986</v>
      </c>
      <c r="BP327" s="13">
        <v>336.6929998</v>
      </c>
      <c r="BQ327" s="13">
        <v>8.04874875874361</v>
      </c>
      <c r="BT327" s="298" t="str">
        <f>+VLOOKUP(G327,Liste!$A$7:$H$50,8,FALSE)</f>
        <v>Résineux</v>
      </c>
      <c r="BU327" s="298">
        <f t="shared" si="113"/>
        <v>0</v>
      </c>
      <c r="BV327" s="300">
        <f t="shared" si="114"/>
        <v>1</v>
      </c>
      <c r="BW327" s="321">
        <v>0</v>
      </c>
      <c r="BX327" s="298">
        <f t="shared" si="115"/>
        <v>0.43</v>
      </c>
      <c r="BY327">
        <f t="shared" si="116"/>
        <v>0</v>
      </c>
      <c r="BZ327" s="304">
        <f t="shared" si="117"/>
        <v>0</v>
      </c>
      <c r="CB327" s="299">
        <v>0.6</v>
      </c>
      <c r="CC327" s="299">
        <v>0.4</v>
      </c>
      <c r="CD327">
        <f t="shared" si="118"/>
        <v>0</v>
      </c>
      <c r="CE327">
        <f t="shared" si="119"/>
        <v>0</v>
      </c>
      <c r="CF327">
        <f t="shared" si="120"/>
        <v>0</v>
      </c>
      <c r="CG327">
        <f t="shared" si="121"/>
        <v>0</v>
      </c>
      <c r="CH327">
        <f t="shared" si="122"/>
        <v>0</v>
      </c>
      <c r="CI327">
        <f t="shared" si="123"/>
        <v>0</v>
      </c>
      <c r="CJ327">
        <f t="shared" si="124"/>
        <v>0</v>
      </c>
      <c r="CK327">
        <f t="shared" si="125"/>
        <v>0</v>
      </c>
      <c r="CL327">
        <f t="shared" si="126"/>
        <v>0</v>
      </c>
      <c r="CM327">
        <f t="shared" si="128"/>
        <v>0</v>
      </c>
      <c r="CN327">
        <f t="shared" si="127"/>
        <v>0</v>
      </c>
      <c r="CO327">
        <f t="shared" si="111"/>
        <v>0</v>
      </c>
    </row>
    <row r="328" spans="1:93" s="12" customFormat="1" ht="14.65" customHeight="1" x14ac:dyDescent="0.25">
      <c r="A328" s="4">
        <v>2021</v>
      </c>
      <c r="B328" s="4"/>
      <c r="C328" s="4" t="s">
        <v>64</v>
      </c>
      <c r="D328" s="4" t="s">
        <v>65</v>
      </c>
      <c r="E328" s="4"/>
      <c r="F328" s="4" t="s">
        <v>90</v>
      </c>
      <c r="G328" s="5" t="s">
        <v>15</v>
      </c>
      <c r="H328" s="5" t="s">
        <v>21</v>
      </c>
      <c r="I328" s="5" t="s">
        <v>147</v>
      </c>
      <c r="J328" s="5" t="s">
        <v>9</v>
      </c>
      <c r="K328" s="5">
        <v>28</v>
      </c>
      <c r="L328" s="5">
        <v>45</v>
      </c>
      <c r="M328" s="5">
        <v>2500</v>
      </c>
      <c r="N328" s="5" t="s">
        <v>170</v>
      </c>
      <c r="O328" s="6" t="s">
        <v>148</v>
      </c>
      <c r="P328" s="6" t="s">
        <v>80</v>
      </c>
      <c r="Q328" s="6">
        <v>1997</v>
      </c>
      <c r="R328" s="6" t="s">
        <v>2</v>
      </c>
      <c r="S328" s="6">
        <v>21</v>
      </c>
      <c r="T328" s="6">
        <v>12.5</v>
      </c>
      <c r="U328" s="6">
        <v>2024</v>
      </c>
      <c r="V328" s="6">
        <v>28.8</v>
      </c>
      <c r="W328" s="6">
        <v>0</v>
      </c>
      <c r="X328" s="6">
        <v>1100</v>
      </c>
      <c r="Y328" s="6">
        <v>712</v>
      </c>
      <c r="Z328" s="6">
        <v>162</v>
      </c>
      <c r="AA328" s="6">
        <v>50</v>
      </c>
      <c r="AB328" s="6">
        <v>0</v>
      </c>
      <c r="AC328" s="7">
        <v>64</v>
      </c>
      <c r="AD328" s="7" t="s">
        <v>52</v>
      </c>
      <c r="AE328" s="7">
        <v>32.29</v>
      </c>
      <c r="AF328" s="7">
        <v>312</v>
      </c>
      <c r="AG328" s="7">
        <v>26.37</v>
      </c>
      <c r="AH328" s="7">
        <v>32.799999999999997</v>
      </c>
      <c r="AI328" s="7">
        <v>37.25</v>
      </c>
      <c r="AJ328" s="9">
        <v>366.73497793410399</v>
      </c>
      <c r="AK328" s="9">
        <v>368.53254872908099</v>
      </c>
      <c r="AL328" s="9">
        <v>405.15968588066698</v>
      </c>
      <c r="AM328" s="9">
        <v>64.173314768506899</v>
      </c>
      <c r="AN328" s="9">
        <v>1.0027080432579201</v>
      </c>
      <c r="AO328" s="9">
        <v>0.37809622862454301</v>
      </c>
      <c r="AP328" s="9">
        <v>799.24503735158601</v>
      </c>
      <c r="AQ328" s="9">
        <v>12.488203708618499</v>
      </c>
      <c r="AR328" s="9">
        <v>8.9537970388636303</v>
      </c>
      <c r="AS328" s="73" t="s">
        <v>169</v>
      </c>
      <c r="AT328" s="8"/>
      <c r="AU328" s="10" t="s">
        <v>169</v>
      </c>
      <c r="AV328" s="10">
        <v>0</v>
      </c>
      <c r="AW328" s="8"/>
      <c r="AX328" s="74" t="s">
        <v>169</v>
      </c>
      <c r="AY328" s="74"/>
      <c r="AZ328" s="74"/>
      <c r="BA328" s="74"/>
      <c r="BB328" s="8"/>
      <c r="BC328" s="8"/>
      <c r="BD328" s="8"/>
      <c r="BE328" s="8"/>
      <c r="BF328" s="12">
        <v>0.44</v>
      </c>
      <c r="BG328" s="13">
        <v>310.48737261321742</v>
      </c>
      <c r="BH328" s="96" t="str">
        <f>+VLOOKUP(G328,Liste!$A$7:$G$50,3,FALSE)</f>
        <v>Pin sylvestre</v>
      </c>
      <c r="BI328" s="96" t="str">
        <f>+VLOOKUP(H328,Liste!$B$7:$G$50,5,FALSE)</f>
        <v>GS Pineraies des plaines du Centre et du Nord Ouest</v>
      </c>
      <c r="BJ328" s="135">
        <f t="shared" si="110"/>
        <v>64</v>
      </c>
      <c r="BK328" s="135" t="str">
        <f t="shared" si="112"/>
        <v>Pin sylvestre_F1_Eclaircie tardive_GS Pineraies des plaines du Centre et du Nord Ouest_64_</v>
      </c>
      <c r="BL328" s="322"/>
      <c r="BM328" s="13">
        <v>78.2655106091226</v>
      </c>
      <c r="BN328" s="13">
        <v>388.75288322234002</v>
      </c>
      <c r="BP328" s="13">
        <v>336.6929998</v>
      </c>
      <c r="BQ328" s="13">
        <v>8.2727679456214709</v>
      </c>
      <c r="BT328" s="298" t="str">
        <f>+VLOOKUP(G328,Liste!$A$7:$H$50,8,FALSE)</f>
        <v>Résineux</v>
      </c>
      <c r="BU328" s="298">
        <f t="shared" si="113"/>
        <v>0</v>
      </c>
      <c r="BV328" s="300">
        <f t="shared" si="114"/>
        <v>1</v>
      </c>
      <c r="BW328" s="321">
        <v>0</v>
      </c>
      <c r="BX328" s="298">
        <f t="shared" si="115"/>
        <v>0.43</v>
      </c>
      <c r="BY328">
        <f t="shared" si="116"/>
        <v>0</v>
      </c>
      <c r="BZ328" s="304">
        <f t="shared" si="117"/>
        <v>0</v>
      </c>
      <c r="CB328" s="299">
        <v>0.6</v>
      </c>
      <c r="CC328" s="299">
        <v>0.4</v>
      </c>
      <c r="CD328">
        <f t="shared" si="118"/>
        <v>0</v>
      </c>
      <c r="CE328">
        <f t="shared" si="119"/>
        <v>0</v>
      </c>
      <c r="CF328">
        <f t="shared" si="120"/>
        <v>0</v>
      </c>
      <c r="CG328">
        <f t="shared" si="121"/>
        <v>0</v>
      </c>
      <c r="CH328">
        <f t="shared" si="122"/>
        <v>0</v>
      </c>
      <c r="CI328">
        <f t="shared" si="123"/>
        <v>0</v>
      </c>
      <c r="CJ328">
        <f t="shared" si="124"/>
        <v>0</v>
      </c>
      <c r="CK328">
        <f t="shared" si="125"/>
        <v>0</v>
      </c>
      <c r="CL328">
        <f t="shared" si="126"/>
        <v>0</v>
      </c>
      <c r="CM328">
        <f t="shared" si="128"/>
        <v>0</v>
      </c>
      <c r="CN328">
        <f t="shared" si="127"/>
        <v>0</v>
      </c>
      <c r="CO328">
        <f t="shared" si="111"/>
        <v>0</v>
      </c>
    </row>
    <row r="329" spans="1:93" s="12" customFormat="1" ht="14.65" customHeight="1" x14ac:dyDescent="0.25">
      <c r="A329" s="4">
        <v>2021</v>
      </c>
      <c r="B329" s="4"/>
      <c r="C329" s="4" t="s">
        <v>64</v>
      </c>
      <c r="D329" s="4" t="s">
        <v>65</v>
      </c>
      <c r="E329" s="4"/>
      <c r="F329" s="4" t="s">
        <v>90</v>
      </c>
      <c r="G329" s="5" t="s">
        <v>15</v>
      </c>
      <c r="H329" s="5" t="s">
        <v>21</v>
      </c>
      <c r="I329" s="5" t="s">
        <v>147</v>
      </c>
      <c r="J329" s="5" t="s">
        <v>9</v>
      </c>
      <c r="K329" s="5">
        <v>28</v>
      </c>
      <c r="L329" s="5">
        <v>45</v>
      </c>
      <c r="M329" s="5">
        <v>2500</v>
      </c>
      <c r="N329" s="5" t="s">
        <v>170</v>
      </c>
      <c r="O329" s="6" t="s">
        <v>148</v>
      </c>
      <c r="P329" s="6" t="s">
        <v>80</v>
      </c>
      <c r="Q329" s="6">
        <v>1997</v>
      </c>
      <c r="R329" s="6" t="s">
        <v>2</v>
      </c>
      <c r="S329" s="6">
        <v>21</v>
      </c>
      <c r="T329" s="6">
        <v>12.5</v>
      </c>
      <c r="U329" s="6">
        <v>2024</v>
      </c>
      <c r="V329" s="6">
        <v>28.8</v>
      </c>
      <c r="W329" s="6">
        <v>0</v>
      </c>
      <c r="X329" s="6">
        <v>1100</v>
      </c>
      <c r="Y329" s="6">
        <v>712</v>
      </c>
      <c r="Z329" s="6">
        <v>162</v>
      </c>
      <c r="AA329" s="6">
        <v>50</v>
      </c>
      <c r="AB329" s="6">
        <v>0</v>
      </c>
      <c r="AC329" s="7">
        <v>65</v>
      </c>
      <c r="AD329" s="7" t="s">
        <v>52</v>
      </c>
      <c r="AE329" s="7">
        <v>32.57</v>
      </c>
      <c r="AF329" s="7">
        <v>312</v>
      </c>
      <c r="AG329" s="7">
        <v>26.74</v>
      </c>
      <c r="AH329" s="7">
        <v>33.04</v>
      </c>
      <c r="AI329" s="7">
        <v>37.53</v>
      </c>
      <c r="AJ329" s="9">
        <v>375.24553617040402</v>
      </c>
      <c r="AK329" s="9">
        <v>377.07447626251002</v>
      </c>
      <c r="AL329" s="9">
        <v>414.11348291952999</v>
      </c>
      <c r="AM329" s="9">
        <v>64.551410997131399</v>
      </c>
      <c r="AN329" s="9">
        <v>0.99309863072509896</v>
      </c>
      <c r="AO329" s="9">
        <v>0.37249690520620499</v>
      </c>
      <c r="AP329" s="9">
        <v>808.19883439044895</v>
      </c>
      <c r="AQ329" s="9">
        <v>12.433828221391501</v>
      </c>
      <c r="AR329" s="9">
        <v>8.8400460291594491</v>
      </c>
      <c r="AS329" s="73" t="s">
        <v>169</v>
      </c>
      <c r="AT329" s="8"/>
      <c r="AU329" s="10" t="s">
        <v>169</v>
      </c>
      <c r="AV329" s="10">
        <v>0</v>
      </c>
      <c r="AW329" s="8"/>
      <c r="AX329" s="74" t="s">
        <v>169</v>
      </c>
      <c r="AY329" s="74"/>
      <c r="AZ329" s="74"/>
      <c r="BA329" s="74"/>
      <c r="BB329" s="8"/>
      <c r="BC329" s="8"/>
      <c r="BD329" s="8"/>
      <c r="BE329" s="8"/>
      <c r="BF329" s="12">
        <v>0.44</v>
      </c>
      <c r="BG329" s="13">
        <v>317.34896574399994</v>
      </c>
      <c r="BH329" s="96" t="str">
        <f>+VLOOKUP(G329,Liste!$A$7:$G$50,3,FALSE)</f>
        <v>Pin sylvestre</v>
      </c>
      <c r="BI329" s="96" t="str">
        <f>+VLOOKUP(H329,Liste!$B$7:$G$50,5,FALSE)</f>
        <v>GS Pineraies des plaines du Centre et du Nord Ouest</v>
      </c>
      <c r="BJ329" s="135">
        <f t="shared" si="110"/>
        <v>65</v>
      </c>
      <c r="BK329" s="135" t="str">
        <f t="shared" si="112"/>
        <v>Pin sylvestre_F1_Eclaircie tardive_GS Pineraies des plaines du Centre et du Nord Ouest_65_</v>
      </c>
      <c r="BL329" s="322"/>
      <c r="BM329" s="13">
        <v>79.791855767514051</v>
      </c>
      <c r="BN329" s="13">
        <v>397.14082151151399</v>
      </c>
      <c r="BP329" s="13">
        <v>336.6929998</v>
      </c>
      <c r="BQ329" s="13">
        <v>8.1658846339151996</v>
      </c>
      <c r="BT329" s="298" t="str">
        <f>+VLOOKUP(G329,Liste!$A$7:$H$50,8,FALSE)</f>
        <v>Résineux</v>
      </c>
      <c r="BU329" s="298">
        <f t="shared" si="113"/>
        <v>0</v>
      </c>
      <c r="BV329" s="300">
        <f t="shared" si="114"/>
        <v>1</v>
      </c>
      <c r="BW329" s="321">
        <v>0</v>
      </c>
      <c r="BX329" s="298">
        <f t="shared" si="115"/>
        <v>0.43</v>
      </c>
      <c r="BY329">
        <f t="shared" si="116"/>
        <v>0</v>
      </c>
      <c r="BZ329" s="304">
        <f t="shared" si="117"/>
        <v>0</v>
      </c>
      <c r="CB329" s="299">
        <v>0.6</v>
      </c>
      <c r="CC329" s="299">
        <v>0.4</v>
      </c>
      <c r="CD329">
        <f t="shared" si="118"/>
        <v>0</v>
      </c>
      <c r="CE329">
        <f t="shared" si="119"/>
        <v>0</v>
      </c>
      <c r="CF329">
        <f t="shared" si="120"/>
        <v>0</v>
      </c>
      <c r="CG329">
        <f t="shared" si="121"/>
        <v>0</v>
      </c>
      <c r="CH329">
        <f t="shared" si="122"/>
        <v>0</v>
      </c>
      <c r="CI329">
        <f t="shared" si="123"/>
        <v>0</v>
      </c>
      <c r="CJ329">
        <f t="shared" si="124"/>
        <v>0</v>
      </c>
      <c r="CK329">
        <f t="shared" si="125"/>
        <v>0</v>
      </c>
      <c r="CL329">
        <f t="shared" si="126"/>
        <v>0</v>
      </c>
      <c r="CM329">
        <f t="shared" si="128"/>
        <v>0</v>
      </c>
      <c r="CN329">
        <f t="shared" si="127"/>
        <v>0</v>
      </c>
      <c r="CO329">
        <f t="shared" si="111"/>
        <v>0</v>
      </c>
    </row>
    <row r="330" spans="1:93" s="12" customFormat="1" ht="14.65" customHeight="1" x14ac:dyDescent="0.25">
      <c r="A330" s="4">
        <v>2021</v>
      </c>
      <c r="B330" s="4"/>
      <c r="C330" s="4" t="s">
        <v>64</v>
      </c>
      <c r="D330" s="4" t="s">
        <v>65</v>
      </c>
      <c r="E330" s="4"/>
      <c r="F330" s="4" t="s">
        <v>90</v>
      </c>
      <c r="G330" s="5" t="s">
        <v>15</v>
      </c>
      <c r="H330" s="5" t="s">
        <v>21</v>
      </c>
      <c r="I330" s="5" t="s">
        <v>147</v>
      </c>
      <c r="J330" s="5" t="s">
        <v>9</v>
      </c>
      <c r="K330" s="5">
        <v>28</v>
      </c>
      <c r="L330" s="5">
        <v>45</v>
      </c>
      <c r="M330" s="5">
        <v>2500</v>
      </c>
      <c r="N330" s="5" t="s">
        <v>170</v>
      </c>
      <c r="O330" s="6" t="s">
        <v>148</v>
      </c>
      <c r="P330" s="6" t="s">
        <v>80</v>
      </c>
      <c r="Q330" s="6">
        <v>1997</v>
      </c>
      <c r="R330" s="6" t="s">
        <v>2</v>
      </c>
      <c r="S330" s="6">
        <v>21</v>
      </c>
      <c r="T330" s="6">
        <v>12.5</v>
      </c>
      <c r="U330" s="6">
        <v>2024</v>
      </c>
      <c r="V330" s="6">
        <v>28.8</v>
      </c>
      <c r="W330" s="6">
        <v>0</v>
      </c>
      <c r="X330" s="6">
        <v>1100</v>
      </c>
      <c r="Y330" s="6">
        <v>712</v>
      </c>
      <c r="Z330" s="6">
        <v>162</v>
      </c>
      <c r="AA330" s="6">
        <v>50</v>
      </c>
      <c r="AB330" s="6">
        <v>0</v>
      </c>
      <c r="AC330" s="7">
        <v>66</v>
      </c>
      <c r="AD330" s="7" t="s">
        <v>52</v>
      </c>
      <c r="AE330" s="7">
        <v>32.86</v>
      </c>
      <c r="AF330" s="7">
        <v>312</v>
      </c>
      <c r="AG330" s="7">
        <v>27.12</v>
      </c>
      <c r="AH330" s="7">
        <v>33.270000000000003</v>
      </c>
      <c r="AI330" s="7">
        <v>37.81</v>
      </c>
      <c r="AJ330" s="9">
        <v>383.647106662189</v>
      </c>
      <c r="AK330" s="9">
        <v>385.50735039579803</v>
      </c>
      <c r="AL330" s="9">
        <v>422.95352894869001</v>
      </c>
      <c r="AM330" s="9">
        <v>64.923907902337604</v>
      </c>
      <c r="AN330" s="9">
        <v>0.98369557427784304</v>
      </c>
      <c r="AO330" s="9">
        <v>0.36728113883492602</v>
      </c>
      <c r="AP330" s="9">
        <v>817.03888041960897</v>
      </c>
      <c r="AQ330" s="9">
        <v>12.379376976054701</v>
      </c>
      <c r="AR330" s="9">
        <v>8.87160465726868</v>
      </c>
      <c r="AS330" s="73" t="s">
        <v>169</v>
      </c>
      <c r="AT330" s="8"/>
      <c r="AU330" s="10" t="s">
        <v>169</v>
      </c>
      <c r="AV330" s="10">
        <v>0</v>
      </c>
      <c r="AW330" s="8"/>
      <c r="AX330" s="74" t="s">
        <v>169</v>
      </c>
      <c r="AY330" s="74"/>
      <c r="AZ330" s="74"/>
      <c r="BA330" s="74"/>
      <c r="BB330" s="8"/>
      <c r="BC330" s="8"/>
      <c r="BD330" s="8"/>
      <c r="BE330" s="8"/>
      <c r="BF330" s="12">
        <v>0.44</v>
      </c>
      <c r="BG330" s="13">
        <v>324.12338768434569</v>
      </c>
      <c r="BH330" s="96" t="str">
        <f>+VLOOKUP(G330,Liste!$A$7:$G$50,3,FALSE)</f>
        <v>Pin sylvestre</v>
      </c>
      <c r="BI330" s="96" t="str">
        <f>+VLOOKUP(H330,Liste!$B$7:$G$50,5,FALSE)</f>
        <v>GS Pineraies des plaines du Centre et du Nord Ouest</v>
      </c>
      <c r="BJ330" s="135">
        <f t="shared" si="110"/>
        <v>66</v>
      </c>
      <c r="BK330" s="135" t="str">
        <f t="shared" si="112"/>
        <v>Pin sylvestre_F1_Eclaircie tardive_GS Pineraies des plaines du Centre et du Nord Ouest_66_</v>
      </c>
      <c r="BL330" s="322"/>
      <c r="BM330" s="13">
        <v>81.295045406218321</v>
      </c>
      <c r="BN330" s="13">
        <v>405.41843309056401</v>
      </c>
      <c r="BP330" s="13">
        <v>336.6929998</v>
      </c>
      <c r="BQ330" s="13">
        <v>8.1932758214993608</v>
      </c>
      <c r="BT330" s="298" t="str">
        <f>+VLOOKUP(G330,Liste!$A$7:$H$50,8,FALSE)</f>
        <v>Résineux</v>
      </c>
      <c r="BU330" s="298">
        <f t="shared" si="113"/>
        <v>0</v>
      </c>
      <c r="BV330" s="300">
        <f t="shared" si="114"/>
        <v>1</v>
      </c>
      <c r="BW330" s="321">
        <v>0</v>
      </c>
      <c r="BX330" s="298">
        <f t="shared" si="115"/>
        <v>0.43</v>
      </c>
      <c r="BY330">
        <f t="shared" si="116"/>
        <v>0</v>
      </c>
      <c r="BZ330" s="304">
        <f t="shared" si="117"/>
        <v>0</v>
      </c>
      <c r="CB330" s="299">
        <v>0.6</v>
      </c>
      <c r="CC330" s="299">
        <v>0.4</v>
      </c>
      <c r="CD330">
        <f t="shared" si="118"/>
        <v>0</v>
      </c>
      <c r="CE330">
        <f t="shared" si="119"/>
        <v>0</v>
      </c>
      <c r="CF330">
        <f t="shared" si="120"/>
        <v>0</v>
      </c>
      <c r="CG330">
        <f t="shared" si="121"/>
        <v>0</v>
      </c>
      <c r="CH330">
        <f t="shared" si="122"/>
        <v>0</v>
      </c>
      <c r="CI330">
        <f t="shared" si="123"/>
        <v>0</v>
      </c>
      <c r="CJ330">
        <f t="shared" si="124"/>
        <v>0</v>
      </c>
      <c r="CK330">
        <f t="shared" si="125"/>
        <v>0</v>
      </c>
      <c r="CL330">
        <f t="shared" si="126"/>
        <v>0</v>
      </c>
      <c r="CM330">
        <f t="shared" si="128"/>
        <v>0</v>
      </c>
      <c r="CN330">
        <f t="shared" si="127"/>
        <v>0</v>
      </c>
      <c r="CO330">
        <f t="shared" si="111"/>
        <v>0</v>
      </c>
    </row>
    <row r="331" spans="1:93" s="12" customFormat="1" ht="14.65" customHeight="1" x14ac:dyDescent="0.25">
      <c r="A331" s="4">
        <v>2021</v>
      </c>
      <c r="B331" s="4"/>
      <c r="C331" s="4" t="s">
        <v>64</v>
      </c>
      <c r="D331" s="4" t="s">
        <v>65</v>
      </c>
      <c r="E331" s="4"/>
      <c r="F331" s="4" t="s">
        <v>90</v>
      </c>
      <c r="G331" s="5" t="s">
        <v>15</v>
      </c>
      <c r="H331" s="5" t="s">
        <v>21</v>
      </c>
      <c r="I331" s="5" t="s">
        <v>147</v>
      </c>
      <c r="J331" s="5" t="s">
        <v>9</v>
      </c>
      <c r="K331" s="5">
        <v>28</v>
      </c>
      <c r="L331" s="5">
        <v>45</v>
      </c>
      <c r="M331" s="5">
        <v>2500</v>
      </c>
      <c r="N331" s="5" t="s">
        <v>170</v>
      </c>
      <c r="O331" s="6" t="s">
        <v>148</v>
      </c>
      <c r="P331" s="6" t="s">
        <v>80</v>
      </c>
      <c r="Q331" s="6">
        <v>1997</v>
      </c>
      <c r="R331" s="6" t="s">
        <v>2</v>
      </c>
      <c r="S331" s="6">
        <v>21</v>
      </c>
      <c r="T331" s="6">
        <v>12.5</v>
      </c>
      <c r="U331" s="6">
        <v>2024</v>
      </c>
      <c r="V331" s="6">
        <v>28.8</v>
      </c>
      <c r="W331" s="6">
        <v>0</v>
      </c>
      <c r="X331" s="6">
        <v>1100</v>
      </c>
      <c r="Y331" s="6">
        <v>712</v>
      </c>
      <c r="Z331" s="6">
        <v>162</v>
      </c>
      <c r="AA331" s="6">
        <v>50</v>
      </c>
      <c r="AB331" s="6">
        <v>0</v>
      </c>
      <c r="AC331" s="7">
        <v>67</v>
      </c>
      <c r="AD331" s="7" t="s">
        <v>52</v>
      </c>
      <c r="AE331" s="7">
        <v>33.130000000000003</v>
      </c>
      <c r="AF331" s="7">
        <v>312</v>
      </c>
      <c r="AG331" s="7">
        <v>27.48</v>
      </c>
      <c r="AH331" s="7">
        <v>33.49</v>
      </c>
      <c r="AI331" s="7">
        <v>38.08</v>
      </c>
      <c r="AJ331" s="9">
        <v>392.09728977140799</v>
      </c>
      <c r="AK331" s="9">
        <v>393.98738855575101</v>
      </c>
      <c r="AL331" s="9">
        <v>431.825133605958</v>
      </c>
      <c r="AM331" s="9">
        <v>65.291189041172601</v>
      </c>
      <c r="AN331" s="9">
        <v>0.97449535882347105</v>
      </c>
      <c r="AO331" s="9">
        <v>0.36167023864766201</v>
      </c>
      <c r="AP331" s="9">
        <v>825.91048507687799</v>
      </c>
      <c r="AQ331" s="9">
        <v>12.3270221653265</v>
      </c>
      <c r="AR331" s="9">
        <v>8.7828420871291009</v>
      </c>
      <c r="AS331" s="73" t="s">
        <v>169</v>
      </c>
      <c r="AT331" s="8"/>
      <c r="AU331" s="10" t="s">
        <v>169</v>
      </c>
      <c r="AV331" s="10">
        <v>0</v>
      </c>
      <c r="AW331" s="8"/>
      <c r="AX331" s="74" t="s">
        <v>169</v>
      </c>
      <c r="AY331" s="74"/>
      <c r="AZ331" s="74"/>
      <c r="BA331" s="74"/>
      <c r="BB331" s="8"/>
      <c r="BC331" s="8"/>
      <c r="BD331" s="8"/>
      <c r="BE331" s="8"/>
      <c r="BF331" s="12">
        <v>0.44</v>
      </c>
      <c r="BG331" s="13">
        <v>330.92199405336612</v>
      </c>
      <c r="BH331" s="96" t="str">
        <f>+VLOOKUP(G331,Liste!$A$7:$G$50,3,FALSE)</f>
        <v>Pin sylvestre</v>
      </c>
      <c r="BI331" s="96" t="str">
        <f>+VLOOKUP(H331,Liste!$B$7:$G$50,5,FALSE)</f>
        <v>GS Pineraies des plaines du Centre et du Nord Ouest</v>
      </c>
      <c r="BJ331" s="135">
        <f t="shared" si="110"/>
        <v>67</v>
      </c>
      <c r="BK331" s="135" t="str">
        <f t="shared" si="112"/>
        <v>Pin sylvestre_F1_Eclaircie tardive_GS Pineraies des plaines du Centre et du Nord Ouest_67_</v>
      </c>
      <c r="BL331" s="322"/>
      <c r="BM331" s="13">
        <v>82.799929024344863</v>
      </c>
      <c r="BN331" s="13">
        <v>413.72192307771098</v>
      </c>
      <c r="BP331" s="13">
        <v>336.6929998</v>
      </c>
      <c r="BQ331" s="13">
        <v>8.1095833632556396</v>
      </c>
      <c r="BT331" s="298" t="str">
        <f>+VLOOKUP(G331,Liste!$A$7:$H$50,8,FALSE)</f>
        <v>Résineux</v>
      </c>
      <c r="BU331" s="298">
        <f t="shared" si="113"/>
        <v>0</v>
      </c>
      <c r="BV331" s="300">
        <f t="shared" si="114"/>
        <v>1</v>
      </c>
      <c r="BW331" s="321">
        <v>0</v>
      </c>
      <c r="BX331" s="298">
        <f t="shared" si="115"/>
        <v>0.43</v>
      </c>
      <c r="BY331">
        <f t="shared" si="116"/>
        <v>0</v>
      </c>
      <c r="BZ331" s="304">
        <f t="shared" si="117"/>
        <v>0</v>
      </c>
      <c r="CB331" s="299">
        <v>0.6</v>
      </c>
      <c r="CC331" s="299">
        <v>0.4</v>
      </c>
      <c r="CD331">
        <f t="shared" si="118"/>
        <v>0</v>
      </c>
      <c r="CE331">
        <f t="shared" si="119"/>
        <v>0</v>
      </c>
      <c r="CF331">
        <f t="shared" si="120"/>
        <v>0</v>
      </c>
      <c r="CG331">
        <f t="shared" si="121"/>
        <v>0</v>
      </c>
      <c r="CH331">
        <f t="shared" si="122"/>
        <v>0</v>
      </c>
      <c r="CI331">
        <f t="shared" si="123"/>
        <v>0</v>
      </c>
      <c r="CJ331">
        <f t="shared" si="124"/>
        <v>0</v>
      </c>
      <c r="CK331">
        <f t="shared" si="125"/>
        <v>0</v>
      </c>
      <c r="CL331">
        <f t="shared" si="126"/>
        <v>0</v>
      </c>
      <c r="CM331">
        <f t="shared" si="128"/>
        <v>0</v>
      </c>
      <c r="CN331">
        <f t="shared" si="127"/>
        <v>0</v>
      </c>
      <c r="CO331">
        <f t="shared" si="111"/>
        <v>0</v>
      </c>
    </row>
    <row r="332" spans="1:93" s="12" customFormat="1" ht="14.65" customHeight="1" x14ac:dyDescent="0.25">
      <c r="A332" s="4">
        <v>2021</v>
      </c>
      <c r="B332" s="4"/>
      <c r="C332" s="4" t="s">
        <v>64</v>
      </c>
      <c r="D332" s="4" t="s">
        <v>65</v>
      </c>
      <c r="E332" s="4"/>
      <c r="F332" s="4" t="s">
        <v>90</v>
      </c>
      <c r="G332" s="5" t="s">
        <v>15</v>
      </c>
      <c r="H332" s="5" t="s">
        <v>21</v>
      </c>
      <c r="I332" s="5" t="s">
        <v>147</v>
      </c>
      <c r="J332" s="5" t="s">
        <v>9</v>
      </c>
      <c r="K332" s="5">
        <v>28</v>
      </c>
      <c r="L332" s="5">
        <v>45</v>
      </c>
      <c r="M332" s="5">
        <v>2500</v>
      </c>
      <c r="N332" s="5" t="s">
        <v>170</v>
      </c>
      <c r="O332" s="6" t="s">
        <v>148</v>
      </c>
      <c r="P332" s="6" t="s">
        <v>80</v>
      </c>
      <c r="Q332" s="6">
        <v>1997</v>
      </c>
      <c r="R332" s="6" t="s">
        <v>2</v>
      </c>
      <c r="S332" s="6">
        <v>21</v>
      </c>
      <c r="T332" s="6">
        <v>12.5</v>
      </c>
      <c r="U332" s="6">
        <v>2024</v>
      </c>
      <c r="V332" s="6">
        <v>28.8</v>
      </c>
      <c r="W332" s="6">
        <v>0</v>
      </c>
      <c r="X332" s="6">
        <v>1100</v>
      </c>
      <c r="Y332" s="6">
        <v>712</v>
      </c>
      <c r="Z332" s="6">
        <v>162</v>
      </c>
      <c r="AA332" s="6">
        <v>50</v>
      </c>
      <c r="AB332" s="6">
        <v>0</v>
      </c>
      <c r="AC332" s="7">
        <v>68</v>
      </c>
      <c r="AD332" s="7" t="s">
        <v>52</v>
      </c>
      <c r="AE332" s="7">
        <v>33.409999999999997</v>
      </c>
      <c r="AF332" s="7">
        <v>312</v>
      </c>
      <c r="AG332" s="7">
        <v>27.85</v>
      </c>
      <c r="AH332" s="7">
        <v>33.71</v>
      </c>
      <c r="AI332" s="7">
        <v>38.35</v>
      </c>
      <c r="AJ332" s="9">
        <v>400.465737652043</v>
      </c>
      <c r="AK332" s="9">
        <v>402.38546248300901</v>
      </c>
      <c r="AL332" s="9">
        <v>440.60797569308698</v>
      </c>
      <c r="AM332" s="9">
        <v>65.652859279820206</v>
      </c>
      <c r="AN332" s="9">
        <v>0.965483224703239</v>
      </c>
      <c r="AO332" s="9">
        <v>0.35566459734344802</v>
      </c>
      <c r="AP332" s="9">
        <v>834.69332716400697</v>
      </c>
      <c r="AQ332" s="9">
        <v>12.274901870058899</v>
      </c>
      <c r="AR332" s="9">
        <v>8.6898696297991993</v>
      </c>
      <c r="AS332" s="73" t="s">
        <v>169</v>
      </c>
      <c r="AT332" s="8"/>
      <c r="AU332" s="10" t="s">
        <v>169</v>
      </c>
      <c r="AV332" s="10">
        <v>0</v>
      </c>
      <c r="AW332" s="8"/>
      <c r="AX332" s="74" t="s">
        <v>169</v>
      </c>
      <c r="AY332" s="74"/>
      <c r="AZ332" s="74"/>
      <c r="BA332" s="74"/>
      <c r="BB332" s="8"/>
      <c r="BC332" s="8"/>
      <c r="BD332" s="8"/>
      <c r="BE332" s="8"/>
      <c r="BF332" s="12">
        <v>0.44</v>
      </c>
      <c r="BG332" s="13">
        <v>337.65257870613613</v>
      </c>
      <c r="BH332" s="96" t="str">
        <f>+VLOOKUP(G332,Liste!$A$7:$G$50,3,FALSE)</f>
        <v>Pin sylvestre</v>
      </c>
      <c r="BI332" s="96" t="str">
        <f>+VLOOKUP(H332,Liste!$B$7:$G$50,5,FALSE)</f>
        <v>GS Pineraies des plaines du Centre et du Nord Ouest</v>
      </c>
      <c r="BJ332" s="135">
        <f t="shared" si="110"/>
        <v>68</v>
      </c>
      <c r="BK332" s="135" t="str">
        <f t="shared" si="112"/>
        <v>Pin sylvestre_F1_Eclaircie tardive_GS Pineraies des plaines du Centre et du Nord Ouest_68_</v>
      </c>
      <c r="BL332" s="322"/>
      <c r="BM332" s="13">
        <v>84.286214710292882</v>
      </c>
      <c r="BN332" s="13">
        <v>421.93879341642901</v>
      </c>
      <c r="BP332" s="13">
        <v>336.6929998</v>
      </c>
      <c r="BQ332" s="13">
        <v>8.0220764738692196</v>
      </c>
      <c r="BT332" s="298" t="str">
        <f>+VLOOKUP(G332,Liste!$A$7:$H$50,8,FALSE)</f>
        <v>Résineux</v>
      </c>
      <c r="BU332" s="298">
        <f t="shared" si="113"/>
        <v>0</v>
      </c>
      <c r="BV332" s="300">
        <f t="shared" si="114"/>
        <v>1</v>
      </c>
      <c r="BW332" s="321">
        <v>0</v>
      </c>
      <c r="BX332" s="298">
        <f t="shared" si="115"/>
        <v>0.43</v>
      </c>
      <c r="BY332">
        <f t="shared" si="116"/>
        <v>0</v>
      </c>
      <c r="BZ332" s="304">
        <f t="shared" si="117"/>
        <v>0</v>
      </c>
      <c r="CB332" s="299">
        <v>0.6</v>
      </c>
      <c r="CC332" s="299">
        <v>0.4</v>
      </c>
      <c r="CD332">
        <f t="shared" si="118"/>
        <v>0</v>
      </c>
      <c r="CE332">
        <f t="shared" si="119"/>
        <v>0</v>
      </c>
      <c r="CF332">
        <f t="shared" si="120"/>
        <v>0</v>
      </c>
      <c r="CG332">
        <f t="shared" si="121"/>
        <v>0</v>
      </c>
      <c r="CH332">
        <f t="shared" si="122"/>
        <v>0</v>
      </c>
      <c r="CI332">
        <f t="shared" si="123"/>
        <v>0</v>
      </c>
      <c r="CJ332">
        <f t="shared" si="124"/>
        <v>0</v>
      </c>
      <c r="CK332">
        <f t="shared" si="125"/>
        <v>0</v>
      </c>
      <c r="CL332">
        <f t="shared" si="126"/>
        <v>0</v>
      </c>
      <c r="CM332">
        <f t="shared" si="128"/>
        <v>0</v>
      </c>
      <c r="CN332">
        <f t="shared" si="127"/>
        <v>0</v>
      </c>
      <c r="CO332">
        <f t="shared" si="111"/>
        <v>0</v>
      </c>
    </row>
    <row r="333" spans="1:93" s="12" customFormat="1" ht="14.65" customHeight="1" x14ac:dyDescent="0.25">
      <c r="A333" s="4">
        <v>2021</v>
      </c>
      <c r="B333" s="4"/>
      <c r="C333" s="4" t="s">
        <v>64</v>
      </c>
      <c r="D333" s="4" t="s">
        <v>65</v>
      </c>
      <c r="E333" s="4"/>
      <c r="F333" s="4" t="s">
        <v>90</v>
      </c>
      <c r="G333" s="5" t="s">
        <v>15</v>
      </c>
      <c r="H333" s="5" t="s">
        <v>21</v>
      </c>
      <c r="I333" s="5" t="s">
        <v>147</v>
      </c>
      <c r="J333" s="5" t="s">
        <v>9</v>
      </c>
      <c r="K333" s="5">
        <v>28</v>
      </c>
      <c r="L333" s="5">
        <v>45</v>
      </c>
      <c r="M333" s="5">
        <v>2500</v>
      </c>
      <c r="N333" s="5" t="s">
        <v>170</v>
      </c>
      <c r="O333" s="6" t="s">
        <v>148</v>
      </c>
      <c r="P333" s="6" t="s">
        <v>80</v>
      </c>
      <c r="Q333" s="6">
        <v>1997</v>
      </c>
      <c r="R333" s="6" t="s">
        <v>2</v>
      </c>
      <c r="S333" s="6">
        <v>21</v>
      </c>
      <c r="T333" s="6">
        <v>12.5</v>
      </c>
      <c r="U333" s="6">
        <v>2024</v>
      </c>
      <c r="V333" s="6">
        <v>28.8</v>
      </c>
      <c r="W333" s="6">
        <v>0</v>
      </c>
      <c r="X333" s="6">
        <v>1100</v>
      </c>
      <c r="Y333" s="6">
        <v>712</v>
      </c>
      <c r="Z333" s="6">
        <v>162</v>
      </c>
      <c r="AA333" s="6">
        <v>50</v>
      </c>
      <c r="AB333" s="6">
        <v>0</v>
      </c>
      <c r="AC333" s="7">
        <v>69</v>
      </c>
      <c r="AD333" s="7" t="s">
        <v>52</v>
      </c>
      <c r="AE333" s="7">
        <v>33.67</v>
      </c>
      <c r="AF333" s="7">
        <v>312</v>
      </c>
      <c r="AG333" s="7">
        <v>28.2</v>
      </c>
      <c r="AH333" s="7">
        <v>33.92</v>
      </c>
      <c r="AI333" s="7">
        <v>38.61</v>
      </c>
      <c r="AJ333" s="9">
        <v>408.74989180103699</v>
      </c>
      <c r="AK333" s="9">
        <v>410.69871470483997</v>
      </c>
      <c r="AL333" s="9">
        <v>449.29784532288699</v>
      </c>
      <c r="AM333" s="9">
        <v>66.008523877163697</v>
      </c>
      <c r="AN333" s="9">
        <v>0.95664527358208196</v>
      </c>
      <c r="AO333" s="9">
        <v>0.35108903257713597</v>
      </c>
      <c r="AP333" s="9">
        <v>843.38319679380595</v>
      </c>
      <c r="AQ333" s="9">
        <v>12.2229448810696</v>
      </c>
      <c r="AR333" s="9">
        <v>8.6693133873776596</v>
      </c>
      <c r="AS333" s="73" t="s">
        <v>169</v>
      </c>
      <c r="AT333" s="8"/>
      <c r="AU333" s="10" t="s">
        <v>169</v>
      </c>
      <c r="AV333" s="10">
        <v>0</v>
      </c>
      <c r="AW333" s="8"/>
      <c r="AX333" s="74" t="s">
        <v>169</v>
      </c>
      <c r="AY333" s="74"/>
      <c r="AZ333" s="74"/>
      <c r="BA333" s="74"/>
      <c r="BB333" s="8"/>
      <c r="BC333" s="8"/>
      <c r="BD333" s="8"/>
      <c r="BE333" s="8"/>
      <c r="BF333" s="12">
        <v>0.44</v>
      </c>
      <c r="BG333" s="13">
        <v>344.31191546577207</v>
      </c>
      <c r="BH333" s="96" t="str">
        <f>+VLOOKUP(G333,Liste!$A$7:$G$50,3,FALSE)</f>
        <v>Pin sylvestre</v>
      </c>
      <c r="BI333" s="96" t="str">
        <f>+VLOOKUP(H333,Liste!$B$7:$G$50,5,FALSE)</f>
        <v>GS Pineraies des plaines du Centre et du Nord Ouest</v>
      </c>
      <c r="BJ333" s="135">
        <f t="shared" si="110"/>
        <v>69</v>
      </c>
      <c r="BK333" s="135" t="str">
        <f t="shared" si="112"/>
        <v>Pin sylvestre_F1_Eclaircie tardive_GS Pineraies des plaines du Centre et du Nord Ouest_69_</v>
      </c>
      <c r="BL333" s="322"/>
      <c r="BM333" s="13">
        <v>85.753376471244906</v>
      </c>
      <c r="BN333" s="13">
        <v>430.06529193701698</v>
      </c>
      <c r="BP333" s="13">
        <v>336.6929998</v>
      </c>
      <c r="BQ333" s="13">
        <v>8.0014722649092391</v>
      </c>
      <c r="BT333" s="298" t="str">
        <f>+VLOOKUP(G333,Liste!$A$7:$H$50,8,FALSE)</f>
        <v>Résineux</v>
      </c>
      <c r="BU333" s="298">
        <f t="shared" si="113"/>
        <v>0</v>
      </c>
      <c r="BV333" s="300">
        <f t="shared" si="114"/>
        <v>1</v>
      </c>
      <c r="BW333" s="321">
        <v>0</v>
      </c>
      <c r="BX333" s="298">
        <f t="shared" si="115"/>
        <v>0.43</v>
      </c>
      <c r="BY333">
        <f t="shared" si="116"/>
        <v>0</v>
      </c>
      <c r="BZ333" s="304">
        <f t="shared" si="117"/>
        <v>0</v>
      </c>
      <c r="CB333" s="299">
        <v>0.6</v>
      </c>
      <c r="CC333" s="299">
        <v>0.4</v>
      </c>
      <c r="CD333">
        <f t="shared" si="118"/>
        <v>0</v>
      </c>
      <c r="CE333">
        <f t="shared" si="119"/>
        <v>0</v>
      </c>
      <c r="CF333">
        <f t="shared" si="120"/>
        <v>0</v>
      </c>
      <c r="CG333">
        <f t="shared" si="121"/>
        <v>0</v>
      </c>
      <c r="CH333">
        <f t="shared" si="122"/>
        <v>0</v>
      </c>
      <c r="CI333">
        <f t="shared" si="123"/>
        <v>0</v>
      </c>
      <c r="CJ333">
        <f t="shared" si="124"/>
        <v>0</v>
      </c>
      <c r="CK333">
        <f t="shared" si="125"/>
        <v>0</v>
      </c>
      <c r="CL333">
        <f t="shared" si="126"/>
        <v>0</v>
      </c>
      <c r="CM333">
        <f t="shared" si="128"/>
        <v>0</v>
      </c>
      <c r="CN333">
        <f t="shared" si="127"/>
        <v>0</v>
      </c>
      <c r="CO333">
        <f t="shared" si="111"/>
        <v>0</v>
      </c>
    </row>
    <row r="334" spans="1:93" s="12" customFormat="1" ht="14.65" customHeight="1" x14ac:dyDescent="0.25">
      <c r="A334" s="4">
        <v>2021</v>
      </c>
      <c r="B334" s="4"/>
      <c r="C334" s="4" t="s">
        <v>64</v>
      </c>
      <c r="D334" s="4" t="s">
        <v>65</v>
      </c>
      <c r="E334" s="4"/>
      <c r="F334" s="4" t="s">
        <v>90</v>
      </c>
      <c r="G334" s="5" t="s">
        <v>15</v>
      </c>
      <c r="H334" s="5" t="s">
        <v>21</v>
      </c>
      <c r="I334" s="5" t="s">
        <v>147</v>
      </c>
      <c r="J334" s="5" t="s">
        <v>9</v>
      </c>
      <c r="K334" s="5">
        <v>28</v>
      </c>
      <c r="L334" s="5">
        <v>45</v>
      </c>
      <c r="M334" s="5">
        <v>2500</v>
      </c>
      <c r="N334" s="5" t="s">
        <v>170</v>
      </c>
      <c r="O334" s="6" t="s">
        <v>148</v>
      </c>
      <c r="P334" s="6" t="s">
        <v>80</v>
      </c>
      <c r="Q334" s="6">
        <v>1997</v>
      </c>
      <c r="R334" s="6" t="s">
        <v>2</v>
      </c>
      <c r="S334" s="6">
        <v>21</v>
      </c>
      <c r="T334" s="6">
        <v>12.5</v>
      </c>
      <c r="U334" s="6">
        <v>2024</v>
      </c>
      <c r="V334" s="6">
        <v>28.8</v>
      </c>
      <c r="W334" s="6">
        <v>0</v>
      </c>
      <c r="X334" s="6">
        <v>1100</v>
      </c>
      <c r="Y334" s="6">
        <v>712</v>
      </c>
      <c r="Z334" s="6">
        <v>162</v>
      </c>
      <c r="AA334" s="6">
        <v>50</v>
      </c>
      <c r="AB334" s="6">
        <v>0</v>
      </c>
      <c r="AC334" s="7">
        <v>70</v>
      </c>
      <c r="AD334" s="7" t="s">
        <v>52</v>
      </c>
      <c r="AE334" s="7">
        <v>33.94</v>
      </c>
      <c r="AF334" s="7">
        <v>312</v>
      </c>
      <c r="AG334" s="7">
        <v>28.55</v>
      </c>
      <c r="AH334" s="7">
        <v>34.130000000000003</v>
      </c>
      <c r="AI334" s="7">
        <v>38.869999999999997</v>
      </c>
      <c r="AJ334" s="9">
        <v>417.02406885656302</v>
      </c>
      <c r="AK334" s="9">
        <v>419.00122912517401</v>
      </c>
      <c r="AL334" s="9">
        <v>457.96715871026402</v>
      </c>
      <c r="AM334" s="9">
        <v>66.359612909740804</v>
      </c>
      <c r="AN334" s="9">
        <v>0.94799447013915406</v>
      </c>
      <c r="AO334" s="9">
        <v>0.34530693915215199</v>
      </c>
      <c r="AP334" s="9">
        <v>852.05251018118304</v>
      </c>
      <c r="AQ334" s="9">
        <v>12.1721787168741</v>
      </c>
      <c r="AR334" s="9">
        <v>8.5781124112978695</v>
      </c>
      <c r="AS334" s="73" t="s">
        <v>169</v>
      </c>
      <c r="AT334" s="8"/>
      <c r="AU334" s="10" t="s">
        <v>169</v>
      </c>
      <c r="AV334" s="10">
        <v>0</v>
      </c>
      <c r="AW334" s="8"/>
      <c r="AX334" s="74" t="s">
        <v>169</v>
      </c>
      <c r="AY334" s="74"/>
      <c r="AZ334" s="74"/>
      <c r="BA334" s="74"/>
      <c r="BB334" s="8"/>
      <c r="BC334" s="8"/>
      <c r="BD334" s="8"/>
      <c r="BE334" s="8"/>
      <c r="BF334" s="12">
        <v>0.44</v>
      </c>
      <c r="BG334" s="13">
        <v>350.95549929163241</v>
      </c>
      <c r="BH334" s="96" t="str">
        <f>+VLOOKUP(G334,Liste!$A$7:$G$50,3,FALSE)</f>
        <v>Pin sylvestre</v>
      </c>
      <c r="BI334" s="96" t="str">
        <f>+VLOOKUP(H334,Liste!$B$7:$G$50,5,FALSE)</f>
        <v>GS Pineraies des plaines du Centre et du Nord Ouest</v>
      </c>
      <c r="BJ334" s="135">
        <f t="shared" si="110"/>
        <v>70</v>
      </c>
      <c r="BK334" s="135" t="str">
        <f t="shared" si="112"/>
        <v>Pin sylvestre_F1_Eclaircie tardive_GS Pineraies des plaines du Centre et du Nord Ouest_70_</v>
      </c>
      <c r="BL334" s="322"/>
      <c r="BM334" s="13">
        <v>87.213779731678585</v>
      </c>
      <c r="BN334" s="13">
        <v>438.16927902331099</v>
      </c>
      <c r="BP334" s="13">
        <v>336.6929998</v>
      </c>
      <c r="BQ334" s="13">
        <v>7.9157149126640398</v>
      </c>
      <c r="BT334" s="298" t="str">
        <f>+VLOOKUP(G334,Liste!$A$7:$H$50,8,FALSE)</f>
        <v>Résineux</v>
      </c>
      <c r="BU334" s="298">
        <f t="shared" si="113"/>
        <v>0</v>
      </c>
      <c r="BV334" s="300">
        <f t="shared" si="114"/>
        <v>1</v>
      </c>
      <c r="BW334" s="321">
        <v>0</v>
      </c>
      <c r="BX334" s="298">
        <f t="shared" si="115"/>
        <v>0.43</v>
      </c>
      <c r="BY334">
        <f t="shared" si="116"/>
        <v>0</v>
      </c>
      <c r="BZ334" s="304">
        <f t="shared" si="117"/>
        <v>0</v>
      </c>
      <c r="CB334" s="299">
        <v>0.6</v>
      </c>
      <c r="CC334" s="299">
        <v>0.4</v>
      </c>
      <c r="CD334">
        <f t="shared" si="118"/>
        <v>0</v>
      </c>
      <c r="CE334">
        <f t="shared" si="119"/>
        <v>0</v>
      </c>
      <c r="CF334">
        <f t="shared" si="120"/>
        <v>0</v>
      </c>
      <c r="CG334">
        <f t="shared" si="121"/>
        <v>0</v>
      </c>
      <c r="CH334">
        <f t="shared" si="122"/>
        <v>0</v>
      </c>
      <c r="CI334">
        <f t="shared" si="123"/>
        <v>0</v>
      </c>
      <c r="CJ334">
        <f t="shared" si="124"/>
        <v>0</v>
      </c>
      <c r="CK334">
        <f t="shared" si="125"/>
        <v>0</v>
      </c>
      <c r="CL334">
        <f t="shared" si="126"/>
        <v>0</v>
      </c>
      <c r="CM334">
        <f t="shared" si="128"/>
        <v>0</v>
      </c>
      <c r="CN334">
        <f t="shared" si="127"/>
        <v>0</v>
      </c>
      <c r="CO334">
        <f t="shared" si="111"/>
        <v>0</v>
      </c>
    </row>
    <row r="335" spans="1:93" s="12" customFormat="1" ht="14.65" customHeight="1" x14ac:dyDescent="0.25">
      <c r="A335" s="4">
        <v>2021</v>
      </c>
      <c r="B335" s="4"/>
      <c r="C335" s="4" t="s">
        <v>64</v>
      </c>
      <c r="D335" s="4" t="s">
        <v>65</v>
      </c>
      <c r="E335" s="4"/>
      <c r="F335" s="4" t="s">
        <v>90</v>
      </c>
      <c r="G335" s="5" t="s">
        <v>15</v>
      </c>
      <c r="H335" s="5" t="s">
        <v>21</v>
      </c>
      <c r="I335" s="5" t="s">
        <v>147</v>
      </c>
      <c r="J335" s="5" t="s">
        <v>9</v>
      </c>
      <c r="K335" s="5">
        <v>28</v>
      </c>
      <c r="L335" s="5">
        <v>45</v>
      </c>
      <c r="M335" s="5">
        <v>2500</v>
      </c>
      <c r="N335" s="5" t="s">
        <v>170</v>
      </c>
      <c r="O335" s="6" t="s">
        <v>148</v>
      </c>
      <c r="P335" s="6" t="s">
        <v>80</v>
      </c>
      <c r="Q335" s="6">
        <v>1997</v>
      </c>
      <c r="R335" s="6" t="s">
        <v>2</v>
      </c>
      <c r="S335" s="6">
        <v>21</v>
      </c>
      <c r="T335" s="6">
        <v>12.5</v>
      </c>
      <c r="U335" s="6">
        <v>2024</v>
      </c>
      <c r="V335" s="6">
        <v>28.8</v>
      </c>
      <c r="W335" s="6">
        <v>0</v>
      </c>
      <c r="X335" s="6">
        <v>1100</v>
      </c>
      <c r="Y335" s="6">
        <v>712</v>
      </c>
      <c r="Z335" s="6">
        <v>162</v>
      </c>
      <c r="AA335" s="6">
        <v>50</v>
      </c>
      <c r="AB335" s="6">
        <v>0</v>
      </c>
      <c r="AC335" s="7">
        <v>71</v>
      </c>
      <c r="AD335" s="7" t="s">
        <v>52</v>
      </c>
      <c r="AE335" s="7">
        <v>34.200000000000003</v>
      </c>
      <c r="AF335" s="7">
        <v>312</v>
      </c>
      <c r="AG335" s="7">
        <v>28.9</v>
      </c>
      <c r="AH335" s="7">
        <v>34.340000000000003</v>
      </c>
      <c r="AI335" s="7">
        <v>39.119999999999997</v>
      </c>
      <c r="AJ335" s="9">
        <v>425.21536453992798</v>
      </c>
      <c r="AK335" s="9">
        <v>427.22037330191199</v>
      </c>
      <c r="AL335" s="9">
        <v>466.545271121562</v>
      </c>
      <c r="AM335" s="9">
        <v>66.704919848892999</v>
      </c>
      <c r="AN335" s="9">
        <v>0.93950591336468903</v>
      </c>
      <c r="AO335" s="9">
        <v>0.33970202369890501</v>
      </c>
      <c r="AP335" s="9">
        <v>860.63062259248102</v>
      </c>
      <c r="AQ335" s="9">
        <v>12.1215580646828</v>
      </c>
      <c r="AR335" s="9">
        <v>8.4804102561345207</v>
      </c>
      <c r="AS335" s="73" t="s">
        <v>169</v>
      </c>
      <c r="AT335" s="8"/>
      <c r="AU335" s="10" t="s">
        <v>169</v>
      </c>
      <c r="AV335" s="10">
        <v>0</v>
      </c>
      <c r="AW335" s="8"/>
      <c r="AX335" s="74" t="s">
        <v>169</v>
      </c>
      <c r="AY335" s="74"/>
      <c r="AZ335" s="74"/>
      <c r="BA335" s="74"/>
      <c r="BB335" s="8"/>
      <c r="BC335" s="8"/>
      <c r="BD335" s="8"/>
      <c r="BE335" s="8"/>
      <c r="BF335" s="12">
        <v>0.44</v>
      </c>
      <c r="BG335" s="13">
        <v>357.52919276949046</v>
      </c>
      <c r="BH335" s="96" t="str">
        <f>+VLOOKUP(G335,Liste!$A$7:$G$50,3,FALSE)</f>
        <v>Pin sylvestre</v>
      </c>
      <c r="BI335" s="96" t="str">
        <f>+VLOOKUP(H335,Liste!$B$7:$G$50,5,FALSE)</f>
        <v>GS Pineraies des plaines du Centre et du Nord Ouest</v>
      </c>
      <c r="BJ335" s="135">
        <f t="shared" si="110"/>
        <v>71</v>
      </c>
      <c r="BK335" s="135" t="str">
        <f t="shared" si="112"/>
        <v>Pin sylvestre_F1_Eclaircie tardive_GS Pineraies des plaines du Centre et du Nord Ouest_71_</v>
      </c>
      <c r="BL335" s="322"/>
      <c r="BM335" s="13">
        <v>88.655655312685553</v>
      </c>
      <c r="BN335" s="13">
        <v>446.18484808217602</v>
      </c>
      <c r="BP335" s="13">
        <v>336.6929998</v>
      </c>
      <c r="BQ335" s="13">
        <v>7.8240275689213403</v>
      </c>
      <c r="BT335" s="298" t="str">
        <f>+VLOOKUP(G335,Liste!$A$7:$H$50,8,FALSE)</f>
        <v>Résineux</v>
      </c>
      <c r="BU335" s="298">
        <f t="shared" si="113"/>
        <v>0</v>
      </c>
      <c r="BV335" s="300">
        <f t="shared" si="114"/>
        <v>1</v>
      </c>
      <c r="BW335" s="321">
        <v>0</v>
      </c>
      <c r="BX335" s="298">
        <f t="shared" si="115"/>
        <v>0.43</v>
      </c>
      <c r="BY335">
        <f t="shared" si="116"/>
        <v>0</v>
      </c>
      <c r="BZ335" s="304">
        <f t="shared" si="117"/>
        <v>0</v>
      </c>
      <c r="CB335" s="299">
        <v>0.6</v>
      </c>
      <c r="CC335" s="299">
        <v>0.4</v>
      </c>
      <c r="CD335">
        <f t="shared" si="118"/>
        <v>0</v>
      </c>
      <c r="CE335">
        <f t="shared" si="119"/>
        <v>0</v>
      </c>
      <c r="CF335">
        <f t="shared" si="120"/>
        <v>0</v>
      </c>
      <c r="CG335">
        <f t="shared" si="121"/>
        <v>0</v>
      </c>
      <c r="CH335">
        <f t="shared" si="122"/>
        <v>0</v>
      </c>
      <c r="CI335">
        <f t="shared" si="123"/>
        <v>0</v>
      </c>
      <c r="CJ335">
        <f t="shared" si="124"/>
        <v>0</v>
      </c>
      <c r="CK335">
        <f t="shared" si="125"/>
        <v>0</v>
      </c>
      <c r="CL335">
        <f t="shared" si="126"/>
        <v>0</v>
      </c>
      <c r="CM335">
        <f t="shared" si="128"/>
        <v>0</v>
      </c>
      <c r="CN335">
        <f t="shared" si="127"/>
        <v>0</v>
      </c>
      <c r="CO335">
        <f t="shared" si="111"/>
        <v>0</v>
      </c>
    </row>
    <row r="336" spans="1:93" s="12" customFormat="1" ht="14.65" customHeight="1" x14ac:dyDescent="0.25">
      <c r="A336" s="4">
        <v>2021</v>
      </c>
      <c r="B336" s="4"/>
      <c r="C336" s="4" t="s">
        <v>64</v>
      </c>
      <c r="D336" s="4" t="s">
        <v>65</v>
      </c>
      <c r="E336" s="4"/>
      <c r="F336" s="4" t="s">
        <v>90</v>
      </c>
      <c r="G336" s="5" t="s">
        <v>15</v>
      </c>
      <c r="H336" s="5" t="s">
        <v>21</v>
      </c>
      <c r="I336" s="5" t="s">
        <v>147</v>
      </c>
      <c r="J336" s="5" t="s">
        <v>9</v>
      </c>
      <c r="K336" s="5">
        <v>28</v>
      </c>
      <c r="L336" s="5">
        <v>45</v>
      </c>
      <c r="M336" s="5">
        <v>2500</v>
      </c>
      <c r="N336" s="5" t="s">
        <v>170</v>
      </c>
      <c r="O336" s="6" t="s">
        <v>148</v>
      </c>
      <c r="P336" s="6" t="s">
        <v>80</v>
      </c>
      <c r="Q336" s="6">
        <v>1997</v>
      </c>
      <c r="R336" s="6" t="s">
        <v>2</v>
      </c>
      <c r="S336" s="6">
        <v>21</v>
      </c>
      <c r="T336" s="6">
        <v>12.5</v>
      </c>
      <c r="U336" s="6">
        <v>2024</v>
      </c>
      <c r="V336" s="6">
        <v>28.8</v>
      </c>
      <c r="W336" s="6">
        <v>0</v>
      </c>
      <c r="X336" s="6">
        <v>1100</v>
      </c>
      <c r="Y336" s="6">
        <v>712</v>
      </c>
      <c r="Z336" s="6">
        <v>162</v>
      </c>
      <c r="AA336" s="6">
        <v>50</v>
      </c>
      <c r="AB336" s="6">
        <v>0</v>
      </c>
      <c r="AC336" s="7">
        <v>72</v>
      </c>
      <c r="AD336" s="7" t="s">
        <v>52</v>
      </c>
      <c r="AE336" s="7">
        <v>34.450000000000003</v>
      </c>
      <c r="AF336" s="7">
        <v>312</v>
      </c>
      <c r="AG336" s="7">
        <v>29.24</v>
      </c>
      <c r="AH336" s="7">
        <v>34.54</v>
      </c>
      <c r="AI336" s="7">
        <v>39.36</v>
      </c>
      <c r="AJ336" s="9">
        <v>433.31590521185399</v>
      </c>
      <c r="AK336" s="9">
        <v>435.34849791461102</v>
      </c>
      <c r="AL336" s="9">
        <v>475.02568137769703</v>
      </c>
      <c r="AM336" s="9">
        <v>67.044621872591904</v>
      </c>
      <c r="AN336" s="9">
        <v>0.931175303785998</v>
      </c>
      <c r="AO336" s="9">
        <v>0.32011704449908501</v>
      </c>
      <c r="AP336" s="9">
        <v>869.11103284861599</v>
      </c>
      <c r="AQ336" s="9">
        <v>12.070986567341899</v>
      </c>
      <c r="AR336" s="9">
        <v>7.8195757631123097</v>
      </c>
      <c r="AS336" s="73" t="s">
        <v>169</v>
      </c>
      <c r="AT336" s="8"/>
      <c r="AU336" s="10" t="s">
        <v>169</v>
      </c>
      <c r="AV336" s="10">
        <v>0</v>
      </c>
      <c r="AW336" s="8"/>
      <c r="AX336" s="74" t="s">
        <v>169</v>
      </c>
      <c r="AY336" s="74"/>
      <c r="AZ336" s="74"/>
      <c r="BA336" s="74"/>
      <c r="BB336" s="8"/>
      <c r="BC336" s="8"/>
      <c r="BD336" s="8"/>
      <c r="BE336" s="8"/>
      <c r="BF336" s="12">
        <v>0.44</v>
      </c>
      <c r="BG336" s="13">
        <v>364.0280138291082</v>
      </c>
      <c r="BH336" s="96" t="str">
        <f>+VLOOKUP(G336,Liste!$A$7:$G$50,3,FALSE)</f>
        <v>Pin sylvestre</v>
      </c>
      <c r="BI336" s="96" t="str">
        <f>+VLOOKUP(H336,Liste!$B$7:$G$50,5,FALSE)</f>
        <v>GS Pineraies des plaines du Centre et du Nord Ouest</v>
      </c>
      <c r="BJ336" s="135">
        <f t="shared" si="110"/>
        <v>72</v>
      </c>
      <c r="BK336" s="135" t="str">
        <f t="shared" si="112"/>
        <v>Pin sylvestre_F1_Eclaircie tardive_GS Pineraies des plaines du Centre et du Nord Ouest_72_</v>
      </c>
      <c r="BL336" s="322"/>
      <c r="BM336" s="13">
        <v>90.078077830882819</v>
      </c>
      <c r="BN336" s="13">
        <v>454.10609165999102</v>
      </c>
      <c r="BP336" s="13">
        <v>336.6929998</v>
      </c>
      <c r="BQ336" s="13">
        <v>7.21300815994391</v>
      </c>
      <c r="BT336" s="298" t="str">
        <f>+VLOOKUP(G336,Liste!$A$7:$H$50,8,FALSE)</f>
        <v>Résineux</v>
      </c>
      <c r="BU336" s="298">
        <f t="shared" si="113"/>
        <v>0</v>
      </c>
      <c r="BV336" s="300">
        <f t="shared" si="114"/>
        <v>1</v>
      </c>
      <c r="BW336" s="321">
        <v>0</v>
      </c>
      <c r="BX336" s="298">
        <f t="shared" si="115"/>
        <v>0.43</v>
      </c>
      <c r="BY336">
        <f t="shared" si="116"/>
        <v>0</v>
      </c>
      <c r="BZ336" s="304">
        <f t="shared" si="117"/>
        <v>0</v>
      </c>
      <c r="CB336" s="299">
        <v>0.6</v>
      </c>
      <c r="CC336" s="299">
        <v>0.4</v>
      </c>
      <c r="CD336">
        <f t="shared" si="118"/>
        <v>0</v>
      </c>
      <c r="CE336">
        <f t="shared" si="119"/>
        <v>0</v>
      </c>
      <c r="CF336">
        <f t="shared" si="120"/>
        <v>0</v>
      </c>
      <c r="CG336">
        <f t="shared" si="121"/>
        <v>0</v>
      </c>
      <c r="CH336">
        <f t="shared" si="122"/>
        <v>0</v>
      </c>
      <c r="CI336">
        <f t="shared" si="123"/>
        <v>0</v>
      </c>
      <c r="CJ336">
        <f t="shared" si="124"/>
        <v>0</v>
      </c>
      <c r="CK336">
        <f t="shared" si="125"/>
        <v>0</v>
      </c>
      <c r="CL336">
        <f t="shared" si="126"/>
        <v>0</v>
      </c>
      <c r="CM336">
        <f t="shared" si="128"/>
        <v>0</v>
      </c>
      <c r="CN336">
        <f t="shared" si="127"/>
        <v>0</v>
      </c>
      <c r="CO336">
        <f t="shared" si="111"/>
        <v>0</v>
      </c>
    </row>
    <row r="337" spans="1:93" s="12" customFormat="1" ht="14.65" customHeight="1" x14ac:dyDescent="0.25">
      <c r="A337" s="4">
        <v>2021</v>
      </c>
      <c r="B337" s="4"/>
      <c r="C337" s="4" t="s">
        <v>64</v>
      </c>
      <c r="D337" s="4" t="s">
        <v>65</v>
      </c>
      <c r="E337" s="4"/>
      <c r="F337" s="4" t="s">
        <v>90</v>
      </c>
      <c r="G337" s="5" t="s">
        <v>15</v>
      </c>
      <c r="H337" s="5" t="s">
        <v>21</v>
      </c>
      <c r="I337" s="5" t="s">
        <v>147</v>
      </c>
      <c r="J337" s="5" t="s">
        <v>9</v>
      </c>
      <c r="K337" s="5">
        <v>28</v>
      </c>
      <c r="L337" s="5">
        <v>45</v>
      </c>
      <c r="M337" s="5">
        <v>2500</v>
      </c>
      <c r="N337" s="5" t="s">
        <v>170</v>
      </c>
      <c r="O337" s="6" t="s">
        <v>148</v>
      </c>
      <c r="P337" s="6" t="s">
        <v>80</v>
      </c>
      <c r="Q337" s="6">
        <v>1997</v>
      </c>
      <c r="R337" s="6" t="s">
        <v>2</v>
      </c>
      <c r="S337" s="6">
        <v>21</v>
      </c>
      <c r="T337" s="6">
        <v>12.5</v>
      </c>
      <c r="U337" s="6">
        <v>2024</v>
      </c>
      <c r="V337" s="6">
        <v>28.8</v>
      </c>
      <c r="W337" s="6">
        <v>0</v>
      </c>
      <c r="X337" s="6">
        <v>1100</v>
      </c>
      <c r="Y337" s="6">
        <v>712</v>
      </c>
      <c r="Z337" s="6">
        <v>162</v>
      </c>
      <c r="AA337" s="6">
        <v>50</v>
      </c>
      <c r="AB337" s="6">
        <v>0</v>
      </c>
      <c r="AC337" s="7">
        <v>72</v>
      </c>
      <c r="AD337" s="7" t="s">
        <v>53</v>
      </c>
      <c r="AE337" s="7">
        <v>34.450000000000003</v>
      </c>
      <c r="AF337" s="7">
        <v>281</v>
      </c>
      <c r="AG337" s="7">
        <v>27</v>
      </c>
      <c r="AH337" s="7">
        <v>34.979999999999997</v>
      </c>
      <c r="AI337" s="7">
        <v>39.36</v>
      </c>
      <c r="AJ337" s="9">
        <v>400.89527148330302</v>
      </c>
      <c r="AK337" s="9">
        <v>402.82401714514202</v>
      </c>
      <c r="AL337" s="9">
        <v>439.61966664803202</v>
      </c>
      <c r="AM337" s="9">
        <v>67.044621872591904</v>
      </c>
      <c r="AN337" s="9">
        <v>0.931175303785998</v>
      </c>
      <c r="AO337" s="9">
        <v>0.32011704449908501</v>
      </c>
      <c r="AP337" s="9">
        <v>869.11103284861599</v>
      </c>
      <c r="AQ337" s="9">
        <v>12.070986567341899</v>
      </c>
      <c r="AR337" s="9">
        <v>7.8195757631123097</v>
      </c>
      <c r="AS337" s="73">
        <v>31</v>
      </c>
      <c r="AT337" s="8">
        <v>2.2399999999999984</v>
      </c>
      <c r="AU337" s="10">
        <v>30.331802644742382</v>
      </c>
      <c r="AV337" s="10">
        <v>32.420633728550968</v>
      </c>
      <c r="AW337" s="8">
        <v>0.77</v>
      </c>
      <c r="AX337" s="74">
        <v>1.045826894469386</v>
      </c>
      <c r="AY337" s="74"/>
      <c r="AZ337" s="74"/>
      <c r="BA337" s="74"/>
      <c r="BB337" s="8"/>
      <c r="BC337" s="8"/>
      <c r="BD337" s="8"/>
      <c r="BE337" s="8"/>
      <c r="BF337" s="12">
        <v>0.44</v>
      </c>
      <c r="BG337" s="13">
        <v>336.89520454127484</v>
      </c>
      <c r="BH337" s="96" t="str">
        <f>+VLOOKUP(G337,Liste!$A$7:$G$50,3,FALSE)</f>
        <v>Pin sylvestre</v>
      </c>
      <c r="BI337" s="96" t="str">
        <f>+VLOOKUP(H337,Liste!$B$7:$G$50,5,FALSE)</f>
        <v>GS Pineraies des plaines du Centre et du Nord Ouest</v>
      </c>
      <c r="BJ337" s="135">
        <f t="shared" si="110"/>
        <v>72</v>
      </c>
      <c r="BK337" s="135" t="str">
        <f t="shared" si="112"/>
        <v>Pin sylvestre_F1_Eclaircie tardive_GS Pineraies des plaines du Centre et du Nord Ouest_72_</v>
      </c>
      <c r="BL337" s="322"/>
      <c r="BM337" s="13">
        <v>84.119140501871186</v>
      </c>
      <c r="BN337" s="13">
        <v>421.01434504314602</v>
      </c>
      <c r="BO337" s="13">
        <v>33.091746616845001</v>
      </c>
      <c r="BP337" s="13">
        <v>336.6929998</v>
      </c>
      <c r="BQ337" s="13">
        <v>7.21300815994391</v>
      </c>
      <c r="BT337" s="298" t="str">
        <f>+VLOOKUP(G337,Liste!$A$7:$H$50,8,FALSE)</f>
        <v>Résineux</v>
      </c>
      <c r="BU337" s="298">
        <f t="shared" si="113"/>
        <v>0</v>
      </c>
      <c r="BV337" s="300">
        <f t="shared" si="114"/>
        <v>1</v>
      </c>
      <c r="BW337" s="321">
        <v>0</v>
      </c>
      <c r="BX337" s="298">
        <f t="shared" si="115"/>
        <v>0.43</v>
      </c>
      <c r="BY337">
        <f t="shared" si="116"/>
        <v>0</v>
      </c>
      <c r="BZ337" s="304">
        <f t="shared" si="117"/>
        <v>0</v>
      </c>
      <c r="CB337" s="299">
        <v>0.6</v>
      </c>
      <c r="CC337" s="299">
        <v>0.4</v>
      </c>
      <c r="CD337">
        <f t="shared" si="118"/>
        <v>0</v>
      </c>
      <c r="CE337">
        <f t="shared" si="119"/>
        <v>0</v>
      </c>
      <c r="CF337">
        <f t="shared" si="120"/>
        <v>0</v>
      </c>
      <c r="CG337">
        <f t="shared" si="121"/>
        <v>0</v>
      </c>
      <c r="CH337">
        <f t="shared" si="122"/>
        <v>0</v>
      </c>
      <c r="CI337">
        <f t="shared" si="123"/>
        <v>0</v>
      </c>
      <c r="CJ337">
        <f t="shared" si="124"/>
        <v>0</v>
      </c>
      <c r="CK337">
        <f t="shared" si="125"/>
        <v>0</v>
      </c>
      <c r="CL337">
        <f t="shared" si="126"/>
        <v>0</v>
      </c>
      <c r="CM337">
        <f t="shared" si="128"/>
        <v>0</v>
      </c>
      <c r="CN337">
        <f t="shared" si="127"/>
        <v>0</v>
      </c>
      <c r="CO337">
        <f t="shared" si="111"/>
        <v>0</v>
      </c>
    </row>
    <row r="338" spans="1:93" s="12" customFormat="1" ht="14.65" customHeight="1" x14ac:dyDescent="0.25">
      <c r="A338" s="4">
        <v>2021</v>
      </c>
      <c r="B338" s="4"/>
      <c r="C338" s="4" t="s">
        <v>64</v>
      </c>
      <c r="D338" s="4" t="s">
        <v>65</v>
      </c>
      <c r="E338" s="4"/>
      <c r="F338" s="4" t="s">
        <v>90</v>
      </c>
      <c r="G338" s="5" t="s">
        <v>15</v>
      </c>
      <c r="H338" s="5" t="s">
        <v>21</v>
      </c>
      <c r="I338" s="5" t="s">
        <v>147</v>
      </c>
      <c r="J338" s="5" t="s">
        <v>9</v>
      </c>
      <c r="K338" s="5">
        <v>28</v>
      </c>
      <c r="L338" s="5">
        <v>45</v>
      </c>
      <c r="M338" s="5">
        <v>2500</v>
      </c>
      <c r="N338" s="5" t="s">
        <v>170</v>
      </c>
      <c r="O338" s="6" t="s">
        <v>148</v>
      </c>
      <c r="P338" s="6" t="s">
        <v>80</v>
      </c>
      <c r="Q338" s="6">
        <v>1997</v>
      </c>
      <c r="R338" s="6" t="s">
        <v>2</v>
      </c>
      <c r="S338" s="6">
        <v>21</v>
      </c>
      <c r="T338" s="6">
        <v>12.5</v>
      </c>
      <c r="U338" s="6">
        <v>2024</v>
      </c>
      <c r="V338" s="6">
        <v>28.8</v>
      </c>
      <c r="W338" s="6">
        <v>0</v>
      </c>
      <c r="X338" s="6">
        <v>1100</v>
      </c>
      <c r="Y338" s="6">
        <v>712</v>
      </c>
      <c r="Z338" s="6">
        <v>162</v>
      </c>
      <c r="AA338" s="6">
        <v>50</v>
      </c>
      <c r="AB338" s="6">
        <v>0</v>
      </c>
      <c r="AC338" s="7">
        <v>73</v>
      </c>
      <c r="AD338" s="7" t="s">
        <v>52</v>
      </c>
      <c r="AE338" s="7">
        <v>34.700000000000003</v>
      </c>
      <c r="AF338" s="7">
        <v>281</v>
      </c>
      <c r="AG338" s="7">
        <v>27.32</v>
      </c>
      <c r="AH338" s="7">
        <v>35.18</v>
      </c>
      <c r="AI338" s="7">
        <v>39.61</v>
      </c>
      <c r="AJ338" s="9">
        <v>408.33510926560098</v>
      </c>
      <c r="AK338" s="9">
        <v>410.29234557714</v>
      </c>
      <c r="AL338" s="9">
        <v>447.43924241114399</v>
      </c>
      <c r="AM338" s="9">
        <v>67.364738917091003</v>
      </c>
      <c r="AN338" s="9">
        <v>0.92280464269987605</v>
      </c>
      <c r="AO338" s="9">
        <v>0.31331397273164902</v>
      </c>
      <c r="AP338" s="9">
        <v>876.93060861172796</v>
      </c>
      <c r="AQ338" s="9">
        <v>12.012748063174399</v>
      </c>
      <c r="AR338" s="9">
        <v>7.8916667213865104</v>
      </c>
      <c r="AS338" s="73" t="s">
        <v>169</v>
      </c>
      <c r="AT338" s="8"/>
      <c r="AU338" s="10" t="s">
        <v>169</v>
      </c>
      <c r="AV338" s="10">
        <v>0</v>
      </c>
      <c r="AW338" s="8"/>
      <c r="AX338" s="74" t="s">
        <v>169</v>
      </c>
      <c r="AY338" s="74"/>
      <c r="AZ338" s="74"/>
      <c r="BA338" s="74"/>
      <c r="BB338" s="8"/>
      <c r="BC338" s="8"/>
      <c r="BD338" s="8"/>
      <c r="BE338" s="8"/>
      <c r="BF338" s="12">
        <v>0.44</v>
      </c>
      <c r="BG338" s="13">
        <v>342.887606101073</v>
      </c>
      <c r="BH338" s="96" t="str">
        <f>+VLOOKUP(G338,Liste!$A$7:$G$50,3,FALSE)</f>
        <v>Pin sylvestre</v>
      </c>
      <c r="BI338" s="96" t="str">
        <f>+VLOOKUP(H338,Liste!$B$7:$G$50,5,FALSE)</f>
        <v>GS Pineraies des plaines du Centre et du Nord Ouest</v>
      </c>
      <c r="BJ338" s="135">
        <f t="shared" si="110"/>
        <v>73</v>
      </c>
      <c r="BK338" s="135" t="str">
        <f t="shared" si="112"/>
        <v>Pin sylvestre_F1_Eclaircie tardive_GS Pineraies des plaines du Centre et du Nord Ouest_73_</v>
      </c>
      <c r="BL338" s="322"/>
      <c r="BM338" s="13">
        <v>85.439857431130008</v>
      </c>
      <c r="BN338" s="13">
        <v>428.32746353220301</v>
      </c>
      <c r="BP338" s="13">
        <v>336.6929998</v>
      </c>
      <c r="BQ338" s="13">
        <v>7.2782231948713196</v>
      </c>
      <c r="BT338" s="298" t="str">
        <f>+VLOOKUP(G338,Liste!$A$7:$H$50,8,FALSE)</f>
        <v>Résineux</v>
      </c>
      <c r="BU338" s="298">
        <f t="shared" si="113"/>
        <v>0</v>
      </c>
      <c r="BV338" s="300">
        <f t="shared" si="114"/>
        <v>1</v>
      </c>
      <c r="BW338" s="321">
        <v>0</v>
      </c>
      <c r="BX338" s="298">
        <f t="shared" si="115"/>
        <v>0.43</v>
      </c>
      <c r="BY338">
        <f t="shared" si="116"/>
        <v>0</v>
      </c>
      <c r="BZ338" s="304">
        <f t="shared" si="117"/>
        <v>0</v>
      </c>
      <c r="CB338" s="299">
        <v>0.6</v>
      </c>
      <c r="CC338" s="299">
        <v>0.4</v>
      </c>
      <c r="CD338">
        <f t="shared" si="118"/>
        <v>0</v>
      </c>
      <c r="CE338">
        <f t="shared" si="119"/>
        <v>0</v>
      </c>
      <c r="CF338">
        <f t="shared" si="120"/>
        <v>0</v>
      </c>
      <c r="CG338">
        <f t="shared" si="121"/>
        <v>0</v>
      </c>
      <c r="CH338">
        <f t="shared" si="122"/>
        <v>0</v>
      </c>
      <c r="CI338">
        <f t="shared" si="123"/>
        <v>0</v>
      </c>
      <c r="CJ338">
        <f t="shared" si="124"/>
        <v>0</v>
      </c>
      <c r="CK338">
        <f t="shared" si="125"/>
        <v>0</v>
      </c>
      <c r="CL338">
        <f t="shared" si="126"/>
        <v>0</v>
      </c>
      <c r="CM338">
        <f t="shared" si="128"/>
        <v>0</v>
      </c>
      <c r="CN338">
        <f t="shared" si="127"/>
        <v>0</v>
      </c>
      <c r="CO338">
        <f t="shared" si="111"/>
        <v>0</v>
      </c>
    </row>
    <row r="339" spans="1:93" s="12" customFormat="1" ht="14.65" customHeight="1" x14ac:dyDescent="0.25">
      <c r="A339" s="4">
        <v>2021</v>
      </c>
      <c r="B339" s="4"/>
      <c r="C339" s="4" t="s">
        <v>64</v>
      </c>
      <c r="D339" s="4" t="s">
        <v>65</v>
      </c>
      <c r="E339" s="4"/>
      <c r="F339" s="4" t="s">
        <v>90</v>
      </c>
      <c r="G339" s="5" t="s">
        <v>15</v>
      </c>
      <c r="H339" s="5" t="s">
        <v>21</v>
      </c>
      <c r="I339" s="5" t="s">
        <v>147</v>
      </c>
      <c r="J339" s="5" t="s">
        <v>9</v>
      </c>
      <c r="K339" s="5">
        <v>28</v>
      </c>
      <c r="L339" s="5">
        <v>45</v>
      </c>
      <c r="M339" s="5">
        <v>2500</v>
      </c>
      <c r="N339" s="5" t="s">
        <v>170</v>
      </c>
      <c r="O339" s="6" t="s">
        <v>148</v>
      </c>
      <c r="P339" s="6" t="s">
        <v>80</v>
      </c>
      <c r="Q339" s="6">
        <v>1997</v>
      </c>
      <c r="R339" s="6" t="s">
        <v>2</v>
      </c>
      <c r="S339" s="6">
        <v>21</v>
      </c>
      <c r="T339" s="6">
        <v>12.5</v>
      </c>
      <c r="U339" s="6">
        <v>2024</v>
      </c>
      <c r="V339" s="6">
        <v>28.8</v>
      </c>
      <c r="W339" s="6">
        <v>0</v>
      </c>
      <c r="X339" s="6">
        <v>1100</v>
      </c>
      <c r="Y339" s="6">
        <v>712</v>
      </c>
      <c r="Z339" s="6">
        <v>162</v>
      </c>
      <c r="AA339" s="6">
        <v>50</v>
      </c>
      <c r="AB339" s="6">
        <v>0</v>
      </c>
      <c r="AC339" s="7">
        <v>74</v>
      </c>
      <c r="AD339" s="7" t="s">
        <v>52</v>
      </c>
      <c r="AE339" s="7">
        <v>34.94</v>
      </c>
      <c r="AF339" s="7">
        <v>281</v>
      </c>
      <c r="AG339" s="7">
        <v>27.63</v>
      </c>
      <c r="AH339" s="7">
        <v>35.380000000000003</v>
      </c>
      <c r="AI339" s="7">
        <v>39.85</v>
      </c>
      <c r="AJ339" s="9">
        <v>415.873662140688</v>
      </c>
      <c r="AK339" s="9">
        <v>417.85711385498797</v>
      </c>
      <c r="AL339" s="9">
        <v>455.33090913253</v>
      </c>
      <c r="AM339" s="9">
        <v>67.678052889822595</v>
      </c>
      <c r="AN339" s="9">
        <v>0.91456828229489995</v>
      </c>
      <c r="AO339" s="9">
        <v>0.309302983581077</v>
      </c>
      <c r="AP339" s="9">
        <v>884.82227533311504</v>
      </c>
      <c r="AQ339" s="9">
        <v>11.957057774771799</v>
      </c>
      <c r="AR339" s="9">
        <v>7.8809807382444896</v>
      </c>
      <c r="AS339" s="73" t="s">
        <v>169</v>
      </c>
      <c r="AT339" s="8"/>
      <c r="AU339" s="10" t="s">
        <v>169</v>
      </c>
      <c r="AV339" s="10">
        <v>0</v>
      </c>
      <c r="AW339" s="8"/>
      <c r="AX339" s="74" t="s">
        <v>169</v>
      </c>
      <c r="AY339" s="74"/>
      <c r="AZ339" s="74"/>
      <c r="BA339" s="74"/>
      <c r="BB339" s="8"/>
      <c r="BC339" s="8"/>
      <c r="BD339" s="8"/>
      <c r="BE339" s="8"/>
      <c r="BF339" s="12">
        <v>0.44</v>
      </c>
      <c r="BG339" s="13">
        <v>348.9352533652289</v>
      </c>
      <c r="BH339" s="96" t="str">
        <f>+VLOOKUP(G339,Liste!$A$7:$G$50,3,FALSE)</f>
        <v>Pin sylvestre</v>
      </c>
      <c r="BI339" s="96" t="str">
        <f>+VLOOKUP(H339,Liste!$B$7:$G$50,5,FALSE)</f>
        <v>GS Pineraies des plaines du Centre et du Nord Ouest</v>
      </c>
      <c r="BJ339" s="135">
        <f t="shared" si="110"/>
        <v>74</v>
      </c>
      <c r="BK339" s="135" t="str">
        <f t="shared" si="112"/>
        <v>Pin sylvestre_F1_Eclaircie tardive_GS Pineraies des plaines du Centre et du Nord Ouest_74_</v>
      </c>
      <c r="BL339" s="322"/>
      <c r="BM339" s="13">
        <v>86.770029297896087</v>
      </c>
      <c r="BN339" s="13">
        <v>435.70528266312499</v>
      </c>
      <c r="BP339" s="13">
        <v>336.6929998</v>
      </c>
      <c r="BQ339" s="13">
        <v>7.2670935589804904</v>
      </c>
      <c r="BT339" s="298" t="str">
        <f>+VLOOKUP(G339,Liste!$A$7:$H$50,8,FALSE)</f>
        <v>Résineux</v>
      </c>
      <c r="BU339" s="298">
        <f t="shared" si="113"/>
        <v>0</v>
      </c>
      <c r="BV339" s="300">
        <f t="shared" si="114"/>
        <v>1</v>
      </c>
      <c r="BW339" s="321">
        <v>0</v>
      </c>
      <c r="BX339" s="298">
        <f t="shared" si="115"/>
        <v>0.43</v>
      </c>
      <c r="BY339">
        <f t="shared" si="116"/>
        <v>0</v>
      </c>
      <c r="BZ339" s="304">
        <f t="shared" si="117"/>
        <v>0</v>
      </c>
      <c r="CB339" s="299">
        <v>0.6</v>
      </c>
      <c r="CC339" s="299">
        <v>0.4</v>
      </c>
      <c r="CD339">
        <f t="shared" si="118"/>
        <v>0</v>
      </c>
      <c r="CE339">
        <f t="shared" si="119"/>
        <v>0</v>
      </c>
      <c r="CF339">
        <f t="shared" si="120"/>
        <v>0</v>
      </c>
      <c r="CG339">
        <f t="shared" si="121"/>
        <v>0</v>
      </c>
      <c r="CH339">
        <f t="shared" si="122"/>
        <v>0</v>
      </c>
      <c r="CI339">
        <f t="shared" si="123"/>
        <v>0</v>
      </c>
      <c r="CJ339">
        <f t="shared" si="124"/>
        <v>0</v>
      </c>
      <c r="CK339">
        <f t="shared" si="125"/>
        <v>0</v>
      </c>
      <c r="CL339">
        <f t="shared" si="126"/>
        <v>0</v>
      </c>
      <c r="CM339">
        <f t="shared" si="128"/>
        <v>0</v>
      </c>
      <c r="CN339">
        <f t="shared" si="127"/>
        <v>0</v>
      </c>
      <c r="CO339">
        <f t="shared" si="111"/>
        <v>0</v>
      </c>
    </row>
    <row r="340" spans="1:93" s="12" customFormat="1" ht="14.65" customHeight="1" x14ac:dyDescent="0.25">
      <c r="A340" s="4">
        <v>2021</v>
      </c>
      <c r="B340" s="4"/>
      <c r="C340" s="4" t="s">
        <v>64</v>
      </c>
      <c r="D340" s="4" t="s">
        <v>65</v>
      </c>
      <c r="E340" s="4"/>
      <c r="F340" s="4" t="s">
        <v>90</v>
      </c>
      <c r="G340" s="5" t="s">
        <v>15</v>
      </c>
      <c r="H340" s="5" t="s">
        <v>21</v>
      </c>
      <c r="I340" s="5" t="s">
        <v>147</v>
      </c>
      <c r="J340" s="5" t="s">
        <v>9</v>
      </c>
      <c r="K340" s="5">
        <v>28</v>
      </c>
      <c r="L340" s="5">
        <v>45</v>
      </c>
      <c r="M340" s="5">
        <v>2500</v>
      </c>
      <c r="N340" s="5" t="s">
        <v>170</v>
      </c>
      <c r="O340" s="6" t="s">
        <v>148</v>
      </c>
      <c r="P340" s="6" t="s">
        <v>80</v>
      </c>
      <c r="Q340" s="6">
        <v>1997</v>
      </c>
      <c r="R340" s="6" t="s">
        <v>2</v>
      </c>
      <c r="S340" s="6">
        <v>21</v>
      </c>
      <c r="T340" s="6">
        <v>12.5</v>
      </c>
      <c r="U340" s="6">
        <v>2024</v>
      </c>
      <c r="V340" s="6">
        <v>28.8</v>
      </c>
      <c r="W340" s="6">
        <v>0</v>
      </c>
      <c r="X340" s="6">
        <v>1100</v>
      </c>
      <c r="Y340" s="6">
        <v>712</v>
      </c>
      <c r="Z340" s="6">
        <v>162</v>
      </c>
      <c r="AA340" s="6">
        <v>50</v>
      </c>
      <c r="AB340" s="6">
        <v>0</v>
      </c>
      <c r="AC340" s="7">
        <v>75</v>
      </c>
      <c r="AD340" s="7" t="s">
        <v>52</v>
      </c>
      <c r="AE340" s="7">
        <v>35.18</v>
      </c>
      <c r="AF340" s="7">
        <v>281</v>
      </c>
      <c r="AG340" s="7">
        <v>27.94</v>
      </c>
      <c r="AH340" s="7">
        <v>35.58</v>
      </c>
      <c r="AI340" s="7">
        <v>40.090000000000003</v>
      </c>
      <c r="AJ340" s="9">
        <v>423.41164890450301</v>
      </c>
      <c r="AK340" s="9">
        <v>425.42051614623102</v>
      </c>
      <c r="AL340" s="9">
        <v>463.211889870775</v>
      </c>
      <c r="AM340" s="9">
        <v>67.9873558734037</v>
      </c>
      <c r="AN340" s="9">
        <v>0.90649807831204898</v>
      </c>
      <c r="AO340" s="9">
        <v>0.30531583911874799</v>
      </c>
      <c r="AP340" s="9">
        <v>892.70325607135896</v>
      </c>
      <c r="AQ340" s="9">
        <v>11.902710080951501</v>
      </c>
      <c r="AR340" s="9">
        <v>7.7290227454659499</v>
      </c>
      <c r="AS340" s="73" t="s">
        <v>169</v>
      </c>
      <c r="AT340" s="8"/>
      <c r="AU340" s="10" t="s">
        <v>169</v>
      </c>
      <c r="AV340" s="10">
        <v>0</v>
      </c>
      <c r="AW340" s="8"/>
      <c r="AX340" s="74" t="s">
        <v>169</v>
      </c>
      <c r="AY340" s="74"/>
      <c r="AZ340" s="74"/>
      <c r="BA340" s="74"/>
      <c r="BB340" s="8"/>
      <c r="BC340" s="8"/>
      <c r="BD340" s="8"/>
      <c r="BE340" s="8"/>
      <c r="BF340" s="12">
        <v>0.44</v>
      </c>
      <c r="BG340" s="13">
        <v>354.97471160430365</v>
      </c>
      <c r="BH340" s="96" t="str">
        <f>+VLOOKUP(G340,Liste!$A$7:$G$50,3,FALSE)</f>
        <v>Pin sylvestre</v>
      </c>
      <c r="BI340" s="96" t="str">
        <f>+VLOOKUP(H340,Liste!$B$7:$G$50,5,FALSE)</f>
        <v>GS Pineraies des plaines du Centre et du Nord Ouest</v>
      </c>
      <c r="BJ340" s="135">
        <f t="shared" si="110"/>
        <v>75</v>
      </c>
      <c r="BK340" s="135" t="str">
        <f t="shared" si="112"/>
        <v>Pin sylvestre_F1_Eclaircie tardive_GS Pineraies des plaines du Centre et du Nord Ouest_75_</v>
      </c>
      <c r="BL340" s="322"/>
      <c r="BM340" s="13">
        <v>88.095724477910323</v>
      </c>
      <c r="BN340" s="13">
        <v>443.07043608221397</v>
      </c>
      <c r="BP340" s="13">
        <v>336.6929998</v>
      </c>
      <c r="BQ340" s="13">
        <v>7.1257475621861204</v>
      </c>
      <c r="BT340" s="298" t="str">
        <f>+VLOOKUP(G340,Liste!$A$7:$H$50,8,FALSE)</f>
        <v>Résineux</v>
      </c>
      <c r="BU340" s="298">
        <f t="shared" si="113"/>
        <v>0</v>
      </c>
      <c r="BV340" s="300">
        <f t="shared" si="114"/>
        <v>1</v>
      </c>
      <c r="BW340" s="321">
        <v>0</v>
      </c>
      <c r="BX340" s="298">
        <f t="shared" si="115"/>
        <v>0.43</v>
      </c>
      <c r="BY340">
        <f t="shared" si="116"/>
        <v>0</v>
      </c>
      <c r="BZ340" s="304">
        <f t="shared" si="117"/>
        <v>0</v>
      </c>
      <c r="CB340" s="299">
        <v>0.6</v>
      </c>
      <c r="CC340" s="299">
        <v>0.4</v>
      </c>
      <c r="CD340">
        <f t="shared" si="118"/>
        <v>0</v>
      </c>
      <c r="CE340">
        <f t="shared" si="119"/>
        <v>0</v>
      </c>
      <c r="CF340">
        <f t="shared" si="120"/>
        <v>0</v>
      </c>
      <c r="CG340">
        <f t="shared" si="121"/>
        <v>0</v>
      </c>
      <c r="CH340">
        <f t="shared" si="122"/>
        <v>0</v>
      </c>
      <c r="CI340">
        <f t="shared" si="123"/>
        <v>0</v>
      </c>
      <c r="CJ340">
        <f t="shared" si="124"/>
        <v>0</v>
      </c>
      <c r="CK340">
        <f t="shared" si="125"/>
        <v>0</v>
      </c>
      <c r="CL340">
        <f t="shared" si="126"/>
        <v>0</v>
      </c>
      <c r="CM340">
        <f t="shared" si="128"/>
        <v>0</v>
      </c>
      <c r="CN340">
        <f t="shared" si="127"/>
        <v>0</v>
      </c>
      <c r="CO340">
        <f t="shared" si="111"/>
        <v>0</v>
      </c>
    </row>
    <row r="341" spans="1:93" s="12" customFormat="1" ht="14.65" customHeight="1" x14ac:dyDescent="0.25">
      <c r="A341" s="4">
        <v>2021</v>
      </c>
      <c r="B341" s="4"/>
      <c r="C341" s="4" t="s">
        <v>64</v>
      </c>
      <c r="D341" s="4" t="s">
        <v>65</v>
      </c>
      <c r="E341" s="4"/>
      <c r="F341" s="4" t="s">
        <v>90</v>
      </c>
      <c r="G341" s="5" t="s">
        <v>15</v>
      </c>
      <c r="H341" s="5" t="s">
        <v>21</v>
      </c>
      <c r="I341" s="5" t="s">
        <v>147</v>
      </c>
      <c r="J341" s="5" t="s">
        <v>9</v>
      </c>
      <c r="K341" s="5">
        <v>28</v>
      </c>
      <c r="L341" s="5">
        <v>45</v>
      </c>
      <c r="M341" s="5">
        <v>2500</v>
      </c>
      <c r="N341" s="5" t="s">
        <v>170</v>
      </c>
      <c r="O341" s="6" t="s">
        <v>148</v>
      </c>
      <c r="P341" s="6" t="s">
        <v>80</v>
      </c>
      <c r="Q341" s="6">
        <v>1997</v>
      </c>
      <c r="R341" s="6" t="s">
        <v>2</v>
      </c>
      <c r="S341" s="6">
        <v>21</v>
      </c>
      <c r="T341" s="6">
        <v>12.5</v>
      </c>
      <c r="U341" s="6">
        <v>2024</v>
      </c>
      <c r="V341" s="6">
        <v>28.8</v>
      </c>
      <c r="W341" s="6">
        <v>0</v>
      </c>
      <c r="X341" s="6">
        <v>1100</v>
      </c>
      <c r="Y341" s="6">
        <v>712</v>
      </c>
      <c r="Z341" s="6">
        <v>162</v>
      </c>
      <c r="AA341" s="6">
        <v>50</v>
      </c>
      <c r="AB341" s="6">
        <v>0</v>
      </c>
      <c r="AC341" s="7">
        <v>76</v>
      </c>
      <c r="AD341" s="7" t="s">
        <v>52</v>
      </c>
      <c r="AE341" s="7">
        <v>35.42</v>
      </c>
      <c r="AF341" s="7">
        <v>281</v>
      </c>
      <c r="AG341" s="7">
        <v>28.25</v>
      </c>
      <c r="AH341" s="7">
        <v>35.78</v>
      </c>
      <c r="AI341" s="7">
        <v>40.32</v>
      </c>
      <c r="AJ341" s="9">
        <v>430.795671420335</v>
      </c>
      <c r="AK341" s="9">
        <v>432.830487789725</v>
      </c>
      <c r="AL341" s="9">
        <v>470.94091261624101</v>
      </c>
      <c r="AM341" s="9">
        <v>68.292671712522406</v>
      </c>
      <c r="AN341" s="9">
        <v>0.89858778569108499</v>
      </c>
      <c r="AO341" s="9">
        <v>0.30051228111958</v>
      </c>
      <c r="AP341" s="9">
        <v>900.43227881682503</v>
      </c>
      <c r="AQ341" s="9">
        <v>11.8477931423266</v>
      </c>
      <c r="AR341" s="9">
        <v>7.7055251775915403</v>
      </c>
      <c r="AS341" s="73" t="s">
        <v>169</v>
      </c>
      <c r="AT341" s="8"/>
      <c r="AU341" s="10" t="s">
        <v>169</v>
      </c>
      <c r="AV341" s="10">
        <v>0</v>
      </c>
      <c r="AW341" s="8"/>
      <c r="AX341" s="74" t="s">
        <v>169</v>
      </c>
      <c r="AY341" s="74"/>
      <c r="AZ341" s="74"/>
      <c r="BA341" s="74"/>
      <c r="BB341" s="8"/>
      <c r="BC341" s="8"/>
      <c r="BD341" s="8"/>
      <c r="BE341" s="8"/>
      <c r="BF341" s="12">
        <v>0.44</v>
      </c>
      <c r="BG341" s="13">
        <v>360.89771936824576</v>
      </c>
      <c r="BH341" s="96" t="str">
        <f>+VLOOKUP(G341,Liste!$A$7:$G$50,3,FALSE)</f>
        <v>Pin sylvestre</v>
      </c>
      <c r="BI341" s="96" t="str">
        <f>+VLOOKUP(H341,Liste!$B$7:$G$50,5,FALSE)</f>
        <v>GS Pineraies des plaines du Centre et du Nord Ouest</v>
      </c>
      <c r="BJ341" s="135">
        <f t="shared" si="110"/>
        <v>76</v>
      </c>
      <c r="BK341" s="135" t="str">
        <f t="shared" si="112"/>
        <v>Pin sylvestre_F1_Eclaircie tardive_GS Pineraies des plaines du Centre et du Nord Ouest_76_</v>
      </c>
      <c r="BL341" s="322"/>
      <c r="BM341" s="13">
        <v>89.393310240897222</v>
      </c>
      <c r="BN341" s="13">
        <v>450.29102960914298</v>
      </c>
      <c r="BP341" s="13">
        <v>336.6929998</v>
      </c>
      <c r="BQ341" s="13">
        <v>7.1028883943157597</v>
      </c>
      <c r="BT341" s="298" t="str">
        <f>+VLOOKUP(G341,Liste!$A$7:$H$50,8,FALSE)</f>
        <v>Résineux</v>
      </c>
      <c r="BU341" s="298">
        <f t="shared" si="113"/>
        <v>0</v>
      </c>
      <c r="BV341" s="300">
        <f t="shared" si="114"/>
        <v>1</v>
      </c>
      <c r="BW341" s="321">
        <v>0</v>
      </c>
      <c r="BX341" s="298">
        <f t="shared" si="115"/>
        <v>0.43</v>
      </c>
      <c r="BY341">
        <f t="shared" si="116"/>
        <v>0</v>
      </c>
      <c r="BZ341" s="304">
        <f t="shared" si="117"/>
        <v>0</v>
      </c>
      <c r="CB341" s="299">
        <v>0.6</v>
      </c>
      <c r="CC341" s="299">
        <v>0.4</v>
      </c>
      <c r="CD341">
        <f t="shared" si="118"/>
        <v>0</v>
      </c>
      <c r="CE341">
        <f t="shared" si="119"/>
        <v>0</v>
      </c>
      <c r="CF341">
        <f t="shared" si="120"/>
        <v>0</v>
      </c>
      <c r="CG341">
        <f t="shared" si="121"/>
        <v>0</v>
      </c>
      <c r="CH341">
        <f t="shared" si="122"/>
        <v>0</v>
      </c>
      <c r="CI341">
        <f t="shared" si="123"/>
        <v>0</v>
      </c>
      <c r="CJ341">
        <f t="shared" si="124"/>
        <v>0</v>
      </c>
      <c r="CK341">
        <f t="shared" si="125"/>
        <v>0</v>
      </c>
      <c r="CL341">
        <f t="shared" si="126"/>
        <v>0</v>
      </c>
      <c r="CM341">
        <f t="shared" si="128"/>
        <v>0</v>
      </c>
      <c r="CN341">
        <f t="shared" si="127"/>
        <v>0</v>
      </c>
      <c r="CO341">
        <f t="shared" si="111"/>
        <v>0</v>
      </c>
    </row>
    <row r="342" spans="1:93" s="12" customFormat="1" ht="14.65" customHeight="1" x14ac:dyDescent="0.25">
      <c r="A342" s="4">
        <v>2021</v>
      </c>
      <c r="B342" s="4"/>
      <c r="C342" s="4" t="s">
        <v>64</v>
      </c>
      <c r="D342" s="4" t="s">
        <v>65</v>
      </c>
      <c r="E342" s="4"/>
      <c r="F342" s="4" t="s">
        <v>90</v>
      </c>
      <c r="G342" s="5" t="s">
        <v>15</v>
      </c>
      <c r="H342" s="5" t="s">
        <v>21</v>
      </c>
      <c r="I342" s="5" t="s">
        <v>147</v>
      </c>
      <c r="J342" s="5" t="s">
        <v>9</v>
      </c>
      <c r="K342" s="5">
        <v>28</v>
      </c>
      <c r="L342" s="5">
        <v>45</v>
      </c>
      <c r="M342" s="5">
        <v>2500</v>
      </c>
      <c r="N342" s="5" t="s">
        <v>170</v>
      </c>
      <c r="O342" s="6" t="s">
        <v>148</v>
      </c>
      <c r="P342" s="6" t="s">
        <v>80</v>
      </c>
      <c r="Q342" s="6">
        <v>1997</v>
      </c>
      <c r="R342" s="6" t="s">
        <v>2</v>
      </c>
      <c r="S342" s="6">
        <v>21</v>
      </c>
      <c r="T342" s="6">
        <v>12.5</v>
      </c>
      <c r="U342" s="6">
        <v>2024</v>
      </c>
      <c r="V342" s="6">
        <v>28.8</v>
      </c>
      <c r="W342" s="6">
        <v>0</v>
      </c>
      <c r="X342" s="6">
        <v>1100</v>
      </c>
      <c r="Y342" s="6">
        <v>712</v>
      </c>
      <c r="Z342" s="6">
        <v>162</v>
      </c>
      <c r="AA342" s="6">
        <v>50</v>
      </c>
      <c r="AB342" s="6">
        <v>0</v>
      </c>
      <c r="AC342" s="7">
        <v>77</v>
      </c>
      <c r="AD342" s="7" t="s">
        <v>52</v>
      </c>
      <c r="AE342" s="7">
        <v>35.65</v>
      </c>
      <c r="AF342" s="7">
        <v>281</v>
      </c>
      <c r="AG342" s="7">
        <v>28.55</v>
      </c>
      <c r="AH342" s="7">
        <v>35.97</v>
      </c>
      <c r="AI342" s="7">
        <v>40.549999999999997</v>
      </c>
      <c r="AJ342" s="9">
        <v>438.16811866088898</v>
      </c>
      <c r="AK342" s="9">
        <v>440.22787550476698</v>
      </c>
      <c r="AL342" s="9">
        <v>478.64643779383198</v>
      </c>
      <c r="AM342" s="9">
        <v>68.593183993642</v>
      </c>
      <c r="AN342" s="9">
        <v>0.89082057134600001</v>
      </c>
      <c r="AO342" s="9">
        <v>0.29627742207649999</v>
      </c>
      <c r="AP342" s="9">
        <v>908.13780399441703</v>
      </c>
      <c r="AQ342" s="9">
        <v>11.793997454472899</v>
      </c>
      <c r="AR342" s="9">
        <v>7.6638772396085004</v>
      </c>
      <c r="AS342" s="73" t="s">
        <v>169</v>
      </c>
      <c r="AT342" s="8"/>
      <c r="AU342" s="10" t="s">
        <v>169</v>
      </c>
      <c r="AV342" s="10">
        <v>0</v>
      </c>
      <c r="AW342" s="8"/>
      <c r="AX342" s="74" t="s">
        <v>169</v>
      </c>
      <c r="AY342" s="74"/>
      <c r="AZ342" s="74"/>
      <c r="BA342" s="74"/>
      <c r="BB342" s="8"/>
      <c r="BC342" s="8"/>
      <c r="BD342" s="8"/>
      <c r="BE342" s="8"/>
      <c r="BF342" s="12">
        <v>0.44</v>
      </c>
      <c r="BG342" s="13">
        <v>366.80272016267367</v>
      </c>
      <c r="BH342" s="96" t="str">
        <f>+VLOOKUP(G342,Liste!$A$7:$G$50,3,FALSE)</f>
        <v>Pin sylvestre</v>
      </c>
      <c r="BI342" s="96" t="str">
        <f>+VLOOKUP(H342,Liste!$B$7:$G$50,5,FALSE)</f>
        <v>GS Pineraies des plaines du Centre et du Nord Ouest</v>
      </c>
      <c r="BJ342" s="135">
        <f t="shared" si="110"/>
        <v>77</v>
      </c>
      <c r="BK342" s="135" t="str">
        <f t="shared" si="112"/>
        <v>Pin sylvestre_F1_Eclaircie tardive_GS Pineraies des plaines du Centre et du Nord Ouest_77_</v>
      </c>
      <c r="BL342" s="322"/>
      <c r="BM342" s="13">
        <v>90.684485771409356</v>
      </c>
      <c r="BN342" s="13">
        <v>457.48720593408302</v>
      </c>
      <c r="BP342" s="13">
        <v>336.6929998</v>
      </c>
      <c r="BQ342" s="13">
        <v>7.0633246991491196</v>
      </c>
      <c r="BT342" s="298" t="str">
        <f>+VLOOKUP(G342,Liste!$A$7:$H$50,8,FALSE)</f>
        <v>Résineux</v>
      </c>
      <c r="BU342" s="298">
        <f t="shared" si="113"/>
        <v>0</v>
      </c>
      <c r="BV342" s="300">
        <f t="shared" si="114"/>
        <v>1</v>
      </c>
      <c r="BW342" s="321">
        <v>0</v>
      </c>
      <c r="BX342" s="298">
        <f t="shared" si="115"/>
        <v>0.43</v>
      </c>
      <c r="BY342">
        <f t="shared" si="116"/>
        <v>0</v>
      </c>
      <c r="BZ342" s="304">
        <f t="shared" si="117"/>
        <v>0</v>
      </c>
      <c r="CB342" s="299">
        <v>0.6</v>
      </c>
      <c r="CC342" s="299">
        <v>0.4</v>
      </c>
      <c r="CD342">
        <f t="shared" si="118"/>
        <v>0</v>
      </c>
      <c r="CE342">
        <f t="shared" si="119"/>
        <v>0</v>
      </c>
      <c r="CF342">
        <f t="shared" si="120"/>
        <v>0</v>
      </c>
      <c r="CG342">
        <f t="shared" si="121"/>
        <v>0</v>
      </c>
      <c r="CH342">
        <f t="shared" si="122"/>
        <v>0</v>
      </c>
      <c r="CI342">
        <f t="shared" si="123"/>
        <v>0</v>
      </c>
      <c r="CJ342">
        <f t="shared" si="124"/>
        <v>0</v>
      </c>
      <c r="CK342">
        <f t="shared" si="125"/>
        <v>0</v>
      </c>
      <c r="CL342">
        <f t="shared" si="126"/>
        <v>0</v>
      </c>
      <c r="CM342">
        <f t="shared" si="128"/>
        <v>0</v>
      </c>
      <c r="CN342">
        <f t="shared" si="127"/>
        <v>0</v>
      </c>
      <c r="CO342">
        <f t="shared" si="111"/>
        <v>0</v>
      </c>
    </row>
    <row r="343" spans="1:93" s="12" customFormat="1" ht="14.65" customHeight="1" x14ac:dyDescent="0.25">
      <c r="A343" s="4">
        <v>2021</v>
      </c>
      <c r="B343" s="4"/>
      <c r="C343" s="4" t="s">
        <v>64</v>
      </c>
      <c r="D343" s="4" t="s">
        <v>65</v>
      </c>
      <c r="E343" s="4"/>
      <c r="F343" s="4" t="s">
        <v>90</v>
      </c>
      <c r="G343" s="5" t="s">
        <v>15</v>
      </c>
      <c r="H343" s="5" t="s">
        <v>21</v>
      </c>
      <c r="I343" s="5" t="s">
        <v>147</v>
      </c>
      <c r="J343" s="5" t="s">
        <v>9</v>
      </c>
      <c r="K343" s="5">
        <v>28</v>
      </c>
      <c r="L343" s="5">
        <v>45</v>
      </c>
      <c r="M343" s="5">
        <v>2500</v>
      </c>
      <c r="N343" s="5" t="s">
        <v>170</v>
      </c>
      <c r="O343" s="6" t="s">
        <v>148</v>
      </c>
      <c r="P343" s="6" t="s">
        <v>80</v>
      </c>
      <c r="Q343" s="6">
        <v>1997</v>
      </c>
      <c r="R343" s="6" t="s">
        <v>2</v>
      </c>
      <c r="S343" s="6">
        <v>21</v>
      </c>
      <c r="T343" s="6">
        <v>12.5</v>
      </c>
      <c r="U343" s="6">
        <v>2024</v>
      </c>
      <c r="V343" s="6">
        <v>28.8</v>
      </c>
      <c r="W343" s="6">
        <v>0</v>
      </c>
      <c r="X343" s="6">
        <v>1100</v>
      </c>
      <c r="Y343" s="6">
        <v>712</v>
      </c>
      <c r="Z343" s="6">
        <v>162</v>
      </c>
      <c r="AA343" s="6">
        <v>50</v>
      </c>
      <c r="AB343" s="6">
        <v>0</v>
      </c>
      <c r="AC343" s="7">
        <v>78</v>
      </c>
      <c r="AD343" s="7" t="s">
        <v>52</v>
      </c>
      <c r="AE343" s="7">
        <v>35.880000000000003</v>
      </c>
      <c r="AF343" s="7">
        <v>281</v>
      </c>
      <c r="AG343" s="7">
        <v>28.84</v>
      </c>
      <c r="AH343" s="7">
        <v>36.15</v>
      </c>
      <c r="AI343" s="7">
        <v>40.770000000000003</v>
      </c>
      <c r="AJ343" s="9">
        <v>445.50741715888802</v>
      </c>
      <c r="AK343" s="9">
        <v>447.591505283331</v>
      </c>
      <c r="AL343" s="9">
        <v>486.31031503344099</v>
      </c>
      <c r="AM343" s="9">
        <v>68.8894614157185</v>
      </c>
      <c r="AN343" s="9">
        <v>0.883198223278442</v>
      </c>
      <c r="AO343" s="9">
        <v>0.291540316615922</v>
      </c>
      <c r="AP343" s="9">
        <v>915.80168123402495</v>
      </c>
      <c r="AQ343" s="9">
        <v>11.741047195307999</v>
      </c>
      <c r="AR343" s="9">
        <v>7.6024886887553302</v>
      </c>
      <c r="AS343" s="73" t="s">
        <v>169</v>
      </c>
      <c r="AT343" s="8"/>
      <c r="AU343" s="10" t="s">
        <v>169</v>
      </c>
      <c r="AV343" s="10">
        <v>0</v>
      </c>
      <c r="AW343" s="8"/>
      <c r="AX343" s="74" t="s">
        <v>169</v>
      </c>
      <c r="AY343" s="74"/>
      <c r="AZ343" s="74"/>
      <c r="BA343" s="74"/>
      <c r="BB343" s="8"/>
      <c r="BC343" s="8"/>
      <c r="BD343" s="8"/>
      <c r="BE343" s="8"/>
      <c r="BF343" s="12">
        <v>0.44</v>
      </c>
      <c r="BG343" s="13">
        <v>372.67580475395965</v>
      </c>
      <c r="BH343" s="96" t="str">
        <f>+VLOOKUP(G343,Liste!$A$7:$G$50,3,FALSE)</f>
        <v>Pin sylvestre</v>
      </c>
      <c r="BI343" s="96" t="str">
        <f>+VLOOKUP(H343,Liste!$B$7:$G$50,5,FALSE)</f>
        <v>GS Pineraies des plaines du Centre et du Nord Ouest</v>
      </c>
      <c r="BJ343" s="135">
        <f t="shared" si="110"/>
        <v>78</v>
      </c>
      <c r="BK343" s="135" t="str">
        <f t="shared" si="112"/>
        <v>Pin sylvestre_F1_Eclaircie tardive_GS Pineraies des plaines du Centre et du Nord Ouest_78_</v>
      </c>
      <c r="BL343" s="322"/>
      <c r="BM343" s="13">
        <v>91.96628471043033</v>
      </c>
      <c r="BN343" s="13">
        <v>464.64208946438998</v>
      </c>
      <c r="BP343" s="13">
        <v>336.6929998</v>
      </c>
      <c r="BQ343" s="13">
        <v>7.0056016489670601</v>
      </c>
      <c r="BT343" s="298" t="str">
        <f>+VLOOKUP(G343,Liste!$A$7:$H$50,8,FALSE)</f>
        <v>Résineux</v>
      </c>
      <c r="BU343" s="298">
        <f t="shared" si="113"/>
        <v>0</v>
      </c>
      <c r="BV343" s="300">
        <f t="shared" si="114"/>
        <v>1</v>
      </c>
      <c r="BW343" s="321">
        <v>0</v>
      </c>
      <c r="BX343" s="298">
        <f t="shared" si="115"/>
        <v>0.43</v>
      </c>
      <c r="BY343">
        <f t="shared" si="116"/>
        <v>0</v>
      </c>
      <c r="BZ343" s="304">
        <f t="shared" si="117"/>
        <v>0</v>
      </c>
      <c r="CB343" s="299">
        <v>0.6</v>
      </c>
      <c r="CC343" s="299">
        <v>0.4</v>
      </c>
      <c r="CD343">
        <f t="shared" si="118"/>
        <v>0</v>
      </c>
      <c r="CE343">
        <f t="shared" si="119"/>
        <v>0</v>
      </c>
      <c r="CF343">
        <f t="shared" si="120"/>
        <v>0</v>
      </c>
      <c r="CG343">
        <f t="shared" si="121"/>
        <v>0</v>
      </c>
      <c r="CH343">
        <f t="shared" si="122"/>
        <v>0</v>
      </c>
      <c r="CI343">
        <f t="shared" si="123"/>
        <v>0</v>
      </c>
      <c r="CJ343">
        <f t="shared" si="124"/>
        <v>0</v>
      </c>
      <c r="CK343">
        <f t="shared" si="125"/>
        <v>0</v>
      </c>
      <c r="CL343">
        <f t="shared" si="126"/>
        <v>0</v>
      </c>
      <c r="CM343">
        <f t="shared" si="128"/>
        <v>0</v>
      </c>
      <c r="CN343">
        <f t="shared" si="127"/>
        <v>0</v>
      </c>
      <c r="CO343">
        <f t="shared" si="111"/>
        <v>0</v>
      </c>
    </row>
    <row r="344" spans="1:93" s="12" customFormat="1" ht="14.65" customHeight="1" x14ac:dyDescent="0.25">
      <c r="A344" s="4">
        <v>2021</v>
      </c>
      <c r="B344" s="4"/>
      <c r="C344" s="4" t="s">
        <v>64</v>
      </c>
      <c r="D344" s="4" t="s">
        <v>65</v>
      </c>
      <c r="E344" s="4"/>
      <c r="F344" s="4" t="s">
        <v>90</v>
      </c>
      <c r="G344" s="5" t="s">
        <v>15</v>
      </c>
      <c r="H344" s="5" t="s">
        <v>21</v>
      </c>
      <c r="I344" s="5" t="s">
        <v>147</v>
      </c>
      <c r="J344" s="5" t="s">
        <v>9</v>
      </c>
      <c r="K344" s="5">
        <v>28</v>
      </c>
      <c r="L344" s="5">
        <v>45</v>
      </c>
      <c r="M344" s="5">
        <v>2500</v>
      </c>
      <c r="N344" s="5" t="s">
        <v>170</v>
      </c>
      <c r="O344" s="6" t="s">
        <v>148</v>
      </c>
      <c r="P344" s="6" t="s">
        <v>80</v>
      </c>
      <c r="Q344" s="6">
        <v>1997</v>
      </c>
      <c r="R344" s="6" t="s">
        <v>2</v>
      </c>
      <c r="S344" s="6">
        <v>21</v>
      </c>
      <c r="T344" s="6">
        <v>12.5</v>
      </c>
      <c r="U344" s="6">
        <v>2024</v>
      </c>
      <c r="V344" s="6">
        <v>28.8</v>
      </c>
      <c r="W344" s="6">
        <v>0</v>
      </c>
      <c r="X344" s="6">
        <v>1100</v>
      </c>
      <c r="Y344" s="6">
        <v>712</v>
      </c>
      <c r="Z344" s="6">
        <v>162</v>
      </c>
      <c r="AA344" s="6">
        <v>50</v>
      </c>
      <c r="AB344" s="6">
        <v>0</v>
      </c>
      <c r="AC344" s="7">
        <v>79</v>
      </c>
      <c r="AD344" s="7" t="s">
        <v>52</v>
      </c>
      <c r="AE344" s="7">
        <v>36.1</v>
      </c>
      <c r="AF344" s="7">
        <v>281</v>
      </c>
      <c r="AG344" s="7">
        <v>29.14</v>
      </c>
      <c r="AH344" s="7">
        <v>36.33</v>
      </c>
      <c r="AI344" s="7">
        <v>40.99</v>
      </c>
      <c r="AJ344" s="9">
        <v>452.79418324252401</v>
      </c>
      <c r="AK344" s="9">
        <v>454.90195294789999</v>
      </c>
      <c r="AL344" s="9">
        <v>493.91280372219597</v>
      </c>
      <c r="AM344" s="9">
        <v>69.181001732334394</v>
      </c>
      <c r="AN344" s="9">
        <v>0.87570888268777802</v>
      </c>
      <c r="AO344" s="9">
        <v>0.28860345370158302</v>
      </c>
      <c r="AP344" s="9">
        <v>923.40416992278097</v>
      </c>
      <c r="AQ344" s="9">
        <v>11.6886603787694</v>
      </c>
      <c r="AR344" s="9">
        <v>7.4836202166642396</v>
      </c>
      <c r="AS344" s="73" t="s">
        <v>169</v>
      </c>
      <c r="AT344" s="8"/>
      <c r="AU344" s="10" t="s">
        <v>169</v>
      </c>
      <c r="AV344" s="10">
        <v>0</v>
      </c>
      <c r="AW344" s="8"/>
      <c r="AX344" s="74" t="s">
        <v>169</v>
      </c>
      <c r="AY344" s="74"/>
      <c r="AZ344" s="74"/>
      <c r="BA344" s="74"/>
      <c r="BB344" s="8"/>
      <c r="BC344" s="8"/>
      <c r="BD344" s="8"/>
      <c r="BE344" s="8"/>
      <c r="BF344" s="12">
        <v>0.44</v>
      </c>
      <c r="BG344" s="13">
        <v>378.50184525244299</v>
      </c>
      <c r="BH344" s="96" t="str">
        <f>+VLOOKUP(G344,Liste!$A$7:$G$50,3,FALSE)</f>
        <v>Pin sylvestre</v>
      </c>
      <c r="BI344" s="96" t="str">
        <f>+VLOOKUP(H344,Liste!$B$7:$G$50,5,FALSE)</f>
        <v>GS Pineraies des plaines du Centre et du Nord Ouest</v>
      </c>
      <c r="BJ344" s="135">
        <f t="shared" si="110"/>
        <v>79</v>
      </c>
      <c r="BK344" s="135" t="str">
        <f t="shared" si="112"/>
        <v>Pin sylvestre_F1_Eclaircie tardive_GS Pineraies des plaines du Centre et du Nord Ouest_79_</v>
      </c>
      <c r="BL344" s="322"/>
      <c r="BM344" s="13">
        <v>93.23549508648199</v>
      </c>
      <c r="BN344" s="13">
        <v>471.73734033892498</v>
      </c>
      <c r="BP344" s="13">
        <v>336.6929998</v>
      </c>
      <c r="BQ344" s="13">
        <v>6.8949622083837303</v>
      </c>
      <c r="BT344" s="298" t="str">
        <f>+VLOOKUP(G344,Liste!$A$7:$H$50,8,FALSE)</f>
        <v>Résineux</v>
      </c>
      <c r="BU344" s="298">
        <f t="shared" si="113"/>
        <v>0</v>
      </c>
      <c r="BV344" s="300">
        <f t="shared" si="114"/>
        <v>1</v>
      </c>
      <c r="BW344" s="321">
        <v>0</v>
      </c>
      <c r="BX344" s="298">
        <f t="shared" si="115"/>
        <v>0.43</v>
      </c>
      <c r="BY344">
        <f t="shared" si="116"/>
        <v>0</v>
      </c>
      <c r="BZ344" s="304">
        <f t="shared" si="117"/>
        <v>0</v>
      </c>
      <c r="CB344" s="299">
        <v>0.6</v>
      </c>
      <c r="CC344" s="299">
        <v>0.4</v>
      </c>
      <c r="CD344">
        <f t="shared" si="118"/>
        <v>0</v>
      </c>
      <c r="CE344">
        <f t="shared" si="119"/>
        <v>0</v>
      </c>
      <c r="CF344">
        <f t="shared" si="120"/>
        <v>0</v>
      </c>
      <c r="CG344">
        <f t="shared" si="121"/>
        <v>0</v>
      </c>
      <c r="CH344">
        <f t="shared" si="122"/>
        <v>0</v>
      </c>
      <c r="CI344">
        <f t="shared" si="123"/>
        <v>0</v>
      </c>
      <c r="CJ344">
        <f t="shared" si="124"/>
        <v>0</v>
      </c>
      <c r="CK344">
        <f t="shared" si="125"/>
        <v>0</v>
      </c>
      <c r="CL344">
        <f t="shared" si="126"/>
        <v>0</v>
      </c>
      <c r="CM344">
        <f t="shared" si="128"/>
        <v>0</v>
      </c>
      <c r="CN344">
        <f t="shared" si="127"/>
        <v>0</v>
      </c>
      <c r="CO344">
        <f t="shared" si="111"/>
        <v>0</v>
      </c>
    </row>
    <row r="345" spans="1:93" s="12" customFormat="1" ht="14.65" customHeight="1" x14ac:dyDescent="0.25">
      <c r="A345" s="4">
        <v>2021</v>
      </c>
      <c r="B345" s="4"/>
      <c r="C345" s="4" t="s">
        <v>64</v>
      </c>
      <c r="D345" s="4" t="s">
        <v>65</v>
      </c>
      <c r="E345" s="4"/>
      <c r="F345" s="4" t="s">
        <v>90</v>
      </c>
      <c r="G345" s="5" t="s">
        <v>15</v>
      </c>
      <c r="H345" s="5" t="s">
        <v>21</v>
      </c>
      <c r="I345" s="5" t="s">
        <v>147</v>
      </c>
      <c r="J345" s="5" t="s">
        <v>9</v>
      </c>
      <c r="K345" s="5">
        <v>28</v>
      </c>
      <c r="L345" s="5">
        <v>45</v>
      </c>
      <c r="M345" s="5">
        <v>2500</v>
      </c>
      <c r="N345" s="5" t="s">
        <v>170</v>
      </c>
      <c r="O345" s="6" t="s">
        <v>148</v>
      </c>
      <c r="P345" s="6" t="s">
        <v>80</v>
      </c>
      <c r="Q345" s="6">
        <v>1997</v>
      </c>
      <c r="R345" s="6" t="s">
        <v>2</v>
      </c>
      <c r="S345" s="6">
        <v>21</v>
      </c>
      <c r="T345" s="6">
        <v>12.5</v>
      </c>
      <c r="U345" s="6">
        <v>2024</v>
      </c>
      <c r="V345" s="6">
        <v>28.8</v>
      </c>
      <c r="W345" s="6">
        <v>0</v>
      </c>
      <c r="X345" s="6">
        <v>1100</v>
      </c>
      <c r="Y345" s="6">
        <v>712</v>
      </c>
      <c r="Z345" s="6">
        <v>162</v>
      </c>
      <c r="AA345" s="6">
        <v>50</v>
      </c>
      <c r="AB345" s="6">
        <v>0</v>
      </c>
      <c r="AC345" s="7">
        <v>80</v>
      </c>
      <c r="AD345" s="7" t="s">
        <v>52</v>
      </c>
      <c r="AE345" s="7">
        <v>36.32</v>
      </c>
      <c r="AF345" s="7">
        <v>281</v>
      </c>
      <c r="AG345" s="7">
        <v>29.42</v>
      </c>
      <c r="AH345" s="7">
        <v>36.51</v>
      </c>
      <c r="AI345" s="7">
        <v>41.21</v>
      </c>
      <c r="AJ345" s="9">
        <v>459.95929635727799</v>
      </c>
      <c r="AK345" s="9">
        <v>462.09129981793399</v>
      </c>
      <c r="AL345" s="9">
        <v>501.39642393885998</v>
      </c>
      <c r="AM345" s="9">
        <v>69.469605186036006</v>
      </c>
      <c r="AN345" s="9">
        <v>0.86837006482544998</v>
      </c>
      <c r="AO345" s="9">
        <v>0.28406479479494401</v>
      </c>
      <c r="AP345" s="9">
        <v>930.88779013944497</v>
      </c>
      <c r="AQ345" s="9">
        <v>11.6360973767431</v>
      </c>
      <c r="AR345" s="9">
        <v>7.4730271731101503</v>
      </c>
      <c r="AS345" s="73" t="s">
        <v>169</v>
      </c>
      <c r="AT345" s="8"/>
      <c r="AU345" s="10" t="s">
        <v>169</v>
      </c>
      <c r="AV345" s="10">
        <v>0</v>
      </c>
      <c r="AW345" s="8"/>
      <c r="AX345" s="74" t="s">
        <v>169</v>
      </c>
      <c r="AY345" s="74"/>
      <c r="AZ345" s="74"/>
      <c r="BA345" s="74"/>
      <c r="BB345" s="8"/>
      <c r="BC345" s="8"/>
      <c r="BD345" s="8"/>
      <c r="BE345" s="8"/>
      <c r="BF345" s="12">
        <v>0.44</v>
      </c>
      <c r="BG345" s="13">
        <v>384.23679287848063</v>
      </c>
      <c r="BH345" s="96" t="str">
        <f>+VLOOKUP(G345,Liste!$A$7:$G$50,3,FALSE)</f>
        <v>Pin sylvestre</v>
      </c>
      <c r="BI345" s="96" t="str">
        <f>+VLOOKUP(H345,Liste!$B$7:$G$50,5,FALSE)</f>
        <v>GS Pineraies des plaines du Centre et du Nord Ouest</v>
      </c>
      <c r="BJ345" s="135">
        <f t="shared" si="110"/>
        <v>80</v>
      </c>
      <c r="BK345" s="135" t="str">
        <f t="shared" si="112"/>
        <v>Pin sylvestre_F1_Eclaircie tardive_GS Pineraies des plaines du Centre et du Nord Ouest_80_</v>
      </c>
      <c r="BL345" s="322"/>
      <c r="BM345" s="13">
        <v>94.482641508618372</v>
      </c>
      <c r="BN345" s="13">
        <v>478.719434387099</v>
      </c>
      <c r="BP345" s="13">
        <v>336.6929998</v>
      </c>
      <c r="BQ345" s="13">
        <v>6.8841196995351801</v>
      </c>
      <c r="BT345" s="298" t="str">
        <f>+VLOOKUP(G345,Liste!$A$7:$H$50,8,FALSE)</f>
        <v>Résineux</v>
      </c>
      <c r="BU345" s="298">
        <f t="shared" si="113"/>
        <v>0</v>
      </c>
      <c r="BV345" s="300">
        <f t="shared" si="114"/>
        <v>1</v>
      </c>
      <c r="BW345" s="321">
        <v>0</v>
      </c>
      <c r="BX345" s="298">
        <f t="shared" si="115"/>
        <v>0.43</v>
      </c>
      <c r="BY345">
        <f t="shared" si="116"/>
        <v>0</v>
      </c>
      <c r="BZ345" s="304">
        <f t="shared" si="117"/>
        <v>0</v>
      </c>
      <c r="CB345" s="299">
        <v>0.6</v>
      </c>
      <c r="CC345" s="299">
        <v>0.4</v>
      </c>
      <c r="CD345">
        <f t="shared" si="118"/>
        <v>0</v>
      </c>
      <c r="CE345">
        <f t="shared" si="119"/>
        <v>0</v>
      </c>
      <c r="CF345">
        <f t="shared" si="120"/>
        <v>0</v>
      </c>
      <c r="CG345">
        <f t="shared" si="121"/>
        <v>0</v>
      </c>
      <c r="CH345">
        <f t="shared" si="122"/>
        <v>0</v>
      </c>
      <c r="CI345">
        <f t="shared" si="123"/>
        <v>0</v>
      </c>
      <c r="CJ345">
        <f t="shared" si="124"/>
        <v>0</v>
      </c>
      <c r="CK345">
        <f t="shared" si="125"/>
        <v>0</v>
      </c>
      <c r="CL345">
        <f t="shared" si="126"/>
        <v>0</v>
      </c>
      <c r="CM345">
        <f t="shared" si="128"/>
        <v>0</v>
      </c>
      <c r="CN345">
        <f t="shared" si="127"/>
        <v>0</v>
      </c>
      <c r="CO345">
        <f t="shared" si="111"/>
        <v>0</v>
      </c>
    </row>
    <row r="346" spans="1:93" s="12" customFormat="1" ht="14.65" customHeight="1" x14ac:dyDescent="0.25">
      <c r="A346" s="4">
        <v>2021</v>
      </c>
      <c r="B346" s="4"/>
      <c r="C346" s="4" t="s">
        <v>64</v>
      </c>
      <c r="D346" s="4" t="s">
        <v>65</v>
      </c>
      <c r="E346" s="4"/>
      <c r="F346" s="4" t="s">
        <v>90</v>
      </c>
      <c r="G346" s="5" t="s">
        <v>15</v>
      </c>
      <c r="H346" s="5" t="s">
        <v>21</v>
      </c>
      <c r="I346" s="5" t="s">
        <v>147</v>
      </c>
      <c r="J346" s="5" t="s">
        <v>9</v>
      </c>
      <c r="K346" s="5">
        <v>28</v>
      </c>
      <c r="L346" s="5">
        <v>45</v>
      </c>
      <c r="M346" s="5">
        <v>2500</v>
      </c>
      <c r="N346" s="5" t="s">
        <v>170</v>
      </c>
      <c r="O346" s="6" t="s">
        <v>148</v>
      </c>
      <c r="P346" s="6" t="s">
        <v>80</v>
      </c>
      <c r="Q346" s="6">
        <v>1997</v>
      </c>
      <c r="R346" s="6" t="s">
        <v>2</v>
      </c>
      <c r="S346" s="6">
        <v>21</v>
      </c>
      <c r="T346" s="6">
        <v>12.5</v>
      </c>
      <c r="U346" s="6">
        <v>2024</v>
      </c>
      <c r="V346" s="6">
        <v>28.8</v>
      </c>
      <c r="W346" s="6">
        <v>0</v>
      </c>
      <c r="X346" s="6">
        <v>1100</v>
      </c>
      <c r="Y346" s="6">
        <v>712</v>
      </c>
      <c r="Z346" s="6">
        <v>162</v>
      </c>
      <c r="AA346" s="6">
        <v>50</v>
      </c>
      <c r="AB346" s="6">
        <v>0</v>
      </c>
      <c r="AC346" s="7">
        <v>81</v>
      </c>
      <c r="AD346" s="7" t="s">
        <v>52</v>
      </c>
      <c r="AE346" s="7">
        <v>36.53</v>
      </c>
      <c r="AF346" s="7">
        <v>281</v>
      </c>
      <c r="AG346" s="7">
        <v>29.71</v>
      </c>
      <c r="AH346" s="7">
        <v>36.69</v>
      </c>
      <c r="AI346" s="7">
        <v>41.42</v>
      </c>
      <c r="AJ346" s="9">
        <v>467.12688320638603</v>
      </c>
      <c r="AK346" s="9">
        <v>469.28191847525801</v>
      </c>
      <c r="AL346" s="9">
        <v>508.86945111197099</v>
      </c>
      <c r="AM346" s="9">
        <v>69.753669980831006</v>
      </c>
      <c r="AN346" s="9">
        <v>0.86115641951643196</v>
      </c>
      <c r="AO346" s="9">
        <v>0.263104332083614</v>
      </c>
      <c r="AP346" s="9">
        <v>938.36081731255501</v>
      </c>
      <c r="AQ346" s="9">
        <v>11.5847014483031</v>
      </c>
      <c r="AR346" s="9">
        <v>6.7264311938031396</v>
      </c>
      <c r="AS346" s="73" t="s">
        <v>169</v>
      </c>
      <c r="AT346" s="8"/>
      <c r="AU346" s="10" t="s">
        <v>169</v>
      </c>
      <c r="AV346" s="10">
        <v>0</v>
      </c>
      <c r="AW346" s="8"/>
      <c r="AX346" s="74" t="s">
        <v>169</v>
      </c>
      <c r="AY346" s="74"/>
      <c r="AZ346" s="74"/>
      <c r="BA346" s="74"/>
      <c r="BB346" s="8"/>
      <c r="BC346" s="8"/>
      <c r="BD346" s="8"/>
      <c r="BE346" s="8"/>
      <c r="BF346" s="12">
        <v>0.44</v>
      </c>
      <c r="BG346" s="13">
        <v>389.96362270214064</v>
      </c>
      <c r="BH346" s="96" t="str">
        <f>+VLOOKUP(G346,Liste!$A$7:$G$50,3,FALSE)</f>
        <v>Pin sylvestre</v>
      </c>
      <c r="BI346" s="96" t="str">
        <f>+VLOOKUP(H346,Liste!$B$7:$G$50,5,FALSE)</f>
        <v>GS Pineraies des plaines du Centre et du Nord Ouest</v>
      </c>
      <c r="BJ346" s="135">
        <f t="shared" si="110"/>
        <v>81</v>
      </c>
      <c r="BK346" s="135" t="str">
        <f t="shared" si="112"/>
        <v>Pin sylvestre_F1_Eclaircie tardive_GS Pineraies des plaines du Centre et du Nord Ouest_81_</v>
      </c>
      <c r="BL346" s="322"/>
      <c r="BM346" s="13">
        <v>95.725862261444377</v>
      </c>
      <c r="BN346" s="13">
        <v>485.68948496358502</v>
      </c>
      <c r="BP346" s="13">
        <v>336.6929998</v>
      </c>
      <c r="BQ346" s="13">
        <v>6.1954415253443402</v>
      </c>
      <c r="BT346" s="298" t="str">
        <f>+VLOOKUP(G346,Liste!$A$7:$H$50,8,FALSE)</f>
        <v>Résineux</v>
      </c>
      <c r="BU346" s="298">
        <f t="shared" si="113"/>
        <v>0</v>
      </c>
      <c r="BV346" s="300">
        <f t="shared" si="114"/>
        <v>1</v>
      </c>
      <c r="BW346" s="321">
        <v>0</v>
      </c>
      <c r="BX346" s="298">
        <f t="shared" si="115"/>
        <v>0.43</v>
      </c>
      <c r="BY346">
        <f t="shared" si="116"/>
        <v>0</v>
      </c>
      <c r="BZ346" s="304">
        <f t="shared" si="117"/>
        <v>0</v>
      </c>
      <c r="CB346" s="299">
        <v>0.6</v>
      </c>
      <c r="CC346" s="299">
        <v>0.4</v>
      </c>
      <c r="CD346">
        <f t="shared" si="118"/>
        <v>0</v>
      </c>
      <c r="CE346">
        <f t="shared" si="119"/>
        <v>0</v>
      </c>
      <c r="CF346">
        <f t="shared" si="120"/>
        <v>0</v>
      </c>
      <c r="CG346">
        <f t="shared" si="121"/>
        <v>0</v>
      </c>
      <c r="CH346">
        <f t="shared" si="122"/>
        <v>0</v>
      </c>
      <c r="CI346">
        <f t="shared" si="123"/>
        <v>0</v>
      </c>
      <c r="CJ346">
        <f t="shared" si="124"/>
        <v>0</v>
      </c>
      <c r="CK346">
        <f t="shared" si="125"/>
        <v>0</v>
      </c>
      <c r="CL346">
        <f t="shared" si="126"/>
        <v>0</v>
      </c>
      <c r="CM346">
        <f t="shared" si="128"/>
        <v>0</v>
      </c>
      <c r="CN346">
        <f t="shared" si="127"/>
        <v>0</v>
      </c>
      <c r="CO346">
        <f t="shared" si="111"/>
        <v>0</v>
      </c>
    </row>
    <row r="347" spans="1:93" s="12" customFormat="1" ht="14.65" customHeight="1" x14ac:dyDescent="0.25">
      <c r="A347" s="4">
        <v>2021</v>
      </c>
      <c r="B347" s="4"/>
      <c r="C347" s="4" t="s">
        <v>64</v>
      </c>
      <c r="D347" s="4" t="s">
        <v>65</v>
      </c>
      <c r="E347" s="4"/>
      <c r="F347" s="4" t="s">
        <v>90</v>
      </c>
      <c r="G347" s="5" t="s">
        <v>15</v>
      </c>
      <c r="H347" s="5" t="s">
        <v>21</v>
      </c>
      <c r="I347" s="5" t="s">
        <v>147</v>
      </c>
      <c r="J347" s="5" t="s">
        <v>9</v>
      </c>
      <c r="K347" s="5">
        <v>28</v>
      </c>
      <c r="L347" s="5">
        <v>45</v>
      </c>
      <c r="M347" s="5">
        <v>2500</v>
      </c>
      <c r="N347" s="5" t="s">
        <v>170</v>
      </c>
      <c r="O347" s="6" t="s">
        <v>148</v>
      </c>
      <c r="P347" s="6" t="s">
        <v>80</v>
      </c>
      <c r="Q347" s="6">
        <v>1997</v>
      </c>
      <c r="R347" s="6" t="s">
        <v>2</v>
      </c>
      <c r="S347" s="6">
        <v>21</v>
      </c>
      <c r="T347" s="6">
        <v>12.5</v>
      </c>
      <c r="U347" s="6">
        <v>2024</v>
      </c>
      <c r="V347" s="6">
        <v>28.8</v>
      </c>
      <c r="W347" s="6">
        <v>0</v>
      </c>
      <c r="X347" s="6">
        <v>1100</v>
      </c>
      <c r="Y347" s="6">
        <v>712</v>
      </c>
      <c r="Z347" s="6">
        <v>162</v>
      </c>
      <c r="AA347" s="6">
        <v>50</v>
      </c>
      <c r="AB347" s="6">
        <v>0</v>
      </c>
      <c r="AC347" s="7">
        <v>81</v>
      </c>
      <c r="AD347" s="7" t="s">
        <v>53</v>
      </c>
      <c r="AE347" s="7">
        <v>36.53</v>
      </c>
      <c r="AF347" s="7">
        <v>246</v>
      </c>
      <c r="AG347" s="7">
        <v>27</v>
      </c>
      <c r="AH347" s="7">
        <v>37.380000000000003</v>
      </c>
      <c r="AI347" s="7">
        <v>41.42</v>
      </c>
      <c r="AJ347" s="9">
        <v>425.65359145623103</v>
      </c>
      <c r="AK347" s="9">
        <v>427.688505266059</v>
      </c>
      <c r="AL347" s="9">
        <v>463.91279453298802</v>
      </c>
      <c r="AM347" s="9">
        <v>69.753669980831006</v>
      </c>
      <c r="AN347" s="9">
        <v>0.86115641951643196</v>
      </c>
      <c r="AO347" s="9">
        <v>0.263104332083614</v>
      </c>
      <c r="AP347" s="9">
        <v>938.36081731255501</v>
      </c>
      <c r="AQ347" s="9">
        <v>11.5847014483031</v>
      </c>
      <c r="AR347" s="9">
        <v>6.7264311938031396</v>
      </c>
      <c r="AS347" s="73">
        <v>35</v>
      </c>
      <c r="AT347" s="8">
        <v>2.7100000000000009</v>
      </c>
      <c r="AU347" s="10">
        <v>31.398267314488603</v>
      </c>
      <c r="AV347" s="10">
        <v>41.473291750154999</v>
      </c>
      <c r="AW347" s="8">
        <v>0.73</v>
      </c>
      <c r="AX347" s="74">
        <v>1.1849511928615715</v>
      </c>
      <c r="AY347" s="74"/>
      <c r="AZ347" s="74"/>
      <c r="BA347" s="74"/>
      <c r="BB347" s="8"/>
      <c r="BC347" s="8"/>
      <c r="BD347" s="8"/>
      <c r="BE347" s="8"/>
      <c r="BF347" s="12">
        <v>0.44</v>
      </c>
      <c r="BG347" s="13">
        <v>355.51183821044651</v>
      </c>
      <c r="BH347" s="96" t="str">
        <f>+VLOOKUP(G347,Liste!$A$7:$G$50,3,FALSE)</f>
        <v>Pin sylvestre</v>
      </c>
      <c r="BI347" s="96" t="str">
        <f>+VLOOKUP(H347,Liste!$B$7:$G$50,5,FALSE)</f>
        <v>GS Pineraies des plaines du Centre et du Nord Ouest</v>
      </c>
      <c r="BJ347" s="135">
        <f t="shared" si="110"/>
        <v>81</v>
      </c>
      <c r="BK347" s="135" t="str">
        <f t="shared" si="112"/>
        <v>Pin sylvestre_F1_Eclaircie tardive_GS Pineraies des plaines du Centre et du Nord Ouest_81_</v>
      </c>
      <c r="BL347" s="322"/>
      <c r="BM347" s="13">
        <v>88.213499057529475</v>
      </c>
      <c r="BN347" s="13">
        <v>443.72533726797599</v>
      </c>
      <c r="BO347" s="13">
        <v>41.964147695609029</v>
      </c>
      <c r="BP347" s="13">
        <v>336.6929998</v>
      </c>
      <c r="BQ347" s="13">
        <v>6.1954415253443402</v>
      </c>
      <c r="BT347" s="298" t="str">
        <f>+VLOOKUP(G347,Liste!$A$7:$H$50,8,FALSE)</f>
        <v>Résineux</v>
      </c>
      <c r="BU347" s="298">
        <f t="shared" si="113"/>
        <v>0</v>
      </c>
      <c r="BV347" s="300">
        <f t="shared" si="114"/>
        <v>1</v>
      </c>
      <c r="BW347" s="321">
        <v>0</v>
      </c>
      <c r="BX347" s="298">
        <f t="shared" si="115"/>
        <v>0.43</v>
      </c>
      <c r="BY347">
        <f t="shared" si="116"/>
        <v>0</v>
      </c>
      <c r="BZ347" s="304">
        <f t="shared" si="117"/>
        <v>0</v>
      </c>
      <c r="CB347" s="299">
        <v>0.6</v>
      </c>
      <c r="CC347" s="299">
        <v>0.4</v>
      </c>
      <c r="CD347">
        <f t="shared" si="118"/>
        <v>0</v>
      </c>
      <c r="CE347">
        <f t="shared" si="119"/>
        <v>0</v>
      </c>
      <c r="CF347">
        <f t="shared" si="120"/>
        <v>0</v>
      </c>
      <c r="CG347">
        <f t="shared" si="121"/>
        <v>0</v>
      </c>
      <c r="CH347">
        <f t="shared" si="122"/>
        <v>0</v>
      </c>
      <c r="CI347">
        <f t="shared" si="123"/>
        <v>0</v>
      </c>
      <c r="CJ347">
        <f t="shared" si="124"/>
        <v>0</v>
      </c>
      <c r="CK347">
        <f t="shared" si="125"/>
        <v>0</v>
      </c>
      <c r="CL347">
        <f t="shared" si="126"/>
        <v>0</v>
      </c>
      <c r="CM347">
        <f t="shared" si="128"/>
        <v>0</v>
      </c>
      <c r="CN347">
        <f t="shared" si="127"/>
        <v>0</v>
      </c>
      <c r="CO347">
        <f t="shared" si="111"/>
        <v>0</v>
      </c>
    </row>
    <row r="348" spans="1:93" s="12" customFormat="1" ht="14.65" customHeight="1" x14ac:dyDescent="0.25">
      <c r="A348" s="4">
        <v>2021</v>
      </c>
      <c r="B348" s="4"/>
      <c r="C348" s="4" t="s">
        <v>64</v>
      </c>
      <c r="D348" s="4" t="s">
        <v>65</v>
      </c>
      <c r="E348" s="4"/>
      <c r="F348" s="4" t="s">
        <v>90</v>
      </c>
      <c r="G348" s="5" t="s">
        <v>15</v>
      </c>
      <c r="H348" s="5" t="s">
        <v>21</v>
      </c>
      <c r="I348" s="5" t="s">
        <v>147</v>
      </c>
      <c r="J348" s="5" t="s">
        <v>9</v>
      </c>
      <c r="K348" s="5">
        <v>28</v>
      </c>
      <c r="L348" s="5">
        <v>45</v>
      </c>
      <c r="M348" s="5">
        <v>2500</v>
      </c>
      <c r="N348" s="5" t="s">
        <v>170</v>
      </c>
      <c r="O348" s="6" t="s">
        <v>148</v>
      </c>
      <c r="P348" s="6" t="s">
        <v>80</v>
      </c>
      <c r="Q348" s="6">
        <v>1997</v>
      </c>
      <c r="R348" s="6" t="s">
        <v>2</v>
      </c>
      <c r="S348" s="6">
        <v>21</v>
      </c>
      <c r="T348" s="6">
        <v>12.5</v>
      </c>
      <c r="U348" s="6">
        <v>2024</v>
      </c>
      <c r="V348" s="6">
        <v>28.8</v>
      </c>
      <c r="W348" s="6">
        <v>0</v>
      </c>
      <c r="X348" s="6">
        <v>1100</v>
      </c>
      <c r="Y348" s="6">
        <v>712</v>
      </c>
      <c r="Z348" s="6">
        <v>162</v>
      </c>
      <c r="AA348" s="6">
        <v>50</v>
      </c>
      <c r="AB348" s="6">
        <v>0</v>
      </c>
      <c r="AC348" s="7">
        <v>82</v>
      </c>
      <c r="AD348" s="7" t="s">
        <v>52</v>
      </c>
      <c r="AE348" s="7">
        <v>36.75</v>
      </c>
      <c r="AF348" s="7">
        <v>246</v>
      </c>
      <c r="AG348" s="7">
        <v>27.26</v>
      </c>
      <c r="AH348" s="7">
        <v>37.56</v>
      </c>
      <c r="AI348" s="7">
        <v>41.63</v>
      </c>
      <c r="AJ348" s="9">
        <v>432.07238506366798</v>
      </c>
      <c r="AK348" s="9">
        <v>434.13151806558898</v>
      </c>
      <c r="AL348" s="9">
        <v>470.63922572679098</v>
      </c>
      <c r="AM348" s="9">
        <v>70.016774312914606</v>
      </c>
      <c r="AN348" s="9">
        <v>0.85386310137700705</v>
      </c>
      <c r="AO348" s="9">
        <v>0.25922500708117002</v>
      </c>
      <c r="AP348" s="9">
        <v>945.08724850635804</v>
      </c>
      <c r="AQ348" s="9">
        <v>11.5254542500775</v>
      </c>
      <c r="AR348" s="9">
        <v>6.8129067814688797</v>
      </c>
      <c r="AS348" s="73" t="s">
        <v>169</v>
      </c>
      <c r="AT348" s="8"/>
      <c r="AU348" s="10" t="s">
        <v>169</v>
      </c>
      <c r="AV348" s="10">
        <v>0</v>
      </c>
      <c r="AW348" s="8"/>
      <c r="AX348" s="74" t="s">
        <v>169</v>
      </c>
      <c r="AY348" s="74"/>
      <c r="AZ348" s="74"/>
      <c r="BA348" s="74"/>
      <c r="BB348" s="8"/>
      <c r="BC348" s="8"/>
      <c r="BD348" s="8"/>
      <c r="BE348" s="8"/>
      <c r="BF348" s="12">
        <v>0.44</v>
      </c>
      <c r="BG348" s="13">
        <v>360.66652664863074</v>
      </c>
      <c r="BH348" s="96" t="str">
        <f>+VLOOKUP(G348,Liste!$A$7:$G$50,3,FALSE)</f>
        <v>Pin sylvestre</v>
      </c>
      <c r="BI348" s="96" t="str">
        <f>+VLOOKUP(H348,Liste!$B$7:$G$50,5,FALSE)</f>
        <v>GS Pineraies des plaines du Centre et du Nord Ouest</v>
      </c>
      <c r="BJ348" s="135">
        <f t="shared" si="110"/>
        <v>82</v>
      </c>
      <c r="BK348" s="135" t="str">
        <f t="shared" si="112"/>
        <v>Pin sylvestre_F1_Eclaircie tardive_GS Pineraies des plaines du Centre et du Nord Ouest_82_</v>
      </c>
      <c r="BL348" s="322"/>
      <c r="BM348" s="13">
        <v>89.342708327578237</v>
      </c>
      <c r="BN348" s="13">
        <v>450.00923497620897</v>
      </c>
      <c r="BP348" s="13">
        <v>336.6929998</v>
      </c>
      <c r="BQ348" s="13">
        <v>6.2742121402175099</v>
      </c>
      <c r="BT348" s="298" t="str">
        <f>+VLOOKUP(G348,Liste!$A$7:$H$50,8,FALSE)</f>
        <v>Résineux</v>
      </c>
      <c r="BU348" s="298">
        <f t="shared" si="113"/>
        <v>0</v>
      </c>
      <c r="BV348" s="300">
        <f t="shared" si="114"/>
        <v>1</v>
      </c>
      <c r="BW348" s="321">
        <v>0</v>
      </c>
      <c r="BX348" s="298">
        <f t="shared" si="115"/>
        <v>0.43</v>
      </c>
      <c r="BY348">
        <f t="shared" si="116"/>
        <v>0</v>
      </c>
      <c r="BZ348" s="304">
        <f t="shared" si="117"/>
        <v>0</v>
      </c>
      <c r="CB348" s="299">
        <v>0.6</v>
      </c>
      <c r="CC348" s="299">
        <v>0.4</v>
      </c>
      <c r="CD348">
        <f t="shared" si="118"/>
        <v>0</v>
      </c>
      <c r="CE348">
        <f t="shared" si="119"/>
        <v>0</v>
      </c>
      <c r="CF348">
        <f t="shared" si="120"/>
        <v>0</v>
      </c>
      <c r="CG348">
        <f t="shared" si="121"/>
        <v>0</v>
      </c>
      <c r="CH348">
        <f t="shared" si="122"/>
        <v>0</v>
      </c>
      <c r="CI348">
        <f t="shared" si="123"/>
        <v>0</v>
      </c>
      <c r="CJ348">
        <f t="shared" si="124"/>
        <v>0</v>
      </c>
      <c r="CK348">
        <f t="shared" si="125"/>
        <v>0</v>
      </c>
      <c r="CL348">
        <f t="shared" si="126"/>
        <v>0</v>
      </c>
      <c r="CM348">
        <f t="shared" si="128"/>
        <v>0</v>
      </c>
      <c r="CN348">
        <f t="shared" si="127"/>
        <v>0</v>
      </c>
      <c r="CO348">
        <f t="shared" si="111"/>
        <v>0</v>
      </c>
    </row>
    <row r="349" spans="1:93" s="12" customFormat="1" ht="14.65" customHeight="1" x14ac:dyDescent="0.25">
      <c r="A349" s="4">
        <v>2021</v>
      </c>
      <c r="B349" s="4"/>
      <c r="C349" s="4" t="s">
        <v>64</v>
      </c>
      <c r="D349" s="4" t="s">
        <v>65</v>
      </c>
      <c r="E349" s="4"/>
      <c r="F349" s="4" t="s">
        <v>90</v>
      </c>
      <c r="G349" s="5" t="s">
        <v>15</v>
      </c>
      <c r="H349" s="5" t="s">
        <v>21</v>
      </c>
      <c r="I349" s="5" t="s">
        <v>147</v>
      </c>
      <c r="J349" s="5" t="s">
        <v>9</v>
      </c>
      <c r="K349" s="5">
        <v>28</v>
      </c>
      <c r="L349" s="5">
        <v>45</v>
      </c>
      <c r="M349" s="5">
        <v>2500</v>
      </c>
      <c r="N349" s="5" t="s">
        <v>170</v>
      </c>
      <c r="O349" s="6" t="s">
        <v>148</v>
      </c>
      <c r="P349" s="6" t="s">
        <v>80</v>
      </c>
      <c r="Q349" s="6">
        <v>1997</v>
      </c>
      <c r="R349" s="6" t="s">
        <v>2</v>
      </c>
      <c r="S349" s="6">
        <v>21</v>
      </c>
      <c r="T349" s="6">
        <v>12.5</v>
      </c>
      <c r="U349" s="6">
        <v>2024</v>
      </c>
      <c r="V349" s="6">
        <v>28.8</v>
      </c>
      <c r="W349" s="6">
        <v>0</v>
      </c>
      <c r="X349" s="6">
        <v>1100</v>
      </c>
      <c r="Y349" s="6">
        <v>712</v>
      </c>
      <c r="Z349" s="6">
        <v>162</v>
      </c>
      <c r="AA349" s="6">
        <v>50</v>
      </c>
      <c r="AB349" s="6">
        <v>0</v>
      </c>
      <c r="AC349" s="7">
        <v>83</v>
      </c>
      <c r="AD349" s="7" t="s">
        <v>52</v>
      </c>
      <c r="AE349" s="7">
        <v>36.96</v>
      </c>
      <c r="AF349" s="7">
        <v>246</v>
      </c>
      <c r="AG349" s="7">
        <v>27.52</v>
      </c>
      <c r="AH349" s="7">
        <v>37.74</v>
      </c>
      <c r="AI349" s="7">
        <v>41.84</v>
      </c>
      <c r="AJ349" s="9">
        <v>438.59714155295501</v>
      </c>
      <c r="AK349" s="9">
        <v>440.67878754787898</v>
      </c>
      <c r="AL349" s="9">
        <v>477.45213250825998</v>
      </c>
      <c r="AM349" s="9">
        <v>70.275999319995705</v>
      </c>
      <c r="AN349" s="9">
        <v>0.84669878698790102</v>
      </c>
      <c r="AO349" s="9">
        <v>0.25633539372034903</v>
      </c>
      <c r="AP349" s="9">
        <v>951.90015528782703</v>
      </c>
      <c r="AQ349" s="9">
        <v>11.468676569732899</v>
      </c>
      <c r="AR349" s="9">
        <v>6.75879266092306</v>
      </c>
      <c r="AS349" s="73" t="s">
        <v>169</v>
      </c>
      <c r="AT349" s="8"/>
      <c r="AU349" s="10" t="s">
        <v>169</v>
      </c>
      <c r="AV349" s="10">
        <v>0</v>
      </c>
      <c r="AW349" s="8"/>
      <c r="AX349" s="74" t="s">
        <v>169</v>
      </c>
      <c r="AY349" s="74"/>
      <c r="AZ349" s="74"/>
      <c r="BA349" s="74"/>
      <c r="BB349" s="8"/>
      <c r="BC349" s="8"/>
      <c r="BD349" s="8"/>
      <c r="BE349" s="8"/>
      <c r="BF349" s="12">
        <v>0.44</v>
      </c>
      <c r="BG349" s="13">
        <v>365.88748421216309</v>
      </c>
      <c r="BH349" s="96" t="str">
        <f>+VLOOKUP(G349,Liste!$A$7:$G$50,3,FALSE)</f>
        <v>Pin sylvestre</v>
      </c>
      <c r="BI349" s="96" t="str">
        <f>+VLOOKUP(H349,Liste!$B$7:$G$50,5,FALSE)</f>
        <v>GS Pineraies des plaines du Centre et du Nord Ouest</v>
      </c>
      <c r="BJ349" s="135">
        <f t="shared" si="110"/>
        <v>83</v>
      </c>
      <c r="BK349" s="135" t="str">
        <f t="shared" si="112"/>
        <v>Pin sylvestre_F1_Eclaircie tardive_GS Pineraies des plaines du Centre et du Nord Ouest_83_</v>
      </c>
      <c r="BL349" s="322"/>
      <c r="BM349" s="13">
        <v>90.484521526769925</v>
      </c>
      <c r="BN349" s="13">
        <v>456.37200573893301</v>
      </c>
      <c r="BP349" s="13">
        <v>336.6929998</v>
      </c>
      <c r="BQ349" s="13">
        <v>6.2235101096258596</v>
      </c>
      <c r="BT349" s="298" t="str">
        <f>+VLOOKUP(G349,Liste!$A$7:$H$50,8,FALSE)</f>
        <v>Résineux</v>
      </c>
      <c r="BU349" s="298">
        <f t="shared" si="113"/>
        <v>0</v>
      </c>
      <c r="BV349" s="300">
        <f t="shared" si="114"/>
        <v>1</v>
      </c>
      <c r="BW349" s="321">
        <v>0</v>
      </c>
      <c r="BX349" s="298">
        <f t="shared" si="115"/>
        <v>0.43</v>
      </c>
      <c r="BY349">
        <f t="shared" si="116"/>
        <v>0</v>
      </c>
      <c r="BZ349" s="304">
        <f t="shared" si="117"/>
        <v>0</v>
      </c>
      <c r="CB349" s="299">
        <v>0.6</v>
      </c>
      <c r="CC349" s="299">
        <v>0.4</v>
      </c>
      <c r="CD349">
        <f t="shared" si="118"/>
        <v>0</v>
      </c>
      <c r="CE349">
        <f t="shared" si="119"/>
        <v>0</v>
      </c>
      <c r="CF349">
        <f t="shared" si="120"/>
        <v>0</v>
      </c>
      <c r="CG349">
        <f t="shared" si="121"/>
        <v>0</v>
      </c>
      <c r="CH349">
        <f t="shared" si="122"/>
        <v>0</v>
      </c>
      <c r="CI349">
        <f t="shared" si="123"/>
        <v>0</v>
      </c>
      <c r="CJ349">
        <f t="shared" si="124"/>
        <v>0</v>
      </c>
      <c r="CK349">
        <f t="shared" si="125"/>
        <v>0</v>
      </c>
      <c r="CL349">
        <f t="shared" si="126"/>
        <v>0</v>
      </c>
      <c r="CM349">
        <f t="shared" si="128"/>
        <v>0</v>
      </c>
      <c r="CN349">
        <f t="shared" si="127"/>
        <v>0</v>
      </c>
      <c r="CO349">
        <f t="shared" si="111"/>
        <v>0</v>
      </c>
    </row>
    <row r="350" spans="1:93" s="12" customFormat="1" ht="14.65" customHeight="1" x14ac:dyDescent="0.25">
      <c r="A350" s="4">
        <v>2021</v>
      </c>
      <c r="B350" s="4"/>
      <c r="C350" s="4" t="s">
        <v>64</v>
      </c>
      <c r="D350" s="4" t="s">
        <v>65</v>
      </c>
      <c r="E350" s="4"/>
      <c r="F350" s="4" t="s">
        <v>90</v>
      </c>
      <c r="G350" s="5" t="s">
        <v>15</v>
      </c>
      <c r="H350" s="5" t="s">
        <v>21</v>
      </c>
      <c r="I350" s="5" t="s">
        <v>147</v>
      </c>
      <c r="J350" s="5" t="s">
        <v>9</v>
      </c>
      <c r="K350" s="5">
        <v>28</v>
      </c>
      <c r="L350" s="5">
        <v>45</v>
      </c>
      <c r="M350" s="5">
        <v>2500</v>
      </c>
      <c r="N350" s="5" t="s">
        <v>170</v>
      </c>
      <c r="O350" s="6" t="s">
        <v>148</v>
      </c>
      <c r="P350" s="6" t="s">
        <v>80</v>
      </c>
      <c r="Q350" s="6">
        <v>1997</v>
      </c>
      <c r="R350" s="6" t="s">
        <v>2</v>
      </c>
      <c r="S350" s="6">
        <v>21</v>
      </c>
      <c r="T350" s="6">
        <v>12.5</v>
      </c>
      <c r="U350" s="6">
        <v>2024</v>
      </c>
      <c r="V350" s="6">
        <v>28.8</v>
      </c>
      <c r="W350" s="6">
        <v>0</v>
      </c>
      <c r="X350" s="6">
        <v>1100</v>
      </c>
      <c r="Y350" s="6">
        <v>712</v>
      </c>
      <c r="Z350" s="6">
        <v>162</v>
      </c>
      <c r="AA350" s="6">
        <v>50</v>
      </c>
      <c r="AB350" s="6">
        <v>0</v>
      </c>
      <c r="AC350" s="7">
        <v>84</v>
      </c>
      <c r="AD350" s="7" t="s">
        <v>52</v>
      </c>
      <c r="AE350" s="7">
        <v>37.159999999999997</v>
      </c>
      <c r="AF350" s="7">
        <v>246</v>
      </c>
      <c r="AG350" s="7">
        <v>27.78</v>
      </c>
      <c r="AH350" s="7">
        <v>37.92</v>
      </c>
      <c r="AI350" s="7">
        <v>42.05</v>
      </c>
      <c r="AJ350" s="9">
        <v>445.07108420826</v>
      </c>
      <c r="AK350" s="9">
        <v>447.17511433127999</v>
      </c>
      <c r="AL350" s="9">
        <v>484.21092516918299</v>
      </c>
      <c r="AM350" s="9">
        <v>70.532334713716097</v>
      </c>
      <c r="AN350" s="9">
        <v>0.83967065135376295</v>
      </c>
      <c r="AO350" s="9">
        <v>0.25216914706083998</v>
      </c>
      <c r="AP350" s="9">
        <v>958.65894794874998</v>
      </c>
      <c r="AQ350" s="9">
        <v>11.4126065231994</v>
      </c>
      <c r="AR350" s="9">
        <v>6.7165540251678504</v>
      </c>
      <c r="AS350" s="73" t="s">
        <v>169</v>
      </c>
      <c r="AT350" s="8"/>
      <c r="AU350" s="10" t="s">
        <v>169</v>
      </c>
      <c r="AV350" s="10">
        <v>0</v>
      </c>
      <c r="AW350" s="8"/>
      <c r="AX350" s="74" t="s">
        <v>169</v>
      </c>
      <c r="AY350" s="74"/>
      <c r="AZ350" s="74"/>
      <c r="BA350" s="74"/>
      <c r="BB350" s="8"/>
      <c r="BC350" s="8"/>
      <c r="BD350" s="8"/>
      <c r="BE350" s="8"/>
      <c r="BF350" s="12">
        <v>0.44</v>
      </c>
      <c r="BG350" s="13">
        <v>371.06697232131637</v>
      </c>
      <c r="BH350" s="96" t="str">
        <f>+VLOOKUP(G350,Liste!$A$7:$G$50,3,FALSE)</f>
        <v>Pin sylvestre</v>
      </c>
      <c r="BI350" s="96" t="str">
        <f>+VLOOKUP(H350,Liste!$B$7:$G$50,5,FALSE)</f>
        <v>GS Pineraies des plaines du Centre et du Nord Ouest</v>
      </c>
      <c r="BJ350" s="135">
        <f t="shared" si="110"/>
        <v>84</v>
      </c>
      <c r="BK350" s="135" t="str">
        <f t="shared" si="112"/>
        <v>Pin sylvestre_F1_Eclaircie tardive_GS Pineraies des plaines du Centre et du Nord Ouest_84_</v>
      </c>
      <c r="BL350" s="322"/>
      <c r="BM350" s="13">
        <v>91.615392892471618</v>
      </c>
      <c r="BN350" s="13">
        <v>462.68236521378799</v>
      </c>
      <c r="BP350" s="13">
        <v>336.6929998</v>
      </c>
      <c r="BQ350" s="13">
        <v>6.1837682524564999</v>
      </c>
      <c r="BT350" s="298" t="str">
        <f>+VLOOKUP(G350,Liste!$A$7:$H$50,8,FALSE)</f>
        <v>Résineux</v>
      </c>
      <c r="BU350" s="298">
        <f t="shared" si="113"/>
        <v>0</v>
      </c>
      <c r="BV350" s="300">
        <f t="shared" si="114"/>
        <v>1</v>
      </c>
      <c r="BW350" s="321">
        <v>0</v>
      </c>
      <c r="BX350" s="298">
        <f t="shared" si="115"/>
        <v>0.43</v>
      </c>
      <c r="BY350">
        <f t="shared" si="116"/>
        <v>0</v>
      </c>
      <c r="BZ350" s="304">
        <f t="shared" si="117"/>
        <v>0</v>
      </c>
      <c r="CB350" s="299">
        <v>0.6</v>
      </c>
      <c r="CC350" s="299">
        <v>0.4</v>
      </c>
      <c r="CD350">
        <f t="shared" si="118"/>
        <v>0</v>
      </c>
      <c r="CE350">
        <f t="shared" si="119"/>
        <v>0</v>
      </c>
      <c r="CF350">
        <f t="shared" si="120"/>
        <v>0</v>
      </c>
      <c r="CG350">
        <f t="shared" si="121"/>
        <v>0</v>
      </c>
      <c r="CH350">
        <f t="shared" si="122"/>
        <v>0</v>
      </c>
      <c r="CI350">
        <f t="shared" si="123"/>
        <v>0</v>
      </c>
      <c r="CJ350">
        <f t="shared" si="124"/>
        <v>0</v>
      </c>
      <c r="CK350">
        <f t="shared" si="125"/>
        <v>0</v>
      </c>
      <c r="CL350">
        <f t="shared" si="126"/>
        <v>0</v>
      </c>
      <c r="CM350">
        <f t="shared" si="128"/>
        <v>0</v>
      </c>
      <c r="CN350">
        <f t="shared" si="127"/>
        <v>0</v>
      </c>
      <c r="CO350">
        <f t="shared" si="111"/>
        <v>0</v>
      </c>
    </row>
    <row r="351" spans="1:93" s="12" customFormat="1" ht="14.65" customHeight="1" x14ac:dyDescent="0.25">
      <c r="A351" s="4">
        <v>2021</v>
      </c>
      <c r="B351" s="4"/>
      <c r="C351" s="4" t="s">
        <v>64</v>
      </c>
      <c r="D351" s="4" t="s">
        <v>65</v>
      </c>
      <c r="E351" s="4"/>
      <c r="F351" s="4" t="s">
        <v>90</v>
      </c>
      <c r="G351" s="5" t="s">
        <v>15</v>
      </c>
      <c r="H351" s="5" t="s">
        <v>21</v>
      </c>
      <c r="I351" s="5" t="s">
        <v>147</v>
      </c>
      <c r="J351" s="5" t="s">
        <v>9</v>
      </c>
      <c r="K351" s="5">
        <v>28</v>
      </c>
      <c r="L351" s="5">
        <v>45</v>
      </c>
      <c r="M351" s="5">
        <v>2500</v>
      </c>
      <c r="N351" s="5" t="s">
        <v>170</v>
      </c>
      <c r="O351" s="6" t="s">
        <v>148</v>
      </c>
      <c r="P351" s="6" t="s">
        <v>80</v>
      </c>
      <c r="Q351" s="6">
        <v>1997</v>
      </c>
      <c r="R351" s="6" t="s">
        <v>2</v>
      </c>
      <c r="S351" s="6">
        <v>21</v>
      </c>
      <c r="T351" s="6">
        <v>12.5</v>
      </c>
      <c r="U351" s="6">
        <v>2024</v>
      </c>
      <c r="V351" s="6">
        <v>28.8</v>
      </c>
      <c r="W351" s="6">
        <v>0</v>
      </c>
      <c r="X351" s="6">
        <v>1100</v>
      </c>
      <c r="Y351" s="6">
        <v>712</v>
      </c>
      <c r="Z351" s="6">
        <v>162</v>
      </c>
      <c r="AA351" s="6">
        <v>50</v>
      </c>
      <c r="AB351" s="6">
        <v>0</v>
      </c>
      <c r="AC351" s="7">
        <v>85</v>
      </c>
      <c r="AD351" s="7" t="s">
        <v>52</v>
      </c>
      <c r="AE351" s="7">
        <v>37.36</v>
      </c>
      <c r="AF351" s="7">
        <v>246</v>
      </c>
      <c r="AG351" s="7">
        <v>28.03</v>
      </c>
      <c r="AH351" s="7">
        <v>38.090000000000003</v>
      </c>
      <c r="AI351" s="7">
        <v>42.25</v>
      </c>
      <c r="AJ351" s="9">
        <v>451.51220313188202</v>
      </c>
      <c r="AK351" s="9">
        <v>453.63779575483102</v>
      </c>
      <c r="AL351" s="9">
        <v>490.92747919435101</v>
      </c>
      <c r="AM351" s="9">
        <v>70.784503860776894</v>
      </c>
      <c r="AN351" s="9">
        <v>0.83275886895031703</v>
      </c>
      <c r="AO351" s="9">
        <v>0.24867765167148501</v>
      </c>
      <c r="AP351" s="9">
        <v>965.37550197391795</v>
      </c>
      <c r="AQ351" s="9">
        <v>11.357358846752</v>
      </c>
      <c r="AR351" s="9">
        <v>6.6392777413922204</v>
      </c>
      <c r="AS351" s="73" t="s">
        <v>169</v>
      </c>
      <c r="AT351" s="8"/>
      <c r="AU351" s="10" t="s">
        <v>169</v>
      </c>
      <c r="AV351" s="10">
        <v>0</v>
      </c>
      <c r="AW351" s="8"/>
      <c r="AX351" s="74" t="s">
        <v>169</v>
      </c>
      <c r="AY351" s="74"/>
      <c r="AZ351" s="74"/>
      <c r="BA351" s="74"/>
      <c r="BB351" s="8"/>
      <c r="BC351" s="8"/>
      <c r="BD351" s="8"/>
      <c r="BE351" s="8"/>
      <c r="BF351" s="12">
        <v>0.44</v>
      </c>
      <c r="BG351" s="13">
        <v>376.21409155593636</v>
      </c>
      <c r="BH351" s="96" t="str">
        <f>+VLOOKUP(G351,Liste!$A$7:$G$50,3,FALSE)</f>
        <v>Pin sylvestre</v>
      </c>
      <c r="BI351" s="96" t="str">
        <f>+VLOOKUP(H351,Liste!$B$7:$G$50,5,FALSE)</f>
        <v>GS Pineraies des plaines du Centre et du Nord Ouest</v>
      </c>
      <c r="BJ351" s="135">
        <f t="shared" si="110"/>
        <v>85</v>
      </c>
      <c r="BK351" s="135" t="str">
        <f t="shared" si="112"/>
        <v>Pin sylvestre_F1_Eclaircie tardive_GS Pineraies des plaines du Centre et du Nord Ouest_85_</v>
      </c>
      <c r="BL351" s="322"/>
      <c r="BM351" s="13">
        <v>92.737378108541634</v>
      </c>
      <c r="BN351" s="13">
        <v>468.951469664478</v>
      </c>
      <c r="BP351" s="13">
        <v>336.6929998</v>
      </c>
      <c r="BQ351" s="13">
        <v>6.1117970617459596</v>
      </c>
      <c r="BT351" s="298" t="str">
        <f>+VLOOKUP(G351,Liste!$A$7:$H$50,8,FALSE)</f>
        <v>Résineux</v>
      </c>
      <c r="BU351" s="298">
        <f t="shared" si="113"/>
        <v>0</v>
      </c>
      <c r="BV351" s="300">
        <f t="shared" si="114"/>
        <v>1</v>
      </c>
      <c r="BW351" s="321">
        <v>0</v>
      </c>
      <c r="BX351" s="298">
        <f t="shared" si="115"/>
        <v>0.43</v>
      </c>
      <c r="BY351">
        <f t="shared" si="116"/>
        <v>0</v>
      </c>
      <c r="BZ351" s="304">
        <f t="shared" si="117"/>
        <v>0</v>
      </c>
      <c r="CB351" s="299">
        <v>0.6</v>
      </c>
      <c r="CC351" s="299">
        <v>0.4</v>
      </c>
      <c r="CD351">
        <f t="shared" si="118"/>
        <v>0</v>
      </c>
      <c r="CE351">
        <f t="shared" si="119"/>
        <v>0</v>
      </c>
      <c r="CF351">
        <f t="shared" si="120"/>
        <v>0</v>
      </c>
      <c r="CG351">
        <f t="shared" si="121"/>
        <v>0</v>
      </c>
      <c r="CH351">
        <f t="shared" si="122"/>
        <v>0</v>
      </c>
      <c r="CI351">
        <f t="shared" si="123"/>
        <v>0</v>
      </c>
      <c r="CJ351">
        <f t="shared" si="124"/>
        <v>0</v>
      </c>
      <c r="CK351">
        <f t="shared" si="125"/>
        <v>0</v>
      </c>
      <c r="CL351">
        <f t="shared" si="126"/>
        <v>0</v>
      </c>
      <c r="CM351">
        <f t="shared" si="128"/>
        <v>0</v>
      </c>
      <c r="CN351">
        <f t="shared" si="127"/>
        <v>0</v>
      </c>
      <c r="CO351">
        <f t="shared" si="111"/>
        <v>0</v>
      </c>
    </row>
    <row r="352" spans="1:93" s="12" customFormat="1" ht="14.65" customHeight="1" x14ac:dyDescent="0.25">
      <c r="A352" s="4">
        <v>2021</v>
      </c>
      <c r="B352" s="4"/>
      <c r="C352" s="4" t="s">
        <v>64</v>
      </c>
      <c r="D352" s="4" t="s">
        <v>65</v>
      </c>
      <c r="E352" s="4"/>
      <c r="F352" s="4" t="s">
        <v>90</v>
      </c>
      <c r="G352" s="5" t="s">
        <v>15</v>
      </c>
      <c r="H352" s="5" t="s">
        <v>21</v>
      </c>
      <c r="I352" s="5" t="s">
        <v>147</v>
      </c>
      <c r="J352" s="5" t="s">
        <v>9</v>
      </c>
      <c r="K352" s="5">
        <v>28</v>
      </c>
      <c r="L352" s="5">
        <v>45</v>
      </c>
      <c r="M352" s="5">
        <v>2500</v>
      </c>
      <c r="N352" s="5" t="s">
        <v>170</v>
      </c>
      <c r="O352" s="6" t="s">
        <v>148</v>
      </c>
      <c r="P352" s="6" t="s">
        <v>80</v>
      </c>
      <c r="Q352" s="6">
        <v>1997</v>
      </c>
      <c r="R352" s="6" t="s">
        <v>2</v>
      </c>
      <c r="S352" s="6">
        <v>21</v>
      </c>
      <c r="T352" s="6">
        <v>12.5</v>
      </c>
      <c r="U352" s="6">
        <v>2024</v>
      </c>
      <c r="V352" s="6">
        <v>28.8</v>
      </c>
      <c r="W352" s="6">
        <v>0</v>
      </c>
      <c r="X352" s="6">
        <v>1100</v>
      </c>
      <c r="Y352" s="6">
        <v>712</v>
      </c>
      <c r="Z352" s="6">
        <v>162</v>
      </c>
      <c r="AA352" s="6">
        <v>50</v>
      </c>
      <c r="AB352" s="6">
        <v>0</v>
      </c>
      <c r="AC352" s="7">
        <v>86</v>
      </c>
      <c r="AD352" s="7" t="s">
        <v>52</v>
      </c>
      <c r="AE352" s="7">
        <v>37.56</v>
      </c>
      <c r="AF352" s="7">
        <v>246</v>
      </c>
      <c r="AG352" s="7">
        <v>28.28</v>
      </c>
      <c r="AH352" s="7">
        <v>38.26</v>
      </c>
      <c r="AI352" s="7">
        <v>42.45</v>
      </c>
      <c r="AJ352" s="9">
        <v>457.879733658014</v>
      </c>
      <c r="AK352" s="9">
        <v>460.02668838544798</v>
      </c>
      <c r="AL352" s="9">
        <v>497.566756935743</v>
      </c>
      <c r="AM352" s="9">
        <v>71.033181512448394</v>
      </c>
      <c r="AN352" s="9">
        <v>0.82596722688893498</v>
      </c>
      <c r="AO352" s="9">
        <v>0.24608192644940599</v>
      </c>
      <c r="AP352" s="9">
        <v>972.01477971531006</v>
      </c>
      <c r="AQ352" s="9">
        <v>11.3024974385501</v>
      </c>
      <c r="AR352" s="9">
        <v>6.6372765397816202</v>
      </c>
      <c r="AS352" s="73" t="s">
        <v>169</v>
      </c>
      <c r="AT352" s="8"/>
      <c r="AU352" s="10" t="s">
        <v>169</v>
      </c>
      <c r="AV352" s="10">
        <v>0</v>
      </c>
      <c r="AW352" s="8"/>
      <c r="AX352" s="74" t="s">
        <v>169</v>
      </c>
      <c r="AY352" s="74"/>
      <c r="AZ352" s="74"/>
      <c r="BA352" s="74"/>
      <c r="BB352" s="8"/>
      <c r="BC352" s="8"/>
      <c r="BD352" s="8"/>
      <c r="BE352" s="8"/>
      <c r="BF352" s="12">
        <v>0.44</v>
      </c>
      <c r="BG352" s="13">
        <v>381.30199139842335</v>
      </c>
      <c r="BH352" s="96" t="str">
        <f>+VLOOKUP(G352,Liste!$A$7:$G$50,3,FALSE)</f>
        <v>Pin sylvestre</v>
      </c>
      <c r="BI352" s="96" t="str">
        <f>+VLOOKUP(H352,Liste!$B$7:$G$50,5,FALSE)</f>
        <v>GS Pineraies des plaines du Centre et du Nord Ouest</v>
      </c>
      <c r="BJ352" s="135">
        <f t="shared" si="110"/>
        <v>86</v>
      </c>
      <c r="BK352" s="135" t="str">
        <f t="shared" si="112"/>
        <v>Pin sylvestre_F1_Eclaircie tardive_GS Pineraies des plaines du Centre et du Nord Ouest_86_</v>
      </c>
      <c r="BL352" s="322"/>
      <c r="BM352" s="13">
        <v>93.844699678401639</v>
      </c>
      <c r="BN352" s="13">
        <v>475.14669107682499</v>
      </c>
      <c r="BP352" s="13">
        <v>336.6929998</v>
      </c>
      <c r="BQ352" s="13">
        <v>6.10914147502183</v>
      </c>
      <c r="BT352" s="298" t="str">
        <f>+VLOOKUP(G352,Liste!$A$7:$H$50,8,FALSE)</f>
        <v>Résineux</v>
      </c>
      <c r="BU352" s="298">
        <f t="shared" si="113"/>
        <v>0</v>
      </c>
      <c r="BV352" s="300">
        <f t="shared" si="114"/>
        <v>1</v>
      </c>
      <c r="BW352" s="321">
        <v>0</v>
      </c>
      <c r="BX352" s="298">
        <f t="shared" si="115"/>
        <v>0.43</v>
      </c>
      <c r="BY352">
        <f t="shared" si="116"/>
        <v>0</v>
      </c>
      <c r="BZ352" s="304">
        <f t="shared" si="117"/>
        <v>0</v>
      </c>
      <c r="CB352" s="299">
        <v>0.6</v>
      </c>
      <c r="CC352" s="299">
        <v>0.4</v>
      </c>
      <c r="CD352">
        <f t="shared" si="118"/>
        <v>0</v>
      </c>
      <c r="CE352">
        <f t="shared" si="119"/>
        <v>0</v>
      </c>
      <c r="CF352">
        <f t="shared" si="120"/>
        <v>0</v>
      </c>
      <c r="CG352">
        <f t="shared" si="121"/>
        <v>0</v>
      </c>
      <c r="CH352">
        <f t="shared" si="122"/>
        <v>0</v>
      </c>
      <c r="CI352">
        <f t="shared" si="123"/>
        <v>0</v>
      </c>
      <c r="CJ352">
        <f t="shared" si="124"/>
        <v>0</v>
      </c>
      <c r="CK352">
        <f t="shared" si="125"/>
        <v>0</v>
      </c>
      <c r="CL352">
        <f t="shared" si="126"/>
        <v>0</v>
      </c>
      <c r="CM352">
        <f t="shared" si="128"/>
        <v>0</v>
      </c>
      <c r="CN352">
        <f t="shared" si="127"/>
        <v>0</v>
      </c>
      <c r="CO352">
        <f t="shared" si="111"/>
        <v>0</v>
      </c>
    </row>
    <row r="353" spans="1:93" s="12" customFormat="1" ht="14.65" customHeight="1" x14ac:dyDescent="0.25">
      <c r="A353" s="4">
        <v>2021</v>
      </c>
      <c r="B353" s="4"/>
      <c r="C353" s="4" t="s">
        <v>64</v>
      </c>
      <c r="D353" s="4" t="s">
        <v>65</v>
      </c>
      <c r="E353" s="4"/>
      <c r="F353" s="4" t="s">
        <v>90</v>
      </c>
      <c r="G353" s="5" t="s">
        <v>15</v>
      </c>
      <c r="H353" s="5" t="s">
        <v>21</v>
      </c>
      <c r="I353" s="5" t="s">
        <v>147</v>
      </c>
      <c r="J353" s="5" t="s">
        <v>9</v>
      </c>
      <c r="K353" s="5">
        <v>28</v>
      </c>
      <c r="L353" s="5">
        <v>45</v>
      </c>
      <c r="M353" s="5">
        <v>2500</v>
      </c>
      <c r="N353" s="5" t="s">
        <v>170</v>
      </c>
      <c r="O353" s="6" t="s">
        <v>148</v>
      </c>
      <c r="P353" s="6" t="s">
        <v>80</v>
      </c>
      <c r="Q353" s="6">
        <v>1997</v>
      </c>
      <c r="R353" s="6" t="s">
        <v>2</v>
      </c>
      <c r="S353" s="6">
        <v>21</v>
      </c>
      <c r="T353" s="6">
        <v>12.5</v>
      </c>
      <c r="U353" s="6">
        <v>2024</v>
      </c>
      <c r="V353" s="6">
        <v>28.8</v>
      </c>
      <c r="W353" s="6">
        <v>0</v>
      </c>
      <c r="X353" s="6">
        <v>1100</v>
      </c>
      <c r="Y353" s="6">
        <v>712</v>
      </c>
      <c r="Z353" s="6">
        <v>162</v>
      </c>
      <c r="AA353" s="6">
        <v>50</v>
      </c>
      <c r="AB353" s="6">
        <v>0</v>
      </c>
      <c r="AC353" s="7">
        <v>87</v>
      </c>
      <c r="AD353" s="7" t="s">
        <v>52</v>
      </c>
      <c r="AE353" s="7">
        <v>37.75</v>
      </c>
      <c r="AF353" s="7">
        <v>246</v>
      </c>
      <c r="AG353" s="7">
        <v>28.52</v>
      </c>
      <c r="AH353" s="7">
        <v>38.42</v>
      </c>
      <c r="AI353" s="7">
        <v>42.64</v>
      </c>
      <c r="AJ353" s="9">
        <v>464.25261405828502</v>
      </c>
      <c r="AK353" s="9">
        <v>466.42033042837397</v>
      </c>
      <c r="AL353" s="9">
        <v>504.20403347552502</v>
      </c>
      <c r="AM353" s="9">
        <v>71.2792634388978</v>
      </c>
      <c r="AN353" s="9">
        <v>0.81930187860802095</v>
      </c>
      <c r="AO353" s="9">
        <v>0.24195184737533301</v>
      </c>
      <c r="AP353" s="9">
        <v>978.65205625509202</v>
      </c>
      <c r="AQ353" s="9">
        <v>11.2488742098286</v>
      </c>
      <c r="AR353" s="9">
        <v>6.5079502767608801</v>
      </c>
      <c r="AS353" s="73" t="s">
        <v>169</v>
      </c>
      <c r="AT353" s="8"/>
      <c r="AU353" s="10" t="s">
        <v>169</v>
      </c>
      <c r="AV353" s="10">
        <v>0</v>
      </c>
      <c r="AW353" s="8"/>
      <c r="AX353" s="74" t="s">
        <v>169</v>
      </c>
      <c r="AY353" s="74"/>
      <c r="AZ353" s="74"/>
      <c r="BA353" s="74"/>
      <c r="BB353" s="8"/>
      <c r="BC353" s="8"/>
      <c r="BD353" s="8"/>
      <c r="BE353" s="8"/>
      <c r="BF353" s="12">
        <v>0.44</v>
      </c>
      <c r="BG353" s="13">
        <v>386.38835765341167</v>
      </c>
      <c r="BH353" s="96" t="str">
        <f>+VLOOKUP(G353,Liste!$A$7:$G$50,3,FALSE)</f>
        <v>Pin sylvestre</v>
      </c>
      <c r="BI353" s="96" t="str">
        <f>+VLOOKUP(H353,Liste!$B$7:$G$50,5,FALSE)</f>
        <v>GS Pineraies des plaines du Centre et du Nord Ouest</v>
      </c>
      <c r="BJ353" s="135">
        <f t="shared" si="110"/>
        <v>87</v>
      </c>
      <c r="BK353" s="135" t="str">
        <f t="shared" si="112"/>
        <v>Pin sylvestre_F1_Eclaircie tardive_GS Pineraies des plaines du Centre et du Nord Ouest_87_</v>
      </c>
      <c r="BL353" s="322"/>
      <c r="BM353" s="13">
        <v>94.949969664013338</v>
      </c>
      <c r="BN353" s="13">
        <v>481.33832731742501</v>
      </c>
      <c r="BP353" s="13">
        <v>336.6929998</v>
      </c>
      <c r="BQ353" s="13">
        <v>5.98932213710395</v>
      </c>
      <c r="BT353" s="298" t="str">
        <f>+VLOOKUP(G353,Liste!$A$7:$H$50,8,FALSE)</f>
        <v>Résineux</v>
      </c>
      <c r="BU353" s="298">
        <f t="shared" si="113"/>
        <v>0</v>
      </c>
      <c r="BV353" s="300">
        <f t="shared" si="114"/>
        <v>1</v>
      </c>
      <c r="BW353" s="321">
        <v>0</v>
      </c>
      <c r="BX353" s="298">
        <f t="shared" si="115"/>
        <v>0.43</v>
      </c>
      <c r="BY353">
        <f t="shared" si="116"/>
        <v>0</v>
      </c>
      <c r="BZ353" s="304">
        <f t="shared" si="117"/>
        <v>0</v>
      </c>
      <c r="CB353" s="299">
        <v>0.6</v>
      </c>
      <c r="CC353" s="299">
        <v>0.4</v>
      </c>
      <c r="CD353">
        <f t="shared" si="118"/>
        <v>0</v>
      </c>
      <c r="CE353">
        <f t="shared" si="119"/>
        <v>0</v>
      </c>
      <c r="CF353">
        <f t="shared" si="120"/>
        <v>0</v>
      </c>
      <c r="CG353">
        <f t="shared" si="121"/>
        <v>0</v>
      </c>
      <c r="CH353">
        <f t="shared" si="122"/>
        <v>0</v>
      </c>
      <c r="CI353">
        <f t="shared" si="123"/>
        <v>0</v>
      </c>
      <c r="CJ353">
        <f t="shared" si="124"/>
        <v>0</v>
      </c>
      <c r="CK353">
        <f t="shared" si="125"/>
        <v>0</v>
      </c>
      <c r="CL353">
        <f t="shared" si="126"/>
        <v>0</v>
      </c>
      <c r="CM353">
        <f t="shared" si="128"/>
        <v>0</v>
      </c>
      <c r="CN353">
        <f t="shared" si="127"/>
        <v>0</v>
      </c>
      <c r="CO353">
        <f t="shared" si="111"/>
        <v>0</v>
      </c>
    </row>
    <row r="354" spans="1:93" s="12" customFormat="1" ht="14.65" customHeight="1" x14ac:dyDescent="0.25">
      <c r="A354" s="4">
        <v>2021</v>
      </c>
      <c r="B354" s="4"/>
      <c r="C354" s="4" t="s">
        <v>64</v>
      </c>
      <c r="D354" s="4" t="s">
        <v>65</v>
      </c>
      <c r="E354" s="4"/>
      <c r="F354" s="4" t="s">
        <v>90</v>
      </c>
      <c r="G354" s="5" t="s">
        <v>15</v>
      </c>
      <c r="H354" s="5" t="s">
        <v>21</v>
      </c>
      <c r="I354" s="5" t="s">
        <v>147</v>
      </c>
      <c r="J354" s="5" t="s">
        <v>9</v>
      </c>
      <c r="K354" s="5">
        <v>28</v>
      </c>
      <c r="L354" s="5">
        <v>45</v>
      </c>
      <c r="M354" s="5">
        <v>2500</v>
      </c>
      <c r="N354" s="5" t="s">
        <v>170</v>
      </c>
      <c r="O354" s="6" t="s">
        <v>148</v>
      </c>
      <c r="P354" s="6" t="s">
        <v>80</v>
      </c>
      <c r="Q354" s="6">
        <v>1997</v>
      </c>
      <c r="R354" s="6" t="s">
        <v>2</v>
      </c>
      <c r="S354" s="6">
        <v>21</v>
      </c>
      <c r="T354" s="6">
        <v>12.5</v>
      </c>
      <c r="U354" s="6">
        <v>2024</v>
      </c>
      <c r="V354" s="6">
        <v>28.8</v>
      </c>
      <c r="W354" s="6">
        <v>0</v>
      </c>
      <c r="X354" s="6">
        <v>1100</v>
      </c>
      <c r="Y354" s="6">
        <v>712</v>
      </c>
      <c r="Z354" s="6">
        <v>162</v>
      </c>
      <c r="AA354" s="6">
        <v>50</v>
      </c>
      <c r="AB354" s="6">
        <v>0</v>
      </c>
      <c r="AC354" s="7">
        <v>88</v>
      </c>
      <c r="AD354" s="7" t="s">
        <v>52</v>
      </c>
      <c r="AE354" s="7">
        <v>37.950000000000003</v>
      </c>
      <c r="AF354" s="7">
        <v>246</v>
      </c>
      <c r="AG354" s="7">
        <v>28.77</v>
      </c>
      <c r="AH354" s="7">
        <v>38.590000000000003</v>
      </c>
      <c r="AI354" s="7">
        <v>42.83</v>
      </c>
      <c r="AJ354" s="9">
        <v>470.497618815865</v>
      </c>
      <c r="AK354" s="9">
        <v>472.686143255861</v>
      </c>
      <c r="AL354" s="9">
        <v>510.71198375228602</v>
      </c>
      <c r="AM354" s="9">
        <v>71.521215286273204</v>
      </c>
      <c r="AN354" s="9">
        <v>0.81274108279855894</v>
      </c>
      <c r="AO354" s="9">
        <v>0.23888474973753701</v>
      </c>
      <c r="AP354" s="9">
        <v>985.16000653185301</v>
      </c>
      <c r="AQ354" s="9">
        <v>11.1950000742256</v>
      </c>
      <c r="AR354" s="9">
        <v>6.5087337327292998</v>
      </c>
      <c r="AS354" s="73" t="s">
        <v>169</v>
      </c>
      <c r="AT354" s="8"/>
      <c r="AU354" s="10" t="s">
        <v>169</v>
      </c>
      <c r="AV354" s="10">
        <v>0</v>
      </c>
      <c r="AW354" s="8"/>
      <c r="AX354" s="74" t="s">
        <v>169</v>
      </c>
      <c r="AY354" s="74"/>
      <c r="AZ354" s="74"/>
      <c r="BA354" s="74"/>
      <c r="BB354" s="8"/>
      <c r="BC354" s="8"/>
      <c r="BD354" s="8"/>
      <c r="BE354" s="8"/>
      <c r="BF354" s="12">
        <v>0.44</v>
      </c>
      <c r="BG354" s="13">
        <v>391.37561688216937</v>
      </c>
      <c r="BH354" s="96" t="str">
        <f>+VLOOKUP(G354,Liste!$A$7:$G$50,3,FALSE)</f>
        <v>Pin sylvestre</v>
      </c>
      <c r="BI354" s="96" t="str">
        <f>+VLOOKUP(H354,Liste!$B$7:$G$50,5,FALSE)</f>
        <v>GS Pineraies des plaines du Centre et du Nord Ouest</v>
      </c>
      <c r="BJ354" s="135">
        <f t="shared" si="110"/>
        <v>88</v>
      </c>
      <c r="BK354" s="135" t="str">
        <f t="shared" si="112"/>
        <v>Pin sylvestre_F1_Eclaircie tardive_GS Pineraies des plaines du Centre et du Nord Ouest_88_</v>
      </c>
      <c r="BL354" s="322"/>
      <c r="BM354" s="13">
        <v>96.032060295517624</v>
      </c>
      <c r="BN354" s="13">
        <v>487.40767717768699</v>
      </c>
      <c r="BP354" s="13">
        <v>336.6929998</v>
      </c>
      <c r="BQ354" s="13">
        <v>5.9892727870189901</v>
      </c>
      <c r="BT354" s="298" t="str">
        <f>+VLOOKUP(G354,Liste!$A$7:$H$50,8,FALSE)</f>
        <v>Résineux</v>
      </c>
      <c r="BU354" s="298">
        <f t="shared" si="113"/>
        <v>0</v>
      </c>
      <c r="BV354" s="300">
        <f t="shared" si="114"/>
        <v>1</v>
      </c>
      <c r="BW354" s="321">
        <v>0</v>
      </c>
      <c r="BX354" s="298">
        <f t="shared" si="115"/>
        <v>0.43</v>
      </c>
      <c r="BY354">
        <f t="shared" si="116"/>
        <v>0</v>
      </c>
      <c r="BZ354" s="304">
        <f t="shared" si="117"/>
        <v>0</v>
      </c>
      <c r="CB354" s="299">
        <v>0.6</v>
      </c>
      <c r="CC354" s="299">
        <v>0.4</v>
      </c>
      <c r="CD354">
        <f t="shared" si="118"/>
        <v>0</v>
      </c>
      <c r="CE354">
        <f t="shared" si="119"/>
        <v>0</v>
      </c>
      <c r="CF354">
        <f t="shared" si="120"/>
        <v>0</v>
      </c>
      <c r="CG354">
        <f t="shared" si="121"/>
        <v>0</v>
      </c>
      <c r="CH354">
        <f t="shared" si="122"/>
        <v>0</v>
      </c>
      <c r="CI354">
        <f t="shared" si="123"/>
        <v>0</v>
      </c>
      <c r="CJ354">
        <f t="shared" si="124"/>
        <v>0</v>
      </c>
      <c r="CK354">
        <f t="shared" si="125"/>
        <v>0</v>
      </c>
      <c r="CL354">
        <f t="shared" si="126"/>
        <v>0</v>
      </c>
      <c r="CM354">
        <f t="shared" si="128"/>
        <v>0</v>
      </c>
      <c r="CN354">
        <f t="shared" si="127"/>
        <v>0</v>
      </c>
      <c r="CO354">
        <f t="shared" si="111"/>
        <v>0</v>
      </c>
    </row>
    <row r="355" spans="1:93" s="12" customFormat="1" ht="14.65" customHeight="1" x14ac:dyDescent="0.25">
      <c r="A355" s="4">
        <v>2021</v>
      </c>
      <c r="B355" s="4"/>
      <c r="C355" s="4" t="s">
        <v>64</v>
      </c>
      <c r="D355" s="4" t="s">
        <v>65</v>
      </c>
      <c r="E355" s="4"/>
      <c r="F355" s="4" t="s">
        <v>90</v>
      </c>
      <c r="G355" s="5" t="s">
        <v>15</v>
      </c>
      <c r="H355" s="5" t="s">
        <v>21</v>
      </c>
      <c r="I355" s="5" t="s">
        <v>147</v>
      </c>
      <c r="J355" s="5" t="s">
        <v>9</v>
      </c>
      <c r="K355" s="5">
        <v>28</v>
      </c>
      <c r="L355" s="5">
        <v>45</v>
      </c>
      <c r="M355" s="5">
        <v>2500</v>
      </c>
      <c r="N355" s="5" t="s">
        <v>170</v>
      </c>
      <c r="O355" s="6" t="s">
        <v>148</v>
      </c>
      <c r="P355" s="6" t="s">
        <v>80</v>
      </c>
      <c r="Q355" s="6">
        <v>1997</v>
      </c>
      <c r="R355" s="6" t="s">
        <v>2</v>
      </c>
      <c r="S355" s="6">
        <v>21</v>
      </c>
      <c r="T355" s="6">
        <v>12.5</v>
      </c>
      <c r="U355" s="6">
        <v>2024</v>
      </c>
      <c r="V355" s="6">
        <v>28.8</v>
      </c>
      <c r="W355" s="6">
        <v>0</v>
      </c>
      <c r="X355" s="6">
        <v>1100</v>
      </c>
      <c r="Y355" s="6">
        <v>712</v>
      </c>
      <c r="Z355" s="6">
        <v>162</v>
      </c>
      <c r="AA355" s="6">
        <v>50</v>
      </c>
      <c r="AB355" s="6">
        <v>0</v>
      </c>
      <c r="AC355" s="7">
        <v>89</v>
      </c>
      <c r="AD355" s="7" t="s">
        <v>52</v>
      </c>
      <c r="AE355" s="7">
        <v>38.130000000000003</v>
      </c>
      <c r="AF355" s="7">
        <v>246</v>
      </c>
      <c r="AG355" s="7">
        <v>29.01</v>
      </c>
      <c r="AH355" s="7">
        <v>38.75</v>
      </c>
      <c r="AI355" s="7">
        <v>43.02</v>
      </c>
      <c r="AJ355" s="9">
        <v>476.75317955458098</v>
      </c>
      <c r="AK355" s="9">
        <v>478.96160098624699</v>
      </c>
      <c r="AL355" s="9">
        <v>517.22071748501503</v>
      </c>
      <c r="AM355" s="9">
        <v>71.760100036010698</v>
      </c>
      <c r="AN355" s="9">
        <v>0.80629325883158098</v>
      </c>
      <c r="AO355" s="9">
        <v>0.23564997744584601</v>
      </c>
      <c r="AP355" s="9">
        <v>991.66874026458197</v>
      </c>
      <c r="AQ355" s="9">
        <v>11.142345396231301</v>
      </c>
      <c r="AR355" s="9">
        <v>6.4019979900367598</v>
      </c>
      <c r="AS355" s="73" t="s">
        <v>169</v>
      </c>
      <c r="AT355" s="8"/>
      <c r="AU355" s="10" t="s">
        <v>169</v>
      </c>
      <c r="AV355" s="10">
        <v>0</v>
      </c>
      <c r="AW355" s="8"/>
      <c r="AX355" s="74" t="s">
        <v>169</v>
      </c>
      <c r="AY355" s="74"/>
      <c r="AZ355" s="74"/>
      <c r="BA355" s="74"/>
      <c r="BB355" s="8"/>
      <c r="BC355" s="8"/>
      <c r="BD355" s="8"/>
      <c r="BE355" s="8"/>
      <c r="BF355" s="12">
        <v>0.44</v>
      </c>
      <c r="BG355" s="13">
        <v>396.36347649934936</v>
      </c>
      <c r="BH355" s="96" t="str">
        <f>+VLOOKUP(G355,Liste!$A$7:$G$50,3,FALSE)</f>
        <v>Pin sylvestre</v>
      </c>
      <c r="BI355" s="96" t="str">
        <f>+VLOOKUP(H355,Liste!$B$7:$G$50,5,FALSE)</f>
        <v>GS Pineraies des plaines du Centre et du Nord Ouest</v>
      </c>
      <c r="BJ355" s="135">
        <f t="shared" si="110"/>
        <v>89</v>
      </c>
      <c r="BK355" s="135" t="str">
        <f t="shared" si="112"/>
        <v>Pin sylvestre_F1_Eclaircie tardive_GS Pineraies des plaines du Centre et du Nord Ouest_89_</v>
      </c>
      <c r="BL355" s="322"/>
      <c r="BM355" s="13">
        <v>97.112677012974643</v>
      </c>
      <c r="BN355" s="13">
        <v>493.476153512324</v>
      </c>
      <c r="BP355" s="13">
        <v>336.6929998</v>
      </c>
      <c r="BQ355" s="13">
        <v>5.8903095107376702</v>
      </c>
      <c r="BT355" s="298" t="str">
        <f>+VLOOKUP(G355,Liste!$A$7:$H$50,8,FALSE)</f>
        <v>Résineux</v>
      </c>
      <c r="BU355" s="298">
        <f t="shared" si="113"/>
        <v>0</v>
      </c>
      <c r="BV355" s="300">
        <f t="shared" si="114"/>
        <v>1</v>
      </c>
      <c r="BW355" s="321">
        <v>0</v>
      </c>
      <c r="BX355" s="298">
        <f t="shared" si="115"/>
        <v>0.43</v>
      </c>
      <c r="BY355">
        <f t="shared" si="116"/>
        <v>0</v>
      </c>
      <c r="BZ355" s="304">
        <f t="shared" si="117"/>
        <v>0</v>
      </c>
      <c r="CB355" s="299">
        <v>0.6</v>
      </c>
      <c r="CC355" s="299">
        <v>0.4</v>
      </c>
      <c r="CD355">
        <f t="shared" si="118"/>
        <v>0</v>
      </c>
      <c r="CE355">
        <f t="shared" si="119"/>
        <v>0</v>
      </c>
      <c r="CF355">
        <f t="shared" si="120"/>
        <v>0</v>
      </c>
      <c r="CG355">
        <f t="shared" si="121"/>
        <v>0</v>
      </c>
      <c r="CH355">
        <f t="shared" si="122"/>
        <v>0</v>
      </c>
      <c r="CI355">
        <f t="shared" si="123"/>
        <v>0</v>
      </c>
      <c r="CJ355">
        <f t="shared" si="124"/>
        <v>0</v>
      </c>
      <c r="CK355">
        <f t="shared" si="125"/>
        <v>0</v>
      </c>
      <c r="CL355">
        <f t="shared" si="126"/>
        <v>0</v>
      </c>
      <c r="CM355">
        <f t="shared" si="128"/>
        <v>0</v>
      </c>
      <c r="CN355">
        <f t="shared" si="127"/>
        <v>0</v>
      </c>
      <c r="CO355">
        <f t="shared" si="111"/>
        <v>0</v>
      </c>
    </row>
    <row r="356" spans="1:93" s="12" customFormat="1" ht="14.65" customHeight="1" x14ac:dyDescent="0.25">
      <c r="A356" s="4">
        <v>2021</v>
      </c>
      <c r="B356" s="4"/>
      <c r="C356" s="4" t="s">
        <v>64</v>
      </c>
      <c r="D356" s="4" t="s">
        <v>65</v>
      </c>
      <c r="E356" s="4"/>
      <c r="F356" s="4" t="s">
        <v>90</v>
      </c>
      <c r="G356" s="5" t="s">
        <v>15</v>
      </c>
      <c r="H356" s="5" t="s">
        <v>21</v>
      </c>
      <c r="I356" s="5" t="s">
        <v>147</v>
      </c>
      <c r="J356" s="5" t="s">
        <v>9</v>
      </c>
      <c r="K356" s="5">
        <v>28</v>
      </c>
      <c r="L356" s="5">
        <v>45</v>
      </c>
      <c r="M356" s="5">
        <v>2500</v>
      </c>
      <c r="N356" s="5" t="s">
        <v>170</v>
      </c>
      <c r="O356" s="6" t="s">
        <v>148</v>
      </c>
      <c r="P356" s="6" t="s">
        <v>80</v>
      </c>
      <c r="Q356" s="6">
        <v>1997</v>
      </c>
      <c r="R356" s="6" t="s">
        <v>2</v>
      </c>
      <c r="S356" s="6">
        <v>21</v>
      </c>
      <c r="T356" s="6">
        <v>12.5</v>
      </c>
      <c r="U356" s="6">
        <v>2024</v>
      </c>
      <c r="V356" s="6">
        <v>28.8</v>
      </c>
      <c r="W356" s="6">
        <v>0</v>
      </c>
      <c r="X356" s="6">
        <v>1100</v>
      </c>
      <c r="Y356" s="6">
        <v>712</v>
      </c>
      <c r="Z356" s="6">
        <v>162</v>
      </c>
      <c r="AA356" s="6">
        <v>50</v>
      </c>
      <c r="AB356" s="6">
        <v>0</v>
      </c>
      <c r="AC356" s="7">
        <v>90</v>
      </c>
      <c r="AD356" s="7" t="s">
        <v>52</v>
      </c>
      <c r="AE356" s="7">
        <v>38.32</v>
      </c>
      <c r="AF356" s="7">
        <v>246</v>
      </c>
      <c r="AG356" s="7">
        <v>29.24</v>
      </c>
      <c r="AH356" s="7">
        <v>38.9</v>
      </c>
      <c r="AI356" s="7">
        <v>43.2</v>
      </c>
      <c r="AJ356" s="9">
        <v>482.902244930064</v>
      </c>
      <c r="AK356" s="9">
        <v>485.13071198277203</v>
      </c>
      <c r="AL356" s="9">
        <v>523.62271547505202</v>
      </c>
      <c r="AM356" s="9">
        <v>71.995750013456501</v>
      </c>
      <c r="AN356" s="9">
        <v>0.79995277792729502</v>
      </c>
      <c r="AO356" s="9">
        <v>0.232854658988529</v>
      </c>
      <c r="AP356" s="9">
        <v>998.07073825461896</v>
      </c>
      <c r="AQ356" s="9">
        <v>11.0896748694958</v>
      </c>
      <c r="AR356" s="9">
        <v>6.3790045026939897</v>
      </c>
      <c r="AS356" s="73" t="s">
        <v>169</v>
      </c>
      <c r="AT356" s="8"/>
      <c r="AU356" s="10" t="s">
        <v>169</v>
      </c>
      <c r="AV356" s="10">
        <v>0</v>
      </c>
      <c r="AW356" s="8"/>
      <c r="AX356" s="74" t="s">
        <v>169</v>
      </c>
      <c r="AY356" s="74"/>
      <c r="AZ356" s="74"/>
      <c r="BA356" s="74"/>
      <c r="BB356" s="8"/>
      <c r="BC356" s="8"/>
      <c r="BD356" s="8"/>
      <c r="BE356" s="8"/>
      <c r="BF356" s="12">
        <v>0.44</v>
      </c>
      <c r="BG356" s="13">
        <v>401.2695409590487</v>
      </c>
      <c r="BH356" s="96" t="str">
        <f>+VLOOKUP(G356,Liste!$A$7:$G$50,3,FALSE)</f>
        <v>Pin sylvestre</v>
      </c>
      <c r="BI356" s="96" t="str">
        <f>+VLOOKUP(H356,Liste!$B$7:$G$50,5,FALSE)</f>
        <v>GS Pineraies des plaines du Centre et du Nord Ouest</v>
      </c>
      <c r="BJ356" s="135">
        <f t="shared" si="110"/>
        <v>90</v>
      </c>
      <c r="BK356" s="135" t="str">
        <f t="shared" si="112"/>
        <v>Pin sylvestre_F1_Eclaircie tardive_GS Pineraies des plaines du Centre et du Nord Ouest_90_</v>
      </c>
      <c r="BL356" s="322"/>
      <c r="BM356" s="13">
        <v>98.174029682464322</v>
      </c>
      <c r="BN356" s="13">
        <v>499.44357064151302</v>
      </c>
      <c r="BP356" s="13">
        <v>336.6929998</v>
      </c>
      <c r="BQ356" s="13">
        <v>5.8684231551520698</v>
      </c>
      <c r="BT356" s="298" t="str">
        <f>+VLOOKUP(G356,Liste!$A$7:$H$50,8,FALSE)</f>
        <v>Résineux</v>
      </c>
      <c r="BU356" s="298">
        <f t="shared" si="113"/>
        <v>0</v>
      </c>
      <c r="BV356" s="300">
        <f t="shared" si="114"/>
        <v>1</v>
      </c>
      <c r="BW356" s="321">
        <v>0</v>
      </c>
      <c r="BX356" s="298">
        <f t="shared" si="115"/>
        <v>0.43</v>
      </c>
      <c r="BY356">
        <f t="shared" si="116"/>
        <v>0</v>
      </c>
      <c r="BZ356" s="304">
        <f t="shared" si="117"/>
        <v>0</v>
      </c>
      <c r="CB356" s="299">
        <v>0.6</v>
      </c>
      <c r="CC356" s="299">
        <v>0.4</v>
      </c>
      <c r="CD356">
        <f t="shared" si="118"/>
        <v>0</v>
      </c>
      <c r="CE356">
        <f t="shared" si="119"/>
        <v>0</v>
      </c>
      <c r="CF356">
        <f t="shared" si="120"/>
        <v>0</v>
      </c>
      <c r="CG356">
        <f t="shared" si="121"/>
        <v>0</v>
      </c>
      <c r="CH356">
        <f t="shared" si="122"/>
        <v>0</v>
      </c>
      <c r="CI356">
        <f t="shared" si="123"/>
        <v>0</v>
      </c>
      <c r="CJ356">
        <f t="shared" si="124"/>
        <v>0</v>
      </c>
      <c r="CK356">
        <f t="shared" si="125"/>
        <v>0</v>
      </c>
      <c r="CL356">
        <f t="shared" si="126"/>
        <v>0</v>
      </c>
      <c r="CM356">
        <f t="shared" si="128"/>
        <v>0</v>
      </c>
      <c r="CN356">
        <f t="shared" si="127"/>
        <v>0</v>
      </c>
      <c r="CO356">
        <f t="shared" si="111"/>
        <v>0</v>
      </c>
    </row>
    <row r="357" spans="1:93" s="12" customFormat="1" ht="14.65" customHeight="1" x14ac:dyDescent="0.25">
      <c r="A357" s="4">
        <v>2021</v>
      </c>
      <c r="B357" s="4"/>
      <c r="C357" s="4" t="s">
        <v>64</v>
      </c>
      <c r="D357" s="4" t="s">
        <v>65</v>
      </c>
      <c r="E357" s="4"/>
      <c r="F357" s="4" t="s">
        <v>90</v>
      </c>
      <c r="G357" s="5" t="s">
        <v>15</v>
      </c>
      <c r="H357" s="5" t="s">
        <v>21</v>
      </c>
      <c r="I357" s="5" t="s">
        <v>147</v>
      </c>
      <c r="J357" s="5" t="s">
        <v>9</v>
      </c>
      <c r="K357" s="5">
        <v>28</v>
      </c>
      <c r="L357" s="5">
        <v>45</v>
      </c>
      <c r="M357" s="5">
        <v>2500</v>
      </c>
      <c r="N357" s="5" t="s">
        <v>170</v>
      </c>
      <c r="O357" s="6" t="s">
        <v>148</v>
      </c>
      <c r="P357" s="6" t="s">
        <v>80</v>
      </c>
      <c r="Q357" s="6">
        <v>1997</v>
      </c>
      <c r="R357" s="6" t="s">
        <v>2</v>
      </c>
      <c r="S357" s="6">
        <v>21</v>
      </c>
      <c r="T357" s="6">
        <v>12.5</v>
      </c>
      <c r="U357" s="6">
        <v>2024</v>
      </c>
      <c r="V357" s="6">
        <v>28.8</v>
      </c>
      <c r="W357" s="6">
        <v>0</v>
      </c>
      <c r="X357" s="6">
        <v>1100</v>
      </c>
      <c r="Y357" s="6">
        <v>712</v>
      </c>
      <c r="Z357" s="6">
        <v>162</v>
      </c>
      <c r="AA357" s="6">
        <v>50</v>
      </c>
      <c r="AB357" s="6">
        <v>0</v>
      </c>
      <c r="AC357" s="7">
        <v>91</v>
      </c>
      <c r="AD357" s="7" t="s">
        <v>52</v>
      </c>
      <c r="AE357" s="7">
        <v>38.5</v>
      </c>
      <c r="AF357" s="7">
        <v>246</v>
      </c>
      <c r="AG357" s="7">
        <v>29.47</v>
      </c>
      <c r="AH357" s="7">
        <v>39.06</v>
      </c>
      <c r="AI357" s="7">
        <v>43.39</v>
      </c>
      <c r="AJ357" s="9">
        <v>489.03459419861798</v>
      </c>
      <c r="AK357" s="9">
        <v>491.28271646501003</v>
      </c>
      <c r="AL357" s="9">
        <v>530.00171997774601</v>
      </c>
      <c r="AM357" s="9">
        <v>72.228604672445101</v>
      </c>
      <c r="AN357" s="9">
        <v>0.793720930466429</v>
      </c>
      <c r="AO357" s="9">
        <v>0.21675315626282601</v>
      </c>
      <c r="AP357" s="9">
        <v>1004.44974275731</v>
      </c>
      <c r="AQ357" s="9">
        <v>11.0379092610694</v>
      </c>
      <c r="AR357" s="9">
        <v>5.7517968112108502</v>
      </c>
      <c r="AS357" s="73" t="s">
        <v>169</v>
      </c>
      <c r="AT357" s="8"/>
      <c r="AU357" s="10" t="s">
        <v>169</v>
      </c>
      <c r="AV357" s="10">
        <v>0</v>
      </c>
      <c r="AW357" s="8"/>
      <c r="AX357" s="74" t="s">
        <v>169</v>
      </c>
      <c r="AY357" s="74"/>
      <c r="AZ357" s="74"/>
      <c r="BA357" s="74"/>
      <c r="BB357" s="8"/>
      <c r="BC357" s="8"/>
      <c r="BD357" s="8"/>
      <c r="BE357" s="8"/>
      <c r="BF357" s="12">
        <v>0.44</v>
      </c>
      <c r="BG357" s="13">
        <v>406.15798474294633</v>
      </c>
      <c r="BH357" s="96" t="str">
        <f>+VLOOKUP(G357,Liste!$A$7:$G$50,3,FALSE)</f>
        <v>Pin sylvestre</v>
      </c>
      <c r="BI357" s="96" t="str">
        <f>+VLOOKUP(H357,Liste!$B$7:$G$50,5,FALSE)</f>
        <v>GS Pineraies des plaines du Centre et du Nord Ouest</v>
      </c>
      <c r="BJ357" s="135">
        <f t="shared" si="110"/>
        <v>91</v>
      </c>
      <c r="BK357" s="135" t="str">
        <f t="shared" si="112"/>
        <v>Pin sylvestre_F1_Eclaircie tardive_GS Pineraies des plaines du Centre et du Nord Ouest_91_</v>
      </c>
      <c r="BL357" s="322"/>
      <c r="BM357" s="13">
        <v>99.230069056385673</v>
      </c>
      <c r="BN357" s="13">
        <v>505.388053799332</v>
      </c>
      <c r="BP357" s="13">
        <v>336.6929998</v>
      </c>
      <c r="BQ357" s="13">
        <v>5.2907967353779704</v>
      </c>
      <c r="BT357" s="298" t="str">
        <f>+VLOOKUP(G357,Liste!$A$7:$H$50,8,FALSE)</f>
        <v>Résineux</v>
      </c>
      <c r="BU357" s="298">
        <f t="shared" si="113"/>
        <v>0</v>
      </c>
      <c r="BV357" s="300">
        <f t="shared" si="114"/>
        <v>1</v>
      </c>
      <c r="BW357" s="321">
        <v>0</v>
      </c>
      <c r="BX357" s="298">
        <f t="shared" si="115"/>
        <v>0.43</v>
      </c>
      <c r="BY357">
        <f t="shared" si="116"/>
        <v>0</v>
      </c>
      <c r="BZ357" s="304">
        <f t="shared" si="117"/>
        <v>0</v>
      </c>
      <c r="CB357" s="299">
        <v>0.6</v>
      </c>
      <c r="CC357" s="299">
        <v>0.4</v>
      </c>
      <c r="CD357">
        <f t="shared" si="118"/>
        <v>0</v>
      </c>
      <c r="CE357">
        <f t="shared" si="119"/>
        <v>0</v>
      </c>
      <c r="CF357">
        <f t="shared" si="120"/>
        <v>0</v>
      </c>
      <c r="CG357">
        <f t="shared" si="121"/>
        <v>0</v>
      </c>
      <c r="CH357">
        <f t="shared" si="122"/>
        <v>0</v>
      </c>
      <c r="CI357">
        <f t="shared" si="123"/>
        <v>0</v>
      </c>
      <c r="CJ357">
        <f t="shared" si="124"/>
        <v>0</v>
      </c>
      <c r="CK357">
        <f t="shared" si="125"/>
        <v>0</v>
      </c>
      <c r="CL357">
        <f t="shared" si="126"/>
        <v>0</v>
      </c>
      <c r="CM357">
        <f t="shared" si="128"/>
        <v>0</v>
      </c>
      <c r="CN357">
        <f t="shared" si="127"/>
        <v>0</v>
      </c>
      <c r="CO357">
        <f t="shared" si="111"/>
        <v>0</v>
      </c>
    </row>
    <row r="358" spans="1:93" s="12" customFormat="1" ht="14.65" customHeight="1" x14ac:dyDescent="0.25">
      <c r="A358" s="4">
        <v>2021</v>
      </c>
      <c r="B358" s="4"/>
      <c r="C358" s="4" t="s">
        <v>64</v>
      </c>
      <c r="D358" s="4" t="s">
        <v>65</v>
      </c>
      <c r="E358" s="4"/>
      <c r="F358" s="4" t="s">
        <v>90</v>
      </c>
      <c r="G358" s="5" t="s">
        <v>15</v>
      </c>
      <c r="H358" s="5" t="s">
        <v>21</v>
      </c>
      <c r="I358" s="5" t="s">
        <v>147</v>
      </c>
      <c r="J358" s="5" t="s">
        <v>9</v>
      </c>
      <c r="K358" s="5">
        <v>28</v>
      </c>
      <c r="L358" s="5">
        <v>45</v>
      </c>
      <c r="M358" s="5">
        <v>2500</v>
      </c>
      <c r="N358" s="5" t="s">
        <v>170</v>
      </c>
      <c r="O358" s="6" t="s">
        <v>148</v>
      </c>
      <c r="P358" s="6" t="s">
        <v>80</v>
      </c>
      <c r="Q358" s="6">
        <v>1997</v>
      </c>
      <c r="R358" s="6" t="s">
        <v>2</v>
      </c>
      <c r="S358" s="6">
        <v>21</v>
      </c>
      <c r="T358" s="6">
        <v>12.5</v>
      </c>
      <c r="U358" s="6">
        <v>2024</v>
      </c>
      <c r="V358" s="6">
        <v>28.8</v>
      </c>
      <c r="W358" s="6">
        <v>0</v>
      </c>
      <c r="X358" s="6">
        <v>1100</v>
      </c>
      <c r="Y358" s="6">
        <v>712</v>
      </c>
      <c r="Z358" s="6">
        <v>162</v>
      </c>
      <c r="AA358" s="6">
        <v>50</v>
      </c>
      <c r="AB358" s="6">
        <v>0</v>
      </c>
      <c r="AC358" s="7">
        <v>91</v>
      </c>
      <c r="AD358" s="7" t="s">
        <v>53</v>
      </c>
      <c r="AE358" s="7">
        <v>38.5</v>
      </c>
      <c r="AF358" s="7">
        <v>220</v>
      </c>
      <c r="AG358" s="7">
        <v>27</v>
      </c>
      <c r="AH358" s="7">
        <v>39.53</v>
      </c>
      <c r="AI358" s="7">
        <v>43.39</v>
      </c>
      <c r="AJ358" s="9">
        <v>448.72756874676497</v>
      </c>
      <c r="AK358" s="9">
        <v>450.84201898071899</v>
      </c>
      <c r="AL358" s="9">
        <v>486.50008893752198</v>
      </c>
      <c r="AM358" s="9">
        <v>72.228604672445101</v>
      </c>
      <c r="AN358" s="9">
        <v>0.793720930466429</v>
      </c>
      <c r="AO358" s="9">
        <v>0.21675315626282601</v>
      </c>
      <c r="AP358" s="9">
        <v>1004.44974275731</v>
      </c>
      <c r="AQ358" s="9">
        <v>11.0379092610694</v>
      </c>
      <c r="AR358" s="9">
        <v>5.7517968112108502</v>
      </c>
      <c r="AS358" s="73">
        <v>26</v>
      </c>
      <c r="AT358" s="8">
        <v>2.4699999999999989</v>
      </c>
      <c r="AU358" s="10">
        <v>34.778981691510232</v>
      </c>
      <c r="AV358" s="10">
        <v>40.307025451853008</v>
      </c>
      <c r="AW358" s="8">
        <v>0.79</v>
      </c>
      <c r="AX358" s="74">
        <v>1.5502702096866541</v>
      </c>
      <c r="AY358" s="74"/>
      <c r="AZ358" s="74"/>
      <c r="BA358" s="74"/>
      <c r="BB358" s="8"/>
      <c r="BC358" s="8"/>
      <c r="BD358" s="8"/>
      <c r="BE358" s="8"/>
      <c r="BF358" s="12">
        <v>0.44</v>
      </c>
      <c r="BG358" s="13">
        <v>372.82123482245396</v>
      </c>
      <c r="BH358" s="96" t="str">
        <f>+VLOOKUP(G358,Liste!$A$7:$G$50,3,FALSE)</f>
        <v>Pin sylvestre</v>
      </c>
      <c r="BI358" s="96" t="str">
        <f>+VLOOKUP(H358,Liste!$B$7:$G$50,5,FALSE)</f>
        <v>GS Pineraies des plaines du Centre et du Nord Ouest</v>
      </c>
      <c r="BJ358" s="135">
        <f t="shared" si="110"/>
        <v>91</v>
      </c>
      <c r="BK358" s="135" t="str">
        <f t="shared" si="112"/>
        <v>Pin sylvestre_F1_Eclaircie tardive_GS Pineraies des plaines du Centre et du Nord Ouest_91_</v>
      </c>
      <c r="BL358" s="322"/>
      <c r="BM358" s="13">
        <v>91.997994802121013</v>
      </c>
      <c r="BN358" s="13">
        <v>464.81922962457497</v>
      </c>
      <c r="BO358" s="13">
        <v>40.568824174757026</v>
      </c>
      <c r="BP358" s="13">
        <v>336.6929998</v>
      </c>
      <c r="BQ358" s="13">
        <v>5.2907967353779704</v>
      </c>
      <c r="BT358" s="298" t="str">
        <f>+VLOOKUP(G358,Liste!$A$7:$H$50,8,FALSE)</f>
        <v>Résineux</v>
      </c>
      <c r="BU358" s="298">
        <f t="shared" si="113"/>
        <v>0</v>
      </c>
      <c r="BV358" s="300">
        <f t="shared" si="114"/>
        <v>1</v>
      </c>
      <c r="BW358" s="321">
        <v>0</v>
      </c>
      <c r="BX358" s="298">
        <f t="shared" si="115"/>
        <v>0.43</v>
      </c>
      <c r="BY358">
        <f t="shared" si="116"/>
        <v>0</v>
      </c>
      <c r="BZ358" s="304">
        <f t="shared" si="117"/>
        <v>0</v>
      </c>
      <c r="CB358" s="299">
        <v>0.6</v>
      </c>
      <c r="CC358" s="299">
        <v>0.4</v>
      </c>
      <c r="CD358">
        <f t="shared" si="118"/>
        <v>0</v>
      </c>
      <c r="CE358">
        <f t="shared" si="119"/>
        <v>0</v>
      </c>
      <c r="CF358">
        <f t="shared" si="120"/>
        <v>0</v>
      </c>
      <c r="CG358">
        <f t="shared" si="121"/>
        <v>0</v>
      </c>
      <c r="CH358">
        <f t="shared" si="122"/>
        <v>0</v>
      </c>
      <c r="CI358">
        <f t="shared" si="123"/>
        <v>0</v>
      </c>
      <c r="CJ358">
        <f t="shared" si="124"/>
        <v>0</v>
      </c>
      <c r="CK358">
        <f t="shared" si="125"/>
        <v>0</v>
      </c>
      <c r="CL358">
        <f t="shared" si="126"/>
        <v>0</v>
      </c>
      <c r="CM358">
        <f t="shared" si="128"/>
        <v>0</v>
      </c>
      <c r="CN358">
        <f t="shared" si="127"/>
        <v>0</v>
      </c>
      <c r="CO358">
        <f t="shared" si="111"/>
        <v>0</v>
      </c>
    </row>
    <row r="359" spans="1:93" s="12" customFormat="1" ht="14.65" customHeight="1" x14ac:dyDescent="0.25">
      <c r="A359" s="4">
        <v>2021</v>
      </c>
      <c r="B359" s="4"/>
      <c r="C359" s="4" t="s">
        <v>64</v>
      </c>
      <c r="D359" s="4" t="s">
        <v>65</v>
      </c>
      <c r="E359" s="4"/>
      <c r="F359" s="4" t="s">
        <v>90</v>
      </c>
      <c r="G359" s="5" t="s">
        <v>15</v>
      </c>
      <c r="H359" s="5" t="s">
        <v>21</v>
      </c>
      <c r="I359" s="5" t="s">
        <v>147</v>
      </c>
      <c r="J359" s="5" t="s">
        <v>9</v>
      </c>
      <c r="K359" s="5">
        <v>28</v>
      </c>
      <c r="L359" s="5">
        <v>45</v>
      </c>
      <c r="M359" s="5">
        <v>2500</v>
      </c>
      <c r="N359" s="5" t="s">
        <v>170</v>
      </c>
      <c r="O359" s="6" t="s">
        <v>148</v>
      </c>
      <c r="P359" s="6" t="s">
        <v>80</v>
      </c>
      <c r="Q359" s="6">
        <v>1997</v>
      </c>
      <c r="R359" s="6" t="s">
        <v>2</v>
      </c>
      <c r="S359" s="6">
        <v>21</v>
      </c>
      <c r="T359" s="6">
        <v>12.5</v>
      </c>
      <c r="U359" s="6">
        <v>2024</v>
      </c>
      <c r="V359" s="6">
        <v>28.8</v>
      </c>
      <c r="W359" s="6">
        <v>0</v>
      </c>
      <c r="X359" s="6">
        <v>1100</v>
      </c>
      <c r="Y359" s="6">
        <v>712</v>
      </c>
      <c r="Z359" s="6">
        <v>162</v>
      </c>
      <c r="AA359" s="6">
        <v>50</v>
      </c>
      <c r="AB359" s="6">
        <v>0</v>
      </c>
      <c r="AC359" s="7">
        <v>92</v>
      </c>
      <c r="AD359" s="7" t="s">
        <v>52</v>
      </c>
      <c r="AE359" s="7">
        <v>38.68</v>
      </c>
      <c r="AF359" s="7">
        <v>220</v>
      </c>
      <c r="AG359" s="7">
        <v>27.22</v>
      </c>
      <c r="AH359" s="7">
        <v>39.69</v>
      </c>
      <c r="AI359" s="7">
        <v>43.57</v>
      </c>
      <c r="AJ359" s="9">
        <v>454.22895541520899</v>
      </c>
      <c r="AK359" s="9">
        <v>456.363888507068</v>
      </c>
      <c r="AL359" s="9">
        <v>492.251885748733</v>
      </c>
      <c r="AM359" s="9">
        <v>72.445357828707898</v>
      </c>
      <c r="AN359" s="9">
        <v>0.78744954161639003</v>
      </c>
      <c r="AO359" s="9">
        <v>0.21332238000547901</v>
      </c>
      <c r="AP359" s="9">
        <v>1010.20153956852</v>
      </c>
      <c r="AQ359" s="9">
        <v>10.9804515170492</v>
      </c>
      <c r="AR359" s="9">
        <v>5.8601007143408896</v>
      </c>
      <c r="AS359" s="73" t="s">
        <v>169</v>
      </c>
      <c r="AT359" s="8"/>
      <c r="AU359" s="10" t="s">
        <v>169</v>
      </c>
      <c r="AV359" s="10">
        <v>0</v>
      </c>
      <c r="AW359" s="8"/>
      <c r="AX359" s="74" t="s">
        <v>169</v>
      </c>
      <c r="AY359" s="74"/>
      <c r="AZ359" s="74"/>
      <c r="BA359" s="74"/>
      <c r="BB359" s="8"/>
      <c r="BC359" s="8"/>
      <c r="BD359" s="8"/>
      <c r="BE359" s="8"/>
      <c r="BF359" s="12">
        <v>0.44</v>
      </c>
      <c r="BG359" s="13">
        <v>377.22902844544501</v>
      </c>
      <c r="BH359" s="96" t="str">
        <f>+VLOOKUP(G359,Liste!$A$7:$G$50,3,FALSE)</f>
        <v>Pin sylvestre</v>
      </c>
      <c r="BI359" s="96" t="str">
        <f>+VLOOKUP(H359,Liste!$B$7:$G$50,5,FALSE)</f>
        <v>GS Pineraies des plaines du Centre et du Nord Ouest</v>
      </c>
      <c r="BJ359" s="135">
        <f t="shared" si="110"/>
        <v>92</v>
      </c>
      <c r="BK359" s="135" t="str">
        <f t="shared" si="112"/>
        <v>Pin sylvestre_F1_Eclaircie tardive_GS Pineraies des plaines du Centre et du Nord Ouest_92_</v>
      </c>
      <c r="BL359" s="322"/>
      <c r="BM359" s="13">
        <v>92.958405640524006</v>
      </c>
      <c r="BN359" s="13">
        <v>470.18743408596902</v>
      </c>
      <c r="BP359" s="13">
        <v>336.6929998</v>
      </c>
      <c r="BQ359" s="13">
        <v>5.3898185805661596</v>
      </c>
      <c r="BT359" s="298" t="str">
        <f>+VLOOKUP(G359,Liste!$A$7:$H$50,8,FALSE)</f>
        <v>Résineux</v>
      </c>
      <c r="BU359" s="298">
        <f t="shared" si="113"/>
        <v>0</v>
      </c>
      <c r="BV359" s="300">
        <f t="shared" si="114"/>
        <v>1</v>
      </c>
      <c r="BW359" s="321">
        <v>0</v>
      </c>
      <c r="BX359" s="298">
        <f t="shared" si="115"/>
        <v>0.43</v>
      </c>
      <c r="BY359">
        <f t="shared" si="116"/>
        <v>0</v>
      </c>
      <c r="BZ359" s="304">
        <f t="shared" si="117"/>
        <v>0</v>
      </c>
      <c r="CB359" s="299">
        <v>0.6</v>
      </c>
      <c r="CC359" s="299">
        <v>0.4</v>
      </c>
      <c r="CD359">
        <f t="shared" si="118"/>
        <v>0</v>
      </c>
      <c r="CE359">
        <f t="shared" si="119"/>
        <v>0</v>
      </c>
      <c r="CF359">
        <f t="shared" si="120"/>
        <v>0</v>
      </c>
      <c r="CG359">
        <f t="shared" si="121"/>
        <v>0</v>
      </c>
      <c r="CH359">
        <f t="shared" si="122"/>
        <v>0</v>
      </c>
      <c r="CI359">
        <f t="shared" si="123"/>
        <v>0</v>
      </c>
      <c r="CJ359">
        <f t="shared" si="124"/>
        <v>0</v>
      </c>
      <c r="CK359">
        <f t="shared" si="125"/>
        <v>0</v>
      </c>
      <c r="CL359">
        <f t="shared" si="126"/>
        <v>0</v>
      </c>
      <c r="CM359">
        <f t="shared" si="128"/>
        <v>0</v>
      </c>
      <c r="CN359">
        <f t="shared" si="127"/>
        <v>0</v>
      </c>
      <c r="CO359">
        <f t="shared" si="111"/>
        <v>0</v>
      </c>
    </row>
    <row r="360" spans="1:93" s="12" customFormat="1" ht="14.65" customHeight="1" x14ac:dyDescent="0.25">
      <c r="A360" s="4">
        <v>2021</v>
      </c>
      <c r="B360" s="4"/>
      <c r="C360" s="4" t="s">
        <v>64</v>
      </c>
      <c r="D360" s="4" t="s">
        <v>65</v>
      </c>
      <c r="E360" s="4"/>
      <c r="F360" s="4" t="s">
        <v>90</v>
      </c>
      <c r="G360" s="5" t="s">
        <v>15</v>
      </c>
      <c r="H360" s="5" t="s">
        <v>21</v>
      </c>
      <c r="I360" s="5" t="s">
        <v>147</v>
      </c>
      <c r="J360" s="5" t="s">
        <v>9</v>
      </c>
      <c r="K360" s="5">
        <v>28</v>
      </c>
      <c r="L360" s="5">
        <v>45</v>
      </c>
      <c r="M360" s="5">
        <v>2500</v>
      </c>
      <c r="N360" s="5" t="s">
        <v>170</v>
      </c>
      <c r="O360" s="6" t="s">
        <v>148</v>
      </c>
      <c r="P360" s="6" t="s">
        <v>80</v>
      </c>
      <c r="Q360" s="6">
        <v>1997</v>
      </c>
      <c r="R360" s="6" t="s">
        <v>2</v>
      </c>
      <c r="S360" s="6">
        <v>21</v>
      </c>
      <c r="T360" s="6">
        <v>12.5</v>
      </c>
      <c r="U360" s="6">
        <v>2024</v>
      </c>
      <c r="V360" s="6">
        <v>28.8</v>
      </c>
      <c r="W360" s="6">
        <v>0</v>
      </c>
      <c r="X360" s="6">
        <v>1100</v>
      </c>
      <c r="Y360" s="6">
        <v>712</v>
      </c>
      <c r="Z360" s="6">
        <v>162</v>
      </c>
      <c r="AA360" s="6">
        <v>50</v>
      </c>
      <c r="AB360" s="6">
        <v>0</v>
      </c>
      <c r="AC360" s="7">
        <v>93</v>
      </c>
      <c r="AD360" s="7" t="s">
        <v>52</v>
      </c>
      <c r="AE360" s="7">
        <v>38.86</v>
      </c>
      <c r="AF360" s="7">
        <v>220</v>
      </c>
      <c r="AG360" s="7">
        <v>27.43</v>
      </c>
      <c r="AH360" s="7">
        <v>39.840000000000003</v>
      </c>
      <c r="AI360" s="7">
        <v>43.75</v>
      </c>
      <c r="AJ360" s="9">
        <v>459.85911788362102</v>
      </c>
      <c r="AK360" s="9">
        <v>462.01271545815598</v>
      </c>
      <c r="AL360" s="9">
        <v>498.111986463074</v>
      </c>
      <c r="AM360" s="9">
        <v>72.658680208713406</v>
      </c>
      <c r="AN360" s="9">
        <v>0.78127613127648798</v>
      </c>
      <c r="AO360" s="9">
        <v>0.21083697966342599</v>
      </c>
      <c r="AP360" s="9">
        <v>1016.06164028286</v>
      </c>
      <c r="AQ360" s="9">
        <v>10.9253939815362</v>
      </c>
      <c r="AR360" s="9">
        <v>5.7415478399592503</v>
      </c>
      <c r="AS360" s="73" t="s">
        <v>169</v>
      </c>
      <c r="AT360" s="8"/>
      <c r="AU360" s="10" t="s">
        <v>169</v>
      </c>
      <c r="AV360" s="10">
        <v>0</v>
      </c>
      <c r="AW360" s="8"/>
      <c r="AX360" s="74" t="s">
        <v>169</v>
      </c>
      <c r="AY360" s="74"/>
      <c r="AZ360" s="74"/>
      <c r="BA360" s="74"/>
      <c r="BB360" s="8"/>
      <c r="BC360" s="8"/>
      <c r="BD360" s="8"/>
      <c r="BE360" s="8"/>
      <c r="BF360" s="12">
        <v>0.44</v>
      </c>
      <c r="BG360" s="13">
        <v>381.71981895953769</v>
      </c>
      <c r="BH360" s="96" t="str">
        <f>+VLOOKUP(G360,Liste!$A$7:$G$50,3,FALSE)</f>
        <v>Pin sylvestre</v>
      </c>
      <c r="BI360" s="96" t="str">
        <f>+VLOOKUP(H360,Liste!$B$7:$G$50,5,FALSE)</f>
        <v>GS Pineraies des plaines du Centre et du Nord Ouest</v>
      </c>
      <c r="BJ360" s="135">
        <f t="shared" si="110"/>
        <v>93</v>
      </c>
      <c r="BK360" s="135" t="str">
        <f t="shared" si="112"/>
        <v>Pin sylvestre_F1_Eclaircie tardive_GS Pineraies des plaines du Centre et du Nord Ouest_93_</v>
      </c>
      <c r="BL360" s="322"/>
      <c r="BM360" s="13">
        <v>93.935558223806311</v>
      </c>
      <c r="BN360" s="13">
        <v>475.655377183344</v>
      </c>
      <c r="BP360" s="13">
        <v>336.6929998</v>
      </c>
      <c r="BQ360" s="13">
        <v>5.2801945695258601</v>
      </c>
      <c r="BT360" s="298" t="str">
        <f>+VLOOKUP(G360,Liste!$A$7:$H$50,8,FALSE)</f>
        <v>Résineux</v>
      </c>
      <c r="BU360" s="298">
        <f t="shared" si="113"/>
        <v>0</v>
      </c>
      <c r="BV360" s="300">
        <f t="shared" si="114"/>
        <v>1</v>
      </c>
      <c r="BW360" s="321">
        <v>0</v>
      </c>
      <c r="BX360" s="298">
        <f t="shared" si="115"/>
        <v>0.43</v>
      </c>
      <c r="BY360">
        <f t="shared" si="116"/>
        <v>0</v>
      </c>
      <c r="BZ360" s="304">
        <f t="shared" si="117"/>
        <v>0</v>
      </c>
      <c r="CB360" s="299">
        <v>0.6</v>
      </c>
      <c r="CC360" s="299">
        <v>0.4</v>
      </c>
      <c r="CD360">
        <f t="shared" si="118"/>
        <v>0</v>
      </c>
      <c r="CE360">
        <f t="shared" si="119"/>
        <v>0</v>
      </c>
      <c r="CF360">
        <f t="shared" si="120"/>
        <v>0</v>
      </c>
      <c r="CG360">
        <f t="shared" si="121"/>
        <v>0</v>
      </c>
      <c r="CH360">
        <f t="shared" si="122"/>
        <v>0</v>
      </c>
      <c r="CI360">
        <f t="shared" si="123"/>
        <v>0</v>
      </c>
      <c r="CJ360">
        <f t="shared" si="124"/>
        <v>0</v>
      </c>
      <c r="CK360">
        <f t="shared" si="125"/>
        <v>0</v>
      </c>
      <c r="CL360">
        <f t="shared" si="126"/>
        <v>0</v>
      </c>
      <c r="CM360">
        <f t="shared" si="128"/>
        <v>0</v>
      </c>
      <c r="CN360">
        <f t="shared" si="127"/>
        <v>0</v>
      </c>
      <c r="CO360">
        <f t="shared" si="111"/>
        <v>0</v>
      </c>
    </row>
    <row r="361" spans="1:93" s="12" customFormat="1" ht="14.65" customHeight="1" x14ac:dyDescent="0.25">
      <c r="A361" s="4">
        <v>2021</v>
      </c>
      <c r="B361" s="4"/>
      <c r="C361" s="4" t="s">
        <v>64</v>
      </c>
      <c r="D361" s="4" t="s">
        <v>65</v>
      </c>
      <c r="E361" s="4"/>
      <c r="F361" s="4" t="s">
        <v>90</v>
      </c>
      <c r="G361" s="5" t="s">
        <v>15</v>
      </c>
      <c r="H361" s="5" t="s">
        <v>21</v>
      </c>
      <c r="I361" s="5" t="s">
        <v>147</v>
      </c>
      <c r="J361" s="5" t="s">
        <v>9</v>
      </c>
      <c r="K361" s="5">
        <v>28</v>
      </c>
      <c r="L361" s="5">
        <v>45</v>
      </c>
      <c r="M361" s="5">
        <v>2500</v>
      </c>
      <c r="N361" s="5" t="s">
        <v>170</v>
      </c>
      <c r="O361" s="6" t="s">
        <v>148</v>
      </c>
      <c r="P361" s="6" t="s">
        <v>80</v>
      </c>
      <c r="Q361" s="6">
        <v>1997</v>
      </c>
      <c r="R361" s="6" t="s">
        <v>2</v>
      </c>
      <c r="S361" s="6">
        <v>21</v>
      </c>
      <c r="T361" s="6">
        <v>12.5</v>
      </c>
      <c r="U361" s="6">
        <v>2024</v>
      </c>
      <c r="V361" s="6">
        <v>28.8</v>
      </c>
      <c r="W361" s="6">
        <v>0</v>
      </c>
      <c r="X361" s="6">
        <v>1100</v>
      </c>
      <c r="Y361" s="6">
        <v>712</v>
      </c>
      <c r="Z361" s="6">
        <v>162</v>
      </c>
      <c r="AA361" s="6">
        <v>50</v>
      </c>
      <c r="AB361" s="6">
        <v>0</v>
      </c>
      <c r="AC361" s="7">
        <v>94</v>
      </c>
      <c r="AD361" s="7" t="s">
        <v>52</v>
      </c>
      <c r="AE361" s="7">
        <v>39.03</v>
      </c>
      <c r="AF361" s="7">
        <v>220</v>
      </c>
      <c r="AG361" s="7">
        <v>27.64</v>
      </c>
      <c r="AH361" s="7">
        <v>40</v>
      </c>
      <c r="AI361" s="7">
        <v>43.92</v>
      </c>
      <c r="AJ361" s="9">
        <v>465.36777928514499</v>
      </c>
      <c r="AK361" s="9">
        <v>467.54048616917203</v>
      </c>
      <c r="AL361" s="9">
        <v>503.85353430303297</v>
      </c>
      <c r="AM361" s="9">
        <v>72.869517188376804</v>
      </c>
      <c r="AN361" s="9">
        <v>0.77520762966358303</v>
      </c>
      <c r="AO361" s="9">
        <v>0.207728428710581</v>
      </c>
      <c r="AP361" s="9">
        <v>1021.80318812282</v>
      </c>
      <c r="AQ361" s="9">
        <v>10.870246682157701</v>
      </c>
      <c r="AR361" s="9">
        <v>5.7505353813789997</v>
      </c>
      <c r="AS361" s="73" t="s">
        <v>169</v>
      </c>
      <c r="AT361" s="8"/>
      <c r="AU361" s="10" t="s">
        <v>169</v>
      </c>
      <c r="AV361" s="10">
        <v>0</v>
      </c>
      <c r="AW361" s="8"/>
      <c r="AX361" s="74" t="s">
        <v>169</v>
      </c>
      <c r="AY361" s="74"/>
      <c r="AZ361" s="74"/>
      <c r="BA361" s="74"/>
      <c r="BB361" s="8"/>
      <c r="BC361" s="8"/>
      <c r="BD361" s="8"/>
      <c r="BE361" s="8"/>
      <c r="BF361" s="12">
        <v>0.44</v>
      </c>
      <c r="BG361" s="13">
        <v>386.11975845422467</v>
      </c>
      <c r="BH361" s="96" t="str">
        <f>+VLOOKUP(G361,Liste!$A$7:$G$50,3,FALSE)</f>
        <v>Pin sylvestre</v>
      </c>
      <c r="BI361" s="96" t="str">
        <f>+VLOOKUP(H361,Liste!$B$7:$G$50,5,FALSE)</f>
        <v>GS Pineraies des plaines du Centre et du Nord Ouest</v>
      </c>
      <c r="BJ361" s="135">
        <f t="shared" si="110"/>
        <v>94</v>
      </c>
      <c r="BK361" s="135" t="str">
        <f t="shared" si="112"/>
        <v>Pin sylvestre_F1_Eclaircie tardive_GS Pineraies des plaines du Centre et du Nord Ouest_94_</v>
      </c>
      <c r="BL361" s="322"/>
      <c r="BM361" s="13">
        <v>94.891645463582336</v>
      </c>
      <c r="BN361" s="13">
        <v>481.011403917807</v>
      </c>
      <c r="BP361" s="13">
        <v>336.6929998</v>
      </c>
      <c r="BQ361" s="13">
        <v>5.28788302982184</v>
      </c>
      <c r="BT361" s="298" t="str">
        <f>+VLOOKUP(G361,Liste!$A$7:$H$50,8,FALSE)</f>
        <v>Résineux</v>
      </c>
      <c r="BU361" s="298">
        <f t="shared" si="113"/>
        <v>0</v>
      </c>
      <c r="BV361" s="300">
        <f t="shared" si="114"/>
        <v>1</v>
      </c>
      <c r="BW361" s="321">
        <v>0</v>
      </c>
      <c r="BX361" s="298">
        <f t="shared" si="115"/>
        <v>0.43</v>
      </c>
      <c r="BY361">
        <f t="shared" si="116"/>
        <v>0</v>
      </c>
      <c r="BZ361" s="304">
        <f t="shared" si="117"/>
        <v>0</v>
      </c>
      <c r="CB361" s="299">
        <v>0.6</v>
      </c>
      <c r="CC361" s="299">
        <v>0.4</v>
      </c>
      <c r="CD361">
        <f t="shared" si="118"/>
        <v>0</v>
      </c>
      <c r="CE361">
        <f t="shared" si="119"/>
        <v>0</v>
      </c>
      <c r="CF361">
        <f t="shared" si="120"/>
        <v>0</v>
      </c>
      <c r="CG361">
        <f t="shared" si="121"/>
        <v>0</v>
      </c>
      <c r="CH361">
        <f t="shared" si="122"/>
        <v>0</v>
      </c>
      <c r="CI361">
        <f t="shared" si="123"/>
        <v>0</v>
      </c>
      <c r="CJ361">
        <f t="shared" si="124"/>
        <v>0</v>
      </c>
      <c r="CK361">
        <f t="shared" si="125"/>
        <v>0</v>
      </c>
      <c r="CL361">
        <f t="shared" si="126"/>
        <v>0</v>
      </c>
      <c r="CM361">
        <f t="shared" si="128"/>
        <v>0</v>
      </c>
      <c r="CN361">
        <f t="shared" si="127"/>
        <v>0</v>
      </c>
      <c r="CO361">
        <f t="shared" si="111"/>
        <v>0</v>
      </c>
    </row>
    <row r="362" spans="1:93" s="12" customFormat="1" ht="14.65" customHeight="1" x14ac:dyDescent="0.25">
      <c r="A362" s="4">
        <v>2021</v>
      </c>
      <c r="B362" s="4"/>
      <c r="C362" s="4" t="s">
        <v>64</v>
      </c>
      <c r="D362" s="4" t="s">
        <v>65</v>
      </c>
      <c r="E362" s="4"/>
      <c r="F362" s="4" t="s">
        <v>90</v>
      </c>
      <c r="G362" s="5" t="s">
        <v>15</v>
      </c>
      <c r="H362" s="5" t="s">
        <v>21</v>
      </c>
      <c r="I362" s="5" t="s">
        <v>147</v>
      </c>
      <c r="J362" s="5" t="s">
        <v>9</v>
      </c>
      <c r="K362" s="5">
        <v>28</v>
      </c>
      <c r="L362" s="5">
        <v>45</v>
      </c>
      <c r="M362" s="5">
        <v>2500</v>
      </c>
      <c r="N362" s="5" t="s">
        <v>170</v>
      </c>
      <c r="O362" s="6" t="s">
        <v>148</v>
      </c>
      <c r="P362" s="6" t="s">
        <v>80</v>
      </c>
      <c r="Q362" s="6">
        <v>1997</v>
      </c>
      <c r="R362" s="6" t="s">
        <v>2</v>
      </c>
      <c r="S362" s="6">
        <v>21</v>
      </c>
      <c r="T362" s="6">
        <v>12.5</v>
      </c>
      <c r="U362" s="6">
        <v>2024</v>
      </c>
      <c r="V362" s="6">
        <v>28.8</v>
      </c>
      <c r="W362" s="6">
        <v>0</v>
      </c>
      <c r="X362" s="6">
        <v>1100</v>
      </c>
      <c r="Y362" s="6">
        <v>712</v>
      </c>
      <c r="Z362" s="6">
        <v>162</v>
      </c>
      <c r="AA362" s="6">
        <v>50</v>
      </c>
      <c r="AB362" s="6">
        <v>0</v>
      </c>
      <c r="AC362" s="7">
        <v>95</v>
      </c>
      <c r="AD362" s="7" t="s">
        <v>52</v>
      </c>
      <c r="AE362" s="7">
        <v>39.200000000000003</v>
      </c>
      <c r="AF362" s="7">
        <v>220</v>
      </c>
      <c r="AG362" s="7">
        <v>27.85</v>
      </c>
      <c r="AH362" s="7">
        <v>40.15</v>
      </c>
      <c r="AI362" s="7">
        <v>44.1</v>
      </c>
      <c r="AJ362" s="9">
        <v>470.89623181472001</v>
      </c>
      <c r="AK362" s="9">
        <v>473.08703582449198</v>
      </c>
      <c r="AL362" s="9">
        <v>509.60406968441202</v>
      </c>
      <c r="AM362" s="9">
        <v>73.077245617087399</v>
      </c>
      <c r="AN362" s="9">
        <v>0.76923416439039305</v>
      </c>
      <c r="AO362" s="9">
        <v>0.205349332009931</v>
      </c>
      <c r="AP362" s="9">
        <v>1027.5537235042</v>
      </c>
      <c r="AQ362" s="9">
        <v>10.816354984254801</v>
      </c>
      <c r="AR362" s="9">
        <v>5.7534781865663298</v>
      </c>
      <c r="AS362" s="73" t="s">
        <v>169</v>
      </c>
      <c r="AT362" s="8"/>
      <c r="AU362" s="10" t="s">
        <v>169</v>
      </c>
      <c r="AV362" s="10">
        <v>0</v>
      </c>
      <c r="AW362" s="8"/>
      <c r="AX362" s="74" t="s">
        <v>169</v>
      </c>
      <c r="AY362" s="74"/>
      <c r="AZ362" s="74"/>
      <c r="BA362" s="74"/>
      <c r="BB362" s="8"/>
      <c r="BC362" s="8"/>
      <c r="BD362" s="8"/>
      <c r="BE362" s="8"/>
      <c r="BF362" s="12">
        <v>0.44</v>
      </c>
      <c r="BG362" s="13">
        <v>390.52658540148735</v>
      </c>
      <c r="BH362" s="96" t="str">
        <f>+VLOOKUP(G362,Liste!$A$7:$G$50,3,FALSE)</f>
        <v>Pin sylvestre</v>
      </c>
      <c r="BI362" s="96" t="str">
        <f>+VLOOKUP(H362,Liste!$B$7:$G$50,5,FALSE)</f>
        <v>GS Pineraies des plaines du Centre et du Nord Ouest</v>
      </c>
      <c r="BJ362" s="135">
        <f t="shared" si="110"/>
        <v>95</v>
      </c>
      <c r="BK362" s="135" t="str">
        <f t="shared" si="112"/>
        <v>Pin sylvestre_F1_Eclaircie tardive_GS Pineraies des plaines du Centre et du Nord Ouest_95_</v>
      </c>
      <c r="BL362" s="322"/>
      <c r="BM362" s="13">
        <v>95.847958995529666</v>
      </c>
      <c r="BN362" s="13">
        <v>486.37454439701702</v>
      </c>
      <c r="BP362" s="13">
        <v>336.6929998</v>
      </c>
      <c r="BQ362" s="13">
        <v>5.29001488724316</v>
      </c>
      <c r="BT362" s="298" t="str">
        <f>+VLOOKUP(G362,Liste!$A$7:$H$50,8,FALSE)</f>
        <v>Résineux</v>
      </c>
      <c r="BU362" s="298">
        <f t="shared" si="113"/>
        <v>0</v>
      </c>
      <c r="BV362" s="300">
        <f t="shared" si="114"/>
        <v>1</v>
      </c>
      <c r="BW362" s="321">
        <v>0</v>
      </c>
      <c r="BX362" s="298">
        <f t="shared" si="115"/>
        <v>0.43</v>
      </c>
      <c r="BY362">
        <f t="shared" si="116"/>
        <v>0</v>
      </c>
      <c r="BZ362" s="304">
        <f t="shared" si="117"/>
        <v>0</v>
      </c>
      <c r="CB362" s="299">
        <v>0.6</v>
      </c>
      <c r="CC362" s="299">
        <v>0.4</v>
      </c>
      <c r="CD362">
        <f t="shared" si="118"/>
        <v>0</v>
      </c>
      <c r="CE362">
        <f t="shared" si="119"/>
        <v>0</v>
      </c>
      <c r="CF362">
        <f t="shared" si="120"/>
        <v>0</v>
      </c>
      <c r="CG362">
        <f t="shared" si="121"/>
        <v>0</v>
      </c>
      <c r="CH362">
        <f t="shared" si="122"/>
        <v>0</v>
      </c>
      <c r="CI362">
        <f t="shared" si="123"/>
        <v>0</v>
      </c>
      <c r="CJ362">
        <f t="shared" si="124"/>
        <v>0</v>
      </c>
      <c r="CK362">
        <f t="shared" si="125"/>
        <v>0</v>
      </c>
      <c r="CL362">
        <f t="shared" si="126"/>
        <v>0</v>
      </c>
      <c r="CM362">
        <f t="shared" si="128"/>
        <v>0</v>
      </c>
      <c r="CN362">
        <f t="shared" si="127"/>
        <v>0</v>
      </c>
      <c r="CO362">
        <f t="shared" si="111"/>
        <v>0</v>
      </c>
    </row>
    <row r="363" spans="1:93" s="12" customFormat="1" ht="14.65" customHeight="1" x14ac:dyDescent="0.25">
      <c r="A363" s="4">
        <v>2021</v>
      </c>
      <c r="B363" s="4"/>
      <c r="C363" s="4" t="s">
        <v>64</v>
      </c>
      <c r="D363" s="4" t="s">
        <v>65</v>
      </c>
      <c r="E363" s="4"/>
      <c r="F363" s="4" t="s">
        <v>90</v>
      </c>
      <c r="G363" s="5" t="s">
        <v>15</v>
      </c>
      <c r="H363" s="5" t="s">
        <v>21</v>
      </c>
      <c r="I363" s="5" t="s">
        <v>147</v>
      </c>
      <c r="J363" s="5" t="s">
        <v>9</v>
      </c>
      <c r="K363" s="5">
        <v>28</v>
      </c>
      <c r="L363" s="5">
        <v>45</v>
      </c>
      <c r="M363" s="5">
        <v>2500</v>
      </c>
      <c r="N363" s="5" t="s">
        <v>170</v>
      </c>
      <c r="O363" s="6" t="s">
        <v>148</v>
      </c>
      <c r="P363" s="6" t="s">
        <v>80</v>
      </c>
      <c r="Q363" s="6">
        <v>1997</v>
      </c>
      <c r="R363" s="6" t="s">
        <v>2</v>
      </c>
      <c r="S363" s="6">
        <v>21</v>
      </c>
      <c r="T363" s="6">
        <v>12.5</v>
      </c>
      <c r="U363" s="6">
        <v>2024</v>
      </c>
      <c r="V363" s="6">
        <v>28.8</v>
      </c>
      <c r="W363" s="6">
        <v>0</v>
      </c>
      <c r="X363" s="6">
        <v>1100</v>
      </c>
      <c r="Y363" s="6">
        <v>712</v>
      </c>
      <c r="Z363" s="6">
        <v>162</v>
      </c>
      <c r="AA363" s="6">
        <v>50</v>
      </c>
      <c r="AB363" s="6">
        <v>0</v>
      </c>
      <c r="AC363" s="7">
        <v>96</v>
      </c>
      <c r="AD363" s="7" t="s">
        <v>52</v>
      </c>
      <c r="AE363" s="7">
        <v>39.369999999999997</v>
      </c>
      <c r="AF363" s="7">
        <v>220</v>
      </c>
      <c r="AG363" s="7">
        <v>28.05</v>
      </c>
      <c r="AH363" s="7">
        <v>40.29</v>
      </c>
      <c r="AI363" s="7">
        <v>44.27</v>
      </c>
      <c r="AJ363" s="9">
        <v>476.43535512294602</v>
      </c>
      <c r="AK363" s="9">
        <v>478.64356336005199</v>
      </c>
      <c r="AL363" s="9">
        <v>515.35754787097903</v>
      </c>
      <c r="AM363" s="9">
        <v>73.282594949097302</v>
      </c>
      <c r="AN363" s="9">
        <v>0.76336036405309704</v>
      </c>
      <c r="AO363" s="9">
        <v>0.20218116933647001</v>
      </c>
      <c r="AP363" s="9">
        <v>1033.3072016907699</v>
      </c>
      <c r="AQ363" s="9">
        <v>10.7636166842788</v>
      </c>
      <c r="AR363" s="9">
        <v>5.5678175139796604</v>
      </c>
      <c r="AS363" s="73" t="s">
        <v>169</v>
      </c>
      <c r="AT363" s="8"/>
      <c r="AU363" s="10" t="s">
        <v>169</v>
      </c>
      <c r="AV363" s="10">
        <v>0</v>
      </c>
      <c r="AW363" s="8"/>
      <c r="AX363" s="74" t="s">
        <v>169</v>
      </c>
      <c r="AY363" s="74"/>
      <c r="AZ363" s="74"/>
      <c r="BA363" s="74"/>
      <c r="BB363" s="8"/>
      <c r="BC363" s="8"/>
      <c r="BD363" s="8"/>
      <c r="BE363" s="8"/>
      <c r="BF363" s="12">
        <v>0.44</v>
      </c>
      <c r="BG363" s="13">
        <v>394.93566751846168</v>
      </c>
      <c r="BH363" s="96" t="str">
        <f>+VLOOKUP(G363,Liste!$A$7:$G$50,3,FALSE)</f>
        <v>Pin sylvestre</v>
      </c>
      <c r="BI363" s="96" t="str">
        <f>+VLOOKUP(H363,Liste!$B$7:$G$50,5,FALSE)</f>
        <v>GS Pineraies des plaines du Centre et du Nord Ouest</v>
      </c>
      <c r="BJ363" s="135">
        <f t="shared" si="110"/>
        <v>96</v>
      </c>
      <c r="BK363" s="135" t="str">
        <f t="shared" si="112"/>
        <v>Pin sylvestre_F1_Eclaircie tardive_GS Pineraies des plaines du Centre et du Nord Ouest_96_</v>
      </c>
      <c r="BL363" s="322"/>
      <c r="BM363" s="13">
        <v>96.803505638155343</v>
      </c>
      <c r="BN363" s="13">
        <v>491.73917315661703</v>
      </c>
      <c r="BP363" s="13">
        <v>336.6929998</v>
      </c>
      <c r="BQ363" s="13">
        <v>5.1187663751237604</v>
      </c>
      <c r="BT363" s="298" t="str">
        <f>+VLOOKUP(G363,Liste!$A$7:$H$50,8,FALSE)</f>
        <v>Résineux</v>
      </c>
      <c r="BU363" s="298">
        <f t="shared" si="113"/>
        <v>0</v>
      </c>
      <c r="BV363" s="300">
        <f t="shared" si="114"/>
        <v>1</v>
      </c>
      <c r="BW363" s="321">
        <v>0</v>
      </c>
      <c r="BX363" s="298">
        <f t="shared" si="115"/>
        <v>0.43</v>
      </c>
      <c r="BY363">
        <f t="shared" si="116"/>
        <v>0</v>
      </c>
      <c r="BZ363" s="304">
        <f t="shared" si="117"/>
        <v>0</v>
      </c>
      <c r="CB363" s="299">
        <v>0.6</v>
      </c>
      <c r="CC363" s="299">
        <v>0.4</v>
      </c>
      <c r="CD363">
        <f t="shared" si="118"/>
        <v>0</v>
      </c>
      <c r="CE363">
        <f t="shared" si="119"/>
        <v>0</v>
      </c>
      <c r="CF363">
        <f t="shared" si="120"/>
        <v>0</v>
      </c>
      <c r="CG363">
        <f t="shared" si="121"/>
        <v>0</v>
      </c>
      <c r="CH363">
        <f t="shared" si="122"/>
        <v>0</v>
      </c>
      <c r="CI363">
        <f t="shared" si="123"/>
        <v>0</v>
      </c>
      <c r="CJ363">
        <f t="shared" si="124"/>
        <v>0</v>
      </c>
      <c r="CK363">
        <f t="shared" si="125"/>
        <v>0</v>
      </c>
      <c r="CL363">
        <f t="shared" si="126"/>
        <v>0</v>
      </c>
      <c r="CM363">
        <f t="shared" si="128"/>
        <v>0</v>
      </c>
      <c r="CN363">
        <f t="shared" si="127"/>
        <v>0</v>
      </c>
      <c r="CO363">
        <f t="shared" si="111"/>
        <v>0</v>
      </c>
    </row>
    <row r="364" spans="1:93" s="12" customFormat="1" ht="14.65" customHeight="1" x14ac:dyDescent="0.25">
      <c r="A364" s="4">
        <v>2021</v>
      </c>
      <c r="B364" s="4"/>
      <c r="C364" s="4" t="s">
        <v>64</v>
      </c>
      <c r="D364" s="4" t="s">
        <v>65</v>
      </c>
      <c r="E364" s="4"/>
      <c r="F364" s="4" t="s">
        <v>90</v>
      </c>
      <c r="G364" s="5" t="s">
        <v>15</v>
      </c>
      <c r="H364" s="5" t="s">
        <v>21</v>
      </c>
      <c r="I364" s="5" t="s">
        <v>147</v>
      </c>
      <c r="J364" s="5" t="s">
        <v>9</v>
      </c>
      <c r="K364" s="5">
        <v>28</v>
      </c>
      <c r="L364" s="5">
        <v>45</v>
      </c>
      <c r="M364" s="5">
        <v>2500</v>
      </c>
      <c r="N364" s="5" t="s">
        <v>170</v>
      </c>
      <c r="O364" s="6" t="s">
        <v>148</v>
      </c>
      <c r="P364" s="6" t="s">
        <v>80</v>
      </c>
      <c r="Q364" s="6">
        <v>1997</v>
      </c>
      <c r="R364" s="6" t="s">
        <v>2</v>
      </c>
      <c r="S364" s="6">
        <v>21</v>
      </c>
      <c r="T364" s="6">
        <v>12.5</v>
      </c>
      <c r="U364" s="6">
        <v>2024</v>
      </c>
      <c r="V364" s="6">
        <v>28.8</v>
      </c>
      <c r="W364" s="6">
        <v>0</v>
      </c>
      <c r="X364" s="6">
        <v>1100</v>
      </c>
      <c r="Y364" s="6">
        <v>712</v>
      </c>
      <c r="Z364" s="6">
        <v>162</v>
      </c>
      <c r="AA364" s="6">
        <v>50</v>
      </c>
      <c r="AB364" s="6">
        <v>0</v>
      </c>
      <c r="AC364" s="7">
        <v>97</v>
      </c>
      <c r="AD364" s="7" t="s">
        <v>52</v>
      </c>
      <c r="AE364" s="7">
        <v>39.54</v>
      </c>
      <c r="AF364" s="7">
        <v>220</v>
      </c>
      <c r="AG364" s="7">
        <v>28.26</v>
      </c>
      <c r="AH364" s="7">
        <v>40.44</v>
      </c>
      <c r="AI364" s="7">
        <v>44.43</v>
      </c>
      <c r="AJ364" s="9">
        <v>481.78242724045202</v>
      </c>
      <c r="AK364" s="9">
        <v>484.008841099189</v>
      </c>
      <c r="AL364" s="9">
        <v>520.92536538495801</v>
      </c>
      <c r="AM364" s="9">
        <v>73.4847761184338</v>
      </c>
      <c r="AN364" s="9">
        <v>0.75757501153024498</v>
      </c>
      <c r="AO364" s="9">
        <v>0.20069379014861999</v>
      </c>
      <c r="AP364" s="9">
        <v>1038.8750192047501</v>
      </c>
      <c r="AQ364" s="9">
        <v>10.7100517443789</v>
      </c>
      <c r="AR364" s="9">
        <v>5.6450301173131301</v>
      </c>
      <c r="AS364" s="73" t="s">
        <v>169</v>
      </c>
      <c r="AT364" s="8"/>
      <c r="AU364" s="10" t="s">
        <v>169</v>
      </c>
      <c r="AV364" s="10">
        <v>0</v>
      </c>
      <c r="AW364" s="8"/>
      <c r="AX364" s="74" t="s">
        <v>169</v>
      </c>
      <c r="AY364" s="74"/>
      <c r="AZ364" s="74"/>
      <c r="BA364" s="74"/>
      <c r="BB364" s="8"/>
      <c r="BC364" s="8"/>
      <c r="BD364" s="8"/>
      <c r="BE364" s="8"/>
      <c r="BF364" s="12">
        <v>0.44</v>
      </c>
      <c r="BG364" s="13">
        <v>399.20247167333872</v>
      </c>
      <c r="BH364" s="96" t="str">
        <f>+VLOOKUP(G364,Liste!$A$7:$G$50,3,FALSE)</f>
        <v>Pin sylvestre</v>
      </c>
      <c r="BI364" s="96" t="str">
        <f>+VLOOKUP(H364,Liste!$B$7:$G$50,5,FALSE)</f>
        <v>GS Pineraies des plaines du Centre et du Nord Ouest</v>
      </c>
      <c r="BJ364" s="135">
        <f t="shared" si="110"/>
        <v>97</v>
      </c>
      <c r="BK364" s="135" t="str">
        <f t="shared" si="112"/>
        <v>Pin sylvestre_F1_Eclaircie tardive_GS Pineraies des plaines du Centre et du Nord Ouest_97_</v>
      </c>
      <c r="BL364" s="322"/>
      <c r="BM364" s="13">
        <v>97.727035780116296</v>
      </c>
      <c r="BN364" s="13">
        <v>496.92950745345502</v>
      </c>
      <c r="BP364" s="13">
        <v>336.6929998</v>
      </c>
      <c r="BQ364" s="13">
        <v>5.1892092743384</v>
      </c>
      <c r="BT364" s="298" t="str">
        <f>+VLOOKUP(G364,Liste!$A$7:$H$50,8,FALSE)</f>
        <v>Résineux</v>
      </c>
      <c r="BU364" s="298">
        <f t="shared" si="113"/>
        <v>0</v>
      </c>
      <c r="BV364" s="300">
        <f t="shared" si="114"/>
        <v>1</v>
      </c>
      <c r="BW364" s="321">
        <v>0</v>
      </c>
      <c r="BX364" s="298">
        <f t="shared" si="115"/>
        <v>0.43</v>
      </c>
      <c r="BY364">
        <f t="shared" si="116"/>
        <v>0</v>
      </c>
      <c r="BZ364" s="304">
        <f t="shared" si="117"/>
        <v>0</v>
      </c>
      <c r="CB364" s="299">
        <v>0.6</v>
      </c>
      <c r="CC364" s="299">
        <v>0.4</v>
      </c>
      <c r="CD364">
        <f t="shared" si="118"/>
        <v>0</v>
      </c>
      <c r="CE364">
        <f t="shared" si="119"/>
        <v>0</v>
      </c>
      <c r="CF364">
        <f t="shared" si="120"/>
        <v>0</v>
      </c>
      <c r="CG364">
        <f t="shared" si="121"/>
        <v>0</v>
      </c>
      <c r="CH364">
        <f t="shared" si="122"/>
        <v>0</v>
      </c>
      <c r="CI364">
        <f t="shared" si="123"/>
        <v>0</v>
      </c>
      <c r="CJ364">
        <f t="shared" si="124"/>
        <v>0</v>
      </c>
      <c r="CK364">
        <f t="shared" si="125"/>
        <v>0</v>
      </c>
      <c r="CL364">
        <f t="shared" si="126"/>
        <v>0</v>
      </c>
      <c r="CM364">
        <f t="shared" si="128"/>
        <v>0</v>
      </c>
      <c r="CN364">
        <f t="shared" si="127"/>
        <v>0</v>
      </c>
      <c r="CO364">
        <f t="shared" si="111"/>
        <v>0</v>
      </c>
    </row>
    <row r="365" spans="1:93" s="12" customFormat="1" ht="14.65" customHeight="1" x14ac:dyDescent="0.25">
      <c r="A365" s="4">
        <v>2021</v>
      </c>
      <c r="B365" s="4"/>
      <c r="C365" s="4" t="s">
        <v>64</v>
      </c>
      <c r="D365" s="4" t="s">
        <v>65</v>
      </c>
      <c r="E365" s="4"/>
      <c r="F365" s="4" t="s">
        <v>90</v>
      </c>
      <c r="G365" s="5" t="s">
        <v>15</v>
      </c>
      <c r="H365" s="5" t="s">
        <v>21</v>
      </c>
      <c r="I365" s="5" t="s">
        <v>147</v>
      </c>
      <c r="J365" s="5" t="s">
        <v>9</v>
      </c>
      <c r="K365" s="5">
        <v>28</v>
      </c>
      <c r="L365" s="5">
        <v>45</v>
      </c>
      <c r="M365" s="5">
        <v>2500</v>
      </c>
      <c r="N365" s="5" t="s">
        <v>170</v>
      </c>
      <c r="O365" s="6" t="s">
        <v>148</v>
      </c>
      <c r="P365" s="6" t="s">
        <v>80</v>
      </c>
      <c r="Q365" s="6">
        <v>1997</v>
      </c>
      <c r="R365" s="6" t="s">
        <v>2</v>
      </c>
      <c r="S365" s="6">
        <v>21</v>
      </c>
      <c r="T365" s="6">
        <v>12.5</v>
      </c>
      <c r="U365" s="6">
        <v>2024</v>
      </c>
      <c r="V365" s="6">
        <v>28.8</v>
      </c>
      <c r="W365" s="6">
        <v>0</v>
      </c>
      <c r="X365" s="6">
        <v>1100</v>
      </c>
      <c r="Y365" s="6">
        <v>712</v>
      </c>
      <c r="Z365" s="6">
        <v>162</v>
      </c>
      <c r="AA365" s="6">
        <v>50</v>
      </c>
      <c r="AB365" s="6">
        <v>0</v>
      </c>
      <c r="AC365" s="7">
        <v>98</v>
      </c>
      <c r="AD365" s="7" t="s">
        <v>52</v>
      </c>
      <c r="AE365" s="7">
        <v>39.700000000000003</v>
      </c>
      <c r="AF365" s="7">
        <v>220</v>
      </c>
      <c r="AG365" s="7">
        <v>28.46</v>
      </c>
      <c r="AH365" s="7">
        <v>40.58</v>
      </c>
      <c r="AI365" s="7">
        <v>44.6</v>
      </c>
      <c r="AJ365" s="9">
        <v>487.21812248007302</v>
      </c>
      <c r="AK365" s="9">
        <v>489.46162338346801</v>
      </c>
      <c r="AL365" s="9">
        <v>526.57039550227205</v>
      </c>
      <c r="AM365" s="9">
        <v>73.685469908582405</v>
      </c>
      <c r="AN365" s="9">
        <v>0.75189255008757605</v>
      </c>
      <c r="AO365" s="9">
        <v>0.19735560448074799</v>
      </c>
      <c r="AP365" s="9">
        <v>1044.52004932206</v>
      </c>
      <c r="AQ365" s="9">
        <v>10.658367850225099</v>
      </c>
      <c r="AR365" s="9">
        <v>5.5241968300019799</v>
      </c>
      <c r="AS365" s="73" t="s">
        <v>169</v>
      </c>
      <c r="AT365" s="8"/>
      <c r="AU365" s="10" t="s">
        <v>169</v>
      </c>
      <c r="AV365" s="10">
        <v>0</v>
      </c>
      <c r="AW365" s="8"/>
      <c r="AX365" s="74" t="s">
        <v>169</v>
      </c>
      <c r="AY365" s="74"/>
      <c r="AZ365" s="74"/>
      <c r="BA365" s="74"/>
      <c r="BB365" s="8"/>
      <c r="BC365" s="8"/>
      <c r="BD365" s="8"/>
      <c r="BE365" s="8"/>
      <c r="BF365" s="12">
        <v>0.44</v>
      </c>
      <c r="BG365" s="13">
        <v>403.52844641990833</v>
      </c>
      <c r="BH365" s="96" t="str">
        <f>+VLOOKUP(G365,Liste!$A$7:$G$50,3,FALSE)</f>
        <v>Pin sylvestre</v>
      </c>
      <c r="BI365" s="96" t="str">
        <f>+VLOOKUP(H365,Liste!$B$7:$G$50,5,FALSE)</f>
        <v>GS Pineraies des plaines du Centre et du Nord Ouest</v>
      </c>
      <c r="BJ365" s="135">
        <f t="shared" si="110"/>
        <v>98</v>
      </c>
      <c r="BK365" s="135" t="str">
        <f t="shared" si="112"/>
        <v>Pin sylvestre_F1_Eclaircie tardive_GS Pineraies des plaines du Centre et du Nord Ouest_98_</v>
      </c>
      <c r="BL365" s="322"/>
      <c r="BM365" s="13">
        <v>98.662200900777691</v>
      </c>
      <c r="BN365" s="13">
        <v>502.19064732068603</v>
      </c>
      <c r="BP365" s="13">
        <v>336.6929998</v>
      </c>
      <c r="BQ365" s="13">
        <v>5.0776073588266399</v>
      </c>
      <c r="BT365" s="298" t="str">
        <f>+VLOOKUP(G365,Liste!$A$7:$H$50,8,FALSE)</f>
        <v>Résineux</v>
      </c>
      <c r="BU365" s="298">
        <f t="shared" si="113"/>
        <v>0</v>
      </c>
      <c r="BV365" s="300">
        <f t="shared" si="114"/>
        <v>1</v>
      </c>
      <c r="BW365" s="321">
        <v>0</v>
      </c>
      <c r="BX365" s="298">
        <f t="shared" si="115"/>
        <v>0.43</v>
      </c>
      <c r="BY365">
        <f t="shared" si="116"/>
        <v>0</v>
      </c>
      <c r="BZ365" s="304">
        <f t="shared" si="117"/>
        <v>0</v>
      </c>
      <c r="CB365" s="299">
        <v>0.6</v>
      </c>
      <c r="CC365" s="299">
        <v>0.4</v>
      </c>
      <c r="CD365">
        <f t="shared" si="118"/>
        <v>0</v>
      </c>
      <c r="CE365">
        <f t="shared" si="119"/>
        <v>0</v>
      </c>
      <c r="CF365">
        <f t="shared" si="120"/>
        <v>0</v>
      </c>
      <c r="CG365">
        <f t="shared" si="121"/>
        <v>0</v>
      </c>
      <c r="CH365">
        <f t="shared" si="122"/>
        <v>0</v>
      </c>
      <c r="CI365">
        <f t="shared" si="123"/>
        <v>0</v>
      </c>
      <c r="CJ365">
        <f t="shared" si="124"/>
        <v>0</v>
      </c>
      <c r="CK365">
        <f t="shared" si="125"/>
        <v>0</v>
      </c>
      <c r="CL365">
        <f t="shared" si="126"/>
        <v>0</v>
      </c>
      <c r="CM365">
        <f t="shared" si="128"/>
        <v>0</v>
      </c>
      <c r="CN365">
        <f t="shared" si="127"/>
        <v>0</v>
      </c>
      <c r="CO365">
        <f t="shared" si="111"/>
        <v>0</v>
      </c>
    </row>
    <row r="366" spans="1:93" s="12" customFormat="1" ht="14.65" customHeight="1" x14ac:dyDescent="0.25">
      <c r="A366" s="4">
        <v>2021</v>
      </c>
      <c r="B366" s="4"/>
      <c r="C366" s="4" t="s">
        <v>64</v>
      </c>
      <c r="D366" s="4" t="s">
        <v>65</v>
      </c>
      <c r="E366" s="4"/>
      <c r="F366" s="4" t="s">
        <v>90</v>
      </c>
      <c r="G366" s="5" t="s">
        <v>15</v>
      </c>
      <c r="H366" s="5" t="s">
        <v>21</v>
      </c>
      <c r="I366" s="5" t="s">
        <v>147</v>
      </c>
      <c r="J366" s="5" t="s">
        <v>9</v>
      </c>
      <c r="K366" s="5">
        <v>28</v>
      </c>
      <c r="L366" s="5">
        <v>45</v>
      </c>
      <c r="M366" s="5">
        <v>2500</v>
      </c>
      <c r="N366" s="5" t="s">
        <v>170</v>
      </c>
      <c r="O366" s="6" t="s">
        <v>148</v>
      </c>
      <c r="P366" s="6" t="s">
        <v>80</v>
      </c>
      <c r="Q366" s="6">
        <v>1997</v>
      </c>
      <c r="R366" s="6" t="s">
        <v>2</v>
      </c>
      <c r="S366" s="6">
        <v>21</v>
      </c>
      <c r="T366" s="6">
        <v>12.5</v>
      </c>
      <c r="U366" s="6">
        <v>2024</v>
      </c>
      <c r="V366" s="6">
        <v>28.8</v>
      </c>
      <c r="W366" s="6">
        <v>0</v>
      </c>
      <c r="X366" s="6">
        <v>1100</v>
      </c>
      <c r="Y366" s="6">
        <v>712</v>
      </c>
      <c r="Z366" s="6">
        <v>162</v>
      </c>
      <c r="AA366" s="6">
        <v>50</v>
      </c>
      <c r="AB366" s="6">
        <v>0</v>
      </c>
      <c r="AC366" s="7">
        <v>99</v>
      </c>
      <c r="AD366" s="7" t="s">
        <v>52</v>
      </c>
      <c r="AE366" s="7">
        <v>39.86</v>
      </c>
      <c r="AF366" s="7">
        <v>220</v>
      </c>
      <c r="AG366" s="7">
        <v>28.65</v>
      </c>
      <c r="AH366" s="7">
        <v>40.72</v>
      </c>
      <c r="AI366" s="7">
        <v>44.76</v>
      </c>
      <c r="AJ366" s="9">
        <v>492.53298734724098</v>
      </c>
      <c r="AK366" s="9">
        <v>494.79371447455497</v>
      </c>
      <c r="AL366" s="9">
        <v>532.09459233227301</v>
      </c>
      <c r="AM366" s="9">
        <v>73.882825513063196</v>
      </c>
      <c r="AN366" s="9">
        <v>0.74629116679861796</v>
      </c>
      <c r="AO366" s="9">
        <v>0.19504785334927999</v>
      </c>
      <c r="AP366" s="9">
        <v>1050.0442461520599</v>
      </c>
      <c r="AQ366" s="9">
        <v>10.606507536889501</v>
      </c>
      <c r="AR366" s="9">
        <v>5.4966317928028703</v>
      </c>
      <c r="AS366" s="73" t="s">
        <v>169</v>
      </c>
      <c r="AT366" s="8"/>
      <c r="AU366" s="10" t="s">
        <v>169</v>
      </c>
      <c r="AV366" s="10">
        <v>0</v>
      </c>
      <c r="AW366" s="8"/>
      <c r="AX366" s="74" t="s">
        <v>169</v>
      </c>
      <c r="AY366" s="74"/>
      <c r="AZ366" s="74"/>
      <c r="BA366" s="74"/>
      <c r="BB366" s="8"/>
      <c r="BC366" s="8"/>
      <c r="BD366" s="8"/>
      <c r="BE366" s="8"/>
      <c r="BF366" s="12">
        <v>0.44</v>
      </c>
      <c r="BG366" s="13">
        <v>407.76182259063165</v>
      </c>
      <c r="BH366" s="96" t="str">
        <f>+VLOOKUP(G366,Liste!$A$7:$G$50,3,FALSE)</f>
        <v>Pin sylvestre</v>
      </c>
      <c r="BI366" s="96" t="str">
        <f>+VLOOKUP(H366,Liste!$B$7:$G$50,5,FALSE)</f>
        <v>GS Pineraies des plaines du Centre et du Nord Ouest</v>
      </c>
      <c r="BJ366" s="135">
        <f t="shared" si="110"/>
        <v>99</v>
      </c>
      <c r="BK366" s="135" t="str">
        <f t="shared" si="112"/>
        <v>Pin sylvestre_F1_Eclaircie tardive_GS Pineraies des plaines du Centre et du Nord Ouest_99_</v>
      </c>
      <c r="BL366" s="322"/>
      <c r="BM366" s="13">
        <v>99.57621941693435</v>
      </c>
      <c r="BN366" s="13">
        <v>507.338042007566</v>
      </c>
      <c r="BP366" s="13">
        <v>336.6929998</v>
      </c>
      <c r="BQ366" s="13">
        <v>5.0517577761641004</v>
      </c>
      <c r="BT366" s="298" t="str">
        <f>+VLOOKUP(G366,Liste!$A$7:$H$50,8,FALSE)</f>
        <v>Résineux</v>
      </c>
      <c r="BU366" s="298">
        <f t="shared" si="113"/>
        <v>0</v>
      </c>
      <c r="BV366" s="300">
        <f t="shared" si="114"/>
        <v>1</v>
      </c>
      <c r="BW366" s="321">
        <v>0</v>
      </c>
      <c r="BX366" s="298">
        <f t="shared" si="115"/>
        <v>0.43</v>
      </c>
      <c r="BY366">
        <f t="shared" si="116"/>
        <v>0</v>
      </c>
      <c r="BZ366" s="304">
        <f t="shared" si="117"/>
        <v>0</v>
      </c>
      <c r="CB366" s="299">
        <v>0.6</v>
      </c>
      <c r="CC366" s="299">
        <v>0.4</v>
      </c>
      <c r="CD366">
        <f t="shared" si="118"/>
        <v>0</v>
      </c>
      <c r="CE366">
        <f t="shared" si="119"/>
        <v>0</v>
      </c>
      <c r="CF366">
        <f t="shared" si="120"/>
        <v>0</v>
      </c>
      <c r="CG366">
        <f t="shared" si="121"/>
        <v>0</v>
      </c>
      <c r="CH366">
        <f t="shared" si="122"/>
        <v>0</v>
      </c>
      <c r="CI366">
        <f t="shared" si="123"/>
        <v>0</v>
      </c>
      <c r="CJ366">
        <f t="shared" si="124"/>
        <v>0</v>
      </c>
      <c r="CK366">
        <f t="shared" si="125"/>
        <v>0</v>
      </c>
      <c r="CL366">
        <f t="shared" si="126"/>
        <v>0</v>
      </c>
      <c r="CM366">
        <f t="shared" si="128"/>
        <v>0</v>
      </c>
      <c r="CN366">
        <f t="shared" si="127"/>
        <v>0</v>
      </c>
      <c r="CO366">
        <f t="shared" si="111"/>
        <v>0</v>
      </c>
    </row>
    <row r="367" spans="1:93" s="12" customFormat="1" ht="14.65" customHeight="1" x14ac:dyDescent="0.25">
      <c r="A367" s="4">
        <v>2021</v>
      </c>
      <c r="B367" s="4"/>
      <c r="C367" s="4" t="s">
        <v>64</v>
      </c>
      <c r="D367" s="4" t="s">
        <v>65</v>
      </c>
      <c r="E367" s="4"/>
      <c r="F367" s="4" t="s">
        <v>90</v>
      </c>
      <c r="G367" s="5" t="s">
        <v>15</v>
      </c>
      <c r="H367" s="5" t="s">
        <v>21</v>
      </c>
      <c r="I367" s="5" t="s">
        <v>147</v>
      </c>
      <c r="J367" s="5" t="s">
        <v>9</v>
      </c>
      <c r="K367" s="5">
        <v>28</v>
      </c>
      <c r="L367" s="5">
        <v>45</v>
      </c>
      <c r="M367" s="5">
        <v>2500</v>
      </c>
      <c r="N367" s="5" t="s">
        <v>170</v>
      </c>
      <c r="O367" s="6" t="s">
        <v>148</v>
      </c>
      <c r="P367" s="6" t="s">
        <v>80</v>
      </c>
      <c r="Q367" s="6">
        <v>1997</v>
      </c>
      <c r="R367" s="6" t="s">
        <v>2</v>
      </c>
      <c r="S367" s="6">
        <v>21</v>
      </c>
      <c r="T367" s="6">
        <v>12.5</v>
      </c>
      <c r="U367" s="6">
        <v>2024</v>
      </c>
      <c r="V367" s="6">
        <v>28.8</v>
      </c>
      <c r="W367" s="6">
        <v>0</v>
      </c>
      <c r="X367" s="6">
        <v>1100</v>
      </c>
      <c r="Y367" s="6">
        <v>712</v>
      </c>
      <c r="Z367" s="6">
        <v>162</v>
      </c>
      <c r="AA367" s="6">
        <v>50</v>
      </c>
      <c r="AB367" s="6">
        <v>0</v>
      </c>
      <c r="AC367" s="7">
        <v>100</v>
      </c>
      <c r="AD367" s="7" t="s">
        <v>52</v>
      </c>
      <c r="AE367" s="7">
        <v>40.020000000000003</v>
      </c>
      <c r="AF367" s="7">
        <v>220</v>
      </c>
      <c r="AG367" s="7">
        <v>28.85</v>
      </c>
      <c r="AH367" s="7">
        <v>40.86</v>
      </c>
      <c r="AI367" s="7">
        <v>44.92</v>
      </c>
      <c r="AJ367" s="9">
        <v>497.825215510894</v>
      </c>
      <c r="AK367" s="9">
        <v>500.102753195471</v>
      </c>
      <c r="AL367" s="9">
        <v>537.59122412507702</v>
      </c>
      <c r="AM367" s="9">
        <v>74.077873366412405</v>
      </c>
      <c r="AN367" s="9">
        <v>0.74077873366412395</v>
      </c>
      <c r="AO367" s="9">
        <v>0.19309001280754501</v>
      </c>
      <c r="AP367" s="9">
        <v>1055.5408779448701</v>
      </c>
      <c r="AQ367" s="9">
        <v>10.555408779448699</v>
      </c>
      <c r="AR367" s="9">
        <v>5.4651718720701901</v>
      </c>
      <c r="AS367" s="73" t="s">
        <v>169</v>
      </c>
      <c r="AT367" s="8"/>
      <c r="AU367" s="10" t="s">
        <v>169</v>
      </c>
      <c r="AV367" s="10">
        <v>0</v>
      </c>
      <c r="AW367" s="8"/>
      <c r="AX367" s="74" t="s">
        <v>169</v>
      </c>
      <c r="AY367" s="74"/>
      <c r="AZ367" s="74"/>
      <c r="BA367" s="74"/>
      <c r="BB367" s="8"/>
      <c r="BC367" s="8"/>
      <c r="BD367" s="8"/>
      <c r="BE367" s="8"/>
      <c r="BF367" s="12">
        <v>0.44</v>
      </c>
      <c r="BG367" s="13">
        <v>411.97407475451701</v>
      </c>
      <c r="BH367" s="96" t="str">
        <f>+VLOOKUP(G367,Liste!$A$7:$G$50,3,FALSE)</f>
        <v>Pin sylvestre</v>
      </c>
      <c r="BI367" s="96" t="str">
        <f>+VLOOKUP(H367,Liste!$B$7:$G$50,5,FALSE)</f>
        <v>GS Pineraies des plaines du Centre et du Nord Ouest</v>
      </c>
      <c r="BJ367" s="135">
        <f t="shared" si="110"/>
        <v>100</v>
      </c>
      <c r="BK367" s="135" t="str">
        <f t="shared" si="112"/>
        <v>Pin sylvestre_F1_Eclaircie tardive_GS Pineraies des plaines du Centre et du Nord Ouest_100_</v>
      </c>
      <c r="BL367" s="322"/>
      <c r="BM367" s="13">
        <v>100.48458141395804</v>
      </c>
      <c r="BN367" s="13">
        <v>512.45865616847504</v>
      </c>
      <c r="BP367" s="13">
        <v>336.6929998</v>
      </c>
      <c r="BQ367" s="13">
        <v>5.0223397331009201</v>
      </c>
      <c r="BT367" s="298" t="str">
        <f>+VLOOKUP(G367,Liste!$A$7:$H$50,8,FALSE)</f>
        <v>Résineux</v>
      </c>
      <c r="BU367" s="298">
        <f t="shared" si="113"/>
        <v>0</v>
      </c>
      <c r="BV367" s="300">
        <f t="shared" si="114"/>
        <v>1</v>
      </c>
      <c r="BW367" s="321">
        <v>0</v>
      </c>
      <c r="BX367" s="298">
        <f t="shared" si="115"/>
        <v>0.43</v>
      </c>
      <c r="BY367">
        <f t="shared" si="116"/>
        <v>0</v>
      </c>
      <c r="BZ367" s="304">
        <f t="shared" si="117"/>
        <v>0</v>
      </c>
      <c r="CB367" s="299">
        <v>0.6</v>
      </c>
      <c r="CC367" s="299">
        <v>0.4</v>
      </c>
      <c r="CD367">
        <f t="shared" si="118"/>
        <v>0</v>
      </c>
      <c r="CE367">
        <f t="shared" si="119"/>
        <v>0</v>
      </c>
      <c r="CF367">
        <f t="shared" si="120"/>
        <v>0</v>
      </c>
      <c r="CG367">
        <f t="shared" si="121"/>
        <v>0</v>
      </c>
      <c r="CH367">
        <f t="shared" si="122"/>
        <v>0</v>
      </c>
      <c r="CI367">
        <f t="shared" si="123"/>
        <v>0</v>
      </c>
      <c r="CJ367">
        <f t="shared" si="124"/>
        <v>0</v>
      </c>
      <c r="CK367">
        <f t="shared" si="125"/>
        <v>0</v>
      </c>
      <c r="CL367">
        <f t="shared" si="126"/>
        <v>0</v>
      </c>
      <c r="CM367">
        <f t="shared" si="128"/>
        <v>0</v>
      </c>
      <c r="CN367">
        <f t="shared" si="127"/>
        <v>0</v>
      </c>
      <c r="CO367">
        <f t="shared" si="111"/>
        <v>0</v>
      </c>
    </row>
    <row r="368" spans="1:93" s="12" customFormat="1" ht="14.65" customHeight="1" x14ac:dyDescent="0.25">
      <c r="A368" s="4">
        <v>2021</v>
      </c>
      <c r="B368" s="4"/>
      <c r="C368" s="4" t="s">
        <v>64</v>
      </c>
      <c r="D368" s="4" t="s">
        <v>65</v>
      </c>
      <c r="E368" s="4"/>
      <c r="F368" s="4" t="s">
        <v>90</v>
      </c>
      <c r="G368" s="5" t="s">
        <v>15</v>
      </c>
      <c r="H368" s="5" t="s">
        <v>21</v>
      </c>
      <c r="I368" s="5" t="s">
        <v>147</v>
      </c>
      <c r="J368" s="5" t="s">
        <v>9</v>
      </c>
      <c r="K368" s="5">
        <v>28</v>
      </c>
      <c r="L368" s="5">
        <v>45</v>
      </c>
      <c r="M368" s="5">
        <v>2500</v>
      </c>
      <c r="N368" s="5" t="s">
        <v>170</v>
      </c>
      <c r="O368" s="6" t="s">
        <v>148</v>
      </c>
      <c r="P368" s="6" t="s">
        <v>80</v>
      </c>
      <c r="Q368" s="6">
        <v>1997</v>
      </c>
      <c r="R368" s="6" t="s">
        <v>2</v>
      </c>
      <c r="S368" s="6">
        <v>21</v>
      </c>
      <c r="T368" s="6">
        <v>12.5</v>
      </c>
      <c r="U368" s="6">
        <v>2024</v>
      </c>
      <c r="V368" s="6">
        <v>28.8</v>
      </c>
      <c r="W368" s="6">
        <v>0</v>
      </c>
      <c r="X368" s="6">
        <v>1100</v>
      </c>
      <c r="Y368" s="6">
        <v>712</v>
      </c>
      <c r="Z368" s="6">
        <v>162</v>
      </c>
      <c r="AA368" s="6">
        <v>50</v>
      </c>
      <c r="AB368" s="6">
        <v>0</v>
      </c>
      <c r="AC368" s="7">
        <v>101</v>
      </c>
      <c r="AD368" s="7" t="s">
        <v>52</v>
      </c>
      <c r="AE368" s="7">
        <v>40.18</v>
      </c>
      <c r="AF368" s="7">
        <v>220</v>
      </c>
      <c r="AG368" s="7">
        <v>29.04</v>
      </c>
      <c r="AH368" s="7">
        <v>41</v>
      </c>
      <c r="AI368" s="7">
        <v>45.08</v>
      </c>
      <c r="AJ368" s="9">
        <v>503.08933333026101</v>
      </c>
      <c r="AK368" s="9">
        <v>505.38342193355697</v>
      </c>
      <c r="AL368" s="9">
        <v>543.05639599714698</v>
      </c>
      <c r="AM368" s="9">
        <v>74.270963379220007</v>
      </c>
      <c r="AN368" s="9">
        <v>0.73535607306158401</v>
      </c>
      <c r="AO368" s="9">
        <v>0.18084234891391299</v>
      </c>
      <c r="AP368" s="9">
        <v>1061.00604981694</v>
      </c>
      <c r="AQ368" s="9">
        <v>10.505010394227099</v>
      </c>
      <c r="AR368" s="9">
        <v>5.0044018435758097</v>
      </c>
      <c r="AS368" s="73" t="s">
        <v>169</v>
      </c>
      <c r="AT368" s="8"/>
      <c r="AU368" s="10" t="s">
        <v>169</v>
      </c>
      <c r="AV368" s="10">
        <v>0</v>
      </c>
      <c r="AW368" s="8"/>
      <c r="AX368" s="74" t="s">
        <v>169</v>
      </c>
      <c r="AY368" s="74"/>
      <c r="AZ368" s="74"/>
      <c r="BA368" s="74"/>
      <c r="BB368" s="8"/>
      <c r="BC368" s="8"/>
      <c r="BD368" s="8"/>
      <c r="BE368" s="8"/>
      <c r="BF368" s="12">
        <v>0.44</v>
      </c>
      <c r="BG368" s="13">
        <v>416.16221813248131</v>
      </c>
      <c r="BH368" s="96" t="str">
        <f>+VLOOKUP(G368,Liste!$A$7:$G$50,3,FALSE)</f>
        <v>Pin sylvestre</v>
      </c>
      <c r="BI368" s="96" t="str">
        <f>+VLOOKUP(H368,Liste!$B$7:$G$50,5,FALSE)</f>
        <v>GS Pineraies des plaines du Centre et du Nord Ouest</v>
      </c>
      <c r="BJ368" s="135">
        <f t="shared" si="110"/>
        <v>101</v>
      </c>
      <c r="BK368" s="135" t="str">
        <f t="shared" si="112"/>
        <v>Pin sylvestre_F1_Eclaircie tardive_GS Pineraies des plaines du Centre et du Nord Ouest_101_</v>
      </c>
      <c r="BL368" s="322"/>
      <c r="BM368" s="13">
        <v>101.38667319130872</v>
      </c>
      <c r="BN368" s="13">
        <v>517.54889132379003</v>
      </c>
      <c r="BP368" s="13">
        <v>336.6929998</v>
      </c>
      <c r="BQ368" s="13">
        <v>4.5984663704840596</v>
      </c>
      <c r="BT368" s="298" t="str">
        <f>+VLOOKUP(G368,Liste!$A$7:$H$50,8,FALSE)</f>
        <v>Résineux</v>
      </c>
      <c r="BU368" s="298">
        <f t="shared" si="113"/>
        <v>0</v>
      </c>
      <c r="BV368" s="300">
        <f t="shared" si="114"/>
        <v>1</v>
      </c>
      <c r="BW368" s="321">
        <v>0</v>
      </c>
      <c r="BX368" s="298">
        <f t="shared" si="115"/>
        <v>0.43</v>
      </c>
      <c r="BY368">
        <f t="shared" si="116"/>
        <v>0</v>
      </c>
      <c r="BZ368" s="304">
        <f t="shared" si="117"/>
        <v>0</v>
      </c>
      <c r="CB368" s="299">
        <v>0.6</v>
      </c>
      <c r="CC368" s="299">
        <v>0.4</v>
      </c>
      <c r="CD368">
        <f t="shared" si="118"/>
        <v>0</v>
      </c>
      <c r="CE368">
        <f t="shared" si="119"/>
        <v>0</v>
      </c>
      <c r="CF368">
        <f t="shared" si="120"/>
        <v>0</v>
      </c>
      <c r="CG368">
        <f t="shared" si="121"/>
        <v>0</v>
      </c>
      <c r="CH368">
        <f t="shared" si="122"/>
        <v>0</v>
      </c>
      <c r="CI368">
        <f t="shared" si="123"/>
        <v>0</v>
      </c>
      <c r="CJ368">
        <f t="shared" si="124"/>
        <v>0</v>
      </c>
      <c r="CK368">
        <f t="shared" si="125"/>
        <v>0</v>
      </c>
      <c r="CL368">
        <f t="shared" si="126"/>
        <v>0</v>
      </c>
      <c r="CM368">
        <f t="shared" si="128"/>
        <v>0</v>
      </c>
      <c r="CN368">
        <f t="shared" si="127"/>
        <v>0</v>
      </c>
      <c r="CO368">
        <f t="shared" si="111"/>
        <v>0</v>
      </c>
    </row>
    <row r="369" spans="1:93" s="12" customFormat="1" ht="14.65" customHeight="1" x14ac:dyDescent="0.25">
      <c r="A369" s="4">
        <v>2021</v>
      </c>
      <c r="B369" s="4"/>
      <c r="C369" s="4" t="s">
        <v>64</v>
      </c>
      <c r="D369" s="4" t="s">
        <v>65</v>
      </c>
      <c r="E369" s="4"/>
      <c r="F369" s="4" t="s">
        <v>90</v>
      </c>
      <c r="G369" s="5" t="s">
        <v>15</v>
      </c>
      <c r="H369" s="5" t="s">
        <v>21</v>
      </c>
      <c r="I369" s="5" t="s">
        <v>147</v>
      </c>
      <c r="J369" s="5" t="s">
        <v>9</v>
      </c>
      <c r="K369" s="5">
        <v>28</v>
      </c>
      <c r="L369" s="5">
        <v>45</v>
      </c>
      <c r="M369" s="5">
        <v>2500</v>
      </c>
      <c r="N369" s="5" t="s">
        <v>170</v>
      </c>
      <c r="O369" s="6" t="s">
        <v>148</v>
      </c>
      <c r="P369" s="6" t="s">
        <v>80</v>
      </c>
      <c r="Q369" s="6">
        <v>1997</v>
      </c>
      <c r="R369" s="6" t="s">
        <v>2</v>
      </c>
      <c r="S369" s="6">
        <v>21</v>
      </c>
      <c r="T369" s="6">
        <v>12.5</v>
      </c>
      <c r="U369" s="6">
        <v>2024</v>
      </c>
      <c r="V369" s="6">
        <v>28.8</v>
      </c>
      <c r="W369" s="6">
        <v>0</v>
      </c>
      <c r="X369" s="6">
        <v>1100</v>
      </c>
      <c r="Y369" s="6">
        <v>712</v>
      </c>
      <c r="Z369" s="6">
        <v>162</v>
      </c>
      <c r="AA369" s="6">
        <v>50</v>
      </c>
      <c r="AB369" s="6">
        <v>0</v>
      </c>
      <c r="AC369" s="7">
        <v>101</v>
      </c>
      <c r="AD369" s="7" t="s">
        <v>53</v>
      </c>
      <c r="AE369" s="7">
        <v>40.18</v>
      </c>
      <c r="AF369" s="7">
        <v>199</v>
      </c>
      <c r="AG369" s="7">
        <v>26.92</v>
      </c>
      <c r="AH369" s="7">
        <v>41.5</v>
      </c>
      <c r="AI369" s="7">
        <v>45.08</v>
      </c>
      <c r="AJ369" s="9">
        <v>467.11923820948698</v>
      </c>
      <c r="AK369" s="9">
        <v>469.30056392596498</v>
      </c>
      <c r="AL369" s="9">
        <v>504.41708543689799</v>
      </c>
      <c r="AM369" s="9">
        <v>74.270963379220007</v>
      </c>
      <c r="AN369" s="9">
        <v>0.73535607306158401</v>
      </c>
      <c r="AO369" s="9">
        <v>0.18084234891391299</v>
      </c>
      <c r="AP369" s="9">
        <v>1061.00604981694</v>
      </c>
      <c r="AQ369" s="9">
        <v>10.505010394227099</v>
      </c>
      <c r="AR369" s="9">
        <v>5.0044018435758097</v>
      </c>
      <c r="AS369" s="73">
        <v>21</v>
      </c>
      <c r="AT369" s="8">
        <v>2.1199999999999974</v>
      </c>
      <c r="AU369" s="10">
        <v>35.851996257355054</v>
      </c>
      <c r="AV369" s="10">
        <v>35.970095120774033</v>
      </c>
      <c r="AW369" s="8">
        <v>0.76</v>
      </c>
      <c r="AX369" s="74">
        <v>1.7128616724178112</v>
      </c>
      <c r="AY369" s="74"/>
      <c r="AZ369" s="74"/>
      <c r="BA369" s="74"/>
      <c r="BB369" s="8"/>
      <c r="BC369" s="8"/>
      <c r="BD369" s="8"/>
      <c r="BE369" s="8"/>
      <c r="BF369" s="12">
        <v>0.44</v>
      </c>
      <c r="BG369" s="13">
        <v>386.55162647314404</v>
      </c>
      <c r="BH369" s="96" t="str">
        <f>+VLOOKUP(G369,Liste!$A$7:$G$50,3,FALSE)</f>
        <v>Pin sylvestre</v>
      </c>
      <c r="BI369" s="96" t="str">
        <f>+VLOOKUP(H369,Liste!$B$7:$G$50,5,FALSE)</f>
        <v>GS Pineraies des plaines du Centre et du Nord Ouest</v>
      </c>
      <c r="BJ369" s="135">
        <f t="shared" si="110"/>
        <v>101</v>
      </c>
      <c r="BK369" s="135" t="str">
        <f t="shared" si="112"/>
        <v>Pin sylvestre_F1_Eclaircie tardive_GS Pineraies des plaines du Centre et du Nord Ouest_101_</v>
      </c>
      <c r="BL369" s="322"/>
      <c r="BM369" s="13">
        <v>94.985419895857945</v>
      </c>
      <c r="BN369" s="13">
        <v>481.53704636900198</v>
      </c>
      <c r="BO369" s="13">
        <v>36.011844954788046</v>
      </c>
      <c r="BP369" s="13">
        <v>336.6929998</v>
      </c>
      <c r="BQ369" s="13">
        <v>4.5984663704840596</v>
      </c>
      <c r="BT369" s="298" t="str">
        <f>+VLOOKUP(G369,Liste!$A$7:$H$50,8,FALSE)</f>
        <v>Résineux</v>
      </c>
      <c r="BU369" s="298">
        <f t="shared" si="113"/>
        <v>0</v>
      </c>
      <c r="BV369" s="300">
        <f t="shared" si="114"/>
        <v>1</v>
      </c>
      <c r="BW369" s="321">
        <v>0</v>
      </c>
      <c r="BX369" s="298">
        <f t="shared" si="115"/>
        <v>0.43</v>
      </c>
      <c r="BY369">
        <f t="shared" si="116"/>
        <v>0</v>
      </c>
      <c r="BZ369" s="304">
        <f t="shared" si="117"/>
        <v>0</v>
      </c>
      <c r="CB369" s="299">
        <v>0.6</v>
      </c>
      <c r="CC369" s="299">
        <v>0.4</v>
      </c>
      <c r="CD369">
        <f t="shared" si="118"/>
        <v>0</v>
      </c>
      <c r="CE369">
        <f t="shared" si="119"/>
        <v>0</v>
      </c>
      <c r="CF369">
        <f t="shared" si="120"/>
        <v>0</v>
      </c>
      <c r="CG369">
        <f t="shared" si="121"/>
        <v>0</v>
      </c>
      <c r="CH369">
        <f t="shared" si="122"/>
        <v>0</v>
      </c>
      <c r="CI369">
        <f t="shared" si="123"/>
        <v>0</v>
      </c>
      <c r="CJ369">
        <f t="shared" si="124"/>
        <v>0</v>
      </c>
      <c r="CK369">
        <f t="shared" si="125"/>
        <v>0</v>
      </c>
      <c r="CL369">
        <f t="shared" si="126"/>
        <v>0</v>
      </c>
      <c r="CM369">
        <f t="shared" si="128"/>
        <v>0</v>
      </c>
      <c r="CN369">
        <f t="shared" si="127"/>
        <v>0</v>
      </c>
      <c r="CO369">
        <f t="shared" si="111"/>
        <v>0</v>
      </c>
    </row>
    <row r="370" spans="1:93" s="12" customFormat="1" ht="14.65" customHeight="1" x14ac:dyDescent="0.25">
      <c r="A370" s="4">
        <v>2021</v>
      </c>
      <c r="B370" s="4"/>
      <c r="C370" s="4" t="s">
        <v>64</v>
      </c>
      <c r="D370" s="4" t="s">
        <v>65</v>
      </c>
      <c r="E370" s="4"/>
      <c r="F370" s="4" t="s">
        <v>90</v>
      </c>
      <c r="G370" s="5" t="s">
        <v>15</v>
      </c>
      <c r="H370" s="5" t="s">
        <v>21</v>
      </c>
      <c r="I370" s="5" t="s">
        <v>147</v>
      </c>
      <c r="J370" s="5" t="s">
        <v>9</v>
      </c>
      <c r="K370" s="5">
        <v>28</v>
      </c>
      <c r="L370" s="5">
        <v>45</v>
      </c>
      <c r="M370" s="5">
        <v>2500</v>
      </c>
      <c r="N370" s="5" t="s">
        <v>170</v>
      </c>
      <c r="O370" s="6" t="s">
        <v>148</v>
      </c>
      <c r="P370" s="6" t="s">
        <v>80</v>
      </c>
      <c r="Q370" s="6">
        <v>1997</v>
      </c>
      <c r="R370" s="6" t="s">
        <v>2</v>
      </c>
      <c r="S370" s="6">
        <v>21</v>
      </c>
      <c r="T370" s="6">
        <v>12.5</v>
      </c>
      <c r="U370" s="6">
        <v>2024</v>
      </c>
      <c r="V370" s="6">
        <v>28.8</v>
      </c>
      <c r="W370" s="6">
        <v>0</v>
      </c>
      <c r="X370" s="6">
        <v>1100</v>
      </c>
      <c r="Y370" s="6">
        <v>712</v>
      </c>
      <c r="Z370" s="6">
        <v>162</v>
      </c>
      <c r="AA370" s="6">
        <v>50</v>
      </c>
      <c r="AB370" s="6">
        <v>0</v>
      </c>
      <c r="AC370" s="7">
        <v>102</v>
      </c>
      <c r="AD370" s="7" t="s">
        <v>52</v>
      </c>
      <c r="AE370" s="7">
        <v>40.33</v>
      </c>
      <c r="AF370" s="7">
        <v>199</v>
      </c>
      <c r="AG370" s="7">
        <v>27.1</v>
      </c>
      <c r="AH370" s="7">
        <v>41.64</v>
      </c>
      <c r="AI370" s="7">
        <v>45.24</v>
      </c>
      <c r="AJ370" s="9">
        <v>471.92148865473501</v>
      </c>
      <c r="AK370" s="9">
        <v>474.11985432275799</v>
      </c>
      <c r="AL370" s="9">
        <v>509.42148728047403</v>
      </c>
      <c r="AM370" s="9">
        <v>74.451805728133905</v>
      </c>
      <c r="AN370" s="9">
        <v>0.72991966400131303</v>
      </c>
      <c r="AO370" s="9">
        <v>0.179015512785867</v>
      </c>
      <c r="AP370" s="9">
        <v>1066.0104516605099</v>
      </c>
      <c r="AQ370" s="9">
        <v>10.4510828594168</v>
      </c>
      <c r="AR370" s="9">
        <v>5.0232701983995902</v>
      </c>
      <c r="AS370" s="73" t="s">
        <v>169</v>
      </c>
      <c r="AT370" s="8"/>
      <c r="AU370" s="10" t="s">
        <v>169</v>
      </c>
      <c r="AV370" s="10">
        <v>0</v>
      </c>
      <c r="AW370" s="8"/>
      <c r="AX370" s="74" t="s">
        <v>169</v>
      </c>
      <c r="AY370" s="74"/>
      <c r="AZ370" s="74"/>
      <c r="BA370" s="74"/>
      <c r="BB370" s="8"/>
      <c r="BC370" s="8"/>
      <c r="BD370" s="8"/>
      <c r="BE370" s="8"/>
      <c r="BF370" s="12">
        <v>0.44</v>
      </c>
      <c r="BG370" s="13">
        <v>390.38666641926966</v>
      </c>
      <c r="BH370" s="96" t="str">
        <f>+VLOOKUP(G370,Liste!$A$7:$G$50,3,FALSE)</f>
        <v>Pin sylvestre</v>
      </c>
      <c r="BI370" s="96" t="str">
        <f>+VLOOKUP(H370,Liste!$B$7:$G$50,5,FALSE)</f>
        <v>GS Pineraies des plaines du Centre et du Nord Ouest</v>
      </c>
      <c r="BJ370" s="135">
        <f t="shared" si="110"/>
        <v>102</v>
      </c>
      <c r="BK370" s="135" t="str">
        <f t="shared" si="112"/>
        <v>Pin sylvestre_F1_Eclaircie tardive_GS Pineraies des plaines du Centre et du Nord Ouest_102_</v>
      </c>
      <c r="BL370" s="322"/>
      <c r="BM370" s="13">
        <v>95.81761493703732</v>
      </c>
      <c r="BN370" s="13">
        <v>486.20428135630698</v>
      </c>
      <c r="BP370" s="13">
        <v>336.6929998</v>
      </c>
      <c r="BQ370" s="13">
        <v>4.6153847913833497</v>
      </c>
      <c r="BT370" s="298" t="str">
        <f>+VLOOKUP(G370,Liste!$A$7:$H$50,8,FALSE)</f>
        <v>Résineux</v>
      </c>
      <c r="BU370" s="298">
        <f t="shared" si="113"/>
        <v>0</v>
      </c>
      <c r="BV370" s="300">
        <f t="shared" si="114"/>
        <v>1</v>
      </c>
      <c r="BW370" s="321">
        <v>0</v>
      </c>
      <c r="BX370" s="298">
        <f t="shared" si="115"/>
        <v>0.43</v>
      </c>
      <c r="BY370">
        <f t="shared" si="116"/>
        <v>0</v>
      </c>
      <c r="BZ370" s="304">
        <f t="shared" si="117"/>
        <v>0</v>
      </c>
      <c r="CB370" s="299">
        <v>0.6</v>
      </c>
      <c r="CC370" s="299">
        <v>0.4</v>
      </c>
      <c r="CD370">
        <f t="shared" si="118"/>
        <v>0</v>
      </c>
      <c r="CE370">
        <f t="shared" si="119"/>
        <v>0</v>
      </c>
      <c r="CF370">
        <f t="shared" si="120"/>
        <v>0</v>
      </c>
      <c r="CG370">
        <f t="shared" si="121"/>
        <v>0</v>
      </c>
      <c r="CH370">
        <f t="shared" si="122"/>
        <v>0</v>
      </c>
      <c r="CI370">
        <f t="shared" si="123"/>
        <v>0</v>
      </c>
      <c r="CJ370">
        <f t="shared" si="124"/>
        <v>0</v>
      </c>
      <c r="CK370">
        <f t="shared" si="125"/>
        <v>0</v>
      </c>
      <c r="CL370">
        <f t="shared" si="126"/>
        <v>0</v>
      </c>
      <c r="CM370">
        <f t="shared" si="128"/>
        <v>0</v>
      </c>
      <c r="CN370">
        <f t="shared" si="127"/>
        <v>0</v>
      </c>
      <c r="CO370">
        <f t="shared" si="111"/>
        <v>0</v>
      </c>
    </row>
    <row r="371" spans="1:93" s="12" customFormat="1" ht="14.65" customHeight="1" x14ac:dyDescent="0.25">
      <c r="A371" s="4">
        <v>2021</v>
      </c>
      <c r="B371" s="4"/>
      <c r="C371" s="4" t="s">
        <v>64</v>
      </c>
      <c r="D371" s="4" t="s">
        <v>65</v>
      </c>
      <c r="E371" s="4"/>
      <c r="F371" s="4" t="s">
        <v>90</v>
      </c>
      <c r="G371" s="5" t="s">
        <v>15</v>
      </c>
      <c r="H371" s="5" t="s">
        <v>21</v>
      </c>
      <c r="I371" s="5" t="s">
        <v>147</v>
      </c>
      <c r="J371" s="5" t="s">
        <v>9</v>
      </c>
      <c r="K371" s="5">
        <v>28</v>
      </c>
      <c r="L371" s="5">
        <v>45</v>
      </c>
      <c r="M371" s="5">
        <v>2500</v>
      </c>
      <c r="N371" s="5" t="s">
        <v>170</v>
      </c>
      <c r="O371" s="6" t="s">
        <v>148</v>
      </c>
      <c r="P371" s="6" t="s">
        <v>80</v>
      </c>
      <c r="Q371" s="6">
        <v>1997</v>
      </c>
      <c r="R371" s="6" t="s">
        <v>2</v>
      </c>
      <c r="S371" s="6">
        <v>21</v>
      </c>
      <c r="T371" s="6">
        <v>12.5</v>
      </c>
      <c r="U371" s="6">
        <v>2024</v>
      </c>
      <c r="V371" s="6">
        <v>28.8</v>
      </c>
      <c r="W371" s="6">
        <v>0</v>
      </c>
      <c r="X371" s="6">
        <v>1100</v>
      </c>
      <c r="Y371" s="6">
        <v>712</v>
      </c>
      <c r="Z371" s="6">
        <v>162</v>
      </c>
      <c r="AA371" s="6">
        <v>50</v>
      </c>
      <c r="AB371" s="6">
        <v>0</v>
      </c>
      <c r="AC371" s="7">
        <v>103</v>
      </c>
      <c r="AD371" s="7" t="s">
        <v>52</v>
      </c>
      <c r="AE371" s="7">
        <v>40.479999999999997</v>
      </c>
      <c r="AF371" s="7">
        <v>199</v>
      </c>
      <c r="AG371" s="7">
        <v>27.28</v>
      </c>
      <c r="AH371" s="7">
        <v>41.78</v>
      </c>
      <c r="AI371" s="7">
        <v>45.39</v>
      </c>
      <c r="AJ371" s="9">
        <v>476.74993343036601</v>
      </c>
      <c r="AK371" s="9">
        <v>478.96474807013999</v>
      </c>
      <c r="AL371" s="9">
        <v>514.44475747887395</v>
      </c>
      <c r="AM371" s="9">
        <v>74.630821240919801</v>
      </c>
      <c r="AN371" s="9">
        <v>0.72457108000893</v>
      </c>
      <c r="AO371" s="9">
        <v>0.17682352148969499</v>
      </c>
      <c r="AP371" s="9">
        <v>1071.03372185891</v>
      </c>
      <c r="AQ371" s="9">
        <v>10.398385649115699</v>
      </c>
      <c r="AR371" s="9">
        <v>5.0555464273770703</v>
      </c>
      <c r="AS371" s="73" t="s">
        <v>169</v>
      </c>
      <c r="AT371" s="8"/>
      <c r="AU371" s="10" t="s">
        <v>169</v>
      </c>
      <c r="AV371" s="10">
        <v>0</v>
      </c>
      <c r="AW371" s="8"/>
      <c r="AX371" s="74" t="s">
        <v>169</v>
      </c>
      <c r="AY371" s="74"/>
      <c r="AZ371" s="74"/>
      <c r="BA371" s="74"/>
      <c r="BB371" s="8"/>
      <c r="BC371" s="8"/>
      <c r="BD371" s="8"/>
      <c r="BE371" s="8"/>
      <c r="BF371" s="12">
        <v>0.44</v>
      </c>
      <c r="BG371" s="13">
        <v>394.23616581464506</v>
      </c>
      <c r="BH371" s="96" t="str">
        <f>+VLOOKUP(G371,Liste!$A$7:$G$50,3,FALSE)</f>
        <v>Pin sylvestre</v>
      </c>
      <c r="BI371" s="96" t="str">
        <f>+VLOOKUP(H371,Liste!$B$7:$G$50,5,FALSE)</f>
        <v>GS Pineraies des plaines du Centre et du Nord Ouest</v>
      </c>
      <c r="BJ371" s="135">
        <f t="shared" si="110"/>
        <v>103</v>
      </c>
      <c r="BK371" s="135" t="str">
        <f t="shared" si="112"/>
        <v>Pin sylvestre_F1_Eclaircie tardive_GS Pineraies des plaines du Centre et du Nord Ouest_103_</v>
      </c>
      <c r="BL371" s="322"/>
      <c r="BM371" s="13">
        <v>96.651991204504952</v>
      </c>
      <c r="BN371" s="13">
        <v>490.88815701915001</v>
      </c>
      <c r="BP371" s="13">
        <v>336.6929998</v>
      </c>
      <c r="BQ371" s="13">
        <v>4.6446181777013198</v>
      </c>
      <c r="BT371" s="298" t="str">
        <f>+VLOOKUP(G371,Liste!$A$7:$H$50,8,FALSE)</f>
        <v>Résineux</v>
      </c>
      <c r="BU371" s="298">
        <f t="shared" si="113"/>
        <v>0</v>
      </c>
      <c r="BV371" s="300">
        <f t="shared" si="114"/>
        <v>1</v>
      </c>
      <c r="BW371" s="321">
        <v>0</v>
      </c>
      <c r="BX371" s="298">
        <f t="shared" si="115"/>
        <v>0.43</v>
      </c>
      <c r="BY371">
        <f t="shared" si="116"/>
        <v>0</v>
      </c>
      <c r="BZ371" s="304">
        <f t="shared" si="117"/>
        <v>0</v>
      </c>
      <c r="CB371" s="299">
        <v>0.6</v>
      </c>
      <c r="CC371" s="299">
        <v>0.4</v>
      </c>
      <c r="CD371">
        <f t="shared" si="118"/>
        <v>0</v>
      </c>
      <c r="CE371">
        <f t="shared" si="119"/>
        <v>0</v>
      </c>
      <c r="CF371">
        <f t="shared" si="120"/>
        <v>0</v>
      </c>
      <c r="CG371">
        <f t="shared" si="121"/>
        <v>0</v>
      </c>
      <c r="CH371">
        <f t="shared" si="122"/>
        <v>0</v>
      </c>
      <c r="CI371">
        <f t="shared" si="123"/>
        <v>0</v>
      </c>
      <c r="CJ371">
        <f t="shared" si="124"/>
        <v>0</v>
      </c>
      <c r="CK371">
        <f t="shared" si="125"/>
        <v>0</v>
      </c>
      <c r="CL371">
        <f t="shared" si="126"/>
        <v>0</v>
      </c>
      <c r="CM371">
        <f t="shared" si="128"/>
        <v>0</v>
      </c>
      <c r="CN371">
        <f t="shared" si="127"/>
        <v>0</v>
      </c>
      <c r="CO371">
        <f t="shared" si="111"/>
        <v>0</v>
      </c>
    </row>
    <row r="372" spans="1:93" s="12" customFormat="1" ht="14.65" customHeight="1" x14ac:dyDescent="0.25">
      <c r="A372" s="4">
        <v>2021</v>
      </c>
      <c r="B372" s="4"/>
      <c r="C372" s="4" t="s">
        <v>64</v>
      </c>
      <c r="D372" s="4" t="s">
        <v>65</v>
      </c>
      <c r="E372" s="4"/>
      <c r="F372" s="4" t="s">
        <v>90</v>
      </c>
      <c r="G372" s="5" t="s">
        <v>15</v>
      </c>
      <c r="H372" s="5" t="s">
        <v>21</v>
      </c>
      <c r="I372" s="5" t="s">
        <v>147</v>
      </c>
      <c r="J372" s="5" t="s">
        <v>9</v>
      </c>
      <c r="K372" s="5">
        <v>28</v>
      </c>
      <c r="L372" s="5">
        <v>45</v>
      </c>
      <c r="M372" s="5">
        <v>2500</v>
      </c>
      <c r="N372" s="5" t="s">
        <v>170</v>
      </c>
      <c r="O372" s="6" t="s">
        <v>148</v>
      </c>
      <c r="P372" s="6" t="s">
        <v>80</v>
      </c>
      <c r="Q372" s="6">
        <v>1997</v>
      </c>
      <c r="R372" s="6" t="s">
        <v>2</v>
      </c>
      <c r="S372" s="6">
        <v>21</v>
      </c>
      <c r="T372" s="6">
        <v>12.5</v>
      </c>
      <c r="U372" s="6">
        <v>2024</v>
      </c>
      <c r="V372" s="6">
        <v>28.8</v>
      </c>
      <c r="W372" s="6">
        <v>0</v>
      </c>
      <c r="X372" s="6">
        <v>1100</v>
      </c>
      <c r="Y372" s="6">
        <v>712</v>
      </c>
      <c r="Z372" s="6">
        <v>162</v>
      </c>
      <c r="AA372" s="6">
        <v>50</v>
      </c>
      <c r="AB372" s="6">
        <v>0</v>
      </c>
      <c r="AC372" s="7">
        <v>104</v>
      </c>
      <c r="AD372" s="7" t="s">
        <v>52</v>
      </c>
      <c r="AE372" s="7">
        <v>40.630000000000003</v>
      </c>
      <c r="AF372" s="7">
        <v>199</v>
      </c>
      <c r="AG372" s="7">
        <v>27.46</v>
      </c>
      <c r="AH372" s="7">
        <v>41.91</v>
      </c>
      <c r="AI372" s="7">
        <v>45.55</v>
      </c>
      <c r="AJ372" s="9">
        <v>481.62082167669098</v>
      </c>
      <c r="AK372" s="9">
        <v>483.85115236790801</v>
      </c>
      <c r="AL372" s="9">
        <v>519.50030390625102</v>
      </c>
      <c r="AM372" s="9">
        <v>74.807644762409495</v>
      </c>
      <c r="AN372" s="9">
        <v>0.71930427656162998</v>
      </c>
      <c r="AO372" s="9">
        <v>0.17465015983795201</v>
      </c>
      <c r="AP372" s="9">
        <v>1076.08926828629</v>
      </c>
      <c r="AQ372" s="9">
        <v>10.347012195060501</v>
      </c>
      <c r="AR372" s="9">
        <v>4.9347716440129297</v>
      </c>
      <c r="AS372" s="73" t="s">
        <v>169</v>
      </c>
      <c r="AT372" s="8"/>
      <c r="AU372" s="10" t="s">
        <v>169</v>
      </c>
      <c r="AV372" s="10">
        <v>0</v>
      </c>
      <c r="AW372" s="8"/>
      <c r="AX372" s="74" t="s">
        <v>169</v>
      </c>
      <c r="AY372" s="74"/>
      <c r="AZ372" s="74"/>
      <c r="BA372" s="74"/>
      <c r="BB372" s="8"/>
      <c r="BC372" s="8"/>
      <c r="BD372" s="8"/>
      <c r="BE372" s="8"/>
      <c r="BF372" s="12">
        <v>0.44</v>
      </c>
      <c r="BG372" s="13">
        <v>398.11039956015537</v>
      </c>
      <c r="BH372" s="96" t="str">
        <f>+VLOOKUP(G372,Liste!$A$7:$G$50,3,FALSE)</f>
        <v>Pin sylvestre</v>
      </c>
      <c r="BI372" s="96" t="str">
        <f>+VLOOKUP(H372,Liste!$B$7:$G$50,5,FALSE)</f>
        <v>GS Pineraies des plaines du Centre et du Nord Ouest</v>
      </c>
      <c r="BJ372" s="135">
        <f t="shared" si="110"/>
        <v>104</v>
      </c>
      <c r="BK372" s="135" t="str">
        <f t="shared" si="112"/>
        <v>Pin sylvestre_F1_Eclaircie tardive_GS Pineraies des plaines du Centre et du Nord Ouest_104_</v>
      </c>
      <c r="BL372" s="322"/>
      <c r="BM372" s="13">
        <v>97.490771678220653</v>
      </c>
      <c r="BN372" s="13">
        <v>495.60117123837603</v>
      </c>
      <c r="BP372" s="13">
        <v>336.6929998</v>
      </c>
      <c r="BQ372" s="13">
        <v>4.5332540695275201</v>
      </c>
      <c r="BT372" s="298" t="str">
        <f>+VLOOKUP(G372,Liste!$A$7:$H$50,8,FALSE)</f>
        <v>Résineux</v>
      </c>
      <c r="BU372" s="298">
        <f t="shared" si="113"/>
        <v>0</v>
      </c>
      <c r="BV372" s="300">
        <f t="shared" si="114"/>
        <v>1</v>
      </c>
      <c r="BW372" s="321">
        <v>0</v>
      </c>
      <c r="BX372" s="298">
        <f t="shared" si="115"/>
        <v>0.43</v>
      </c>
      <c r="BY372">
        <f t="shared" si="116"/>
        <v>0</v>
      </c>
      <c r="BZ372" s="304">
        <f t="shared" si="117"/>
        <v>0</v>
      </c>
      <c r="CB372" s="299">
        <v>0.6</v>
      </c>
      <c r="CC372" s="299">
        <v>0.4</v>
      </c>
      <c r="CD372">
        <f t="shared" si="118"/>
        <v>0</v>
      </c>
      <c r="CE372">
        <f t="shared" si="119"/>
        <v>0</v>
      </c>
      <c r="CF372">
        <f t="shared" si="120"/>
        <v>0</v>
      </c>
      <c r="CG372">
        <f t="shared" si="121"/>
        <v>0</v>
      </c>
      <c r="CH372">
        <f t="shared" si="122"/>
        <v>0</v>
      </c>
      <c r="CI372">
        <f t="shared" si="123"/>
        <v>0</v>
      </c>
      <c r="CJ372">
        <f t="shared" si="124"/>
        <v>0</v>
      </c>
      <c r="CK372">
        <f t="shared" si="125"/>
        <v>0</v>
      </c>
      <c r="CL372">
        <f t="shared" si="126"/>
        <v>0</v>
      </c>
      <c r="CM372">
        <f t="shared" si="128"/>
        <v>0</v>
      </c>
      <c r="CN372">
        <f t="shared" si="127"/>
        <v>0</v>
      </c>
      <c r="CO372">
        <f t="shared" si="111"/>
        <v>0</v>
      </c>
    </row>
    <row r="373" spans="1:93" s="12" customFormat="1" ht="14.65" customHeight="1" x14ac:dyDescent="0.25">
      <c r="A373" s="4">
        <v>2021</v>
      </c>
      <c r="B373" s="4"/>
      <c r="C373" s="4" t="s">
        <v>64</v>
      </c>
      <c r="D373" s="4" t="s">
        <v>65</v>
      </c>
      <c r="E373" s="4"/>
      <c r="F373" s="4" t="s">
        <v>90</v>
      </c>
      <c r="G373" s="5" t="s">
        <v>15</v>
      </c>
      <c r="H373" s="5" t="s">
        <v>21</v>
      </c>
      <c r="I373" s="5" t="s">
        <v>147</v>
      </c>
      <c r="J373" s="5" t="s">
        <v>9</v>
      </c>
      <c r="K373" s="5">
        <v>28</v>
      </c>
      <c r="L373" s="5">
        <v>45</v>
      </c>
      <c r="M373" s="5">
        <v>2500</v>
      </c>
      <c r="N373" s="5" t="s">
        <v>170</v>
      </c>
      <c r="O373" s="6" t="s">
        <v>148</v>
      </c>
      <c r="P373" s="6" t="s">
        <v>80</v>
      </c>
      <c r="Q373" s="6">
        <v>1997</v>
      </c>
      <c r="R373" s="6" t="s">
        <v>2</v>
      </c>
      <c r="S373" s="6">
        <v>21</v>
      </c>
      <c r="T373" s="6">
        <v>12.5</v>
      </c>
      <c r="U373" s="6">
        <v>2024</v>
      </c>
      <c r="V373" s="6">
        <v>28.8</v>
      </c>
      <c r="W373" s="6">
        <v>0</v>
      </c>
      <c r="X373" s="6">
        <v>1100</v>
      </c>
      <c r="Y373" s="6">
        <v>712</v>
      </c>
      <c r="Z373" s="6">
        <v>162</v>
      </c>
      <c r="AA373" s="6">
        <v>50</v>
      </c>
      <c r="AB373" s="6">
        <v>0</v>
      </c>
      <c r="AC373" s="7">
        <v>105</v>
      </c>
      <c r="AD373" s="7" t="s">
        <v>52</v>
      </c>
      <c r="AE373" s="7">
        <v>40.78</v>
      </c>
      <c r="AF373" s="7">
        <v>199</v>
      </c>
      <c r="AG373" s="7">
        <v>27.63</v>
      </c>
      <c r="AH373" s="7">
        <v>42.05</v>
      </c>
      <c r="AI373" s="7">
        <v>45.7</v>
      </c>
      <c r="AJ373" s="9">
        <v>486.367136729592</v>
      </c>
      <c r="AK373" s="9">
        <v>488.61342113824901</v>
      </c>
      <c r="AL373" s="9">
        <v>524.43507555026395</v>
      </c>
      <c r="AM373" s="9">
        <v>74.982294922247405</v>
      </c>
      <c r="AN373" s="9">
        <v>0.71411709449759397</v>
      </c>
      <c r="AO373" s="9">
        <v>0.17272016166113199</v>
      </c>
      <c r="AP373" s="9">
        <v>1081.0240399303</v>
      </c>
      <c r="AQ373" s="9">
        <v>10.2954670469553</v>
      </c>
      <c r="AR373" s="9">
        <v>4.9834659351245101</v>
      </c>
      <c r="AS373" s="73" t="s">
        <v>169</v>
      </c>
      <c r="AT373" s="8"/>
      <c r="AU373" s="10" t="s">
        <v>169</v>
      </c>
      <c r="AV373" s="10">
        <v>0</v>
      </c>
      <c r="AW373" s="8"/>
      <c r="AX373" s="74" t="s">
        <v>169</v>
      </c>
      <c r="AY373" s="74"/>
      <c r="AZ373" s="74"/>
      <c r="BA373" s="74"/>
      <c r="BB373" s="8"/>
      <c r="BC373" s="8"/>
      <c r="BD373" s="8"/>
      <c r="BE373" s="8"/>
      <c r="BF373" s="12">
        <v>0.44</v>
      </c>
      <c r="BG373" s="13">
        <v>401.89207956335167</v>
      </c>
      <c r="BH373" s="96" t="str">
        <f>+VLOOKUP(G373,Liste!$A$7:$G$50,3,FALSE)</f>
        <v>Pin sylvestre</v>
      </c>
      <c r="BI373" s="96" t="str">
        <f>+VLOOKUP(H373,Liste!$B$7:$G$50,5,FALSE)</f>
        <v>GS Pineraies des plaines du Centre et du Nord Ouest</v>
      </c>
      <c r="BJ373" s="135">
        <f t="shared" si="110"/>
        <v>105</v>
      </c>
      <c r="BK373" s="135" t="str">
        <f t="shared" si="112"/>
        <v>Pin sylvestre_F1_Eclaircie tardive_GS Pineraies des plaines du Centre et du Nord Ouest_105_</v>
      </c>
      <c r="BL373" s="322"/>
      <c r="BM373" s="13">
        <v>98.30859812452934</v>
      </c>
      <c r="BN373" s="13">
        <v>500.20067768788101</v>
      </c>
      <c r="BP373" s="13">
        <v>336.6929998</v>
      </c>
      <c r="BQ373" s="13">
        <v>4.5775811807985702</v>
      </c>
      <c r="BT373" s="298" t="str">
        <f>+VLOOKUP(G373,Liste!$A$7:$H$50,8,FALSE)</f>
        <v>Résineux</v>
      </c>
      <c r="BU373" s="298">
        <f t="shared" si="113"/>
        <v>0</v>
      </c>
      <c r="BV373" s="300">
        <f t="shared" si="114"/>
        <v>1</v>
      </c>
      <c r="BW373" s="321">
        <v>0</v>
      </c>
      <c r="BX373" s="298">
        <f t="shared" si="115"/>
        <v>0.43</v>
      </c>
      <c r="BY373">
        <f t="shared" si="116"/>
        <v>0</v>
      </c>
      <c r="BZ373" s="304">
        <f t="shared" si="117"/>
        <v>0</v>
      </c>
      <c r="CB373" s="299">
        <v>0.6</v>
      </c>
      <c r="CC373" s="299">
        <v>0.4</v>
      </c>
      <c r="CD373">
        <f t="shared" si="118"/>
        <v>0</v>
      </c>
      <c r="CE373">
        <f t="shared" si="119"/>
        <v>0</v>
      </c>
      <c r="CF373">
        <f t="shared" si="120"/>
        <v>0</v>
      </c>
      <c r="CG373">
        <f t="shared" si="121"/>
        <v>0</v>
      </c>
      <c r="CH373">
        <f t="shared" si="122"/>
        <v>0</v>
      </c>
      <c r="CI373">
        <f t="shared" si="123"/>
        <v>0</v>
      </c>
      <c r="CJ373">
        <f t="shared" si="124"/>
        <v>0</v>
      </c>
      <c r="CK373">
        <f t="shared" si="125"/>
        <v>0</v>
      </c>
      <c r="CL373">
        <f t="shared" si="126"/>
        <v>0</v>
      </c>
      <c r="CM373">
        <f t="shared" si="128"/>
        <v>0</v>
      </c>
      <c r="CN373">
        <f t="shared" si="127"/>
        <v>0</v>
      </c>
      <c r="CO373">
        <f t="shared" si="111"/>
        <v>0</v>
      </c>
    </row>
    <row r="374" spans="1:93" s="12" customFormat="1" ht="14.65" customHeight="1" x14ac:dyDescent="0.25">
      <c r="A374" s="4">
        <v>2021</v>
      </c>
      <c r="B374" s="4"/>
      <c r="C374" s="4" t="s">
        <v>64</v>
      </c>
      <c r="D374" s="4" t="s">
        <v>65</v>
      </c>
      <c r="E374" s="4"/>
      <c r="F374" s="4" t="s">
        <v>90</v>
      </c>
      <c r="G374" s="5" t="s">
        <v>15</v>
      </c>
      <c r="H374" s="5" t="s">
        <v>21</v>
      </c>
      <c r="I374" s="5" t="s">
        <v>147</v>
      </c>
      <c r="J374" s="5" t="s">
        <v>9</v>
      </c>
      <c r="K374" s="5">
        <v>28</v>
      </c>
      <c r="L374" s="5">
        <v>45</v>
      </c>
      <c r="M374" s="5">
        <v>2500</v>
      </c>
      <c r="N374" s="5" t="s">
        <v>170</v>
      </c>
      <c r="O374" s="6" t="s">
        <v>148</v>
      </c>
      <c r="P374" s="6" t="s">
        <v>80</v>
      </c>
      <c r="Q374" s="6">
        <v>1997</v>
      </c>
      <c r="R374" s="6" t="s">
        <v>2</v>
      </c>
      <c r="S374" s="6">
        <v>21</v>
      </c>
      <c r="T374" s="6">
        <v>12.5</v>
      </c>
      <c r="U374" s="6">
        <v>2024</v>
      </c>
      <c r="V374" s="6">
        <v>28.8</v>
      </c>
      <c r="W374" s="6">
        <v>0</v>
      </c>
      <c r="X374" s="6">
        <v>1100</v>
      </c>
      <c r="Y374" s="6">
        <v>712</v>
      </c>
      <c r="Z374" s="6">
        <v>162</v>
      </c>
      <c r="AA374" s="6">
        <v>50</v>
      </c>
      <c r="AB374" s="6">
        <v>0</v>
      </c>
      <c r="AC374" s="7">
        <v>106</v>
      </c>
      <c r="AD374" s="7" t="s">
        <v>52</v>
      </c>
      <c r="AE374" s="7">
        <v>40.93</v>
      </c>
      <c r="AF374" s="7">
        <v>199</v>
      </c>
      <c r="AG374" s="7">
        <v>27.81</v>
      </c>
      <c r="AH374" s="7">
        <v>42.18</v>
      </c>
      <c r="AI374" s="7">
        <v>45.85</v>
      </c>
      <c r="AJ374" s="9">
        <v>491.17294284533</v>
      </c>
      <c r="AK374" s="9">
        <v>493.43413864627399</v>
      </c>
      <c r="AL374" s="9">
        <v>529.418541485388</v>
      </c>
      <c r="AM374" s="9">
        <v>75.155015083908594</v>
      </c>
      <c r="AN374" s="9">
        <v>0.70900957626328798</v>
      </c>
      <c r="AO374" s="9">
        <v>0.170478132647958</v>
      </c>
      <c r="AP374" s="9">
        <v>1086.0075058654299</v>
      </c>
      <c r="AQ374" s="9">
        <v>10.2453538289191</v>
      </c>
      <c r="AR374" s="9">
        <v>4.8649750362660598</v>
      </c>
      <c r="AS374" s="73" t="s">
        <v>169</v>
      </c>
      <c r="AT374" s="8"/>
      <c r="AU374" s="10" t="s">
        <v>169</v>
      </c>
      <c r="AV374" s="10">
        <v>0</v>
      </c>
      <c r="AW374" s="8"/>
      <c r="AX374" s="74" t="s">
        <v>169</v>
      </c>
      <c r="AY374" s="74"/>
      <c r="AZ374" s="74"/>
      <c r="BA374" s="74"/>
      <c r="BB374" s="8"/>
      <c r="BC374" s="8"/>
      <c r="BD374" s="8"/>
      <c r="BE374" s="8"/>
      <c r="BF374" s="12">
        <v>0.44</v>
      </c>
      <c r="BG374" s="13">
        <v>405.71107562496871</v>
      </c>
      <c r="BH374" s="96" t="str">
        <f>+VLOOKUP(G374,Liste!$A$7:$G$50,3,FALSE)</f>
        <v>Pin sylvestre</v>
      </c>
      <c r="BI374" s="96" t="str">
        <f>+VLOOKUP(H374,Liste!$B$7:$G$50,5,FALSE)</f>
        <v>GS Pineraies des plaines du Centre et du Nord Ouest</v>
      </c>
      <c r="BJ374" s="135">
        <f t="shared" si="110"/>
        <v>106</v>
      </c>
      <c r="BK374" s="135" t="str">
        <f t="shared" si="112"/>
        <v>Pin sylvestre_F1_Eclaircie tardive_GS Pineraies des plaines du Centre et du Nord Ouest_106_</v>
      </c>
      <c r="BL374" s="322"/>
      <c r="BM374" s="13">
        <v>99.133586002113304</v>
      </c>
      <c r="BN374" s="13">
        <v>504.84466162708202</v>
      </c>
      <c r="BP374" s="13">
        <v>336.6929998</v>
      </c>
      <c r="BQ374" s="13">
        <v>4.4683501608998304</v>
      </c>
      <c r="BT374" s="298" t="str">
        <f>+VLOOKUP(G374,Liste!$A$7:$H$50,8,FALSE)</f>
        <v>Résineux</v>
      </c>
      <c r="BU374" s="298">
        <f t="shared" si="113"/>
        <v>0</v>
      </c>
      <c r="BV374" s="300">
        <f t="shared" si="114"/>
        <v>1</v>
      </c>
      <c r="BW374" s="321">
        <v>0</v>
      </c>
      <c r="BX374" s="298">
        <f t="shared" si="115"/>
        <v>0.43</v>
      </c>
      <c r="BY374">
        <f t="shared" si="116"/>
        <v>0</v>
      </c>
      <c r="BZ374" s="304">
        <f t="shared" si="117"/>
        <v>0</v>
      </c>
      <c r="CB374" s="299">
        <v>0.6</v>
      </c>
      <c r="CC374" s="299">
        <v>0.4</v>
      </c>
      <c r="CD374">
        <f t="shared" si="118"/>
        <v>0</v>
      </c>
      <c r="CE374">
        <f t="shared" si="119"/>
        <v>0</v>
      </c>
      <c r="CF374">
        <f t="shared" si="120"/>
        <v>0</v>
      </c>
      <c r="CG374">
        <f t="shared" si="121"/>
        <v>0</v>
      </c>
      <c r="CH374">
        <f t="shared" si="122"/>
        <v>0</v>
      </c>
      <c r="CI374">
        <f t="shared" si="123"/>
        <v>0</v>
      </c>
      <c r="CJ374">
        <f t="shared" si="124"/>
        <v>0</v>
      </c>
      <c r="CK374">
        <f t="shared" si="125"/>
        <v>0</v>
      </c>
      <c r="CL374">
        <f t="shared" si="126"/>
        <v>0</v>
      </c>
      <c r="CM374">
        <f t="shared" si="128"/>
        <v>0</v>
      </c>
      <c r="CN374">
        <f t="shared" si="127"/>
        <v>0</v>
      </c>
      <c r="CO374">
        <f t="shared" si="111"/>
        <v>0</v>
      </c>
    </row>
    <row r="375" spans="1:93" s="12" customFormat="1" ht="14.65" customHeight="1" x14ac:dyDescent="0.25">
      <c r="A375" s="4">
        <v>2021</v>
      </c>
      <c r="B375" s="4"/>
      <c r="C375" s="4" t="s">
        <v>64</v>
      </c>
      <c r="D375" s="4" t="s">
        <v>65</v>
      </c>
      <c r="E375" s="4"/>
      <c r="F375" s="4" t="s">
        <v>90</v>
      </c>
      <c r="G375" s="5" t="s">
        <v>15</v>
      </c>
      <c r="H375" s="5" t="s">
        <v>21</v>
      </c>
      <c r="I375" s="5" t="s">
        <v>147</v>
      </c>
      <c r="J375" s="5" t="s">
        <v>9</v>
      </c>
      <c r="K375" s="5">
        <v>28</v>
      </c>
      <c r="L375" s="5">
        <v>45</v>
      </c>
      <c r="M375" s="5">
        <v>2500</v>
      </c>
      <c r="N375" s="5" t="s">
        <v>170</v>
      </c>
      <c r="O375" s="6" t="s">
        <v>148</v>
      </c>
      <c r="P375" s="6" t="s">
        <v>80</v>
      </c>
      <c r="Q375" s="6">
        <v>1997</v>
      </c>
      <c r="R375" s="6" t="s">
        <v>2</v>
      </c>
      <c r="S375" s="6">
        <v>21</v>
      </c>
      <c r="T375" s="6">
        <v>12.5</v>
      </c>
      <c r="U375" s="6">
        <v>2024</v>
      </c>
      <c r="V375" s="6">
        <v>28.8</v>
      </c>
      <c r="W375" s="6">
        <v>0</v>
      </c>
      <c r="X375" s="6">
        <v>1100</v>
      </c>
      <c r="Y375" s="6">
        <v>712</v>
      </c>
      <c r="Z375" s="6">
        <v>162</v>
      </c>
      <c r="AA375" s="6">
        <v>50</v>
      </c>
      <c r="AB375" s="6">
        <v>0</v>
      </c>
      <c r="AC375" s="7">
        <v>107</v>
      </c>
      <c r="AD375" s="7" t="s">
        <v>52</v>
      </c>
      <c r="AE375" s="7">
        <v>41.07</v>
      </c>
      <c r="AF375" s="7">
        <v>199</v>
      </c>
      <c r="AG375" s="7">
        <v>27.98</v>
      </c>
      <c r="AH375" s="7">
        <v>42.31</v>
      </c>
      <c r="AI375" s="7">
        <v>45.99</v>
      </c>
      <c r="AJ375" s="9">
        <v>495.85675895316803</v>
      </c>
      <c r="AK375" s="9">
        <v>498.13335252677501</v>
      </c>
      <c r="AL375" s="9">
        <v>534.28351652165395</v>
      </c>
      <c r="AM375" s="9">
        <v>75.325493216556495</v>
      </c>
      <c r="AN375" s="9">
        <v>0.70397657211735098</v>
      </c>
      <c r="AO375" s="9">
        <v>0.168836477698875</v>
      </c>
      <c r="AP375" s="9">
        <v>1090.8724809016901</v>
      </c>
      <c r="AQ375" s="9">
        <v>10.1950699149691</v>
      </c>
      <c r="AR375" s="9">
        <v>4.9157106011157303</v>
      </c>
      <c r="AS375" s="73" t="s">
        <v>169</v>
      </c>
      <c r="AT375" s="8"/>
      <c r="AU375" s="10" t="s">
        <v>169</v>
      </c>
      <c r="AV375" s="10">
        <v>0</v>
      </c>
      <c r="AW375" s="8"/>
      <c r="AX375" s="74" t="s">
        <v>169</v>
      </c>
      <c r="AY375" s="74"/>
      <c r="AZ375" s="74"/>
      <c r="BA375" s="74"/>
      <c r="BB375" s="8"/>
      <c r="BC375" s="8"/>
      <c r="BD375" s="8"/>
      <c r="BE375" s="8"/>
      <c r="BF375" s="12">
        <v>0.44</v>
      </c>
      <c r="BG375" s="13">
        <v>409.4392681610953</v>
      </c>
      <c r="BH375" s="96" t="str">
        <f>+VLOOKUP(G375,Liste!$A$7:$G$50,3,FALSE)</f>
        <v>Pin sylvestre</v>
      </c>
      <c r="BI375" s="96" t="str">
        <f>+VLOOKUP(H375,Liste!$B$7:$G$50,5,FALSE)</f>
        <v>GS Pineraies des plaines du Centre et du Nord Ouest</v>
      </c>
      <c r="BJ375" s="135">
        <f t="shared" si="110"/>
        <v>107</v>
      </c>
      <c r="BK375" s="135" t="str">
        <f t="shared" si="112"/>
        <v>Pin sylvestre_F1_Eclaircie tardive_GS Pineraies des plaines du Centre et du Nord Ouest_107_</v>
      </c>
      <c r="BL375" s="322"/>
      <c r="BM375" s="13">
        <v>99.938086752453728</v>
      </c>
      <c r="BN375" s="13">
        <v>509.37735491354903</v>
      </c>
      <c r="BP375" s="13">
        <v>336.6929998</v>
      </c>
      <c r="BQ375" s="13">
        <v>4.5145592795168996</v>
      </c>
      <c r="BT375" s="298" t="str">
        <f>+VLOOKUP(G375,Liste!$A$7:$H$50,8,FALSE)</f>
        <v>Résineux</v>
      </c>
      <c r="BU375" s="298">
        <f t="shared" si="113"/>
        <v>0</v>
      </c>
      <c r="BV375" s="300">
        <f t="shared" si="114"/>
        <v>1</v>
      </c>
      <c r="BW375" s="321">
        <v>0</v>
      </c>
      <c r="BX375" s="298">
        <f t="shared" si="115"/>
        <v>0.43</v>
      </c>
      <c r="BY375">
        <f t="shared" si="116"/>
        <v>0</v>
      </c>
      <c r="BZ375" s="304">
        <f t="shared" si="117"/>
        <v>0</v>
      </c>
      <c r="CB375" s="299">
        <v>0.6</v>
      </c>
      <c r="CC375" s="299">
        <v>0.4</v>
      </c>
      <c r="CD375">
        <f t="shared" si="118"/>
        <v>0</v>
      </c>
      <c r="CE375">
        <f t="shared" si="119"/>
        <v>0</v>
      </c>
      <c r="CF375">
        <f t="shared" si="120"/>
        <v>0</v>
      </c>
      <c r="CG375">
        <f t="shared" si="121"/>
        <v>0</v>
      </c>
      <c r="CH375">
        <f t="shared" si="122"/>
        <v>0</v>
      </c>
      <c r="CI375">
        <f t="shared" si="123"/>
        <v>0</v>
      </c>
      <c r="CJ375">
        <f t="shared" si="124"/>
        <v>0</v>
      </c>
      <c r="CK375">
        <f t="shared" si="125"/>
        <v>0</v>
      </c>
      <c r="CL375">
        <f t="shared" si="126"/>
        <v>0</v>
      </c>
      <c r="CM375">
        <f t="shared" si="128"/>
        <v>0</v>
      </c>
      <c r="CN375">
        <f t="shared" si="127"/>
        <v>0</v>
      </c>
      <c r="CO375">
        <f t="shared" si="111"/>
        <v>0</v>
      </c>
    </row>
    <row r="376" spans="1:93" s="12" customFormat="1" ht="14.65" customHeight="1" x14ac:dyDescent="0.25">
      <c r="A376" s="4">
        <v>2021</v>
      </c>
      <c r="B376" s="4"/>
      <c r="C376" s="4" t="s">
        <v>64</v>
      </c>
      <c r="D376" s="4" t="s">
        <v>65</v>
      </c>
      <c r="E376" s="4"/>
      <c r="F376" s="4" t="s">
        <v>90</v>
      </c>
      <c r="G376" s="5" t="s">
        <v>15</v>
      </c>
      <c r="H376" s="5" t="s">
        <v>21</v>
      </c>
      <c r="I376" s="5" t="s">
        <v>147</v>
      </c>
      <c r="J376" s="5" t="s">
        <v>9</v>
      </c>
      <c r="K376" s="5">
        <v>28</v>
      </c>
      <c r="L376" s="5">
        <v>45</v>
      </c>
      <c r="M376" s="5">
        <v>2500</v>
      </c>
      <c r="N376" s="5" t="s">
        <v>170</v>
      </c>
      <c r="O376" s="6" t="s">
        <v>148</v>
      </c>
      <c r="P376" s="6" t="s">
        <v>80</v>
      </c>
      <c r="Q376" s="6">
        <v>1997</v>
      </c>
      <c r="R376" s="6" t="s">
        <v>2</v>
      </c>
      <c r="S376" s="6">
        <v>21</v>
      </c>
      <c r="T376" s="6">
        <v>12.5</v>
      </c>
      <c r="U376" s="6">
        <v>2024</v>
      </c>
      <c r="V376" s="6">
        <v>28.8</v>
      </c>
      <c r="W376" s="6">
        <v>0</v>
      </c>
      <c r="X376" s="6">
        <v>1100</v>
      </c>
      <c r="Y376" s="6">
        <v>712</v>
      </c>
      <c r="Z376" s="6">
        <v>162</v>
      </c>
      <c r="AA376" s="6">
        <v>50</v>
      </c>
      <c r="AB376" s="6">
        <v>0</v>
      </c>
      <c r="AC376" s="7">
        <v>108</v>
      </c>
      <c r="AD376" s="7" t="s">
        <v>52</v>
      </c>
      <c r="AE376" s="7">
        <v>41.21</v>
      </c>
      <c r="AF376" s="7">
        <v>199</v>
      </c>
      <c r="AG376" s="7">
        <v>28.14</v>
      </c>
      <c r="AH376" s="7">
        <v>42.44</v>
      </c>
      <c r="AI376" s="7">
        <v>46.14</v>
      </c>
      <c r="AJ376" s="9">
        <v>500.60139439575499</v>
      </c>
      <c r="AK376" s="9">
        <v>502.89236175901499</v>
      </c>
      <c r="AL376" s="9">
        <v>539.19922712277003</v>
      </c>
      <c r="AM376" s="9">
        <v>75.494329694255399</v>
      </c>
      <c r="AN376" s="9">
        <v>0.69902157124310504</v>
      </c>
      <c r="AO376" s="9">
        <v>0.16607735038891699</v>
      </c>
      <c r="AP376" s="9">
        <v>1095.7881915028099</v>
      </c>
      <c r="AQ376" s="9">
        <v>10.1461869583593</v>
      </c>
      <c r="AR376" s="9">
        <v>4.7853455233917002</v>
      </c>
      <c r="AS376" s="73" t="s">
        <v>169</v>
      </c>
      <c r="AT376" s="8"/>
      <c r="AU376" s="10" t="s">
        <v>169</v>
      </c>
      <c r="AV376" s="10">
        <v>0</v>
      </c>
      <c r="AW376" s="8"/>
      <c r="AX376" s="74" t="s">
        <v>169</v>
      </c>
      <c r="AY376" s="74"/>
      <c r="AZ376" s="74"/>
      <c r="BA376" s="74"/>
      <c r="BB376" s="8"/>
      <c r="BC376" s="8"/>
      <c r="BD376" s="8"/>
      <c r="BE376" s="8"/>
      <c r="BF376" s="12">
        <v>0.44</v>
      </c>
      <c r="BG376" s="13">
        <v>413.20634105174963</v>
      </c>
      <c r="BH376" s="96" t="str">
        <f>+VLOOKUP(G376,Liste!$A$7:$G$50,3,FALSE)</f>
        <v>Pin sylvestre</v>
      </c>
      <c r="BI376" s="96" t="str">
        <f>+VLOOKUP(H376,Liste!$B$7:$G$50,5,FALSE)</f>
        <v>GS Pineraies des plaines du Centre et du Nord Ouest</v>
      </c>
      <c r="BJ376" s="135">
        <f t="shared" si="110"/>
        <v>108</v>
      </c>
      <c r="BK376" s="135" t="str">
        <f t="shared" si="112"/>
        <v>Pin sylvestre_F1_Eclaircie tardive_GS Pineraies des plaines du Centre et du Nord Ouest_108_</v>
      </c>
      <c r="BL376" s="322"/>
      <c r="BM376" s="13">
        <v>100.75011184007235</v>
      </c>
      <c r="BN376" s="13">
        <v>513.95645289182198</v>
      </c>
      <c r="BP376" s="13">
        <v>336.6929998</v>
      </c>
      <c r="BQ376" s="13">
        <v>4.3944579240317099</v>
      </c>
      <c r="BT376" s="298" t="str">
        <f>+VLOOKUP(G376,Liste!$A$7:$H$50,8,FALSE)</f>
        <v>Résineux</v>
      </c>
      <c r="BU376" s="298">
        <f t="shared" si="113"/>
        <v>0</v>
      </c>
      <c r="BV376" s="300">
        <f t="shared" si="114"/>
        <v>1</v>
      </c>
      <c r="BW376" s="321">
        <v>0</v>
      </c>
      <c r="BX376" s="298">
        <f t="shared" si="115"/>
        <v>0.43</v>
      </c>
      <c r="BY376">
        <f t="shared" si="116"/>
        <v>0</v>
      </c>
      <c r="BZ376" s="304">
        <f t="shared" si="117"/>
        <v>0</v>
      </c>
      <c r="CB376" s="299">
        <v>0.6</v>
      </c>
      <c r="CC376" s="299">
        <v>0.4</v>
      </c>
      <c r="CD376">
        <f t="shared" si="118"/>
        <v>0</v>
      </c>
      <c r="CE376">
        <f t="shared" si="119"/>
        <v>0</v>
      </c>
      <c r="CF376">
        <f t="shared" si="120"/>
        <v>0</v>
      </c>
      <c r="CG376">
        <f t="shared" si="121"/>
        <v>0</v>
      </c>
      <c r="CH376">
        <f t="shared" si="122"/>
        <v>0</v>
      </c>
      <c r="CI376">
        <f t="shared" si="123"/>
        <v>0</v>
      </c>
      <c r="CJ376">
        <f t="shared" si="124"/>
        <v>0</v>
      </c>
      <c r="CK376">
        <f t="shared" si="125"/>
        <v>0</v>
      </c>
      <c r="CL376">
        <f t="shared" si="126"/>
        <v>0</v>
      </c>
      <c r="CM376">
        <f t="shared" si="128"/>
        <v>0</v>
      </c>
      <c r="CN376">
        <f t="shared" si="127"/>
        <v>0</v>
      </c>
      <c r="CO376">
        <f t="shared" si="111"/>
        <v>0</v>
      </c>
    </row>
    <row r="377" spans="1:93" s="12" customFormat="1" ht="14.65" customHeight="1" x14ac:dyDescent="0.25">
      <c r="A377" s="4">
        <v>2021</v>
      </c>
      <c r="B377" s="4"/>
      <c r="C377" s="4" t="s">
        <v>64</v>
      </c>
      <c r="D377" s="4" t="s">
        <v>65</v>
      </c>
      <c r="E377" s="4"/>
      <c r="F377" s="4" t="s">
        <v>90</v>
      </c>
      <c r="G377" s="5" t="s">
        <v>15</v>
      </c>
      <c r="H377" s="5" t="s">
        <v>21</v>
      </c>
      <c r="I377" s="5" t="s">
        <v>147</v>
      </c>
      <c r="J377" s="5" t="s">
        <v>9</v>
      </c>
      <c r="K377" s="5">
        <v>28</v>
      </c>
      <c r="L377" s="5">
        <v>45</v>
      </c>
      <c r="M377" s="5">
        <v>2500</v>
      </c>
      <c r="N377" s="5" t="s">
        <v>170</v>
      </c>
      <c r="O377" s="6" t="s">
        <v>148</v>
      </c>
      <c r="P377" s="6" t="s">
        <v>80</v>
      </c>
      <c r="Q377" s="6">
        <v>1997</v>
      </c>
      <c r="R377" s="6" t="s">
        <v>2</v>
      </c>
      <c r="S377" s="6">
        <v>21</v>
      </c>
      <c r="T377" s="6">
        <v>12.5</v>
      </c>
      <c r="U377" s="6">
        <v>2024</v>
      </c>
      <c r="V377" s="6">
        <v>28.8</v>
      </c>
      <c r="W377" s="6">
        <v>0</v>
      </c>
      <c r="X377" s="6">
        <v>1100</v>
      </c>
      <c r="Y377" s="6">
        <v>712</v>
      </c>
      <c r="Z377" s="6">
        <v>162</v>
      </c>
      <c r="AA377" s="6">
        <v>50</v>
      </c>
      <c r="AB377" s="6">
        <v>0</v>
      </c>
      <c r="AC377" s="7">
        <v>109</v>
      </c>
      <c r="AD377" s="7" t="s">
        <v>52</v>
      </c>
      <c r="AE377" s="7">
        <v>41.35</v>
      </c>
      <c r="AF377" s="7">
        <v>199</v>
      </c>
      <c r="AG377" s="7">
        <v>28.31</v>
      </c>
      <c r="AH377" s="7">
        <v>42.56</v>
      </c>
      <c r="AI377" s="7">
        <v>46.28</v>
      </c>
      <c r="AJ377" s="9">
        <v>505.21321230611301</v>
      </c>
      <c r="AK377" s="9">
        <v>507.51894519946399</v>
      </c>
      <c r="AL377" s="9">
        <v>543.98457264616195</v>
      </c>
      <c r="AM377" s="9">
        <v>75.660407044644302</v>
      </c>
      <c r="AN377" s="9">
        <v>0.69413217472150701</v>
      </c>
      <c r="AO377" s="9">
        <v>0.16504339726873199</v>
      </c>
      <c r="AP377" s="9">
        <v>1100.5735370262</v>
      </c>
      <c r="AQ377" s="9">
        <v>10.0970049268459</v>
      </c>
      <c r="AR377" s="9">
        <v>4.7317088607592304</v>
      </c>
      <c r="AS377" s="73" t="s">
        <v>169</v>
      </c>
      <c r="AT377" s="8"/>
      <c r="AU377" s="10" t="s">
        <v>169</v>
      </c>
      <c r="AV377" s="10">
        <v>0</v>
      </c>
      <c r="AW377" s="8"/>
      <c r="AX377" s="74" t="s">
        <v>169</v>
      </c>
      <c r="AY377" s="74"/>
      <c r="AZ377" s="74"/>
      <c r="BA377" s="74"/>
      <c r="BB377" s="8"/>
      <c r="BC377" s="8"/>
      <c r="BD377" s="8"/>
      <c r="BE377" s="8"/>
      <c r="BF377" s="12">
        <v>0.44</v>
      </c>
      <c r="BG377" s="13">
        <v>416.87351083784262</v>
      </c>
      <c r="BH377" s="96" t="str">
        <f>+VLOOKUP(G377,Liste!$A$7:$G$50,3,FALSE)</f>
        <v>Pin sylvestre</v>
      </c>
      <c r="BI377" s="96" t="str">
        <f>+VLOOKUP(H377,Liste!$B$7:$G$50,5,FALSE)</f>
        <v>GS Pineraies des plaines du Centre et du Nord Ouest</v>
      </c>
      <c r="BJ377" s="135">
        <f t="shared" si="110"/>
        <v>109</v>
      </c>
      <c r="BK377" s="135" t="str">
        <f t="shared" si="112"/>
        <v>Pin sylvestre_F1_Eclaircie tardive_GS Pineraies des plaines du Centre et du Nord Ouest_109_</v>
      </c>
      <c r="BL377" s="322"/>
      <c r="BM377" s="13">
        <v>101.53977457280433</v>
      </c>
      <c r="BN377" s="13">
        <v>518.41328541064695</v>
      </c>
      <c r="BP377" s="13">
        <v>336.6929998</v>
      </c>
      <c r="BQ377" s="13">
        <v>4.3448406942059101</v>
      </c>
      <c r="BT377" s="298" t="str">
        <f>+VLOOKUP(G377,Liste!$A$7:$H$50,8,FALSE)</f>
        <v>Résineux</v>
      </c>
      <c r="BU377" s="298">
        <f t="shared" si="113"/>
        <v>0</v>
      </c>
      <c r="BV377" s="300">
        <f t="shared" si="114"/>
        <v>1</v>
      </c>
      <c r="BW377" s="321">
        <v>0</v>
      </c>
      <c r="BX377" s="298">
        <f t="shared" si="115"/>
        <v>0.43</v>
      </c>
      <c r="BY377">
        <f t="shared" si="116"/>
        <v>0</v>
      </c>
      <c r="BZ377" s="304">
        <f t="shared" si="117"/>
        <v>0</v>
      </c>
      <c r="CB377" s="299">
        <v>0.6</v>
      </c>
      <c r="CC377" s="299">
        <v>0.4</v>
      </c>
      <c r="CD377">
        <f t="shared" si="118"/>
        <v>0</v>
      </c>
      <c r="CE377">
        <f t="shared" si="119"/>
        <v>0</v>
      </c>
      <c r="CF377">
        <f t="shared" si="120"/>
        <v>0</v>
      </c>
      <c r="CG377">
        <f t="shared" si="121"/>
        <v>0</v>
      </c>
      <c r="CH377">
        <f t="shared" si="122"/>
        <v>0</v>
      </c>
      <c r="CI377">
        <f t="shared" si="123"/>
        <v>0</v>
      </c>
      <c r="CJ377">
        <f t="shared" si="124"/>
        <v>0</v>
      </c>
      <c r="CK377">
        <f t="shared" si="125"/>
        <v>0</v>
      </c>
      <c r="CL377">
        <f t="shared" si="126"/>
        <v>0</v>
      </c>
      <c r="CM377">
        <f t="shared" si="128"/>
        <v>0</v>
      </c>
      <c r="CN377">
        <f t="shared" si="127"/>
        <v>0</v>
      </c>
      <c r="CO377">
        <f t="shared" si="111"/>
        <v>0</v>
      </c>
    </row>
    <row r="378" spans="1:93" s="12" customFormat="1" ht="14.65" customHeight="1" x14ac:dyDescent="0.25">
      <c r="A378" s="4">
        <v>2021</v>
      </c>
      <c r="B378" s="4"/>
      <c r="C378" s="4" t="s">
        <v>64</v>
      </c>
      <c r="D378" s="4" t="s">
        <v>65</v>
      </c>
      <c r="E378" s="4"/>
      <c r="F378" s="4" t="s">
        <v>90</v>
      </c>
      <c r="G378" s="5" t="s">
        <v>15</v>
      </c>
      <c r="H378" s="5" t="s">
        <v>21</v>
      </c>
      <c r="I378" s="5" t="s">
        <v>147</v>
      </c>
      <c r="J378" s="5" t="s">
        <v>9</v>
      </c>
      <c r="K378" s="5">
        <v>28</v>
      </c>
      <c r="L378" s="5">
        <v>45</v>
      </c>
      <c r="M378" s="5">
        <v>2500</v>
      </c>
      <c r="N378" s="5" t="s">
        <v>170</v>
      </c>
      <c r="O378" s="6" t="s">
        <v>148</v>
      </c>
      <c r="P378" s="6" t="s">
        <v>80</v>
      </c>
      <c r="Q378" s="6">
        <v>1997</v>
      </c>
      <c r="R378" s="6" t="s">
        <v>2</v>
      </c>
      <c r="S378" s="6">
        <v>21</v>
      </c>
      <c r="T378" s="6">
        <v>12.5</v>
      </c>
      <c r="U378" s="6">
        <v>2024</v>
      </c>
      <c r="V378" s="6">
        <v>28.8</v>
      </c>
      <c r="W378" s="6">
        <v>0</v>
      </c>
      <c r="X378" s="6">
        <v>1100</v>
      </c>
      <c r="Y378" s="6">
        <v>712</v>
      </c>
      <c r="Z378" s="6">
        <v>162</v>
      </c>
      <c r="AA378" s="6">
        <v>50</v>
      </c>
      <c r="AB378" s="6">
        <v>0</v>
      </c>
      <c r="AC378" s="7">
        <v>110</v>
      </c>
      <c r="AD378" s="7" t="s">
        <v>52</v>
      </c>
      <c r="AE378" s="7">
        <v>41.49</v>
      </c>
      <c r="AF378" s="7">
        <v>199</v>
      </c>
      <c r="AG378" s="7">
        <v>28.48</v>
      </c>
      <c r="AH378" s="7">
        <v>42.68</v>
      </c>
      <c r="AI378" s="7">
        <v>46.42</v>
      </c>
      <c r="AJ378" s="9">
        <v>509.76941115323598</v>
      </c>
      <c r="AK378" s="9">
        <v>512.090156311638</v>
      </c>
      <c r="AL378" s="9">
        <v>548.71628150692095</v>
      </c>
      <c r="AM378" s="9">
        <v>75.825450441913006</v>
      </c>
      <c r="AN378" s="9">
        <v>0.68932227674466395</v>
      </c>
      <c r="AO378" s="9">
        <v>0.16271260255516001</v>
      </c>
      <c r="AP378" s="9">
        <v>1105.3052458869599</v>
      </c>
      <c r="AQ378" s="9">
        <v>10.048229508063301</v>
      </c>
      <c r="AR378" s="9">
        <v>4.7751530130142301</v>
      </c>
      <c r="AS378" s="73" t="s">
        <v>169</v>
      </c>
      <c r="AT378" s="8"/>
      <c r="AU378" s="10" t="s">
        <v>169</v>
      </c>
      <c r="AV378" s="10">
        <v>0</v>
      </c>
      <c r="AW378" s="8"/>
      <c r="AX378" s="74" t="s">
        <v>169</v>
      </c>
      <c r="AY378" s="74"/>
      <c r="AZ378" s="74"/>
      <c r="BA378" s="74"/>
      <c r="BB378" s="8"/>
      <c r="BC378" s="8"/>
      <c r="BD378" s="8"/>
      <c r="BE378" s="8"/>
      <c r="BF378" s="12">
        <v>0.44</v>
      </c>
      <c r="BG378" s="13">
        <v>420.49957706146864</v>
      </c>
      <c r="BH378" s="96" t="str">
        <f>+VLOOKUP(G378,Liste!$A$7:$G$50,3,FALSE)</f>
        <v>Pin sylvestre</v>
      </c>
      <c r="BI378" s="96" t="str">
        <f>+VLOOKUP(H378,Liste!$B$7:$G$50,5,FALSE)</f>
        <v>GS Pineraies des plaines du Centre et du Nord Ouest</v>
      </c>
      <c r="BJ378" s="135">
        <f t="shared" si="110"/>
        <v>110</v>
      </c>
      <c r="BK378" s="135" t="str">
        <f t="shared" si="112"/>
        <v>Pin sylvestre_F1_Eclaircie tardive_GS Pineraies des plaines du Centre et du Nord Ouest_110_</v>
      </c>
      <c r="BL378" s="322"/>
      <c r="BM378" s="13">
        <v>102.31979168519337</v>
      </c>
      <c r="BN378" s="13">
        <v>522.81936874666201</v>
      </c>
      <c r="BP378" s="13">
        <v>336.6929998</v>
      </c>
      <c r="BQ378" s="13">
        <v>4.3843698022585604</v>
      </c>
      <c r="BT378" s="298" t="str">
        <f>+VLOOKUP(G378,Liste!$A$7:$H$50,8,FALSE)</f>
        <v>Résineux</v>
      </c>
      <c r="BU378" s="298">
        <f t="shared" si="113"/>
        <v>0</v>
      </c>
      <c r="BV378" s="300">
        <f t="shared" si="114"/>
        <v>1</v>
      </c>
      <c r="BW378" s="321">
        <v>0</v>
      </c>
      <c r="BX378" s="298">
        <f t="shared" si="115"/>
        <v>0.43</v>
      </c>
      <c r="BY378">
        <f t="shared" si="116"/>
        <v>0</v>
      </c>
      <c r="BZ378" s="304">
        <f t="shared" si="117"/>
        <v>0</v>
      </c>
      <c r="CB378" s="299">
        <v>0.6</v>
      </c>
      <c r="CC378" s="299">
        <v>0.4</v>
      </c>
      <c r="CD378">
        <f t="shared" si="118"/>
        <v>0</v>
      </c>
      <c r="CE378">
        <f t="shared" si="119"/>
        <v>0</v>
      </c>
      <c r="CF378">
        <f t="shared" si="120"/>
        <v>0</v>
      </c>
      <c r="CG378">
        <f t="shared" si="121"/>
        <v>0</v>
      </c>
      <c r="CH378">
        <f t="shared" si="122"/>
        <v>0</v>
      </c>
      <c r="CI378">
        <f t="shared" si="123"/>
        <v>0</v>
      </c>
      <c r="CJ378">
        <f t="shared" si="124"/>
        <v>0</v>
      </c>
      <c r="CK378">
        <f t="shared" si="125"/>
        <v>0</v>
      </c>
      <c r="CL378">
        <f t="shared" si="126"/>
        <v>0</v>
      </c>
      <c r="CM378">
        <f t="shared" si="128"/>
        <v>0</v>
      </c>
      <c r="CN378">
        <f t="shared" si="127"/>
        <v>0</v>
      </c>
      <c r="CO378">
        <f t="shared" si="111"/>
        <v>0</v>
      </c>
    </row>
    <row r="379" spans="1:93" s="12" customFormat="1" ht="14.65" customHeight="1" x14ac:dyDescent="0.25">
      <c r="A379" s="4">
        <v>2021</v>
      </c>
      <c r="B379" s="4"/>
      <c r="C379" s="4" t="s">
        <v>64</v>
      </c>
      <c r="D379" s="4" t="s">
        <v>65</v>
      </c>
      <c r="E379" s="4"/>
      <c r="F379" s="4" t="s">
        <v>90</v>
      </c>
      <c r="G379" s="5" t="s">
        <v>15</v>
      </c>
      <c r="H379" s="5" t="s">
        <v>21</v>
      </c>
      <c r="I379" s="5" t="s">
        <v>147</v>
      </c>
      <c r="J379" s="5" t="s">
        <v>9</v>
      </c>
      <c r="K379" s="5">
        <v>28</v>
      </c>
      <c r="L379" s="5">
        <v>45</v>
      </c>
      <c r="M379" s="5">
        <v>2500</v>
      </c>
      <c r="N379" s="5" t="s">
        <v>170</v>
      </c>
      <c r="O379" s="6" t="s">
        <v>148</v>
      </c>
      <c r="P379" s="6" t="s">
        <v>80</v>
      </c>
      <c r="Q379" s="6">
        <v>1997</v>
      </c>
      <c r="R379" s="6" t="s">
        <v>2</v>
      </c>
      <c r="S379" s="6">
        <v>21</v>
      </c>
      <c r="T379" s="6">
        <v>12.5</v>
      </c>
      <c r="U379" s="6">
        <v>2024</v>
      </c>
      <c r="V379" s="6">
        <v>28.8</v>
      </c>
      <c r="W379" s="6">
        <v>0</v>
      </c>
      <c r="X379" s="6">
        <v>1100</v>
      </c>
      <c r="Y379" s="6">
        <v>712</v>
      </c>
      <c r="Z379" s="6">
        <v>162</v>
      </c>
      <c r="AA379" s="6">
        <v>50</v>
      </c>
      <c r="AB379" s="6">
        <v>0</v>
      </c>
      <c r="AC379" s="7">
        <v>111</v>
      </c>
      <c r="AD379" s="7" t="s">
        <v>52</v>
      </c>
      <c r="AE379" s="7">
        <v>41.63</v>
      </c>
      <c r="AF379" s="7">
        <v>199</v>
      </c>
      <c r="AG379" s="7">
        <v>28.64</v>
      </c>
      <c r="AH379" s="7">
        <v>42.81</v>
      </c>
      <c r="AI379" s="7">
        <v>46.56</v>
      </c>
      <c r="AJ379" s="9">
        <v>514.38109842033305</v>
      </c>
      <c r="AK379" s="9">
        <v>516.71569610428696</v>
      </c>
      <c r="AL379" s="9">
        <v>553.49143451993496</v>
      </c>
      <c r="AM379" s="9">
        <v>75.988163044468195</v>
      </c>
      <c r="AN379" s="9">
        <v>0.68457804544565903</v>
      </c>
      <c r="AO379" s="9">
        <v>0.103167452301619</v>
      </c>
      <c r="AP379" s="9">
        <v>1110.0803988999701</v>
      </c>
      <c r="AQ379" s="9">
        <v>10.0007243144142</v>
      </c>
      <c r="AR379" s="9">
        <v>5.3531443113608903</v>
      </c>
      <c r="AS379" s="73" t="s">
        <v>169</v>
      </c>
      <c r="AT379" s="8"/>
      <c r="AU379" s="10" t="s">
        <v>169</v>
      </c>
      <c r="AV379" s="10">
        <v>0</v>
      </c>
      <c r="AW379" s="8"/>
      <c r="AX379" s="74" t="s">
        <v>169</v>
      </c>
      <c r="AY379" s="74"/>
      <c r="AZ379" s="74"/>
      <c r="BA379" s="74"/>
      <c r="BB379" s="8"/>
      <c r="BC379" s="8"/>
      <c r="BD379" s="8"/>
      <c r="BE379" s="8"/>
      <c r="BF379" s="12">
        <v>0.44</v>
      </c>
      <c r="BG379" s="13">
        <v>424.15893598710863</v>
      </c>
      <c r="BH379" s="96" t="str">
        <f>+VLOOKUP(G379,Liste!$A$7:$G$50,3,FALSE)</f>
        <v>Pin sylvestre</v>
      </c>
      <c r="BI379" s="96" t="str">
        <f>+VLOOKUP(H379,Liste!$B$7:$G$50,5,FALSE)</f>
        <v>GS Pineraies des plaines du Centre et du Nord Ouest</v>
      </c>
      <c r="BJ379" s="135">
        <f t="shared" si="110"/>
        <v>111</v>
      </c>
      <c r="BK379" s="135" t="str">
        <f t="shared" si="112"/>
        <v>Pin sylvestre_F1_Eclaircie tardive_GS Pineraies des plaines du Centre et du Nord Ouest_111_</v>
      </c>
      <c r="BL379" s="322"/>
      <c r="BM379" s="13">
        <v>103.10617717677235</v>
      </c>
      <c r="BN379" s="13">
        <v>527.26511316388098</v>
      </c>
      <c r="BP379" s="13">
        <v>336.6929998</v>
      </c>
      <c r="BQ379" s="13">
        <v>4.9146287463299796</v>
      </c>
      <c r="BT379" s="298" t="str">
        <f>+VLOOKUP(G379,Liste!$A$7:$H$50,8,FALSE)</f>
        <v>Résineux</v>
      </c>
      <c r="BU379" s="298">
        <f t="shared" si="113"/>
        <v>0</v>
      </c>
      <c r="BV379" s="300">
        <f t="shared" si="114"/>
        <v>1</v>
      </c>
      <c r="BW379" s="321">
        <v>0</v>
      </c>
      <c r="BX379" s="298">
        <f t="shared" si="115"/>
        <v>0.43</v>
      </c>
      <c r="BY379">
        <f t="shared" si="116"/>
        <v>0</v>
      </c>
      <c r="BZ379" s="304">
        <f t="shared" si="117"/>
        <v>0</v>
      </c>
      <c r="CB379" s="299">
        <v>0.6</v>
      </c>
      <c r="CC379" s="299">
        <v>0.4</v>
      </c>
      <c r="CD379">
        <f t="shared" si="118"/>
        <v>0</v>
      </c>
      <c r="CE379">
        <f t="shared" si="119"/>
        <v>0</v>
      </c>
      <c r="CF379">
        <f t="shared" si="120"/>
        <v>0</v>
      </c>
      <c r="CG379">
        <f t="shared" si="121"/>
        <v>0</v>
      </c>
      <c r="CH379">
        <f t="shared" si="122"/>
        <v>0</v>
      </c>
      <c r="CI379">
        <f t="shared" si="123"/>
        <v>0</v>
      </c>
      <c r="CJ379">
        <f t="shared" si="124"/>
        <v>0</v>
      </c>
      <c r="CK379">
        <f t="shared" si="125"/>
        <v>0</v>
      </c>
      <c r="CL379">
        <f t="shared" si="126"/>
        <v>0</v>
      </c>
      <c r="CM379">
        <f t="shared" si="128"/>
        <v>0</v>
      </c>
      <c r="CN379">
        <f t="shared" si="127"/>
        <v>0</v>
      </c>
      <c r="CO379">
        <f t="shared" si="111"/>
        <v>0</v>
      </c>
    </row>
    <row r="380" spans="1:93" s="12" customFormat="1" ht="14.65" customHeight="1" x14ac:dyDescent="0.25">
      <c r="A380" s="4">
        <v>2021</v>
      </c>
      <c r="B380" s="4"/>
      <c r="C380" s="4" t="s">
        <v>64</v>
      </c>
      <c r="D380" s="4" t="s">
        <v>65</v>
      </c>
      <c r="E380" s="4"/>
      <c r="F380" s="4" t="s">
        <v>90</v>
      </c>
      <c r="G380" s="5" t="s">
        <v>15</v>
      </c>
      <c r="H380" s="5" t="s">
        <v>21</v>
      </c>
      <c r="I380" s="5" t="s">
        <v>147</v>
      </c>
      <c r="J380" s="5" t="s">
        <v>9</v>
      </c>
      <c r="K380" s="5">
        <v>28</v>
      </c>
      <c r="L380" s="5">
        <v>45</v>
      </c>
      <c r="M380" s="5">
        <v>2500</v>
      </c>
      <c r="N380" s="5" t="s">
        <v>170</v>
      </c>
      <c r="O380" s="6" t="s">
        <v>148</v>
      </c>
      <c r="P380" s="6" t="s">
        <v>80</v>
      </c>
      <c r="Q380" s="6">
        <v>1997</v>
      </c>
      <c r="R380" s="6" t="s">
        <v>2</v>
      </c>
      <c r="S380" s="6">
        <v>21</v>
      </c>
      <c r="T380" s="6">
        <v>12.5</v>
      </c>
      <c r="U380" s="6">
        <v>2024</v>
      </c>
      <c r="V380" s="6">
        <v>28.8</v>
      </c>
      <c r="W380" s="6">
        <v>0</v>
      </c>
      <c r="X380" s="6">
        <v>1100</v>
      </c>
      <c r="Y380" s="6">
        <v>712</v>
      </c>
      <c r="Z380" s="6">
        <v>162</v>
      </c>
      <c r="AA380" s="6">
        <v>50</v>
      </c>
      <c r="AB380" s="6">
        <v>0</v>
      </c>
      <c r="AC380" s="7">
        <v>111</v>
      </c>
      <c r="AD380" s="7" t="s">
        <v>53</v>
      </c>
      <c r="AE380" s="7">
        <v>41.63</v>
      </c>
      <c r="AF380" s="7">
        <v>70</v>
      </c>
      <c r="AG380" s="7">
        <v>9.84</v>
      </c>
      <c r="AH380" s="7">
        <v>42.31</v>
      </c>
      <c r="AI380" s="7">
        <v>42.31</v>
      </c>
      <c r="AJ380" s="9">
        <v>176.366050528708</v>
      </c>
      <c r="AK380" s="9">
        <v>177.12172528761101</v>
      </c>
      <c r="AL380" s="9">
        <v>189.589495566473</v>
      </c>
      <c r="AM380" s="9">
        <v>75.988163044468195</v>
      </c>
      <c r="AN380" s="9">
        <v>0.68457804544565903</v>
      </c>
      <c r="AO380" s="9">
        <v>0.103167452301619</v>
      </c>
      <c r="AP380" s="9">
        <v>1110.0803988999701</v>
      </c>
      <c r="AQ380" s="9">
        <v>10.0007243144142</v>
      </c>
      <c r="AR380" s="9">
        <v>5.3531443113608903</v>
      </c>
      <c r="AS380" s="73">
        <v>129</v>
      </c>
      <c r="AT380" s="8">
        <v>18.8</v>
      </c>
      <c r="AU380" s="10">
        <v>43.076372992124945</v>
      </c>
      <c r="AV380" s="10">
        <v>338.01504789162504</v>
      </c>
      <c r="AW380" s="8">
        <v>1.01</v>
      </c>
      <c r="AX380" s="74">
        <v>2.6202716890823647</v>
      </c>
      <c r="AY380" s="74"/>
      <c r="AZ380" s="74"/>
      <c r="BA380" s="74"/>
      <c r="BB380" s="8"/>
      <c r="BC380" s="8"/>
      <c r="BD380" s="8"/>
      <c r="BE380" s="8"/>
      <c r="BF380" s="12">
        <v>0.44</v>
      </c>
      <c r="BG380" s="13">
        <v>145.28875010244064</v>
      </c>
      <c r="BH380" s="96" t="str">
        <f>+VLOOKUP(G380,Liste!$A$7:$G$50,3,FALSE)</f>
        <v>Pin sylvestre</v>
      </c>
      <c r="BI380" s="96" t="str">
        <f>+VLOOKUP(H380,Liste!$B$7:$G$50,5,FALSE)</f>
        <v>GS Pineraies des plaines du Centre et du Nord Ouest</v>
      </c>
      <c r="BJ380" s="135">
        <f t="shared" si="110"/>
        <v>111</v>
      </c>
      <c r="BK380" s="135" t="str">
        <f t="shared" si="112"/>
        <v>Pin sylvestre_F1_Eclaircie tardive_GS Pineraies des plaines du Centre et du Nord Ouest_111_</v>
      </c>
      <c r="BL380" s="322"/>
      <c r="BM380" s="13">
        <v>40.008160130773348</v>
      </c>
      <c r="BN380" s="13">
        <v>185.29691023321399</v>
      </c>
      <c r="BO380" s="13">
        <v>341.96820293066696</v>
      </c>
      <c r="BP380" s="13">
        <v>336.6929998</v>
      </c>
      <c r="BQ380" s="13">
        <v>4.9146287463299796</v>
      </c>
      <c r="BT380" s="298" t="str">
        <f>+VLOOKUP(G380,Liste!$A$7:$H$50,8,FALSE)</f>
        <v>Résineux</v>
      </c>
      <c r="BU380" s="298">
        <f t="shared" si="113"/>
        <v>0</v>
      </c>
      <c r="BV380" s="300">
        <f t="shared" si="114"/>
        <v>1</v>
      </c>
      <c r="BW380" s="321">
        <v>0</v>
      </c>
      <c r="BX380" s="298">
        <f t="shared" si="115"/>
        <v>0.43</v>
      </c>
      <c r="BY380">
        <f t="shared" si="116"/>
        <v>0</v>
      </c>
      <c r="BZ380" s="304">
        <f t="shared" si="117"/>
        <v>0</v>
      </c>
      <c r="CB380" s="299">
        <v>0.6</v>
      </c>
      <c r="CC380" s="299">
        <v>0.4</v>
      </c>
      <c r="CD380">
        <f t="shared" si="118"/>
        <v>0</v>
      </c>
      <c r="CE380">
        <f t="shared" si="119"/>
        <v>0</v>
      </c>
      <c r="CF380">
        <f t="shared" si="120"/>
        <v>0</v>
      </c>
      <c r="CG380">
        <f t="shared" si="121"/>
        <v>0</v>
      </c>
      <c r="CH380">
        <f t="shared" si="122"/>
        <v>0</v>
      </c>
      <c r="CI380">
        <f t="shared" si="123"/>
        <v>0</v>
      </c>
      <c r="CJ380">
        <f t="shared" si="124"/>
        <v>0</v>
      </c>
      <c r="CK380">
        <f t="shared" si="125"/>
        <v>0</v>
      </c>
      <c r="CL380">
        <f t="shared" si="126"/>
        <v>0</v>
      </c>
      <c r="CM380">
        <f t="shared" si="128"/>
        <v>0</v>
      </c>
      <c r="CN380">
        <f t="shared" si="127"/>
        <v>0</v>
      </c>
      <c r="CO380">
        <f t="shared" si="111"/>
        <v>0</v>
      </c>
    </row>
    <row r="381" spans="1:93" s="12" customFormat="1" ht="14.65" customHeight="1" x14ac:dyDescent="0.25">
      <c r="A381" s="4">
        <v>2021</v>
      </c>
      <c r="B381" s="4"/>
      <c r="C381" s="4" t="s">
        <v>64</v>
      </c>
      <c r="D381" s="4" t="s">
        <v>65</v>
      </c>
      <c r="E381" s="4"/>
      <c r="F381" s="4" t="s">
        <v>90</v>
      </c>
      <c r="G381" s="5" t="s">
        <v>15</v>
      </c>
      <c r="H381" s="5" t="s">
        <v>21</v>
      </c>
      <c r="I381" s="5" t="s">
        <v>147</v>
      </c>
      <c r="J381" s="5" t="s">
        <v>9</v>
      </c>
      <c r="K381" s="5">
        <v>28</v>
      </c>
      <c r="L381" s="5">
        <v>45</v>
      </c>
      <c r="M381" s="5">
        <v>2500</v>
      </c>
      <c r="N381" s="5" t="s">
        <v>170</v>
      </c>
      <c r="O381" s="6" t="s">
        <v>148</v>
      </c>
      <c r="P381" s="6" t="s">
        <v>80</v>
      </c>
      <c r="Q381" s="6">
        <v>1997</v>
      </c>
      <c r="R381" s="6" t="s">
        <v>2</v>
      </c>
      <c r="S381" s="6">
        <v>21</v>
      </c>
      <c r="T381" s="6">
        <v>12.5</v>
      </c>
      <c r="U381" s="6">
        <v>2024</v>
      </c>
      <c r="V381" s="6">
        <v>28.8</v>
      </c>
      <c r="W381" s="6">
        <v>0</v>
      </c>
      <c r="X381" s="6">
        <v>1100</v>
      </c>
      <c r="Y381" s="6">
        <v>712</v>
      </c>
      <c r="Z381" s="6">
        <v>162</v>
      </c>
      <c r="AA381" s="6">
        <v>50</v>
      </c>
      <c r="AB381" s="6">
        <v>0</v>
      </c>
      <c r="AC381" s="7">
        <v>112</v>
      </c>
      <c r="AD381" s="7" t="s">
        <v>52</v>
      </c>
      <c r="AE381" s="7">
        <v>41.76</v>
      </c>
      <c r="AF381" s="7">
        <v>70</v>
      </c>
      <c r="AG381" s="7">
        <v>9.94</v>
      </c>
      <c r="AH381" s="7">
        <v>42.53</v>
      </c>
      <c r="AI381" s="7">
        <v>42.53</v>
      </c>
      <c r="AJ381" s="9">
        <v>181.837494301638</v>
      </c>
      <c r="AK381" s="9">
        <v>182.57639766197701</v>
      </c>
      <c r="AL381" s="9">
        <v>194.94263987783401</v>
      </c>
      <c r="AM381" s="9">
        <v>76.0913304967698</v>
      </c>
      <c r="AN381" s="9">
        <v>0.67938687943544496</v>
      </c>
      <c r="AO381" s="9">
        <v>0.101666053756531</v>
      </c>
      <c r="AP381" s="9">
        <v>1115.4335432113301</v>
      </c>
      <c r="AQ381" s="9">
        <v>9.9592280643869096</v>
      </c>
      <c r="AR381" s="9">
        <v>2.5299848315244202</v>
      </c>
      <c r="AS381" s="73" t="s">
        <v>169</v>
      </c>
      <c r="AT381" s="8"/>
      <c r="AU381" s="10" t="s">
        <v>169</v>
      </c>
      <c r="AV381" s="10">
        <v>0</v>
      </c>
      <c r="AW381" s="8"/>
      <c r="AX381" s="74" t="s">
        <v>169</v>
      </c>
      <c r="AY381" s="74"/>
      <c r="AZ381" s="74"/>
      <c r="BA381" s="74"/>
      <c r="BB381" s="8"/>
      <c r="BC381" s="8"/>
      <c r="BD381" s="8"/>
      <c r="BE381" s="8"/>
      <c r="BF381" s="12">
        <v>0.44</v>
      </c>
      <c r="BG381" s="13">
        <v>149.39104302638012</v>
      </c>
      <c r="BH381" s="96" t="str">
        <f>+VLOOKUP(G381,Liste!$A$7:$G$50,3,FALSE)</f>
        <v>Pin sylvestre</v>
      </c>
      <c r="BI381" s="96" t="str">
        <f>+VLOOKUP(H381,Liste!$B$7:$G$50,5,FALSE)</f>
        <v>GS Pineraies des plaines du Centre et du Nord Ouest</v>
      </c>
      <c r="BJ381" s="135">
        <f t="shared" si="110"/>
        <v>112</v>
      </c>
      <c r="BK381" s="135" t="str">
        <f t="shared" si="112"/>
        <v>Pin sylvestre_F1_Eclaircie tardive_GS Pineraies des plaines du Centre et du Nord Ouest_112_</v>
      </c>
      <c r="BL381" s="322"/>
      <c r="BM381" s="13">
        <v>41.00469409175787</v>
      </c>
      <c r="BN381" s="13">
        <v>190.39573711813799</v>
      </c>
      <c r="BP381" s="13">
        <v>336.6929998</v>
      </c>
      <c r="BQ381" s="13">
        <v>2.3225770790368201</v>
      </c>
      <c r="BT381" s="298" t="str">
        <f>+VLOOKUP(G381,Liste!$A$7:$H$50,8,FALSE)</f>
        <v>Résineux</v>
      </c>
      <c r="BU381" s="298">
        <f t="shared" si="113"/>
        <v>0</v>
      </c>
      <c r="BV381" s="300">
        <f t="shared" si="114"/>
        <v>1</v>
      </c>
      <c r="BW381" s="321">
        <v>0</v>
      </c>
      <c r="BX381" s="298">
        <f t="shared" si="115"/>
        <v>0.43</v>
      </c>
      <c r="BY381">
        <f t="shared" si="116"/>
        <v>0</v>
      </c>
      <c r="BZ381" s="304">
        <f t="shared" si="117"/>
        <v>0</v>
      </c>
      <c r="CB381" s="299">
        <v>0.6</v>
      </c>
      <c r="CC381" s="299">
        <v>0.4</v>
      </c>
      <c r="CD381">
        <f t="shared" si="118"/>
        <v>0</v>
      </c>
      <c r="CE381">
        <f t="shared" si="119"/>
        <v>0</v>
      </c>
      <c r="CF381">
        <f t="shared" si="120"/>
        <v>0</v>
      </c>
      <c r="CG381">
        <f t="shared" si="121"/>
        <v>0</v>
      </c>
      <c r="CH381">
        <f t="shared" si="122"/>
        <v>0</v>
      </c>
      <c r="CI381">
        <f t="shared" si="123"/>
        <v>0</v>
      </c>
      <c r="CJ381">
        <f t="shared" si="124"/>
        <v>0</v>
      </c>
      <c r="CK381">
        <f t="shared" si="125"/>
        <v>0</v>
      </c>
      <c r="CL381">
        <f t="shared" si="126"/>
        <v>0</v>
      </c>
      <c r="CM381">
        <f t="shared" si="128"/>
        <v>0</v>
      </c>
      <c r="CN381">
        <f t="shared" si="127"/>
        <v>0</v>
      </c>
      <c r="CO381">
        <f t="shared" si="111"/>
        <v>0</v>
      </c>
    </row>
    <row r="382" spans="1:93" s="12" customFormat="1" ht="14.65" customHeight="1" x14ac:dyDescent="0.25">
      <c r="A382" s="4">
        <v>2021</v>
      </c>
      <c r="B382" s="4"/>
      <c r="C382" s="4" t="s">
        <v>64</v>
      </c>
      <c r="D382" s="4" t="s">
        <v>65</v>
      </c>
      <c r="E382" s="4"/>
      <c r="F382" s="4" t="s">
        <v>90</v>
      </c>
      <c r="G382" s="5" t="s">
        <v>15</v>
      </c>
      <c r="H382" s="5" t="s">
        <v>21</v>
      </c>
      <c r="I382" s="5" t="s">
        <v>147</v>
      </c>
      <c r="J382" s="5" t="s">
        <v>9</v>
      </c>
      <c r="K382" s="5">
        <v>28</v>
      </c>
      <c r="L382" s="5">
        <v>45</v>
      </c>
      <c r="M382" s="5">
        <v>2500</v>
      </c>
      <c r="N382" s="5" t="s">
        <v>170</v>
      </c>
      <c r="O382" s="6" t="s">
        <v>148</v>
      </c>
      <c r="P382" s="6" t="s">
        <v>80</v>
      </c>
      <c r="Q382" s="6">
        <v>1997</v>
      </c>
      <c r="R382" s="6" t="s">
        <v>2</v>
      </c>
      <c r="S382" s="6">
        <v>21</v>
      </c>
      <c r="T382" s="6">
        <v>12.5</v>
      </c>
      <c r="U382" s="6">
        <v>2024</v>
      </c>
      <c r="V382" s="6">
        <v>28.8</v>
      </c>
      <c r="W382" s="6">
        <v>0</v>
      </c>
      <c r="X382" s="6">
        <v>1100</v>
      </c>
      <c r="Y382" s="6">
        <v>712</v>
      </c>
      <c r="Z382" s="6">
        <v>162</v>
      </c>
      <c r="AA382" s="6">
        <v>50</v>
      </c>
      <c r="AB382" s="6">
        <v>0</v>
      </c>
      <c r="AC382" s="7">
        <v>113</v>
      </c>
      <c r="AD382" s="7" t="s">
        <v>52</v>
      </c>
      <c r="AE382" s="7">
        <v>41.89</v>
      </c>
      <c r="AF382" s="7">
        <v>70</v>
      </c>
      <c r="AG382" s="7">
        <v>10.050000000000001</v>
      </c>
      <c r="AH382" s="7">
        <v>42.75</v>
      </c>
      <c r="AI382" s="7">
        <v>42.75</v>
      </c>
      <c r="AJ382" s="9">
        <v>184.22704666921501</v>
      </c>
      <c r="AK382" s="9">
        <v>184.97844083679101</v>
      </c>
      <c r="AL382" s="9">
        <v>197.472624709358</v>
      </c>
      <c r="AM382" s="9">
        <v>76.192996550526303</v>
      </c>
      <c r="AN382" s="9">
        <v>0.67427430575686997</v>
      </c>
      <c r="AO382" s="9">
        <v>0.100339853979776</v>
      </c>
      <c r="AP382" s="9">
        <v>1117.9635280428599</v>
      </c>
      <c r="AQ382" s="9">
        <v>9.8934825490518499</v>
      </c>
      <c r="AR382" s="9">
        <v>2.5403499065537298</v>
      </c>
      <c r="AS382" s="73" t="s">
        <v>169</v>
      </c>
      <c r="AT382" s="8"/>
      <c r="AU382" s="10" t="s">
        <v>169</v>
      </c>
      <c r="AV382" s="10">
        <v>0</v>
      </c>
      <c r="AW382" s="8"/>
      <c r="AX382" s="74" t="s">
        <v>169</v>
      </c>
      <c r="AY382" s="74"/>
      <c r="AZ382" s="74"/>
      <c r="BA382" s="74"/>
      <c r="BB382" s="8"/>
      <c r="BC382" s="8"/>
      <c r="BD382" s="8"/>
      <c r="BE382" s="8"/>
      <c r="BF382" s="12">
        <v>0.44</v>
      </c>
      <c r="BG382" s="13">
        <v>151.32985473560495</v>
      </c>
      <c r="BH382" s="96" t="str">
        <f>+VLOOKUP(G382,Liste!$A$7:$G$50,3,FALSE)</f>
        <v>Pin sylvestre</v>
      </c>
      <c r="BI382" s="96" t="str">
        <f>+VLOOKUP(H382,Liste!$B$7:$G$50,5,FALSE)</f>
        <v>GS Pineraies des plaines du Centre et du Nord Ouest</v>
      </c>
      <c r="BJ382" s="135">
        <f t="shared" si="110"/>
        <v>113</v>
      </c>
      <c r="BK382" s="135" t="str">
        <f t="shared" si="112"/>
        <v>Pin sylvestre_F1_Eclaircie tardive_GS Pineraies des plaines du Centre et du Nord Ouest_113_</v>
      </c>
      <c r="BL382" s="322"/>
      <c r="BM382" s="13">
        <v>41.474559826550035</v>
      </c>
      <c r="BN382" s="13">
        <v>192.80441456215499</v>
      </c>
      <c r="BP382" s="13">
        <v>336.6929998</v>
      </c>
      <c r="BQ382" s="13">
        <v>2.3319907282448198</v>
      </c>
      <c r="BT382" s="298" t="str">
        <f>+VLOOKUP(G382,Liste!$A$7:$H$50,8,FALSE)</f>
        <v>Résineux</v>
      </c>
      <c r="BU382" s="298">
        <f t="shared" si="113"/>
        <v>0</v>
      </c>
      <c r="BV382" s="300">
        <f t="shared" si="114"/>
        <v>1</v>
      </c>
      <c r="BW382" s="321">
        <v>0</v>
      </c>
      <c r="BX382" s="298">
        <f t="shared" si="115"/>
        <v>0.43</v>
      </c>
      <c r="BY382">
        <f t="shared" si="116"/>
        <v>0</v>
      </c>
      <c r="BZ382" s="304">
        <f t="shared" si="117"/>
        <v>0</v>
      </c>
      <c r="CB382" s="299">
        <v>0.6</v>
      </c>
      <c r="CC382" s="299">
        <v>0.4</v>
      </c>
      <c r="CD382">
        <f t="shared" si="118"/>
        <v>0</v>
      </c>
      <c r="CE382">
        <f t="shared" si="119"/>
        <v>0</v>
      </c>
      <c r="CF382">
        <f t="shared" si="120"/>
        <v>0</v>
      </c>
      <c r="CG382">
        <f t="shared" si="121"/>
        <v>0</v>
      </c>
      <c r="CH382">
        <f t="shared" si="122"/>
        <v>0</v>
      </c>
      <c r="CI382">
        <f t="shared" si="123"/>
        <v>0</v>
      </c>
      <c r="CJ382">
        <f t="shared" si="124"/>
        <v>0</v>
      </c>
      <c r="CK382">
        <f t="shared" si="125"/>
        <v>0</v>
      </c>
      <c r="CL382">
        <f t="shared" si="126"/>
        <v>0</v>
      </c>
      <c r="CM382">
        <f t="shared" si="128"/>
        <v>0</v>
      </c>
      <c r="CN382">
        <f t="shared" si="127"/>
        <v>0</v>
      </c>
      <c r="CO382">
        <f t="shared" si="111"/>
        <v>0</v>
      </c>
    </row>
    <row r="383" spans="1:93" s="12" customFormat="1" ht="14.65" customHeight="1" x14ac:dyDescent="0.25">
      <c r="A383" s="4">
        <v>2021</v>
      </c>
      <c r="B383" s="4"/>
      <c r="C383" s="4" t="s">
        <v>64</v>
      </c>
      <c r="D383" s="4" t="s">
        <v>65</v>
      </c>
      <c r="E383" s="4"/>
      <c r="F383" s="4" t="s">
        <v>90</v>
      </c>
      <c r="G383" s="5" t="s">
        <v>15</v>
      </c>
      <c r="H383" s="5" t="s">
        <v>21</v>
      </c>
      <c r="I383" s="5" t="s">
        <v>147</v>
      </c>
      <c r="J383" s="5" t="s">
        <v>9</v>
      </c>
      <c r="K383" s="5">
        <v>28</v>
      </c>
      <c r="L383" s="5">
        <v>45</v>
      </c>
      <c r="M383" s="5">
        <v>2500</v>
      </c>
      <c r="N383" s="5" t="s">
        <v>170</v>
      </c>
      <c r="O383" s="6" t="s">
        <v>148</v>
      </c>
      <c r="P383" s="6" t="s">
        <v>80</v>
      </c>
      <c r="Q383" s="6">
        <v>1997</v>
      </c>
      <c r="R383" s="6" t="s">
        <v>2</v>
      </c>
      <c r="S383" s="6">
        <v>21</v>
      </c>
      <c r="T383" s="6">
        <v>12.5</v>
      </c>
      <c r="U383" s="6">
        <v>2024</v>
      </c>
      <c r="V383" s="6">
        <v>28.8</v>
      </c>
      <c r="W383" s="6">
        <v>0</v>
      </c>
      <c r="X383" s="6">
        <v>1100</v>
      </c>
      <c r="Y383" s="6">
        <v>712</v>
      </c>
      <c r="Z383" s="6">
        <v>162</v>
      </c>
      <c r="AA383" s="6">
        <v>50</v>
      </c>
      <c r="AB383" s="6">
        <v>0</v>
      </c>
      <c r="AC383" s="7">
        <v>114</v>
      </c>
      <c r="AD383" s="7" t="s">
        <v>52</v>
      </c>
      <c r="AE383" s="7">
        <v>42.02</v>
      </c>
      <c r="AF383" s="7">
        <v>70</v>
      </c>
      <c r="AG383" s="7">
        <v>10.15</v>
      </c>
      <c r="AH383" s="7">
        <v>42.96</v>
      </c>
      <c r="AI383" s="7">
        <v>42.96</v>
      </c>
      <c r="AJ383" s="9">
        <v>186.63211280086</v>
      </c>
      <c r="AK383" s="9">
        <v>187.395528854292</v>
      </c>
      <c r="AL383" s="9">
        <v>200.01297461591199</v>
      </c>
      <c r="AM383" s="9">
        <v>76.293336404506107</v>
      </c>
      <c r="AN383" s="9">
        <v>0.669239793021984</v>
      </c>
      <c r="AO383" s="9">
        <v>9.90256079630569E-2</v>
      </c>
      <c r="AP383" s="9">
        <v>1120.50387794941</v>
      </c>
      <c r="AQ383" s="9">
        <v>9.8289813855211605</v>
      </c>
      <c r="AR383" s="9">
        <v>2.47219987292624</v>
      </c>
      <c r="AS383" s="73" t="s">
        <v>169</v>
      </c>
      <c r="AT383" s="8"/>
      <c r="AU383" s="10" t="s">
        <v>169</v>
      </c>
      <c r="AV383" s="10">
        <v>0</v>
      </c>
      <c r="AW383" s="8"/>
      <c r="AX383" s="74" t="s">
        <v>169</v>
      </c>
      <c r="AY383" s="74"/>
      <c r="AZ383" s="74"/>
      <c r="BA383" s="74"/>
      <c r="BB383" s="8"/>
      <c r="BC383" s="8"/>
      <c r="BD383" s="8"/>
      <c r="BE383" s="8"/>
      <c r="BF383" s="12">
        <v>0.44</v>
      </c>
      <c r="BG383" s="13">
        <v>153.27660954732721</v>
      </c>
      <c r="BH383" s="96" t="str">
        <f>+VLOOKUP(G383,Liste!$A$7:$G$50,3,FALSE)</f>
        <v>Pin sylvestre</v>
      </c>
      <c r="BI383" s="96" t="str">
        <f>+VLOOKUP(H383,Liste!$B$7:$G$50,5,FALSE)</f>
        <v>GS Pineraies des plaines du Centre et du Nord Ouest</v>
      </c>
      <c r="BJ383" s="135">
        <f t="shared" si="110"/>
        <v>114</v>
      </c>
      <c r="BK383" s="135" t="str">
        <f t="shared" si="112"/>
        <v>Pin sylvestre_F1_Eclaircie tardive_GS Pineraies des plaines du Centre et du Nord Ouest_114_</v>
      </c>
      <c r="BL383" s="322"/>
      <c r="BM383" s="13">
        <v>41.945646048211785</v>
      </c>
      <c r="BN383" s="13">
        <v>195.222255595539</v>
      </c>
      <c r="BP383" s="13">
        <v>336.6929998</v>
      </c>
      <c r="BQ383" s="13">
        <v>2.26933275441024</v>
      </c>
      <c r="BT383" s="298" t="str">
        <f>+VLOOKUP(G383,Liste!$A$7:$H$50,8,FALSE)</f>
        <v>Résineux</v>
      </c>
      <c r="BU383" s="298">
        <f t="shared" si="113"/>
        <v>0</v>
      </c>
      <c r="BV383" s="300">
        <f t="shared" si="114"/>
        <v>1</v>
      </c>
      <c r="BW383" s="321">
        <v>0</v>
      </c>
      <c r="BX383" s="298">
        <f t="shared" si="115"/>
        <v>0.43</v>
      </c>
      <c r="BY383">
        <f t="shared" si="116"/>
        <v>0</v>
      </c>
      <c r="BZ383" s="304">
        <f t="shared" si="117"/>
        <v>0</v>
      </c>
      <c r="CB383" s="299">
        <v>0.6</v>
      </c>
      <c r="CC383" s="299">
        <v>0.4</v>
      </c>
      <c r="CD383">
        <f t="shared" si="118"/>
        <v>0</v>
      </c>
      <c r="CE383">
        <f t="shared" si="119"/>
        <v>0</v>
      </c>
      <c r="CF383">
        <f t="shared" si="120"/>
        <v>0</v>
      </c>
      <c r="CG383">
        <f t="shared" si="121"/>
        <v>0</v>
      </c>
      <c r="CH383">
        <f t="shared" si="122"/>
        <v>0</v>
      </c>
      <c r="CI383">
        <f t="shared" si="123"/>
        <v>0</v>
      </c>
      <c r="CJ383">
        <f t="shared" si="124"/>
        <v>0</v>
      </c>
      <c r="CK383">
        <f t="shared" si="125"/>
        <v>0</v>
      </c>
      <c r="CL383">
        <f t="shared" si="126"/>
        <v>0</v>
      </c>
      <c r="CM383">
        <f t="shared" si="128"/>
        <v>0</v>
      </c>
      <c r="CN383">
        <f t="shared" si="127"/>
        <v>0</v>
      </c>
      <c r="CO383">
        <f t="shared" si="111"/>
        <v>0</v>
      </c>
    </row>
    <row r="384" spans="1:93" s="12" customFormat="1" ht="14.65" customHeight="1" x14ac:dyDescent="0.25">
      <c r="A384" s="4">
        <v>2021</v>
      </c>
      <c r="B384" s="4"/>
      <c r="C384" s="4" t="s">
        <v>64</v>
      </c>
      <c r="D384" s="4" t="s">
        <v>65</v>
      </c>
      <c r="E384" s="4"/>
      <c r="F384" s="4" t="s">
        <v>90</v>
      </c>
      <c r="G384" s="5" t="s">
        <v>15</v>
      </c>
      <c r="H384" s="5" t="s">
        <v>21</v>
      </c>
      <c r="I384" s="5" t="s">
        <v>147</v>
      </c>
      <c r="J384" s="5" t="s">
        <v>9</v>
      </c>
      <c r="K384" s="5">
        <v>28</v>
      </c>
      <c r="L384" s="5">
        <v>45</v>
      </c>
      <c r="M384" s="5">
        <v>2500</v>
      </c>
      <c r="N384" s="5" t="s">
        <v>170</v>
      </c>
      <c r="O384" s="6" t="s">
        <v>148</v>
      </c>
      <c r="P384" s="6" t="s">
        <v>80</v>
      </c>
      <c r="Q384" s="6">
        <v>1997</v>
      </c>
      <c r="R384" s="6" t="s">
        <v>2</v>
      </c>
      <c r="S384" s="6">
        <v>21</v>
      </c>
      <c r="T384" s="6">
        <v>12.5</v>
      </c>
      <c r="U384" s="6">
        <v>2024</v>
      </c>
      <c r="V384" s="6">
        <v>28.8</v>
      </c>
      <c r="W384" s="6">
        <v>0</v>
      </c>
      <c r="X384" s="6">
        <v>1100</v>
      </c>
      <c r="Y384" s="6">
        <v>712</v>
      </c>
      <c r="Z384" s="6">
        <v>162</v>
      </c>
      <c r="AA384" s="6">
        <v>50</v>
      </c>
      <c r="AB384" s="6">
        <v>0</v>
      </c>
      <c r="AC384" s="7">
        <v>115</v>
      </c>
      <c r="AD384" s="7" t="s">
        <v>52</v>
      </c>
      <c r="AE384" s="7">
        <v>42.15</v>
      </c>
      <c r="AF384" s="7">
        <v>70</v>
      </c>
      <c r="AG384" s="7">
        <v>10.25</v>
      </c>
      <c r="AH384" s="7">
        <v>43.17</v>
      </c>
      <c r="AI384" s="7">
        <v>43.17</v>
      </c>
      <c r="AJ384" s="9">
        <v>188.96684296811199</v>
      </c>
      <c r="AK384" s="9">
        <v>189.74258993430101</v>
      </c>
      <c r="AL384" s="9">
        <v>202.485174488838</v>
      </c>
      <c r="AM384" s="9">
        <v>76.392362012469206</v>
      </c>
      <c r="AN384" s="9">
        <v>0.66428140880408004</v>
      </c>
      <c r="AO384" s="9"/>
      <c r="AP384" s="9">
        <v>1122.9760778223399</v>
      </c>
      <c r="AQ384" s="9">
        <v>9.7650093723681604</v>
      </c>
      <c r="AR384" s="9"/>
      <c r="AS384" s="73" t="s">
        <v>169</v>
      </c>
      <c r="AT384" s="8"/>
      <c r="AU384" s="10" t="s">
        <v>169</v>
      </c>
      <c r="AV384" s="10">
        <v>0</v>
      </c>
      <c r="AW384" s="8"/>
      <c r="AX384" s="74" t="s">
        <v>169</v>
      </c>
      <c r="AY384" s="74"/>
      <c r="AZ384" s="74"/>
      <c r="BA384" s="74"/>
      <c r="BB384" s="8"/>
      <c r="BC384" s="8"/>
      <c r="BD384" s="8"/>
      <c r="BE384" s="8"/>
      <c r="BF384" s="12">
        <v>0.44</v>
      </c>
      <c r="BG384" s="13">
        <v>155.17113871661306</v>
      </c>
      <c r="BH384" s="96" t="str">
        <f>+VLOOKUP(G384,Liste!$A$7:$G$50,3,FALSE)</f>
        <v>Pin sylvestre</v>
      </c>
      <c r="BI384" s="96" t="str">
        <f>+VLOOKUP(H384,Liste!$B$7:$G$50,5,FALSE)</f>
        <v>GS Pineraies des plaines du Centre et du Nord Ouest</v>
      </c>
      <c r="BJ384" s="135">
        <f t="shared" si="110"/>
        <v>115</v>
      </c>
      <c r="BK384" s="135" t="str">
        <f t="shared" si="112"/>
        <v>Pin sylvestre_F1_Eclaircie tardive_GS Pineraies des plaines du Centre et du Nord Ouest_115_</v>
      </c>
      <c r="BL384" s="322"/>
      <c r="BM384" s="13">
        <v>42.403426145040953</v>
      </c>
      <c r="BN384" s="13">
        <v>197.57456486165401</v>
      </c>
      <c r="BP384" s="13">
        <v>336.6929998</v>
      </c>
      <c r="BQ384" s="13"/>
      <c r="BT384" s="298" t="str">
        <f>+VLOOKUP(G384,Liste!$A$7:$H$50,8,FALSE)</f>
        <v>Résineux</v>
      </c>
      <c r="BU384" s="298">
        <f t="shared" si="113"/>
        <v>0</v>
      </c>
      <c r="BV384" s="300">
        <f t="shared" si="114"/>
        <v>1</v>
      </c>
      <c r="BW384" s="321">
        <v>0</v>
      </c>
      <c r="BX384" s="298">
        <f t="shared" si="115"/>
        <v>0.43</v>
      </c>
      <c r="BY384">
        <f t="shared" si="116"/>
        <v>0</v>
      </c>
      <c r="BZ384" s="304">
        <f t="shared" si="117"/>
        <v>0</v>
      </c>
      <c r="CB384" s="299">
        <v>0.6</v>
      </c>
      <c r="CC384" s="299">
        <v>0.4</v>
      </c>
      <c r="CD384">
        <f t="shared" si="118"/>
        <v>0</v>
      </c>
      <c r="CE384">
        <f t="shared" si="119"/>
        <v>0</v>
      </c>
      <c r="CF384">
        <f t="shared" si="120"/>
        <v>0</v>
      </c>
      <c r="CG384">
        <f t="shared" si="121"/>
        <v>0</v>
      </c>
      <c r="CH384">
        <f t="shared" si="122"/>
        <v>0</v>
      </c>
      <c r="CI384">
        <f t="shared" si="123"/>
        <v>0</v>
      </c>
      <c r="CJ384">
        <f t="shared" si="124"/>
        <v>0</v>
      </c>
      <c r="CK384">
        <f t="shared" si="125"/>
        <v>0</v>
      </c>
      <c r="CL384">
        <f t="shared" si="126"/>
        <v>0</v>
      </c>
      <c r="CM384">
        <f t="shared" si="128"/>
        <v>0</v>
      </c>
      <c r="CN384">
        <f t="shared" si="127"/>
        <v>0</v>
      </c>
      <c r="CO384">
        <f t="shared" si="111"/>
        <v>0</v>
      </c>
    </row>
    <row r="385" spans="1:93" s="12" customFormat="1" ht="14.65" customHeight="1" x14ac:dyDescent="0.25">
      <c r="A385" s="4">
        <v>2021</v>
      </c>
      <c r="B385" s="4"/>
      <c r="C385" s="4" t="s">
        <v>64</v>
      </c>
      <c r="D385" s="4" t="s">
        <v>65</v>
      </c>
      <c r="E385" s="4"/>
      <c r="F385" s="4" t="s">
        <v>90</v>
      </c>
      <c r="G385" s="5" t="s">
        <v>15</v>
      </c>
      <c r="H385" s="5" t="s">
        <v>21</v>
      </c>
      <c r="I385" s="5" t="s">
        <v>147</v>
      </c>
      <c r="J385" s="5" t="s">
        <v>9</v>
      </c>
      <c r="K385" s="5">
        <v>28</v>
      </c>
      <c r="L385" s="5">
        <v>45</v>
      </c>
      <c r="M385" s="5">
        <v>2500</v>
      </c>
      <c r="N385" s="5" t="s">
        <v>170</v>
      </c>
      <c r="O385" s="6" t="s">
        <v>148</v>
      </c>
      <c r="P385" s="6" t="s">
        <v>80</v>
      </c>
      <c r="Q385" s="6">
        <v>1997</v>
      </c>
      <c r="R385" s="6" t="s">
        <v>2</v>
      </c>
      <c r="S385" s="6">
        <v>21</v>
      </c>
      <c r="T385" s="6">
        <v>12.5</v>
      </c>
      <c r="U385" s="6">
        <v>2024</v>
      </c>
      <c r="V385" s="6">
        <v>28.8</v>
      </c>
      <c r="W385" s="6">
        <v>0</v>
      </c>
      <c r="X385" s="6">
        <v>1100</v>
      </c>
      <c r="Y385" s="6">
        <v>712</v>
      </c>
      <c r="Z385" s="6">
        <v>162</v>
      </c>
      <c r="AA385" s="6">
        <v>50</v>
      </c>
      <c r="AB385" s="6">
        <v>0</v>
      </c>
      <c r="AC385" s="7">
        <v>115</v>
      </c>
      <c r="AD385" s="7" t="s">
        <v>53</v>
      </c>
      <c r="AE385" s="7">
        <v>42.15</v>
      </c>
      <c r="AF385" s="7">
        <v>0</v>
      </c>
      <c r="AG385" s="7">
        <v>0</v>
      </c>
      <c r="AH385" s="7">
        <v>0</v>
      </c>
      <c r="AI385" s="7">
        <v>0</v>
      </c>
      <c r="AJ385" s="9">
        <v>0</v>
      </c>
      <c r="AK385" s="9">
        <v>0</v>
      </c>
      <c r="AL385" s="9">
        <v>0</v>
      </c>
      <c r="AM385" s="9">
        <v>76.392362012469206</v>
      </c>
      <c r="AN385" s="9">
        <v>0.66428140880408004</v>
      </c>
      <c r="AO385" s="9"/>
      <c r="AP385" s="9">
        <v>1122.9760778223399</v>
      </c>
      <c r="AQ385" s="9">
        <v>9.7650093723681604</v>
      </c>
      <c r="AR385" s="9"/>
      <c r="AS385" s="73">
        <v>70</v>
      </c>
      <c r="AT385" s="8">
        <v>10.25</v>
      </c>
      <c r="AU385" s="10">
        <v>43.178541849156339</v>
      </c>
      <c r="AV385" s="10">
        <v>188.96684296811199</v>
      </c>
      <c r="AW385" s="8">
        <v>1</v>
      </c>
      <c r="AX385" s="74">
        <v>2.6995263281158857</v>
      </c>
      <c r="AY385" s="74"/>
      <c r="AZ385" s="74"/>
      <c r="BA385" s="74"/>
      <c r="BB385" s="8"/>
      <c r="BC385" s="8"/>
      <c r="BD385" s="8"/>
      <c r="BE385" s="8"/>
      <c r="BF385" s="12">
        <v>0.44</v>
      </c>
      <c r="BG385" s="13">
        <v>0</v>
      </c>
      <c r="BH385" s="96" t="str">
        <f>+VLOOKUP(G385,Liste!$A$7:$G$50,3,FALSE)</f>
        <v>Pin sylvestre</v>
      </c>
      <c r="BI385" s="96" t="str">
        <f>+VLOOKUP(H385,Liste!$B$7:$G$50,5,FALSE)</f>
        <v>GS Pineraies des plaines du Centre et du Nord Ouest</v>
      </c>
      <c r="BJ385" s="135">
        <f t="shared" si="110"/>
        <v>115</v>
      </c>
      <c r="BK385" s="135" t="str">
        <f t="shared" si="112"/>
        <v>Pin sylvestre_F1_Eclaircie tardive_GS Pineraies des plaines du Centre et du Nord Ouest_115_</v>
      </c>
      <c r="BL385" s="322"/>
      <c r="BM385" s="13">
        <v>0</v>
      </c>
      <c r="BN385" s="13">
        <v>0</v>
      </c>
      <c r="BO385" s="13">
        <v>197.57456486165401</v>
      </c>
      <c r="BP385" s="13">
        <v>336.6929998</v>
      </c>
      <c r="BQ385" s="13"/>
      <c r="BT385" s="298" t="str">
        <f>+VLOOKUP(G385,Liste!$A$7:$H$50,8,FALSE)</f>
        <v>Résineux</v>
      </c>
      <c r="BU385" s="298">
        <f t="shared" si="113"/>
        <v>0</v>
      </c>
      <c r="BV385" s="300">
        <f t="shared" si="114"/>
        <v>1</v>
      </c>
      <c r="BW385" s="321">
        <v>0</v>
      </c>
      <c r="BX385" s="298">
        <f t="shared" si="115"/>
        <v>0.43</v>
      </c>
      <c r="BY385">
        <f t="shared" si="116"/>
        <v>0</v>
      </c>
      <c r="BZ385" s="304">
        <f t="shared" si="117"/>
        <v>0</v>
      </c>
      <c r="CB385" s="299">
        <v>0.6</v>
      </c>
      <c r="CC385" s="299">
        <v>0.4</v>
      </c>
      <c r="CD385">
        <f t="shared" si="118"/>
        <v>0</v>
      </c>
      <c r="CE385">
        <f t="shared" si="119"/>
        <v>0</v>
      </c>
      <c r="CF385">
        <f t="shared" si="120"/>
        <v>0</v>
      </c>
      <c r="CG385">
        <f t="shared" si="121"/>
        <v>0</v>
      </c>
      <c r="CH385">
        <f t="shared" si="122"/>
        <v>0</v>
      </c>
      <c r="CI385">
        <f t="shared" si="123"/>
        <v>0</v>
      </c>
      <c r="CJ385">
        <f t="shared" si="124"/>
        <v>0</v>
      </c>
      <c r="CK385">
        <f t="shared" si="125"/>
        <v>0</v>
      </c>
      <c r="CL385">
        <f t="shared" si="126"/>
        <v>0</v>
      </c>
      <c r="CM385">
        <f t="shared" si="128"/>
        <v>0</v>
      </c>
      <c r="CN385">
        <f t="shared" si="127"/>
        <v>0</v>
      </c>
      <c r="CO385">
        <f t="shared" si="111"/>
        <v>0</v>
      </c>
    </row>
    <row r="386" spans="1:93" s="12" customFormat="1" ht="14.65" customHeight="1" x14ac:dyDescent="0.25">
      <c r="A386" s="4">
        <v>2021</v>
      </c>
      <c r="B386" s="4"/>
      <c r="C386" s="4" t="s">
        <v>179</v>
      </c>
      <c r="D386" s="4" t="s">
        <v>65</v>
      </c>
      <c r="E386" s="4"/>
      <c r="F386" s="4" t="s">
        <v>90</v>
      </c>
      <c r="G386" s="5" t="s">
        <v>180</v>
      </c>
      <c r="H386" s="5" t="s">
        <v>21</v>
      </c>
      <c r="I386" s="5" t="s">
        <v>18</v>
      </c>
      <c r="J386" s="5" t="s">
        <v>10</v>
      </c>
      <c r="K386" s="5">
        <v>23.3</v>
      </c>
      <c r="L386" s="5" t="s">
        <v>190</v>
      </c>
      <c r="M386" s="5">
        <v>1666</v>
      </c>
      <c r="N386" s="5" t="s">
        <v>171</v>
      </c>
      <c r="O386" s="6" t="s">
        <v>81</v>
      </c>
      <c r="P386" s="6" t="s">
        <v>181</v>
      </c>
      <c r="Q386" s="6"/>
      <c r="R386" s="6"/>
      <c r="S386" s="6">
        <v>22</v>
      </c>
      <c r="T386" s="6">
        <v>11.13</v>
      </c>
      <c r="U386" s="6">
        <v>1444</v>
      </c>
      <c r="V386" s="6">
        <v>25.27</v>
      </c>
      <c r="W386" s="6">
        <v>1</v>
      </c>
      <c r="X386" s="6">
        <v>272</v>
      </c>
      <c r="Y386" s="6">
        <v>985</v>
      </c>
      <c r="Z386" s="6">
        <v>187</v>
      </c>
      <c r="AA386" s="6">
        <v>0</v>
      </c>
      <c r="AB386" s="6">
        <v>0</v>
      </c>
      <c r="AC386" s="7">
        <v>22</v>
      </c>
      <c r="AD386" s="7" t="s">
        <v>52</v>
      </c>
      <c r="AE386" s="7">
        <v>11.13</v>
      </c>
      <c r="AF386" s="76">
        <v>1444.2</v>
      </c>
      <c r="AG386" s="7">
        <v>25.27</v>
      </c>
      <c r="AH386" s="7">
        <v>14.92</v>
      </c>
      <c r="AI386" s="7">
        <v>18.89</v>
      </c>
      <c r="AJ386" s="9">
        <v>127.454136446395</v>
      </c>
      <c r="AK386" s="9">
        <v>127.97289227700701</v>
      </c>
      <c r="AL386" s="9">
        <v>165.294958756076</v>
      </c>
      <c r="AM386" s="9">
        <v>25.2660615669237</v>
      </c>
      <c r="AN386" s="9">
        <v>1.1484573439510799</v>
      </c>
      <c r="AO386" s="9">
        <v>1.32357017155954</v>
      </c>
      <c r="AP386" s="9">
        <v>165.294958756076</v>
      </c>
      <c r="AQ386" s="9">
        <v>7.5134072161852696</v>
      </c>
      <c r="AR386" s="9">
        <v>13.726069475385801</v>
      </c>
      <c r="AS386" s="8"/>
      <c r="AT386" s="8"/>
      <c r="AU386" s="10" t="s">
        <v>169</v>
      </c>
      <c r="AV386" s="10">
        <v>0</v>
      </c>
      <c r="AW386" s="8"/>
      <c r="AX386" s="8"/>
      <c r="AY386" s="8"/>
      <c r="AZ386" s="8"/>
      <c r="BA386" s="8"/>
      <c r="BB386" s="8"/>
      <c r="BC386" s="8"/>
      <c r="BD386" s="8"/>
      <c r="BE386" s="8"/>
      <c r="BF386" s="12">
        <v>0.45</v>
      </c>
      <c r="BG386" s="13">
        <v>129.645886831686</v>
      </c>
      <c r="BH386" s="96" t="str">
        <f>+VLOOKUP(G386,Liste!$A$7:$G$50,3,FALSE)</f>
        <v>Pin Laricio</v>
      </c>
      <c r="BI386" s="96" t="str">
        <f>+VLOOKUP(H386,Liste!$B$7:$G$50,5,FALSE)</f>
        <v>GS Pineraies des plaines du Centre et du Nord Ouest</v>
      </c>
      <c r="BJ386" s="135">
        <f t="shared" si="110"/>
        <v>22</v>
      </c>
      <c r="BK386" s="135" t="str">
        <f t="shared" si="112"/>
        <v>Pin Laricio_F2_Classique_GS Pineraies des plaines du Centre et du Nord Ouest_22_</v>
      </c>
      <c r="BL386" s="322"/>
      <c r="BM386" s="13">
        <v>36.177122519548</v>
      </c>
      <c r="BN386" s="13">
        <v>165.82300935123399</v>
      </c>
      <c r="BP386" s="13">
        <v>261.61729964832301</v>
      </c>
      <c r="BQ386" s="13">
        <v>13.407787546403799</v>
      </c>
      <c r="BT386" s="298" t="str">
        <f>+VLOOKUP(G386,Liste!$A$7:$H$50,8,FALSE)</f>
        <v>Résineux</v>
      </c>
      <c r="BU386" s="298">
        <f t="shared" si="113"/>
        <v>0</v>
      </c>
      <c r="BV386" s="300">
        <f t="shared" si="114"/>
        <v>1</v>
      </c>
      <c r="BW386" s="321">
        <v>0</v>
      </c>
      <c r="BX386" s="298">
        <f t="shared" si="115"/>
        <v>0.43</v>
      </c>
      <c r="BY386">
        <f t="shared" si="116"/>
        <v>0</v>
      </c>
      <c r="BZ386" s="304">
        <f t="shared" si="117"/>
        <v>0</v>
      </c>
      <c r="CB386" s="299">
        <v>0.6</v>
      </c>
      <c r="CC386" s="299">
        <v>0.4</v>
      </c>
      <c r="CD386">
        <f t="shared" si="118"/>
        <v>0</v>
      </c>
      <c r="CE386">
        <f t="shared" si="119"/>
        <v>0</v>
      </c>
      <c r="CF386">
        <f t="shared" si="120"/>
        <v>0</v>
      </c>
      <c r="CG386">
        <f t="shared" si="121"/>
        <v>0</v>
      </c>
      <c r="CH386">
        <f t="shared" si="122"/>
        <v>0</v>
      </c>
      <c r="CI386">
        <f t="shared" si="123"/>
        <v>0</v>
      </c>
      <c r="CJ386">
        <f t="shared" si="124"/>
        <v>0</v>
      </c>
      <c r="CK386">
        <f t="shared" si="125"/>
        <v>0</v>
      </c>
      <c r="CL386">
        <f t="shared" si="126"/>
        <v>0</v>
      </c>
      <c r="CM386">
        <f t="shared" si="128"/>
        <v>0</v>
      </c>
      <c r="CN386">
        <f t="shared" si="127"/>
        <v>0</v>
      </c>
      <c r="CO386">
        <f t="shared" si="111"/>
        <v>0</v>
      </c>
    </row>
    <row r="387" spans="1:93" s="12" customFormat="1" ht="14.65" customHeight="1" x14ac:dyDescent="0.25">
      <c r="A387" s="4">
        <v>2021</v>
      </c>
      <c r="B387" s="4"/>
      <c r="C387" s="4" t="s">
        <v>179</v>
      </c>
      <c r="D387" s="4" t="s">
        <v>65</v>
      </c>
      <c r="E387" s="4"/>
      <c r="F387" s="4" t="s">
        <v>90</v>
      </c>
      <c r="G387" s="5" t="s">
        <v>180</v>
      </c>
      <c r="H387" s="5" t="s">
        <v>21</v>
      </c>
      <c r="I387" s="5" t="s">
        <v>18</v>
      </c>
      <c r="J387" s="5" t="s">
        <v>10</v>
      </c>
      <c r="K387" s="5">
        <v>23.3</v>
      </c>
      <c r="L387" s="5" t="s">
        <v>190</v>
      </c>
      <c r="M387" s="5">
        <v>1666</v>
      </c>
      <c r="N387" s="5" t="s">
        <v>171</v>
      </c>
      <c r="O387" s="6" t="s">
        <v>81</v>
      </c>
      <c r="P387" s="6" t="s">
        <v>181</v>
      </c>
      <c r="Q387" s="6"/>
      <c r="R387" s="6"/>
      <c r="S387" s="6">
        <v>22</v>
      </c>
      <c r="T387" s="6">
        <v>11.13</v>
      </c>
      <c r="U387" s="6">
        <v>1444</v>
      </c>
      <c r="V387" s="6">
        <v>25.27</v>
      </c>
      <c r="W387" s="6">
        <v>1</v>
      </c>
      <c r="X387" s="6">
        <v>272</v>
      </c>
      <c r="Y387" s="6">
        <v>985</v>
      </c>
      <c r="Z387" s="6">
        <v>187</v>
      </c>
      <c r="AA387" s="6">
        <v>0</v>
      </c>
      <c r="AB387" s="6">
        <v>0</v>
      </c>
      <c r="AC387" s="7">
        <v>22</v>
      </c>
      <c r="AD387" s="7" t="s">
        <v>53</v>
      </c>
      <c r="AE387" s="7">
        <v>11.13</v>
      </c>
      <c r="AF387" s="76">
        <v>950.6</v>
      </c>
      <c r="AG387" s="7">
        <v>14.95</v>
      </c>
      <c r="AH387" s="7">
        <v>14.15</v>
      </c>
      <c r="AI387" s="7">
        <v>18.89</v>
      </c>
      <c r="AJ387" s="9">
        <v>73.306854302398406</v>
      </c>
      <c r="AK387" s="9">
        <v>73.558837813470703</v>
      </c>
      <c r="AL387" s="9">
        <v>96.605455786733501</v>
      </c>
      <c r="AM387" s="9">
        <v>25.2660615669237</v>
      </c>
      <c r="AN387" s="9">
        <v>1.1484573439510799</v>
      </c>
      <c r="AO387" s="9">
        <v>1.32357017155954</v>
      </c>
      <c r="AP387" s="9">
        <v>165.294958756076</v>
      </c>
      <c r="AQ387" s="9">
        <v>7.5134072161852696</v>
      </c>
      <c r="AR387" s="9">
        <v>13.726069475385801</v>
      </c>
      <c r="AS387" s="73">
        <v>493.6</v>
      </c>
      <c r="AT387" s="10">
        <v>10.32</v>
      </c>
      <c r="AU387" s="10">
        <v>16.315760905442293</v>
      </c>
      <c r="AV387" s="10">
        <v>54.147282143996591</v>
      </c>
      <c r="AW387" s="10">
        <v>1.1948825554086739</v>
      </c>
      <c r="AX387" s="10">
        <v>0.10969870774715679</v>
      </c>
      <c r="AY387" s="10"/>
      <c r="AZ387" s="10"/>
      <c r="BA387" s="10"/>
      <c r="BB387" s="8"/>
      <c r="BC387" s="8"/>
      <c r="BD387" s="8"/>
      <c r="BE387" s="8"/>
      <c r="BF387" s="12">
        <v>0.45</v>
      </c>
      <c r="BG387" s="13">
        <v>75.770610806906404</v>
      </c>
      <c r="BH387" s="96" t="str">
        <f>+VLOOKUP(G387,Liste!$A$7:$G$50,3,FALSE)</f>
        <v>Pin Laricio</v>
      </c>
      <c r="BI387" s="96" t="str">
        <f>+VLOOKUP(H387,Liste!$B$7:$G$50,5,FALSE)</f>
        <v>GS Pineraies des plaines du Centre et du Nord Ouest</v>
      </c>
      <c r="BJ387" s="135">
        <f t="shared" ref="BJ387:BJ450" si="129">+AC387</f>
        <v>22</v>
      </c>
      <c r="BK387" s="135" t="str">
        <f t="shared" si="112"/>
        <v>Pin Laricio_F2_Classique_GS Pineraies des plaines du Centre et du Nord Ouest_22_</v>
      </c>
      <c r="BL387" s="322"/>
      <c r="BM387" s="13">
        <v>22.507501720238199</v>
      </c>
      <c r="BN387" s="13">
        <v>98.2781125271446</v>
      </c>
      <c r="BO387" s="13">
        <v>67.544896824089392</v>
      </c>
      <c r="BP387" s="13">
        <v>261.61729964832301</v>
      </c>
      <c r="BQ387" s="13">
        <v>13.407787546403799</v>
      </c>
      <c r="BT387" s="298" t="str">
        <f>+VLOOKUP(G387,Liste!$A$7:$H$50,8,FALSE)</f>
        <v>Résineux</v>
      </c>
      <c r="BU387" s="298">
        <f t="shared" si="113"/>
        <v>0</v>
      </c>
      <c r="BV387" s="300">
        <f t="shared" si="114"/>
        <v>1</v>
      </c>
      <c r="BW387" s="321">
        <v>0</v>
      </c>
      <c r="BX387" s="298">
        <f t="shared" si="115"/>
        <v>0.43</v>
      </c>
      <c r="BY387">
        <f t="shared" si="116"/>
        <v>23.283331321918535</v>
      </c>
      <c r="BZ387" s="304">
        <f t="shared" si="117"/>
        <v>23.283331321918535</v>
      </c>
      <c r="CB387" s="299">
        <v>0.6</v>
      </c>
      <c r="CC387" s="299">
        <v>0.4</v>
      </c>
      <c r="CD387">
        <f t="shared" si="118"/>
        <v>0</v>
      </c>
      <c r="CE387">
        <f t="shared" si="119"/>
        <v>32.488369286397955</v>
      </c>
      <c r="CF387">
        <f t="shared" si="120"/>
        <v>21.658912857598636</v>
      </c>
      <c r="CG387">
        <f t="shared" si="121"/>
        <v>0</v>
      </c>
      <c r="CH387">
        <f t="shared" si="122"/>
        <v>25.462759428214394</v>
      </c>
      <c r="CI387">
        <f t="shared" si="123"/>
        <v>16.97517295214293</v>
      </c>
      <c r="CJ387">
        <f t="shared" si="124"/>
        <v>0</v>
      </c>
      <c r="CK387">
        <f t="shared" si="125"/>
        <v>0</v>
      </c>
      <c r="CL387">
        <f t="shared" si="126"/>
        <v>0</v>
      </c>
      <c r="CM387">
        <f t="shared" si="128"/>
        <v>0</v>
      </c>
      <c r="CN387">
        <f t="shared" si="127"/>
        <v>0</v>
      </c>
      <c r="CO387">
        <f t="shared" ref="CO387:CO450" si="130">+IF(BJ387=30,CN387/30,0)</f>
        <v>0</v>
      </c>
    </row>
    <row r="388" spans="1:93" s="12" customFormat="1" ht="14.65" customHeight="1" x14ac:dyDescent="0.25">
      <c r="A388" s="4">
        <v>2021</v>
      </c>
      <c r="B388" s="4"/>
      <c r="C388" s="4" t="s">
        <v>179</v>
      </c>
      <c r="D388" s="4" t="s">
        <v>65</v>
      </c>
      <c r="E388" s="4"/>
      <c r="F388" s="4" t="s">
        <v>90</v>
      </c>
      <c r="G388" s="5" t="s">
        <v>180</v>
      </c>
      <c r="H388" s="5" t="s">
        <v>21</v>
      </c>
      <c r="I388" s="5" t="s">
        <v>18</v>
      </c>
      <c r="J388" s="5" t="s">
        <v>10</v>
      </c>
      <c r="K388" s="5">
        <v>23.3</v>
      </c>
      <c r="L388" s="5" t="s">
        <v>190</v>
      </c>
      <c r="M388" s="5">
        <v>1666</v>
      </c>
      <c r="N388" s="5" t="s">
        <v>171</v>
      </c>
      <c r="O388" s="6" t="s">
        <v>81</v>
      </c>
      <c r="P388" s="6" t="s">
        <v>181</v>
      </c>
      <c r="Q388" s="6"/>
      <c r="R388" s="6"/>
      <c r="S388" s="6">
        <v>22</v>
      </c>
      <c r="T388" s="6">
        <v>11.13</v>
      </c>
      <c r="U388" s="6">
        <v>1444</v>
      </c>
      <c r="V388" s="6">
        <v>25.27</v>
      </c>
      <c r="W388" s="6">
        <v>1</v>
      </c>
      <c r="X388" s="6">
        <v>272</v>
      </c>
      <c r="Y388" s="6">
        <v>985</v>
      </c>
      <c r="Z388" s="6">
        <v>187</v>
      </c>
      <c r="AA388" s="6">
        <v>0</v>
      </c>
      <c r="AB388" s="6">
        <v>0</v>
      </c>
      <c r="AC388" s="7">
        <v>23</v>
      </c>
      <c r="AD388" s="7" t="s">
        <v>52</v>
      </c>
      <c r="AE388" s="7">
        <v>11.74</v>
      </c>
      <c r="AF388" s="76">
        <v>949.6</v>
      </c>
      <c r="AG388" s="7">
        <v>16.27</v>
      </c>
      <c r="AH388" s="7">
        <v>14.77</v>
      </c>
      <c r="AI388" s="7">
        <v>17.940000000000001</v>
      </c>
      <c r="AJ388" s="9">
        <v>86.742391564506406</v>
      </c>
      <c r="AK388" s="9">
        <v>86.961564978720503</v>
      </c>
      <c r="AL388" s="9">
        <v>110.331525262119</v>
      </c>
      <c r="AM388" s="9">
        <v>26.589631738483298</v>
      </c>
      <c r="AN388" s="9">
        <v>1.1560709451514499</v>
      </c>
      <c r="AO388" s="9">
        <v>1.7763900793887799</v>
      </c>
      <c r="AP388" s="9">
        <v>179.021028231462</v>
      </c>
      <c r="AQ388" s="9">
        <v>7.7835229665853003</v>
      </c>
      <c r="AR388" s="9">
        <v>17.229278478707599</v>
      </c>
      <c r="AS388" s="73" t="s">
        <v>169</v>
      </c>
      <c r="AT388" s="10" t="s">
        <v>169</v>
      </c>
      <c r="AU388" s="10" t="s">
        <v>169</v>
      </c>
      <c r="AV388" s="10">
        <v>0</v>
      </c>
      <c r="AW388" s="10"/>
      <c r="AX388" s="10" t="s">
        <v>169</v>
      </c>
      <c r="AY388" s="10"/>
      <c r="AZ388" s="10"/>
      <c r="BA388" s="10"/>
      <c r="BB388" s="8"/>
      <c r="BC388" s="8"/>
      <c r="BD388" s="8"/>
      <c r="BE388" s="8"/>
      <c r="BF388" s="12">
        <v>0.45</v>
      </c>
      <c r="BG388" s="13">
        <v>86.536386504129894</v>
      </c>
      <c r="BH388" s="96" t="str">
        <f>+VLOOKUP(G388,Liste!$A$7:$G$50,3,FALSE)</f>
        <v>Pin Laricio</v>
      </c>
      <c r="BI388" s="96" t="str">
        <f>+VLOOKUP(H388,Liste!$B$7:$G$50,5,FALSE)</f>
        <v>GS Pineraies des plaines du Centre et du Nord Ouest</v>
      </c>
      <c r="BJ388" s="135">
        <f t="shared" si="129"/>
        <v>23</v>
      </c>
      <c r="BK388" s="135" t="str">
        <f t="shared" ref="BK388:BK451" si="131">+_xlfn.CONCAT(BH388,"_",J388,"_",I388,"_",BI388,"_",BJ388,"_")</f>
        <v>Pin Laricio_F2_Classique_GS Pineraies des plaines du Centre et du Nord Ouest_23_</v>
      </c>
      <c r="BL388" s="322"/>
      <c r="BM388" s="13">
        <v>25.310994922863301</v>
      </c>
      <c r="BN388" s="13">
        <v>111.847381426993</v>
      </c>
      <c r="BO388" s="13" t="s">
        <v>169</v>
      </c>
      <c r="BP388" s="13">
        <v>261.61729964832301</v>
      </c>
      <c r="BQ388" s="13">
        <v>16.749480618085101</v>
      </c>
      <c r="BT388" s="298" t="str">
        <f>+VLOOKUP(G388,Liste!$A$7:$H$50,8,FALSE)</f>
        <v>Résineux</v>
      </c>
      <c r="BU388" s="298">
        <f t="shared" ref="BU388:BU451" si="132">IF(BT388="Résineux",0%,100%)</f>
        <v>0</v>
      </c>
      <c r="BV388" s="300">
        <f t="shared" ref="BV388:BV451" si="133">+IF(BT388="Résineux",100%,0%)</f>
        <v>1</v>
      </c>
      <c r="BW388" s="321">
        <v>0</v>
      </c>
      <c r="BX388" s="298">
        <f t="shared" ref="BX388:BX451" si="134">+IF(BV388&lt;&gt;0,0.43,0.25)</f>
        <v>0.43</v>
      </c>
      <c r="BY388">
        <f t="shared" ref="BY388:BY451" si="135">+IF(BJ388&lt;=30,AV388*BX388,0)</f>
        <v>0</v>
      </c>
      <c r="BZ388" s="304">
        <f t="shared" ref="BZ388:BZ451" si="136">+IF(BJ388&gt;=31,0,BY388+BZ387)</f>
        <v>23.283331321918535</v>
      </c>
      <c r="CB388" s="299">
        <v>0.6</v>
      </c>
      <c r="CC388" s="299">
        <v>0.4</v>
      </c>
      <c r="CD388">
        <f t="shared" ref="CD388:CD451" si="137">+IF(BJ388&lt;=31,AV388*CA388*0.5,0)</f>
        <v>0</v>
      </c>
      <c r="CE388">
        <f t="shared" ref="CE388:CE451" si="138">IF(BJ388&lt;=31,AV388*CB388,0)</f>
        <v>0</v>
      </c>
      <c r="CF388">
        <f t="shared" ref="CF388:CF451" si="139">IF(BJ388&lt;=31,AV388*CC388,0)</f>
        <v>0</v>
      </c>
      <c r="CG388">
        <f t="shared" ref="CG388:CG451" si="140">CD388*44/12*0.475*BF388</f>
        <v>0</v>
      </c>
      <c r="CH388">
        <f t="shared" ref="CH388:CH451" si="141">CE388*44/12*0.475*BF388</f>
        <v>0</v>
      </c>
      <c r="CI388">
        <f t="shared" ref="CI388:CI451" si="142">CF388*44/12*0.475*BF388</f>
        <v>0</v>
      </c>
      <c r="CJ388">
        <f t="shared" ref="CJ388:CJ451" si="143">+IF(BJ388&lt;=31,CJ387*EXP(-$CJ$1)+CG387*(1-EXP(-$CJ$1))/$CJ$1,0)</f>
        <v>0</v>
      </c>
      <c r="CK388">
        <f t="shared" ref="CK388:CK451" si="144">+IF(BJ388&lt;=31,CK387*EXP(-$CK$1)+CH387*(1-EXP(-$CK$1))/$CK$1,0)</f>
        <v>25.113010451487678</v>
      </c>
      <c r="CL388">
        <f t="shared" ref="CL388:CL451" si="145">+IF(BJ388&lt;=31,CL387*EXP(-$CL$1)+CI387*(1-EXP(-$CL$1))/$CL$1,0)</f>
        <v>14.345908590010383</v>
      </c>
      <c r="CM388">
        <f t="shared" si="128"/>
        <v>39.458919041498064</v>
      </c>
      <c r="CN388">
        <f t="shared" ref="CN388:CN451" si="146">+IF(BJ388&lt;=31,CM388+CN387,0)</f>
        <v>39.458919041498064</v>
      </c>
      <c r="CO388">
        <f t="shared" si="130"/>
        <v>0</v>
      </c>
    </row>
    <row r="389" spans="1:93" s="12" customFormat="1" ht="14.65" customHeight="1" x14ac:dyDescent="0.25">
      <c r="A389" s="4">
        <v>2021</v>
      </c>
      <c r="B389" s="4"/>
      <c r="C389" s="4" t="s">
        <v>179</v>
      </c>
      <c r="D389" s="4" t="s">
        <v>65</v>
      </c>
      <c r="E389" s="4"/>
      <c r="F389" s="4" t="s">
        <v>90</v>
      </c>
      <c r="G389" s="5" t="s">
        <v>180</v>
      </c>
      <c r="H389" s="5" t="s">
        <v>21</v>
      </c>
      <c r="I389" s="5" t="s">
        <v>18</v>
      </c>
      <c r="J389" s="5" t="s">
        <v>10</v>
      </c>
      <c r="K389" s="5">
        <v>23.3</v>
      </c>
      <c r="L389" s="5" t="s">
        <v>190</v>
      </c>
      <c r="M389" s="5">
        <v>1666</v>
      </c>
      <c r="N389" s="5" t="s">
        <v>171</v>
      </c>
      <c r="O389" s="6" t="s">
        <v>81</v>
      </c>
      <c r="P389" s="6" t="s">
        <v>181</v>
      </c>
      <c r="Q389" s="6"/>
      <c r="R389" s="6"/>
      <c r="S389" s="6">
        <v>22</v>
      </c>
      <c r="T389" s="6">
        <v>11.13</v>
      </c>
      <c r="U389" s="6">
        <v>1444</v>
      </c>
      <c r="V389" s="6">
        <v>25.27</v>
      </c>
      <c r="W389" s="6">
        <v>1</v>
      </c>
      <c r="X389" s="6">
        <v>272</v>
      </c>
      <c r="Y389" s="6">
        <v>985</v>
      </c>
      <c r="Z389" s="6">
        <v>187</v>
      </c>
      <c r="AA389" s="6">
        <v>0</v>
      </c>
      <c r="AB389" s="6">
        <v>0</v>
      </c>
      <c r="AC389" s="7">
        <v>24</v>
      </c>
      <c r="AD389" s="7" t="s">
        <v>52</v>
      </c>
      <c r="AE389" s="7">
        <v>12.33</v>
      </c>
      <c r="AF389" s="76">
        <v>949</v>
      </c>
      <c r="AG389" s="7">
        <v>18.05</v>
      </c>
      <c r="AH389" s="7">
        <v>15.56</v>
      </c>
      <c r="AI389" s="7">
        <v>18.87</v>
      </c>
      <c r="AJ389" s="9">
        <v>103.18632438748401</v>
      </c>
      <c r="AK389" s="9">
        <v>103.425209345933</v>
      </c>
      <c r="AL389" s="9">
        <v>127.560803740827</v>
      </c>
      <c r="AM389" s="9" t="s">
        <v>169</v>
      </c>
      <c r="AN389" s="9" t="s">
        <v>169</v>
      </c>
      <c r="AO389" s="9" t="s">
        <v>169</v>
      </c>
      <c r="AP389" s="9" t="s">
        <v>169</v>
      </c>
      <c r="AQ389" s="9" t="s">
        <v>169</v>
      </c>
      <c r="AR389" s="9" t="s">
        <v>169</v>
      </c>
      <c r="AS389" s="73" t="s">
        <v>169</v>
      </c>
      <c r="AT389" s="10" t="s">
        <v>169</v>
      </c>
      <c r="AU389" s="10" t="s">
        <v>169</v>
      </c>
      <c r="AV389" s="10">
        <v>0</v>
      </c>
      <c r="AW389" s="10"/>
      <c r="AX389" s="10" t="s">
        <v>169</v>
      </c>
      <c r="AY389" s="10"/>
      <c r="AZ389" s="10"/>
      <c r="BA389" s="10"/>
      <c r="BB389" s="8"/>
      <c r="BC389" s="8"/>
      <c r="BD389" s="8"/>
      <c r="BE389" s="8"/>
      <c r="BF389" s="12">
        <v>0.45</v>
      </c>
      <c r="BG389" s="13">
        <v>100.049836065156</v>
      </c>
      <c r="BH389" s="96" t="str">
        <f>+VLOOKUP(G389,Liste!$A$7:$G$50,3,FALSE)</f>
        <v>Pin Laricio</v>
      </c>
      <c r="BI389" s="96" t="str">
        <f>+VLOOKUP(H389,Liste!$B$7:$G$50,5,FALSE)</f>
        <v>GS Pineraies des plaines du Centre et du Nord Ouest</v>
      </c>
      <c r="BJ389" s="135">
        <f t="shared" si="129"/>
        <v>24</v>
      </c>
      <c r="BK389" s="135" t="str">
        <f t="shared" si="131"/>
        <v>Pin Laricio_F2_Classique_GS Pineraies des plaines du Centre et du Nord Ouest_24_</v>
      </c>
      <c r="BL389" s="322"/>
      <c r="BM389" s="13">
        <v>28.6989315925018</v>
      </c>
      <c r="BN389" s="13">
        <v>128.74876765765799</v>
      </c>
      <c r="BO389" s="13" t="s">
        <v>169</v>
      </c>
      <c r="BP389" s="13">
        <v>261.61729964832301</v>
      </c>
      <c r="BQ389" s="13" t="s">
        <v>169</v>
      </c>
      <c r="BT389" s="298" t="str">
        <f>+VLOOKUP(G389,Liste!$A$7:$H$50,8,FALSE)</f>
        <v>Résineux</v>
      </c>
      <c r="BU389" s="298">
        <f t="shared" si="132"/>
        <v>0</v>
      </c>
      <c r="BV389" s="300">
        <f t="shared" si="133"/>
        <v>1</v>
      </c>
      <c r="BW389" s="321">
        <v>0</v>
      </c>
      <c r="BX389" s="298">
        <f t="shared" si="134"/>
        <v>0.43</v>
      </c>
      <c r="BY389">
        <f t="shared" si="135"/>
        <v>0</v>
      </c>
      <c r="BZ389" s="304">
        <f t="shared" si="136"/>
        <v>23.283331321918535</v>
      </c>
      <c r="CB389" s="299">
        <v>0.6</v>
      </c>
      <c r="CC389" s="299">
        <v>0.4</v>
      </c>
      <c r="CD389">
        <f t="shared" si="137"/>
        <v>0</v>
      </c>
      <c r="CE389">
        <f t="shared" si="138"/>
        <v>0</v>
      </c>
      <c r="CF389">
        <f t="shared" si="139"/>
        <v>0</v>
      </c>
      <c r="CG389">
        <f t="shared" si="140"/>
        <v>0</v>
      </c>
      <c r="CH389">
        <f t="shared" si="141"/>
        <v>0</v>
      </c>
      <c r="CI389">
        <f t="shared" si="142"/>
        <v>0</v>
      </c>
      <c r="CJ389">
        <f t="shared" si="143"/>
        <v>0</v>
      </c>
      <c r="CK389">
        <f t="shared" si="144"/>
        <v>24.426293860055925</v>
      </c>
      <c r="CL389">
        <f t="shared" si="145"/>
        <v>10.144089246278686</v>
      </c>
      <c r="CM389">
        <f t="shared" ref="CM389:CM452" si="147">+CJ389+CK389+CL389</f>
        <v>34.57038310633461</v>
      </c>
      <c r="CN389">
        <f t="shared" si="146"/>
        <v>74.029302147832681</v>
      </c>
      <c r="CO389">
        <f t="shared" si="130"/>
        <v>0</v>
      </c>
    </row>
    <row r="390" spans="1:93" s="12" customFormat="1" ht="14.65" customHeight="1" x14ac:dyDescent="0.25">
      <c r="A390" s="4">
        <v>2021</v>
      </c>
      <c r="B390" s="4"/>
      <c r="C390" s="4" t="s">
        <v>179</v>
      </c>
      <c r="D390" s="4" t="s">
        <v>65</v>
      </c>
      <c r="E390" s="4"/>
      <c r="F390" s="4" t="s">
        <v>90</v>
      </c>
      <c r="G390" s="5" t="s">
        <v>180</v>
      </c>
      <c r="H390" s="5" t="s">
        <v>21</v>
      </c>
      <c r="I390" s="5" t="s">
        <v>18</v>
      </c>
      <c r="J390" s="5" t="s">
        <v>10</v>
      </c>
      <c r="K390" s="5">
        <v>23.3</v>
      </c>
      <c r="L390" s="5" t="s">
        <v>190</v>
      </c>
      <c r="M390" s="5">
        <v>1666</v>
      </c>
      <c r="N390" s="5" t="s">
        <v>171</v>
      </c>
      <c r="O390" s="6" t="s">
        <v>81</v>
      </c>
      <c r="P390" s="6" t="s">
        <v>181</v>
      </c>
      <c r="Q390" s="6"/>
      <c r="R390" s="6"/>
      <c r="S390" s="6">
        <v>22</v>
      </c>
      <c r="T390" s="6">
        <v>11.13</v>
      </c>
      <c r="U390" s="6">
        <v>1444</v>
      </c>
      <c r="V390" s="6">
        <v>25.27</v>
      </c>
      <c r="W390" s="6">
        <v>1</v>
      </c>
      <c r="X390" s="6">
        <v>272</v>
      </c>
      <c r="Y390" s="6">
        <v>985</v>
      </c>
      <c r="Z390" s="6">
        <v>187</v>
      </c>
      <c r="AA390" s="6">
        <v>0</v>
      </c>
      <c r="AB390" s="6">
        <v>0</v>
      </c>
      <c r="AC390" s="7">
        <v>25</v>
      </c>
      <c r="AD390" s="7" t="s">
        <v>52</v>
      </c>
      <c r="AE390" s="7">
        <v>12.92</v>
      </c>
      <c r="AF390" s="76">
        <v>948.4</v>
      </c>
      <c r="AG390" s="7">
        <v>19.84</v>
      </c>
      <c r="AH390" s="7">
        <v>16.32</v>
      </c>
      <c r="AI390" s="7">
        <v>19.760000000000002</v>
      </c>
      <c r="AJ390" s="9">
        <v>119.63025721046201</v>
      </c>
      <c r="AK390" s="9">
        <v>119.888853713145</v>
      </c>
      <c r="AL390" s="9">
        <v>144.79008221953501</v>
      </c>
      <c r="AM390" s="9" t="s">
        <v>169</v>
      </c>
      <c r="AN390" s="9" t="s">
        <v>169</v>
      </c>
      <c r="AO390" s="9" t="s">
        <v>169</v>
      </c>
      <c r="AP390" s="9" t="s">
        <v>169</v>
      </c>
      <c r="AQ390" s="9" t="s">
        <v>169</v>
      </c>
      <c r="AR390" s="9" t="s">
        <v>169</v>
      </c>
      <c r="AS390" s="73" t="s">
        <v>169</v>
      </c>
      <c r="AT390" s="10" t="s">
        <v>169</v>
      </c>
      <c r="AU390" s="10" t="s">
        <v>169</v>
      </c>
      <c r="AV390" s="10">
        <v>0</v>
      </c>
      <c r="AW390" s="10"/>
      <c r="AX390" s="10" t="s">
        <v>169</v>
      </c>
      <c r="AY390" s="10"/>
      <c r="AZ390" s="10"/>
      <c r="BA390" s="10"/>
      <c r="BB390" s="8"/>
      <c r="BC390" s="8"/>
      <c r="BD390" s="8"/>
      <c r="BE390" s="8"/>
      <c r="BF390" s="12">
        <v>0.45</v>
      </c>
      <c r="BG390" s="13">
        <v>113.56328562618199</v>
      </c>
      <c r="BH390" s="96" t="str">
        <f>+VLOOKUP(G390,Liste!$A$7:$G$50,3,FALSE)</f>
        <v>Pin Laricio</v>
      </c>
      <c r="BI390" s="96" t="str">
        <f>+VLOOKUP(H390,Liste!$B$7:$G$50,5,FALSE)</f>
        <v>GS Pineraies des plaines du Centre et du Nord Ouest</v>
      </c>
      <c r="BJ390" s="135">
        <f t="shared" si="129"/>
        <v>25</v>
      </c>
      <c r="BK390" s="135" t="str">
        <f t="shared" si="131"/>
        <v>Pin Laricio_F2_Classique_GS Pineraies des plaines du Centre et du Nord Ouest_25_</v>
      </c>
      <c r="BL390" s="322"/>
      <c r="BM390" s="13">
        <v>32.0868682621403</v>
      </c>
      <c r="BN390" s="13">
        <v>145.650153888322</v>
      </c>
      <c r="BO390" s="13" t="s">
        <v>169</v>
      </c>
      <c r="BP390" s="13">
        <v>261.61729964832301</v>
      </c>
      <c r="BQ390" s="13" t="s">
        <v>169</v>
      </c>
      <c r="BT390" s="298" t="str">
        <f>+VLOOKUP(G390,Liste!$A$7:$H$50,8,FALSE)</f>
        <v>Résineux</v>
      </c>
      <c r="BU390" s="298">
        <f t="shared" si="132"/>
        <v>0</v>
      </c>
      <c r="BV390" s="300">
        <f t="shared" si="133"/>
        <v>1</v>
      </c>
      <c r="BW390" s="321">
        <v>0</v>
      </c>
      <c r="BX390" s="298">
        <f t="shared" si="134"/>
        <v>0.43</v>
      </c>
      <c r="BY390">
        <f t="shared" si="135"/>
        <v>0</v>
      </c>
      <c r="BZ390" s="304">
        <f t="shared" si="136"/>
        <v>23.283331321918535</v>
      </c>
      <c r="CB390" s="299">
        <v>0.6</v>
      </c>
      <c r="CC390" s="299">
        <v>0.4</v>
      </c>
      <c r="CD390">
        <f t="shared" si="137"/>
        <v>0</v>
      </c>
      <c r="CE390">
        <f t="shared" si="138"/>
        <v>0</v>
      </c>
      <c r="CF390">
        <f t="shared" si="139"/>
        <v>0</v>
      </c>
      <c r="CG390">
        <f t="shared" si="140"/>
        <v>0</v>
      </c>
      <c r="CH390">
        <f t="shared" si="141"/>
        <v>0</v>
      </c>
      <c r="CI390">
        <f t="shared" si="142"/>
        <v>0</v>
      </c>
      <c r="CJ390">
        <f t="shared" si="143"/>
        <v>0</v>
      </c>
      <c r="CK390">
        <f t="shared" si="144"/>
        <v>23.75835556992973</v>
      </c>
      <c r="CL390">
        <f t="shared" si="145"/>
        <v>7.1729542950051925</v>
      </c>
      <c r="CM390">
        <f t="shared" si="147"/>
        <v>30.931309864934924</v>
      </c>
      <c r="CN390">
        <f t="shared" si="146"/>
        <v>104.9606120127676</v>
      </c>
      <c r="CO390">
        <f t="shared" si="130"/>
        <v>0</v>
      </c>
    </row>
    <row r="391" spans="1:93" s="12" customFormat="1" ht="14.65" customHeight="1" x14ac:dyDescent="0.25">
      <c r="A391" s="4">
        <v>2021</v>
      </c>
      <c r="B391" s="4"/>
      <c r="C391" s="4" t="s">
        <v>179</v>
      </c>
      <c r="D391" s="4" t="s">
        <v>65</v>
      </c>
      <c r="E391" s="4"/>
      <c r="F391" s="4" t="s">
        <v>90</v>
      </c>
      <c r="G391" s="5" t="s">
        <v>180</v>
      </c>
      <c r="H391" s="5" t="s">
        <v>21</v>
      </c>
      <c r="I391" s="5" t="s">
        <v>18</v>
      </c>
      <c r="J391" s="5" t="s">
        <v>10</v>
      </c>
      <c r="K391" s="5">
        <v>23.3</v>
      </c>
      <c r="L391" s="5" t="s">
        <v>190</v>
      </c>
      <c r="M391" s="5">
        <v>1666</v>
      </c>
      <c r="N391" s="5" t="s">
        <v>171</v>
      </c>
      <c r="O391" s="6" t="s">
        <v>81</v>
      </c>
      <c r="P391" s="6" t="s">
        <v>181</v>
      </c>
      <c r="Q391" s="6"/>
      <c r="R391" s="6"/>
      <c r="S391" s="6">
        <v>22</v>
      </c>
      <c r="T391" s="6">
        <v>11.13</v>
      </c>
      <c r="U391" s="6">
        <v>1444</v>
      </c>
      <c r="V391" s="6">
        <v>25.27</v>
      </c>
      <c r="W391" s="6">
        <v>1</v>
      </c>
      <c r="X391" s="6">
        <v>272</v>
      </c>
      <c r="Y391" s="6">
        <v>985</v>
      </c>
      <c r="Z391" s="6">
        <v>187</v>
      </c>
      <c r="AA391" s="6">
        <v>0</v>
      </c>
      <c r="AB391" s="6">
        <v>0</v>
      </c>
      <c r="AC391" s="7">
        <v>26</v>
      </c>
      <c r="AD391" s="7" t="s">
        <v>52</v>
      </c>
      <c r="AE391" s="7">
        <v>13.49</v>
      </c>
      <c r="AF391" s="76">
        <v>948</v>
      </c>
      <c r="AG391" s="7">
        <v>21.62</v>
      </c>
      <c r="AH391" s="7">
        <v>17.04</v>
      </c>
      <c r="AI391" s="7">
        <v>20.62</v>
      </c>
      <c r="AJ391" s="9">
        <v>136.07419003344</v>
      </c>
      <c r="AK391" s="9">
        <v>136.35249808035701</v>
      </c>
      <c r="AL391" s="9">
        <v>162.019360698242</v>
      </c>
      <c r="AM391" s="9" t="s">
        <v>169</v>
      </c>
      <c r="AN391" s="9" t="s">
        <v>169</v>
      </c>
      <c r="AO391" s="9" t="s">
        <v>169</v>
      </c>
      <c r="AP391" s="9" t="s">
        <v>169</v>
      </c>
      <c r="AQ391" s="9" t="s">
        <v>169</v>
      </c>
      <c r="AR391" s="9" t="s">
        <v>169</v>
      </c>
      <c r="AS391" s="73" t="s">
        <v>169</v>
      </c>
      <c r="AT391" s="10" t="s">
        <v>169</v>
      </c>
      <c r="AU391" s="10" t="s">
        <v>169</v>
      </c>
      <c r="AV391" s="10">
        <v>0</v>
      </c>
      <c r="AW391" s="10"/>
      <c r="AX391" s="10" t="s">
        <v>169</v>
      </c>
      <c r="AY391" s="10"/>
      <c r="AZ391" s="10"/>
      <c r="BA391" s="10"/>
      <c r="BB391" s="8"/>
      <c r="BC391" s="8"/>
      <c r="BD391" s="8"/>
      <c r="BE391" s="8"/>
      <c r="BF391" s="12">
        <v>0.45</v>
      </c>
      <c r="BG391" s="13">
        <v>127.076735187208</v>
      </c>
      <c r="BH391" s="96" t="str">
        <f>+VLOOKUP(G391,Liste!$A$7:$G$50,3,FALSE)</f>
        <v>Pin Laricio</v>
      </c>
      <c r="BI391" s="96" t="str">
        <f>+VLOOKUP(H391,Liste!$B$7:$G$50,5,FALSE)</f>
        <v>GS Pineraies des plaines du Centre et du Nord Ouest</v>
      </c>
      <c r="BJ391" s="135">
        <f t="shared" si="129"/>
        <v>26</v>
      </c>
      <c r="BK391" s="135" t="str">
        <f t="shared" si="131"/>
        <v>Pin Laricio_F2_Classique_GS Pineraies des plaines du Centre et du Nord Ouest_26_</v>
      </c>
      <c r="BL391" s="322"/>
      <c r="BM391" s="13">
        <v>35.474804931778799</v>
      </c>
      <c r="BN391" s="13">
        <v>162.55154011898699</v>
      </c>
      <c r="BO391" s="13" t="s">
        <v>169</v>
      </c>
      <c r="BP391" s="13">
        <v>261.61729964832301</v>
      </c>
      <c r="BQ391" s="13" t="s">
        <v>169</v>
      </c>
      <c r="BT391" s="298" t="str">
        <f>+VLOOKUP(G391,Liste!$A$7:$H$50,8,FALSE)</f>
        <v>Résineux</v>
      </c>
      <c r="BU391" s="298">
        <f t="shared" si="132"/>
        <v>0</v>
      </c>
      <c r="BV391" s="300">
        <f t="shared" si="133"/>
        <v>1</v>
      </c>
      <c r="BW391" s="321">
        <v>0</v>
      </c>
      <c r="BX391" s="298">
        <f t="shared" si="134"/>
        <v>0.43</v>
      </c>
      <c r="BY391">
        <f t="shared" si="135"/>
        <v>0</v>
      </c>
      <c r="BZ391" s="304">
        <f t="shared" si="136"/>
        <v>23.283331321918535</v>
      </c>
      <c r="CB391" s="299">
        <v>0.6</v>
      </c>
      <c r="CC391" s="299">
        <v>0.4</v>
      </c>
      <c r="CD391">
        <f t="shared" si="137"/>
        <v>0</v>
      </c>
      <c r="CE391">
        <f t="shared" si="138"/>
        <v>0</v>
      </c>
      <c r="CF391">
        <f t="shared" si="139"/>
        <v>0</v>
      </c>
      <c r="CG391">
        <f t="shared" si="140"/>
        <v>0</v>
      </c>
      <c r="CH391">
        <f t="shared" si="141"/>
        <v>0</v>
      </c>
      <c r="CI391">
        <f t="shared" si="142"/>
        <v>0</v>
      </c>
      <c r="CJ391">
        <f t="shared" si="143"/>
        <v>0</v>
      </c>
      <c r="CK391">
        <f t="shared" si="144"/>
        <v>23.108682087472381</v>
      </c>
      <c r="CL391">
        <f t="shared" si="145"/>
        <v>5.0720446231393437</v>
      </c>
      <c r="CM391">
        <f t="shared" si="147"/>
        <v>28.180726710611726</v>
      </c>
      <c r="CN391">
        <f t="shared" si="146"/>
        <v>133.14133872337933</v>
      </c>
      <c r="CO391">
        <f t="shared" si="130"/>
        <v>0</v>
      </c>
    </row>
    <row r="392" spans="1:93" s="12" customFormat="1" ht="14.65" customHeight="1" x14ac:dyDescent="0.25">
      <c r="A392" s="4">
        <v>2021</v>
      </c>
      <c r="B392" s="4"/>
      <c r="C392" s="4" t="s">
        <v>179</v>
      </c>
      <c r="D392" s="4" t="s">
        <v>65</v>
      </c>
      <c r="E392" s="4"/>
      <c r="F392" s="4" t="s">
        <v>90</v>
      </c>
      <c r="G392" s="5" t="s">
        <v>180</v>
      </c>
      <c r="H392" s="5" t="s">
        <v>21</v>
      </c>
      <c r="I392" s="5" t="s">
        <v>18</v>
      </c>
      <c r="J392" s="5" t="s">
        <v>10</v>
      </c>
      <c r="K392" s="5">
        <v>23.3</v>
      </c>
      <c r="L392" s="5" t="s">
        <v>190</v>
      </c>
      <c r="M392" s="5">
        <v>1666</v>
      </c>
      <c r="N392" s="5" t="s">
        <v>171</v>
      </c>
      <c r="O392" s="6" t="s">
        <v>81</v>
      </c>
      <c r="P392" s="6" t="s">
        <v>181</v>
      </c>
      <c r="Q392" s="6"/>
      <c r="R392" s="6"/>
      <c r="S392" s="6">
        <v>22</v>
      </c>
      <c r="T392" s="6">
        <v>11.13</v>
      </c>
      <c r="U392" s="6">
        <v>1444</v>
      </c>
      <c r="V392" s="6">
        <v>25.27</v>
      </c>
      <c r="W392" s="6">
        <v>1</v>
      </c>
      <c r="X392" s="6">
        <v>272</v>
      </c>
      <c r="Y392" s="6">
        <v>985</v>
      </c>
      <c r="Z392" s="6">
        <v>187</v>
      </c>
      <c r="AA392" s="6">
        <v>0</v>
      </c>
      <c r="AB392" s="6">
        <v>0</v>
      </c>
      <c r="AC392" s="7">
        <v>27</v>
      </c>
      <c r="AD392" s="7" t="s">
        <v>52</v>
      </c>
      <c r="AE392" s="7">
        <v>14.05</v>
      </c>
      <c r="AF392" s="76">
        <v>947.4</v>
      </c>
      <c r="AG392" s="7">
        <v>23.38</v>
      </c>
      <c r="AH392" s="7">
        <v>17.72</v>
      </c>
      <c r="AI392" s="7">
        <v>21.44</v>
      </c>
      <c r="AJ392" s="9">
        <v>152.51812285641799</v>
      </c>
      <c r="AK392" s="9">
        <v>152.81614244756901</v>
      </c>
      <c r="AL392" s="9">
        <v>179.24863917695001</v>
      </c>
      <c r="AM392" s="9">
        <v>33.695192056038401</v>
      </c>
      <c r="AN392" s="9">
        <v>1.24797007614957</v>
      </c>
      <c r="AO392" s="9">
        <v>1.45386500792492</v>
      </c>
      <c r="AP392" s="9">
        <v>247.93814214629199</v>
      </c>
      <c r="AQ392" s="9">
        <v>9.1828941535663695</v>
      </c>
      <c r="AR392" s="9">
        <v>16.151042658596399</v>
      </c>
      <c r="AS392" s="73" t="s">
        <v>169</v>
      </c>
      <c r="AT392" s="10" t="s">
        <v>169</v>
      </c>
      <c r="AU392" s="10" t="s">
        <v>169</v>
      </c>
      <c r="AV392" s="10">
        <v>0</v>
      </c>
      <c r="AW392" s="10"/>
      <c r="AX392" s="10" t="s">
        <v>169</v>
      </c>
      <c r="AY392" s="10"/>
      <c r="AZ392" s="10"/>
      <c r="BA392" s="10"/>
      <c r="BB392" s="8"/>
      <c r="BC392" s="8"/>
      <c r="BD392" s="8"/>
      <c r="BE392" s="8"/>
      <c r="BF392" s="12">
        <v>0.45</v>
      </c>
      <c r="BG392" s="13">
        <v>140.59018474823401</v>
      </c>
      <c r="BH392" s="96" t="str">
        <f>+VLOOKUP(G392,Liste!$A$7:$G$50,3,FALSE)</f>
        <v>Pin Laricio</v>
      </c>
      <c r="BI392" s="96" t="str">
        <f>+VLOOKUP(H392,Liste!$B$7:$G$50,5,FALSE)</f>
        <v>GS Pineraies des plaines du Centre et du Nord Ouest</v>
      </c>
      <c r="BJ392" s="135">
        <f t="shared" si="129"/>
        <v>27</v>
      </c>
      <c r="BK392" s="135" t="str">
        <f t="shared" si="131"/>
        <v>Pin Laricio_F2_Classique_GS Pineraies des plaines du Centre et du Nord Ouest_27_</v>
      </c>
      <c r="BL392" s="322"/>
      <c r="BM392" s="13">
        <v>38.862741601417298</v>
      </c>
      <c r="BN392" s="13">
        <v>179.45292634965199</v>
      </c>
      <c r="BO392" s="13" t="s">
        <v>169</v>
      </c>
      <c r="BP392" s="13">
        <v>261.61729964832301</v>
      </c>
      <c r="BQ392" s="13">
        <v>15.596578881704399</v>
      </c>
      <c r="BT392" s="298" t="str">
        <f>+VLOOKUP(G392,Liste!$A$7:$H$50,8,FALSE)</f>
        <v>Résineux</v>
      </c>
      <c r="BU392" s="298">
        <f t="shared" si="132"/>
        <v>0</v>
      </c>
      <c r="BV392" s="300">
        <f t="shared" si="133"/>
        <v>1</v>
      </c>
      <c r="BW392" s="321">
        <v>0</v>
      </c>
      <c r="BX392" s="298">
        <f t="shared" si="134"/>
        <v>0.43</v>
      </c>
      <c r="BY392">
        <f t="shared" si="135"/>
        <v>0</v>
      </c>
      <c r="BZ392" s="304">
        <f t="shared" si="136"/>
        <v>23.283331321918535</v>
      </c>
      <c r="CB392" s="299">
        <v>0.6</v>
      </c>
      <c r="CC392" s="299">
        <v>0.4</v>
      </c>
      <c r="CD392">
        <f t="shared" si="137"/>
        <v>0</v>
      </c>
      <c r="CE392">
        <f t="shared" si="138"/>
        <v>0</v>
      </c>
      <c r="CF392">
        <f t="shared" si="139"/>
        <v>0</v>
      </c>
      <c r="CG392">
        <f t="shared" si="140"/>
        <v>0</v>
      </c>
      <c r="CH392">
        <f t="shared" si="141"/>
        <v>0</v>
      </c>
      <c r="CI392">
        <f t="shared" si="142"/>
        <v>0</v>
      </c>
      <c r="CJ392">
        <f t="shared" si="143"/>
        <v>0</v>
      </c>
      <c r="CK392">
        <f t="shared" si="144"/>
        <v>22.476773960557672</v>
      </c>
      <c r="CL392">
        <f t="shared" si="145"/>
        <v>3.5864771475025972</v>
      </c>
      <c r="CM392">
        <f t="shared" si="147"/>
        <v>26.063251108060271</v>
      </c>
      <c r="CN392">
        <f t="shared" si="146"/>
        <v>159.20458983143959</v>
      </c>
      <c r="CO392">
        <f t="shared" si="130"/>
        <v>0</v>
      </c>
    </row>
    <row r="393" spans="1:93" s="12" customFormat="1" ht="14.65" customHeight="1" x14ac:dyDescent="0.25">
      <c r="A393" s="4">
        <v>2021</v>
      </c>
      <c r="B393" s="4"/>
      <c r="C393" s="4" t="s">
        <v>179</v>
      </c>
      <c r="D393" s="4" t="s">
        <v>65</v>
      </c>
      <c r="E393" s="4"/>
      <c r="F393" s="4" t="s">
        <v>90</v>
      </c>
      <c r="G393" s="5" t="s">
        <v>180</v>
      </c>
      <c r="H393" s="5" t="s">
        <v>21</v>
      </c>
      <c r="I393" s="5" t="s">
        <v>18</v>
      </c>
      <c r="J393" s="5" t="s">
        <v>10</v>
      </c>
      <c r="K393" s="5">
        <v>23.3</v>
      </c>
      <c r="L393" s="5" t="s">
        <v>190</v>
      </c>
      <c r="M393" s="5">
        <v>1666</v>
      </c>
      <c r="N393" s="5" t="s">
        <v>171</v>
      </c>
      <c r="O393" s="6" t="s">
        <v>81</v>
      </c>
      <c r="P393" s="6" t="s">
        <v>181</v>
      </c>
      <c r="Q393" s="6"/>
      <c r="R393" s="6"/>
      <c r="S393" s="6">
        <v>22</v>
      </c>
      <c r="T393" s="6">
        <v>11.13</v>
      </c>
      <c r="U393" s="6">
        <v>1444</v>
      </c>
      <c r="V393" s="6">
        <v>25.27</v>
      </c>
      <c r="W393" s="6">
        <v>1</v>
      </c>
      <c r="X393" s="6">
        <v>272</v>
      </c>
      <c r="Y393" s="6">
        <v>985</v>
      </c>
      <c r="Z393" s="6">
        <v>187</v>
      </c>
      <c r="AA393" s="6">
        <v>0</v>
      </c>
      <c r="AB393" s="6">
        <v>0</v>
      </c>
      <c r="AC393" s="7">
        <v>27</v>
      </c>
      <c r="AD393" s="7" t="s">
        <v>53</v>
      </c>
      <c r="AE393" s="7">
        <v>14.05</v>
      </c>
      <c r="AF393" s="76">
        <v>680.4</v>
      </c>
      <c r="AG393" s="7">
        <v>17.04</v>
      </c>
      <c r="AH393" s="7">
        <v>17.86</v>
      </c>
      <c r="AI393" s="7">
        <v>21.44</v>
      </c>
      <c r="AJ393" s="9">
        <v>111.52068288247</v>
      </c>
      <c r="AK393" s="9">
        <v>111.742699650714</v>
      </c>
      <c r="AL393" s="9">
        <v>130.88085635048699</v>
      </c>
      <c r="AM393" s="9">
        <v>33.695192056038401</v>
      </c>
      <c r="AN393" s="9">
        <v>1.24797007614957</v>
      </c>
      <c r="AO393" s="9">
        <v>1.45386500792492</v>
      </c>
      <c r="AP393" s="9">
        <v>247.93814214629199</v>
      </c>
      <c r="AQ393" s="9">
        <v>9.1828941535663695</v>
      </c>
      <c r="AR393" s="9">
        <v>16.151042658596399</v>
      </c>
      <c r="AS393" s="73">
        <v>267</v>
      </c>
      <c r="AT393" s="10">
        <v>6.34</v>
      </c>
      <c r="AU393" s="10">
        <v>17.387776835515311</v>
      </c>
      <c r="AV393" s="10">
        <v>40.997439973947991</v>
      </c>
      <c r="AW393" s="10">
        <v>0.96285453455075853</v>
      </c>
      <c r="AX393" s="10">
        <v>0.15354846432190258</v>
      </c>
      <c r="AY393" s="10"/>
      <c r="AZ393" s="10"/>
      <c r="BA393" s="10"/>
      <c r="BB393" s="8"/>
      <c r="BC393" s="8"/>
      <c r="BD393" s="8"/>
      <c r="BE393" s="8"/>
      <c r="BF393" s="12">
        <v>0.45</v>
      </c>
      <c r="BG393" s="13">
        <v>102.653854772964</v>
      </c>
      <c r="BH393" s="96" t="str">
        <f>+VLOOKUP(G393,Liste!$A$7:$G$50,3,FALSE)</f>
        <v>Pin Laricio</v>
      </c>
      <c r="BI393" s="96" t="str">
        <f>+VLOOKUP(H393,Liste!$B$7:$G$50,5,FALSE)</f>
        <v>GS Pineraies des plaines du Centre et du Nord Ouest</v>
      </c>
      <c r="BJ393" s="135">
        <f t="shared" si="129"/>
        <v>27</v>
      </c>
      <c r="BK393" s="135" t="str">
        <f t="shared" si="131"/>
        <v>Pin Laricio_F2_Classique_GS Pineraies des plaines du Centre et du Nord Ouest_27_</v>
      </c>
      <c r="BL393" s="322"/>
      <c r="BM393" s="13">
        <v>29.434155321704399</v>
      </c>
      <c r="BN393" s="13">
        <v>132.08801009466899</v>
      </c>
      <c r="BO393" s="13">
        <v>47.364916254983001</v>
      </c>
      <c r="BP393" s="13">
        <v>261.61729964832301</v>
      </c>
      <c r="BQ393" s="13">
        <v>15.596578881704399</v>
      </c>
      <c r="BT393" s="298" t="str">
        <f>+VLOOKUP(G393,Liste!$A$7:$H$50,8,FALSE)</f>
        <v>Résineux</v>
      </c>
      <c r="BU393" s="298">
        <f t="shared" si="132"/>
        <v>0</v>
      </c>
      <c r="BV393" s="300">
        <f t="shared" si="133"/>
        <v>1</v>
      </c>
      <c r="BW393" s="321">
        <v>0</v>
      </c>
      <c r="BX393" s="298">
        <f t="shared" si="134"/>
        <v>0.43</v>
      </c>
      <c r="BY393">
        <f t="shared" si="135"/>
        <v>17.628899188797636</v>
      </c>
      <c r="BZ393" s="304">
        <f t="shared" si="136"/>
        <v>40.912230510716171</v>
      </c>
      <c r="CB393" s="299">
        <v>0.6</v>
      </c>
      <c r="CC393" s="299">
        <v>0.4</v>
      </c>
      <c r="CD393">
        <f t="shared" si="137"/>
        <v>0</v>
      </c>
      <c r="CE393">
        <f t="shared" si="138"/>
        <v>24.598463984368795</v>
      </c>
      <c r="CF393">
        <f t="shared" si="139"/>
        <v>16.398975989579196</v>
      </c>
      <c r="CG393">
        <f t="shared" si="140"/>
        <v>0</v>
      </c>
      <c r="CH393">
        <f t="shared" si="141"/>
        <v>19.279046147749042</v>
      </c>
      <c r="CI393">
        <f t="shared" si="142"/>
        <v>12.852697431832693</v>
      </c>
      <c r="CJ393">
        <f t="shared" si="143"/>
        <v>0</v>
      </c>
      <c r="CK393">
        <f t="shared" si="144"/>
        <v>21.862145394604052</v>
      </c>
      <c r="CL393">
        <f t="shared" si="145"/>
        <v>2.5360223115696723</v>
      </c>
      <c r="CM393">
        <f t="shared" si="147"/>
        <v>24.398167706173723</v>
      </c>
      <c r="CN393">
        <f t="shared" si="146"/>
        <v>183.60275753761331</v>
      </c>
      <c r="CO393">
        <f t="shared" si="130"/>
        <v>0</v>
      </c>
    </row>
    <row r="394" spans="1:93" s="12" customFormat="1" ht="14.65" customHeight="1" x14ac:dyDescent="0.25">
      <c r="A394" s="4">
        <v>2021</v>
      </c>
      <c r="B394" s="4"/>
      <c r="C394" s="4" t="s">
        <v>179</v>
      </c>
      <c r="D394" s="4" t="s">
        <v>65</v>
      </c>
      <c r="E394" s="4"/>
      <c r="F394" s="4" t="s">
        <v>90</v>
      </c>
      <c r="G394" s="5" t="s">
        <v>180</v>
      </c>
      <c r="H394" s="5" t="s">
        <v>21</v>
      </c>
      <c r="I394" s="5" t="s">
        <v>18</v>
      </c>
      <c r="J394" s="5" t="s">
        <v>10</v>
      </c>
      <c r="K394" s="5">
        <v>23.3</v>
      </c>
      <c r="L394" s="5" t="s">
        <v>190</v>
      </c>
      <c r="M394" s="5">
        <v>1666</v>
      </c>
      <c r="N394" s="5" t="s">
        <v>171</v>
      </c>
      <c r="O394" s="6" t="s">
        <v>81</v>
      </c>
      <c r="P394" s="6" t="s">
        <v>181</v>
      </c>
      <c r="Q394" s="6"/>
      <c r="R394" s="6"/>
      <c r="S394" s="6">
        <v>22</v>
      </c>
      <c r="T394" s="6">
        <v>11.13</v>
      </c>
      <c r="U394" s="6">
        <v>1444</v>
      </c>
      <c r="V394" s="6">
        <v>25.27</v>
      </c>
      <c r="W394" s="6">
        <v>1</v>
      </c>
      <c r="X394" s="6">
        <v>272</v>
      </c>
      <c r="Y394" s="6">
        <v>985</v>
      </c>
      <c r="Z394" s="6">
        <v>187</v>
      </c>
      <c r="AA394" s="6">
        <v>0</v>
      </c>
      <c r="AB394" s="6">
        <v>0</v>
      </c>
      <c r="AC394" s="7">
        <v>28</v>
      </c>
      <c r="AD394" s="7" t="s">
        <v>52</v>
      </c>
      <c r="AE394" s="7">
        <v>14.59</v>
      </c>
      <c r="AF394" s="76">
        <v>679.8</v>
      </c>
      <c r="AG394" s="7">
        <v>18.3</v>
      </c>
      <c r="AH394" s="7">
        <v>18.52</v>
      </c>
      <c r="AI394" s="7">
        <v>21.84</v>
      </c>
      <c r="AJ394" s="9">
        <v>127.406249847674</v>
      </c>
      <c r="AK394" s="9">
        <v>127.634682593341</v>
      </c>
      <c r="AL394" s="9">
        <v>147.03189900908299</v>
      </c>
      <c r="AM394" s="9" t="s">
        <v>169</v>
      </c>
      <c r="AN394" s="9" t="s">
        <v>169</v>
      </c>
      <c r="AO394" s="9" t="s">
        <v>169</v>
      </c>
      <c r="AP394" s="9" t="s">
        <v>169</v>
      </c>
      <c r="AQ394" s="9" t="s">
        <v>169</v>
      </c>
      <c r="AR394" s="9" t="s">
        <v>169</v>
      </c>
      <c r="AS394" s="73" t="s">
        <v>169</v>
      </c>
      <c r="AT394" s="10" t="s">
        <v>169</v>
      </c>
      <c r="AU394" s="10" t="s">
        <v>169</v>
      </c>
      <c r="AV394" s="10">
        <v>0</v>
      </c>
      <c r="AW394" s="10"/>
      <c r="AX394" s="10" t="s">
        <v>169</v>
      </c>
      <c r="AY394" s="10"/>
      <c r="AZ394" s="10"/>
      <c r="BA394" s="10"/>
      <c r="BB394" s="8"/>
      <c r="BC394" s="8"/>
      <c r="BD394" s="8"/>
      <c r="BE394" s="8"/>
      <c r="BF394" s="12">
        <v>0.45</v>
      </c>
      <c r="BG394" s="13">
        <v>115.32161103418299</v>
      </c>
      <c r="BH394" s="96" t="str">
        <f>+VLOOKUP(G394,Liste!$A$7:$G$50,3,FALSE)</f>
        <v>Pin Laricio</v>
      </c>
      <c r="BI394" s="96" t="str">
        <f>+VLOOKUP(H394,Liste!$B$7:$G$50,5,FALSE)</f>
        <v>GS Pineraies des plaines du Centre et du Nord Ouest</v>
      </c>
      <c r="BJ394" s="135">
        <f t="shared" si="129"/>
        <v>28</v>
      </c>
      <c r="BK394" s="135" t="str">
        <f t="shared" si="131"/>
        <v>Pin Laricio_F2_Classique_GS Pineraies des plaines du Centre et du Nord Ouest_28_</v>
      </c>
      <c r="BL394" s="322"/>
      <c r="BM394" s="13">
        <v>32.548533847454401</v>
      </c>
      <c r="BN394" s="13">
        <v>147.870144881637</v>
      </c>
      <c r="BO394" s="13" t="s">
        <v>169</v>
      </c>
      <c r="BP394" s="13">
        <v>261.61729964832301</v>
      </c>
      <c r="BQ394" s="13" t="s">
        <v>169</v>
      </c>
      <c r="BT394" s="298" t="str">
        <f>+VLOOKUP(G394,Liste!$A$7:$H$50,8,FALSE)</f>
        <v>Résineux</v>
      </c>
      <c r="BU394" s="298">
        <f t="shared" si="132"/>
        <v>0</v>
      </c>
      <c r="BV394" s="300">
        <f t="shared" si="133"/>
        <v>1</v>
      </c>
      <c r="BW394" s="321">
        <v>0</v>
      </c>
      <c r="BX394" s="298">
        <f t="shared" si="134"/>
        <v>0.43</v>
      </c>
      <c r="BY394">
        <f t="shared" si="135"/>
        <v>0</v>
      </c>
      <c r="BZ394" s="304">
        <f t="shared" si="136"/>
        <v>40.912230510716171</v>
      </c>
      <c r="CB394" s="299">
        <v>0.6</v>
      </c>
      <c r="CC394" s="299">
        <v>0.4</v>
      </c>
      <c r="CD394">
        <f t="shared" si="137"/>
        <v>0</v>
      </c>
      <c r="CE394">
        <f t="shared" si="138"/>
        <v>0</v>
      </c>
      <c r="CF394">
        <f t="shared" si="139"/>
        <v>0</v>
      </c>
      <c r="CG394">
        <f t="shared" si="140"/>
        <v>0</v>
      </c>
      <c r="CH394">
        <f t="shared" si="141"/>
        <v>0</v>
      </c>
      <c r="CI394">
        <f t="shared" si="142"/>
        <v>0</v>
      </c>
      <c r="CJ394">
        <f t="shared" si="143"/>
        <v>0</v>
      </c>
      <c r="CK394">
        <f t="shared" si="144"/>
        <v>40.278558717562653</v>
      </c>
      <c r="CL394">
        <f t="shared" si="145"/>
        <v>12.65519697688242</v>
      </c>
      <c r="CM394">
        <f t="shared" si="147"/>
        <v>52.933755694445075</v>
      </c>
      <c r="CN394">
        <f t="shared" si="146"/>
        <v>236.53651323205838</v>
      </c>
      <c r="CO394">
        <f t="shared" si="130"/>
        <v>0</v>
      </c>
    </row>
    <row r="395" spans="1:93" s="12" customFormat="1" ht="14.65" customHeight="1" x14ac:dyDescent="0.25">
      <c r="A395" s="4">
        <v>2021</v>
      </c>
      <c r="B395" s="4"/>
      <c r="C395" s="4" t="s">
        <v>179</v>
      </c>
      <c r="D395" s="4" t="s">
        <v>65</v>
      </c>
      <c r="E395" s="4"/>
      <c r="F395" s="4" t="s">
        <v>90</v>
      </c>
      <c r="G395" s="5" t="s">
        <v>180</v>
      </c>
      <c r="H395" s="5" t="s">
        <v>21</v>
      </c>
      <c r="I395" s="5" t="s">
        <v>18</v>
      </c>
      <c r="J395" s="5" t="s">
        <v>10</v>
      </c>
      <c r="K395" s="5">
        <v>23.3</v>
      </c>
      <c r="L395" s="5" t="s">
        <v>190</v>
      </c>
      <c r="M395" s="5">
        <v>1666</v>
      </c>
      <c r="N395" s="5" t="s">
        <v>171</v>
      </c>
      <c r="O395" s="6" t="s">
        <v>81</v>
      </c>
      <c r="P395" s="6" t="s">
        <v>181</v>
      </c>
      <c r="Q395" s="6"/>
      <c r="R395" s="6"/>
      <c r="S395" s="6">
        <v>22</v>
      </c>
      <c r="T395" s="6">
        <v>11.13</v>
      </c>
      <c r="U395" s="6">
        <v>1444</v>
      </c>
      <c r="V395" s="6">
        <v>25.27</v>
      </c>
      <c r="W395" s="6">
        <v>1</v>
      </c>
      <c r="X395" s="6">
        <v>272</v>
      </c>
      <c r="Y395" s="6">
        <v>985</v>
      </c>
      <c r="Z395" s="6">
        <v>187</v>
      </c>
      <c r="AA395" s="6">
        <v>0</v>
      </c>
      <c r="AB395" s="6">
        <v>0</v>
      </c>
      <c r="AC395" s="7">
        <v>29</v>
      </c>
      <c r="AD395" s="7" t="s">
        <v>52</v>
      </c>
      <c r="AE395" s="7">
        <v>15.11</v>
      </c>
      <c r="AF395" s="76">
        <v>679.6</v>
      </c>
      <c r="AG395" s="7">
        <v>19.82</v>
      </c>
      <c r="AH395" s="7">
        <v>19.27</v>
      </c>
      <c r="AI395" s="7">
        <v>22.71</v>
      </c>
      <c r="AJ395" s="9">
        <v>143.29181681287699</v>
      </c>
      <c r="AK395" s="9">
        <v>143.526665535967</v>
      </c>
      <c r="AL395" s="9">
        <v>163.18294166768001</v>
      </c>
      <c r="AM395" s="9" t="s">
        <v>169</v>
      </c>
      <c r="AN395" s="9" t="s">
        <v>169</v>
      </c>
      <c r="AO395" s="9" t="s">
        <v>169</v>
      </c>
      <c r="AP395" s="9" t="s">
        <v>169</v>
      </c>
      <c r="AQ395" s="9" t="s">
        <v>169</v>
      </c>
      <c r="AR395" s="9" t="s">
        <v>169</v>
      </c>
      <c r="AS395" s="73" t="s">
        <v>169</v>
      </c>
      <c r="AT395" s="10" t="s">
        <v>169</v>
      </c>
      <c r="AU395" s="10" t="s">
        <v>169</v>
      </c>
      <c r="AV395" s="10">
        <v>0</v>
      </c>
      <c r="AW395" s="10"/>
      <c r="AX395" s="10" t="s">
        <v>169</v>
      </c>
      <c r="AY395" s="10"/>
      <c r="AZ395" s="10"/>
      <c r="BA395" s="10"/>
      <c r="BB395" s="8"/>
      <c r="BC395" s="8"/>
      <c r="BD395" s="8"/>
      <c r="BE395" s="8"/>
      <c r="BF395" s="12">
        <v>0.45</v>
      </c>
      <c r="BG395" s="13">
        <v>127.989367295401</v>
      </c>
      <c r="BH395" s="96" t="str">
        <f>+VLOOKUP(G395,Liste!$A$7:$G$50,3,FALSE)</f>
        <v>Pin Laricio</v>
      </c>
      <c r="BI395" s="96" t="str">
        <f>+VLOOKUP(H395,Liste!$B$7:$G$50,5,FALSE)</f>
        <v>GS Pineraies des plaines du Centre et du Nord Ouest</v>
      </c>
      <c r="BJ395" s="135">
        <f t="shared" si="129"/>
        <v>29</v>
      </c>
      <c r="BK395" s="135" t="str">
        <f t="shared" si="131"/>
        <v>Pin Laricio_F2_Classique_GS Pineraies des plaines du Centre et du Nord Ouest_29_</v>
      </c>
      <c r="BL395" s="322"/>
      <c r="BM395" s="13">
        <v>35.662912373204399</v>
      </c>
      <c r="BN395" s="13">
        <v>163.65227966860499</v>
      </c>
      <c r="BO395" s="13" t="s">
        <v>169</v>
      </c>
      <c r="BP395" s="13">
        <v>261.61729964832301</v>
      </c>
      <c r="BQ395" s="13" t="s">
        <v>169</v>
      </c>
      <c r="BT395" s="298" t="str">
        <f>+VLOOKUP(G395,Liste!$A$7:$H$50,8,FALSE)</f>
        <v>Résineux</v>
      </c>
      <c r="BU395" s="298">
        <f t="shared" si="132"/>
        <v>0</v>
      </c>
      <c r="BV395" s="300">
        <f t="shared" si="133"/>
        <v>1</v>
      </c>
      <c r="BW395" s="321">
        <v>0</v>
      </c>
      <c r="BX395" s="298">
        <f t="shared" si="134"/>
        <v>0.43</v>
      </c>
      <c r="BY395">
        <f t="shared" si="135"/>
        <v>0</v>
      </c>
      <c r="BZ395" s="304">
        <f t="shared" si="136"/>
        <v>40.912230510716171</v>
      </c>
      <c r="CB395" s="299">
        <v>0.6</v>
      </c>
      <c r="CC395" s="299">
        <v>0.4</v>
      </c>
      <c r="CD395">
        <f t="shared" si="137"/>
        <v>0</v>
      </c>
      <c r="CE395">
        <f t="shared" si="138"/>
        <v>0</v>
      </c>
      <c r="CF395">
        <f t="shared" si="139"/>
        <v>0</v>
      </c>
      <c r="CG395">
        <f t="shared" si="140"/>
        <v>0</v>
      </c>
      <c r="CH395">
        <f t="shared" si="141"/>
        <v>0</v>
      </c>
      <c r="CI395">
        <f t="shared" si="142"/>
        <v>0</v>
      </c>
      <c r="CJ395">
        <f t="shared" si="143"/>
        <v>0</v>
      </c>
      <c r="CK395">
        <f t="shared" si="144"/>
        <v>39.177139411273558</v>
      </c>
      <c r="CL395">
        <f t="shared" si="145"/>
        <v>8.9485755996050553</v>
      </c>
      <c r="CM395">
        <f t="shared" si="147"/>
        <v>48.125715010878615</v>
      </c>
      <c r="CN395">
        <f t="shared" si="146"/>
        <v>284.66222824293698</v>
      </c>
      <c r="CO395">
        <f t="shared" si="130"/>
        <v>0</v>
      </c>
    </row>
    <row r="396" spans="1:93" s="12" customFormat="1" ht="14.65" customHeight="1" x14ac:dyDescent="0.25">
      <c r="A396" s="4">
        <v>2021</v>
      </c>
      <c r="B396" s="4"/>
      <c r="C396" s="4" t="s">
        <v>179</v>
      </c>
      <c r="D396" s="4" t="s">
        <v>65</v>
      </c>
      <c r="E396" s="4"/>
      <c r="F396" s="4" t="s">
        <v>90</v>
      </c>
      <c r="G396" s="5" t="s">
        <v>180</v>
      </c>
      <c r="H396" s="5" t="s">
        <v>21</v>
      </c>
      <c r="I396" s="5" t="s">
        <v>18</v>
      </c>
      <c r="J396" s="5" t="s">
        <v>10</v>
      </c>
      <c r="K396" s="5">
        <v>23.3</v>
      </c>
      <c r="L396" s="5" t="s">
        <v>190</v>
      </c>
      <c r="M396" s="5">
        <v>1666</v>
      </c>
      <c r="N396" s="5" t="s">
        <v>171</v>
      </c>
      <c r="O396" s="6" t="s">
        <v>81</v>
      </c>
      <c r="P396" s="6" t="s">
        <v>181</v>
      </c>
      <c r="Q396" s="6"/>
      <c r="R396" s="6"/>
      <c r="S396" s="6">
        <v>22</v>
      </c>
      <c r="T396" s="6">
        <v>11.13</v>
      </c>
      <c r="U396" s="6">
        <v>1444</v>
      </c>
      <c r="V396" s="6">
        <v>25.27</v>
      </c>
      <c r="W396" s="6">
        <v>1</v>
      </c>
      <c r="X396" s="6">
        <v>272</v>
      </c>
      <c r="Y396" s="6">
        <v>985</v>
      </c>
      <c r="Z396" s="6">
        <v>187</v>
      </c>
      <c r="AA396" s="6">
        <v>0</v>
      </c>
      <c r="AB396" s="6">
        <v>0</v>
      </c>
      <c r="AC396" s="7">
        <v>30</v>
      </c>
      <c r="AD396" s="7" t="s">
        <v>52</v>
      </c>
      <c r="AE396" s="7">
        <v>15.63</v>
      </c>
      <c r="AF396" s="76">
        <v>679</v>
      </c>
      <c r="AG396" s="7">
        <v>21.33</v>
      </c>
      <c r="AH396" s="7">
        <v>20</v>
      </c>
      <c r="AI396" s="7">
        <v>23.55</v>
      </c>
      <c r="AJ396" s="9">
        <v>159.17738377808101</v>
      </c>
      <c r="AK396" s="9">
        <v>159.41864847859401</v>
      </c>
      <c r="AL396" s="9">
        <v>179.33398432627601</v>
      </c>
      <c r="AM396" s="9" t="s">
        <v>169</v>
      </c>
      <c r="AN396" s="9" t="s">
        <v>169</v>
      </c>
      <c r="AO396" s="9" t="s">
        <v>169</v>
      </c>
      <c r="AP396" s="9" t="s">
        <v>169</v>
      </c>
      <c r="AQ396" s="9" t="s">
        <v>169</v>
      </c>
      <c r="AR396" s="9" t="s">
        <v>169</v>
      </c>
      <c r="AS396" s="73" t="s">
        <v>169</v>
      </c>
      <c r="AT396" s="10" t="s">
        <v>169</v>
      </c>
      <c r="AU396" s="10" t="s">
        <v>169</v>
      </c>
      <c r="AV396" s="10">
        <v>0</v>
      </c>
      <c r="AW396" s="10"/>
      <c r="AX396" s="10" t="s">
        <v>169</v>
      </c>
      <c r="AY396" s="10"/>
      <c r="AZ396" s="10"/>
      <c r="BA396" s="10"/>
      <c r="BB396" s="8"/>
      <c r="BC396" s="8"/>
      <c r="BD396" s="8"/>
      <c r="BE396" s="8"/>
      <c r="BF396" s="12">
        <v>0.45</v>
      </c>
      <c r="BG396" s="13">
        <v>140.65712355661901</v>
      </c>
      <c r="BH396" s="96" t="str">
        <f>+VLOOKUP(G396,Liste!$A$7:$G$50,3,FALSE)</f>
        <v>Pin Laricio</v>
      </c>
      <c r="BI396" s="96" t="str">
        <f>+VLOOKUP(H396,Liste!$B$7:$G$50,5,FALSE)</f>
        <v>GS Pineraies des plaines du Centre et du Nord Ouest</v>
      </c>
      <c r="BJ396" s="135">
        <f t="shared" si="129"/>
        <v>30</v>
      </c>
      <c r="BK396" s="135" t="str">
        <f t="shared" si="131"/>
        <v>Pin Laricio_F2_Classique_GS Pineraies des plaines du Centre et du Nord Ouest_30_</v>
      </c>
      <c r="BL396" s="322"/>
      <c r="BM396" s="13">
        <v>38.777290898954497</v>
      </c>
      <c r="BN396" s="13">
        <v>179.434414455574</v>
      </c>
      <c r="BO396" s="13" t="s">
        <v>169</v>
      </c>
      <c r="BP396" s="13">
        <v>261.61729964832301</v>
      </c>
      <c r="BQ396" s="13" t="s">
        <v>169</v>
      </c>
      <c r="BT396" s="298" t="str">
        <f>+VLOOKUP(G396,Liste!$A$7:$H$50,8,FALSE)</f>
        <v>Résineux</v>
      </c>
      <c r="BU396" s="298">
        <f t="shared" si="132"/>
        <v>0</v>
      </c>
      <c r="BV396" s="300">
        <f t="shared" si="133"/>
        <v>1</v>
      </c>
      <c r="BW396" s="321">
        <v>0</v>
      </c>
      <c r="BX396" s="298">
        <f t="shared" si="134"/>
        <v>0.43</v>
      </c>
      <c r="BY396">
        <f t="shared" si="135"/>
        <v>0</v>
      </c>
      <c r="BZ396" s="304">
        <f t="shared" si="136"/>
        <v>40.912230510716171</v>
      </c>
      <c r="CB396" s="299">
        <v>0.6</v>
      </c>
      <c r="CC396" s="299">
        <v>0.4</v>
      </c>
      <c r="CD396">
        <f t="shared" si="137"/>
        <v>0</v>
      </c>
      <c r="CE396">
        <f t="shared" si="138"/>
        <v>0</v>
      </c>
      <c r="CF396">
        <f t="shared" si="139"/>
        <v>0</v>
      </c>
      <c r="CG396">
        <f t="shared" si="140"/>
        <v>0</v>
      </c>
      <c r="CH396">
        <f t="shared" si="141"/>
        <v>0</v>
      </c>
      <c r="CI396">
        <f t="shared" si="142"/>
        <v>0</v>
      </c>
      <c r="CJ396">
        <f t="shared" si="143"/>
        <v>0</v>
      </c>
      <c r="CK396">
        <f t="shared" si="144"/>
        <v>38.105838473836059</v>
      </c>
      <c r="CL396">
        <f t="shared" si="145"/>
        <v>6.3275984884412102</v>
      </c>
      <c r="CM396">
        <f t="shared" si="147"/>
        <v>44.43343696227727</v>
      </c>
      <c r="CN396">
        <f t="shared" si="146"/>
        <v>329.09566520521423</v>
      </c>
      <c r="CO396">
        <f t="shared" si="130"/>
        <v>10.969855506840474</v>
      </c>
    </row>
    <row r="397" spans="1:93" s="12" customFormat="1" ht="14.65" customHeight="1" x14ac:dyDescent="0.25">
      <c r="A397" s="4">
        <v>2021</v>
      </c>
      <c r="B397" s="4"/>
      <c r="C397" s="4" t="s">
        <v>179</v>
      </c>
      <c r="D397" s="4" t="s">
        <v>65</v>
      </c>
      <c r="E397" s="4"/>
      <c r="F397" s="4" t="s">
        <v>90</v>
      </c>
      <c r="G397" s="5" t="s">
        <v>180</v>
      </c>
      <c r="H397" s="5" t="s">
        <v>21</v>
      </c>
      <c r="I397" s="5" t="s">
        <v>18</v>
      </c>
      <c r="J397" s="5" t="s">
        <v>10</v>
      </c>
      <c r="K397" s="5">
        <v>23.3</v>
      </c>
      <c r="L397" s="5" t="s">
        <v>190</v>
      </c>
      <c r="M397" s="5">
        <v>1666</v>
      </c>
      <c r="N397" s="5" t="s">
        <v>171</v>
      </c>
      <c r="O397" s="6" t="s">
        <v>81</v>
      </c>
      <c r="P397" s="6" t="s">
        <v>181</v>
      </c>
      <c r="Q397" s="6"/>
      <c r="R397" s="6"/>
      <c r="S397" s="6">
        <v>22</v>
      </c>
      <c r="T397" s="6">
        <v>11.13</v>
      </c>
      <c r="U397" s="6">
        <v>1444</v>
      </c>
      <c r="V397" s="6">
        <v>25.27</v>
      </c>
      <c r="W397" s="6">
        <v>1</v>
      </c>
      <c r="X397" s="6">
        <v>272</v>
      </c>
      <c r="Y397" s="6">
        <v>985</v>
      </c>
      <c r="Z397" s="6">
        <v>187</v>
      </c>
      <c r="AA397" s="6">
        <v>0</v>
      </c>
      <c r="AB397" s="6">
        <v>0</v>
      </c>
      <c r="AC397" s="7">
        <v>31</v>
      </c>
      <c r="AD397" s="7" t="s">
        <v>52</v>
      </c>
      <c r="AE397" s="7">
        <v>16.13</v>
      </c>
      <c r="AF397" s="76">
        <v>678.4</v>
      </c>
      <c r="AG397" s="7">
        <v>22.83</v>
      </c>
      <c r="AH397" s="7">
        <v>20.7</v>
      </c>
      <c r="AI397" s="7">
        <v>24.36</v>
      </c>
      <c r="AJ397" s="9">
        <v>175.06295074328401</v>
      </c>
      <c r="AK397" s="9">
        <v>175.31063142122099</v>
      </c>
      <c r="AL397" s="9">
        <v>195.48502698487201</v>
      </c>
      <c r="AM397" s="9" t="s">
        <v>169</v>
      </c>
      <c r="AN397" s="9" t="s">
        <v>169</v>
      </c>
      <c r="AO397" s="9" t="s">
        <v>169</v>
      </c>
      <c r="AP397" s="9" t="s">
        <v>169</v>
      </c>
      <c r="AQ397" s="9" t="s">
        <v>169</v>
      </c>
      <c r="AR397" s="9" t="s">
        <v>169</v>
      </c>
      <c r="AS397" s="73" t="s">
        <v>169</v>
      </c>
      <c r="AT397" s="10" t="s">
        <v>169</v>
      </c>
      <c r="AU397" s="10" t="s">
        <v>169</v>
      </c>
      <c r="AV397" s="10">
        <v>0</v>
      </c>
      <c r="AW397" s="10"/>
      <c r="AX397" s="10" t="s">
        <v>169</v>
      </c>
      <c r="AY397" s="10"/>
      <c r="AZ397" s="10"/>
      <c r="BA397" s="10"/>
      <c r="BB397" s="8"/>
      <c r="BC397" s="8"/>
      <c r="BD397" s="8"/>
      <c r="BE397" s="8"/>
      <c r="BF397" s="12">
        <v>0.45</v>
      </c>
      <c r="BG397" s="13">
        <v>153.324879817838</v>
      </c>
      <c r="BH397" s="96" t="str">
        <f>+VLOOKUP(G397,Liste!$A$7:$G$50,3,FALSE)</f>
        <v>Pin Laricio</v>
      </c>
      <c r="BI397" s="96" t="str">
        <f>+VLOOKUP(H397,Liste!$B$7:$G$50,5,FALSE)</f>
        <v>GS Pineraies des plaines du Centre et du Nord Ouest</v>
      </c>
      <c r="BJ397" s="135">
        <f t="shared" si="129"/>
        <v>31</v>
      </c>
      <c r="BK397" s="135" t="str">
        <f t="shared" si="131"/>
        <v>Pin Laricio_F2_Classique_GS Pineraies des plaines du Centre et du Nord Ouest_31_</v>
      </c>
      <c r="BL397" s="322"/>
      <c r="BM397" s="13">
        <v>41.891669424704503</v>
      </c>
      <c r="BN397" s="13">
        <v>195.21654924254199</v>
      </c>
      <c r="BO397" s="13" t="s">
        <v>169</v>
      </c>
      <c r="BP397" s="13">
        <v>261.61729964832301</v>
      </c>
      <c r="BQ397" s="13" t="s">
        <v>169</v>
      </c>
      <c r="BT397" s="298" t="str">
        <f>+VLOOKUP(G397,Liste!$A$7:$H$50,8,FALSE)</f>
        <v>Résineux</v>
      </c>
      <c r="BU397" s="298">
        <f t="shared" si="132"/>
        <v>0</v>
      </c>
      <c r="BV397" s="300">
        <f t="shared" si="133"/>
        <v>1</v>
      </c>
      <c r="BW397" s="321">
        <v>0</v>
      </c>
      <c r="BX397" s="298">
        <f t="shared" si="134"/>
        <v>0.43</v>
      </c>
      <c r="BY397">
        <f t="shared" si="135"/>
        <v>0</v>
      </c>
      <c r="BZ397" s="304">
        <f t="shared" si="136"/>
        <v>0</v>
      </c>
      <c r="CB397" s="299">
        <v>0.6</v>
      </c>
      <c r="CC397" s="299">
        <v>0.4</v>
      </c>
      <c r="CD397">
        <f t="shared" si="137"/>
        <v>0</v>
      </c>
      <c r="CE397">
        <f t="shared" si="138"/>
        <v>0</v>
      </c>
      <c r="CF397">
        <f t="shared" si="139"/>
        <v>0</v>
      </c>
      <c r="CG397">
        <f t="shared" si="140"/>
        <v>0</v>
      </c>
      <c r="CH397">
        <f t="shared" si="141"/>
        <v>0</v>
      </c>
      <c r="CI397">
        <f t="shared" si="142"/>
        <v>0</v>
      </c>
      <c r="CJ397">
        <f t="shared" si="143"/>
        <v>0</v>
      </c>
      <c r="CK397">
        <f t="shared" si="144"/>
        <v>37.063832316870055</v>
      </c>
      <c r="CL397">
        <f t="shared" si="145"/>
        <v>4.4742877998025277</v>
      </c>
      <c r="CM397">
        <f t="shared" si="147"/>
        <v>41.53812011667258</v>
      </c>
      <c r="CN397">
        <f t="shared" si="146"/>
        <v>370.63378532188682</v>
      </c>
      <c r="CO397">
        <f t="shared" si="130"/>
        <v>0</v>
      </c>
    </row>
    <row r="398" spans="1:93" s="12" customFormat="1" ht="14.65" customHeight="1" x14ac:dyDescent="0.25">
      <c r="A398" s="4">
        <v>2021</v>
      </c>
      <c r="B398" s="4"/>
      <c r="C398" s="4" t="s">
        <v>179</v>
      </c>
      <c r="D398" s="4" t="s">
        <v>65</v>
      </c>
      <c r="E398" s="4"/>
      <c r="F398" s="4" t="s">
        <v>90</v>
      </c>
      <c r="G398" s="5" t="s">
        <v>180</v>
      </c>
      <c r="H398" s="5" t="s">
        <v>21</v>
      </c>
      <c r="I398" s="5" t="s">
        <v>18</v>
      </c>
      <c r="J398" s="5" t="s">
        <v>10</v>
      </c>
      <c r="K398" s="5">
        <v>23.3</v>
      </c>
      <c r="L398" s="5" t="s">
        <v>190</v>
      </c>
      <c r="M398" s="5">
        <v>1666</v>
      </c>
      <c r="N398" s="5" t="s">
        <v>171</v>
      </c>
      <c r="O398" s="6" t="s">
        <v>81</v>
      </c>
      <c r="P398" s="6" t="s">
        <v>181</v>
      </c>
      <c r="Q398" s="6"/>
      <c r="R398" s="6"/>
      <c r="S398" s="6">
        <v>22</v>
      </c>
      <c r="T398" s="6">
        <v>11.13</v>
      </c>
      <c r="U398" s="6">
        <v>1444</v>
      </c>
      <c r="V398" s="6">
        <v>25.27</v>
      </c>
      <c r="W398" s="6">
        <v>1</v>
      </c>
      <c r="X398" s="6">
        <v>272</v>
      </c>
      <c r="Y398" s="6">
        <v>985</v>
      </c>
      <c r="Z398" s="6">
        <v>187</v>
      </c>
      <c r="AA398" s="6">
        <v>0</v>
      </c>
      <c r="AB398" s="6">
        <v>0</v>
      </c>
      <c r="AC398" s="7">
        <v>32</v>
      </c>
      <c r="AD398" s="7" t="s">
        <v>52</v>
      </c>
      <c r="AE398" s="7">
        <v>16.61</v>
      </c>
      <c r="AF398" s="76">
        <v>677.6</v>
      </c>
      <c r="AG398" s="7">
        <v>24.31</v>
      </c>
      <c r="AH398" s="7">
        <v>21.37</v>
      </c>
      <c r="AI398" s="7">
        <v>25.14</v>
      </c>
      <c r="AJ398" s="9">
        <v>190.948517708488</v>
      </c>
      <c r="AK398" s="9">
        <v>191.202614363847</v>
      </c>
      <c r="AL398" s="9">
        <v>211.636069643469</v>
      </c>
      <c r="AM398" s="9">
        <v>40.964517095662998</v>
      </c>
      <c r="AN398" s="9">
        <v>1.28014115923947</v>
      </c>
      <c r="AO398" s="9">
        <v>1.48427473686006</v>
      </c>
      <c r="AP398" s="9">
        <v>328.693355439274</v>
      </c>
      <c r="AQ398" s="9">
        <v>10.2716673574773</v>
      </c>
      <c r="AR398" s="9">
        <v>17.759420126888099</v>
      </c>
      <c r="AS398" s="73" t="s">
        <v>169</v>
      </c>
      <c r="AT398" s="10" t="s">
        <v>169</v>
      </c>
      <c r="AU398" s="10" t="s">
        <v>169</v>
      </c>
      <c r="AV398" s="10">
        <v>0</v>
      </c>
      <c r="AW398" s="10"/>
      <c r="AX398" s="10" t="s">
        <v>169</v>
      </c>
      <c r="AY398" s="10"/>
      <c r="AZ398" s="10"/>
      <c r="BA398" s="10"/>
      <c r="BB398" s="8"/>
      <c r="BC398" s="8"/>
      <c r="BD398" s="8"/>
      <c r="BE398" s="8"/>
      <c r="BF398" s="12">
        <v>0.45</v>
      </c>
      <c r="BG398" s="13">
        <v>165.99263607905601</v>
      </c>
      <c r="BH398" s="96" t="str">
        <f>+VLOOKUP(G398,Liste!$A$7:$G$50,3,FALSE)</f>
        <v>Pin Laricio</v>
      </c>
      <c r="BI398" s="96" t="str">
        <f>+VLOOKUP(H398,Liste!$B$7:$G$50,5,FALSE)</f>
        <v>GS Pineraies des plaines du Centre et du Nord Ouest</v>
      </c>
      <c r="BJ398" s="135">
        <f t="shared" si="129"/>
        <v>32</v>
      </c>
      <c r="BK398" s="135" t="str">
        <f t="shared" si="131"/>
        <v>Pin Laricio_F2_Classique_GS Pineraies des plaines du Centre et du Nord Ouest_32_</v>
      </c>
      <c r="BL398" s="322"/>
      <c r="BM398" s="13">
        <v>45.006047950454601</v>
      </c>
      <c r="BN398" s="13">
        <v>210.998684029511</v>
      </c>
      <c r="BO398" s="13" t="s">
        <v>169</v>
      </c>
      <c r="BP398" s="13">
        <v>261.61729964832301</v>
      </c>
      <c r="BQ398" s="13">
        <v>17.089850633784799</v>
      </c>
      <c r="BT398" s="298" t="str">
        <f>+VLOOKUP(G398,Liste!$A$7:$H$50,8,FALSE)</f>
        <v>Résineux</v>
      </c>
      <c r="BU398" s="298">
        <f t="shared" si="132"/>
        <v>0</v>
      </c>
      <c r="BV398" s="300">
        <f t="shared" si="133"/>
        <v>1</v>
      </c>
      <c r="BW398" s="321">
        <v>0</v>
      </c>
      <c r="BX398" s="298">
        <f t="shared" si="134"/>
        <v>0.43</v>
      </c>
      <c r="BY398">
        <f t="shared" si="135"/>
        <v>0</v>
      </c>
      <c r="BZ398" s="304">
        <f t="shared" si="136"/>
        <v>0</v>
      </c>
      <c r="CB398" s="299">
        <v>0.6</v>
      </c>
      <c r="CC398" s="299">
        <v>0.4</v>
      </c>
      <c r="CD398">
        <f t="shared" si="137"/>
        <v>0</v>
      </c>
      <c r="CE398">
        <f t="shared" si="138"/>
        <v>0</v>
      </c>
      <c r="CF398">
        <f t="shared" si="139"/>
        <v>0</v>
      </c>
      <c r="CG398">
        <f t="shared" si="140"/>
        <v>0</v>
      </c>
      <c r="CH398">
        <f t="shared" si="141"/>
        <v>0</v>
      </c>
      <c r="CI398">
        <f t="shared" si="142"/>
        <v>0</v>
      </c>
      <c r="CJ398">
        <f t="shared" si="143"/>
        <v>0</v>
      </c>
      <c r="CK398">
        <f t="shared" si="144"/>
        <v>0</v>
      </c>
      <c r="CL398">
        <f t="shared" si="145"/>
        <v>0</v>
      </c>
      <c r="CM398">
        <f t="shared" si="147"/>
        <v>0</v>
      </c>
      <c r="CN398">
        <f t="shared" si="146"/>
        <v>0</v>
      </c>
      <c r="CO398">
        <f t="shared" si="130"/>
        <v>0</v>
      </c>
    </row>
    <row r="399" spans="1:93" s="12" customFormat="1" ht="14.65" customHeight="1" x14ac:dyDescent="0.25">
      <c r="A399" s="4">
        <v>2021</v>
      </c>
      <c r="B399" s="4"/>
      <c r="C399" s="4" t="s">
        <v>179</v>
      </c>
      <c r="D399" s="4" t="s">
        <v>65</v>
      </c>
      <c r="E399" s="4"/>
      <c r="F399" s="4" t="s">
        <v>90</v>
      </c>
      <c r="G399" s="5" t="s">
        <v>180</v>
      </c>
      <c r="H399" s="5" t="s">
        <v>21</v>
      </c>
      <c r="I399" s="5" t="s">
        <v>18</v>
      </c>
      <c r="J399" s="5" t="s">
        <v>10</v>
      </c>
      <c r="K399" s="5">
        <v>23.3</v>
      </c>
      <c r="L399" s="5" t="s">
        <v>190</v>
      </c>
      <c r="M399" s="5">
        <v>1666</v>
      </c>
      <c r="N399" s="5" t="s">
        <v>171</v>
      </c>
      <c r="O399" s="6" t="s">
        <v>81</v>
      </c>
      <c r="P399" s="6" t="s">
        <v>181</v>
      </c>
      <c r="Q399" s="6"/>
      <c r="R399" s="6"/>
      <c r="S399" s="6">
        <v>22</v>
      </c>
      <c r="T399" s="6">
        <v>11.13</v>
      </c>
      <c r="U399" s="6">
        <v>1444</v>
      </c>
      <c r="V399" s="6">
        <v>25.27</v>
      </c>
      <c r="W399" s="6">
        <v>1</v>
      </c>
      <c r="X399" s="6">
        <v>272</v>
      </c>
      <c r="Y399" s="6">
        <v>985</v>
      </c>
      <c r="Z399" s="6">
        <v>187</v>
      </c>
      <c r="AA399" s="6">
        <v>0</v>
      </c>
      <c r="AB399" s="6">
        <v>0</v>
      </c>
      <c r="AC399" s="7">
        <v>33</v>
      </c>
      <c r="AD399" s="7" t="s">
        <v>52</v>
      </c>
      <c r="AE399" s="7">
        <v>17.079999999999998</v>
      </c>
      <c r="AF399" s="76">
        <v>677.2</v>
      </c>
      <c r="AG399" s="7">
        <v>25.8</v>
      </c>
      <c r="AH399" s="7">
        <v>22.02</v>
      </c>
      <c r="AI399" s="7">
        <v>25.89</v>
      </c>
      <c r="AJ399" s="9">
        <v>208.67215025668901</v>
      </c>
      <c r="AK399" s="9">
        <v>208.92488275766701</v>
      </c>
      <c r="AL399" s="9">
        <v>229.39548977035699</v>
      </c>
      <c r="AM399" s="9">
        <v>42.448791832523099</v>
      </c>
      <c r="AN399" s="9">
        <v>1.2863270252279699</v>
      </c>
      <c r="AO399" s="9">
        <v>1.2834397983720101</v>
      </c>
      <c r="AP399" s="9">
        <v>346.45277556616202</v>
      </c>
      <c r="AQ399" s="9">
        <v>10.4985689565504</v>
      </c>
      <c r="AR399" s="9">
        <v>16.3330359368804</v>
      </c>
      <c r="AS399" s="73" t="s">
        <v>169</v>
      </c>
      <c r="AT399" s="10" t="s">
        <v>169</v>
      </c>
      <c r="AU399" s="10" t="s">
        <v>169</v>
      </c>
      <c r="AV399" s="10">
        <v>0</v>
      </c>
      <c r="AW399" s="10"/>
      <c r="AX399" s="10" t="s">
        <v>169</v>
      </c>
      <c r="AY399" s="10"/>
      <c r="AZ399" s="10"/>
      <c r="BA399" s="10"/>
      <c r="BB399" s="8"/>
      <c r="BC399" s="8"/>
      <c r="BD399" s="8"/>
      <c r="BE399" s="8"/>
      <c r="BF399" s="12">
        <v>0.45</v>
      </c>
      <c r="BG399" s="13">
        <v>179.921891933523</v>
      </c>
      <c r="BH399" s="96" t="str">
        <f>+VLOOKUP(G399,Liste!$A$7:$G$50,3,FALSE)</f>
        <v>Pin Laricio</v>
      </c>
      <c r="BI399" s="96" t="str">
        <f>+VLOOKUP(H399,Liste!$B$7:$G$50,5,FALSE)</f>
        <v>GS Pineraies des plaines du Centre et du Nord Ouest</v>
      </c>
      <c r="BJ399" s="135">
        <f t="shared" si="129"/>
        <v>33</v>
      </c>
      <c r="BK399" s="135" t="str">
        <f t="shared" si="131"/>
        <v>Pin Laricio_F2_Classique_GS Pineraies des plaines du Centre et du Nord Ouest_33_</v>
      </c>
      <c r="BL399" s="322"/>
      <c r="BM399" s="13">
        <v>48.327310443860398</v>
      </c>
      <c r="BN399" s="13">
        <v>228.249202377383</v>
      </c>
      <c r="BO399" s="13" t="s">
        <v>169</v>
      </c>
      <c r="BP399" s="13">
        <v>261.61729964832301</v>
      </c>
      <c r="BQ399" s="13">
        <v>15.658612955172</v>
      </c>
      <c r="BT399" s="298" t="str">
        <f>+VLOOKUP(G399,Liste!$A$7:$H$50,8,FALSE)</f>
        <v>Résineux</v>
      </c>
      <c r="BU399" s="298">
        <f t="shared" si="132"/>
        <v>0</v>
      </c>
      <c r="BV399" s="300">
        <f t="shared" si="133"/>
        <v>1</v>
      </c>
      <c r="BW399" s="321">
        <v>0</v>
      </c>
      <c r="BX399" s="298">
        <f t="shared" si="134"/>
        <v>0.43</v>
      </c>
      <c r="BY399">
        <f t="shared" si="135"/>
        <v>0</v>
      </c>
      <c r="BZ399" s="304">
        <f t="shared" si="136"/>
        <v>0</v>
      </c>
      <c r="CB399" s="299">
        <v>0.6</v>
      </c>
      <c r="CC399" s="299">
        <v>0.4</v>
      </c>
      <c r="CD399">
        <f t="shared" si="137"/>
        <v>0</v>
      </c>
      <c r="CE399">
        <f t="shared" si="138"/>
        <v>0</v>
      </c>
      <c r="CF399">
        <f t="shared" si="139"/>
        <v>0</v>
      </c>
      <c r="CG399">
        <f t="shared" si="140"/>
        <v>0</v>
      </c>
      <c r="CH399">
        <f t="shared" si="141"/>
        <v>0</v>
      </c>
      <c r="CI399">
        <f t="shared" si="142"/>
        <v>0</v>
      </c>
      <c r="CJ399">
        <f t="shared" si="143"/>
        <v>0</v>
      </c>
      <c r="CK399">
        <f t="shared" si="144"/>
        <v>0</v>
      </c>
      <c r="CL399">
        <f t="shared" si="145"/>
        <v>0</v>
      </c>
      <c r="CM399">
        <f t="shared" si="147"/>
        <v>0</v>
      </c>
      <c r="CN399">
        <f t="shared" si="146"/>
        <v>0</v>
      </c>
      <c r="CO399">
        <f t="shared" si="130"/>
        <v>0</v>
      </c>
    </row>
    <row r="400" spans="1:93" s="12" customFormat="1" ht="14.65" customHeight="1" x14ac:dyDescent="0.25">
      <c r="A400" s="4">
        <v>2021</v>
      </c>
      <c r="B400" s="4"/>
      <c r="C400" s="4" t="s">
        <v>179</v>
      </c>
      <c r="D400" s="4" t="s">
        <v>65</v>
      </c>
      <c r="E400" s="4"/>
      <c r="F400" s="4" t="s">
        <v>90</v>
      </c>
      <c r="G400" s="5" t="s">
        <v>180</v>
      </c>
      <c r="H400" s="5" t="s">
        <v>21</v>
      </c>
      <c r="I400" s="5" t="s">
        <v>18</v>
      </c>
      <c r="J400" s="5" t="s">
        <v>10</v>
      </c>
      <c r="K400" s="5">
        <v>23.3</v>
      </c>
      <c r="L400" s="5" t="s">
        <v>190</v>
      </c>
      <c r="M400" s="5">
        <v>1666</v>
      </c>
      <c r="N400" s="5" t="s">
        <v>171</v>
      </c>
      <c r="O400" s="6" t="s">
        <v>81</v>
      </c>
      <c r="P400" s="6" t="s">
        <v>181</v>
      </c>
      <c r="Q400" s="6"/>
      <c r="R400" s="6"/>
      <c r="S400" s="6">
        <v>22</v>
      </c>
      <c r="T400" s="6">
        <v>11.13</v>
      </c>
      <c r="U400" s="6">
        <v>1444</v>
      </c>
      <c r="V400" s="6">
        <v>25.27</v>
      </c>
      <c r="W400" s="6">
        <v>1</v>
      </c>
      <c r="X400" s="6">
        <v>272</v>
      </c>
      <c r="Y400" s="6">
        <v>985</v>
      </c>
      <c r="Z400" s="6">
        <v>187</v>
      </c>
      <c r="AA400" s="6">
        <v>0</v>
      </c>
      <c r="AB400" s="6">
        <v>0</v>
      </c>
      <c r="AC400" s="7">
        <v>33</v>
      </c>
      <c r="AD400" s="7" t="s">
        <v>53</v>
      </c>
      <c r="AE400" s="7">
        <v>17.079999999999998</v>
      </c>
      <c r="AF400" s="76">
        <v>490.2</v>
      </c>
      <c r="AG400" s="7">
        <v>20.04</v>
      </c>
      <c r="AH400" s="7">
        <v>22.81</v>
      </c>
      <c r="AI400" s="7">
        <v>25.89</v>
      </c>
      <c r="AJ400" s="9">
        <v>163.62622005699399</v>
      </c>
      <c r="AK400" s="9">
        <v>163.84349846835801</v>
      </c>
      <c r="AL400" s="9">
        <v>179.25303038063799</v>
      </c>
      <c r="AM400" s="9">
        <v>42.448791832523099</v>
      </c>
      <c r="AN400" s="9">
        <v>1.2863270252279699</v>
      </c>
      <c r="AO400" s="9">
        <v>1.2834397983720101</v>
      </c>
      <c r="AP400" s="9">
        <v>346.45277556616202</v>
      </c>
      <c r="AQ400" s="9">
        <v>10.4985689565504</v>
      </c>
      <c r="AR400" s="9">
        <v>16.3330359368804</v>
      </c>
      <c r="AS400" s="73">
        <v>187.00000000000006</v>
      </c>
      <c r="AT400" s="10">
        <v>5.7600000000000016</v>
      </c>
      <c r="AU400" s="10">
        <v>19.803661652555714</v>
      </c>
      <c r="AV400" s="10">
        <v>45.045930199695022</v>
      </c>
      <c r="AW400" s="10">
        <v>0.80882835199959768</v>
      </c>
      <c r="AX400" s="10">
        <v>0.2408873272710963</v>
      </c>
      <c r="AY400" s="10"/>
      <c r="AZ400" s="10"/>
      <c r="BA400" s="10"/>
      <c r="BB400" s="8"/>
      <c r="BC400" s="8"/>
      <c r="BD400" s="8"/>
      <c r="BE400" s="8"/>
      <c r="BF400" s="12">
        <v>0.45</v>
      </c>
      <c r="BG400" s="13">
        <v>140.59362890346301</v>
      </c>
      <c r="BH400" s="96" t="str">
        <f>+VLOOKUP(G400,Liste!$A$7:$G$50,3,FALSE)</f>
        <v>Pin Laricio</v>
      </c>
      <c r="BI400" s="96" t="str">
        <f>+VLOOKUP(H400,Liste!$B$7:$G$50,5,FALSE)</f>
        <v>GS Pineraies des plaines du Centre et du Nord Ouest</v>
      </c>
      <c r="BJ400" s="135">
        <f t="shared" si="129"/>
        <v>33</v>
      </c>
      <c r="BK400" s="135" t="str">
        <f t="shared" si="131"/>
        <v>Pin Laricio_F2_Classique_GS Pineraies des plaines du Centre et du Nord Ouest_33_</v>
      </c>
      <c r="BL400" s="322"/>
      <c r="BM400" s="13">
        <v>38.863582834295997</v>
      </c>
      <c r="BN400" s="13">
        <v>179.457211737759</v>
      </c>
      <c r="BO400" s="13">
        <v>48.791990639624004</v>
      </c>
      <c r="BP400" s="13">
        <v>261.61729964832301</v>
      </c>
      <c r="BQ400" s="13">
        <v>15.658612955172</v>
      </c>
      <c r="BT400" s="298" t="str">
        <f>+VLOOKUP(G400,Liste!$A$7:$H$50,8,FALSE)</f>
        <v>Résineux</v>
      </c>
      <c r="BU400" s="298">
        <f t="shared" si="132"/>
        <v>0</v>
      </c>
      <c r="BV400" s="300">
        <f t="shared" si="133"/>
        <v>1</v>
      </c>
      <c r="BW400" s="321">
        <v>0</v>
      </c>
      <c r="BX400" s="298">
        <f t="shared" si="134"/>
        <v>0.43</v>
      </c>
      <c r="BY400">
        <f t="shared" si="135"/>
        <v>0</v>
      </c>
      <c r="BZ400" s="304">
        <f t="shared" si="136"/>
        <v>0</v>
      </c>
      <c r="CB400" s="299">
        <v>0.6</v>
      </c>
      <c r="CC400" s="299">
        <v>0.4</v>
      </c>
      <c r="CD400">
        <f t="shared" si="137"/>
        <v>0</v>
      </c>
      <c r="CE400">
        <f t="shared" si="138"/>
        <v>0</v>
      </c>
      <c r="CF400">
        <f t="shared" si="139"/>
        <v>0</v>
      </c>
      <c r="CG400">
        <f t="shared" si="140"/>
        <v>0</v>
      </c>
      <c r="CH400">
        <f t="shared" si="141"/>
        <v>0</v>
      </c>
      <c r="CI400">
        <f t="shared" si="142"/>
        <v>0</v>
      </c>
      <c r="CJ400">
        <f t="shared" si="143"/>
        <v>0</v>
      </c>
      <c r="CK400">
        <f t="shared" si="144"/>
        <v>0</v>
      </c>
      <c r="CL400">
        <f t="shared" si="145"/>
        <v>0</v>
      </c>
      <c r="CM400">
        <f t="shared" si="147"/>
        <v>0</v>
      </c>
      <c r="CN400">
        <f t="shared" si="146"/>
        <v>0</v>
      </c>
      <c r="CO400">
        <f t="shared" si="130"/>
        <v>0</v>
      </c>
    </row>
    <row r="401" spans="1:93" s="12" customFormat="1" ht="14.65" customHeight="1" x14ac:dyDescent="0.25">
      <c r="A401" s="4">
        <v>2021</v>
      </c>
      <c r="B401" s="4"/>
      <c r="C401" s="4" t="s">
        <v>179</v>
      </c>
      <c r="D401" s="4" t="s">
        <v>65</v>
      </c>
      <c r="E401" s="4"/>
      <c r="F401" s="4" t="s">
        <v>90</v>
      </c>
      <c r="G401" s="5" t="s">
        <v>180</v>
      </c>
      <c r="H401" s="5" t="s">
        <v>21</v>
      </c>
      <c r="I401" s="5" t="s">
        <v>18</v>
      </c>
      <c r="J401" s="5" t="s">
        <v>10</v>
      </c>
      <c r="K401" s="5">
        <v>23.3</v>
      </c>
      <c r="L401" s="5" t="s">
        <v>190</v>
      </c>
      <c r="M401" s="5">
        <v>1666</v>
      </c>
      <c r="N401" s="5" t="s">
        <v>171</v>
      </c>
      <c r="O401" s="6" t="s">
        <v>81</v>
      </c>
      <c r="P401" s="6" t="s">
        <v>181</v>
      </c>
      <c r="Q401" s="6"/>
      <c r="R401" s="6"/>
      <c r="S401" s="6">
        <v>22</v>
      </c>
      <c r="T401" s="6">
        <v>11.13</v>
      </c>
      <c r="U401" s="6">
        <v>1444</v>
      </c>
      <c r="V401" s="6">
        <v>25.27</v>
      </c>
      <c r="W401" s="6">
        <v>1</v>
      </c>
      <c r="X401" s="6">
        <v>272</v>
      </c>
      <c r="Y401" s="6">
        <v>985</v>
      </c>
      <c r="Z401" s="6">
        <v>187</v>
      </c>
      <c r="AA401" s="6">
        <v>0</v>
      </c>
      <c r="AB401" s="6">
        <v>0</v>
      </c>
      <c r="AC401" s="7">
        <v>34</v>
      </c>
      <c r="AD401" s="7" t="s">
        <v>52</v>
      </c>
      <c r="AE401" s="7">
        <v>17.55</v>
      </c>
      <c r="AF401" s="76">
        <v>489.8</v>
      </c>
      <c r="AG401" s="7">
        <v>21.17</v>
      </c>
      <c r="AH401" s="7">
        <v>23.46</v>
      </c>
      <c r="AI401" s="7">
        <v>26.49</v>
      </c>
      <c r="AJ401" s="9">
        <v>173.34923688226399</v>
      </c>
      <c r="AK401" s="9">
        <v>174.05995979260101</v>
      </c>
      <c r="AL401" s="9">
        <v>195.586066317519</v>
      </c>
      <c r="AM401" s="9" t="s">
        <v>169</v>
      </c>
      <c r="AN401" s="9" t="s">
        <v>169</v>
      </c>
      <c r="AO401" s="9" t="s">
        <v>169</v>
      </c>
      <c r="AP401" s="9" t="s">
        <v>169</v>
      </c>
      <c r="AQ401" s="9" t="s">
        <v>169</v>
      </c>
      <c r="AR401" s="9" t="s">
        <v>169</v>
      </c>
      <c r="AS401" s="73" t="s">
        <v>169</v>
      </c>
      <c r="AT401" s="10" t="s">
        <v>169</v>
      </c>
      <c r="AU401" s="10" t="s">
        <v>169</v>
      </c>
      <c r="AV401" s="10">
        <v>0</v>
      </c>
      <c r="AW401" s="10"/>
      <c r="AX401" s="10" t="s">
        <v>169</v>
      </c>
      <c r="AY401" s="10"/>
      <c r="AZ401" s="10"/>
      <c r="BA401" s="10"/>
      <c r="BB401" s="8"/>
      <c r="BC401" s="8"/>
      <c r="BD401" s="8"/>
      <c r="BE401" s="8"/>
      <c r="BF401" s="12">
        <v>0.45</v>
      </c>
      <c r="BG401" s="13">
        <v>153.40412805374501</v>
      </c>
      <c r="BH401" s="96" t="str">
        <f>+VLOOKUP(G401,Liste!$A$7:$G$50,3,FALSE)</f>
        <v>Pin Laricio</v>
      </c>
      <c r="BI401" s="96" t="str">
        <f>+VLOOKUP(H401,Liste!$B$7:$G$50,5,FALSE)</f>
        <v>GS Pineraies des plaines du Centre et du Nord Ouest</v>
      </c>
      <c r="BJ401" s="135">
        <f t="shared" si="129"/>
        <v>34</v>
      </c>
      <c r="BK401" s="135" t="str">
        <f t="shared" si="131"/>
        <v>Pin Laricio_F2_Classique_GS Pineraies des plaines du Centre et du Nord Ouest_34_</v>
      </c>
      <c r="BL401" s="322"/>
      <c r="BM401" s="13">
        <v>41.897239307452303</v>
      </c>
      <c r="BN401" s="13">
        <v>195.30136736119701</v>
      </c>
      <c r="BO401" s="13" t="s">
        <v>169</v>
      </c>
      <c r="BP401" s="13">
        <v>261.61729964832301</v>
      </c>
      <c r="BQ401" s="13" t="s">
        <v>169</v>
      </c>
      <c r="BT401" s="298" t="str">
        <f>+VLOOKUP(G401,Liste!$A$7:$H$50,8,FALSE)</f>
        <v>Résineux</v>
      </c>
      <c r="BU401" s="298">
        <f t="shared" si="132"/>
        <v>0</v>
      </c>
      <c r="BV401" s="300">
        <f t="shared" si="133"/>
        <v>1</v>
      </c>
      <c r="BW401" s="321">
        <v>0</v>
      </c>
      <c r="BX401" s="298">
        <f t="shared" si="134"/>
        <v>0.43</v>
      </c>
      <c r="BY401">
        <f t="shared" si="135"/>
        <v>0</v>
      </c>
      <c r="BZ401" s="304">
        <f t="shared" si="136"/>
        <v>0</v>
      </c>
      <c r="CB401" s="299">
        <v>0.6</v>
      </c>
      <c r="CC401" s="299">
        <v>0.4</v>
      </c>
      <c r="CD401">
        <f t="shared" si="137"/>
        <v>0</v>
      </c>
      <c r="CE401">
        <f t="shared" si="138"/>
        <v>0</v>
      </c>
      <c r="CF401">
        <f t="shared" si="139"/>
        <v>0</v>
      </c>
      <c r="CG401">
        <f t="shared" si="140"/>
        <v>0</v>
      </c>
      <c r="CH401">
        <f t="shared" si="141"/>
        <v>0</v>
      </c>
      <c r="CI401">
        <f t="shared" si="142"/>
        <v>0</v>
      </c>
      <c r="CJ401">
        <f t="shared" si="143"/>
        <v>0</v>
      </c>
      <c r="CK401">
        <f t="shared" si="144"/>
        <v>0</v>
      </c>
      <c r="CL401">
        <f t="shared" si="145"/>
        <v>0</v>
      </c>
      <c r="CM401">
        <f t="shared" si="147"/>
        <v>0</v>
      </c>
      <c r="CN401">
        <f t="shared" si="146"/>
        <v>0</v>
      </c>
      <c r="CO401">
        <f t="shared" si="130"/>
        <v>0</v>
      </c>
    </row>
    <row r="402" spans="1:93" s="12" customFormat="1" ht="14.65" customHeight="1" x14ac:dyDescent="0.25">
      <c r="A402" s="4">
        <v>2021</v>
      </c>
      <c r="B402" s="4"/>
      <c r="C402" s="4" t="s">
        <v>179</v>
      </c>
      <c r="D402" s="4" t="s">
        <v>65</v>
      </c>
      <c r="E402" s="4"/>
      <c r="F402" s="4" t="s">
        <v>90</v>
      </c>
      <c r="G402" s="5" t="s">
        <v>180</v>
      </c>
      <c r="H402" s="5" t="s">
        <v>21</v>
      </c>
      <c r="I402" s="5" t="s">
        <v>18</v>
      </c>
      <c r="J402" s="5" t="s">
        <v>10</v>
      </c>
      <c r="K402" s="5">
        <v>23.3</v>
      </c>
      <c r="L402" s="5" t="s">
        <v>190</v>
      </c>
      <c r="M402" s="5">
        <v>1666</v>
      </c>
      <c r="N402" s="5" t="s">
        <v>171</v>
      </c>
      <c r="O402" s="6" t="s">
        <v>81</v>
      </c>
      <c r="P402" s="6" t="s">
        <v>181</v>
      </c>
      <c r="Q402" s="6"/>
      <c r="R402" s="6"/>
      <c r="S402" s="6">
        <v>22</v>
      </c>
      <c r="T402" s="6">
        <v>11.13</v>
      </c>
      <c r="U402" s="6">
        <v>1444</v>
      </c>
      <c r="V402" s="6">
        <v>25.27</v>
      </c>
      <c r="W402" s="6">
        <v>1</v>
      </c>
      <c r="X402" s="6">
        <v>272</v>
      </c>
      <c r="Y402" s="6">
        <v>985</v>
      </c>
      <c r="Z402" s="6">
        <v>187</v>
      </c>
      <c r="AA402" s="6">
        <v>0</v>
      </c>
      <c r="AB402" s="6">
        <v>0</v>
      </c>
      <c r="AC402" s="7">
        <v>35</v>
      </c>
      <c r="AD402" s="7" t="s">
        <v>52</v>
      </c>
      <c r="AE402" s="7">
        <v>17.989999999999998</v>
      </c>
      <c r="AF402" s="76">
        <v>489.8</v>
      </c>
      <c r="AG402" s="7">
        <v>22.5</v>
      </c>
      <c r="AH402" s="7">
        <v>24.19</v>
      </c>
      <c r="AI402" s="7">
        <v>27.3</v>
      </c>
      <c r="AJ402" s="9">
        <v>183.072253707534</v>
      </c>
      <c r="AK402" s="9">
        <v>184.27642111684301</v>
      </c>
      <c r="AL402" s="9">
        <v>211.91910225439901</v>
      </c>
      <c r="AM402" s="9" t="s">
        <v>169</v>
      </c>
      <c r="AN402" s="9" t="s">
        <v>169</v>
      </c>
      <c r="AO402" s="9" t="s">
        <v>169</v>
      </c>
      <c r="AP402" s="9" t="s">
        <v>169</v>
      </c>
      <c r="AQ402" s="9" t="s">
        <v>169</v>
      </c>
      <c r="AR402" s="9" t="s">
        <v>169</v>
      </c>
      <c r="AS402" s="73" t="s">
        <v>169</v>
      </c>
      <c r="AT402" s="10" t="s">
        <v>169</v>
      </c>
      <c r="AU402" s="10" t="s">
        <v>169</v>
      </c>
      <c r="AV402" s="10">
        <v>0</v>
      </c>
      <c r="AW402" s="10"/>
      <c r="AX402" s="10" t="s">
        <v>169</v>
      </c>
      <c r="AY402" s="10"/>
      <c r="AZ402" s="10"/>
      <c r="BA402" s="10"/>
      <c r="BB402" s="8"/>
      <c r="BC402" s="8"/>
      <c r="BD402" s="8"/>
      <c r="BE402" s="8"/>
      <c r="BF402" s="12">
        <v>0.45</v>
      </c>
      <c r="BG402" s="13">
        <v>166.21462720402701</v>
      </c>
      <c r="BH402" s="96" t="str">
        <f>+VLOOKUP(G402,Liste!$A$7:$G$50,3,FALSE)</f>
        <v>Pin Laricio</v>
      </c>
      <c r="BI402" s="96" t="str">
        <f>+VLOOKUP(H402,Liste!$B$7:$G$50,5,FALSE)</f>
        <v>GS Pineraies des plaines du Centre et du Nord Ouest</v>
      </c>
      <c r="BJ402" s="135">
        <f t="shared" si="129"/>
        <v>35</v>
      </c>
      <c r="BK402" s="135" t="str">
        <f t="shared" si="131"/>
        <v>Pin Laricio_F2_Classique_GS Pineraies des plaines du Centre et du Nord Ouest_35_</v>
      </c>
      <c r="BL402" s="322"/>
      <c r="BM402" s="13">
        <v>44.930895780608701</v>
      </c>
      <c r="BN402" s="13">
        <v>211.14552298463599</v>
      </c>
      <c r="BO402" s="13" t="s">
        <v>169</v>
      </c>
      <c r="BP402" s="13">
        <v>261.61729964832301</v>
      </c>
      <c r="BQ402" s="13" t="s">
        <v>169</v>
      </c>
      <c r="BT402" s="298" t="str">
        <f>+VLOOKUP(G402,Liste!$A$7:$H$50,8,FALSE)</f>
        <v>Résineux</v>
      </c>
      <c r="BU402" s="298">
        <f t="shared" si="132"/>
        <v>0</v>
      </c>
      <c r="BV402" s="300">
        <f t="shared" si="133"/>
        <v>1</v>
      </c>
      <c r="BW402" s="321">
        <v>0</v>
      </c>
      <c r="BX402" s="298">
        <f t="shared" si="134"/>
        <v>0.43</v>
      </c>
      <c r="BY402">
        <f t="shared" si="135"/>
        <v>0</v>
      </c>
      <c r="BZ402" s="304">
        <f t="shared" si="136"/>
        <v>0</v>
      </c>
      <c r="CB402" s="299">
        <v>0.6</v>
      </c>
      <c r="CC402" s="299">
        <v>0.4</v>
      </c>
      <c r="CD402">
        <f t="shared" si="137"/>
        <v>0</v>
      </c>
      <c r="CE402">
        <f t="shared" si="138"/>
        <v>0</v>
      </c>
      <c r="CF402">
        <f t="shared" si="139"/>
        <v>0</v>
      </c>
      <c r="CG402">
        <f t="shared" si="140"/>
        <v>0</v>
      </c>
      <c r="CH402">
        <f t="shared" si="141"/>
        <v>0</v>
      </c>
      <c r="CI402">
        <f t="shared" si="142"/>
        <v>0</v>
      </c>
      <c r="CJ402">
        <f t="shared" si="143"/>
        <v>0</v>
      </c>
      <c r="CK402">
        <f t="shared" si="144"/>
        <v>0</v>
      </c>
      <c r="CL402">
        <f t="shared" si="145"/>
        <v>0</v>
      </c>
      <c r="CM402">
        <f t="shared" si="147"/>
        <v>0</v>
      </c>
      <c r="CN402">
        <f t="shared" si="146"/>
        <v>0</v>
      </c>
      <c r="CO402">
        <f t="shared" si="130"/>
        <v>0</v>
      </c>
    </row>
    <row r="403" spans="1:93" s="12" customFormat="1" ht="14.65" customHeight="1" x14ac:dyDescent="0.25">
      <c r="A403" s="4">
        <v>2021</v>
      </c>
      <c r="B403" s="4"/>
      <c r="C403" s="4" t="s">
        <v>179</v>
      </c>
      <c r="D403" s="4" t="s">
        <v>65</v>
      </c>
      <c r="E403" s="4"/>
      <c r="F403" s="4" t="s">
        <v>90</v>
      </c>
      <c r="G403" s="5" t="s">
        <v>180</v>
      </c>
      <c r="H403" s="5" t="s">
        <v>21</v>
      </c>
      <c r="I403" s="5" t="s">
        <v>18</v>
      </c>
      <c r="J403" s="5" t="s">
        <v>10</v>
      </c>
      <c r="K403" s="5">
        <v>23.3</v>
      </c>
      <c r="L403" s="5" t="s">
        <v>190</v>
      </c>
      <c r="M403" s="5">
        <v>1666</v>
      </c>
      <c r="N403" s="5" t="s">
        <v>171</v>
      </c>
      <c r="O403" s="6" t="s">
        <v>81</v>
      </c>
      <c r="P403" s="6" t="s">
        <v>181</v>
      </c>
      <c r="Q403" s="6"/>
      <c r="R403" s="6"/>
      <c r="S403" s="6">
        <v>22</v>
      </c>
      <c r="T403" s="6">
        <v>11.13</v>
      </c>
      <c r="U403" s="6">
        <v>1444</v>
      </c>
      <c r="V403" s="6">
        <v>25.27</v>
      </c>
      <c r="W403" s="6">
        <v>1</v>
      </c>
      <c r="X403" s="6">
        <v>272</v>
      </c>
      <c r="Y403" s="6">
        <v>985</v>
      </c>
      <c r="Z403" s="6">
        <v>187</v>
      </c>
      <c r="AA403" s="6">
        <v>0</v>
      </c>
      <c r="AB403" s="6">
        <v>0</v>
      </c>
      <c r="AC403" s="7">
        <v>36</v>
      </c>
      <c r="AD403" s="7" t="s">
        <v>52</v>
      </c>
      <c r="AE403" s="7">
        <v>18.43</v>
      </c>
      <c r="AF403" s="76">
        <v>489.4</v>
      </c>
      <c r="AG403" s="7">
        <v>23.82</v>
      </c>
      <c r="AH403" s="7">
        <v>24.89</v>
      </c>
      <c r="AI403" s="7">
        <v>28.09</v>
      </c>
      <c r="AJ403" s="9">
        <v>192.79527053280401</v>
      </c>
      <c r="AK403" s="9">
        <v>194.49288244108601</v>
      </c>
      <c r="AL403" s="9">
        <v>228.25213819127899</v>
      </c>
      <c r="AM403" s="9" t="s">
        <v>169</v>
      </c>
      <c r="AN403" s="9" t="s">
        <v>169</v>
      </c>
      <c r="AO403" s="9" t="s">
        <v>169</v>
      </c>
      <c r="AP403" s="9" t="s">
        <v>169</v>
      </c>
      <c r="AQ403" s="9" t="s">
        <v>169</v>
      </c>
      <c r="AR403" s="9" t="s">
        <v>169</v>
      </c>
      <c r="AS403" s="73" t="s">
        <v>169</v>
      </c>
      <c r="AT403" s="10" t="s">
        <v>169</v>
      </c>
      <c r="AU403" s="10" t="s">
        <v>169</v>
      </c>
      <c r="AV403" s="10">
        <v>0</v>
      </c>
      <c r="AW403" s="10"/>
      <c r="AX403" s="10" t="s">
        <v>169</v>
      </c>
      <c r="AY403" s="10"/>
      <c r="AZ403" s="10"/>
      <c r="BA403" s="10"/>
      <c r="BB403" s="8"/>
      <c r="BC403" s="8"/>
      <c r="BD403" s="8"/>
      <c r="BE403" s="8"/>
      <c r="BF403" s="12">
        <v>0.45</v>
      </c>
      <c r="BG403" s="13">
        <v>179.02512635431</v>
      </c>
      <c r="BH403" s="96" t="str">
        <f>+VLOOKUP(G403,Liste!$A$7:$G$50,3,FALSE)</f>
        <v>Pin Laricio</v>
      </c>
      <c r="BI403" s="96" t="str">
        <f>+VLOOKUP(H403,Liste!$B$7:$G$50,5,FALSE)</f>
        <v>GS Pineraies des plaines du Centre et du Nord Ouest</v>
      </c>
      <c r="BJ403" s="135">
        <f t="shared" si="129"/>
        <v>36</v>
      </c>
      <c r="BK403" s="135" t="str">
        <f t="shared" si="131"/>
        <v>Pin Laricio_F2_Classique_GS Pineraies des plaines du Centre et du Nord Ouest_36_</v>
      </c>
      <c r="BL403" s="322"/>
      <c r="BM403" s="13">
        <v>47.964552253765099</v>
      </c>
      <c r="BN403" s="13">
        <v>226.989678608075</v>
      </c>
      <c r="BO403" s="13" t="s">
        <v>169</v>
      </c>
      <c r="BP403" s="13">
        <v>261.61729964832301</v>
      </c>
      <c r="BQ403" s="13" t="s">
        <v>169</v>
      </c>
      <c r="BT403" s="298" t="str">
        <f>+VLOOKUP(G403,Liste!$A$7:$H$50,8,FALSE)</f>
        <v>Résineux</v>
      </c>
      <c r="BU403" s="298">
        <f t="shared" si="132"/>
        <v>0</v>
      </c>
      <c r="BV403" s="300">
        <f t="shared" si="133"/>
        <v>1</v>
      </c>
      <c r="BW403" s="321">
        <v>0</v>
      </c>
      <c r="BX403" s="298">
        <f t="shared" si="134"/>
        <v>0.43</v>
      </c>
      <c r="BY403">
        <f t="shared" si="135"/>
        <v>0</v>
      </c>
      <c r="BZ403" s="304">
        <f t="shared" si="136"/>
        <v>0</v>
      </c>
      <c r="CB403" s="299">
        <v>0.6</v>
      </c>
      <c r="CC403" s="299">
        <v>0.4</v>
      </c>
      <c r="CD403">
        <f t="shared" si="137"/>
        <v>0</v>
      </c>
      <c r="CE403">
        <f t="shared" si="138"/>
        <v>0</v>
      </c>
      <c r="CF403">
        <f t="shared" si="139"/>
        <v>0</v>
      </c>
      <c r="CG403">
        <f t="shared" si="140"/>
        <v>0</v>
      </c>
      <c r="CH403">
        <f t="shared" si="141"/>
        <v>0</v>
      </c>
      <c r="CI403">
        <f t="shared" si="142"/>
        <v>0</v>
      </c>
      <c r="CJ403">
        <f t="shared" si="143"/>
        <v>0</v>
      </c>
      <c r="CK403">
        <f t="shared" si="144"/>
        <v>0</v>
      </c>
      <c r="CL403">
        <f t="shared" si="145"/>
        <v>0</v>
      </c>
      <c r="CM403">
        <f t="shared" si="147"/>
        <v>0</v>
      </c>
      <c r="CN403">
        <f t="shared" si="146"/>
        <v>0</v>
      </c>
      <c r="CO403">
        <f t="shared" si="130"/>
        <v>0</v>
      </c>
    </row>
    <row r="404" spans="1:93" s="12" customFormat="1" ht="14.65" customHeight="1" x14ac:dyDescent="0.25">
      <c r="A404" s="4">
        <v>2021</v>
      </c>
      <c r="B404" s="4"/>
      <c r="C404" s="4" t="s">
        <v>179</v>
      </c>
      <c r="D404" s="4" t="s">
        <v>65</v>
      </c>
      <c r="E404" s="4"/>
      <c r="F404" s="4" t="s">
        <v>90</v>
      </c>
      <c r="G404" s="5" t="s">
        <v>180</v>
      </c>
      <c r="H404" s="5" t="s">
        <v>21</v>
      </c>
      <c r="I404" s="5" t="s">
        <v>18</v>
      </c>
      <c r="J404" s="5" t="s">
        <v>10</v>
      </c>
      <c r="K404" s="5">
        <v>23.3</v>
      </c>
      <c r="L404" s="5" t="s">
        <v>190</v>
      </c>
      <c r="M404" s="5">
        <v>1666</v>
      </c>
      <c r="N404" s="5" t="s">
        <v>171</v>
      </c>
      <c r="O404" s="6" t="s">
        <v>81</v>
      </c>
      <c r="P404" s="6" t="s">
        <v>181</v>
      </c>
      <c r="Q404" s="6"/>
      <c r="R404" s="6"/>
      <c r="S404" s="6">
        <v>22</v>
      </c>
      <c r="T404" s="6">
        <v>11.13</v>
      </c>
      <c r="U404" s="6">
        <v>1444</v>
      </c>
      <c r="V404" s="6">
        <v>25.27</v>
      </c>
      <c r="W404" s="6">
        <v>1</v>
      </c>
      <c r="X404" s="6">
        <v>272</v>
      </c>
      <c r="Y404" s="6">
        <v>985</v>
      </c>
      <c r="Z404" s="6">
        <v>187</v>
      </c>
      <c r="AA404" s="6">
        <v>0</v>
      </c>
      <c r="AB404" s="6">
        <v>0</v>
      </c>
      <c r="AC404" s="7">
        <v>37</v>
      </c>
      <c r="AD404" s="7" t="s">
        <v>52</v>
      </c>
      <c r="AE404" s="7">
        <v>18.850000000000001</v>
      </c>
      <c r="AF404" s="76">
        <v>489</v>
      </c>
      <c r="AG404" s="7">
        <v>25.13</v>
      </c>
      <c r="AH404" s="7">
        <v>25.58</v>
      </c>
      <c r="AI404" s="7">
        <v>28.85</v>
      </c>
      <c r="AJ404" s="9">
        <v>202.51828735807399</v>
      </c>
      <c r="AK404" s="9">
        <v>204.70934376532901</v>
      </c>
      <c r="AL404" s="9">
        <v>244.58517412815999</v>
      </c>
      <c r="AM404" s="9" t="s">
        <v>169</v>
      </c>
      <c r="AN404" s="9" t="s">
        <v>169</v>
      </c>
      <c r="AO404" s="9" t="s">
        <v>169</v>
      </c>
      <c r="AP404" s="9" t="s">
        <v>169</v>
      </c>
      <c r="AQ404" s="9" t="s">
        <v>169</v>
      </c>
      <c r="AR404" s="9" t="s">
        <v>169</v>
      </c>
      <c r="AS404" s="73" t="s">
        <v>169</v>
      </c>
      <c r="AT404" s="10" t="s">
        <v>169</v>
      </c>
      <c r="AU404" s="10" t="s">
        <v>169</v>
      </c>
      <c r="AV404" s="10">
        <v>0</v>
      </c>
      <c r="AW404" s="10"/>
      <c r="AX404" s="10" t="s">
        <v>169</v>
      </c>
      <c r="AY404" s="10"/>
      <c r="AZ404" s="10"/>
      <c r="BA404" s="10"/>
      <c r="BB404" s="8"/>
      <c r="BC404" s="8"/>
      <c r="BD404" s="8"/>
      <c r="BE404" s="8"/>
      <c r="BF404" s="12">
        <v>0.45</v>
      </c>
      <c r="BG404" s="13">
        <v>191.835625504592</v>
      </c>
      <c r="BH404" s="96" t="str">
        <f>+VLOOKUP(G404,Liste!$A$7:$G$50,3,FALSE)</f>
        <v>Pin Laricio</v>
      </c>
      <c r="BI404" s="96" t="str">
        <f>+VLOOKUP(H404,Liste!$B$7:$G$50,5,FALSE)</f>
        <v>GS Pineraies des plaines du Centre et du Nord Ouest</v>
      </c>
      <c r="BJ404" s="135">
        <f t="shared" si="129"/>
        <v>37</v>
      </c>
      <c r="BK404" s="135" t="str">
        <f t="shared" si="131"/>
        <v>Pin Laricio_F2_Classique_GS Pineraies des plaines du Centre et du Nord Ouest_37_</v>
      </c>
      <c r="BL404" s="322"/>
      <c r="BM404" s="13">
        <v>50.998208726921497</v>
      </c>
      <c r="BN404" s="13">
        <v>242.83383423151301</v>
      </c>
      <c r="BO404" s="13" t="s">
        <v>169</v>
      </c>
      <c r="BP404" s="13">
        <v>261.61729964832301</v>
      </c>
      <c r="BQ404" s="13" t="s">
        <v>169</v>
      </c>
      <c r="BT404" s="298" t="str">
        <f>+VLOOKUP(G404,Liste!$A$7:$H$50,8,FALSE)</f>
        <v>Résineux</v>
      </c>
      <c r="BU404" s="298">
        <f t="shared" si="132"/>
        <v>0</v>
      </c>
      <c r="BV404" s="300">
        <f t="shared" si="133"/>
        <v>1</v>
      </c>
      <c r="BW404" s="321">
        <v>0</v>
      </c>
      <c r="BX404" s="298">
        <f t="shared" si="134"/>
        <v>0.43</v>
      </c>
      <c r="BY404">
        <f t="shared" si="135"/>
        <v>0</v>
      </c>
      <c r="BZ404" s="304">
        <f t="shared" si="136"/>
        <v>0</v>
      </c>
      <c r="CB404" s="299">
        <v>0.6</v>
      </c>
      <c r="CC404" s="299">
        <v>0.4</v>
      </c>
      <c r="CD404">
        <f t="shared" si="137"/>
        <v>0</v>
      </c>
      <c r="CE404">
        <f t="shared" si="138"/>
        <v>0</v>
      </c>
      <c r="CF404">
        <f t="shared" si="139"/>
        <v>0</v>
      </c>
      <c r="CG404">
        <f t="shared" si="140"/>
        <v>0</v>
      </c>
      <c r="CH404">
        <f t="shared" si="141"/>
        <v>0</v>
      </c>
      <c r="CI404">
        <f t="shared" si="142"/>
        <v>0</v>
      </c>
      <c r="CJ404">
        <f t="shared" si="143"/>
        <v>0</v>
      </c>
      <c r="CK404">
        <f t="shared" si="144"/>
        <v>0</v>
      </c>
      <c r="CL404">
        <f t="shared" si="145"/>
        <v>0</v>
      </c>
      <c r="CM404">
        <f t="shared" si="147"/>
        <v>0</v>
      </c>
      <c r="CN404">
        <f t="shared" si="146"/>
        <v>0</v>
      </c>
      <c r="CO404">
        <f t="shared" si="130"/>
        <v>0</v>
      </c>
    </row>
    <row r="405" spans="1:93" s="12" customFormat="1" ht="14.65" customHeight="1" x14ac:dyDescent="0.25">
      <c r="A405" s="4">
        <v>2021</v>
      </c>
      <c r="B405" s="4"/>
      <c r="C405" s="4" t="s">
        <v>179</v>
      </c>
      <c r="D405" s="4" t="s">
        <v>65</v>
      </c>
      <c r="E405" s="4"/>
      <c r="F405" s="4" t="s">
        <v>90</v>
      </c>
      <c r="G405" s="5" t="s">
        <v>180</v>
      </c>
      <c r="H405" s="5" t="s">
        <v>21</v>
      </c>
      <c r="I405" s="5" t="s">
        <v>18</v>
      </c>
      <c r="J405" s="5" t="s">
        <v>10</v>
      </c>
      <c r="K405" s="5">
        <v>23.3</v>
      </c>
      <c r="L405" s="5" t="s">
        <v>190</v>
      </c>
      <c r="M405" s="5">
        <v>1666</v>
      </c>
      <c r="N405" s="5" t="s">
        <v>171</v>
      </c>
      <c r="O405" s="6" t="s">
        <v>81</v>
      </c>
      <c r="P405" s="6" t="s">
        <v>181</v>
      </c>
      <c r="Q405" s="6"/>
      <c r="R405" s="6"/>
      <c r="S405" s="6">
        <v>22</v>
      </c>
      <c r="T405" s="6">
        <v>11.13</v>
      </c>
      <c r="U405" s="6">
        <v>1444</v>
      </c>
      <c r="V405" s="6">
        <v>25.27</v>
      </c>
      <c r="W405" s="6">
        <v>1</v>
      </c>
      <c r="X405" s="6">
        <v>272</v>
      </c>
      <c r="Y405" s="6">
        <v>985</v>
      </c>
      <c r="Z405" s="6">
        <v>187</v>
      </c>
      <c r="AA405" s="6">
        <v>0</v>
      </c>
      <c r="AB405" s="6">
        <v>0</v>
      </c>
      <c r="AC405" s="7">
        <v>38</v>
      </c>
      <c r="AD405" s="7" t="s">
        <v>52</v>
      </c>
      <c r="AE405" s="7">
        <v>19.260000000000002</v>
      </c>
      <c r="AF405" s="76">
        <v>488.8</v>
      </c>
      <c r="AG405" s="7">
        <v>26.44</v>
      </c>
      <c r="AH405" s="7">
        <v>26.24</v>
      </c>
      <c r="AI405" s="7">
        <v>29.6</v>
      </c>
      <c r="AJ405" s="9">
        <v>212.241304183343</v>
      </c>
      <c r="AK405" s="9">
        <v>214.92580508957101</v>
      </c>
      <c r="AL405" s="9">
        <v>260.91821006504</v>
      </c>
      <c r="AM405" s="9" t="s">
        <v>169</v>
      </c>
      <c r="AN405" s="9" t="s">
        <v>169</v>
      </c>
      <c r="AO405" s="9" t="s">
        <v>169</v>
      </c>
      <c r="AP405" s="9" t="s">
        <v>169</v>
      </c>
      <c r="AQ405" s="9" t="s">
        <v>169</v>
      </c>
      <c r="AR405" s="9" t="s">
        <v>169</v>
      </c>
      <c r="AS405" s="73" t="s">
        <v>169</v>
      </c>
      <c r="AT405" s="10" t="s">
        <v>169</v>
      </c>
      <c r="AU405" s="10" t="s">
        <v>169</v>
      </c>
      <c r="AV405" s="10">
        <v>0</v>
      </c>
      <c r="AW405" s="10"/>
      <c r="AX405" s="10" t="s">
        <v>169</v>
      </c>
      <c r="AY405" s="10"/>
      <c r="AZ405" s="10"/>
      <c r="BA405" s="10"/>
      <c r="BB405" s="8"/>
      <c r="BC405" s="8"/>
      <c r="BD405" s="8"/>
      <c r="BE405" s="8"/>
      <c r="BF405" s="12">
        <v>0.45</v>
      </c>
      <c r="BG405" s="13">
        <v>204.646124654874</v>
      </c>
      <c r="BH405" s="96" t="str">
        <f>+VLOOKUP(G405,Liste!$A$7:$G$50,3,FALSE)</f>
        <v>Pin Laricio</v>
      </c>
      <c r="BI405" s="96" t="str">
        <f>+VLOOKUP(H405,Liste!$B$7:$G$50,5,FALSE)</f>
        <v>GS Pineraies des plaines du Centre et du Nord Ouest</v>
      </c>
      <c r="BJ405" s="135">
        <f t="shared" si="129"/>
        <v>38</v>
      </c>
      <c r="BK405" s="135" t="str">
        <f t="shared" si="131"/>
        <v>Pin Laricio_F2_Classique_GS Pineraies des plaines du Centre et du Nord Ouest_38_</v>
      </c>
      <c r="BL405" s="322"/>
      <c r="BM405" s="13">
        <v>54.031865200077803</v>
      </c>
      <c r="BN405" s="13">
        <v>258.67798985495199</v>
      </c>
      <c r="BO405" s="13" t="s">
        <v>169</v>
      </c>
      <c r="BP405" s="13">
        <v>261.61729964832301</v>
      </c>
      <c r="BQ405" s="13" t="s">
        <v>169</v>
      </c>
      <c r="BT405" s="298" t="str">
        <f>+VLOOKUP(G405,Liste!$A$7:$H$50,8,FALSE)</f>
        <v>Résineux</v>
      </c>
      <c r="BU405" s="298">
        <f t="shared" si="132"/>
        <v>0</v>
      </c>
      <c r="BV405" s="300">
        <f t="shared" si="133"/>
        <v>1</v>
      </c>
      <c r="BW405" s="321">
        <v>0</v>
      </c>
      <c r="BX405" s="298">
        <f t="shared" si="134"/>
        <v>0.43</v>
      </c>
      <c r="BY405">
        <f t="shared" si="135"/>
        <v>0</v>
      </c>
      <c r="BZ405" s="304">
        <f t="shared" si="136"/>
        <v>0</v>
      </c>
      <c r="CB405" s="299">
        <v>0.6</v>
      </c>
      <c r="CC405" s="299">
        <v>0.4</v>
      </c>
      <c r="CD405">
        <f t="shared" si="137"/>
        <v>0</v>
      </c>
      <c r="CE405">
        <f t="shared" si="138"/>
        <v>0</v>
      </c>
      <c r="CF405">
        <f t="shared" si="139"/>
        <v>0</v>
      </c>
      <c r="CG405">
        <f t="shared" si="140"/>
        <v>0</v>
      </c>
      <c r="CH405">
        <f t="shared" si="141"/>
        <v>0</v>
      </c>
      <c r="CI405">
        <f t="shared" si="142"/>
        <v>0</v>
      </c>
      <c r="CJ405">
        <f t="shared" si="143"/>
        <v>0</v>
      </c>
      <c r="CK405">
        <f t="shared" si="144"/>
        <v>0</v>
      </c>
      <c r="CL405">
        <f t="shared" si="145"/>
        <v>0</v>
      </c>
      <c r="CM405">
        <f t="shared" si="147"/>
        <v>0</v>
      </c>
      <c r="CN405">
        <f t="shared" si="146"/>
        <v>0</v>
      </c>
      <c r="CO405">
        <f t="shared" si="130"/>
        <v>0</v>
      </c>
    </row>
    <row r="406" spans="1:93" s="12" customFormat="1" ht="14.65" customHeight="1" x14ac:dyDescent="0.25">
      <c r="A406" s="4">
        <v>2021</v>
      </c>
      <c r="B406" s="4"/>
      <c r="C406" s="4" t="s">
        <v>179</v>
      </c>
      <c r="D406" s="4" t="s">
        <v>65</v>
      </c>
      <c r="E406" s="4"/>
      <c r="F406" s="4" t="s">
        <v>90</v>
      </c>
      <c r="G406" s="5" t="s">
        <v>180</v>
      </c>
      <c r="H406" s="5" t="s">
        <v>21</v>
      </c>
      <c r="I406" s="5" t="s">
        <v>18</v>
      </c>
      <c r="J406" s="5" t="s">
        <v>10</v>
      </c>
      <c r="K406" s="5">
        <v>23.3</v>
      </c>
      <c r="L406" s="5" t="s">
        <v>190</v>
      </c>
      <c r="M406" s="5">
        <v>1666</v>
      </c>
      <c r="N406" s="5" t="s">
        <v>171</v>
      </c>
      <c r="O406" s="6" t="s">
        <v>81</v>
      </c>
      <c r="P406" s="6" t="s">
        <v>181</v>
      </c>
      <c r="Q406" s="6"/>
      <c r="R406" s="6"/>
      <c r="S406" s="6">
        <v>22</v>
      </c>
      <c r="T406" s="6">
        <v>11.13</v>
      </c>
      <c r="U406" s="6">
        <v>1444</v>
      </c>
      <c r="V406" s="6">
        <v>25.27</v>
      </c>
      <c r="W406" s="6">
        <v>1</v>
      </c>
      <c r="X406" s="6">
        <v>272</v>
      </c>
      <c r="Y406" s="6">
        <v>985</v>
      </c>
      <c r="Z406" s="6">
        <v>187</v>
      </c>
      <c r="AA406" s="6">
        <v>0</v>
      </c>
      <c r="AB406" s="6">
        <v>0</v>
      </c>
      <c r="AC406" s="7">
        <v>39</v>
      </c>
      <c r="AD406" s="7" t="s">
        <v>52</v>
      </c>
      <c r="AE406" s="7">
        <v>19.66</v>
      </c>
      <c r="AF406" s="76">
        <v>488.6</v>
      </c>
      <c r="AG406" s="7">
        <v>27.74</v>
      </c>
      <c r="AH406" s="7">
        <v>26.89</v>
      </c>
      <c r="AI406" s="7">
        <v>30.32</v>
      </c>
      <c r="AJ406" s="9">
        <v>221.96432100861301</v>
      </c>
      <c r="AK406" s="9">
        <v>225.14226641381401</v>
      </c>
      <c r="AL406" s="9">
        <v>277.251246001921</v>
      </c>
      <c r="AM406" s="9" t="s">
        <v>169</v>
      </c>
      <c r="AN406" s="9" t="s">
        <v>169</v>
      </c>
      <c r="AO406" s="9" t="s">
        <v>169</v>
      </c>
      <c r="AP406" s="9" t="s">
        <v>169</v>
      </c>
      <c r="AQ406" s="9" t="s">
        <v>169</v>
      </c>
      <c r="AR406" s="9" t="s">
        <v>169</v>
      </c>
      <c r="AS406" s="73" t="s">
        <v>169</v>
      </c>
      <c r="AT406" s="10" t="s">
        <v>169</v>
      </c>
      <c r="AU406" s="10" t="s">
        <v>169</v>
      </c>
      <c r="AV406" s="10">
        <v>0</v>
      </c>
      <c r="AW406" s="10"/>
      <c r="AX406" s="10" t="s">
        <v>169</v>
      </c>
      <c r="AY406" s="10"/>
      <c r="AZ406" s="10"/>
      <c r="BA406" s="10"/>
      <c r="BB406" s="8"/>
      <c r="BC406" s="8"/>
      <c r="BD406" s="8"/>
      <c r="BE406" s="8"/>
      <c r="BF406" s="12">
        <v>0.45</v>
      </c>
      <c r="BG406" s="13">
        <v>217.456623805156</v>
      </c>
      <c r="BH406" s="96" t="str">
        <f>+VLOOKUP(G406,Liste!$A$7:$G$50,3,FALSE)</f>
        <v>Pin Laricio</v>
      </c>
      <c r="BI406" s="96" t="str">
        <f>+VLOOKUP(H406,Liste!$B$7:$G$50,5,FALSE)</f>
        <v>GS Pineraies des plaines du Centre et du Nord Ouest</v>
      </c>
      <c r="BJ406" s="135">
        <f t="shared" si="129"/>
        <v>39</v>
      </c>
      <c r="BK406" s="135" t="str">
        <f t="shared" si="131"/>
        <v>Pin Laricio_F2_Classique_GS Pineraies des plaines du Centre et du Nord Ouest_39_</v>
      </c>
      <c r="BL406" s="322"/>
      <c r="BM406" s="13">
        <v>57.065521673234201</v>
      </c>
      <c r="BN406" s="13">
        <v>274.522145478391</v>
      </c>
      <c r="BO406" s="13" t="s">
        <v>169</v>
      </c>
      <c r="BP406" s="13">
        <v>261.61729964832301</v>
      </c>
      <c r="BQ406" s="13" t="s">
        <v>169</v>
      </c>
      <c r="BT406" s="298" t="str">
        <f>+VLOOKUP(G406,Liste!$A$7:$H$50,8,FALSE)</f>
        <v>Résineux</v>
      </c>
      <c r="BU406" s="298">
        <f t="shared" si="132"/>
        <v>0</v>
      </c>
      <c r="BV406" s="300">
        <f t="shared" si="133"/>
        <v>1</v>
      </c>
      <c r="BW406" s="321">
        <v>0</v>
      </c>
      <c r="BX406" s="298">
        <f t="shared" si="134"/>
        <v>0.43</v>
      </c>
      <c r="BY406">
        <f t="shared" si="135"/>
        <v>0</v>
      </c>
      <c r="BZ406" s="304">
        <f t="shared" si="136"/>
        <v>0</v>
      </c>
      <c r="CB406" s="299">
        <v>0.6</v>
      </c>
      <c r="CC406" s="299">
        <v>0.4</v>
      </c>
      <c r="CD406">
        <f t="shared" si="137"/>
        <v>0</v>
      </c>
      <c r="CE406">
        <f t="shared" si="138"/>
        <v>0</v>
      </c>
      <c r="CF406">
        <f t="shared" si="139"/>
        <v>0</v>
      </c>
      <c r="CG406">
        <f t="shared" si="140"/>
        <v>0</v>
      </c>
      <c r="CH406">
        <f t="shared" si="141"/>
        <v>0</v>
      </c>
      <c r="CI406">
        <f t="shared" si="142"/>
        <v>0</v>
      </c>
      <c r="CJ406">
        <f t="shared" si="143"/>
        <v>0</v>
      </c>
      <c r="CK406">
        <f t="shared" si="144"/>
        <v>0</v>
      </c>
      <c r="CL406">
        <f t="shared" si="145"/>
        <v>0</v>
      </c>
      <c r="CM406">
        <f t="shared" si="147"/>
        <v>0</v>
      </c>
      <c r="CN406">
        <f t="shared" si="146"/>
        <v>0</v>
      </c>
      <c r="CO406">
        <f t="shared" si="130"/>
        <v>0</v>
      </c>
    </row>
    <row r="407" spans="1:93" s="12" customFormat="1" ht="14.65" customHeight="1" x14ac:dyDescent="0.25">
      <c r="A407" s="4">
        <v>2021</v>
      </c>
      <c r="B407" s="4"/>
      <c r="C407" s="4" t="s">
        <v>179</v>
      </c>
      <c r="D407" s="4" t="s">
        <v>65</v>
      </c>
      <c r="E407" s="4"/>
      <c r="F407" s="4" t="s">
        <v>90</v>
      </c>
      <c r="G407" s="5" t="s">
        <v>180</v>
      </c>
      <c r="H407" s="5" t="s">
        <v>21</v>
      </c>
      <c r="I407" s="5" t="s">
        <v>18</v>
      </c>
      <c r="J407" s="5" t="s">
        <v>10</v>
      </c>
      <c r="K407" s="5">
        <v>23.3</v>
      </c>
      <c r="L407" s="5" t="s">
        <v>190</v>
      </c>
      <c r="M407" s="5">
        <v>1666</v>
      </c>
      <c r="N407" s="5" t="s">
        <v>171</v>
      </c>
      <c r="O407" s="6" t="s">
        <v>81</v>
      </c>
      <c r="P407" s="6" t="s">
        <v>181</v>
      </c>
      <c r="Q407" s="6"/>
      <c r="R407" s="6"/>
      <c r="S407" s="6">
        <v>22</v>
      </c>
      <c r="T407" s="6">
        <v>11.13</v>
      </c>
      <c r="U407" s="6">
        <v>1444</v>
      </c>
      <c r="V407" s="6">
        <v>25.27</v>
      </c>
      <c r="W407" s="6">
        <v>1</v>
      </c>
      <c r="X407" s="6">
        <v>272</v>
      </c>
      <c r="Y407" s="6">
        <v>985</v>
      </c>
      <c r="Z407" s="6">
        <v>187</v>
      </c>
      <c r="AA407" s="6">
        <v>0</v>
      </c>
      <c r="AB407" s="6">
        <v>0</v>
      </c>
      <c r="AC407" s="7">
        <v>40</v>
      </c>
      <c r="AD407" s="7" t="s">
        <v>52</v>
      </c>
      <c r="AE407" s="7">
        <v>20.04</v>
      </c>
      <c r="AF407" s="76">
        <v>488.2</v>
      </c>
      <c r="AG407" s="7">
        <v>29.02</v>
      </c>
      <c r="AH407" s="7">
        <v>27.51</v>
      </c>
      <c r="AI407" s="7">
        <v>31.01</v>
      </c>
      <c r="AJ407" s="9">
        <v>231.68733783388299</v>
      </c>
      <c r="AK407" s="9">
        <v>235.35872773805599</v>
      </c>
      <c r="AL407" s="9">
        <v>293.58428193880098</v>
      </c>
      <c r="AM407" s="9">
        <v>51.432870421127099</v>
      </c>
      <c r="AN407" s="9">
        <v>1.2858217605281801</v>
      </c>
      <c r="AO407" s="9">
        <v>1.1204440903783499</v>
      </c>
      <c r="AP407" s="9">
        <v>460.78402712432501</v>
      </c>
      <c r="AQ407" s="9">
        <v>11.5196006781081</v>
      </c>
      <c r="AR407" s="9">
        <v>15.6697754411268</v>
      </c>
      <c r="AS407" s="73" t="s">
        <v>169</v>
      </c>
      <c r="AT407" s="10" t="s">
        <v>169</v>
      </c>
      <c r="AU407" s="10" t="s">
        <v>169</v>
      </c>
      <c r="AV407" s="10">
        <v>0</v>
      </c>
      <c r="AW407" s="10"/>
      <c r="AX407" s="10" t="s">
        <v>169</v>
      </c>
      <c r="AY407" s="10"/>
      <c r="AZ407" s="10"/>
      <c r="BA407" s="10"/>
      <c r="BB407" s="8"/>
      <c r="BC407" s="8"/>
      <c r="BD407" s="8"/>
      <c r="BE407" s="8"/>
      <c r="BF407" s="12">
        <v>0.45</v>
      </c>
      <c r="BG407" s="13">
        <v>230.26712295543899</v>
      </c>
      <c r="BH407" s="96" t="str">
        <f>+VLOOKUP(G407,Liste!$A$7:$G$50,3,FALSE)</f>
        <v>Pin Laricio</v>
      </c>
      <c r="BI407" s="96" t="str">
        <f>+VLOOKUP(H407,Liste!$B$7:$G$50,5,FALSE)</f>
        <v>GS Pineraies des plaines du Centre et du Nord Ouest</v>
      </c>
      <c r="BJ407" s="135">
        <f t="shared" si="129"/>
        <v>40</v>
      </c>
      <c r="BK407" s="135" t="str">
        <f t="shared" si="131"/>
        <v>Pin Laricio_F2_Classique_GS Pineraies des plaines du Centre et du Nord Ouest_40_</v>
      </c>
      <c r="BL407" s="322"/>
      <c r="BM407" s="13">
        <v>60.099178146390599</v>
      </c>
      <c r="BN407" s="13">
        <v>290.36630110182898</v>
      </c>
      <c r="BO407" s="13" t="s">
        <v>169</v>
      </c>
      <c r="BP407" s="13">
        <v>261.61729964832301</v>
      </c>
      <c r="BQ407" s="13">
        <v>14.936562294802499</v>
      </c>
      <c r="BT407" s="298" t="str">
        <f>+VLOOKUP(G407,Liste!$A$7:$H$50,8,FALSE)</f>
        <v>Résineux</v>
      </c>
      <c r="BU407" s="298">
        <f t="shared" si="132"/>
        <v>0</v>
      </c>
      <c r="BV407" s="300">
        <f t="shared" si="133"/>
        <v>1</v>
      </c>
      <c r="BW407" s="321">
        <v>0</v>
      </c>
      <c r="BX407" s="298">
        <f t="shared" si="134"/>
        <v>0.43</v>
      </c>
      <c r="BY407">
        <f t="shared" si="135"/>
        <v>0</v>
      </c>
      <c r="BZ407" s="304">
        <f t="shared" si="136"/>
        <v>0</v>
      </c>
      <c r="CB407" s="299">
        <v>0.6</v>
      </c>
      <c r="CC407" s="299">
        <v>0.4</v>
      </c>
      <c r="CD407">
        <f t="shared" si="137"/>
        <v>0</v>
      </c>
      <c r="CE407">
        <f t="shared" si="138"/>
        <v>0</v>
      </c>
      <c r="CF407">
        <f t="shared" si="139"/>
        <v>0</v>
      </c>
      <c r="CG407">
        <f t="shared" si="140"/>
        <v>0</v>
      </c>
      <c r="CH407">
        <f t="shared" si="141"/>
        <v>0</v>
      </c>
      <c r="CI407">
        <f t="shared" si="142"/>
        <v>0</v>
      </c>
      <c r="CJ407">
        <f t="shared" si="143"/>
        <v>0</v>
      </c>
      <c r="CK407">
        <f t="shared" si="144"/>
        <v>0</v>
      </c>
      <c r="CL407">
        <f t="shared" si="145"/>
        <v>0</v>
      </c>
      <c r="CM407">
        <f t="shared" si="147"/>
        <v>0</v>
      </c>
      <c r="CN407">
        <f t="shared" si="146"/>
        <v>0</v>
      </c>
      <c r="CO407">
        <f t="shared" si="130"/>
        <v>0</v>
      </c>
    </row>
    <row r="408" spans="1:93" s="12" customFormat="1" ht="14.65" customHeight="1" x14ac:dyDescent="0.25">
      <c r="A408" s="4">
        <v>2021</v>
      </c>
      <c r="B408" s="4"/>
      <c r="C408" s="4" t="s">
        <v>179</v>
      </c>
      <c r="D408" s="4" t="s">
        <v>65</v>
      </c>
      <c r="E408" s="4"/>
      <c r="F408" s="4" t="s">
        <v>90</v>
      </c>
      <c r="G408" s="5" t="s">
        <v>180</v>
      </c>
      <c r="H408" s="5" t="s">
        <v>21</v>
      </c>
      <c r="I408" s="5" t="s">
        <v>18</v>
      </c>
      <c r="J408" s="5" t="s">
        <v>10</v>
      </c>
      <c r="K408" s="5">
        <v>23.3</v>
      </c>
      <c r="L408" s="5" t="s">
        <v>190</v>
      </c>
      <c r="M408" s="5">
        <v>1666</v>
      </c>
      <c r="N408" s="5" t="s">
        <v>171</v>
      </c>
      <c r="O408" s="6" t="s">
        <v>81</v>
      </c>
      <c r="P408" s="6" t="s">
        <v>181</v>
      </c>
      <c r="Q408" s="6"/>
      <c r="R408" s="6"/>
      <c r="S408" s="6">
        <v>22</v>
      </c>
      <c r="T408" s="6">
        <v>11.13</v>
      </c>
      <c r="U408" s="6">
        <v>1444</v>
      </c>
      <c r="V408" s="6">
        <v>25.27</v>
      </c>
      <c r="W408" s="6">
        <v>1</v>
      </c>
      <c r="X408" s="6">
        <v>272</v>
      </c>
      <c r="Y408" s="6">
        <v>985</v>
      </c>
      <c r="Z408" s="6">
        <v>187</v>
      </c>
      <c r="AA408" s="6">
        <v>0</v>
      </c>
      <c r="AB408" s="6">
        <v>0</v>
      </c>
      <c r="AC408" s="7">
        <v>40</v>
      </c>
      <c r="AD408" s="7" t="s">
        <v>53</v>
      </c>
      <c r="AE408" s="7">
        <v>20.04</v>
      </c>
      <c r="AF408" s="76">
        <v>354.2</v>
      </c>
      <c r="AG408" s="7">
        <v>22.97</v>
      </c>
      <c r="AH408" s="7">
        <v>28.74</v>
      </c>
      <c r="AI408" s="7">
        <v>31.01</v>
      </c>
      <c r="AJ408" s="9">
        <v>184.88314187261599</v>
      </c>
      <c r="AK408" s="9">
        <v>187.92615169122601</v>
      </c>
      <c r="AL408" s="9">
        <v>233.871865012874</v>
      </c>
      <c r="AM408" s="9">
        <v>51.432870421127099</v>
      </c>
      <c r="AN408" s="9">
        <v>1.2858217605281801</v>
      </c>
      <c r="AO408" s="9">
        <v>1.1204440903783499</v>
      </c>
      <c r="AP408" s="9">
        <v>460.78402712432501</v>
      </c>
      <c r="AQ408" s="9">
        <v>11.5196006781081</v>
      </c>
      <c r="AR408" s="9">
        <v>15.6697754411268</v>
      </c>
      <c r="AS408" s="73">
        <v>134</v>
      </c>
      <c r="AT408" s="10">
        <v>6.0500000000000007</v>
      </c>
      <c r="AU408" s="10">
        <v>23.976199712637506</v>
      </c>
      <c r="AV408" s="10">
        <v>46.804195961266998</v>
      </c>
      <c r="AW408" s="10">
        <v>0.75959048189908907</v>
      </c>
      <c r="AX408" s="10">
        <v>0.34928504448706715</v>
      </c>
      <c r="AY408" s="10"/>
      <c r="AZ408" s="10"/>
      <c r="BA408" s="10"/>
      <c r="BB408" s="8"/>
      <c r="BC408" s="8"/>
      <c r="BD408" s="8"/>
      <c r="BE408" s="8"/>
      <c r="BF408" s="12">
        <v>0.45</v>
      </c>
      <c r="BG408" s="13">
        <v>183.43284981436099</v>
      </c>
      <c r="BH408" s="96" t="str">
        <f>+VLOOKUP(G408,Liste!$A$7:$G$50,3,FALSE)</f>
        <v>Pin Laricio</v>
      </c>
      <c r="BI408" s="96" t="str">
        <f>+VLOOKUP(H408,Liste!$B$7:$G$50,5,FALSE)</f>
        <v>GS Pineraies des plaines du Centre et du Nord Ouest</v>
      </c>
      <c r="BJ408" s="135">
        <f t="shared" si="129"/>
        <v>40</v>
      </c>
      <c r="BK408" s="135" t="str">
        <f t="shared" si="131"/>
        <v>Pin Laricio_F2_Classique_GS Pineraies des plaines du Centre et du Nord Ouest_40_</v>
      </c>
      <c r="BL408" s="322"/>
      <c r="BM408" s="13">
        <v>49.159648943110803</v>
      </c>
      <c r="BN408" s="13">
        <v>232.59249875747199</v>
      </c>
      <c r="BO408" s="13">
        <v>57.773802344356994</v>
      </c>
      <c r="BP408" s="13">
        <v>261.61729964832301</v>
      </c>
      <c r="BQ408" s="13">
        <v>14.936562294802499</v>
      </c>
      <c r="BT408" s="298" t="str">
        <f>+VLOOKUP(G408,Liste!$A$7:$H$50,8,FALSE)</f>
        <v>Résineux</v>
      </c>
      <c r="BU408" s="298">
        <f t="shared" si="132"/>
        <v>0</v>
      </c>
      <c r="BV408" s="300">
        <f t="shared" si="133"/>
        <v>1</v>
      </c>
      <c r="BW408" s="321">
        <v>0</v>
      </c>
      <c r="BX408" s="298">
        <f t="shared" si="134"/>
        <v>0.43</v>
      </c>
      <c r="BY408">
        <f t="shared" si="135"/>
        <v>0</v>
      </c>
      <c r="BZ408" s="304">
        <f t="shared" si="136"/>
        <v>0</v>
      </c>
      <c r="CB408" s="299">
        <v>0.6</v>
      </c>
      <c r="CC408" s="299">
        <v>0.4</v>
      </c>
      <c r="CD408">
        <f t="shared" si="137"/>
        <v>0</v>
      </c>
      <c r="CE408">
        <f t="shared" si="138"/>
        <v>0</v>
      </c>
      <c r="CF408">
        <f t="shared" si="139"/>
        <v>0</v>
      </c>
      <c r="CG408">
        <f t="shared" si="140"/>
        <v>0</v>
      </c>
      <c r="CH408">
        <f t="shared" si="141"/>
        <v>0</v>
      </c>
      <c r="CI408">
        <f t="shared" si="142"/>
        <v>0</v>
      </c>
      <c r="CJ408">
        <f t="shared" si="143"/>
        <v>0</v>
      </c>
      <c r="CK408">
        <f t="shared" si="144"/>
        <v>0</v>
      </c>
      <c r="CL408">
        <f t="shared" si="145"/>
        <v>0</v>
      </c>
      <c r="CM408">
        <f t="shared" si="147"/>
        <v>0</v>
      </c>
      <c r="CN408">
        <f t="shared" si="146"/>
        <v>0</v>
      </c>
      <c r="CO408">
        <f t="shared" si="130"/>
        <v>0</v>
      </c>
    </row>
    <row r="409" spans="1:93" s="12" customFormat="1" ht="14.65" customHeight="1" x14ac:dyDescent="0.25">
      <c r="A409" s="4">
        <v>2021</v>
      </c>
      <c r="B409" s="4"/>
      <c r="C409" s="4" t="s">
        <v>179</v>
      </c>
      <c r="D409" s="4" t="s">
        <v>65</v>
      </c>
      <c r="E409" s="4"/>
      <c r="F409" s="4" t="s">
        <v>90</v>
      </c>
      <c r="G409" s="5" t="s">
        <v>180</v>
      </c>
      <c r="H409" s="5" t="s">
        <v>21</v>
      </c>
      <c r="I409" s="5" t="s">
        <v>18</v>
      </c>
      <c r="J409" s="5" t="s">
        <v>10</v>
      </c>
      <c r="K409" s="5">
        <v>23.3</v>
      </c>
      <c r="L409" s="5" t="s">
        <v>190</v>
      </c>
      <c r="M409" s="5">
        <v>1666</v>
      </c>
      <c r="N409" s="5" t="s">
        <v>171</v>
      </c>
      <c r="O409" s="6" t="s">
        <v>81</v>
      </c>
      <c r="P409" s="6" t="s">
        <v>181</v>
      </c>
      <c r="Q409" s="6"/>
      <c r="R409" s="6"/>
      <c r="S409" s="6">
        <v>22</v>
      </c>
      <c r="T409" s="6">
        <v>11.13</v>
      </c>
      <c r="U409" s="6">
        <v>1444</v>
      </c>
      <c r="V409" s="6">
        <v>25.27</v>
      </c>
      <c r="W409" s="6">
        <v>1</v>
      </c>
      <c r="X409" s="6">
        <v>272</v>
      </c>
      <c r="Y409" s="6">
        <v>985</v>
      </c>
      <c r="Z409" s="6">
        <v>187</v>
      </c>
      <c r="AA409" s="6">
        <v>0</v>
      </c>
      <c r="AB409" s="6">
        <v>0</v>
      </c>
      <c r="AC409" s="7">
        <v>41</v>
      </c>
      <c r="AD409" s="7" t="s">
        <v>52</v>
      </c>
      <c r="AE409" s="7">
        <v>20.420000000000002</v>
      </c>
      <c r="AF409" s="76">
        <v>354</v>
      </c>
      <c r="AG409" s="7">
        <v>23.97</v>
      </c>
      <c r="AH409" s="7">
        <v>29.36</v>
      </c>
      <c r="AI409" s="7">
        <v>31.69</v>
      </c>
      <c r="AJ409" s="9">
        <v>197.431122186115</v>
      </c>
      <c r="AK409" s="9">
        <v>200.78163985910501</v>
      </c>
      <c r="AL409" s="9">
        <v>249.541640454001</v>
      </c>
      <c r="AM409" s="9" t="s">
        <v>169</v>
      </c>
      <c r="AN409" s="9" t="s">
        <v>169</v>
      </c>
      <c r="AO409" s="9" t="s">
        <v>169</v>
      </c>
      <c r="AP409" s="9" t="s">
        <v>169</v>
      </c>
      <c r="AQ409" s="9" t="s">
        <v>169</v>
      </c>
      <c r="AR409" s="9" t="s">
        <v>169</v>
      </c>
      <c r="AS409" s="73" t="s">
        <v>169</v>
      </c>
      <c r="AT409" s="10" t="s">
        <v>169</v>
      </c>
      <c r="AU409" s="10" t="s">
        <v>169</v>
      </c>
      <c r="AV409" s="10">
        <v>0</v>
      </c>
      <c r="AW409" s="10"/>
      <c r="AX409" s="10" t="s">
        <v>169</v>
      </c>
      <c r="AY409" s="10"/>
      <c r="AZ409" s="10"/>
      <c r="BA409" s="10"/>
      <c r="BB409" s="8"/>
      <c r="BC409" s="8"/>
      <c r="BD409" s="8"/>
      <c r="BE409" s="8"/>
      <c r="BF409" s="12">
        <v>0.45</v>
      </c>
      <c r="BG409" s="13">
        <v>195.723133491531</v>
      </c>
      <c r="BH409" s="96" t="str">
        <f>+VLOOKUP(G409,Liste!$A$7:$G$50,3,FALSE)</f>
        <v>Pin Laricio</v>
      </c>
      <c r="BI409" s="96" t="str">
        <f>+VLOOKUP(H409,Liste!$B$7:$G$50,5,FALSE)</f>
        <v>GS Pineraies des plaines du Centre et du Nord Ouest</v>
      </c>
      <c r="BJ409" s="135">
        <f t="shared" si="129"/>
        <v>41</v>
      </c>
      <c r="BK409" s="135" t="str">
        <f t="shared" si="131"/>
        <v>Pin Laricio_F2_Classique_GS Pineraies des plaines du Centre et du Nord Ouest_41_</v>
      </c>
      <c r="BL409" s="322"/>
      <c r="BM409" s="13">
        <v>51.985448595250503</v>
      </c>
      <c r="BN409" s="13">
        <v>247.708582086782</v>
      </c>
      <c r="BO409" s="13" t="s">
        <v>169</v>
      </c>
      <c r="BP409" s="13">
        <v>261.61729964832301</v>
      </c>
      <c r="BQ409" s="13" t="s">
        <v>169</v>
      </c>
      <c r="BT409" s="298" t="str">
        <f>+VLOOKUP(G409,Liste!$A$7:$H$50,8,FALSE)</f>
        <v>Résineux</v>
      </c>
      <c r="BU409" s="298">
        <f t="shared" si="132"/>
        <v>0</v>
      </c>
      <c r="BV409" s="300">
        <f t="shared" si="133"/>
        <v>1</v>
      </c>
      <c r="BW409" s="321">
        <v>0</v>
      </c>
      <c r="BX409" s="298">
        <f t="shared" si="134"/>
        <v>0.43</v>
      </c>
      <c r="BY409">
        <f t="shared" si="135"/>
        <v>0</v>
      </c>
      <c r="BZ409" s="304">
        <f t="shared" si="136"/>
        <v>0</v>
      </c>
      <c r="CB409" s="299">
        <v>0.6</v>
      </c>
      <c r="CC409" s="299">
        <v>0.4</v>
      </c>
      <c r="CD409">
        <f t="shared" si="137"/>
        <v>0</v>
      </c>
      <c r="CE409">
        <f t="shared" si="138"/>
        <v>0</v>
      </c>
      <c r="CF409">
        <f t="shared" si="139"/>
        <v>0</v>
      </c>
      <c r="CG409">
        <f t="shared" si="140"/>
        <v>0</v>
      </c>
      <c r="CH409">
        <f t="shared" si="141"/>
        <v>0</v>
      </c>
      <c r="CI409">
        <f t="shared" si="142"/>
        <v>0</v>
      </c>
      <c r="CJ409">
        <f t="shared" si="143"/>
        <v>0</v>
      </c>
      <c r="CK409">
        <f t="shared" si="144"/>
        <v>0</v>
      </c>
      <c r="CL409">
        <f t="shared" si="145"/>
        <v>0</v>
      </c>
      <c r="CM409">
        <f t="shared" si="147"/>
        <v>0</v>
      </c>
      <c r="CN409">
        <f t="shared" si="146"/>
        <v>0</v>
      </c>
      <c r="CO409">
        <f t="shared" si="130"/>
        <v>0</v>
      </c>
    </row>
    <row r="410" spans="1:93" s="12" customFormat="1" ht="14.65" customHeight="1" x14ac:dyDescent="0.25">
      <c r="A410" s="4">
        <v>2021</v>
      </c>
      <c r="B410" s="4"/>
      <c r="C410" s="4" t="s">
        <v>179</v>
      </c>
      <c r="D410" s="4" t="s">
        <v>65</v>
      </c>
      <c r="E410" s="4"/>
      <c r="F410" s="4" t="s">
        <v>90</v>
      </c>
      <c r="G410" s="5" t="s">
        <v>180</v>
      </c>
      <c r="H410" s="5" t="s">
        <v>21</v>
      </c>
      <c r="I410" s="5" t="s">
        <v>18</v>
      </c>
      <c r="J410" s="5" t="s">
        <v>10</v>
      </c>
      <c r="K410" s="5">
        <v>23.3</v>
      </c>
      <c r="L410" s="5" t="s">
        <v>190</v>
      </c>
      <c r="M410" s="5">
        <v>1666</v>
      </c>
      <c r="N410" s="5" t="s">
        <v>171</v>
      </c>
      <c r="O410" s="6" t="s">
        <v>81</v>
      </c>
      <c r="P410" s="6" t="s">
        <v>181</v>
      </c>
      <c r="Q410" s="6"/>
      <c r="R410" s="6"/>
      <c r="S410" s="6">
        <v>22</v>
      </c>
      <c r="T410" s="6">
        <v>11.13</v>
      </c>
      <c r="U410" s="6">
        <v>1444</v>
      </c>
      <c r="V410" s="6">
        <v>25.27</v>
      </c>
      <c r="W410" s="6">
        <v>1</v>
      </c>
      <c r="X410" s="6">
        <v>272</v>
      </c>
      <c r="Y410" s="6">
        <v>985</v>
      </c>
      <c r="Z410" s="6">
        <v>187</v>
      </c>
      <c r="AA410" s="6">
        <v>0</v>
      </c>
      <c r="AB410" s="6">
        <v>0</v>
      </c>
      <c r="AC410" s="7">
        <v>42</v>
      </c>
      <c r="AD410" s="7" t="s">
        <v>52</v>
      </c>
      <c r="AE410" s="7">
        <v>20.78</v>
      </c>
      <c r="AF410" s="76">
        <v>354</v>
      </c>
      <c r="AG410" s="7">
        <v>25.14</v>
      </c>
      <c r="AH410" s="7">
        <v>30.07</v>
      </c>
      <c r="AI410" s="7">
        <v>32.450000000000003</v>
      </c>
      <c r="AJ410" s="9">
        <v>209.97910249961399</v>
      </c>
      <c r="AK410" s="9">
        <v>213.63712802698501</v>
      </c>
      <c r="AL410" s="9">
        <v>265.211415895127</v>
      </c>
      <c r="AM410" s="9" t="s">
        <v>169</v>
      </c>
      <c r="AN410" s="9" t="s">
        <v>169</v>
      </c>
      <c r="AO410" s="9" t="s">
        <v>169</v>
      </c>
      <c r="AP410" s="9" t="s">
        <v>169</v>
      </c>
      <c r="AQ410" s="9" t="s">
        <v>169</v>
      </c>
      <c r="AR410" s="9" t="s">
        <v>169</v>
      </c>
      <c r="AS410" s="73" t="s">
        <v>169</v>
      </c>
      <c r="AT410" s="10" t="s">
        <v>169</v>
      </c>
      <c r="AU410" s="10" t="s">
        <v>169</v>
      </c>
      <c r="AV410" s="10">
        <v>0</v>
      </c>
      <c r="AW410" s="10"/>
      <c r="AX410" s="10" t="s">
        <v>169</v>
      </c>
      <c r="AY410" s="10"/>
      <c r="AZ410" s="10"/>
      <c r="BA410" s="10"/>
      <c r="BB410" s="8"/>
      <c r="BC410" s="8"/>
      <c r="BD410" s="8"/>
      <c r="BE410" s="8"/>
      <c r="BF410" s="12">
        <v>0.45</v>
      </c>
      <c r="BG410" s="13">
        <v>208.01341716870101</v>
      </c>
      <c r="BH410" s="96" t="str">
        <f>+VLOOKUP(G410,Liste!$A$7:$G$50,3,FALSE)</f>
        <v>Pin Laricio</v>
      </c>
      <c r="BI410" s="96" t="str">
        <f>+VLOOKUP(H410,Liste!$B$7:$G$50,5,FALSE)</f>
        <v>GS Pineraies des plaines du Centre et du Nord Ouest</v>
      </c>
      <c r="BJ410" s="135">
        <f t="shared" si="129"/>
        <v>42</v>
      </c>
      <c r="BK410" s="135" t="str">
        <f t="shared" si="131"/>
        <v>Pin Laricio_F2_Classique_GS Pineraies des plaines du Centre et du Nord Ouest_42_</v>
      </c>
      <c r="BL410" s="322"/>
      <c r="BM410" s="13">
        <v>54.811248247390097</v>
      </c>
      <c r="BN410" s="13">
        <v>262.82466541609102</v>
      </c>
      <c r="BO410" s="13" t="s">
        <v>169</v>
      </c>
      <c r="BP410" s="13">
        <v>261.61729964832301</v>
      </c>
      <c r="BQ410" s="13" t="s">
        <v>169</v>
      </c>
      <c r="BT410" s="298" t="str">
        <f>+VLOOKUP(G410,Liste!$A$7:$H$50,8,FALSE)</f>
        <v>Résineux</v>
      </c>
      <c r="BU410" s="298">
        <f t="shared" si="132"/>
        <v>0</v>
      </c>
      <c r="BV410" s="300">
        <f t="shared" si="133"/>
        <v>1</v>
      </c>
      <c r="BW410" s="321">
        <v>0</v>
      </c>
      <c r="BX410" s="298">
        <f t="shared" si="134"/>
        <v>0.43</v>
      </c>
      <c r="BY410">
        <f t="shared" si="135"/>
        <v>0</v>
      </c>
      <c r="BZ410" s="304">
        <f t="shared" si="136"/>
        <v>0</v>
      </c>
      <c r="CB410" s="299">
        <v>0.6</v>
      </c>
      <c r="CC410" s="299">
        <v>0.4</v>
      </c>
      <c r="CD410">
        <f t="shared" si="137"/>
        <v>0</v>
      </c>
      <c r="CE410">
        <f t="shared" si="138"/>
        <v>0</v>
      </c>
      <c r="CF410">
        <f t="shared" si="139"/>
        <v>0</v>
      </c>
      <c r="CG410">
        <f t="shared" si="140"/>
        <v>0</v>
      </c>
      <c r="CH410">
        <f t="shared" si="141"/>
        <v>0</v>
      </c>
      <c r="CI410">
        <f t="shared" si="142"/>
        <v>0</v>
      </c>
      <c r="CJ410">
        <f t="shared" si="143"/>
        <v>0</v>
      </c>
      <c r="CK410">
        <f t="shared" si="144"/>
        <v>0</v>
      </c>
      <c r="CL410">
        <f t="shared" si="145"/>
        <v>0</v>
      </c>
      <c r="CM410">
        <f t="shared" si="147"/>
        <v>0</v>
      </c>
      <c r="CN410">
        <f t="shared" si="146"/>
        <v>0</v>
      </c>
      <c r="CO410">
        <f t="shared" si="130"/>
        <v>0</v>
      </c>
    </row>
    <row r="411" spans="1:93" s="12" customFormat="1" ht="14.65" customHeight="1" x14ac:dyDescent="0.25">
      <c r="A411" s="4">
        <v>2021</v>
      </c>
      <c r="B411" s="4"/>
      <c r="C411" s="4" t="s">
        <v>179</v>
      </c>
      <c r="D411" s="4" t="s">
        <v>65</v>
      </c>
      <c r="E411" s="4"/>
      <c r="F411" s="4" t="s">
        <v>90</v>
      </c>
      <c r="G411" s="5" t="s">
        <v>180</v>
      </c>
      <c r="H411" s="5" t="s">
        <v>21</v>
      </c>
      <c r="I411" s="5" t="s">
        <v>18</v>
      </c>
      <c r="J411" s="5" t="s">
        <v>10</v>
      </c>
      <c r="K411" s="5">
        <v>23.3</v>
      </c>
      <c r="L411" s="5" t="s">
        <v>190</v>
      </c>
      <c r="M411" s="5">
        <v>1666</v>
      </c>
      <c r="N411" s="5" t="s">
        <v>171</v>
      </c>
      <c r="O411" s="6" t="s">
        <v>81</v>
      </c>
      <c r="P411" s="6" t="s">
        <v>181</v>
      </c>
      <c r="Q411" s="6"/>
      <c r="R411" s="6"/>
      <c r="S411" s="6">
        <v>22</v>
      </c>
      <c r="T411" s="6">
        <v>11.13</v>
      </c>
      <c r="U411" s="6">
        <v>1444</v>
      </c>
      <c r="V411" s="6">
        <v>25.27</v>
      </c>
      <c r="W411" s="6">
        <v>1</v>
      </c>
      <c r="X411" s="6">
        <v>272</v>
      </c>
      <c r="Y411" s="6">
        <v>985</v>
      </c>
      <c r="Z411" s="6">
        <v>187</v>
      </c>
      <c r="AA411" s="6">
        <v>0</v>
      </c>
      <c r="AB411" s="6">
        <v>0</v>
      </c>
      <c r="AC411" s="7">
        <v>43</v>
      </c>
      <c r="AD411" s="7" t="s">
        <v>52</v>
      </c>
      <c r="AE411" s="7">
        <v>21.13</v>
      </c>
      <c r="AF411" s="76">
        <v>353.8</v>
      </c>
      <c r="AG411" s="7">
        <v>26.3</v>
      </c>
      <c r="AH411" s="7">
        <v>30.76</v>
      </c>
      <c r="AI411" s="7">
        <v>33.19</v>
      </c>
      <c r="AJ411" s="9">
        <v>222.527082813113</v>
      </c>
      <c r="AK411" s="9">
        <v>226.49261619486401</v>
      </c>
      <c r="AL411" s="9">
        <v>280.88119133625401</v>
      </c>
      <c r="AM411" s="9" t="s">
        <v>169</v>
      </c>
      <c r="AN411" s="9" t="s">
        <v>169</v>
      </c>
      <c r="AO411" s="9" t="s">
        <v>169</v>
      </c>
      <c r="AP411" s="9" t="s">
        <v>169</v>
      </c>
      <c r="AQ411" s="9" t="s">
        <v>169</v>
      </c>
      <c r="AR411" s="9" t="s">
        <v>169</v>
      </c>
      <c r="AS411" s="73" t="s">
        <v>169</v>
      </c>
      <c r="AT411" s="10" t="s">
        <v>169</v>
      </c>
      <c r="AU411" s="10" t="s">
        <v>169</v>
      </c>
      <c r="AV411" s="10">
        <v>0</v>
      </c>
      <c r="AW411" s="10"/>
      <c r="AX411" s="10" t="s">
        <v>169</v>
      </c>
      <c r="AY411" s="10"/>
      <c r="AZ411" s="10"/>
      <c r="BA411" s="10"/>
      <c r="BB411" s="8"/>
      <c r="BC411" s="8"/>
      <c r="BD411" s="8"/>
      <c r="BE411" s="8"/>
      <c r="BF411" s="12">
        <v>0.45</v>
      </c>
      <c r="BG411" s="13">
        <v>220.30370084587099</v>
      </c>
      <c r="BH411" s="96" t="str">
        <f>+VLOOKUP(G411,Liste!$A$7:$G$50,3,FALSE)</f>
        <v>Pin Laricio</v>
      </c>
      <c r="BI411" s="96" t="str">
        <f>+VLOOKUP(H411,Liste!$B$7:$G$50,5,FALSE)</f>
        <v>GS Pineraies des plaines du Centre et du Nord Ouest</v>
      </c>
      <c r="BJ411" s="135">
        <f t="shared" si="129"/>
        <v>43</v>
      </c>
      <c r="BK411" s="135" t="str">
        <f t="shared" si="131"/>
        <v>Pin Laricio_F2_Classique_GS Pineraies des plaines du Centre et du Nord Ouest_43_</v>
      </c>
      <c r="BL411" s="322"/>
      <c r="BM411" s="13">
        <v>57.637047899529797</v>
      </c>
      <c r="BN411" s="13">
        <v>277.94074874540001</v>
      </c>
      <c r="BO411" s="13" t="s">
        <v>169</v>
      </c>
      <c r="BP411" s="13">
        <v>261.61729964832301</v>
      </c>
      <c r="BQ411" s="13" t="s">
        <v>169</v>
      </c>
      <c r="BT411" s="298" t="str">
        <f>+VLOOKUP(G411,Liste!$A$7:$H$50,8,FALSE)</f>
        <v>Résineux</v>
      </c>
      <c r="BU411" s="298">
        <f t="shared" si="132"/>
        <v>0</v>
      </c>
      <c r="BV411" s="300">
        <f t="shared" si="133"/>
        <v>1</v>
      </c>
      <c r="BW411" s="321">
        <v>0</v>
      </c>
      <c r="BX411" s="298">
        <f t="shared" si="134"/>
        <v>0.43</v>
      </c>
      <c r="BY411">
        <f t="shared" si="135"/>
        <v>0</v>
      </c>
      <c r="BZ411" s="304">
        <f t="shared" si="136"/>
        <v>0</v>
      </c>
      <c r="CB411" s="299">
        <v>0.6</v>
      </c>
      <c r="CC411" s="299">
        <v>0.4</v>
      </c>
      <c r="CD411">
        <f t="shared" si="137"/>
        <v>0</v>
      </c>
      <c r="CE411">
        <f t="shared" si="138"/>
        <v>0</v>
      </c>
      <c r="CF411">
        <f t="shared" si="139"/>
        <v>0</v>
      </c>
      <c r="CG411">
        <f t="shared" si="140"/>
        <v>0</v>
      </c>
      <c r="CH411">
        <f t="shared" si="141"/>
        <v>0</v>
      </c>
      <c r="CI411">
        <f t="shared" si="142"/>
        <v>0</v>
      </c>
      <c r="CJ411">
        <f t="shared" si="143"/>
        <v>0</v>
      </c>
      <c r="CK411">
        <f t="shared" si="144"/>
        <v>0</v>
      </c>
      <c r="CL411">
        <f t="shared" si="145"/>
        <v>0</v>
      </c>
      <c r="CM411">
        <f t="shared" si="147"/>
        <v>0</v>
      </c>
      <c r="CN411">
        <f t="shared" si="146"/>
        <v>0</v>
      </c>
      <c r="CO411">
        <f t="shared" si="130"/>
        <v>0</v>
      </c>
    </row>
    <row r="412" spans="1:93" s="12" customFormat="1" ht="14.65" customHeight="1" x14ac:dyDescent="0.25">
      <c r="A412" s="4">
        <v>2021</v>
      </c>
      <c r="B412" s="4"/>
      <c r="C412" s="4" t="s">
        <v>179</v>
      </c>
      <c r="D412" s="4" t="s">
        <v>65</v>
      </c>
      <c r="E412" s="4"/>
      <c r="F412" s="4" t="s">
        <v>90</v>
      </c>
      <c r="G412" s="5" t="s">
        <v>180</v>
      </c>
      <c r="H412" s="5" t="s">
        <v>21</v>
      </c>
      <c r="I412" s="5" t="s">
        <v>18</v>
      </c>
      <c r="J412" s="5" t="s">
        <v>10</v>
      </c>
      <c r="K412" s="5">
        <v>23.3</v>
      </c>
      <c r="L412" s="5" t="s">
        <v>190</v>
      </c>
      <c r="M412" s="5">
        <v>1666</v>
      </c>
      <c r="N412" s="5" t="s">
        <v>171</v>
      </c>
      <c r="O412" s="6" t="s">
        <v>81</v>
      </c>
      <c r="P412" s="6" t="s">
        <v>181</v>
      </c>
      <c r="Q412" s="6"/>
      <c r="R412" s="6"/>
      <c r="S412" s="6">
        <v>22</v>
      </c>
      <c r="T412" s="6">
        <v>11.13</v>
      </c>
      <c r="U412" s="6">
        <v>1444</v>
      </c>
      <c r="V412" s="6">
        <v>25.27</v>
      </c>
      <c r="W412" s="6">
        <v>1</v>
      </c>
      <c r="X412" s="6">
        <v>272</v>
      </c>
      <c r="Y412" s="6">
        <v>985</v>
      </c>
      <c r="Z412" s="6">
        <v>187</v>
      </c>
      <c r="AA412" s="6">
        <v>0</v>
      </c>
      <c r="AB412" s="6">
        <v>0</v>
      </c>
      <c r="AC412" s="7">
        <v>44</v>
      </c>
      <c r="AD412" s="7" t="s">
        <v>52</v>
      </c>
      <c r="AE412" s="7">
        <v>21.47</v>
      </c>
      <c r="AF412" s="76">
        <v>353.6</v>
      </c>
      <c r="AG412" s="7">
        <v>27.44</v>
      </c>
      <c r="AH412" s="7">
        <v>31.44</v>
      </c>
      <c r="AI412" s="7">
        <v>33.909999999999997</v>
      </c>
      <c r="AJ412" s="9">
        <v>235.07506312661201</v>
      </c>
      <c r="AK412" s="9">
        <v>239.34810436274299</v>
      </c>
      <c r="AL412" s="9">
        <v>296.55096677738101</v>
      </c>
      <c r="AM412" s="9" t="s">
        <v>169</v>
      </c>
      <c r="AN412" s="9" t="s">
        <v>169</v>
      </c>
      <c r="AO412" s="9" t="s">
        <v>169</v>
      </c>
      <c r="AP412" s="9" t="s">
        <v>169</v>
      </c>
      <c r="AQ412" s="9" t="s">
        <v>169</v>
      </c>
      <c r="AR412" s="9" t="s">
        <v>169</v>
      </c>
      <c r="AS412" s="73" t="s">
        <v>169</v>
      </c>
      <c r="AT412" s="10" t="s">
        <v>169</v>
      </c>
      <c r="AU412" s="10" t="s">
        <v>169</v>
      </c>
      <c r="AV412" s="10">
        <v>0</v>
      </c>
      <c r="AW412" s="10"/>
      <c r="AX412" s="10" t="s">
        <v>169</v>
      </c>
      <c r="AY412" s="10"/>
      <c r="AZ412" s="10"/>
      <c r="BA412" s="10"/>
      <c r="BB412" s="8"/>
      <c r="BC412" s="8"/>
      <c r="BD412" s="8"/>
      <c r="BE412" s="8"/>
      <c r="BF412" s="12">
        <v>0.45</v>
      </c>
      <c r="BG412" s="13">
        <v>232.59398452304001</v>
      </c>
      <c r="BH412" s="96" t="str">
        <f>+VLOOKUP(G412,Liste!$A$7:$G$50,3,FALSE)</f>
        <v>Pin Laricio</v>
      </c>
      <c r="BI412" s="96" t="str">
        <f>+VLOOKUP(H412,Liste!$B$7:$G$50,5,FALSE)</f>
        <v>GS Pineraies des plaines du Centre et du Nord Ouest</v>
      </c>
      <c r="BJ412" s="135">
        <f t="shared" si="129"/>
        <v>44</v>
      </c>
      <c r="BK412" s="135" t="str">
        <f t="shared" si="131"/>
        <v>Pin Laricio_F2_Classique_GS Pineraies des plaines du Centre et du Nord Ouest_44_</v>
      </c>
      <c r="BL412" s="322"/>
      <c r="BM412" s="13">
        <v>60.462847551669398</v>
      </c>
      <c r="BN412" s="13">
        <v>293.05683207470997</v>
      </c>
      <c r="BO412" s="13" t="s">
        <v>169</v>
      </c>
      <c r="BP412" s="13">
        <v>261.61729964832301</v>
      </c>
      <c r="BQ412" s="13" t="s">
        <v>169</v>
      </c>
      <c r="BT412" s="298" t="str">
        <f>+VLOOKUP(G412,Liste!$A$7:$H$50,8,FALSE)</f>
        <v>Résineux</v>
      </c>
      <c r="BU412" s="298">
        <f t="shared" si="132"/>
        <v>0</v>
      </c>
      <c r="BV412" s="300">
        <f t="shared" si="133"/>
        <v>1</v>
      </c>
      <c r="BW412" s="321">
        <v>0</v>
      </c>
      <c r="BX412" s="298">
        <f t="shared" si="134"/>
        <v>0.43</v>
      </c>
      <c r="BY412">
        <f t="shared" si="135"/>
        <v>0</v>
      </c>
      <c r="BZ412" s="304">
        <f t="shared" si="136"/>
        <v>0</v>
      </c>
      <c r="CB412" s="299">
        <v>0.6</v>
      </c>
      <c r="CC412" s="299">
        <v>0.4</v>
      </c>
      <c r="CD412">
        <f t="shared" si="137"/>
        <v>0</v>
      </c>
      <c r="CE412">
        <f t="shared" si="138"/>
        <v>0</v>
      </c>
      <c r="CF412">
        <f t="shared" si="139"/>
        <v>0</v>
      </c>
      <c r="CG412">
        <f t="shared" si="140"/>
        <v>0</v>
      </c>
      <c r="CH412">
        <f t="shared" si="141"/>
        <v>0</v>
      </c>
      <c r="CI412">
        <f t="shared" si="142"/>
        <v>0</v>
      </c>
      <c r="CJ412">
        <f t="shared" si="143"/>
        <v>0</v>
      </c>
      <c r="CK412">
        <f t="shared" si="144"/>
        <v>0</v>
      </c>
      <c r="CL412">
        <f t="shared" si="145"/>
        <v>0</v>
      </c>
      <c r="CM412">
        <f t="shared" si="147"/>
        <v>0</v>
      </c>
      <c r="CN412">
        <f t="shared" si="146"/>
        <v>0</v>
      </c>
      <c r="CO412">
        <f t="shared" si="130"/>
        <v>0</v>
      </c>
    </row>
    <row r="413" spans="1:93" s="12" customFormat="1" ht="14.65" customHeight="1" x14ac:dyDescent="0.25">
      <c r="A413" s="4">
        <v>2021</v>
      </c>
      <c r="B413" s="4"/>
      <c r="C413" s="4" t="s">
        <v>179</v>
      </c>
      <c r="D413" s="4" t="s">
        <v>65</v>
      </c>
      <c r="E413" s="4"/>
      <c r="F413" s="4" t="s">
        <v>90</v>
      </c>
      <c r="G413" s="5" t="s">
        <v>180</v>
      </c>
      <c r="H413" s="5" t="s">
        <v>21</v>
      </c>
      <c r="I413" s="5" t="s">
        <v>18</v>
      </c>
      <c r="J413" s="5" t="s">
        <v>10</v>
      </c>
      <c r="K413" s="5">
        <v>23.3</v>
      </c>
      <c r="L413" s="5" t="s">
        <v>190</v>
      </c>
      <c r="M413" s="5">
        <v>1666</v>
      </c>
      <c r="N413" s="5" t="s">
        <v>171</v>
      </c>
      <c r="O413" s="6" t="s">
        <v>81</v>
      </c>
      <c r="P413" s="6" t="s">
        <v>181</v>
      </c>
      <c r="Q413" s="6"/>
      <c r="R413" s="6"/>
      <c r="S413" s="6">
        <v>22</v>
      </c>
      <c r="T413" s="6">
        <v>11.13</v>
      </c>
      <c r="U413" s="6">
        <v>1444</v>
      </c>
      <c r="V413" s="6">
        <v>25.27</v>
      </c>
      <c r="W413" s="6">
        <v>1</v>
      </c>
      <c r="X413" s="6">
        <v>272</v>
      </c>
      <c r="Y413" s="6">
        <v>985</v>
      </c>
      <c r="Z413" s="6">
        <v>187</v>
      </c>
      <c r="AA413" s="6">
        <v>0</v>
      </c>
      <c r="AB413" s="6">
        <v>0</v>
      </c>
      <c r="AC413" s="7">
        <v>45</v>
      </c>
      <c r="AD413" s="7" t="s">
        <v>52</v>
      </c>
      <c r="AE413" s="7">
        <v>21.8</v>
      </c>
      <c r="AF413" s="76">
        <v>353.4</v>
      </c>
      <c r="AG413" s="7">
        <v>28.58</v>
      </c>
      <c r="AH413" s="7">
        <v>32.090000000000003</v>
      </c>
      <c r="AI413" s="7">
        <v>34.61</v>
      </c>
      <c r="AJ413" s="9">
        <v>247.62304344011099</v>
      </c>
      <c r="AK413" s="9">
        <v>252.20359253062301</v>
      </c>
      <c r="AL413" s="9">
        <v>312.22074221850801</v>
      </c>
      <c r="AM413" s="9" t="s">
        <v>169</v>
      </c>
      <c r="AN413" s="9" t="s">
        <v>169</v>
      </c>
      <c r="AO413" s="9" t="s">
        <v>169</v>
      </c>
      <c r="AP413" s="9" t="s">
        <v>169</v>
      </c>
      <c r="AQ413" s="9" t="s">
        <v>169</v>
      </c>
      <c r="AR413" s="9" t="s">
        <v>169</v>
      </c>
      <c r="AS413" s="73" t="s">
        <v>169</v>
      </c>
      <c r="AT413" s="10" t="s">
        <v>169</v>
      </c>
      <c r="AU413" s="10" t="s">
        <v>169</v>
      </c>
      <c r="AV413" s="10">
        <v>0</v>
      </c>
      <c r="AW413" s="10"/>
      <c r="AX413" s="10" t="s">
        <v>169</v>
      </c>
      <c r="AY413" s="10"/>
      <c r="AZ413" s="10"/>
      <c r="BA413" s="10"/>
      <c r="BB413" s="8"/>
      <c r="BC413" s="8"/>
      <c r="BD413" s="8"/>
      <c r="BE413" s="8"/>
      <c r="BF413" s="12">
        <v>0.45</v>
      </c>
      <c r="BG413" s="13">
        <v>244.88426820020999</v>
      </c>
      <c r="BH413" s="96" t="str">
        <f>+VLOOKUP(G413,Liste!$A$7:$G$50,3,FALSE)</f>
        <v>Pin Laricio</v>
      </c>
      <c r="BI413" s="96" t="str">
        <f>+VLOOKUP(H413,Liste!$B$7:$G$50,5,FALSE)</f>
        <v>GS Pineraies des plaines du Centre et du Nord Ouest</v>
      </c>
      <c r="BJ413" s="135">
        <f t="shared" si="129"/>
        <v>45</v>
      </c>
      <c r="BK413" s="135" t="str">
        <f t="shared" si="131"/>
        <v>Pin Laricio_F2_Classique_GS Pineraies des plaines du Centre et du Nord Ouest_45_</v>
      </c>
      <c r="BL413" s="322"/>
      <c r="BM413" s="13">
        <v>63.288647203809099</v>
      </c>
      <c r="BN413" s="13">
        <v>308.17291540401902</v>
      </c>
      <c r="BO413" s="13" t="s">
        <v>169</v>
      </c>
      <c r="BP413" s="13">
        <v>261.61729964832301</v>
      </c>
      <c r="BQ413" s="13" t="s">
        <v>169</v>
      </c>
      <c r="BT413" s="298" t="str">
        <f>+VLOOKUP(G413,Liste!$A$7:$H$50,8,FALSE)</f>
        <v>Résineux</v>
      </c>
      <c r="BU413" s="298">
        <f t="shared" si="132"/>
        <v>0</v>
      </c>
      <c r="BV413" s="300">
        <f t="shared" si="133"/>
        <v>1</v>
      </c>
      <c r="BW413" s="321">
        <v>0</v>
      </c>
      <c r="BX413" s="298">
        <f t="shared" si="134"/>
        <v>0.43</v>
      </c>
      <c r="BY413">
        <f t="shared" si="135"/>
        <v>0</v>
      </c>
      <c r="BZ413" s="304">
        <f t="shared" si="136"/>
        <v>0</v>
      </c>
      <c r="CB413" s="299">
        <v>0.6</v>
      </c>
      <c r="CC413" s="299">
        <v>0.4</v>
      </c>
      <c r="CD413">
        <f t="shared" si="137"/>
        <v>0</v>
      </c>
      <c r="CE413">
        <f t="shared" si="138"/>
        <v>0</v>
      </c>
      <c r="CF413">
        <f t="shared" si="139"/>
        <v>0</v>
      </c>
      <c r="CG413">
        <f t="shared" si="140"/>
        <v>0</v>
      </c>
      <c r="CH413">
        <f t="shared" si="141"/>
        <v>0</v>
      </c>
      <c r="CI413">
        <f t="shared" si="142"/>
        <v>0</v>
      </c>
      <c r="CJ413">
        <f t="shared" si="143"/>
        <v>0</v>
      </c>
      <c r="CK413">
        <f t="shared" si="144"/>
        <v>0</v>
      </c>
      <c r="CL413">
        <f t="shared" si="145"/>
        <v>0</v>
      </c>
      <c r="CM413">
        <f t="shared" si="147"/>
        <v>0</v>
      </c>
      <c r="CN413">
        <f t="shared" si="146"/>
        <v>0</v>
      </c>
      <c r="CO413">
        <f t="shared" si="130"/>
        <v>0</v>
      </c>
    </row>
    <row r="414" spans="1:93" s="12" customFormat="1" ht="14.65" customHeight="1" x14ac:dyDescent="0.25">
      <c r="A414" s="4">
        <v>2021</v>
      </c>
      <c r="B414" s="4"/>
      <c r="C414" s="4" t="s">
        <v>179</v>
      </c>
      <c r="D414" s="4" t="s">
        <v>65</v>
      </c>
      <c r="E414" s="4"/>
      <c r="F414" s="4" t="s">
        <v>90</v>
      </c>
      <c r="G414" s="5" t="s">
        <v>180</v>
      </c>
      <c r="H414" s="5" t="s">
        <v>21</v>
      </c>
      <c r="I414" s="5" t="s">
        <v>18</v>
      </c>
      <c r="J414" s="5" t="s">
        <v>10</v>
      </c>
      <c r="K414" s="5">
        <v>23.3</v>
      </c>
      <c r="L414" s="5" t="s">
        <v>190</v>
      </c>
      <c r="M414" s="5">
        <v>1666</v>
      </c>
      <c r="N414" s="5" t="s">
        <v>171</v>
      </c>
      <c r="O414" s="6" t="s">
        <v>81</v>
      </c>
      <c r="P414" s="6" t="s">
        <v>181</v>
      </c>
      <c r="Q414" s="6"/>
      <c r="R414" s="6"/>
      <c r="S414" s="6">
        <v>22</v>
      </c>
      <c r="T414" s="6">
        <v>11.13</v>
      </c>
      <c r="U414" s="6">
        <v>1444</v>
      </c>
      <c r="V414" s="6">
        <v>25.27</v>
      </c>
      <c r="W414" s="6">
        <v>1</v>
      </c>
      <c r="X414" s="6">
        <v>272</v>
      </c>
      <c r="Y414" s="6">
        <v>985</v>
      </c>
      <c r="Z414" s="6">
        <v>187</v>
      </c>
      <c r="AA414" s="6">
        <v>0</v>
      </c>
      <c r="AB414" s="6">
        <v>0</v>
      </c>
      <c r="AC414" s="7">
        <v>46</v>
      </c>
      <c r="AD414" s="7" t="s">
        <v>52</v>
      </c>
      <c r="AE414" s="7">
        <v>22.12</v>
      </c>
      <c r="AF414" s="76">
        <v>353.4</v>
      </c>
      <c r="AG414" s="7">
        <v>29.72</v>
      </c>
      <c r="AH414" s="7">
        <v>32.72</v>
      </c>
      <c r="AI414" s="7">
        <v>35.29</v>
      </c>
      <c r="AJ414" s="9">
        <v>260.17102375360997</v>
      </c>
      <c r="AK414" s="9">
        <v>265.05908069850199</v>
      </c>
      <c r="AL414" s="9">
        <v>327.89051765963501</v>
      </c>
      <c r="AM414" s="9" t="s">
        <v>169</v>
      </c>
      <c r="AN414" s="9" t="s">
        <v>169</v>
      </c>
      <c r="AO414" s="9" t="s">
        <v>169</v>
      </c>
      <c r="AP414" s="9" t="s">
        <v>169</v>
      </c>
      <c r="AQ414" s="9" t="s">
        <v>169</v>
      </c>
      <c r="AR414" s="9" t="s">
        <v>169</v>
      </c>
      <c r="AS414" s="73" t="s">
        <v>169</v>
      </c>
      <c r="AT414" s="10" t="s">
        <v>169</v>
      </c>
      <c r="AU414" s="10" t="s">
        <v>169</v>
      </c>
      <c r="AV414" s="10">
        <v>0</v>
      </c>
      <c r="AW414" s="10"/>
      <c r="AX414" s="10" t="s">
        <v>169</v>
      </c>
      <c r="AY414" s="10"/>
      <c r="AZ414" s="10"/>
      <c r="BA414" s="10"/>
      <c r="BB414" s="8"/>
      <c r="BC414" s="8"/>
      <c r="BD414" s="8"/>
      <c r="BE414" s="8"/>
      <c r="BF414" s="12">
        <v>0.45</v>
      </c>
      <c r="BG414" s="13">
        <v>257.17455187738</v>
      </c>
      <c r="BH414" s="96" t="str">
        <f>+VLOOKUP(G414,Liste!$A$7:$G$50,3,FALSE)</f>
        <v>Pin Laricio</v>
      </c>
      <c r="BI414" s="96" t="str">
        <f>+VLOOKUP(H414,Liste!$B$7:$G$50,5,FALSE)</f>
        <v>GS Pineraies des plaines du Centre et du Nord Ouest</v>
      </c>
      <c r="BJ414" s="135">
        <f t="shared" si="129"/>
        <v>46</v>
      </c>
      <c r="BK414" s="135" t="str">
        <f t="shared" si="131"/>
        <v>Pin Laricio_F2_Classique_GS Pineraies des plaines du Centre et du Nord Ouest_46_</v>
      </c>
      <c r="BL414" s="322"/>
      <c r="BM414" s="13">
        <v>66.1144468559487</v>
      </c>
      <c r="BN414" s="13">
        <v>323.28899873332898</v>
      </c>
      <c r="BO414" s="13" t="s">
        <v>169</v>
      </c>
      <c r="BP414" s="13">
        <v>261.61729964832301</v>
      </c>
      <c r="BQ414" s="13" t="s">
        <v>169</v>
      </c>
      <c r="BT414" s="298" t="str">
        <f>+VLOOKUP(G414,Liste!$A$7:$H$50,8,FALSE)</f>
        <v>Résineux</v>
      </c>
      <c r="BU414" s="298">
        <f t="shared" si="132"/>
        <v>0</v>
      </c>
      <c r="BV414" s="300">
        <f t="shared" si="133"/>
        <v>1</v>
      </c>
      <c r="BW414" s="321">
        <v>0</v>
      </c>
      <c r="BX414" s="298">
        <f t="shared" si="134"/>
        <v>0.43</v>
      </c>
      <c r="BY414">
        <f t="shared" si="135"/>
        <v>0</v>
      </c>
      <c r="BZ414" s="304">
        <f t="shared" si="136"/>
        <v>0</v>
      </c>
      <c r="CB414" s="299">
        <v>0.6</v>
      </c>
      <c r="CC414" s="299">
        <v>0.4</v>
      </c>
      <c r="CD414">
        <f t="shared" si="137"/>
        <v>0</v>
      </c>
      <c r="CE414">
        <f t="shared" si="138"/>
        <v>0</v>
      </c>
      <c r="CF414">
        <f t="shared" si="139"/>
        <v>0</v>
      </c>
      <c r="CG414">
        <f t="shared" si="140"/>
        <v>0</v>
      </c>
      <c r="CH414">
        <f t="shared" si="141"/>
        <v>0</v>
      </c>
      <c r="CI414">
        <f t="shared" si="142"/>
        <v>0</v>
      </c>
      <c r="CJ414">
        <f t="shared" si="143"/>
        <v>0</v>
      </c>
      <c r="CK414">
        <f t="shared" si="144"/>
        <v>0</v>
      </c>
      <c r="CL414">
        <f t="shared" si="145"/>
        <v>0</v>
      </c>
      <c r="CM414">
        <f t="shared" si="147"/>
        <v>0</v>
      </c>
      <c r="CN414">
        <f t="shared" si="146"/>
        <v>0</v>
      </c>
      <c r="CO414">
        <f t="shared" si="130"/>
        <v>0</v>
      </c>
    </row>
    <row r="415" spans="1:93" s="12" customFormat="1" ht="14.65" customHeight="1" x14ac:dyDescent="0.25">
      <c r="A415" s="4">
        <v>2021</v>
      </c>
      <c r="B415" s="4"/>
      <c r="C415" s="4" t="s">
        <v>179</v>
      </c>
      <c r="D415" s="4" t="s">
        <v>65</v>
      </c>
      <c r="E415" s="4"/>
      <c r="F415" s="4" t="s">
        <v>90</v>
      </c>
      <c r="G415" s="5" t="s">
        <v>180</v>
      </c>
      <c r="H415" s="5" t="s">
        <v>21</v>
      </c>
      <c r="I415" s="5" t="s">
        <v>18</v>
      </c>
      <c r="J415" s="5" t="s">
        <v>10</v>
      </c>
      <c r="K415" s="5">
        <v>23.3</v>
      </c>
      <c r="L415" s="5" t="s">
        <v>190</v>
      </c>
      <c r="M415" s="5">
        <v>1666</v>
      </c>
      <c r="N415" s="5" t="s">
        <v>171</v>
      </c>
      <c r="O415" s="6" t="s">
        <v>81</v>
      </c>
      <c r="P415" s="6" t="s">
        <v>181</v>
      </c>
      <c r="Q415" s="6"/>
      <c r="R415" s="6"/>
      <c r="S415" s="6">
        <v>22</v>
      </c>
      <c r="T415" s="6">
        <v>11.13</v>
      </c>
      <c r="U415" s="6">
        <v>1444</v>
      </c>
      <c r="V415" s="6">
        <v>25.27</v>
      </c>
      <c r="W415" s="6">
        <v>1</v>
      </c>
      <c r="X415" s="6">
        <v>272</v>
      </c>
      <c r="Y415" s="6">
        <v>985</v>
      </c>
      <c r="Z415" s="6">
        <v>187</v>
      </c>
      <c r="AA415" s="6">
        <v>0</v>
      </c>
      <c r="AB415" s="6">
        <v>0</v>
      </c>
      <c r="AC415" s="7">
        <v>47</v>
      </c>
      <c r="AD415" s="7" t="s">
        <v>52</v>
      </c>
      <c r="AE415" s="7">
        <v>22.43</v>
      </c>
      <c r="AF415" s="76">
        <v>353.2</v>
      </c>
      <c r="AG415" s="7">
        <v>30.84</v>
      </c>
      <c r="AH415" s="7">
        <v>33.340000000000003</v>
      </c>
      <c r="AI415" s="7">
        <v>35.96</v>
      </c>
      <c r="AJ415" s="9">
        <v>272.71900406710898</v>
      </c>
      <c r="AK415" s="9">
        <v>277.91456886638099</v>
      </c>
      <c r="AL415" s="9">
        <v>343.56029310076099</v>
      </c>
      <c r="AM415" s="9" t="s">
        <v>169</v>
      </c>
      <c r="AN415" s="9" t="s">
        <v>169</v>
      </c>
      <c r="AO415" s="9" t="s">
        <v>169</v>
      </c>
      <c r="AP415" s="9" t="s">
        <v>169</v>
      </c>
      <c r="AQ415" s="9" t="s">
        <v>169</v>
      </c>
      <c r="AR415" s="9" t="s">
        <v>169</v>
      </c>
      <c r="AS415" s="73" t="s">
        <v>169</v>
      </c>
      <c r="AT415" s="10" t="s">
        <v>169</v>
      </c>
      <c r="AU415" s="10" t="s">
        <v>169</v>
      </c>
      <c r="AV415" s="10">
        <v>0</v>
      </c>
      <c r="AW415" s="10"/>
      <c r="AX415" s="10" t="s">
        <v>169</v>
      </c>
      <c r="AY415" s="10"/>
      <c r="AZ415" s="10"/>
      <c r="BA415" s="10"/>
      <c r="BB415" s="8"/>
      <c r="BC415" s="8"/>
      <c r="BD415" s="8"/>
      <c r="BE415" s="8"/>
      <c r="BF415" s="12">
        <v>0.45</v>
      </c>
      <c r="BG415" s="13">
        <v>269.46483555455001</v>
      </c>
      <c r="BH415" s="96" t="str">
        <f>+VLOOKUP(G415,Liste!$A$7:$G$50,3,FALSE)</f>
        <v>Pin Laricio</v>
      </c>
      <c r="BI415" s="96" t="str">
        <f>+VLOOKUP(H415,Liste!$B$7:$G$50,5,FALSE)</f>
        <v>GS Pineraies des plaines du Centre et du Nord Ouest</v>
      </c>
      <c r="BJ415" s="135">
        <f t="shared" si="129"/>
        <v>47</v>
      </c>
      <c r="BK415" s="135" t="str">
        <f t="shared" si="131"/>
        <v>Pin Laricio_F2_Classique_GS Pineraies des plaines du Centre et du Nord Ouest_47_</v>
      </c>
      <c r="BL415" s="322"/>
      <c r="BM415" s="13">
        <v>68.940246508088407</v>
      </c>
      <c r="BN415" s="13">
        <v>338.40508206263797</v>
      </c>
      <c r="BO415" s="13" t="s">
        <v>169</v>
      </c>
      <c r="BP415" s="13">
        <v>261.61729964832301</v>
      </c>
      <c r="BQ415" s="13" t="s">
        <v>169</v>
      </c>
      <c r="BT415" s="298" t="str">
        <f>+VLOOKUP(G415,Liste!$A$7:$H$50,8,FALSE)</f>
        <v>Résineux</v>
      </c>
      <c r="BU415" s="298">
        <f t="shared" si="132"/>
        <v>0</v>
      </c>
      <c r="BV415" s="300">
        <f t="shared" si="133"/>
        <v>1</v>
      </c>
      <c r="BW415" s="321">
        <v>0</v>
      </c>
      <c r="BX415" s="298">
        <f t="shared" si="134"/>
        <v>0.43</v>
      </c>
      <c r="BY415">
        <f t="shared" si="135"/>
        <v>0</v>
      </c>
      <c r="BZ415" s="304">
        <f t="shared" si="136"/>
        <v>0</v>
      </c>
      <c r="CB415" s="299">
        <v>0.6</v>
      </c>
      <c r="CC415" s="299">
        <v>0.4</v>
      </c>
      <c r="CD415">
        <f t="shared" si="137"/>
        <v>0</v>
      </c>
      <c r="CE415">
        <f t="shared" si="138"/>
        <v>0</v>
      </c>
      <c r="CF415">
        <f t="shared" si="139"/>
        <v>0</v>
      </c>
      <c r="CG415">
        <f t="shared" si="140"/>
        <v>0</v>
      </c>
      <c r="CH415">
        <f t="shared" si="141"/>
        <v>0</v>
      </c>
      <c r="CI415">
        <f t="shared" si="142"/>
        <v>0</v>
      </c>
      <c r="CJ415">
        <f t="shared" si="143"/>
        <v>0</v>
      </c>
      <c r="CK415">
        <f t="shared" si="144"/>
        <v>0</v>
      </c>
      <c r="CL415">
        <f t="shared" si="145"/>
        <v>0</v>
      </c>
      <c r="CM415">
        <f t="shared" si="147"/>
        <v>0</v>
      </c>
      <c r="CN415">
        <f t="shared" si="146"/>
        <v>0</v>
      </c>
      <c r="CO415">
        <f t="shared" si="130"/>
        <v>0</v>
      </c>
    </row>
    <row r="416" spans="1:93" s="12" customFormat="1" ht="14.65" customHeight="1" x14ac:dyDescent="0.25">
      <c r="A416" s="4">
        <v>2021</v>
      </c>
      <c r="B416" s="4"/>
      <c r="C416" s="4" t="s">
        <v>179</v>
      </c>
      <c r="D416" s="4" t="s">
        <v>65</v>
      </c>
      <c r="E416" s="4"/>
      <c r="F416" s="4" t="s">
        <v>90</v>
      </c>
      <c r="G416" s="5" t="s">
        <v>180</v>
      </c>
      <c r="H416" s="5" t="s">
        <v>21</v>
      </c>
      <c r="I416" s="5" t="s">
        <v>18</v>
      </c>
      <c r="J416" s="5" t="s">
        <v>10</v>
      </c>
      <c r="K416" s="5">
        <v>23.3</v>
      </c>
      <c r="L416" s="5" t="s">
        <v>190</v>
      </c>
      <c r="M416" s="5">
        <v>1666</v>
      </c>
      <c r="N416" s="5" t="s">
        <v>171</v>
      </c>
      <c r="O416" s="6" t="s">
        <v>81</v>
      </c>
      <c r="P416" s="6" t="s">
        <v>181</v>
      </c>
      <c r="Q416" s="6"/>
      <c r="R416" s="6"/>
      <c r="S416" s="6">
        <v>22</v>
      </c>
      <c r="T416" s="6">
        <v>11.13</v>
      </c>
      <c r="U416" s="6">
        <v>1444</v>
      </c>
      <c r="V416" s="6">
        <v>25.27</v>
      </c>
      <c r="W416" s="6">
        <v>1</v>
      </c>
      <c r="X416" s="6">
        <v>272</v>
      </c>
      <c r="Y416" s="6">
        <v>985</v>
      </c>
      <c r="Z416" s="6">
        <v>187</v>
      </c>
      <c r="AA416" s="6">
        <v>0</v>
      </c>
      <c r="AB416" s="6">
        <v>0</v>
      </c>
      <c r="AC416" s="7">
        <v>48</v>
      </c>
      <c r="AD416" s="7" t="s">
        <v>52</v>
      </c>
      <c r="AE416" s="7">
        <v>22.73</v>
      </c>
      <c r="AF416" s="76">
        <v>353.2</v>
      </c>
      <c r="AG416" s="7">
        <v>31.96</v>
      </c>
      <c r="AH416" s="7">
        <v>33.950000000000003</v>
      </c>
      <c r="AI416" s="7">
        <v>36.61</v>
      </c>
      <c r="AJ416" s="9">
        <v>285.26698438060902</v>
      </c>
      <c r="AK416" s="9">
        <v>290.77005703426101</v>
      </c>
      <c r="AL416" s="9">
        <v>359.23006854188799</v>
      </c>
      <c r="AM416" s="9" t="s">
        <v>169</v>
      </c>
      <c r="AN416" s="9" t="s">
        <v>169</v>
      </c>
      <c r="AO416" s="9" t="s">
        <v>169</v>
      </c>
      <c r="AP416" s="9" t="s">
        <v>169</v>
      </c>
      <c r="AQ416" s="9" t="s">
        <v>169</v>
      </c>
      <c r="AR416" s="9" t="s">
        <v>169</v>
      </c>
      <c r="AS416" s="73" t="s">
        <v>169</v>
      </c>
      <c r="AT416" s="10" t="s">
        <v>169</v>
      </c>
      <c r="AU416" s="10" t="s">
        <v>169</v>
      </c>
      <c r="AV416" s="10">
        <v>0</v>
      </c>
      <c r="AW416" s="10"/>
      <c r="AX416" s="10" t="s">
        <v>169</v>
      </c>
      <c r="AY416" s="10"/>
      <c r="AZ416" s="10"/>
      <c r="BA416" s="10"/>
      <c r="BB416" s="8"/>
      <c r="BC416" s="8"/>
      <c r="BD416" s="8"/>
      <c r="BE416" s="8"/>
      <c r="BF416" s="12">
        <v>0.45</v>
      </c>
      <c r="BG416" s="13">
        <v>281.75511923172002</v>
      </c>
      <c r="BH416" s="96" t="str">
        <f>+VLOOKUP(G416,Liste!$A$7:$G$50,3,FALSE)</f>
        <v>Pin Laricio</v>
      </c>
      <c r="BI416" s="96" t="str">
        <f>+VLOOKUP(H416,Liste!$B$7:$G$50,5,FALSE)</f>
        <v>GS Pineraies des plaines du Centre et du Nord Ouest</v>
      </c>
      <c r="BJ416" s="135">
        <f t="shared" si="129"/>
        <v>48</v>
      </c>
      <c r="BK416" s="135" t="str">
        <f t="shared" si="131"/>
        <v>Pin Laricio_F2_Classique_GS Pineraies des plaines du Centre et du Nord Ouest_48_</v>
      </c>
      <c r="BL416" s="322"/>
      <c r="BM416" s="13">
        <v>71.766046160228001</v>
      </c>
      <c r="BN416" s="13">
        <v>353.52116539194799</v>
      </c>
      <c r="BO416" s="13" t="s">
        <v>169</v>
      </c>
      <c r="BP416" s="13">
        <v>261.61729964832301</v>
      </c>
      <c r="BQ416" s="13" t="s">
        <v>169</v>
      </c>
      <c r="BT416" s="298" t="str">
        <f>+VLOOKUP(G416,Liste!$A$7:$H$50,8,FALSE)</f>
        <v>Résineux</v>
      </c>
      <c r="BU416" s="298">
        <f t="shared" si="132"/>
        <v>0</v>
      </c>
      <c r="BV416" s="300">
        <f t="shared" si="133"/>
        <v>1</v>
      </c>
      <c r="BW416" s="321">
        <v>0</v>
      </c>
      <c r="BX416" s="298">
        <f t="shared" si="134"/>
        <v>0.43</v>
      </c>
      <c r="BY416">
        <f t="shared" si="135"/>
        <v>0</v>
      </c>
      <c r="BZ416" s="304">
        <f t="shared" si="136"/>
        <v>0</v>
      </c>
      <c r="CB416" s="299">
        <v>0.6</v>
      </c>
      <c r="CC416" s="299">
        <v>0.4</v>
      </c>
      <c r="CD416">
        <f t="shared" si="137"/>
        <v>0</v>
      </c>
      <c r="CE416">
        <f t="shared" si="138"/>
        <v>0</v>
      </c>
      <c r="CF416">
        <f t="shared" si="139"/>
        <v>0</v>
      </c>
      <c r="CG416">
        <f t="shared" si="140"/>
        <v>0</v>
      </c>
      <c r="CH416">
        <f t="shared" si="141"/>
        <v>0</v>
      </c>
      <c r="CI416">
        <f t="shared" si="142"/>
        <v>0</v>
      </c>
      <c r="CJ416">
        <f t="shared" si="143"/>
        <v>0</v>
      </c>
      <c r="CK416">
        <f t="shared" si="144"/>
        <v>0</v>
      </c>
      <c r="CL416">
        <f t="shared" si="145"/>
        <v>0</v>
      </c>
      <c r="CM416">
        <f t="shared" si="147"/>
        <v>0</v>
      </c>
      <c r="CN416">
        <f t="shared" si="146"/>
        <v>0</v>
      </c>
      <c r="CO416">
        <f t="shared" si="130"/>
        <v>0</v>
      </c>
    </row>
    <row r="417" spans="1:93" s="12" customFormat="1" ht="14.65" customHeight="1" x14ac:dyDescent="0.25">
      <c r="A417" s="4">
        <v>2021</v>
      </c>
      <c r="B417" s="4"/>
      <c r="C417" s="4" t="s">
        <v>179</v>
      </c>
      <c r="D417" s="4" t="s">
        <v>65</v>
      </c>
      <c r="E417" s="4"/>
      <c r="F417" s="4" t="s">
        <v>90</v>
      </c>
      <c r="G417" s="5" t="s">
        <v>180</v>
      </c>
      <c r="H417" s="5" t="s">
        <v>21</v>
      </c>
      <c r="I417" s="5" t="s">
        <v>18</v>
      </c>
      <c r="J417" s="5" t="s">
        <v>10</v>
      </c>
      <c r="K417" s="5">
        <v>23.3</v>
      </c>
      <c r="L417" s="5" t="s">
        <v>190</v>
      </c>
      <c r="M417" s="5">
        <v>1666</v>
      </c>
      <c r="N417" s="5" t="s">
        <v>171</v>
      </c>
      <c r="O417" s="6" t="s">
        <v>81</v>
      </c>
      <c r="P417" s="6" t="s">
        <v>181</v>
      </c>
      <c r="Q417" s="6"/>
      <c r="R417" s="6"/>
      <c r="S417" s="6">
        <v>22</v>
      </c>
      <c r="T417" s="6">
        <v>11.13</v>
      </c>
      <c r="U417" s="6">
        <v>1444</v>
      </c>
      <c r="V417" s="6">
        <v>25.27</v>
      </c>
      <c r="W417" s="6">
        <v>1</v>
      </c>
      <c r="X417" s="6">
        <v>272</v>
      </c>
      <c r="Y417" s="6">
        <v>985</v>
      </c>
      <c r="Z417" s="6">
        <v>187</v>
      </c>
      <c r="AA417" s="6">
        <v>0</v>
      </c>
      <c r="AB417" s="6">
        <v>0</v>
      </c>
      <c r="AC417" s="7">
        <v>49</v>
      </c>
      <c r="AD417" s="7" t="s">
        <v>52</v>
      </c>
      <c r="AE417" s="7">
        <v>23.02</v>
      </c>
      <c r="AF417" s="76">
        <v>353</v>
      </c>
      <c r="AG417" s="7">
        <v>33.049999999999997</v>
      </c>
      <c r="AH417" s="7">
        <v>34.53</v>
      </c>
      <c r="AI417" s="7">
        <v>37.24</v>
      </c>
      <c r="AJ417" s="9">
        <v>297.81496469410803</v>
      </c>
      <c r="AK417" s="9">
        <v>303.62554520214002</v>
      </c>
      <c r="AL417" s="9">
        <v>374.89984398301499</v>
      </c>
      <c r="AM417" s="9">
        <v>61.516867234532299</v>
      </c>
      <c r="AN417" s="9">
        <v>1.2554462700925</v>
      </c>
      <c r="AO417" s="9">
        <v>0.95293266723880099</v>
      </c>
      <c r="AP417" s="9">
        <v>601.81200609446603</v>
      </c>
      <c r="AQ417" s="9">
        <v>12.2818776753973</v>
      </c>
      <c r="AR417" s="9">
        <v>14.2622965001529</v>
      </c>
      <c r="AS417" s="73" t="s">
        <v>169</v>
      </c>
      <c r="AT417" s="10" t="s">
        <v>169</v>
      </c>
      <c r="AU417" s="10" t="s">
        <v>169</v>
      </c>
      <c r="AV417" s="10">
        <v>0</v>
      </c>
      <c r="AW417" s="10"/>
      <c r="AX417" s="10" t="s">
        <v>169</v>
      </c>
      <c r="AY417" s="10"/>
      <c r="AZ417" s="10"/>
      <c r="BA417" s="10"/>
      <c r="BB417" s="8"/>
      <c r="BC417" s="8"/>
      <c r="BD417" s="8"/>
      <c r="BE417" s="8"/>
      <c r="BF417" s="12">
        <v>0.45</v>
      </c>
      <c r="BG417" s="13">
        <v>294.045402908889</v>
      </c>
      <c r="BH417" s="96" t="str">
        <f>+VLOOKUP(G417,Liste!$A$7:$G$50,3,FALSE)</f>
        <v>Pin Laricio</v>
      </c>
      <c r="BI417" s="96" t="str">
        <f>+VLOOKUP(H417,Liste!$B$7:$G$50,5,FALSE)</f>
        <v>GS Pineraies des plaines du Centre et du Nord Ouest</v>
      </c>
      <c r="BJ417" s="135">
        <f t="shared" si="129"/>
        <v>49</v>
      </c>
      <c r="BK417" s="135" t="str">
        <f t="shared" si="131"/>
        <v>Pin Laricio_F2_Classique_GS Pineraies des plaines du Centre et du Nord Ouest_49_</v>
      </c>
      <c r="BL417" s="322"/>
      <c r="BM417" s="13">
        <v>74.591845812367595</v>
      </c>
      <c r="BN417" s="13">
        <v>368.63724872125698</v>
      </c>
      <c r="BO417" s="13" t="s">
        <v>169</v>
      </c>
      <c r="BP417" s="13">
        <v>261.61729964832301</v>
      </c>
      <c r="BQ417" s="13">
        <v>13.5291846272284</v>
      </c>
      <c r="BT417" s="298" t="str">
        <f>+VLOOKUP(G417,Liste!$A$7:$H$50,8,FALSE)</f>
        <v>Résineux</v>
      </c>
      <c r="BU417" s="298">
        <f t="shared" si="132"/>
        <v>0</v>
      </c>
      <c r="BV417" s="300">
        <f t="shared" si="133"/>
        <v>1</v>
      </c>
      <c r="BW417" s="321">
        <v>0</v>
      </c>
      <c r="BX417" s="298">
        <f t="shared" si="134"/>
        <v>0.43</v>
      </c>
      <c r="BY417">
        <f t="shared" si="135"/>
        <v>0</v>
      </c>
      <c r="BZ417" s="304">
        <f t="shared" si="136"/>
        <v>0</v>
      </c>
      <c r="CB417" s="299">
        <v>0.6</v>
      </c>
      <c r="CC417" s="299">
        <v>0.4</v>
      </c>
      <c r="CD417">
        <f t="shared" si="137"/>
        <v>0</v>
      </c>
      <c r="CE417">
        <f t="shared" si="138"/>
        <v>0</v>
      </c>
      <c r="CF417">
        <f t="shared" si="139"/>
        <v>0</v>
      </c>
      <c r="CG417">
        <f t="shared" si="140"/>
        <v>0</v>
      </c>
      <c r="CH417">
        <f t="shared" si="141"/>
        <v>0</v>
      </c>
      <c r="CI417">
        <f t="shared" si="142"/>
        <v>0</v>
      </c>
      <c r="CJ417">
        <f t="shared" si="143"/>
        <v>0</v>
      </c>
      <c r="CK417">
        <f t="shared" si="144"/>
        <v>0</v>
      </c>
      <c r="CL417">
        <f t="shared" si="145"/>
        <v>0</v>
      </c>
      <c r="CM417">
        <f t="shared" si="147"/>
        <v>0</v>
      </c>
      <c r="CN417">
        <f t="shared" si="146"/>
        <v>0</v>
      </c>
      <c r="CO417">
        <f t="shared" si="130"/>
        <v>0</v>
      </c>
    </row>
    <row r="418" spans="1:93" s="12" customFormat="1" ht="14.65" customHeight="1" x14ac:dyDescent="0.25">
      <c r="A418" s="4">
        <v>2021</v>
      </c>
      <c r="B418" s="4"/>
      <c r="C418" s="4" t="s">
        <v>179</v>
      </c>
      <c r="D418" s="4" t="s">
        <v>65</v>
      </c>
      <c r="E418" s="4"/>
      <c r="F418" s="4" t="s">
        <v>90</v>
      </c>
      <c r="G418" s="5" t="s">
        <v>180</v>
      </c>
      <c r="H418" s="5" t="s">
        <v>21</v>
      </c>
      <c r="I418" s="5" t="s">
        <v>18</v>
      </c>
      <c r="J418" s="5" t="s">
        <v>10</v>
      </c>
      <c r="K418" s="5">
        <v>23.3</v>
      </c>
      <c r="L418" s="5" t="s">
        <v>190</v>
      </c>
      <c r="M418" s="5">
        <v>1666</v>
      </c>
      <c r="N418" s="5" t="s">
        <v>171</v>
      </c>
      <c r="O418" s="6" t="s">
        <v>81</v>
      </c>
      <c r="P418" s="6" t="s">
        <v>181</v>
      </c>
      <c r="Q418" s="6"/>
      <c r="R418" s="6"/>
      <c r="S418" s="6">
        <v>22</v>
      </c>
      <c r="T418" s="6">
        <v>11.13</v>
      </c>
      <c r="U418" s="6">
        <v>1444</v>
      </c>
      <c r="V418" s="6">
        <v>25.27</v>
      </c>
      <c r="W418" s="6">
        <v>1</v>
      </c>
      <c r="X418" s="6">
        <v>272</v>
      </c>
      <c r="Y418" s="6">
        <v>985</v>
      </c>
      <c r="Z418" s="6">
        <v>187</v>
      </c>
      <c r="AA418" s="6">
        <v>0</v>
      </c>
      <c r="AB418" s="6">
        <v>0</v>
      </c>
      <c r="AC418" s="7">
        <v>49</v>
      </c>
      <c r="AD418" s="7" t="s">
        <v>53</v>
      </c>
      <c r="AE418" s="7">
        <v>23.02</v>
      </c>
      <c r="AF418" s="76">
        <v>276</v>
      </c>
      <c r="AG418" s="7">
        <v>27.03</v>
      </c>
      <c r="AH418" s="7">
        <v>35.31</v>
      </c>
      <c r="AI418" s="7">
        <v>37.24</v>
      </c>
      <c r="AJ418" s="9">
        <v>244.30236963273001</v>
      </c>
      <c r="AK418" s="9">
        <v>249.149557008107</v>
      </c>
      <c r="AL418" s="9">
        <v>307.39069713541301</v>
      </c>
      <c r="AM418" s="9">
        <v>61.516867234532299</v>
      </c>
      <c r="AN418" s="9">
        <v>1.2554462700925</v>
      </c>
      <c r="AO418" s="9">
        <v>0.95293266723880099</v>
      </c>
      <c r="AP418" s="9">
        <v>601.81200609446603</v>
      </c>
      <c r="AQ418" s="9">
        <v>12.2818776753973</v>
      </c>
      <c r="AR418" s="9">
        <v>14.2622965001529</v>
      </c>
      <c r="AS418" s="73">
        <v>77</v>
      </c>
      <c r="AT418" s="10">
        <v>6.019999999999996</v>
      </c>
      <c r="AU418" s="10">
        <v>31.550623224967424</v>
      </c>
      <c r="AV418" s="10">
        <v>53.512595061378022</v>
      </c>
      <c r="AW418" s="10">
        <v>0.83487744438921907</v>
      </c>
      <c r="AX418" s="10">
        <v>0.69496876703088339</v>
      </c>
      <c r="AY418" s="10"/>
      <c r="AZ418" s="10"/>
      <c r="BA418" s="10"/>
      <c r="BB418" s="8"/>
      <c r="BC418" s="8"/>
      <c r="BD418" s="8"/>
      <c r="BE418" s="8"/>
      <c r="BF418" s="12">
        <v>0.45</v>
      </c>
      <c r="BG418" s="13">
        <v>241.09591625682799</v>
      </c>
      <c r="BH418" s="96" t="str">
        <f>+VLOOKUP(G418,Liste!$A$7:$G$50,3,FALSE)</f>
        <v>Pin Laricio</v>
      </c>
      <c r="BI418" s="96" t="str">
        <f>+VLOOKUP(H418,Liste!$B$7:$G$50,5,FALSE)</f>
        <v>GS Pineraies des plaines du Centre et du Nord Ouest</v>
      </c>
      <c r="BJ418" s="135">
        <f t="shared" si="129"/>
        <v>49</v>
      </c>
      <c r="BK418" s="135" t="str">
        <f t="shared" si="131"/>
        <v>Pin Laricio_F2_Classique_GS Pineraies des plaines du Centre et du Nord Ouest_49_</v>
      </c>
      <c r="BL418" s="322"/>
      <c r="BM418" s="13">
        <v>62.589769294416101</v>
      </c>
      <c r="BN418" s="13">
        <v>303.68568555124398</v>
      </c>
      <c r="BO418" s="13">
        <v>64.951563170013003</v>
      </c>
      <c r="BP418" s="13">
        <v>261.61729964832301</v>
      </c>
      <c r="BQ418" s="13">
        <v>13.5291846272284</v>
      </c>
      <c r="BT418" s="298" t="str">
        <f>+VLOOKUP(G418,Liste!$A$7:$H$50,8,FALSE)</f>
        <v>Résineux</v>
      </c>
      <c r="BU418" s="298">
        <f t="shared" si="132"/>
        <v>0</v>
      </c>
      <c r="BV418" s="300">
        <f t="shared" si="133"/>
        <v>1</v>
      </c>
      <c r="BW418" s="321">
        <v>0</v>
      </c>
      <c r="BX418" s="298">
        <f t="shared" si="134"/>
        <v>0.43</v>
      </c>
      <c r="BY418">
        <f t="shared" si="135"/>
        <v>0</v>
      </c>
      <c r="BZ418" s="304">
        <f t="shared" si="136"/>
        <v>0</v>
      </c>
      <c r="CB418" s="299">
        <v>0.6</v>
      </c>
      <c r="CC418" s="299">
        <v>0.4</v>
      </c>
      <c r="CD418">
        <f t="shared" si="137"/>
        <v>0</v>
      </c>
      <c r="CE418">
        <f t="shared" si="138"/>
        <v>0</v>
      </c>
      <c r="CF418">
        <f t="shared" si="139"/>
        <v>0</v>
      </c>
      <c r="CG418">
        <f t="shared" si="140"/>
        <v>0</v>
      </c>
      <c r="CH418">
        <f t="shared" si="141"/>
        <v>0</v>
      </c>
      <c r="CI418">
        <f t="shared" si="142"/>
        <v>0</v>
      </c>
      <c r="CJ418">
        <f t="shared" si="143"/>
        <v>0</v>
      </c>
      <c r="CK418">
        <f t="shared" si="144"/>
        <v>0</v>
      </c>
      <c r="CL418">
        <f t="shared" si="145"/>
        <v>0</v>
      </c>
      <c r="CM418">
        <f t="shared" si="147"/>
        <v>0</v>
      </c>
      <c r="CN418">
        <f t="shared" si="146"/>
        <v>0</v>
      </c>
      <c r="CO418">
        <f t="shared" si="130"/>
        <v>0</v>
      </c>
    </row>
    <row r="419" spans="1:93" s="12" customFormat="1" ht="14.65" customHeight="1" x14ac:dyDescent="0.25">
      <c r="A419" s="4">
        <v>2021</v>
      </c>
      <c r="B419" s="4"/>
      <c r="C419" s="4" t="s">
        <v>179</v>
      </c>
      <c r="D419" s="4" t="s">
        <v>65</v>
      </c>
      <c r="E419" s="4"/>
      <c r="F419" s="4" t="s">
        <v>90</v>
      </c>
      <c r="G419" s="5" t="s">
        <v>180</v>
      </c>
      <c r="H419" s="5" t="s">
        <v>21</v>
      </c>
      <c r="I419" s="5" t="s">
        <v>18</v>
      </c>
      <c r="J419" s="5" t="s">
        <v>10</v>
      </c>
      <c r="K419" s="5">
        <v>23.3</v>
      </c>
      <c r="L419" s="5" t="s">
        <v>190</v>
      </c>
      <c r="M419" s="5">
        <v>1666</v>
      </c>
      <c r="N419" s="5" t="s">
        <v>171</v>
      </c>
      <c r="O419" s="6" t="s">
        <v>81</v>
      </c>
      <c r="P419" s="6" t="s">
        <v>181</v>
      </c>
      <c r="Q419" s="6"/>
      <c r="R419" s="6"/>
      <c r="S419" s="6">
        <v>22</v>
      </c>
      <c r="T419" s="6">
        <v>11.13</v>
      </c>
      <c r="U419" s="6">
        <v>1444</v>
      </c>
      <c r="V419" s="6">
        <v>25.27</v>
      </c>
      <c r="W419" s="6">
        <v>1</v>
      </c>
      <c r="X419" s="6">
        <v>272</v>
      </c>
      <c r="Y419" s="6">
        <v>985</v>
      </c>
      <c r="Z419" s="6">
        <v>187</v>
      </c>
      <c r="AA419" s="6">
        <v>0</v>
      </c>
      <c r="AB419" s="6">
        <v>0</v>
      </c>
      <c r="AC419" s="7">
        <v>50</v>
      </c>
      <c r="AD419" s="7" t="s">
        <v>52</v>
      </c>
      <c r="AE419" s="7">
        <v>23.3</v>
      </c>
      <c r="AF419" s="76">
        <v>275.8</v>
      </c>
      <c r="AG419" s="7">
        <v>27.9</v>
      </c>
      <c r="AH419" s="7">
        <v>35.89</v>
      </c>
      <c r="AI419" s="7">
        <v>37.85</v>
      </c>
      <c r="AJ419" s="9">
        <v>255.72152344968799</v>
      </c>
      <c r="AK419" s="9">
        <v>260.886744460415</v>
      </c>
      <c r="AL419" s="9">
        <v>321.65299363556602</v>
      </c>
      <c r="AM419" s="9" t="s">
        <v>169</v>
      </c>
      <c r="AN419" s="9" t="s">
        <v>169</v>
      </c>
      <c r="AO419" s="9" t="s">
        <v>169</v>
      </c>
      <c r="AP419" s="9" t="s">
        <v>169</v>
      </c>
      <c r="AQ419" s="9" t="s">
        <v>169</v>
      </c>
      <c r="AR419" s="9" t="s">
        <v>169</v>
      </c>
      <c r="AS419" s="73" t="s">
        <v>169</v>
      </c>
      <c r="AT419" s="10" t="s">
        <v>169</v>
      </c>
      <c r="AU419" s="10" t="s">
        <v>169</v>
      </c>
      <c r="AV419" s="10">
        <v>0</v>
      </c>
      <c r="AW419" s="10"/>
      <c r="AX419" s="10" t="s">
        <v>169</v>
      </c>
      <c r="AY419" s="10"/>
      <c r="AZ419" s="10"/>
      <c r="BA419" s="10"/>
      <c r="BB419" s="8"/>
      <c r="BC419" s="8"/>
      <c r="BD419" s="8"/>
      <c r="BE419" s="8"/>
      <c r="BF419" s="12">
        <v>0.45</v>
      </c>
      <c r="BG419" s="13">
        <v>252.28227119429101</v>
      </c>
      <c r="BH419" s="96" t="str">
        <f>+VLOOKUP(G419,Liste!$A$7:$G$50,3,FALSE)</f>
        <v>Pin Laricio</v>
      </c>
      <c r="BI419" s="96" t="str">
        <f>+VLOOKUP(H419,Liste!$B$7:$G$50,5,FALSE)</f>
        <v>GS Pineraies des plaines du Centre et du Nord Ouest</v>
      </c>
      <c r="BJ419" s="135">
        <f t="shared" si="129"/>
        <v>50</v>
      </c>
      <c r="BK419" s="135" t="str">
        <f t="shared" si="131"/>
        <v>Pin Laricio_F2_Classique_GS Pineraies des plaines du Centre et du Nord Ouest_50_</v>
      </c>
      <c r="BL419" s="322"/>
      <c r="BM419" s="13">
        <v>65.096158431884305</v>
      </c>
      <c r="BN419" s="13">
        <v>317.37842962617498</v>
      </c>
      <c r="BO419" s="13" t="s">
        <v>169</v>
      </c>
      <c r="BP419" s="13">
        <v>261.61729964832301</v>
      </c>
      <c r="BQ419" s="13" t="s">
        <v>169</v>
      </c>
      <c r="BT419" s="298" t="str">
        <f>+VLOOKUP(G419,Liste!$A$7:$H$50,8,FALSE)</f>
        <v>Résineux</v>
      </c>
      <c r="BU419" s="298">
        <f t="shared" si="132"/>
        <v>0</v>
      </c>
      <c r="BV419" s="300">
        <f t="shared" si="133"/>
        <v>1</v>
      </c>
      <c r="BW419" s="321">
        <v>0</v>
      </c>
      <c r="BX419" s="298">
        <f t="shared" si="134"/>
        <v>0.43</v>
      </c>
      <c r="BY419">
        <f t="shared" si="135"/>
        <v>0</v>
      </c>
      <c r="BZ419" s="304">
        <f t="shared" si="136"/>
        <v>0</v>
      </c>
      <c r="CB419" s="299">
        <v>0.6</v>
      </c>
      <c r="CC419" s="299">
        <v>0.4</v>
      </c>
      <c r="CD419">
        <f t="shared" si="137"/>
        <v>0</v>
      </c>
      <c r="CE419">
        <f t="shared" si="138"/>
        <v>0</v>
      </c>
      <c r="CF419">
        <f t="shared" si="139"/>
        <v>0</v>
      </c>
      <c r="CG419">
        <f t="shared" si="140"/>
        <v>0</v>
      </c>
      <c r="CH419">
        <f t="shared" si="141"/>
        <v>0</v>
      </c>
      <c r="CI419">
        <f t="shared" si="142"/>
        <v>0</v>
      </c>
      <c r="CJ419">
        <f t="shared" si="143"/>
        <v>0</v>
      </c>
      <c r="CK419">
        <f t="shared" si="144"/>
        <v>0</v>
      </c>
      <c r="CL419">
        <f t="shared" si="145"/>
        <v>0</v>
      </c>
      <c r="CM419">
        <f t="shared" si="147"/>
        <v>0</v>
      </c>
      <c r="CN419">
        <f t="shared" si="146"/>
        <v>0</v>
      </c>
      <c r="CO419">
        <f t="shared" si="130"/>
        <v>0</v>
      </c>
    </row>
    <row r="420" spans="1:93" s="12" customFormat="1" ht="14.65" customHeight="1" x14ac:dyDescent="0.25">
      <c r="A420" s="4">
        <v>2021</v>
      </c>
      <c r="B420" s="4"/>
      <c r="C420" s="4" t="s">
        <v>179</v>
      </c>
      <c r="D420" s="4" t="s">
        <v>65</v>
      </c>
      <c r="E420" s="4"/>
      <c r="F420" s="4" t="s">
        <v>90</v>
      </c>
      <c r="G420" s="5" t="s">
        <v>180</v>
      </c>
      <c r="H420" s="5" t="s">
        <v>21</v>
      </c>
      <c r="I420" s="5" t="s">
        <v>18</v>
      </c>
      <c r="J420" s="5" t="s">
        <v>10</v>
      </c>
      <c r="K420" s="5">
        <v>23.3</v>
      </c>
      <c r="L420" s="5" t="s">
        <v>190</v>
      </c>
      <c r="M420" s="5">
        <v>1666</v>
      </c>
      <c r="N420" s="5" t="s">
        <v>171</v>
      </c>
      <c r="O420" s="6" t="s">
        <v>81</v>
      </c>
      <c r="P420" s="6" t="s">
        <v>181</v>
      </c>
      <c r="Q420" s="6"/>
      <c r="R420" s="6"/>
      <c r="S420" s="6">
        <v>22</v>
      </c>
      <c r="T420" s="6">
        <v>11.13</v>
      </c>
      <c r="U420" s="6">
        <v>1444</v>
      </c>
      <c r="V420" s="6">
        <v>25.27</v>
      </c>
      <c r="W420" s="6">
        <v>1</v>
      </c>
      <c r="X420" s="6">
        <v>272</v>
      </c>
      <c r="Y420" s="6">
        <v>985</v>
      </c>
      <c r="Z420" s="6">
        <v>187</v>
      </c>
      <c r="AA420" s="6">
        <v>0</v>
      </c>
      <c r="AB420" s="6">
        <v>0</v>
      </c>
      <c r="AC420" s="7">
        <v>51</v>
      </c>
      <c r="AD420" s="7" t="s">
        <v>52</v>
      </c>
      <c r="AE420" s="7">
        <v>23.57</v>
      </c>
      <c r="AF420" s="76">
        <v>275.8</v>
      </c>
      <c r="AG420" s="7">
        <v>28.92</v>
      </c>
      <c r="AH420" s="7">
        <v>36.54</v>
      </c>
      <c r="AI420" s="7">
        <v>38.53</v>
      </c>
      <c r="AJ420" s="9">
        <v>267.14067726664501</v>
      </c>
      <c r="AK420" s="9">
        <v>272.623931912724</v>
      </c>
      <c r="AL420" s="9">
        <v>335.91529013571898</v>
      </c>
      <c r="AM420" s="9" t="s">
        <v>169</v>
      </c>
      <c r="AN420" s="9" t="s">
        <v>169</v>
      </c>
      <c r="AO420" s="9" t="s">
        <v>169</v>
      </c>
      <c r="AP420" s="9" t="s">
        <v>169</v>
      </c>
      <c r="AQ420" s="9" t="s">
        <v>169</v>
      </c>
      <c r="AR420" s="9" t="s">
        <v>169</v>
      </c>
      <c r="AS420" s="73" t="s">
        <v>169</v>
      </c>
      <c r="AT420" s="10" t="s">
        <v>169</v>
      </c>
      <c r="AU420" s="10" t="s">
        <v>169</v>
      </c>
      <c r="AV420" s="10">
        <v>0</v>
      </c>
      <c r="AW420" s="10"/>
      <c r="AX420" s="10" t="s">
        <v>169</v>
      </c>
      <c r="AY420" s="10"/>
      <c r="AZ420" s="10"/>
      <c r="BA420" s="10"/>
      <c r="BB420" s="8"/>
      <c r="BC420" s="8"/>
      <c r="BD420" s="8"/>
      <c r="BE420" s="8"/>
      <c r="BF420" s="12">
        <v>0.45</v>
      </c>
      <c r="BG420" s="13">
        <v>263.46862613175398</v>
      </c>
      <c r="BH420" s="96" t="str">
        <f>+VLOOKUP(G420,Liste!$A$7:$G$50,3,FALSE)</f>
        <v>Pin Laricio</v>
      </c>
      <c r="BI420" s="96" t="str">
        <f>+VLOOKUP(H420,Liste!$B$7:$G$50,5,FALSE)</f>
        <v>GS Pineraies des plaines du Centre et du Nord Ouest</v>
      </c>
      <c r="BJ420" s="135">
        <f t="shared" si="129"/>
        <v>51</v>
      </c>
      <c r="BK420" s="135" t="str">
        <f t="shared" si="131"/>
        <v>Pin Laricio_F2_Classique_GS Pineraies des plaines du Centre et du Nord Ouest_51_</v>
      </c>
      <c r="BL420" s="322"/>
      <c r="BM420" s="13">
        <v>67.602547569352595</v>
      </c>
      <c r="BN420" s="13">
        <v>331.07117370110598</v>
      </c>
      <c r="BO420" s="13" t="s">
        <v>169</v>
      </c>
      <c r="BP420" s="13">
        <v>261.61729964832301</v>
      </c>
      <c r="BQ420" s="13" t="s">
        <v>169</v>
      </c>
      <c r="BT420" s="298" t="str">
        <f>+VLOOKUP(G420,Liste!$A$7:$H$50,8,FALSE)</f>
        <v>Résineux</v>
      </c>
      <c r="BU420" s="298">
        <f t="shared" si="132"/>
        <v>0</v>
      </c>
      <c r="BV420" s="300">
        <f t="shared" si="133"/>
        <v>1</v>
      </c>
      <c r="BW420" s="321">
        <v>0</v>
      </c>
      <c r="BX420" s="298">
        <f t="shared" si="134"/>
        <v>0.43</v>
      </c>
      <c r="BY420">
        <f t="shared" si="135"/>
        <v>0</v>
      </c>
      <c r="BZ420" s="304">
        <f t="shared" si="136"/>
        <v>0</v>
      </c>
      <c r="CB420" s="299">
        <v>0.6</v>
      </c>
      <c r="CC420" s="299">
        <v>0.4</v>
      </c>
      <c r="CD420">
        <f t="shared" si="137"/>
        <v>0</v>
      </c>
      <c r="CE420">
        <f t="shared" si="138"/>
        <v>0</v>
      </c>
      <c r="CF420">
        <f t="shared" si="139"/>
        <v>0</v>
      </c>
      <c r="CG420">
        <f t="shared" si="140"/>
        <v>0</v>
      </c>
      <c r="CH420">
        <f t="shared" si="141"/>
        <v>0</v>
      </c>
      <c r="CI420">
        <f t="shared" si="142"/>
        <v>0</v>
      </c>
      <c r="CJ420">
        <f t="shared" si="143"/>
        <v>0</v>
      </c>
      <c r="CK420">
        <f t="shared" si="144"/>
        <v>0</v>
      </c>
      <c r="CL420">
        <f t="shared" si="145"/>
        <v>0</v>
      </c>
      <c r="CM420">
        <f t="shared" si="147"/>
        <v>0</v>
      </c>
      <c r="CN420">
        <f t="shared" si="146"/>
        <v>0</v>
      </c>
      <c r="CO420">
        <f t="shared" si="130"/>
        <v>0</v>
      </c>
    </row>
    <row r="421" spans="1:93" s="12" customFormat="1" ht="14.65" customHeight="1" x14ac:dyDescent="0.25">
      <c r="A421" s="4">
        <v>2021</v>
      </c>
      <c r="B421" s="4"/>
      <c r="C421" s="4" t="s">
        <v>179</v>
      </c>
      <c r="D421" s="4" t="s">
        <v>65</v>
      </c>
      <c r="E421" s="4"/>
      <c r="F421" s="4" t="s">
        <v>90</v>
      </c>
      <c r="G421" s="5" t="s">
        <v>180</v>
      </c>
      <c r="H421" s="5" t="s">
        <v>21</v>
      </c>
      <c r="I421" s="5" t="s">
        <v>18</v>
      </c>
      <c r="J421" s="5" t="s">
        <v>10</v>
      </c>
      <c r="K421" s="5">
        <v>23.3</v>
      </c>
      <c r="L421" s="5" t="s">
        <v>190</v>
      </c>
      <c r="M421" s="5">
        <v>1666</v>
      </c>
      <c r="N421" s="5" t="s">
        <v>171</v>
      </c>
      <c r="O421" s="6" t="s">
        <v>81</v>
      </c>
      <c r="P421" s="6" t="s">
        <v>181</v>
      </c>
      <c r="Q421" s="6"/>
      <c r="R421" s="6"/>
      <c r="S421" s="6">
        <v>22</v>
      </c>
      <c r="T421" s="6">
        <v>11.13</v>
      </c>
      <c r="U421" s="6">
        <v>1444</v>
      </c>
      <c r="V421" s="6">
        <v>25.27</v>
      </c>
      <c r="W421" s="6">
        <v>1</v>
      </c>
      <c r="X421" s="6">
        <v>272</v>
      </c>
      <c r="Y421" s="6">
        <v>985</v>
      </c>
      <c r="Z421" s="6">
        <v>187</v>
      </c>
      <c r="AA421" s="6">
        <v>0</v>
      </c>
      <c r="AB421" s="6">
        <v>0</v>
      </c>
      <c r="AC421" s="7">
        <v>52</v>
      </c>
      <c r="AD421" s="7" t="s">
        <v>52</v>
      </c>
      <c r="AE421" s="7">
        <v>23.83</v>
      </c>
      <c r="AF421" s="76">
        <v>275.8</v>
      </c>
      <c r="AG421" s="7">
        <v>29.92</v>
      </c>
      <c r="AH421" s="7">
        <v>37.17</v>
      </c>
      <c r="AI421" s="7">
        <v>39.19</v>
      </c>
      <c r="AJ421" s="9">
        <v>278.559831083603</v>
      </c>
      <c r="AK421" s="9">
        <v>284.36111936503301</v>
      </c>
      <c r="AL421" s="9">
        <v>350.17758663587199</v>
      </c>
      <c r="AM421" s="9" t="s">
        <v>169</v>
      </c>
      <c r="AN421" s="9" t="s">
        <v>169</v>
      </c>
      <c r="AO421" s="9" t="s">
        <v>169</v>
      </c>
      <c r="AP421" s="9" t="s">
        <v>169</v>
      </c>
      <c r="AQ421" s="9" t="s">
        <v>169</v>
      </c>
      <c r="AR421" s="9" t="s">
        <v>169</v>
      </c>
      <c r="AS421" s="73" t="s">
        <v>169</v>
      </c>
      <c r="AT421" s="10" t="s">
        <v>169</v>
      </c>
      <c r="AU421" s="10" t="s">
        <v>169</v>
      </c>
      <c r="AV421" s="10">
        <v>0</v>
      </c>
      <c r="AW421" s="10"/>
      <c r="AX421" s="10" t="s">
        <v>169</v>
      </c>
      <c r="AY421" s="10"/>
      <c r="AZ421" s="10"/>
      <c r="BA421" s="10"/>
      <c r="BB421" s="8"/>
      <c r="BC421" s="8"/>
      <c r="BD421" s="8"/>
      <c r="BE421" s="8"/>
      <c r="BF421" s="12">
        <v>0.45</v>
      </c>
      <c r="BG421" s="13">
        <v>274.654981069217</v>
      </c>
      <c r="BH421" s="96" t="str">
        <f>+VLOOKUP(G421,Liste!$A$7:$G$50,3,FALSE)</f>
        <v>Pin Laricio</v>
      </c>
      <c r="BI421" s="96" t="str">
        <f>+VLOOKUP(H421,Liste!$B$7:$G$50,5,FALSE)</f>
        <v>GS Pineraies des plaines du Centre et du Nord Ouest</v>
      </c>
      <c r="BJ421" s="135">
        <f t="shared" si="129"/>
        <v>52</v>
      </c>
      <c r="BK421" s="135" t="str">
        <f t="shared" si="131"/>
        <v>Pin Laricio_F2_Classique_GS Pineraies des plaines du Centre et du Nord Ouest_52_</v>
      </c>
      <c r="BL421" s="322"/>
      <c r="BM421" s="13">
        <v>70.108936706820899</v>
      </c>
      <c r="BN421" s="13">
        <v>344.763917776038</v>
      </c>
      <c r="BO421" s="13" t="s">
        <v>169</v>
      </c>
      <c r="BP421" s="13">
        <v>261.61729964832301</v>
      </c>
      <c r="BQ421" s="13" t="s">
        <v>169</v>
      </c>
      <c r="BT421" s="298" t="str">
        <f>+VLOOKUP(G421,Liste!$A$7:$H$50,8,FALSE)</f>
        <v>Résineux</v>
      </c>
      <c r="BU421" s="298">
        <f t="shared" si="132"/>
        <v>0</v>
      </c>
      <c r="BV421" s="300">
        <f t="shared" si="133"/>
        <v>1</v>
      </c>
      <c r="BW421" s="321">
        <v>0</v>
      </c>
      <c r="BX421" s="298">
        <f t="shared" si="134"/>
        <v>0.43</v>
      </c>
      <c r="BY421">
        <f t="shared" si="135"/>
        <v>0</v>
      </c>
      <c r="BZ421" s="304">
        <f t="shared" si="136"/>
        <v>0</v>
      </c>
      <c r="CB421" s="299">
        <v>0.6</v>
      </c>
      <c r="CC421" s="299">
        <v>0.4</v>
      </c>
      <c r="CD421">
        <f t="shared" si="137"/>
        <v>0</v>
      </c>
      <c r="CE421">
        <f t="shared" si="138"/>
        <v>0</v>
      </c>
      <c r="CF421">
        <f t="shared" si="139"/>
        <v>0</v>
      </c>
      <c r="CG421">
        <f t="shared" si="140"/>
        <v>0</v>
      </c>
      <c r="CH421">
        <f t="shared" si="141"/>
        <v>0</v>
      </c>
      <c r="CI421">
        <f t="shared" si="142"/>
        <v>0</v>
      </c>
      <c r="CJ421">
        <f t="shared" si="143"/>
        <v>0</v>
      </c>
      <c r="CK421">
        <f t="shared" si="144"/>
        <v>0</v>
      </c>
      <c r="CL421">
        <f t="shared" si="145"/>
        <v>0</v>
      </c>
      <c r="CM421">
        <f t="shared" si="147"/>
        <v>0</v>
      </c>
      <c r="CN421">
        <f t="shared" si="146"/>
        <v>0</v>
      </c>
      <c r="CO421">
        <f t="shared" si="130"/>
        <v>0</v>
      </c>
    </row>
    <row r="422" spans="1:93" s="12" customFormat="1" ht="14.65" customHeight="1" x14ac:dyDescent="0.25">
      <c r="A422" s="4">
        <v>2021</v>
      </c>
      <c r="B422" s="4"/>
      <c r="C422" s="4" t="s">
        <v>179</v>
      </c>
      <c r="D422" s="4" t="s">
        <v>65</v>
      </c>
      <c r="E422" s="4"/>
      <c r="F422" s="4" t="s">
        <v>90</v>
      </c>
      <c r="G422" s="5" t="s">
        <v>180</v>
      </c>
      <c r="H422" s="5" t="s">
        <v>21</v>
      </c>
      <c r="I422" s="5" t="s">
        <v>18</v>
      </c>
      <c r="J422" s="5" t="s">
        <v>10</v>
      </c>
      <c r="K422" s="5">
        <v>23.3</v>
      </c>
      <c r="L422" s="5" t="s">
        <v>190</v>
      </c>
      <c r="M422" s="5">
        <v>1666</v>
      </c>
      <c r="N422" s="5" t="s">
        <v>171</v>
      </c>
      <c r="O422" s="6" t="s">
        <v>81</v>
      </c>
      <c r="P422" s="6" t="s">
        <v>181</v>
      </c>
      <c r="Q422" s="6"/>
      <c r="R422" s="6"/>
      <c r="S422" s="6">
        <v>22</v>
      </c>
      <c r="T422" s="6">
        <v>11.13</v>
      </c>
      <c r="U422" s="6">
        <v>1444</v>
      </c>
      <c r="V422" s="6">
        <v>25.27</v>
      </c>
      <c r="W422" s="6">
        <v>1</v>
      </c>
      <c r="X422" s="6">
        <v>272</v>
      </c>
      <c r="Y422" s="6">
        <v>985</v>
      </c>
      <c r="Z422" s="6">
        <v>187</v>
      </c>
      <c r="AA422" s="6">
        <v>0</v>
      </c>
      <c r="AB422" s="6">
        <v>0</v>
      </c>
      <c r="AC422" s="7">
        <v>53</v>
      </c>
      <c r="AD422" s="7" t="s">
        <v>52</v>
      </c>
      <c r="AE422" s="7">
        <v>24.09</v>
      </c>
      <c r="AF422" s="76">
        <v>275.60000000000002</v>
      </c>
      <c r="AG422" s="7">
        <v>30.9</v>
      </c>
      <c r="AH422" s="7">
        <v>37.78</v>
      </c>
      <c r="AI422" s="7">
        <v>39.83</v>
      </c>
      <c r="AJ422" s="9">
        <v>289.97898490056002</v>
      </c>
      <c r="AK422" s="9">
        <v>296.09830681734201</v>
      </c>
      <c r="AL422" s="9">
        <v>364.43988313602398</v>
      </c>
      <c r="AM422" s="9" t="s">
        <v>169</v>
      </c>
      <c r="AN422" s="9" t="s">
        <v>169</v>
      </c>
      <c r="AO422" s="9" t="s">
        <v>169</v>
      </c>
      <c r="AP422" s="9" t="s">
        <v>169</v>
      </c>
      <c r="AQ422" s="9" t="s">
        <v>169</v>
      </c>
      <c r="AR422" s="9" t="s">
        <v>169</v>
      </c>
      <c r="AS422" s="73" t="s">
        <v>169</v>
      </c>
      <c r="AT422" s="10" t="s">
        <v>169</v>
      </c>
      <c r="AU422" s="10" t="s">
        <v>169</v>
      </c>
      <c r="AV422" s="10">
        <v>0</v>
      </c>
      <c r="AW422" s="10"/>
      <c r="AX422" s="10" t="s">
        <v>169</v>
      </c>
      <c r="AY422" s="10"/>
      <c r="AZ422" s="10"/>
      <c r="BA422" s="10"/>
      <c r="BB422" s="8"/>
      <c r="BC422" s="8"/>
      <c r="BD422" s="8"/>
      <c r="BE422" s="8"/>
      <c r="BF422" s="12">
        <v>0.45</v>
      </c>
      <c r="BG422" s="13">
        <v>285.84133600668002</v>
      </c>
      <c r="BH422" s="96" t="str">
        <f>+VLOOKUP(G422,Liste!$A$7:$G$50,3,FALSE)</f>
        <v>Pin Laricio</v>
      </c>
      <c r="BI422" s="96" t="str">
        <f>+VLOOKUP(H422,Liste!$B$7:$G$50,5,FALSE)</f>
        <v>GS Pineraies des plaines du Centre et du Nord Ouest</v>
      </c>
      <c r="BJ422" s="135">
        <f t="shared" si="129"/>
        <v>53</v>
      </c>
      <c r="BK422" s="135" t="str">
        <f t="shared" si="131"/>
        <v>Pin Laricio_F2_Classique_GS Pineraies des plaines du Centre et du Nord Ouest_53_</v>
      </c>
      <c r="BL422" s="322"/>
      <c r="BM422" s="13">
        <v>72.615325844289202</v>
      </c>
      <c r="BN422" s="13">
        <v>358.456661850969</v>
      </c>
      <c r="BO422" s="13" t="s">
        <v>169</v>
      </c>
      <c r="BP422" s="13">
        <v>261.61729964832301</v>
      </c>
      <c r="BQ422" s="13" t="s">
        <v>169</v>
      </c>
      <c r="BT422" s="298" t="str">
        <f>+VLOOKUP(G422,Liste!$A$7:$H$50,8,FALSE)</f>
        <v>Résineux</v>
      </c>
      <c r="BU422" s="298">
        <f t="shared" si="132"/>
        <v>0</v>
      </c>
      <c r="BV422" s="300">
        <f t="shared" si="133"/>
        <v>1</v>
      </c>
      <c r="BW422" s="321">
        <v>0</v>
      </c>
      <c r="BX422" s="298">
        <f t="shared" si="134"/>
        <v>0.43</v>
      </c>
      <c r="BY422">
        <f t="shared" si="135"/>
        <v>0</v>
      </c>
      <c r="BZ422" s="304">
        <f t="shared" si="136"/>
        <v>0</v>
      </c>
      <c r="CB422" s="299">
        <v>0.6</v>
      </c>
      <c r="CC422" s="299">
        <v>0.4</v>
      </c>
      <c r="CD422">
        <f t="shared" si="137"/>
        <v>0</v>
      </c>
      <c r="CE422">
        <f t="shared" si="138"/>
        <v>0</v>
      </c>
      <c r="CF422">
        <f t="shared" si="139"/>
        <v>0</v>
      </c>
      <c r="CG422">
        <f t="shared" si="140"/>
        <v>0</v>
      </c>
      <c r="CH422">
        <f t="shared" si="141"/>
        <v>0</v>
      </c>
      <c r="CI422">
        <f t="shared" si="142"/>
        <v>0</v>
      </c>
      <c r="CJ422">
        <f t="shared" si="143"/>
        <v>0</v>
      </c>
      <c r="CK422">
        <f t="shared" si="144"/>
        <v>0</v>
      </c>
      <c r="CL422">
        <f t="shared" si="145"/>
        <v>0</v>
      </c>
      <c r="CM422">
        <f t="shared" si="147"/>
        <v>0</v>
      </c>
      <c r="CN422">
        <f t="shared" si="146"/>
        <v>0</v>
      </c>
      <c r="CO422">
        <f t="shared" si="130"/>
        <v>0</v>
      </c>
    </row>
    <row r="423" spans="1:93" s="12" customFormat="1" ht="14.65" customHeight="1" x14ac:dyDescent="0.25">
      <c r="A423" s="4">
        <v>2021</v>
      </c>
      <c r="B423" s="4"/>
      <c r="C423" s="4" t="s">
        <v>179</v>
      </c>
      <c r="D423" s="4" t="s">
        <v>65</v>
      </c>
      <c r="E423" s="4"/>
      <c r="F423" s="4" t="s">
        <v>90</v>
      </c>
      <c r="G423" s="5" t="s">
        <v>180</v>
      </c>
      <c r="H423" s="5" t="s">
        <v>21</v>
      </c>
      <c r="I423" s="5" t="s">
        <v>18</v>
      </c>
      <c r="J423" s="5" t="s">
        <v>10</v>
      </c>
      <c r="K423" s="5">
        <v>23.3</v>
      </c>
      <c r="L423" s="5" t="s">
        <v>190</v>
      </c>
      <c r="M423" s="5">
        <v>1666</v>
      </c>
      <c r="N423" s="5" t="s">
        <v>171</v>
      </c>
      <c r="O423" s="6" t="s">
        <v>81</v>
      </c>
      <c r="P423" s="6" t="s">
        <v>181</v>
      </c>
      <c r="Q423" s="6"/>
      <c r="R423" s="6"/>
      <c r="S423" s="6">
        <v>22</v>
      </c>
      <c r="T423" s="6">
        <v>11.13</v>
      </c>
      <c r="U423" s="6">
        <v>1444</v>
      </c>
      <c r="V423" s="6">
        <v>25.27</v>
      </c>
      <c r="W423" s="6">
        <v>1</v>
      </c>
      <c r="X423" s="6">
        <v>272</v>
      </c>
      <c r="Y423" s="6">
        <v>985</v>
      </c>
      <c r="Z423" s="6">
        <v>187</v>
      </c>
      <c r="AA423" s="6">
        <v>0</v>
      </c>
      <c r="AB423" s="6">
        <v>0</v>
      </c>
      <c r="AC423" s="7">
        <v>54</v>
      </c>
      <c r="AD423" s="7" t="s">
        <v>52</v>
      </c>
      <c r="AE423" s="7">
        <v>24.33</v>
      </c>
      <c r="AF423" s="76">
        <v>275.60000000000002</v>
      </c>
      <c r="AG423" s="7">
        <v>31.88</v>
      </c>
      <c r="AH423" s="7">
        <v>38.380000000000003</v>
      </c>
      <c r="AI423" s="7">
        <v>40.46</v>
      </c>
      <c r="AJ423" s="9">
        <v>301.39813871751801</v>
      </c>
      <c r="AK423" s="9">
        <v>307.83549426965101</v>
      </c>
      <c r="AL423" s="9">
        <v>378.70217963617699</v>
      </c>
      <c r="AM423" s="9" t="s">
        <v>169</v>
      </c>
      <c r="AN423" s="9" t="s">
        <v>169</v>
      </c>
      <c r="AO423" s="9" t="s">
        <v>169</v>
      </c>
      <c r="AP423" s="9" t="s">
        <v>169</v>
      </c>
      <c r="AQ423" s="9" t="s">
        <v>169</v>
      </c>
      <c r="AR423" s="9" t="s">
        <v>169</v>
      </c>
      <c r="AS423" s="73" t="s">
        <v>169</v>
      </c>
      <c r="AT423" s="10" t="s">
        <v>169</v>
      </c>
      <c r="AU423" s="10" t="s">
        <v>169</v>
      </c>
      <c r="AV423" s="10">
        <v>0</v>
      </c>
      <c r="AW423" s="10"/>
      <c r="AX423" s="10" t="s">
        <v>169</v>
      </c>
      <c r="AY423" s="10"/>
      <c r="AZ423" s="10"/>
      <c r="BA423" s="10"/>
      <c r="BB423" s="8"/>
      <c r="BC423" s="8"/>
      <c r="BD423" s="8"/>
      <c r="BE423" s="8"/>
      <c r="BF423" s="12">
        <v>0.45</v>
      </c>
      <c r="BG423" s="13">
        <v>297.02769094414299</v>
      </c>
      <c r="BH423" s="96" t="str">
        <f>+VLOOKUP(G423,Liste!$A$7:$G$50,3,FALSE)</f>
        <v>Pin Laricio</v>
      </c>
      <c r="BI423" s="96" t="str">
        <f>+VLOOKUP(H423,Liste!$B$7:$G$50,5,FALSE)</f>
        <v>GS Pineraies des plaines du Centre et du Nord Ouest</v>
      </c>
      <c r="BJ423" s="135">
        <f t="shared" si="129"/>
        <v>54</v>
      </c>
      <c r="BK423" s="135" t="str">
        <f t="shared" si="131"/>
        <v>Pin Laricio_F2_Classique_GS Pineraies des plaines du Centre et du Nord Ouest_54_</v>
      </c>
      <c r="BL423" s="322"/>
      <c r="BM423" s="13">
        <v>75.121714981757407</v>
      </c>
      <c r="BN423" s="13">
        <v>372.1494059259</v>
      </c>
      <c r="BO423" s="13" t="s">
        <v>169</v>
      </c>
      <c r="BP423" s="13">
        <v>261.61729964832301</v>
      </c>
      <c r="BQ423" s="13" t="s">
        <v>169</v>
      </c>
      <c r="BT423" s="298" t="str">
        <f>+VLOOKUP(G423,Liste!$A$7:$H$50,8,FALSE)</f>
        <v>Résineux</v>
      </c>
      <c r="BU423" s="298">
        <f t="shared" si="132"/>
        <v>0</v>
      </c>
      <c r="BV423" s="300">
        <f t="shared" si="133"/>
        <v>1</v>
      </c>
      <c r="BW423" s="321">
        <v>0</v>
      </c>
      <c r="BX423" s="298">
        <f t="shared" si="134"/>
        <v>0.43</v>
      </c>
      <c r="BY423">
        <f t="shared" si="135"/>
        <v>0</v>
      </c>
      <c r="BZ423" s="304">
        <f t="shared" si="136"/>
        <v>0</v>
      </c>
      <c r="CB423" s="299">
        <v>0.6</v>
      </c>
      <c r="CC423" s="299">
        <v>0.4</v>
      </c>
      <c r="CD423">
        <f t="shared" si="137"/>
        <v>0</v>
      </c>
      <c r="CE423">
        <f t="shared" si="138"/>
        <v>0</v>
      </c>
      <c r="CF423">
        <f t="shared" si="139"/>
        <v>0</v>
      </c>
      <c r="CG423">
        <f t="shared" si="140"/>
        <v>0</v>
      </c>
      <c r="CH423">
        <f t="shared" si="141"/>
        <v>0</v>
      </c>
      <c r="CI423">
        <f t="shared" si="142"/>
        <v>0</v>
      </c>
      <c r="CJ423">
        <f t="shared" si="143"/>
        <v>0</v>
      </c>
      <c r="CK423">
        <f t="shared" si="144"/>
        <v>0</v>
      </c>
      <c r="CL423">
        <f t="shared" si="145"/>
        <v>0</v>
      </c>
      <c r="CM423">
        <f t="shared" si="147"/>
        <v>0</v>
      </c>
      <c r="CN423">
        <f t="shared" si="146"/>
        <v>0</v>
      </c>
      <c r="CO423">
        <f t="shared" si="130"/>
        <v>0</v>
      </c>
    </row>
    <row r="424" spans="1:93" s="12" customFormat="1" ht="14.65" customHeight="1" x14ac:dyDescent="0.25">
      <c r="A424" s="4">
        <v>2021</v>
      </c>
      <c r="B424" s="4"/>
      <c r="C424" s="4" t="s">
        <v>179</v>
      </c>
      <c r="D424" s="4" t="s">
        <v>65</v>
      </c>
      <c r="E424" s="4"/>
      <c r="F424" s="4" t="s">
        <v>90</v>
      </c>
      <c r="G424" s="5" t="s">
        <v>180</v>
      </c>
      <c r="H424" s="5" t="s">
        <v>21</v>
      </c>
      <c r="I424" s="5" t="s">
        <v>18</v>
      </c>
      <c r="J424" s="5" t="s">
        <v>10</v>
      </c>
      <c r="K424" s="5">
        <v>23.3</v>
      </c>
      <c r="L424" s="5" t="s">
        <v>190</v>
      </c>
      <c r="M424" s="5">
        <v>1666</v>
      </c>
      <c r="N424" s="5" t="s">
        <v>171</v>
      </c>
      <c r="O424" s="6" t="s">
        <v>81</v>
      </c>
      <c r="P424" s="6" t="s">
        <v>181</v>
      </c>
      <c r="Q424" s="6"/>
      <c r="R424" s="6"/>
      <c r="S424" s="6">
        <v>22</v>
      </c>
      <c r="T424" s="6">
        <v>11.13</v>
      </c>
      <c r="U424" s="6">
        <v>1444</v>
      </c>
      <c r="V424" s="6">
        <v>25.27</v>
      </c>
      <c r="W424" s="6">
        <v>1</v>
      </c>
      <c r="X424" s="6">
        <v>272</v>
      </c>
      <c r="Y424" s="6">
        <v>985</v>
      </c>
      <c r="Z424" s="6">
        <v>187</v>
      </c>
      <c r="AA424" s="6">
        <v>0</v>
      </c>
      <c r="AB424" s="6">
        <v>0</v>
      </c>
      <c r="AC424" s="7">
        <v>55</v>
      </c>
      <c r="AD424" s="7" t="s">
        <v>52</v>
      </c>
      <c r="AE424" s="7">
        <v>24.57</v>
      </c>
      <c r="AF424" s="76">
        <v>275.60000000000002</v>
      </c>
      <c r="AG424" s="7">
        <v>32.85</v>
      </c>
      <c r="AH424" s="7">
        <v>38.96</v>
      </c>
      <c r="AI424" s="7">
        <v>41.07</v>
      </c>
      <c r="AJ424" s="9">
        <v>312.81729253447497</v>
      </c>
      <c r="AK424" s="9">
        <v>319.57268172196001</v>
      </c>
      <c r="AL424" s="9">
        <v>392.96447613633001</v>
      </c>
      <c r="AM424" s="9" t="s">
        <v>169</v>
      </c>
      <c r="AN424" s="9" t="s">
        <v>169</v>
      </c>
      <c r="AO424" s="9" t="s">
        <v>169</v>
      </c>
      <c r="AP424" s="9" t="s">
        <v>169</v>
      </c>
      <c r="AQ424" s="9" t="s">
        <v>169</v>
      </c>
      <c r="AR424" s="9" t="s">
        <v>169</v>
      </c>
      <c r="AS424" s="73" t="s">
        <v>169</v>
      </c>
      <c r="AT424" s="10" t="s">
        <v>169</v>
      </c>
      <c r="AU424" s="10" t="s">
        <v>169</v>
      </c>
      <c r="AV424" s="10">
        <v>0</v>
      </c>
      <c r="AW424" s="10"/>
      <c r="AX424" s="10" t="s">
        <v>169</v>
      </c>
      <c r="AY424" s="10"/>
      <c r="AZ424" s="10"/>
      <c r="BA424" s="10"/>
      <c r="BB424" s="8"/>
      <c r="BC424" s="8"/>
      <c r="BD424" s="8"/>
      <c r="BE424" s="8"/>
      <c r="BF424" s="12">
        <v>0.45</v>
      </c>
      <c r="BG424" s="13">
        <v>308.21404588160601</v>
      </c>
      <c r="BH424" s="96" t="str">
        <f>+VLOOKUP(G424,Liste!$A$7:$G$50,3,FALSE)</f>
        <v>Pin Laricio</v>
      </c>
      <c r="BI424" s="96" t="str">
        <f>+VLOOKUP(H424,Liste!$B$7:$G$50,5,FALSE)</f>
        <v>GS Pineraies des plaines du Centre et du Nord Ouest</v>
      </c>
      <c r="BJ424" s="135">
        <f t="shared" si="129"/>
        <v>55</v>
      </c>
      <c r="BK424" s="135" t="str">
        <f t="shared" si="131"/>
        <v>Pin Laricio_F2_Classique_GS Pineraies des plaines du Centre et du Nord Ouest_55_</v>
      </c>
      <c r="BL424" s="322"/>
      <c r="BM424" s="13">
        <v>77.628104119225696</v>
      </c>
      <c r="BN424" s="13">
        <v>385.842150000831</v>
      </c>
      <c r="BO424" s="13" t="s">
        <v>169</v>
      </c>
      <c r="BP424" s="13">
        <v>261.61729964832301</v>
      </c>
      <c r="BQ424" s="13" t="s">
        <v>169</v>
      </c>
      <c r="BT424" s="298" t="str">
        <f>+VLOOKUP(G424,Liste!$A$7:$H$50,8,FALSE)</f>
        <v>Résineux</v>
      </c>
      <c r="BU424" s="298">
        <f t="shared" si="132"/>
        <v>0</v>
      </c>
      <c r="BV424" s="300">
        <f t="shared" si="133"/>
        <v>1</v>
      </c>
      <c r="BW424" s="321">
        <v>0</v>
      </c>
      <c r="BX424" s="298">
        <f t="shared" si="134"/>
        <v>0.43</v>
      </c>
      <c r="BY424">
        <f t="shared" si="135"/>
        <v>0</v>
      </c>
      <c r="BZ424" s="304">
        <f t="shared" si="136"/>
        <v>0</v>
      </c>
      <c r="CB424" s="299">
        <v>0.6</v>
      </c>
      <c r="CC424" s="299">
        <v>0.4</v>
      </c>
      <c r="CD424">
        <f t="shared" si="137"/>
        <v>0</v>
      </c>
      <c r="CE424">
        <f t="shared" si="138"/>
        <v>0</v>
      </c>
      <c r="CF424">
        <f t="shared" si="139"/>
        <v>0</v>
      </c>
      <c r="CG424">
        <f t="shared" si="140"/>
        <v>0</v>
      </c>
      <c r="CH424">
        <f t="shared" si="141"/>
        <v>0</v>
      </c>
      <c r="CI424">
        <f t="shared" si="142"/>
        <v>0</v>
      </c>
      <c r="CJ424">
        <f t="shared" si="143"/>
        <v>0</v>
      </c>
      <c r="CK424">
        <f t="shared" si="144"/>
        <v>0</v>
      </c>
      <c r="CL424">
        <f t="shared" si="145"/>
        <v>0</v>
      </c>
      <c r="CM424">
        <f t="shared" si="147"/>
        <v>0</v>
      </c>
      <c r="CN424">
        <f t="shared" si="146"/>
        <v>0</v>
      </c>
      <c r="CO424">
        <f t="shared" si="130"/>
        <v>0</v>
      </c>
    </row>
    <row r="425" spans="1:93" s="12" customFormat="1" ht="14.65" customHeight="1" x14ac:dyDescent="0.25">
      <c r="A425" s="4">
        <v>2021</v>
      </c>
      <c r="B425" s="4"/>
      <c r="C425" s="4" t="s">
        <v>179</v>
      </c>
      <c r="D425" s="4" t="s">
        <v>65</v>
      </c>
      <c r="E425" s="4"/>
      <c r="F425" s="4" t="s">
        <v>90</v>
      </c>
      <c r="G425" s="5" t="s">
        <v>180</v>
      </c>
      <c r="H425" s="5" t="s">
        <v>21</v>
      </c>
      <c r="I425" s="5" t="s">
        <v>18</v>
      </c>
      <c r="J425" s="5" t="s">
        <v>10</v>
      </c>
      <c r="K425" s="5">
        <v>23.3</v>
      </c>
      <c r="L425" s="5" t="s">
        <v>190</v>
      </c>
      <c r="M425" s="5">
        <v>1666</v>
      </c>
      <c r="N425" s="5" t="s">
        <v>171</v>
      </c>
      <c r="O425" s="6" t="s">
        <v>81</v>
      </c>
      <c r="P425" s="6" t="s">
        <v>181</v>
      </c>
      <c r="Q425" s="6"/>
      <c r="R425" s="6"/>
      <c r="S425" s="6">
        <v>22</v>
      </c>
      <c r="T425" s="6">
        <v>11.13</v>
      </c>
      <c r="U425" s="6">
        <v>1444</v>
      </c>
      <c r="V425" s="6">
        <v>25.27</v>
      </c>
      <c r="W425" s="6">
        <v>1</v>
      </c>
      <c r="X425" s="6">
        <v>272</v>
      </c>
      <c r="Y425" s="6">
        <v>985</v>
      </c>
      <c r="Z425" s="6">
        <v>187</v>
      </c>
      <c r="AA425" s="6">
        <v>0</v>
      </c>
      <c r="AB425" s="6">
        <v>0</v>
      </c>
      <c r="AC425" s="7">
        <v>56</v>
      </c>
      <c r="AD425" s="7" t="s">
        <v>52</v>
      </c>
      <c r="AE425" s="7">
        <v>24.8</v>
      </c>
      <c r="AF425" s="76">
        <v>275.39999999999998</v>
      </c>
      <c r="AG425" s="7">
        <v>33.79</v>
      </c>
      <c r="AH425" s="7">
        <v>39.53</v>
      </c>
      <c r="AI425" s="7">
        <v>41.67</v>
      </c>
      <c r="AJ425" s="9">
        <v>324.23644635143302</v>
      </c>
      <c r="AK425" s="9">
        <v>331.30986917426901</v>
      </c>
      <c r="AL425" s="9">
        <v>407.22677263648302</v>
      </c>
      <c r="AM425" s="9" t="s">
        <v>169</v>
      </c>
      <c r="AN425" s="9" t="s">
        <v>169</v>
      </c>
      <c r="AO425" s="9" t="s">
        <v>169</v>
      </c>
      <c r="AP425" s="9" t="s">
        <v>169</v>
      </c>
      <c r="AQ425" s="9" t="s">
        <v>169</v>
      </c>
      <c r="AR425" s="9" t="s">
        <v>169</v>
      </c>
      <c r="AS425" s="73" t="s">
        <v>169</v>
      </c>
      <c r="AT425" s="10" t="s">
        <v>169</v>
      </c>
      <c r="AU425" s="10" t="s">
        <v>169</v>
      </c>
      <c r="AV425" s="10">
        <v>0</v>
      </c>
      <c r="AW425" s="10"/>
      <c r="AX425" s="10" t="s">
        <v>169</v>
      </c>
      <c r="AY425" s="10"/>
      <c r="AZ425" s="10"/>
      <c r="BA425" s="10"/>
      <c r="BB425" s="8"/>
      <c r="BC425" s="8"/>
      <c r="BD425" s="8"/>
      <c r="BE425" s="8"/>
      <c r="BF425" s="12">
        <v>0.45</v>
      </c>
      <c r="BG425" s="13">
        <v>319.40040081906898</v>
      </c>
      <c r="BH425" s="96" t="str">
        <f>+VLOOKUP(G425,Liste!$A$7:$G$50,3,FALSE)</f>
        <v>Pin Laricio</v>
      </c>
      <c r="BI425" s="96" t="str">
        <f>+VLOOKUP(H425,Liste!$B$7:$G$50,5,FALSE)</f>
        <v>GS Pineraies des plaines du Centre et du Nord Ouest</v>
      </c>
      <c r="BJ425" s="135">
        <f t="shared" si="129"/>
        <v>56</v>
      </c>
      <c r="BK425" s="135" t="str">
        <f t="shared" si="131"/>
        <v>Pin Laricio_F2_Classique_GS Pineraies des plaines du Centre et du Nord Ouest_56_</v>
      </c>
      <c r="BL425" s="322"/>
      <c r="BM425" s="13">
        <v>80.134493256694</v>
      </c>
      <c r="BN425" s="13">
        <v>399.53489407576302</v>
      </c>
      <c r="BO425" s="13" t="s">
        <v>169</v>
      </c>
      <c r="BP425" s="13">
        <v>261.61729964832301</v>
      </c>
      <c r="BQ425" s="13" t="s">
        <v>169</v>
      </c>
      <c r="BT425" s="298" t="str">
        <f>+VLOOKUP(G425,Liste!$A$7:$H$50,8,FALSE)</f>
        <v>Résineux</v>
      </c>
      <c r="BU425" s="298">
        <f t="shared" si="132"/>
        <v>0</v>
      </c>
      <c r="BV425" s="300">
        <f t="shared" si="133"/>
        <v>1</v>
      </c>
      <c r="BW425" s="321">
        <v>0</v>
      </c>
      <c r="BX425" s="298">
        <f t="shared" si="134"/>
        <v>0.43</v>
      </c>
      <c r="BY425">
        <f t="shared" si="135"/>
        <v>0</v>
      </c>
      <c r="BZ425" s="304">
        <f t="shared" si="136"/>
        <v>0</v>
      </c>
      <c r="CB425" s="299">
        <v>0.6</v>
      </c>
      <c r="CC425" s="299">
        <v>0.4</v>
      </c>
      <c r="CD425">
        <f t="shared" si="137"/>
        <v>0</v>
      </c>
      <c r="CE425">
        <f t="shared" si="138"/>
        <v>0</v>
      </c>
      <c r="CF425">
        <f t="shared" si="139"/>
        <v>0</v>
      </c>
      <c r="CG425">
        <f t="shared" si="140"/>
        <v>0</v>
      </c>
      <c r="CH425">
        <f t="shared" si="141"/>
        <v>0</v>
      </c>
      <c r="CI425">
        <f t="shared" si="142"/>
        <v>0</v>
      </c>
      <c r="CJ425">
        <f t="shared" si="143"/>
        <v>0</v>
      </c>
      <c r="CK425">
        <f t="shared" si="144"/>
        <v>0</v>
      </c>
      <c r="CL425">
        <f t="shared" si="145"/>
        <v>0</v>
      </c>
      <c r="CM425">
        <f t="shared" si="147"/>
        <v>0</v>
      </c>
      <c r="CN425">
        <f t="shared" si="146"/>
        <v>0</v>
      </c>
      <c r="CO425">
        <f t="shared" si="130"/>
        <v>0</v>
      </c>
    </row>
    <row r="426" spans="1:93" s="12" customFormat="1" ht="14.65" customHeight="1" x14ac:dyDescent="0.25">
      <c r="A426" s="4">
        <v>2021</v>
      </c>
      <c r="B426" s="4"/>
      <c r="C426" s="4" t="s">
        <v>179</v>
      </c>
      <c r="D426" s="4" t="s">
        <v>65</v>
      </c>
      <c r="E426" s="4"/>
      <c r="F426" s="4" t="s">
        <v>90</v>
      </c>
      <c r="G426" s="5" t="s">
        <v>180</v>
      </c>
      <c r="H426" s="5" t="s">
        <v>21</v>
      </c>
      <c r="I426" s="5" t="s">
        <v>18</v>
      </c>
      <c r="J426" s="5" t="s">
        <v>10</v>
      </c>
      <c r="K426" s="5">
        <v>23.3</v>
      </c>
      <c r="L426" s="5" t="s">
        <v>190</v>
      </c>
      <c r="M426" s="5">
        <v>1666</v>
      </c>
      <c r="N426" s="5" t="s">
        <v>171</v>
      </c>
      <c r="O426" s="6" t="s">
        <v>81</v>
      </c>
      <c r="P426" s="6" t="s">
        <v>181</v>
      </c>
      <c r="Q426" s="6"/>
      <c r="R426" s="6"/>
      <c r="S426" s="6">
        <v>22</v>
      </c>
      <c r="T426" s="6">
        <v>11.13</v>
      </c>
      <c r="U426" s="6">
        <v>1444</v>
      </c>
      <c r="V426" s="6">
        <v>25.27</v>
      </c>
      <c r="W426" s="6">
        <v>1</v>
      </c>
      <c r="X426" s="6">
        <v>272</v>
      </c>
      <c r="Y426" s="6">
        <v>985</v>
      </c>
      <c r="Z426" s="6">
        <v>187</v>
      </c>
      <c r="AA426" s="6">
        <v>0</v>
      </c>
      <c r="AB426" s="6">
        <v>0</v>
      </c>
      <c r="AC426" s="7">
        <v>57</v>
      </c>
      <c r="AD426" s="7" t="s">
        <v>52</v>
      </c>
      <c r="AE426" s="7">
        <v>25.02</v>
      </c>
      <c r="AF426" s="76">
        <v>275.2</v>
      </c>
      <c r="AG426" s="7">
        <v>34.72</v>
      </c>
      <c r="AH426" s="7">
        <v>40.08</v>
      </c>
      <c r="AI426" s="7">
        <v>42.25</v>
      </c>
      <c r="AJ426" s="9">
        <v>335.65560016838998</v>
      </c>
      <c r="AK426" s="9">
        <v>343.04705662657801</v>
      </c>
      <c r="AL426" s="9">
        <v>421.48906913663598</v>
      </c>
      <c r="AM426" s="9" t="s">
        <v>169</v>
      </c>
      <c r="AN426" s="9" t="s">
        <v>169</v>
      </c>
      <c r="AO426" s="9" t="s">
        <v>169</v>
      </c>
      <c r="AP426" s="9" t="s">
        <v>169</v>
      </c>
      <c r="AQ426" s="9" t="s">
        <v>169</v>
      </c>
      <c r="AR426" s="9" t="s">
        <v>169</v>
      </c>
      <c r="AS426" s="73" t="s">
        <v>169</v>
      </c>
      <c r="AT426" s="10" t="s">
        <v>169</v>
      </c>
      <c r="AU426" s="10" t="s">
        <v>169</v>
      </c>
      <c r="AV426" s="10">
        <v>0</v>
      </c>
      <c r="AW426" s="10"/>
      <c r="AX426" s="10" t="s">
        <v>169</v>
      </c>
      <c r="AY426" s="10"/>
      <c r="AZ426" s="10"/>
      <c r="BA426" s="10"/>
      <c r="BB426" s="8"/>
      <c r="BC426" s="8"/>
      <c r="BD426" s="8"/>
      <c r="BE426" s="8"/>
      <c r="BF426" s="12">
        <v>0.45</v>
      </c>
      <c r="BG426" s="13">
        <v>330.586755756532</v>
      </c>
      <c r="BH426" s="96" t="str">
        <f>+VLOOKUP(G426,Liste!$A$7:$G$50,3,FALSE)</f>
        <v>Pin Laricio</v>
      </c>
      <c r="BI426" s="96" t="str">
        <f>+VLOOKUP(H426,Liste!$B$7:$G$50,5,FALSE)</f>
        <v>GS Pineraies des plaines du Centre et du Nord Ouest</v>
      </c>
      <c r="BJ426" s="135">
        <f t="shared" si="129"/>
        <v>57</v>
      </c>
      <c r="BK426" s="135" t="str">
        <f t="shared" si="131"/>
        <v>Pin Laricio_F2_Classique_GS Pineraies des plaines du Centre et du Nord Ouest_57_</v>
      </c>
      <c r="BL426" s="322"/>
      <c r="BM426" s="13">
        <v>82.640882394162304</v>
      </c>
      <c r="BN426" s="13">
        <v>413.22763815069402</v>
      </c>
      <c r="BO426" s="13" t="s">
        <v>169</v>
      </c>
      <c r="BP426" s="13">
        <v>261.61729964832301</v>
      </c>
      <c r="BQ426" s="13" t="s">
        <v>169</v>
      </c>
      <c r="BT426" s="298" t="str">
        <f>+VLOOKUP(G426,Liste!$A$7:$H$50,8,FALSE)</f>
        <v>Résineux</v>
      </c>
      <c r="BU426" s="298">
        <f t="shared" si="132"/>
        <v>0</v>
      </c>
      <c r="BV426" s="300">
        <f t="shared" si="133"/>
        <v>1</v>
      </c>
      <c r="BW426" s="321">
        <v>0</v>
      </c>
      <c r="BX426" s="298">
        <f t="shared" si="134"/>
        <v>0.43</v>
      </c>
      <c r="BY426">
        <f t="shared" si="135"/>
        <v>0</v>
      </c>
      <c r="BZ426" s="304">
        <f t="shared" si="136"/>
        <v>0</v>
      </c>
      <c r="CB426" s="299">
        <v>0.6</v>
      </c>
      <c r="CC426" s="299">
        <v>0.4</v>
      </c>
      <c r="CD426">
        <f t="shared" si="137"/>
        <v>0</v>
      </c>
      <c r="CE426">
        <f t="shared" si="138"/>
        <v>0</v>
      </c>
      <c r="CF426">
        <f t="shared" si="139"/>
        <v>0</v>
      </c>
      <c r="CG426">
        <f t="shared" si="140"/>
        <v>0</v>
      </c>
      <c r="CH426">
        <f t="shared" si="141"/>
        <v>0</v>
      </c>
      <c r="CI426">
        <f t="shared" si="142"/>
        <v>0</v>
      </c>
      <c r="CJ426">
        <f t="shared" si="143"/>
        <v>0</v>
      </c>
      <c r="CK426">
        <f t="shared" si="144"/>
        <v>0</v>
      </c>
      <c r="CL426">
        <f t="shared" si="145"/>
        <v>0</v>
      </c>
      <c r="CM426">
        <f t="shared" si="147"/>
        <v>0</v>
      </c>
      <c r="CN426">
        <f t="shared" si="146"/>
        <v>0</v>
      </c>
      <c r="CO426">
        <f t="shared" si="130"/>
        <v>0</v>
      </c>
    </row>
    <row r="427" spans="1:93" s="12" customFormat="1" ht="14.65" customHeight="1" x14ac:dyDescent="0.25">
      <c r="A427" s="4">
        <v>2021</v>
      </c>
      <c r="B427" s="4"/>
      <c r="C427" s="4" t="s">
        <v>179</v>
      </c>
      <c r="D427" s="4" t="s">
        <v>65</v>
      </c>
      <c r="E427" s="4"/>
      <c r="F427" s="4" t="s">
        <v>90</v>
      </c>
      <c r="G427" s="5" t="s">
        <v>180</v>
      </c>
      <c r="H427" s="5" t="s">
        <v>21</v>
      </c>
      <c r="I427" s="5" t="s">
        <v>18</v>
      </c>
      <c r="J427" s="5" t="s">
        <v>10</v>
      </c>
      <c r="K427" s="5">
        <v>23.3</v>
      </c>
      <c r="L427" s="5" t="s">
        <v>190</v>
      </c>
      <c r="M427" s="5">
        <v>1666</v>
      </c>
      <c r="N427" s="5" t="s">
        <v>171</v>
      </c>
      <c r="O427" s="6" t="s">
        <v>81</v>
      </c>
      <c r="P427" s="6" t="s">
        <v>181</v>
      </c>
      <c r="Q427" s="6"/>
      <c r="R427" s="6"/>
      <c r="S427" s="6">
        <v>22</v>
      </c>
      <c r="T427" s="6">
        <v>11.13</v>
      </c>
      <c r="U427" s="6">
        <v>1444</v>
      </c>
      <c r="V427" s="6">
        <v>25.27</v>
      </c>
      <c r="W427" s="6">
        <v>1</v>
      </c>
      <c r="X427" s="6">
        <v>272</v>
      </c>
      <c r="Y427" s="6">
        <v>985</v>
      </c>
      <c r="Z427" s="6">
        <v>187</v>
      </c>
      <c r="AA427" s="6">
        <v>0</v>
      </c>
      <c r="AB427" s="6">
        <v>0</v>
      </c>
      <c r="AC427" s="7">
        <v>58</v>
      </c>
      <c r="AD427" s="7" t="s">
        <v>52</v>
      </c>
      <c r="AE427" s="7">
        <v>25.24</v>
      </c>
      <c r="AF427" s="76">
        <v>275.2</v>
      </c>
      <c r="AG427" s="7">
        <v>35.659999999999997</v>
      </c>
      <c r="AH427" s="7">
        <v>40.619999999999997</v>
      </c>
      <c r="AI427" s="7">
        <v>42.82</v>
      </c>
      <c r="AJ427" s="9">
        <v>347.07475398534802</v>
      </c>
      <c r="AK427" s="9">
        <v>354.78424407888599</v>
      </c>
      <c r="AL427" s="9">
        <v>435.75136563678899</v>
      </c>
      <c r="AM427" s="9" t="s">
        <v>169</v>
      </c>
      <c r="AN427" s="9" t="s">
        <v>169</v>
      </c>
      <c r="AO427" s="9" t="s">
        <v>169</v>
      </c>
      <c r="AP427" s="9" t="s">
        <v>169</v>
      </c>
      <c r="AQ427" s="9" t="s">
        <v>169</v>
      </c>
      <c r="AR427" s="9" t="s">
        <v>169</v>
      </c>
      <c r="AS427" s="73" t="s">
        <v>169</v>
      </c>
      <c r="AT427" s="10" t="s">
        <v>169</v>
      </c>
      <c r="AU427" s="10" t="s">
        <v>169</v>
      </c>
      <c r="AV427" s="10">
        <v>0</v>
      </c>
      <c r="AW427" s="10"/>
      <c r="AX427" s="10" t="s">
        <v>169</v>
      </c>
      <c r="AY427" s="10"/>
      <c r="AZ427" s="10"/>
      <c r="BA427" s="10"/>
      <c r="BB427" s="8"/>
      <c r="BC427" s="8"/>
      <c r="BD427" s="8"/>
      <c r="BE427" s="8"/>
      <c r="BF427" s="12">
        <v>0.45</v>
      </c>
      <c r="BG427" s="13">
        <v>341.77311069399502</v>
      </c>
      <c r="BH427" s="96" t="str">
        <f>+VLOOKUP(G427,Liste!$A$7:$G$50,3,FALSE)</f>
        <v>Pin Laricio</v>
      </c>
      <c r="BI427" s="96" t="str">
        <f>+VLOOKUP(H427,Liste!$B$7:$G$50,5,FALSE)</f>
        <v>GS Pineraies des plaines du Centre et du Nord Ouest</v>
      </c>
      <c r="BJ427" s="135">
        <f t="shared" si="129"/>
        <v>58</v>
      </c>
      <c r="BK427" s="135" t="str">
        <f t="shared" si="131"/>
        <v>Pin Laricio_F2_Classique_GS Pineraies des plaines du Centre et du Nord Ouest_58_</v>
      </c>
      <c r="BL427" s="322"/>
      <c r="BM427" s="13">
        <v>85.147271531630594</v>
      </c>
      <c r="BN427" s="13">
        <v>426.92038222562502</v>
      </c>
      <c r="BO427" s="13" t="s">
        <v>169</v>
      </c>
      <c r="BP427" s="13">
        <v>261.61729964832301</v>
      </c>
      <c r="BQ427" s="13" t="s">
        <v>169</v>
      </c>
      <c r="BT427" s="298" t="str">
        <f>+VLOOKUP(G427,Liste!$A$7:$H$50,8,FALSE)</f>
        <v>Résineux</v>
      </c>
      <c r="BU427" s="298">
        <f t="shared" si="132"/>
        <v>0</v>
      </c>
      <c r="BV427" s="300">
        <f t="shared" si="133"/>
        <v>1</v>
      </c>
      <c r="BW427" s="321">
        <v>0</v>
      </c>
      <c r="BX427" s="298">
        <f t="shared" si="134"/>
        <v>0.43</v>
      </c>
      <c r="BY427">
        <f t="shared" si="135"/>
        <v>0</v>
      </c>
      <c r="BZ427" s="304">
        <f t="shared" si="136"/>
        <v>0</v>
      </c>
      <c r="CB427" s="299">
        <v>0.6</v>
      </c>
      <c r="CC427" s="299">
        <v>0.4</v>
      </c>
      <c r="CD427">
        <f t="shared" si="137"/>
        <v>0</v>
      </c>
      <c r="CE427">
        <f t="shared" si="138"/>
        <v>0</v>
      </c>
      <c r="CF427">
        <f t="shared" si="139"/>
        <v>0</v>
      </c>
      <c r="CG427">
        <f t="shared" si="140"/>
        <v>0</v>
      </c>
      <c r="CH427">
        <f t="shared" si="141"/>
        <v>0</v>
      </c>
      <c r="CI427">
        <f t="shared" si="142"/>
        <v>0</v>
      </c>
      <c r="CJ427">
        <f t="shared" si="143"/>
        <v>0</v>
      </c>
      <c r="CK427">
        <f t="shared" si="144"/>
        <v>0</v>
      </c>
      <c r="CL427">
        <f t="shared" si="145"/>
        <v>0</v>
      </c>
      <c r="CM427">
        <f t="shared" si="147"/>
        <v>0</v>
      </c>
      <c r="CN427">
        <f t="shared" si="146"/>
        <v>0</v>
      </c>
      <c r="CO427">
        <f t="shared" si="130"/>
        <v>0</v>
      </c>
    </row>
    <row r="428" spans="1:93" s="12" customFormat="1" ht="14.65" customHeight="1" x14ac:dyDescent="0.25">
      <c r="A428" s="4">
        <v>2021</v>
      </c>
      <c r="B428" s="4"/>
      <c r="C428" s="4" t="s">
        <v>179</v>
      </c>
      <c r="D428" s="4" t="s">
        <v>65</v>
      </c>
      <c r="E428" s="4"/>
      <c r="F428" s="4" t="s">
        <v>90</v>
      </c>
      <c r="G428" s="5" t="s">
        <v>180</v>
      </c>
      <c r="H428" s="5" t="s">
        <v>21</v>
      </c>
      <c r="I428" s="5" t="s">
        <v>18</v>
      </c>
      <c r="J428" s="5" t="s">
        <v>10</v>
      </c>
      <c r="K428" s="5">
        <v>23.3</v>
      </c>
      <c r="L428" s="5" t="s">
        <v>190</v>
      </c>
      <c r="M428" s="5">
        <v>1666</v>
      </c>
      <c r="N428" s="5" t="s">
        <v>171</v>
      </c>
      <c r="O428" s="6" t="s">
        <v>81</v>
      </c>
      <c r="P428" s="6" t="s">
        <v>181</v>
      </c>
      <c r="Q428" s="6"/>
      <c r="R428" s="6"/>
      <c r="S428" s="6">
        <v>22</v>
      </c>
      <c r="T428" s="6">
        <v>11.13</v>
      </c>
      <c r="U428" s="6">
        <v>1444</v>
      </c>
      <c r="V428" s="6">
        <v>25.27</v>
      </c>
      <c r="W428" s="6">
        <v>1</v>
      </c>
      <c r="X428" s="6">
        <v>272</v>
      </c>
      <c r="Y428" s="6">
        <v>985</v>
      </c>
      <c r="Z428" s="6">
        <v>187</v>
      </c>
      <c r="AA428" s="6">
        <v>0</v>
      </c>
      <c r="AB428" s="6">
        <v>0</v>
      </c>
      <c r="AC428" s="7">
        <v>59</v>
      </c>
      <c r="AD428" s="7" t="s">
        <v>52</v>
      </c>
      <c r="AE428" s="7">
        <v>25.45</v>
      </c>
      <c r="AF428" s="76">
        <v>275</v>
      </c>
      <c r="AG428" s="7">
        <v>36.56</v>
      </c>
      <c r="AH428" s="7">
        <v>41.14</v>
      </c>
      <c r="AI428" s="7">
        <v>43.37</v>
      </c>
      <c r="AJ428" s="9">
        <v>358.49390780230601</v>
      </c>
      <c r="AK428" s="9">
        <v>366.52143153119499</v>
      </c>
      <c r="AL428" s="9">
        <v>450.013662136942</v>
      </c>
      <c r="AM428" s="9">
        <v>71.046193906920294</v>
      </c>
      <c r="AN428" s="9">
        <v>1.20417277808339</v>
      </c>
      <c r="AO428" s="9">
        <v>0.79827893934750005</v>
      </c>
      <c r="AP428" s="9">
        <v>744.43497109599502</v>
      </c>
      <c r="AQ428" s="9">
        <v>12.617541882983</v>
      </c>
      <c r="AR428" s="9">
        <v>12.3692152465539</v>
      </c>
      <c r="AS428" s="73" t="s">
        <v>169</v>
      </c>
      <c r="AT428" s="10" t="s">
        <v>169</v>
      </c>
      <c r="AU428" s="10" t="s">
        <v>169</v>
      </c>
      <c r="AV428" s="10">
        <v>0</v>
      </c>
      <c r="AW428" s="10"/>
      <c r="AX428" s="10" t="s">
        <v>169</v>
      </c>
      <c r="AY428" s="10"/>
      <c r="AZ428" s="10"/>
      <c r="BA428" s="10"/>
      <c r="BB428" s="8"/>
      <c r="BC428" s="8"/>
      <c r="BD428" s="8"/>
      <c r="BE428" s="8"/>
      <c r="BF428" s="12">
        <v>0.45</v>
      </c>
      <c r="BG428" s="13">
        <v>352.95946563145799</v>
      </c>
      <c r="BH428" s="96" t="str">
        <f>+VLOOKUP(G428,Liste!$A$7:$G$50,3,FALSE)</f>
        <v>Pin Laricio</v>
      </c>
      <c r="BI428" s="96" t="str">
        <f>+VLOOKUP(H428,Liste!$B$7:$G$50,5,FALSE)</f>
        <v>GS Pineraies des plaines du Centre et du Nord Ouest</v>
      </c>
      <c r="BJ428" s="135">
        <f t="shared" si="129"/>
        <v>59</v>
      </c>
      <c r="BK428" s="135" t="str">
        <f t="shared" si="131"/>
        <v>Pin Laricio_F2_Classique_GS Pineraies des plaines du Centre et du Nord Ouest_59_</v>
      </c>
      <c r="BL428" s="322"/>
      <c r="BM428" s="13">
        <v>87.653660669098798</v>
      </c>
      <c r="BN428" s="13">
        <v>440.61312630055602</v>
      </c>
      <c r="BO428" s="13" t="s">
        <v>169</v>
      </c>
      <c r="BP428" s="13">
        <v>261.61729964832301</v>
      </c>
      <c r="BQ428" s="13">
        <v>11.6926738123778</v>
      </c>
      <c r="BT428" s="298" t="str">
        <f>+VLOOKUP(G428,Liste!$A$7:$H$50,8,FALSE)</f>
        <v>Résineux</v>
      </c>
      <c r="BU428" s="298">
        <f t="shared" si="132"/>
        <v>0</v>
      </c>
      <c r="BV428" s="300">
        <f t="shared" si="133"/>
        <v>1</v>
      </c>
      <c r="BW428" s="321">
        <v>0</v>
      </c>
      <c r="BX428" s="298">
        <f t="shared" si="134"/>
        <v>0.43</v>
      </c>
      <c r="BY428">
        <f t="shared" si="135"/>
        <v>0</v>
      </c>
      <c r="BZ428" s="304">
        <f t="shared" si="136"/>
        <v>0</v>
      </c>
      <c r="CB428" s="299">
        <v>0.6</v>
      </c>
      <c r="CC428" s="299">
        <v>0.4</v>
      </c>
      <c r="CD428">
        <f t="shared" si="137"/>
        <v>0</v>
      </c>
      <c r="CE428">
        <f t="shared" si="138"/>
        <v>0</v>
      </c>
      <c r="CF428">
        <f t="shared" si="139"/>
        <v>0</v>
      </c>
      <c r="CG428">
        <f t="shared" si="140"/>
        <v>0</v>
      </c>
      <c r="CH428">
        <f t="shared" si="141"/>
        <v>0</v>
      </c>
      <c r="CI428">
        <f t="shared" si="142"/>
        <v>0</v>
      </c>
      <c r="CJ428">
        <f t="shared" si="143"/>
        <v>0</v>
      </c>
      <c r="CK428">
        <f t="shared" si="144"/>
        <v>0</v>
      </c>
      <c r="CL428">
        <f t="shared" si="145"/>
        <v>0</v>
      </c>
      <c r="CM428">
        <f t="shared" si="147"/>
        <v>0</v>
      </c>
      <c r="CN428">
        <f t="shared" si="146"/>
        <v>0</v>
      </c>
      <c r="CO428">
        <f t="shared" si="130"/>
        <v>0</v>
      </c>
    </row>
    <row r="429" spans="1:93" s="12" customFormat="1" ht="14.65" customHeight="1" x14ac:dyDescent="0.25">
      <c r="A429" s="4">
        <v>2021</v>
      </c>
      <c r="B429" s="4"/>
      <c r="C429" s="4" t="s">
        <v>179</v>
      </c>
      <c r="D429" s="4" t="s">
        <v>65</v>
      </c>
      <c r="E429" s="4"/>
      <c r="F429" s="4" t="s">
        <v>90</v>
      </c>
      <c r="G429" s="5" t="s">
        <v>180</v>
      </c>
      <c r="H429" s="5" t="s">
        <v>21</v>
      </c>
      <c r="I429" s="5" t="s">
        <v>18</v>
      </c>
      <c r="J429" s="5" t="s">
        <v>10</v>
      </c>
      <c r="K429" s="5">
        <v>23.3</v>
      </c>
      <c r="L429" s="5" t="s">
        <v>190</v>
      </c>
      <c r="M429" s="5">
        <v>1666</v>
      </c>
      <c r="N429" s="5" t="s">
        <v>171</v>
      </c>
      <c r="O429" s="6" t="s">
        <v>81</v>
      </c>
      <c r="P429" s="6" t="s">
        <v>181</v>
      </c>
      <c r="Q429" s="6"/>
      <c r="R429" s="6"/>
      <c r="S429" s="6">
        <v>22</v>
      </c>
      <c r="T429" s="6">
        <v>11.13</v>
      </c>
      <c r="U429" s="6">
        <v>1444</v>
      </c>
      <c r="V429" s="6">
        <v>25.27</v>
      </c>
      <c r="W429" s="6">
        <v>1</v>
      </c>
      <c r="X429" s="6">
        <v>272</v>
      </c>
      <c r="Y429" s="6">
        <v>985</v>
      </c>
      <c r="Z429" s="6">
        <v>187</v>
      </c>
      <c r="AA429" s="6">
        <v>0</v>
      </c>
      <c r="AB429" s="6">
        <v>0</v>
      </c>
      <c r="AC429" s="7">
        <v>59</v>
      </c>
      <c r="AD429" s="7" t="s">
        <v>53</v>
      </c>
      <c r="AE429" s="7">
        <v>25.45</v>
      </c>
      <c r="AF429" s="76">
        <v>224</v>
      </c>
      <c r="AG429" s="7">
        <v>30.47</v>
      </c>
      <c r="AH429" s="7">
        <v>41.62</v>
      </c>
      <c r="AI429" s="7">
        <v>43.37</v>
      </c>
      <c r="AJ429" s="9">
        <v>299.25497665199498</v>
      </c>
      <c r="AK429" s="9">
        <v>306.01285958604097</v>
      </c>
      <c r="AL429" s="9">
        <v>375.597714064782</v>
      </c>
      <c r="AM429" s="9">
        <v>71.046193906920294</v>
      </c>
      <c r="AN429" s="9">
        <v>1.20417277808339</v>
      </c>
      <c r="AO429" s="9">
        <v>0.79827893934750005</v>
      </c>
      <c r="AP429" s="9">
        <v>744.43497109599502</v>
      </c>
      <c r="AQ429" s="9">
        <v>12.617541882983</v>
      </c>
      <c r="AR429" s="9">
        <v>12.3692152465539</v>
      </c>
      <c r="AS429" s="73">
        <v>51</v>
      </c>
      <c r="AT429" s="10">
        <v>6.0900000000000034</v>
      </c>
      <c r="AU429" s="10">
        <v>38.992278842116953</v>
      </c>
      <c r="AV429" s="10">
        <v>59.238931150311032</v>
      </c>
      <c r="AW429" s="10">
        <v>0.89831501839137884</v>
      </c>
      <c r="AX429" s="10">
        <v>1.1615476696139417</v>
      </c>
      <c r="AY429" s="10"/>
      <c r="AZ429" s="10"/>
      <c r="BA429" s="10"/>
      <c r="BB429" s="8"/>
      <c r="BC429" s="8"/>
      <c r="BD429" s="8"/>
      <c r="BE429" s="8"/>
      <c r="BF429" s="12">
        <v>0.45</v>
      </c>
      <c r="BG429" s="13">
        <v>294.592763737827</v>
      </c>
      <c r="BH429" s="96" t="str">
        <f>+VLOOKUP(G429,Liste!$A$7:$G$50,3,FALSE)</f>
        <v>Pin Laricio</v>
      </c>
      <c r="BI429" s="96" t="str">
        <f>+VLOOKUP(H429,Liste!$B$7:$G$50,5,FALSE)</f>
        <v>GS Pineraies des plaines du Centre et du Nord Ouest</v>
      </c>
      <c r="BJ429" s="135">
        <f t="shared" si="129"/>
        <v>59</v>
      </c>
      <c r="BK429" s="135" t="str">
        <f t="shared" si="131"/>
        <v>Pin Laricio_F2_Classique_GS Pineraies des plaines du Centre et du Nord Ouest_59_</v>
      </c>
      <c r="BL429" s="322"/>
      <c r="BM429" s="13">
        <v>74.714521742944399</v>
      </c>
      <c r="BN429" s="13">
        <v>369.30728548077201</v>
      </c>
      <c r="BO429" s="13">
        <v>71.305840819784009</v>
      </c>
      <c r="BP429" s="13">
        <v>261.61729964832301</v>
      </c>
      <c r="BQ429" s="13">
        <v>11.6926738123778</v>
      </c>
      <c r="BT429" s="298" t="str">
        <f>+VLOOKUP(G429,Liste!$A$7:$H$50,8,FALSE)</f>
        <v>Résineux</v>
      </c>
      <c r="BU429" s="298">
        <f t="shared" si="132"/>
        <v>0</v>
      </c>
      <c r="BV429" s="300">
        <f t="shared" si="133"/>
        <v>1</v>
      </c>
      <c r="BW429" s="321">
        <v>0</v>
      </c>
      <c r="BX429" s="298">
        <f t="shared" si="134"/>
        <v>0.43</v>
      </c>
      <c r="BY429">
        <f t="shared" si="135"/>
        <v>0</v>
      </c>
      <c r="BZ429" s="304">
        <f t="shared" si="136"/>
        <v>0</v>
      </c>
      <c r="CB429" s="299">
        <v>0.6</v>
      </c>
      <c r="CC429" s="299">
        <v>0.4</v>
      </c>
      <c r="CD429">
        <f t="shared" si="137"/>
        <v>0</v>
      </c>
      <c r="CE429">
        <f t="shared" si="138"/>
        <v>0</v>
      </c>
      <c r="CF429">
        <f t="shared" si="139"/>
        <v>0</v>
      </c>
      <c r="CG429">
        <f t="shared" si="140"/>
        <v>0</v>
      </c>
      <c r="CH429">
        <f t="shared" si="141"/>
        <v>0</v>
      </c>
      <c r="CI429">
        <f t="shared" si="142"/>
        <v>0</v>
      </c>
      <c r="CJ429">
        <f t="shared" si="143"/>
        <v>0</v>
      </c>
      <c r="CK429">
        <f t="shared" si="144"/>
        <v>0</v>
      </c>
      <c r="CL429">
        <f t="shared" si="145"/>
        <v>0</v>
      </c>
      <c r="CM429">
        <f t="shared" si="147"/>
        <v>0</v>
      </c>
      <c r="CN429">
        <f t="shared" si="146"/>
        <v>0</v>
      </c>
      <c r="CO429">
        <f t="shared" si="130"/>
        <v>0</v>
      </c>
    </row>
    <row r="430" spans="1:93" s="12" customFormat="1" ht="14.65" customHeight="1" x14ac:dyDescent="0.25">
      <c r="A430" s="4">
        <v>2021</v>
      </c>
      <c r="B430" s="4"/>
      <c r="C430" s="4" t="s">
        <v>179</v>
      </c>
      <c r="D430" s="4" t="s">
        <v>65</v>
      </c>
      <c r="E430" s="4"/>
      <c r="F430" s="4" t="s">
        <v>90</v>
      </c>
      <c r="G430" s="5" t="s">
        <v>180</v>
      </c>
      <c r="H430" s="5" t="s">
        <v>21</v>
      </c>
      <c r="I430" s="5" t="s">
        <v>18</v>
      </c>
      <c r="J430" s="5" t="s">
        <v>10</v>
      </c>
      <c r="K430" s="5">
        <v>23.3</v>
      </c>
      <c r="L430" s="5" t="s">
        <v>190</v>
      </c>
      <c r="M430" s="5">
        <v>1666</v>
      </c>
      <c r="N430" s="5" t="s">
        <v>171</v>
      </c>
      <c r="O430" s="6" t="s">
        <v>81</v>
      </c>
      <c r="P430" s="6" t="s">
        <v>181</v>
      </c>
      <c r="Q430" s="6"/>
      <c r="R430" s="6"/>
      <c r="S430" s="6">
        <v>22</v>
      </c>
      <c r="T430" s="6">
        <v>11.13</v>
      </c>
      <c r="U430" s="6">
        <v>1444</v>
      </c>
      <c r="V430" s="6">
        <v>25.27</v>
      </c>
      <c r="W430" s="6">
        <v>1</v>
      </c>
      <c r="X430" s="6">
        <v>272</v>
      </c>
      <c r="Y430" s="6">
        <v>985</v>
      </c>
      <c r="Z430" s="6">
        <v>187</v>
      </c>
      <c r="AA430" s="6">
        <v>0</v>
      </c>
      <c r="AB430" s="6">
        <v>0</v>
      </c>
      <c r="AC430" s="7">
        <v>60</v>
      </c>
      <c r="AD430" s="7" t="s">
        <v>52</v>
      </c>
      <c r="AE430" s="7">
        <v>25.65</v>
      </c>
      <c r="AF430" s="76">
        <v>224</v>
      </c>
      <c r="AG430" s="7">
        <v>31.23</v>
      </c>
      <c r="AH430" s="7">
        <v>42.13</v>
      </c>
      <c r="AI430" s="7">
        <v>43.9</v>
      </c>
      <c r="AJ430" s="9">
        <v>309.15675524540302</v>
      </c>
      <c r="AK430" s="9">
        <v>316.21458363276201</v>
      </c>
      <c r="AL430" s="9">
        <v>387.966929311336</v>
      </c>
      <c r="AM430" s="9" t="s">
        <v>169</v>
      </c>
      <c r="AN430" s="9" t="s">
        <v>169</v>
      </c>
      <c r="AO430" s="9" t="s">
        <v>169</v>
      </c>
      <c r="AP430" s="9" t="s">
        <v>169</v>
      </c>
      <c r="AQ430" s="9" t="s">
        <v>169</v>
      </c>
      <c r="AR430" s="9" t="s">
        <v>169</v>
      </c>
      <c r="AS430" s="73" t="s">
        <v>169</v>
      </c>
      <c r="AT430" s="10" t="s">
        <v>169</v>
      </c>
      <c r="AU430" s="10" t="s">
        <v>169</v>
      </c>
      <c r="AV430" s="10">
        <v>0</v>
      </c>
      <c r="AW430" s="10"/>
      <c r="AX430" s="10" t="s">
        <v>169</v>
      </c>
      <c r="AY430" s="10"/>
      <c r="AZ430" s="10"/>
      <c r="BA430" s="10"/>
      <c r="BB430" s="8"/>
      <c r="BC430" s="8"/>
      <c r="BD430" s="8"/>
      <c r="BE430" s="8"/>
      <c r="BF430" s="12">
        <v>0.45</v>
      </c>
      <c r="BG430" s="13">
        <v>304.29431720394302</v>
      </c>
      <c r="BH430" s="96" t="str">
        <f>+VLOOKUP(G430,Liste!$A$7:$G$50,3,FALSE)</f>
        <v>Pin Laricio</v>
      </c>
      <c r="BI430" s="96" t="str">
        <f>+VLOOKUP(H430,Liste!$B$7:$G$50,5,FALSE)</f>
        <v>GS Pineraies des plaines du Centre et du Nord Ouest</v>
      </c>
      <c r="BJ430" s="135">
        <f t="shared" si="129"/>
        <v>60</v>
      </c>
      <c r="BK430" s="135" t="str">
        <f t="shared" si="131"/>
        <v>Pin Laricio_F2_Classique_GS Pineraies des plaines du Centre et du Nord Ouest_60_</v>
      </c>
      <c r="BL430" s="322"/>
      <c r="BM430" s="13">
        <v>76.854708482290107</v>
      </c>
      <c r="BN430" s="13">
        <v>381.14902568623302</v>
      </c>
      <c r="BO430" s="13" t="s">
        <v>169</v>
      </c>
      <c r="BP430" s="13">
        <v>261.61729964832301</v>
      </c>
      <c r="BQ430" s="13" t="s">
        <v>169</v>
      </c>
      <c r="BT430" s="298" t="str">
        <f>+VLOOKUP(G430,Liste!$A$7:$H$50,8,FALSE)</f>
        <v>Résineux</v>
      </c>
      <c r="BU430" s="298">
        <f t="shared" si="132"/>
        <v>0</v>
      </c>
      <c r="BV430" s="300">
        <f t="shared" si="133"/>
        <v>1</v>
      </c>
      <c r="BW430" s="321">
        <v>0</v>
      </c>
      <c r="BX430" s="298">
        <f t="shared" si="134"/>
        <v>0.43</v>
      </c>
      <c r="BY430">
        <f t="shared" si="135"/>
        <v>0</v>
      </c>
      <c r="BZ430" s="304">
        <f t="shared" si="136"/>
        <v>0</v>
      </c>
      <c r="CB430" s="299">
        <v>0.6</v>
      </c>
      <c r="CC430" s="299">
        <v>0.4</v>
      </c>
      <c r="CD430">
        <f t="shared" si="137"/>
        <v>0</v>
      </c>
      <c r="CE430">
        <f t="shared" si="138"/>
        <v>0</v>
      </c>
      <c r="CF430">
        <f t="shared" si="139"/>
        <v>0</v>
      </c>
      <c r="CG430">
        <f t="shared" si="140"/>
        <v>0</v>
      </c>
      <c r="CH430">
        <f t="shared" si="141"/>
        <v>0</v>
      </c>
      <c r="CI430">
        <f t="shared" si="142"/>
        <v>0</v>
      </c>
      <c r="CJ430">
        <f t="shared" si="143"/>
        <v>0</v>
      </c>
      <c r="CK430">
        <f t="shared" si="144"/>
        <v>0</v>
      </c>
      <c r="CL430">
        <f t="shared" si="145"/>
        <v>0</v>
      </c>
      <c r="CM430">
        <f t="shared" si="147"/>
        <v>0</v>
      </c>
      <c r="CN430">
        <f t="shared" si="146"/>
        <v>0</v>
      </c>
      <c r="CO430">
        <f t="shared" si="130"/>
        <v>0</v>
      </c>
    </row>
    <row r="431" spans="1:93" s="12" customFormat="1" ht="14.65" customHeight="1" x14ac:dyDescent="0.25">
      <c r="A431" s="4">
        <v>2021</v>
      </c>
      <c r="B431" s="4"/>
      <c r="C431" s="4" t="s">
        <v>179</v>
      </c>
      <c r="D431" s="4" t="s">
        <v>65</v>
      </c>
      <c r="E431" s="4"/>
      <c r="F431" s="4" t="s">
        <v>90</v>
      </c>
      <c r="G431" s="5" t="s">
        <v>180</v>
      </c>
      <c r="H431" s="5" t="s">
        <v>21</v>
      </c>
      <c r="I431" s="5" t="s">
        <v>18</v>
      </c>
      <c r="J431" s="5" t="s">
        <v>10</v>
      </c>
      <c r="K431" s="5">
        <v>23.3</v>
      </c>
      <c r="L431" s="5" t="s">
        <v>190</v>
      </c>
      <c r="M431" s="5">
        <v>1666</v>
      </c>
      <c r="N431" s="5" t="s">
        <v>171</v>
      </c>
      <c r="O431" s="6" t="s">
        <v>81</v>
      </c>
      <c r="P431" s="6" t="s">
        <v>181</v>
      </c>
      <c r="Q431" s="6"/>
      <c r="R431" s="6"/>
      <c r="S431" s="6">
        <v>22</v>
      </c>
      <c r="T431" s="6">
        <v>11.13</v>
      </c>
      <c r="U431" s="6">
        <v>1444</v>
      </c>
      <c r="V431" s="6">
        <v>25.27</v>
      </c>
      <c r="W431" s="6">
        <v>1</v>
      </c>
      <c r="X431" s="6">
        <v>272</v>
      </c>
      <c r="Y431" s="6">
        <v>985</v>
      </c>
      <c r="Z431" s="6">
        <v>187</v>
      </c>
      <c r="AA431" s="6">
        <v>0</v>
      </c>
      <c r="AB431" s="6">
        <v>0</v>
      </c>
      <c r="AC431" s="7">
        <v>61</v>
      </c>
      <c r="AD431" s="7" t="s">
        <v>52</v>
      </c>
      <c r="AE431" s="7">
        <v>25.84</v>
      </c>
      <c r="AF431" s="76">
        <v>224</v>
      </c>
      <c r="AG431" s="7">
        <v>32.07</v>
      </c>
      <c r="AH431" s="7">
        <v>42.7</v>
      </c>
      <c r="AI431" s="7">
        <v>44.49</v>
      </c>
      <c r="AJ431" s="9">
        <v>319.058533838811</v>
      </c>
      <c r="AK431" s="9">
        <v>326.41630767948402</v>
      </c>
      <c r="AL431" s="9">
        <v>400.33614455789001</v>
      </c>
      <c r="AM431" s="9" t="s">
        <v>169</v>
      </c>
      <c r="AN431" s="9" t="s">
        <v>169</v>
      </c>
      <c r="AO431" s="9" t="s">
        <v>169</v>
      </c>
      <c r="AP431" s="9" t="s">
        <v>169</v>
      </c>
      <c r="AQ431" s="9" t="s">
        <v>169</v>
      </c>
      <c r="AR431" s="9" t="s">
        <v>169</v>
      </c>
      <c r="AS431" s="73" t="s">
        <v>169</v>
      </c>
      <c r="AT431" s="10" t="s">
        <v>169</v>
      </c>
      <c r="AU431" s="10" t="s">
        <v>169</v>
      </c>
      <c r="AV431" s="10">
        <v>0</v>
      </c>
      <c r="AW431" s="10"/>
      <c r="AX431" s="10" t="s">
        <v>169</v>
      </c>
      <c r="AY431" s="10"/>
      <c r="AZ431" s="10"/>
      <c r="BA431" s="10"/>
      <c r="BB431" s="8"/>
      <c r="BC431" s="8"/>
      <c r="BD431" s="8"/>
      <c r="BE431" s="8"/>
      <c r="BF431" s="12">
        <v>0.45</v>
      </c>
      <c r="BG431" s="13">
        <v>313.99587067005899</v>
      </c>
      <c r="BH431" s="96" t="str">
        <f>+VLOOKUP(G431,Liste!$A$7:$G$50,3,FALSE)</f>
        <v>Pin Laricio</v>
      </c>
      <c r="BI431" s="96" t="str">
        <f>+VLOOKUP(H431,Liste!$B$7:$G$50,5,FALSE)</f>
        <v>GS Pineraies des plaines du Centre et du Nord Ouest</v>
      </c>
      <c r="BJ431" s="135">
        <f t="shared" si="129"/>
        <v>61</v>
      </c>
      <c r="BK431" s="135" t="str">
        <f t="shared" si="131"/>
        <v>Pin Laricio_F2_Classique_GS Pineraies des plaines du Centre et du Nord Ouest_61_</v>
      </c>
      <c r="BL431" s="322"/>
      <c r="BM431" s="13">
        <v>78.9948952216359</v>
      </c>
      <c r="BN431" s="13">
        <v>392.99076589169499</v>
      </c>
      <c r="BO431" s="13" t="s">
        <v>169</v>
      </c>
      <c r="BP431" s="13">
        <v>261.61729964832301</v>
      </c>
      <c r="BQ431" s="13" t="s">
        <v>169</v>
      </c>
      <c r="BT431" s="298" t="str">
        <f>+VLOOKUP(G431,Liste!$A$7:$H$50,8,FALSE)</f>
        <v>Résineux</v>
      </c>
      <c r="BU431" s="298">
        <f t="shared" si="132"/>
        <v>0</v>
      </c>
      <c r="BV431" s="300">
        <f t="shared" si="133"/>
        <v>1</v>
      </c>
      <c r="BW431" s="321">
        <v>0</v>
      </c>
      <c r="BX431" s="298">
        <f t="shared" si="134"/>
        <v>0.43</v>
      </c>
      <c r="BY431">
        <f t="shared" si="135"/>
        <v>0</v>
      </c>
      <c r="BZ431" s="304">
        <f t="shared" si="136"/>
        <v>0</v>
      </c>
      <c r="CB431" s="299">
        <v>0.6</v>
      </c>
      <c r="CC431" s="299">
        <v>0.4</v>
      </c>
      <c r="CD431">
        <f t="shared" si="137"/>
        <v>0</v>
      </c>
      <c r="CE431">
        <f t="shared" si="138"/>
        <v>0</v>
      </c>
      <c r="CF431">
        <f t="shared" si="139"/>
        <v>0</v>
      </c>
      <c r="CG431">
        <f t="shared" si="140"/>
        <v>0</v>
      </c>
      <c r="CH431">
        <f t="shared" si="141"/>
        <v>0</v>
      </c>
      <c r="CI431">
        <f t="shared" si="142"/>
        <v>0</v>
      </c>
      <c r="CJ431">
        <f t="shared" si="143"/>
        <v>0</v>
      </c>
      <c r="CK431">
        <f t="shared" si="144"/>
        <v>0</v>
      </c>
      <c r="CL431">
        <f t="shared" si="145"/>
        <v>0</v>
      </c>
      <c r="CM431">
        <f t="shared" si="147"/>
        <v>0</v>
      </c>
      <c r="CN431">
        <f t="shared" si="146"/>
        <v>0</v>
      </c>
      <c r="CO431">
        <f t="shared" si="130"/>
        <v>0</v>
      </c>
    </row>
    <row r="432" spans="1:93" s="12" customFormat="1" ht="14.65" customHeight="1" x14ac:dyDescent="0.25">
      <c r="A432" s="4">
        <v>2021</v>
      </c>
      <c r="B432" s="4"/>
      <c r="C432" s="4" t="s">
        <v>179</v>
      </c>
      <c r="D432" s="4" t="s">
        <v>65</v>
      </c>
      <c r="E432" s="4"/>
      <c r="F432" s="4" t="s">
        <v>90</v>
      </c>
      <c r="G432" s="5" t="s">
        <v>180</v>
      </c>
      <c r="H432" s="5" t="s">
        <v>21</v>
      </c>
      <c r="I432" s="5" t="s">
        <v>18</v>
      </c>
      <c r="J432" s="5" t="s">
        <v>10</v>
      </c>
      <c r="K432" s="5">
        <v>23.3</v>
      </c>
      <c r="L432" s="5" t="s">
        <v>190</v>
      </c>
      <c r="M432" s="5">
        <v>1666</v>
      </c>
      <c r="N432" s="5" t="s">
        <v>171</v>
      </c>
      <c r="O432" s="6" t="s">
        <v>81</v>
      </c>
      <c r="P432" s="6" t="s">
        <v>181</v>
      </c>
      <c r="Q432" s="6"/>
      <c r="R432" s="6"/>
      <c r="S432" s="6">
        <v>22</v>
      </c>
      <c r="T432" s="6">
        <v>11.13</v>
      </c>
      <c r="U432" s="6">
        <v>1444</v>
      </c>
      <c r="V432" s="6">
        <v>25.27</v>
      </c>
      <c r="W432" s="6">
        <v>1</v>
      </c>
      <c r="X432" s="6">
        <v>272</v>
      </c>
      <c r="Y432" s="6">
        <v>985</v>
      </c>
      <c r="Z432" s="6">
        <v>187</v>
      </c>
      <c r="AA432" s="6">
        <v>0</v>
      </c>
      <c r="AB432" s="6">
        <v>0</v>
      </c>
      <c r="AC432" s="7">
        <v>62</v>
      </c>
      <c r="AD432" s="7" t="s">
        <v>52</v>
      </c>
      <c r="AE432" s="7">
        <v>26.03</v>
      </c>
      <c r="AF432" s="76">
        <v>224</v>
      </c>
      <c r="AG432" s="7">
        <v>32.9</v>
      </c>
      <c r="AH432" s="7">
        <v>43.25</v>
      </c>
      <c r="AI432" s="7">
        <v>45.07</v>
      </c>
      <c r="AJ432" s="9">
        <v>328.96031243222001</v>
      </c>
      <c r="AK432" s="9">
        <v>336.618031726205</v>
      </c>
      <c r="AL432" s="9">
        <v>412.70535980444402</v>
      </c>
      <c r="AM432" s="9" t="s">
        <v>169</v>
      </c>
      <c r="AN432" s="9" t="s">
        <v>169</v>
      </c>
      <c r="AO432" s="9" t="s">
        <v>169</v>
      </c>
      <c r="AP432" s="9" t="s">
        <v>169</v>
      </c>
      <c r="AQ432" s="9" t="s">
        <v>169</v>
      </c>
      <c r="AR432" s="9" t="s">
        <v>169</v>
      </c>
      <c r="AS432" s="73" t="s">
        <v>169</v>
      </c>
      <c r="AT432" s="10" t="s">
        <v>169</v>
      </c>
      <c r="AU432" s="10" t="s">
        <v>169</v>
      </c>
      <c r="AV432" s="10">
        <v>0</v>
      </c>
      <c r="AW432" s="10"/>
      <c r="AX432" s="10" t="s">
        <v>169</v>
      </c>
      <c r="AY432" s="10"/>
      <c r="AZ432" s="10"/>
      <c r="BA432" s="10"/>
      <c r="BB432" s="8"/>
      <c r="BC432" s="8"/>
      <c r="BD432" s="8"/>
      <c r="BE432" s="8"/>
      <c r="BF432" s="12">
        <v>0.45</v>
      </c>
      <c r="BG432" s="13">
        <v>323.69742413617502</v>
      </c>
      <c r="BH432" s="96" t="str">
        <f>+VLOOKUP(G432,Liste!$A$7:$G$50,3,FALSE)</f>
        <v>Pin Laricio</v>
      </c>
      <c r="BI432" s="96" t="str">
        <f>+VLOOKUP(H432,Liste!$B$7:$G$50,5,FALSE)</f>
        <v>GS Pineraies des plaines du Centre et du Nord Ouest</v>
      </c>
      <c r="BJ432" s="135">
        <f t="shared" si="129"/>
        <v>62</v>
      </c>
      <c r="BK432" s="135" t="str">
        <f t="shared" si="131"/>
        <v>Pin Laricio_F2_Classique_GS Pineraies des plaines du Centre et du Nord Ouest_62_</v>
      </c>
      <c r="BL432" s="322"/>
      <c r="BM432" s="13">
        <v>81.135081960981694</v>
      </c>
      <c r="BN432" s="13">
        <v>404.83250609715702</v>
      </c>
      <c r="BO432" s="13" t="s">
        <v>169</v>
      </c>
      <c r="BP432" s="13">
        <v>261.61729964832301</v>
      </c>
      <c r="BQ432" s="13" t="s">
        <v>169</v>
      </c>
      <c r="BT432" s="298" t="str">
        <f>+VLOOKUP(G432,Liste!$A$7:$H$50,8,FALSE)</f>
        <v>Résineux</v>
      </c>
      <c r="BU432" s="298">
        <f t="shared" si="132"/>
        <v>0</v>
      </c>
      <c r="BV432" s="300">
        <f t="shared" si="133"/>
        <v>1</v>
      </c>
      <c r="BW432" s="321">
        <v>0</v>
      </c>
      <c r="BX432" s="298">
        <f t="shared" si="134"/>
        <v>0.43</v>
      </c>
      <c r="BY432">
        <f t="shared" si="135"/>
        <v>0</v>
      </c>
      <c r="BZ432" s="304">
        <f t="shared" si="136"/>
        <v>0</v>
      </c>
      <c r="CB432" s="299">
        <v>0.6</v>
      </c>
      <c r="CC432" s="299">
        <v>0.4</v>
      </c>
      <c r="CD432">
        <f t="shared" si="137"/>
        <v>0</v>
      </c>
      <c r="CE432">
        <f t="shared" si="138"/>
        <v>0</v>
      </c>
      <c r="CF432">
        <f t="shared" si="139"/>
        <v>0</v>
      </c>
      <c r="CG432">
        <f t="shared" si="140"/>
        <v>0</v>
      </c>
      <c r="CH432">
        <f t="shared" si="141"/>
        <v>0</v>
      </c>
      <c r="CI432">
        <f t="shared" si="142"/>
        <v>0</v>
      </c>
      <c r="CJ432">
        <f t="shared" si="143"/>
        <v>0</v>
      </c>
      <c r="CK432">
        <f t="shared" si="144"/>
        <v>0</v>
      </c>
      <c r="CL432">
        <f t="shared" si="145"/>
        <v>0</v>
      </c>
      <c r="CM432">
        <f t="shared" si="147"/>
        <v>0</v>
      </c>
      <c r="CN432">
        <f t="shared" si="146"/>
        <v>0</v>
      </c>
      <c r="CO432">
        <f t="shared" si="130"/>
        <v>0</v>
      </c>
    </row>
    <row r="433" spans="1:93" s="12" customFormat="1" ht="14.65" customHeight="1" x14ac:dyDescent="0.25">
      <c r="A433" s="4">
        <v>2021</v>
      </c>
      <c r="B433" s="4"/>
      <c r="C433" s="4" t="s">
        <v>179</v>
      </c>
      <c r="D433" s="4" t="s">
        <v>65</v>
      </c>
      <c r="E433" s="4"/>
      <c r="F433" s="4" t="s">
        <v>90</v>
      </c>
      <c r="G433" s="5" t="s">
        <v>180</v>
      </c>
      <c r="H433" s="5" t="s">
        <v>21</v>
      </c>
      <c r="I433" s="5" t="s">
        <v>18</v>
      </c>
      <c r="J433" s="5" t="s">
        <v>10</v>
      </c>
      <c r="K433" s="5">
        <v>23.3</v>
      </c>
      <c r="L433" s="5" t="s">
        <v>190</v>
      </c>
      <c r="M433" s="5">
        <v>1666</v>
      </c>
      <c r="N433" s="5" t="s">
        <v>171</v>
      </c>
      <c r="O433" s="6" t="s">
        <v>81</v>
      </c>
      <c r="P433" s="6" t="s">
        <v>181</v>
      </c>
      <c r="Q433" s="6"/>
      <c r="R433" s="6"/>
      <c r="S433" s="6">
        <v>22</v>
      </c>
      <c r="T433" s="6">
        <v>11.13</v>
      </c>
      <c r="U433" s="6">
        <v>1444</v>
      </c>
      <c r="V433" s="6">
        <v>25.27</v>
      </c>
      <c r="W433" s="6">
        <v>1</v>
      </c>
      <c r="X433" s="6">
        <v>272</v>
      </c>
      <c r="Y433" s="6">
        <v>985</v>
      </c>
      <c r="Z433" s="6">
        <v>187</v>
      </c>
      <c r="AA433" s="6">
        <v>0</v>
      </c>
      <c r="AB433" s="6">
        <v>0</v>
      </c>
      <c r="AC433" s="7">
        <v>63</v>
      </c>
      <c r="AD433" s="7" t="s">
        <v>52</v>
      </c>
      <c r="AE433" s="7">
        <v>26.21</v>
      </c>
      <c r="AF433" s="76">
        <v>224</v>
      </c>
      <c r="AG433" s="7">
        <v>33.729999999999997</v>
      </c>
      <c r="AH433" s="7">
        <v>43.78</v>
      </c>
      <c r="AI433" s="7">
        <v>45.62</v>
      </c>
      <c r="AJ433" s="9">
        <v>338.86209102562799</v>
      </c>
      <c r="AK433" s="9">
        <v>346.81975577292599</v>
      </c>
      <c r="AL433" s="9">
        <v>425.07457505099802</v>
      </c>
      <c r="AM433" s="9" t="s">
        <v>169</v>
      </c>
      <c r="AN433" s="9" t="s">
        <v>169</v>
      </c>
      <c r="AO433" s="9" t="s">
        <v>169</v>
      </c>
      <c r="AP433" s="9" t="s">
        <v>169</v>
      </c>
      <c r="AQ433" s="9" t="s">
        <v>169</v>
      </c>
      <c r="AR433" s="9" t="s">
        <v>169</v>
      </c>
      <c r="AS433" s="73" t="s">
        <v>169</v>
      </c>
      <c r="AT433" s="10" t="s">
        <v>169</v>
      </c>
      <c r="AU433" s="10" t="s">
        <v>169</v>
      </c>
      <c r="AV433" s="10">
        <v>0</v>
      </c>
      <c r="AW433" s="10"/>
      <c r="AX433" s="10" t="s">
        <v>169</v>
      </c>
      <c r="AY433" s="10"/>
      <c r="AZ433" s="10"/>
      <c r="BA433" s="10"/>
      <c r="BB433" s="8"/>
      <c r="BC433" s="8"/>
      <c r="BD433" s="8"/>
      <c r="BE433" s="8"/>
      <c r="BF433" s="12">
        <v>0.45</v>
      </c>
      <c r="BG433" s="13">
        <v>333.39897760229098</v>
      </c>
      <c r="BH433" s="96" t="str">
        <f>+VLOOKUP(G433,Liste!$A$7:$G$50,3,FALSE)</f>
        <v>Pin Laricio</v>
      </c>
      <c r="BI433" s="96" t="str">
        <f>+VLOOKUP(H433,Liste!$B$7:$G$50,5,FALSE)</f>
        <v>GS Pineraies des plaines du Centre et du Nord Ouest</v>
      </c>
      <c r="BJ433" s="135">
        <f t="shared" si="129"/>
        <v>63</v>
      </c>
      <c r="BK433" s="135" t="str">
        <f t="shared" si="131"/>
        <v>Pin Laricio_F2_Classique_GS Pineraies des plaines du Centre et du Nord Ouest_63_</v>
      </c>
      <c r="BL433" s="322"/>
      <c r="BM433" s="13">
        <v>83.275268700327402</v>
      </c>
      <c r="BN433" s="13">
        <v>416.67424630261797</v>
      </c>
      <c r="BO433" s="13" t="s">
        <v>169</v>
      </c>
      <c r="BP433" s="13">
        <v>261.61729964832301</v>
      </c>
      <c r="BQ433" s="13" t="s">
        <v>169</v>
      </c>
      <c r="BT433" s="298" t="str">
        <f>+VLOOKUP(G433,Liste!$A$7:$H$50,8,FALSE)</f>
        <v>Résineux</v>
      </c>
      <c r="BU433" s="298">
        <f t="shared" si="132"/>
        <v>0</v>
      </c>
      <c r="BV433" s="300">
        <f t="shared" si="133"/>
        <v>1</v>
      </c>
      <c r="BW433" s="321">
        <v>0</v>
      </c>
      <c r="BX433" s="298">
        <f t="shared" si="134"/>
        <v>0.43</v>
      </c>
      <c r="BY433">
        <f t="shared" si="135"/>
        <v>0</v>
      </c>
      <c r="BZ433" s="304">
        <f t="shared" si="136"/>
        <v>0</v>
      </c>
      <c r="CB433" s="299">
        <v>0.6</v>
      </c>
      <c r="CC433" s="299">
        <v>0.4</v>
      </c>
      <c r="CD433">
        <f t="shared" si="137"/>
        <v>0</v>
      </c>
      <c r="CE433">
        <f t="shared" si="138"/>
        <v>0</v>
      </c>
      <c r="CF433">
        <f t="shared" si="139"/>
        <v>0</v>
      </c>
      <c r="CG433">
        <f t="shared" si="140"/>
        <v>0</v>
      </c>
      <c r="CH433">
        <f t="shared" si="141"/>
        <v>0</v>
      </c>
      <c r="CI433">
        <f t="shared" si="142"/>
        <v>0</v>
      </c>
      <c r="CJ433">
        <f t="shared" si="143"/>
        <v>0</v>
      </c>
      <c r="CK433">
        <f t="shared" si="144"/>
        <v>0</v>
      </c>
      <c r="CL433">
        <f t="shared" si="145"/>
        <v>0</v>
      </c>
      <c r="CM433">
        <f t="shared" si="147"/>
        <v>0</v>
      </c>
      <c r="CN433">
        <f t="shared" si="146"/>
        <v>0</v>
      </c>
      <c r="CO433">
        <f t="shared" si="130"/>
        <v>0</v>
      </c>
    </row>
    <row r="434" spans="1:93" s="12" customFormat="1" ht="14.65" customHeight="1" x14ac:dyDescent="0.25">
      <c r="A434" s="4">
        <v>2021</v>
      </c>
      <c r="B434" s="4"/>
      <c r="C434" s="4" t="s">
        <v>179</v>
      </c>
      <c r="D434" s="4" t="s">
        <v>65</v>
      </c>
      <c r="E434" s="4"/>
      <c r="F434" s="4" t="s">
        <v>90</v>
      </c>
      <c r="G434" s="5" t="s">
        <v>180</v>
      </c>
      <c r="H434" s="5" t="s">
        <v>21</v>
      </c>
      <c r="I434" s="5" t="s">
        <v>18</v>
      </c>
      <c r="J434" s="5" t="s">
        <v>10</v>
      </c>
      <c r="K434" s="5">
        <v>23.3</v>
      </c>
      <c r="L434" s="5" t="s">
        <v>190</v>
      </c>
      <c r="M434" s="5">
        <v>1666</v>
      </c>
      <c r="N434" s="5" t="s">
        <v>171</v>
      </c>
      <c r="O434" s="6" t="s">
        <v>81</v>
      </c>
      <c r="P434" s="6" t="s">
        <v>181</v>
      </c>
      <c r="Q434" s="6"/>
      <c r="R434" s="6"/>
      <c r="S434" s="6">
        <v>22</v>
      </c>
      <c r="T434" s="6">
        <v>11.13</v>
      </c>
      <c r="U434" s="6">
        <v>1444</v>
      </c>
      <c r="V434" s="6">
        <v>25.27</v>
      </c>
      <c r="W434" s="6">
        <v>1</v>
      </c>
      <c r="X434" s="6">
        <v>272</v>
      </c>
      <c r="Y434" s="6">
        <v>985</v>
      </c>
      <c r="Z434" s="6">
        <v>187</v>
      </c>
      <c r="AA434" s="6">
        <v>0</v>
      </c>
      <c r="AB434" s="6">
        <v>0</v>
      </c>
      <c r="AC434" s="7">
        <v>64</v>
      </c>
      <c r="AD434" s="7" t="s">
        <v>52</v>
      </c>
      <c r="AE434" s="7">
        <v>26.39</v>
      </c>
      <c r="AF434" s="76">
        <v>224</v>
      </c>
      <c r="AG434" s="7">
        <v>34.54</v>
      </c>
      <c r="AH434" s="7">
        <v>44.31</v>
      </c>
      <c r="AI434" s="7">
        <v>46.17</v>
      </c>
      <c r="AJ434" s="9">
        <v>348.76386961903597</v>
      </c>
      <c r="AK434" s="9">
        <v>357.02147981964799</v>
      </c>
      <c r="AL434" s="9">
        <v>437.44379029755203</v>
      </c>
      <c r="AM434" s="9" t="s">
        <v>169</v>
      </c>
      <c r="AN434" s="9" t="s">
        <v>169</v>
      </c>
      <c r="AO434" s="9" t="s">
        <v>169</v>
      </c>
      <c r="AP434" s="9" t="s">
        <v>169</v>
      </c>
      <c r="AQ434" s="9" t="s">
        <v>169</v>
      </c>
      <c r="AR434" s="9" t="s">
        <v>169</v>
      </c>
      <c r="AS434" s="73" t="s">
        <v>169</v>
      </c>
      <c r="AT434" s="10" t="s">
        <v>169</v>
      </c>
      <c r="AU434" s="10" t="s">
        <v>169</v>
      </c>
      <c r="AV434" s="10">
        <v>0</v>
      </c>
      <c r="AW434" s="10"/>
      <c r="AX434" s="10" t="s">
        <v>169</v>
      </c>
      <c r="AY434" s="10"/>
      <c r="AZ434" s="10"/>
      <c r="BA434" s="10"/>
      <c r="BB434" s="8"/>
      <c r="BC434" s="8"/>
      <c r="BD434" s="8"/>
      <c r="BE434" s="8"/>
      <c r="BF434" s="12">
        <v>0.45</v>
      </c>
      <c r="BG434" s="13">
        <v>343.10053106840701</v>
      </c>
      <c r="BH434" s="96" t="str">
        <f>+VLOOKUP(G434,Liste!$A$7:$G$50,3,FALSE)</f>
        <v>Pin Laricio</v>
      </c>
      <c r="BI434" s="96" t="str">
        <f>+VLOOKUP(H434,Liste!$B$7:$G$50,5,FALSE)</f>
        <v>GS Pineraies des plaines du Centre et du Nord Ouest</v>
      </c>
      <c r="BJ434" s="135">
        <f t="shared" si="129"/>
        <v>64</v>
      </c>
      <c r="BK434" s="135" t="str">
        <f t="shared" si="131"/>
        <v>Pin Laricio_F2_Classique_GS Pineraies des plaines du Centre et du Nord Ouest_64_</v>
      </c>
      <c r="BL434" s="322"/>
      <c r="BM434" s="13">
        <v>85.415455439673195</v>
      </c>
      <c r="BN434" s="13">
        <v>428.51598650808</v>
      </c>
      <c r="BO434" s="13" t="s">
        <v>169</v>
      </c>
      <c r="BP434" s="13">
        <v>261.61729964832301</v>
      </c>
      <c r="BQ434" s="13" t="s">
        <v>169</v>
      </c>
      <c r="BT434" s="298" t="str">
        <f>+VLOOKUP(G434,Liste!$A$7:$H$50,8,FALSE)</f>
        <v>Résineux</v>
      </c>
      <c r="BU434" s="298">
        <f t="shared" si="132"/>
        <v>0</v>
      </c>
      <c r="BV434" s="300">
        <f t="shared" si="133"/>
        <v>1</v>
      </c>
      <c r="BW434" s="321">
        <v>0</v>
      </c>
      <c r="BX434" s="298">
        <f t="shared" si="134"/>
        <v>0.43</v>
      </c>
      <c r="BY434">
        <f t="shared" si="135"/>
        <v>0</v>
      </c>
      <c r="BZ434" s="304">
        <f t="shared" si="136"/>
        <v>0</v>
      </c>
      <c r="CB434" s="299">
        <v>0.6</v>
      </c>
      <c r="CC434" s="299">
        <v>0.4</v>
      </c>
      <c r="CD434">
        <f t="shared" si="137"/>
        <v>0</v>
      </c>
      <c r="CE434">
        <f t="shared" si="138"/>
        <v>0</v>
      </c>
      <c r="CF434">
        <f t="shared" si="139"/>
        <v>0</v>
      </c>
      <c r="CG434">
        <f t="shared" si="140"/>
        <v>0</v>
      </c>
      <c r="CH434">
        <f t="shared" si="141"/>
        <v>0</v>
      </c>
      <c r="CI434">
        <f t="shared" si="142"/>
        <v>0</v>
      </c>
      <c r="CJ434">
        <f t="shared" si="143"/>
        <v>0</v>
      </c>
      <c r="CK434">
        <f t="shared" si="144"/>
        <v>0</v>
      </c>
      <c r="CL434">
        <f t="shared" si="145"/>
        <v>0</v>
      </c>
      <c r="CM434">
        <f t="shared" si="147"/>
        <v>0</v>
      </c>
      <c r="CN434">
        <f t="shared" si="146"/>
        <v>0</v>
      </c>
      <c r="CO434">
        <f t="shared" si="130"/>
        <v>0</v>
      </c>
    </row>
    <row r="435" spans="1:93" s="12" customFormat="1" ht="14.65" customHeight="1" x14ac:dyDescent="0.25">
      <c r="A435" s="4">
        <v>2021</v>
      </c>
      <c r="B435" s="4"/>
      <c r="C435" s="4" t="s">
        <v>179</v>
      </c>
      <c r="D435" s="4" t="s">
        <v>65</v>
      </c>
      <c r="E435" s="4"/>
      <c r="F435" s="4" t="s">
        <v>90</v>
      </c>
      <c r="G435" s="5" t="s">
        <v>180</v>
      </c>
      <c r="H435" s="5" t="s">
        <v>21</v>
      </c>
      <c r="I435" s="5" t="s">
        <v>18</v>
      </c>
      <c r="J435" s="5" t="s">
        <v>10</v>
      </c>
      <c r="K435" s="5">
        <v>23.3</v>
      </c>
      <c r="L435" s="5" t="s">
        <v>190</v>
      </c>
      <c r="M435" s="5">
        <v>1666</v>
      </c>
      <c r="N435" s="5" t="s">
        <v>171</v>
      </c>
      <c r="O435" s="6" t="s">
        <v>81</v>
      </c>
      <c r="P435" s="6" t="s">
        <v>181</v>
      </c>
      <c r="Q435" s="6"/>
      <c r="R435" s="6"/>
      <c r="S435" s="6">
        <v>22</v>
      </c>
      <c r="T435" s="6">
        <v>11.13</v>
      </c>
      <c r="U435" s="6">
        <v>1444</v>
      </c>
      <c r="V435" s="6">
        <v>25.27</v>
      </c>
      <c r="W435" s="6">
        <v>1</v>
      </c>
      <c r="X435" s="6">
        <v>272</v>
      </c>
      <c r="Y435" s="6">
        <v>985</v>
      </c>
      <c r="Z435" s="6">
        <v>187</v>
      </c>
      <c r="AA435" s="6">
        <v>0</v>
      </c>
      <c r="AB435" s="6">
        <v>0</v>
      </c>
      <c r="AC435" s="7">
        <v>65</v>
      </c>
      <c r="AD435" s="7" t="s">
        <v>52</v>
      </c>
      <c r="AE435" s="7">
        <v>26.56</v>
      </c>
      <c r="AF435" s="76">
        <v>224</v>
      </c>
      <c r="AG435" s="7">
        <v>35.33</v>
      </c>
      <c r="AH435" s="7">
        <v>44.82</v>
      </c>
      <c r="AI435" s="7">
        <v>46.7</v>
      </c>
      <c r="AJ435" s="9">
        <v>358.66564821244401</v>
      </c>
      <c r="AK435" s="9">
        <v>367.22320386636898</v>
      </c>
      <c r="AL435" s="9">
        <v>449.81300554410598</v>
      </c>
      <c r="AM435" s="9" t="s">
        <v>169</v>
      </c>
      <c r="AN435" s="9" t="s">
        <v>169</v>
      </c>
      <c r="AO435" s="9" t="s">
        <v>169</v>
      </c>
      <c r="AP435" s="9" t="s">
        <v>169</v>
      </c>
      <c r="AQ435" s="9" t="s">
        <v>169</v>
      </c>
      <c r="AR435" s="9" t="s">
        <v>169</v>
      </c>
      <c r="AS435" s="73" t="s">
        <v>169</v>
      </c>
      <c r="AT435" s="10" t="s">
        <v>169</v>
      </c>
      <c r="AU435" s="10" t="s">
        <v>169</v>
      </c>
      <c r="AV435" s="10">
        <v>0</v>
      </c>
      <c r="AW435" s="10"/>
      <c r="AX435" s="10" t="s">
        <v>169</v>
      </c>
      <c r="AY435" s="10"/>
      <c r="AZ435" s="10"/>
      <c r="BA435" s="10"/>
      <c r="BB435" s="8"/>
      <c r="BC435" s="8"/>
      <c r="BD435" s="8"/>
      <c r="BE435" s="8"/>
      <c r="BF435" s="12">
        <v>0.45</v>
      </c>
      <c r="BG435" s="13">
        <v>352.80208453452201</v>
      </c>
      <c r="BH435" s="96" t="str">
        <f>+VLOOKUP(G435,Liste!$A$7:$G$50,3,FALSE)</f>
        <v>Pin Laricio</v>
      </c>
      <c r="BI435" s="96" t="str">
        <f>+VLOOKUP(H435,Liste!$B$7:$G$50,5,FALSE)</f>
        <v>GS Pineraies des plaines du Centre et du Nord Ouest</v>
      </c>
      <c r="BJ435" s="135">
        <f t="shared" si="129"/>
        <v>65</v>
      </c>
      <c r="BK435" s="135" t="str">
        <f t="shared" si="131"/>
        <v>Pin Laricio_F2_Classique_GS Pineraies des plaines du Centre et du Nord Ouest_65_</v>
      </c>
      <c r="BL435" s="322"/>
      <c r="BM435" s="13">
        <v>87.555642179019003</v>
      </c>
      <c r="BN435" s="13">
        <v>440.35772671354101</v>
      </c>
      <c r="BO435" s="13" t="s">
        <v>169</v>
      </c>
      <c r="BP435" s="13">
        <v>261.61729964832301</v>
      </c>
      <c r="BQ435" s="13" t="s">
        <v>169</v>
      </c>
      <c r="BT435" s="298" t="str">
        <f>+VLOOKUP(G435,Liste!$A$7:$H$50,8,FALSE)</f>
        <v>Résineux</v>
      </c>
      <c r="BU435" s="298">
        <f t="shared" si="132"/>
        <v>0</v>
      </c>
      <c r="BV435" s="300">
        <f t="shared" si="133"/>
        <v>1</v>
      </c>
      <c r="BW435" s="321">
        <v>0</v>
      </c>
      <c r="BX435" s="298">
        <f t="shared" si="134"/>
        <v>0.43</v>
      </c>
      <c r="BY435">
        <f t="shared" si="135"/>
        <v>0</v>
      </c>
      <c r="BZ435" s="304">
        <f t="shared" si="136"/>
        <v>0</v>
      </c>
      <c r="CB435" s="299">
        <v>0.6</v>
      </c>
      <c r="CC435" s="299">
        <v>0.4</v>
      </c>
      <c r="CD435">
        <f t="shared" si="137"/>
        <v>0</v>
      </c>
      <c r="CE435">
        <f t="shared" si="138"/>
        <v>0</v>
      </c>
      <c r="CF435">
        <f t="shared" si="139"/>
        <v>0</v>
      </c>
      <c r="CG435">
        <f t="shared" si="140"/>
        <v>0</v>
      </c>
      <c r="CH435">
        <f t="shared" si="141"/>
        <v>0</v>
      </c>
      <c r="CI435">
        <f t="shared" si="142"/>
        <v>0</v>
      </c>
      <c r="CJ435">
        <f t="shared" si="143"/>
        <v>0</v>
      </c>
      <c r="CK435">
        <f t="shared" si="144"/>
        <v>0</v>
      </c>
      <c r="CL435">
        <f t="shared" si="145"/>
        <v>0</v>
      </c>
      <c r="CM435">
        <f t="shared" si="147"/>
        <v>0</v>
      </c>
      <c r="CN435">
        <f t="shared" si="146"/>
        <v>0</v>
      </c>
      <c r="CO435">
        <f t="shared" si="130"/>
        <v>0</v>
      </c>
    </row>
    <row r="436" spans="1:93" s="12" customFormat="1" ht="14.65" customHeight="1" x14ac:dyDescent="0.25">
      <c r="A436" s="4">
        <v>2021</v>
      </c>
      <c r="B436" s="4"/>
      <c r="C436" s="4" t="s">
        <v>179</v>
      </c>
      <c r="D436" s="4" t="s">
        <v>65</v>
      </c>
      <c r="E436" s="4"/>
      <c r="F436" s="4" t="s">
        <v>90</v>
      </c>
      <c r="G436" s="5" t="s">
        <v>180</v>
      </c>
      <c r="H436" s="5" t="s">
        <v>21</v>
      </c>
      <c r="I436" s="5" t="s">
        <v>18</v>
      </c>
      <c r="J436" s="5" t="s">
        <v>10</v>
      </c>
      <c r="K436" s="5">
        <v>23.3</v>
      </c>
      <c r="L436" s="5" t="s">
        <v>190</v>
      </c>
      <c r="M436" s="5">
        <v>1666</v>
      </c>
      <c r="N436" s="5" t="s">
        <v>171</v>
      </c>
      <c r="O436" s="6" t="s">
        <v>81</v>
      </c>
      <c r="P436" s="6" t="s">
        <v>181</v>
      </c>
      <c r="Q436" s="6"/>
      <c r="R436" s="6"/>
      <c r="S436" s="6">
        <v>22</v>
      </c>
      <c r="T436" s="6">
        <v>11.13</v>
      </c>
      <c r="U436" s="6">
        <v>1444</v>
      </c>
      <c r="V436" s="6">
        <v>25.27</v>
      </c>
      <c r="W436" s="6">
        <v>1</v>
      </c>
      <c r="X436" s="6">
        <v>272</v>
      </c>
      <c r="Y436" s="6">
        <v>985</v>
      </c>
      <c r="Z436" s="6">
        <v>187</v>
      </c>
      <c r="AA436" s="6">
        <v>0</v>
      </c>
      <c r="AB436" s="6">
        <v>0</v>
      </c>
      <c r="AC436" s="7">
        <v>66</v>
      </c>
      <c r="AD436" s="7" t="s">
        <v>52</v>
      </c>
      <c r="AE436" s="7">
        <v>26.72</v>
      </c>
      <c r="AF436" s="76">
        <v>224</v>
      </c>
      <c r="AG436" s="7">
        <v>36.119999999999997</v>
      </c>
      <c r="AH436" s="7">
        <v>45.31</v>
      </c>
      <c r="AI436" s="7">
        <v>47.22</v>
      </c>
      <c r="AJ436" s="9">
        <v>368.56742680585199</v>
      </c>
      <c r="AK436" s="9">
        <v>377.42492791309002</v>
      </c>
      <c r="AL436" s="9">
        <v>462.18222079065902</v>
      </c>
      <c r="AM436" s="9" t="s">
        <v>169</v>
      </c>
      <c r="AN436" s="9" t="s">
        <v>169</v>
      </c>
      <c r="AO436" s="9" t="s">
        <v>169</v>
      </c>
      <c r="AP436" s="9" t="s">
        <v>169</v>
      </c>
      <c r="AQ436" s="9" t="s">
        <v>169</v>
      </c>
      <c r="AR436" s="9" t="s">
        <v>169</v>
      </c>
      <c r="AS436" s="73" t="s">
        <v>169</v>
      </c>
      <c r="AT436" s="10" t="s">
        <v>169</v>
      </c>
      <c r="AU436" s="10" t="s">
        <v>169</v>
      </c>
      <c r="AV436" s="10">
        <v>0</v>
      </c>
      <c r="AW436" s="10"/>
      <c r="AX436" s="10" t="s">
        <v>169</v>
      </c>
      <c r="AY436" s="10"/>
      <c r="AZ436" s="10"/>
      <c r="BA436" s="10"/>
      <c r="BB436" s="8"/>
      <c r="BC436" s="8"/>
      <c r="BD436" s="8"/>
      <c r="BE436" s="8"/>
      <c r="BF436" s="12">
        <v>0.45</v>
      </c>
      <c r="BG436" s="13">
        <v>362.50363800063798</v>
      </c>
      <c r="BH436" s="96" t="str">
        <f>+VLOOKUP(G436,Liste!$A$7:$G$50,3,FALSE)</f>
        <v>Pin Laricio</v>
      </c>
      <c r="BI436" s="96" t="str">
        <f>+VLOOKUP(H436,Liste!$B$7:$G$50,5,FALSE)</f>
        <v>GS Pineraies des plaines du Centre et du Nord Ouest</v>
      </c>
      <c r="BJ436" s="135">
        <f t="shared" si="129"/>
        <v>66</v>
      </c>
      <c r="BK436" s="135" t="str">
        <f t="shared" si="131"/>
        <v>Pin Laricio_F2_Classique_GS Pineraies des plaines du Centre et du Nord Ouest_66_</v>
      </c>
      <c r="BL436" s="322"/>
      <c r="BM436" s="13">
        <v>89.695828918364796</v>
      </c>
      <c r="BN436" s="13">
        <v>452.19946691900299</v>
      </c>
      <c r="BO436" s="13" t="s">
        <v>169</v>
      </c>
      <c r="BP436" s="13">
        <v>261.61729964832301</v>
      </c>
      <c r="BQ436" s="13" t="s">
        <v>169</v>
      </c>
      <c r="BT436" s="298" t="str">
        <f>+VLOOKUP(G436,Liste!$A$7:$H$50,8,FALSE)</f>
        <v>Résineux</v>
      </c>
      <c r="BU436" s="298">
        <f t="shared" si="132"/>
        <v>0</v>
      </c>
      <c r="BV436" s="300">
        <f t="shared" si="133"/>
        <v>1</v>
      </c>
      <c r="BW436" s="321">
        <v>0</v>
      </c>
      <c r="BX436" s="298">
        <f t="shared" si="134"/>
        <v>0.43</v>
      </c>
      <c r="BY436">
        <f t="shared" si="135"/>
        <v>0</v>
      </c>
      <c r="BZ436" s="304">
        <f t="shared" si="136"/>
        <v>0</v>
      </c>
      <c r="CB436" s="299">
        <v>0.6</v>
      </c>
      <c r="CC436" s="299">
        <v>0.4</v>
      </c>
      <c r="CD436">
        <f t="shared" si="137"/>
        <v>0</v>
      </c>
      <c r="CE436">
        <f t="shared" si="138"/>
        <v>0</v>
      </c>
      <c r="CF436">
        <f t="shared" si="139"/>
        <v>0</v>
      </c>
      <c r="CG436">
        <f t="shared" si="140"/>
        <v>0</v>
      </c>
      <c r="CH436">
        <f t="shared" si="141"/>
        <v>0</v>
      </c>
      <c r="CI436">
        <f t="shared" si="142"/>
        <v>0</v>
      </c>
      <c r="CJ436">
        <f t="shared" si="143"/>
        <v>0</v>
      </c>
      <c r="CK436">
        <f t="shared" si="144"/>
        <v>0</v>
      </c>
      <c r="CL436">
        <f t="shared" si="145"/>
        <v>0</v>
      </c>
      <c r="CM436">
        <f t="shared" si="147"/>
        <v>0</v>
      </c>
      <c r="CN436">
        <f t="shared" si="146"/>
        <v>0</v>
      </c>
      <c r="CO436">
        <f t="shared" si="130"/>
        <v>0</v>
      </c>
    </row>
    <row r="437" spans="1:93" s="12" customFormat="1" ht="14.65" customHeight="1" x14ac:dyDescent="0.25">
      <c r="A437" s="4">
        <v>2021</v>
      </c>
      <c r="B437" s="4"/>
      <c r="C437" s="4" t="s">
        <v>179</v>
      </c>
      <c r="D437" s="4" t="s">
        <v>65</v>
      </c>
      <c r="E437" s="4"/>
      <c r="F437" s="4" t="s">
        <v>90</v>
      </c>
      <c r="G437" s="5" t="s">
        <v>180</v>
      </c>
      <c r="H437" s="5" t="s">
        <v>21</v>
      </c>
      <c r="I437" s="5" t="s">
        <v>18</v>
      </c>
      <c r="J437" s="5" t="s">
        <v>10</v>
      </c>
      <c r="K437" s="5">
        <v>23.3</v>
      </c>
      <c r="L437" s="5" t="s">
        <v>190</v>
      </c>
      <c r="M437" s="5">
        <v>1666</v>
      </c>
      <c r="N437" s="5" t="s">
        <v>171</v>
      </c>
      <c r="O437" s="6" t="s">
        <v>81</v>
      </c>
      <c r="P437" s="6" t="s">
        <v>181</v>
      </c>
      <c r="Q437" s="6"/>
      <c r="R437" s="6"/>
      <c r="S437" s="6">
        <v>22</v>
      </c>
      <c r="T437" s="6">
        <v>11.13</v>
      </c>
      <c r="U437" s="6">
        <v>1444</v>
      </c>
      <c r="V437" s="6">
        <v>25.27</v>
      </c>
      <c r="W437" s="6">
        <v>1</v>
      </c>
      <c r="X437" s="6">
        <v>272</v>
      </c>
      <c r="Y437" s="6">
        <v>985</v>
      </c>
      <c r="Z437" s="6">
        <v>187</v>
      </c>
      <c r="AA437" s="6">
        <v>0</v>
      </c>
      <c r="AB437" s="6">
        <v>0</v>
      </c>
      <c r="AC437" s="7">
        <v>67</v>
      </c>
      <c r="AD437" s="7" t="s">
        <v>52</v>
      </c>
      <c r="AE437" s="7">
        <v>26.88</v>
      </c>
      <c r="AF437" s="76">
        <v>224</v>
      </c>
      <c r="AG437" s="7">
        <v>36.89</v>
      </c>
      <c r="AH437" s="7">
        <v>45.79</v>
      </c>
      <c r="AI437" s="7">
        <v>47.72</v>
      </c>
      <c r="AJ437" s="9">
        <v>378.469205399261</v>
      </c>
      <c r="AK437" s="9">
        <v>387.62665195981202</v>
      </c>
      <c r="AL437" s="9">
        <v>474.55143603721302</v>
      </c>
      <c r="AM437" s="9" t="s">
        <v>169</v>
      </c>
      <c r="AN437" s="9" t="s">
        <v>169</v>
      </c>
      <c r="AO437" s="9" t="s">
        <v>169</v>
      </c>
      <c r="AP437" s="9" t="s">
        <v>169</v>
      </c>
      <c r="AQ437" s="9" t="s">
        <v>169</v>
      </c>
      <c r="AR437" s="9" t="s">
        <v>169</v>
      </c>
      <c r="AS437" s="73" t="s">
        <v>169</v>
      </c>
      <c r="AT437" s="10" t="s">
        <v>169</v>
      </c>
      <c r="AU437" s="10" t="s">
        <v>169</v>
      </c>
      <c r="AV437" s="10">
        <v>0</v>
      </c>
      <c r="AW437" s="10"/>
      <c r="AX437" s="10" t="s">
        <v>169</v>
      </c>
      <c r="AY437" s="10"/>
      <c r="AZ437" s="10"/>
      <c r="BA437" s="10"/>
      <c r="BB437" s="8"/>
      <c r="BC437" s="8"/>
      <c r="BD437" s="8"/>
      <c r="BE437" s="8"/>
      <c r="BF437" s="12">
        <v>0.45</v>
      </c>
      <c r="BG437" s="13">
        <v>372.205191466754</v>
      </c>
      <c r="BH437" s="96" t="str">
        <f>+VLOOKUP(G437,Liste!$A$7:$G$50,3,FALSE)</f>
        <v>Pin Laricio</v>
      </c>
      <c r="BI437" s="96" t="str">
        <f>+VLOOKUP(H437,Liste!$B$7:$G$50,5,FALSE)</f>
        <v>GS Pineraies des plaines du Centre et du Nord Ouest</v>
      </c>
      <c r="BJ437" s="135">
        <f t="shared" si="129"/>
        <v>67</v>
      </c>
      <c r="BK437" s="135" t="str">
        <f t="shared" si="131"/>
        <v>Pin Laricio_F2_Classique_GS Pineraies des plaines du Centre et du Nord Ouest_67_</v>
      </c>
      <c r="BL437" s="322"/>
      <c r="BM437" s="13">
        <v>91.836015657710504</v>
      </c>
      <c r="BN437" s="13">
        <v>464.04120712446502</v>
      </c>
      <c r="BO437" s="13" t="s">
        <v>169</v>
      </c>
      <c r="BP437" s="13">
        <v>261.61729964832301</v>
      </c>
      <c r="BQ437" s="13" t="s">
        <v>169</v>
      </c>
      <c r="BT437" s="298" t="str">
        <f>+VLOOKUP(G437,Liste!$A$7:$H$50,8,FALSE)</f>
        <v>Résineux</v>
      </c>
      <c r="BU437" s="298">
        <f t="shared" si="132"/>
        <v>0</v>
      </c>
      <c r="BV437" s="300">
        <f t="shared" si="133"/>
        <v>1</v>
      </c>
      <c r="BW437" s="321">
        <v>0</v>
      </c>
      <c r="BX437" s="298">
        <f t="shared" si="134"/>
        <v>0.43</v>
      </c>
      <c r="BY437">
        <f t="shared" si="135"/>
        <v>0</v>
      </c>
      <c r="BZ437" s="304">
        <f t="shared" si="136"/>
        <v>0</v>
      </c>
      <c r="CB437" s="299">
        <v>0.6</v>
      </c>
      <c r="CC437" s="299">
        <v>0.4</v>
      </c>
      <c r="CD437">
        <f t="shared" si="137"/>
        <v>0</v>
      </c>
      <c r="CE437">
        <f t="shared" si="138"/>
        <v>0</v>
      </c>
      <c r="CF437">
        <f t="shared" si="139"/>
        <v>0</v>
      </c>
      <c r="CG437">
        <f t="shared" si="140"/>
        <v>0</v>
      </c>
      <c r="CH437">
        <f t="shared" si="141"/>
        <v>0</v>
      </c>
      <c r="CI437">
        <f t="shared" si="142"/>
        <v>0</v>
      </c>
      <c r="CJ437">
        <f t="shared" si="143"/>
        <v>0</v>
      </c>
      <c r="CK437">
        <f t="shared" si="144"/>
        <v>0</v>
      </c>
      <c r="CL437">
        <f t="shared" si="145"/>
        <v>0</v>
      </c>
      <c r="CM437">
        <f t="shared" si="147"/>
        <v>0</v>
      </c>
      <c r="CN437">
        <f t="shared" si="146"/>
        <v>0</v>
      </c>
      <c r="CO437">
        <f t="shared" si="130"/>
        <v>0</v>
      </c>
    </row>
    <row r="438" spans="1:93" s="12" customFormat="1" ht="14.65" customHeight="1" x14ac:dyDescent="0.25">
      <c r="A438" s="4">
        <v>2021</v>
      </c>
      <c r="B438" s="4"/>
      <c r="C438" s="4" t="s">
        <v>179</v>
      </c>
      <c r="D438" s="4" t="s">
        <v>65</v>
      </c>
      <c r="E438" s="4"/>
      <c r="F438" s="4" t="s">
        <v>90</v>
      </c>
      <c r="G438" s="5" t="s">
        <v>180</v>
      </c>
      <c r="H438" s="5" t="s">
        <v>21</v>
      </c>
      <c r="I438" s="5" t="s">
        <v>18</v>
      </c>
      <c r="J438" s="5" t="s">
        <v>10</v>
      </c>
      <c r="K438" s="5">
        <v>23.3</v>
      </c>
      <c r="L438" s="5" t="s">
        <v>190</v>
      </c>
      <c r="M438" s="5">
        <v>1666</v>
      </c>
      <c r="N438" s="5" t="s">
        <v>171</v>
      </c>
      <c r="O438" s="6" t="s">
        <v>81</v>
      </c>
      <c r="P438" s="6" t="s">
        <v>181</v>
      </c>
      <c r="Q438" s="6"/>
      <c r="R438" s="6"/>
      <c r="S438" s="6">
        <v>22</v>
      </c>
      <c r="T438" s="6">
        <v>11.13</v>
      </c>
      <c r="U438" s="6">
        <v>1444</v>
      </c>
      <c r="V438" s="6">
        <v>25.27</v>
      </c>
      <c r="W438" s="6">
        <v>1</v>
      </c>
      <c r="X438" s="6">
        <v>272</v>
      </c>
      <c r="Y438" s="6">
        <v>985</v>
      </c>
      <c r="Z438" s="6">
        <v>187</v>
      </c>
      <c r="AA438" s="6">
        <v>0</v>
      </c>
      <c r="AB438" s="6">
        <v>0</v>
      </c>
      <c r="AC438" s="7">
        <v>68</v>
      </c>
      <c r="AD438" s="7" t="s">
        <v>52</v>
      </c>
      <c r="AE438" s="7">
        <v>27.04</v>
      </c>
      <c r="AF438" s="76">
        <v>224</v>
      </c>
      <c r="AG438" s="7">
        <v>37.65</v>
      </c>
      <c r="AH438" s="7">
        <v>46.26</v>
      </c>
      <c r="AI438" s="7">
        <v>48.21</v>
      </c>
      <c r="AJ438" s="9">
        <v>388.37098399266898</v>
      </c>
      <c r="AK438" s="9">
        <v>397.82837600653301</v>
      </c>
      <c r="AL438" s="9">
        <v>486.92065128376697</v>
      </c>
      <c r="AM438" s="9">
        <v>78.230704361047799</v>
      </c>
      <c r="AN438" s="9">
        <v>1.15045153472129</v>
      </c>
      <c r="AO438" s="9">
        <v>0.74655833495189905</v>
      </c>
      <c r="AP438" s="9">
        <v>855.75790831498</v>
      </c>
      <c r="AQ438" s="9">
        <v>12.5846751222791</v>
      </c>
      <c r="AR438" s="9">
        <v>11.8304831152013</v>
      </c>
      <c r="AS438" s="73" t="s">
        <v>169</v>
      </c>
      <c r="AT438" s="10" t="s">
        <v>169</v>
      </c>
      <c r="AU438" s="10" t="s">
        <v>169</v>
      </c>
      <c r="AV438" s="10">
        <v>0</v>
      </c>
      <c r="AW438" s="10"/>
      <c r="AX438" s="10" t="s">
        <v>169</v>
      </c>
      <c r="AY438" s="10"/>
      <c r="AZ438" s="10"/>
      <c r="BA438" s="10"/>
      <c r="BB438" s="8"/>
      <c r="BC438" s="8"/>
      <c r="BD438" s="8"/>
      <c r="BE438" s="8"/>
      <c r="BF438" s="12">
        <v>0.45</v>
      </c>
      <c r="BG438" s="13">
        <v>381.90674493287003</v>
      </c>
      <c r="BH438" s="96" t="str">
        <f>+VLOOKUP(G438,Liste!$A$7:$G$50,3,FALSE)</f>
        <v>Pin Laricio</v>
      </c>
      <c r="BI438" s="96" t="str">
        <f>+VLOOKUP(H438,Liste!$B$7:$G$50,5,FALSE)</f>
        <v>GS Pineraies des plaines du Centre et du Nord Ouest</v>
      </c>
      <c r="BJ438" s="135">
        <f t="shared" si="129"/>
        <v>68</v>
      </c>
      <c r="BK438" s="135" t="str">
        <f t="shared" si="131"/>
        <v>Pin Laricio_F2_Classique_GS Pineraies des plaines du Centre et du Nord Ouest_68_</v>
      </c>
      <c r="BL438" s="322"/>
      <c r="BM438" s="13">
        <v>93.976202397056298</v>
      </c>
      <c r="BN438" s="13">
        <v>475.88294732992603</v>
      </c>
      <c r="BO438" s="13" t="s">
        <v>169</v>
      </c>
      <c r="BP438" s="13">
        <v>261.61729964832301</v>
      </c>
      <c r="BQ438" s="13">
        <v>11.1668468007292</v>
      </c>
      <c r="BT438" s="298" t="str">
        <f>+VLOOKUP(G438,Liste!$A$7:$H$50,8,FALSE)</f>
        <v>Résineux</v>
      </c>
      <c r="BU438" s="298">
        <f t="shared" si="132"/>
        <v>0</v>
      </c>
      <c r="BV438" s="300">
        <f t="shared" si="133"/>
        <v>1</v>
      </c>
      <c r="BW438" s="321">
        <v>0</v>
      </c>
      <c r="BX438" s="298">
        <f t="shared" si="134"/>
        <v>0.43</v>
      </c>
      <c r="BY438">
        <f t="shared" si="135"/>
        <v>0</v>
      </c>
      <c r="BZ438" s="304">
        <f t="shared" si="136"/>
        <v>0</v>
      </c>
      <c r="CB438" s="299">
        <v>0.6</v>
      </c>
      <c r="CC438" s="299">
        <v>0.4</v>
      </c>
      <c r="CD438">
        <f t="shared" si="137"/>
        <v>0</v>
      </c>
      <c r="CE438">
        <f t="shared" si="138"/>
        <v>0</v>
      </c>
      <c r="CF438">
        <f t="shared" si="139"/>
        <v>0</v>
      </c>
      <c r="CG438">
        <f t="shared" si="140"/>
        <v>0</v>
      </c>
      <c r="CH438">
        <f t="shared" si="141"/>
        <v>0</v>
      </c>
      <c r="CI438">
        <f t="shared" si="142"/>
        <v>0</v>
      </c>
      <c r="CJ438">
        <f t="shared" si="143"/>
        <v>0</v>
      </c>
      <c r="CK438">
        <f t="shared" si="144"/>
        <v>0</v>
      </c>
      <c r="CL438">
        <f t="shared" si="145"/>
        <v>0</v>
      </c>
      <c r="CM438">
        <f t="shared" si="147"/>
        <v>0</v>
      </c>
      <c r="CN438">
        <f t="shared" si="146"/>
        <v>0</v>
      </c>
      <c r="CO438">
        <f t="shared" si="130"/>
        <v>0</v>
      </c>
    </row>
    <row r="439" spans="1:93" s="12" customFormat="1" ht="14.65" customHeight="1" x14ac:dyDescent="0.25">
      <c r="A439" s="4">
        <v>2021</v>
      </c>
      <c r="B439" s="4"/>
      <c r="C439" s="4" t="s">
        <v>179</v>
      </c>
      <c r="D439" s="4" t="s">
        <v>65</v>
      </c>
      <c r="E439" s="4"/>
      <c r="F439" s="4" t="s">
        <v>90</v>
      </c>
      <c r="G439" s="5" t="s">
        <v>180</v>
      </c>
      <c r="H439" s="5" t="s">
        <v>21</v>
      </c>
      <c r="I439" s="5" t="s">
        <v>18</v>
      </c>
      <c r="J439" s="5" t="s">
        <v>10</v>
      </c>
      <c r="K439" s="5">
        <v>23.3</v>
      </c>
      <c r="L439" s="5" t="s">
        <v>190</v>
      </c>
      <c r="M439" s="5">
        <v>1666</v>
      </c>
      <c r="N439" s="5" t="s">
        <v>171</v>
      </c>
      <c r="O439" s="6" t="s">
        <v>81</v>
      </c>
      <c r="P439" s="6" t="s">
        <v>181</v>
      </c>
      <c r="Q439" s="6"/>
      <c r="R439" s="6"/>
      <c r="S439" s="6">
        <v>22</v>
      </c>
      <c r="T439" s="6">
        <v>11.13</v>
      </c>
      <c r="U439" s="6">
        <v>1444</v>
      </c>
      <c r="V439" s="6">
        <v>25.27</v>
      </c>
      <c r="W439" s="6">
        <v>1</v>
      </c>
      <c r="X439" s="6">
        <v>272</v>
      </c>
      <c r="Y439" s="6">
        <v>985</v>
      </c>
      <c r="Z439" s="6">
        <v>187</v>
      </c>
      <c r="AA439" s="6">
        <v>0</v>
      </c>
      <c r="AB439" s="6">
        <v>0</v>
      </c>
      <c r="AC439" s="7">
        <v>69</v>
      </c>
      <c r="AD439" s="7" t="s">
        <v>52</v>
      </c>
      <c r="AE439" s="7">
        <v>27.18</v>
      </c>
      <c r="AF439" s="76">
        <v>224</v>
      </c>
      <c r="AG439" s="7">
        <v>38.4</v>
      </c>
      <c r="AH439" s="7">
        <v>46.72</v>
      </c>
      <c r="AI439" s="7">
        <v>48.68</v>
      </c>
      <c r="AJ439" s="9">
        <v>397.84070281975602</v>
      </c>
      <c r="AK439" s="9">
        <v>407.59386030160198</v>
      </c>
      <c r="AL439" s="9">
        <v>498.75113439896899</v>
      </c>
      <c r="AM439" s="9">
        <v>78.977262695999698</v>
      </c>
      <c r="AN439" s="9">
        <v>1.1445980100869499</v>
      </c>
      <c r="AO439" s="9">
        <v>0.64803101603159496</v>
      </c>
      <c r="AP439" s="9">
        <v>867.58839143018201</v>
      </c>
      <c r="AQ439" s="9">
        <v>12.573744803336</v>
      </c>
      <c r="AR439" s="9">
        <v>10.263042545205099</v>
      </c>
      <c r="AS439" s="73" t="s">
        <v>169</v>
      </c>
      <c r="AT439" s="10" t="s">
        <v>169</v>
      </c>
      <c r="AU439" s="10" t="s">
        <v>169</v>
      </c>
      <c r="AV439" s="10">
        <v>0</v>
      </c>
      <c r="AW439" s="10"/>
      <c r="AX439" s="10" t="s">
        <v>169</v>
      </c>
      <c r="AY439" s="10"/>
      <c r="AZ439" s="10"/>
      <c r="BA439" s="10"/>
      <c r="BB439" s="8"/>
      <c r="BC439" s="8"/>
      <c r="BD439" s="8"/>
      <c r="BE439" s="8"/>
      <c r="BF439" s="12">
        <v>0.45</v>
      </c>
      <c r="BG439" s="13">
        <v>391.185754327106</v>
      </c>
      <c r="BH439" s="96" t="str">
        <f>+VLOOKUP(G439,Liste!$A$7:$G$50,3,FALSE)</f>
        <v>Pin Laricio</v>
      </c>
      <c r="BI439" s="96" t="str">
        <f>+VLOOKUP(H439,Liste!$B$7:$G$50,5,FALSE)</f>
        <v>GS Pineraies des plaines du Centre et du Nord Ouest</v>
      </c>
      <c r="BJ439" s="135">
        <f t="shared" si="129"/>
        <v>69</v>
      </c>
      <c r="BK439" s="135" t="str">
        <f t="shared" si="131"/>
        <v>Pin Laricio_F2_Classique_GS Pineraies des plaines du Centre et du Nord Ouest_69_</v>
      </c>
      <c r="BL439" s="322"/>
      <c r="BM439" s="13">
        <v>95.990895138781895</v>
      </c>
      <c r="BN439" s="13">
        <v>487.17664946588798</v>
      </c>
      <c r="BO439" s="13" t="s">
        <v>169</v>
      </c>
      <c r="BP439" s="13">
        <v>261.61729964832301</v>
      </c>
      <c r="BQ439" s="13">
        <v>9.6773166359303193</v>
      </c>
      <c r="BT439" s="298" t="str">
        <f>+VLOOKUP(G439,Liste!$A$7:$H$50,8,FALSE)</f>
        <v>Résineux</v>
      </c>
      <c r="BU439" s="298">
        <f t="shared" si="132"/>
        <v>0</v>
      </c>
      <c r="BV439" s="300">
        <f t="shared" si="133"/>
        <v>1</v>
      </c>
      <c r="BW439" s="321">
        <v>0</v>
      </c>
      <c r="BX439" s="298">
        <f t="shared" si="134"/>
        <v>0.43</v>
      </c>
      <c r="BY439">
        <f t="shared" si="135"/>
        <v>0</v>
      </c>
      <c r="BZ439" s="304">
        <f t="shared" si="136"/>
        <v>0</v>
      </c>
      <c r="CB439" s="299">
        <v>0.6</v>
      </c>
      <c r="CC439" s="299">
        <v>0.4</v>
      </c>
      <c r="CD439">
        <f t="shared" si="137"/>
        <v>0</v>
      </c>
      <c r="CE439">
        <f t="shared" si="138"/>
        <v>0</v>
      </c>
      <c r="CF439">
        <f t="shared" si="139"/>
        <v>0</v>
      </c>
      <c r="CG439">
        <f t="shared" si="140"/>
        <v>0</v>
      </c>
      <c r="CH439">
        <f t="shared" si="141"/>
        <v>0</v>
      </c>
      <c r="CI439">
        <f t="shared" si="142"/>
        <v>0</v>
      </c>
      <c r="CJ439">
        <f t="shared" si="143"/>
        <v>0</v>
      </c>
      <c r="CK439">
        <f t="shared" si="144"/>
        <v>0</v>
      </c>
      <c r="CL439">
        <f t="shared" si="145"/>
        <v>0</v>
      </c>
      <c r="CM439">
        <f t="shared" si="147"/>
        <v>0</v>
      </c>
      <c r="CN439">
        <f t="shared" si="146"/>
        <v>0</v>
      </c>
      <c r="CO439">
        <f t="shared" si="130"/>
        <v>0</v>
      </c>
    </row>
    <row r="440" spans="1:93" s="12" customFormat="1" ht="14.65" customHeight="1" x14ac:dyDescent="0.25">
      <c r="A440" s="4">
        <v>2021</v>
      </c>
      <c r="B440" s="4"/>
      <c r="C440" s="4" t="s">
        <v>179</v>
      </c>
      <c r="D440" s="4" t="s">
        <v>65</v>
      </c>
      <c r="E440" s="4"/>
      <c r="F440" s="4" t="s">
        <v>90</v>
      </c>
      <c r="G440" s="5" t="s">
        <v>180</v>
      </c>
      <c r="H440" s="5" t="s">
        <v>21</v>
      </c>
      <c r="I440" s="5" t="s">
        <v>18</v>
      </c>
      <c r="J440" s="5" t="s">
        <v>10</v>
      </c>
      <c r="K440" s="5">
        <v>23.3</v>
      </c>
      <c r="L440" s="5" t="s">
        <v>190</v>
      </c>
      <c r="M440" s="5">
        <v>1666</v>
      </c>
      <c r="N440" s="5" t="s">
        <v>171</v>
      </c>
      <c r="O440" s="6" t="s">
        <v>81</v>
      </c>
      <c r="P440" s="6" t="s">
        <v>181</v>
      </c>
      <c r="Q440" s="6"/>
      <c r="R440" s="6"/>
      <c r="S440" s="6">
        <v>22</v>
      </c>
      <c r="T440" s="6">
        <v>11.13</v>
      </c>
      <c r="U440" s="6">
        <v>1444</v>
      </c>
      <c r="V440" s="6">
        <v>25.27</v>
      </c>
      <c r="W440" s="6">
        <v>1</v>
      </c>
      <c r="X440" s="6">
        <v>272</v>
      </c>
      <c r="Y440" s="6">
        <v>985</v>
      </c>
      <c r="Z440" s="6">
        <v>187</v>
      </c>
      <c r="AA440" s="6">
        <v>0</v>
      </c>
      <c r="AB440" s="6">
        <v>0</v>
      </c>
      <c r="AC440" s="7">
        <v>69</v>
      </c>
      <c r="AD440" s="7" t="s">
        <v>53</v>
      </c>
      <c r="AE440" s="7">
        <v>27.18</v>
      </c>
      <c r="AF440" s="76">
        <v>188</v>
      </c>
      <c r="AG440" s="7">
        <v>33.020000000000003</v>
      </c>
      <c r="AH440" s="7">
        <v>47.29</v>
      </c>
      <c r="AI440" s="7">
        <v>48.68</v>
      </c>
      <c r="AJ440" s="9">
        <v>342.55958570734401</v>
      </c>
      <c r="AK440" s="9">
        <v>351.02421058649799</v>
      </c>
      <c r="AL440" s="9">
        <v>429.40310572078801</v>
      </c>
      <c r="AM440" s="9">
        <v>78.977262695999698</v>
      </c>
      <c r="AN440" s="9">
        <v>1.1445980100869499</v>
      </c>
      <c r="AO440" s="9">
        <v>0.64803101603159496</v>
      </c>
      <c r="AP440" s="9">
        <v>867.58839143018201</v>
      </c>
      <c r="AQ440" s="9">
        <v>12.573744803336</v>
      </c>
      <c r="AR440" s="9">
        <v>10.263042545205099</v>
      </c>
      <c r="AS440" s="73">
        <v>36</v>
      </c>
      <c r="AT440" s="10">
        <v>5.3799999999999955</v>
      </c>
      <c r="AU440" s="10">
        <v>43.620932636481264</v>
      </c>
      <c r="AV440" s="10">
        <v>55.281117112412005</v>
      </c>
      <c r="AW440" s="10">
        <v>0.87173448242207496</v>
      </c>
      <c r="AX440" s="10">
        <v>1.5355865864558891</v>
      </c>
      <c r="AY440" s="10"/>
      <c r="AZ440" s="10"/>
      <c r="BA440" s="10"/>
      <c r="BB440" s="8"/>
      <c r="BC440" s="8"/>
      <c r="BD440" s="8"/>
      <c r="BE440" s="8"/>
      <c r="BF440" s="12">
        <v>0.45</v>
      </c>
      <c r="BG440" s="13">
        <v>336.79397646726699</v>
      </c>
      <c r="BH440" s="96" t="str">
        <f>+VLOOKUP(G440,Liste!$A$7:$G$50,3,FALSE)</f>
        <v>Pin Laricio</v>
      </c>
      <c r="BI440" s="96" t="str">
        <f>+VLOOKUP(H440,Liste!$B$7:$G$50,5,FALSE)</f>
        <v>GS Pineraies des plaines du Centre et du Nord Ouest</v>
      </c>
      <c r="BJ440" s="135">
        <f t="shared" si="129"/>
        <v>69</v>
      </c>
      <c r="BK440" s="135" t="str">
        <f t="shared" si="131"/>
        <v>Pin Laricio_F2_Classique_GS Pineraies des plaines du Centre et du Nord Ouest_69_</v>
      </c>
      <c r="BL440" s="322"/>
      <c r="BM440" s="13">
        <v>84.096806616947603</v>
      </c>
      <c r="BN440" s="13">
        <v>420.89078308421398</v>
      </c>
      <c r="BO440" s="13">
        <v>66.285866381673998</v>
      </c>
      <c r="BP440" s="13">
        <v>261.61729964832301</v>
      </c>
      <c r="BQ440" s="13">
        <v>9.6773166359303193</v>
      </c>
      <c r="BT440" s="298" t="str">
        <f>+VLOOKUP(G440,Liste!$A$7:$H$50,8,FALSE)</f>
        <v>Résineux</v>
      </c>
      <c r="BU440" s="298">
        <f t="shared" si="132"/>
        <v>0</v>
      </c>
      <c r="BV440" s="300">
        <f t="shared" si="133"/>
        <v>1</v>
      </c>
      <c r="BW440" s="321">
        <v>0</v>
      </c>
      <c r="BX440" s="298">
        <f t="shared" si="134"/>
        <v>0.43</v>
      </c>
      <c r="BY440">
        <f t="shared" si="135"/>
        <v>0</v>
      </c>
      <c r="BZ440" s="304">
        <f t="shared" si="136"/>
        <v>0</v>
      </c>
      <c r="CB440" s="299">
        <v>0.6</v>
      </c>
      <c r="CC440" s="299">
        <v>0.4</v>
      </c>
      <c r="CD440">
        <f t="shared" si="137"/>
        <v>0</v>
      </c>
      <c r="CE440">
        <f t="shared" si="138"/>
        <v>0</v>
      </c>
      <c r="CF440">
        <f t="shared" si="139"/>
        <v>0</v>
      </c>
      <c r="CG440">
        <f t="shared" si="140"/>
        <v>0</v>
      </c>
      <c r="CH440">
        <f t="shared" si="141"/>
        <v>0</v>
      </c>
      <c r="CI440">
        <f t="shared" si="142"/>
        <v>0</v>
      </c>
      <c r="CJ440">
        <f t="shared" si="143"/>
        <v>0</v>
      </c>
      <c r="CK440">
        <f t="shared" si="144"/>
        <v>0</v>
      </c>
      <c r="CL440">
        <f t="shared" si="145"/>
        <v>0</v>
      </c>
      <c r="CM440">
        <f t="shared" si="147"/>
        <v>0</v>
      </c>
      <c r="CN440">
        <f t="shared" si="146"/>
        <v>0</v>
      </c>
      <c r="CO440">
        <f t="shared" si="130"/>
        <v>0</v>
      </c>
    </row>
    <row r="441" spans="1:93" s="12" customFormat="1" ht="14.65" customHeight="1" x14ac:dyDescent="0.25">
      <c r="A441" s="4">
        <v>2021</v>
      </c>
      <c r="B441" s="4"/>
      <c r="C441" s="4" t="s">
        <v>179</v>
      </c>
      <c r="D441" s="4" t="s">
        <v>65</v>
      </c>
      <c r="E441" s="4"/>
      <c r="F441" s="4" t="s">
        <v>90</v>
      </c>
      <c r="G441" s="5" t="s">
        <v>180</v>
      </c>
      <c r="H441" s="5" t="s">
        <v>21</v>
      </c>
      <c r="I441" s="5" t="s">
        <v>18</v>
      </c>
      <c r="J441" s="5" t="s">
        <v>10</v>
      </c>
      <c r="K441" s="5">
        <v>23.3</v>
      </c>
      <c r="L441" s="5" t="s">
        <v>190</v>
      </c>
      <c r="M441" s="5">
        <v>1666</v>
      </c>
      <c r="N441" s="5" t="s">
        <v>171</v>
      </c>
      <c r="O441" s="6" t="s">
        <v>81</v>
      </c>
      <c r="P441" s="6" t="s">
        <v>181</v>
      </c>
      <c r="Q441" s="6"/>
      <c r="R441" s="6"/>
      <c r="S441" s="6">
        <v>22</v>
      </c>
      <c r="T441" s="6">
        <v>11.13</v>
      </c>
      <c r="U441" s="6">
        <v>1444</v>
      </c>
      <c r="V441" s="6">
        <v>25.27</v>
      </c>
      <c r="W441" s="6">
        <v>1</v>
      </c>
      <c r="X441" s="6">
        <v>272</v>
      </c>
      <c r="Y441" s="6">
        <v>985</v>
      </c>
      <c r="Z441" s="6">
        <v>187</v>
      </c>
      <c r="AA441" s="6">
        <v>0</v>
      </c>
      <c r="AB441" s="6">
        <v>0</v>
      </c>
      <c r="AC441" s="7">
        <v>70</v>
      </c>
      <c r="AD441" s="7" t="s">
        <v>52</v>
      </c>
      <c r="AE441" s="7">
        <v>27.33</v>
      </c>
      <c r="AF441" s="76">
        <v>188</v>
      </c>
      <c r="AG441" s="7">
        <v>33.65</v>
      </c>
      <c r="AH441" s="7">
        <v>47.74</v>
      </c>
      <c r="AI441" s="7">
        <v>49.14</v>
      </c>
      <c r="AJ441" s="9">
        <v>350.77454043311502</v>
      </c>
      <c r="AK441" s="9">
        <v>359.50430444735798</v>
      </c>
      <c r="AL441" s="9">
        <v>439.666148265993</v>
      </c>
      <c r="AM441" s="9" t="s">
        <v>169</v>
      </c>
      <c r="AN441" s="9" t="s">
        <v>169</v>
      </c>
      <c r="AO441" s="9" t="s">
        <v>169</v>
      </c>
      <c r="AP441" s="9" t="s">
        <v>169</v>
      </c>
      <c r="AQ441" s="9" t="s">
        <v>169</v>
      </c>
      <c r="AR441" s="9" t="s">
        <v>169</v>
      </c>
      <c r="AS441" s="73" t="s">
        <v>169</v>
      </c>
      <c r="AT441" s="10" t="s">
        <v>169</v>
      </c>
      <c r="AU441" s="10" t="s">
        <v>169</v>
      </c>
      <c r="AV441" s="10">
        <v>0</v>
      </c>
      <c r="AW441" s="10"/>
      <c r="AX441" s="10" t="s">
        <v>169</v>
      </c>
      <c r="AY441" s="10"/>
      <c r="AZ441" s="10"/>
      <c r="BA441" s="10"/>
      <c r="BB441" s="8"/>
      <c r="BC441" s="8"/>
      <c r="BD441" s="8"/>
      <c r="BE441" s="8"/>
      <c r="BF441" s="12">
        <v>0.45</v>
      </c>
      <c r="BG441" s="13">
        <v>344.84359432843797</v>
      </c>
      <c r="BH441" s="96" t="str">
        <f>+VLOOKUP(G441,Liste!$A$7:$G$50,3,FALSE)</f>
        <v>Pin Laricio</v>
      </c>
      <c r="BI441" s="96" t="str">
        <f>+VLOOKUP(H441,Liste!$B$7:$G$50,5,FALSE)</f>
        <v>GS Pineraies des plaines du Centre et du Nord Ouest</v>
      </c>
      <c r="BJ441" s="135">
        <f t="shared" si="129"/>
        <v>70</v>
      </c>
      <c r="BK441" s="135" t="str">
        <f t="shared" si="131"/>
        <v>Pin Laricio_F2_Classique_GS Pineraies des plaines du Centre et du Nord Ouest_70_</v>
      </c>
      <c r="BL441" s="322"/>
      <c r="BM441" s="13">
        <v>85.854334920638493</v>
      </c>
      <c r="BN441" s="13">
        <v>430.69792924907603</v>
      </c>
      <c r="BO441" s="13" t="s">
        <v>169</v>
      </c>
      <c r="BP441" s="13">
        <v>261.61729964832301</v>
      </c>
      <c r="BQ441" s="13" t="s">
        <v>169</v>
      </c>
      <c r="BT441" s="298" t="str">
        <f>+VLOOKUP(G441,Liste!$A$7:$H$50,8,FALSE)</f>
        <v>Résineux</v>
      </c>
      <c r="BU441" s="298">
        <f t="shared" si="132"/>
        <v>0</v>
      </c>
      <c r="BV441" s="300">
        <f t="shared" si="133"/>
        <v>1</v>
      </c>
      <c r="BW441" s="321">
        <v>0</v>
      </c>
      <c r="BX441" s="298">
        <f t="shared" si="134"/>
        <v>0.43</v>
      </c>
      <c r="BY441">
        <f t="shared" si="135"/>
        <v>0</v>
      </c>
      <c r="BZ441" s="304">
        <f t="shared" si="136"/>
        <v>0</v>
      </c>
      <c r="CB441" s="299">
        <v>0.6</v>
      </c>
      <c r="CC441" s="299">
        <v>0.4</v>
      </c>
      <c r="CD441">
        <f t="shared" si="137"/>
        <v>0</v>
      </c>
      <c r="CE441">
        <f t="shared" si="138"/>
        <v>0</v>
      </c>
      <c r="CF441">
        <f t="shared" si="139"/>
        <v>0</v>
      </c>
      <c r="CG441">
        <f t="shared" si="140"/>
        <v>0</v>
      </c>
      <c r="CH441">
        <f t="shared" si="141"/>
        <v>0</v>
      </c>
      <c r="CI441">
        <f t="shared" si="142"/>
        <v>0</v>
      </c>
      <c r="CJ441">
        <f t="shared" si="143"/>
        <v>0</v>
      </c>
      <c r="CK441">
        <f t="shared" si="144"/>
        <v>0</v>
      </c>
      <c r="CL441">
        <f t="shared" si="145"/>
        <v>0</v>
      </c>
      <c r="CM441">
        <f t="shared" si="147"/>
        <v>0</v>
      </c>
      <c r="CN441">
        <f t="shared" si="146"/>
        <v>0</v>
      </c>
      <c r="CO441">
        <f t="shared" si="130"/>
        <v>0</v>
      </c>
    </row>
    <row r="442" spans="1:93" s="12" customFormat="1" ht="14.65" customHeight="1" x14ac:dyDescent="0.25">
      <c r="A442" s="4">
        <v>2021</v>
      </c>
      <c r="B442" s="4"/>
      <c r="C442" s="4" t="s">
        <v>179</v>
      </c>
      <c r="D442" s="4" t="s">
        <v>65</v>
      </c>
      <c r="E442" s="4"/>
      <c r="F442" s="4" t="s">
        <v>90</v>
      </c>
      <c r="G442" s="5" t="s">
        <v>180</v>
      </c>
      <c r="H442" s="5" t="s">
        <v>21</v>
      </c>
      <c r="I442" s="5" t="s">
        <v>18</v>
      </c>
      <c r="J442" s="5" t="s">
        <v>10</v>
      </c>
      <c r="K442" s="5">
        <v>23.3</v>
      </c>
      <c r="L442" s="5" t="s">
        <v>190</v>
      </c>
      <c r="M442" s="5">
        <v>1666</v>
      </c>
      <c r="N442" s="5" t="s">
        <v>171</v>
      </c>
      <c r="O442" s="6" t="s">
        <v>81</v>
      </c>
      <c r="P442" s="6" t="s">
        <v>181</v>
      </c>
      <c r="Q442" s="6"/>
      <c r="R442" s="6"/>
      <c r="S442" s="6">
        <v>22</v>
      </c>
      <c r="T442" s="6">
        <v>11.13</v>
      </c>
      <c r="U442" s="6">
        <v>1444</v>
      </c>
      <c r="V442" s="6">
        <v>25.27</v>
      </c>
      <c r="W442" s="6">
        <v>1</v>
      </c>
      <c r="X442" s="6">
        <v>272</v>
      </c>
      <c r="Y442" s="6">
        <v>985</v>
      </c>
      <c r="Z442" s="6">
        <v>187</v>
      </c>
      <c r="AA442" s="6">
        <v>0</v>
      </c>
      <c r="AB442" s="6">
        <v>0</v>
      </c>
      <c r="AC442" s="7">
        <v>71</v>
      </c>
      <c r="AD442" s="7" t="s">
        <v>52</v>
      </c>
      <c r="AE442" s="7">
        <v>27.46</v>
      </c>
      <c r="AF442" s="76">
        <v>188</v>
      </c>
      <c r="AG442" s="7">
        <v>34.33</v>
      </c>
      <c r="AH442" s="7">
        <v>48.22</v>
      </c>
      <c r="AI442" s="7">
        <v>49.64</v>
      </c>
      <c r="AJ442" s="9">
        <v>358.989495158887</v>
      </c>
      <c r="AK442" s="9">
        <v>367.98439830821701</v>
      </c>
      <c r="AL442" s="9">
        <v>449.929190811198</v>
      </c>
      <c r="AM442" s="9" t="s">
        <v>169</v>
      </c>
      <c r="AN442" s="9" t="s">
        <v>169</v>
      </c>
      <c r="AO442" s="9" t="s">
        <v>169</v>
      </c>
      <c r="AP442" s="9" t="s">
        <v>169</v>
      </c>
      <c r="AQ442" s="9" t="s">
        <v>169</v>
      </c>
      <c r="AR442" s="9" t="s">
        <v>169</v>
      </c>
      <c r="AS442" s="73" t="s">
        <v>169</v>
      </c>
      <c r="AT442" s="10" t="s">
        <v>169</v>
      </c>
      <c r="AU442" s="10" t="s">
        <v>169</v>
      </c>
      <c r="AV442" s="10">
        <v>0</v>
      </c>
      <c r="AW442" s="10"/>
      <c r="AX442" s="10" t="s">
        <v>169</v>
      </c>
      <c r="AY442" s="10"/>
      <c r="AZ442" s="10"/>
      <c r="BA442" s="10"/>
      <c r="BB442" s="8"/>
      <c r="BC442" s="8"/>
      <c r="BD442" s="8"/>
      <c r="BE442" s="8"/>
      <c r="BF442" s="12">
        <v>0.45</v>
      </c>
      <c r="BG442" s="13">
        <v>352.89321218960902</v>
      </c>
      <c r="BH442" s="96" t="str">
        <f>+VLOOKUP(G442,Liste!$A$7:$G$50,3,FALSE)</f>
        <v>Pin Laricio</v>
      </c>
      <c r="BI442" s="96" t="str">
        <f>+VLOOKUP(H442,Liste!$B$7:$G$50,5,FALSE)</f>
        <v>GS Pineraies des plaines du Centre et du Nord Ouest</v>
      </c>
      <c r="BJ442" s="135">
        <f t="shared" si="129"/>
        <v>71</v>
      </c>
      <c r="BK442" s="135" t="str">
        <f t="shared" si="131"/>
        <v>Pin Laricio_F2_Classique_GS Pineraies des plaines du Centre et du Nord Ouest_71_</v>
      </c>
      <c r="BL442" s="322"/>
      <c r="BM442" s="13">
        <v>87.611863224329397</v>
      </c>
      <c r="BN442" s="13">
        <v>440.50507541393802</v>
      </c>
      <c r="BO442" s="13" t="s">
        <v>169</v>
      </c>
      <c r="BP442" s="13">
        <v>261.61729964832301</v>
      </c>
      <c r="BQ442" s="13" t="s">
        <v>169</v>
      </c>
      <c r="BT442" s="298" t="str">
        <f>+VLOOKUP(G442,Liste!$A$7:$H$50,8,FALSE)</f>
        <v>Résineux</v>
      </c>
      <c r="BU442" s="298">
        <f t="shared" si="132"/>
        <v>0</v>
      </c>
      <c r="BV442" s="300">
        <f t="shared" si="133"/>
        <v>1</v>
      </c>
      <c r="BW442" s="321">
        <v>0</v>
      </c>
      <c r="BX442" s="298">
        <f t="shared" si="134"/>
        <v>0.43</v>
      </c>
      <c r="BY442">
        <f t="shared" si="135"/>
        <v>0</v>
      </c>
      <c r="BZ442" s="304">
        <f t="shared" si="136"/>
        <v>0</v>
      </c>
      <c r="CB442" s="299">
        <v>0.6</v>
      </c>
      <c r="CC442" s="299">
        <v>0.4</v>
      </c>
      <c r="CD442">
        <f t="shared" si="137"/>
        <v>0</v>
      </c>
      <c r="CE442">
        <f t="shared" si="138"/>
        <v>0</v>
      </c>
      <c r="CF442">
        <f t="shared" si="139"/>
        <v>0</v>
      </c>
      <c r="CG442">
        <f t="shared" si="140"/>
        <v>0</v>
      </c>
      <c r="CH442">
        <f t="shared" si="141"/>
        <v>0</v>
      </c>
      <c r="CI442">
        <f t="shared" si="142"/>
        <v>0</v>
      </c>
      <c r="CJ442">
        <f t="shared" si="143"/>
        <v>0</v>
      </c>
      <c r="CK442">
        <f t="shared" si="144"/>
        <v>0</v>
      </c>
      <c r="CL442">
        <f t="shared" si="145"/>
        <v>0</v>
      </c>
      <c r="CM442">
        <f t="shared" si="147"/>
        <v>0</v>
      </c>
      <c r="CN442">
        <f t="shared" si="146"/>
        <v>0</v>
      </c>
      <c r="CO442">
        <f t="shared" si="130"/>
        <v>0</v>
      </c>
    </row>
    <row r="443" spans="1:93" s="12" customFormat="1" ht="14.65" customHeight="1" x14ac:dyDescent="0.25">
      <c r="A443" s="4">
        <v>2021</v>
      </c>
      <c r="B443" s="4"/>
      <c r="C443" s="4" t="s">
        <v>179</v>
      </c>
      <c r="D443" s="4" t="s">
        <v>65</v>
      </c>
      <c r="E443" s="4"/>
      <c r="F443" s="4" t="s">
        <v>90</v>
      </c>
      <c r="G443" s="5" t="s">
        <v>180</v>
      </c>
      <c r="H443" s="5" t="s">
        <v>21</v>
      </c>
      <c r="I443" s="5" t="s">
        <v>18</v>
      </c>
      <c r="J443" s="5" t="s">
        <v>10</v>
      </c>
      <c r="K443" s="5">
        <v>23.3</v>
      </c>
      <c r="L443" s="5" t="s">
        <v>190</v>
      </c>
      <c r="M443" s="5">
        <v>1666</v>
      </c>
      <c r="N443" s="5" t="s">
        <v>171</v>
      </c>
      <c r="O443" s="6" t="s">
        <v>81</v>
      </c>
      <c r="P443" s="6" t="s">
        <v>181</v>
      </c>
      <c r="Q443" s="6"/>
      <c r="R443" s="6"/>
      <c r="S443" s="6">
        <v>22</v>
      </c>
      <c r="T443" s="6">
        <v>11.13</v>
      </c>
      <c r="U443" s="6">
        <v>1444</v>
      </c>
      <c r="V443" s="6">
        <v>25.27</v>
      </c>
      <c r="W443" s="6">
        <v>1</v>
      </c>
      <c r="X443" s="6">
        <v>272</v>
      </c>
      <c r="Y443" s="6">
        <v>985</v>
      </c>
      <c r="Z443" s="6">
        <v>187</v>
      </c>
      <c r="AA443" s="6">
        <v>0</v>
      </c>
      <c r="AB443" s="6">
        <v>0</v>
      </c>
      <c r="AC443" s="7">
        <v>72</v>
      </c>
      <c r="AD443" s="7" t="s">
        <v>52</v>
      </c>
      <c r="AE443" s="7">
        <v>27.6</v>
      </c>
      <c r="AF443" s="76">
        <v>188</v>
      </c>
      <c r="AG443" s="7">
        <v>35.01</v>
      </c>
      <c r="AH443" s="7">
        <v>48.69</v>
      </c>
      <c r="AI443" s="7">
        <v>50.12</v>
      </c>
      <c r="AJ443" s="9">
        <v>367.20444988465903</v>
      </c>
      <c r="AK443" s="9">
        <v>376.464492169077</v>
      </c>
      <c r="AL443" s="9">
        <v>460.19223335640299</v>
      </c>
      <c r="AM443" s="9" t="s">
        <v>169</v>
      </c>
      <c r="AN443" s="9" t="s">
        <v>169</v>
      </c>
      <c r="AO443" s="9" t="s">
        <v>169</v>
      </c>
      <c r="AP443" s="9" t="s">
        <v>169</v>
      </c>
      <c r="AQ443" s="9" t="s">
        <v>169</v>
      </c>
      <c r="AR443" s="9" t="s">
        <v>169</v>
      </c>
      <c r="AS443" s="73" t="s">
        <v>169</v>
      </c>
      <c r="AT443" s="10" t="s">
        <v>169</v>
      </c>
      <c r="AU443" s="10" t="s">
        <v>169</v>
      </c>
      <c r="AV443" s="10">
        <v>0</v>
      </c>
      <c r="AW443" s="10"/>
      <c r="AX443" s="10" t="s">
        <v>169</v>
      </c>
      <c r="AY443" s="10"/>
      <c r="AZ443" s="10"/>
      <c r="BA443" s="10"/>
      <c r="BB443" s="8"/>
      <c r="BC443" s="8"/>
      <c r="BD443" s="8"/>
      <c r="BE443" s="8"/>
      <c r="BF443" s="12">
        <v>0.45</v>
      </c>
      <c r="BG443" s="13">
        <v>360.94283005078</v>
      </c>
      <c r="BH443" s="96" t="str">
        <f>+VLOOKUP(G443,Liste!$A$7:$G$50,3,FALSE)</f>
        <v>Pin Laricio</v>
      </c>
      <c r="BI443" s="96" t="str">
        <f>+VLOOKUP(H443,Liste!$B$7:$G$50,5,FALSE)</f>
        <v>GS Pineraies des plaines du Centre et du Nord Ouest</v>
      </c>
      <c r="BJ443" s="135">
        <f t="shared" si="129"/>
        <v>72</v>
      </c>
      <c r="BK443" s="135" t="str">
        <f t="shared" si="131"/>
        <v>Pin Laricio_F2_Classique_GS Pineraies des plaines du Centre et du Nord Ouest_72_</v>
      </c>
      <c r="BL443" s="322"/>
      <c r="BM443" s="13">
        <v>89.369391528020302</v>
      </c>
      <c r="BN443" s="13">
        <v>450.31222157880001</v>
      </c>
      <c r="BO443" s="13" t="s">
        <v>169</v>
      </c>
      <c r="BP443" s="13">
        <v>261.61729964832301</v>
      </c>
      <c r="BQ443" s="13" t="s">
        <v>169</v>
      </c>
      <c r="BT443" s="298" t="str">
        <f>+VLOOKUP(G443,Liste!$A$7:$H$50,8,FALSE)</f>
        <v>Résineux</v>
      </c>
      <c r="BU443" s="298">
        <f t="shared" si="132"/>
        <v>0</v>
      </c>
      <c r="BV443" s="300">
        <f t="shared" si="133"/>
        <v>1</v>
      </c>
      <c r="BW443" s="321">
        <v>0</v>
      </c>
      <c r="BX443" s="298">
        <f t="shared" si="134"/>
        <v>0.43</v>
      </c>
      <c r="BY443">
        <f t="shared" si="135"/>
        <v>0</v>
      </c>
      <c r="BZ443" s="304">
        <f t="shared" si="136"/>
        <v>0</v>
      </c>
      <c r="CB443" s="299">
        <v>0.6</v>
      </c>
      <c r="CC443" s="299">
        <v>0.4</v>
      </c>
      <c r="CD443">
        <f t="shared" si="137"/>
        <v>0</v>
      </c>
      <c r="CE443">
        <f t="shared" si="138"/>
        <v>0</v>
      </c>
      <c r="CF443">
        <f t="shared" si="139"/>
        <v>0</v>
      </c>
      <c r="CG443">
        <f t="shared" si="140"/>
        <v>0</v>
      </c>
      <c r="CH443">
        <f t="shared" si="141"/>
        <v>0</v>
      </c>
      <c r="CI443">
        <f t="shared" si="142"/>
        <v>0</v>
      </c>
      <c r="CJ443">
        <f t="shared" si="143"/>
        <v>0</v>
      </c>
      <c r="CK443">
        <f t="shared" si="144"/>
        <v>0</v>
      </c>
      <c r="CL443">
        <f t="shared" si="145"/>
        <v>0</v>
      </c>
      <c r="CM443">
        <f t="shared" si="147"/>
        <v>0</v>
      </c>
      <c r="CN443">
        <f t="shared" si="146"/>
        <v>0</v>
      </c>
      <c r="CO443">
        <f t="shared" si="130"/>
        <v>0</v>
      </c>
    </row>
    <row r="444" spans="1:93" s="12" customFormat="1" ht="14.65" customHeight="1" x14ac:dyDescent="0.25">
      <c r="A444" s="4">
        <v>2021</v>
      </c>
      <c r="B444" s="4"/>
      <c r="C444" s="4" t="s">
        <v>179</v>
      </c>
      <c r="D444" s="4" t="s">
        <v>65</v>
      </c>
      <c r="E444" s="4"/>
      <c r="F444" s="4" t="s">
        <v>90</v>
      </c>
      <c r="G444" s="5" t="s">
        <v>180</v>
      </c>
      <c r="H444" s="5" t="s">
        <v>21</v>
      </c>
      <c r="I444" s="5" t="s">
        <v>18</v>
      </c>
      <c r="J444" s="5" t="s">
        <v>10</v>
      </c>
      <c r="K444" s="5">
        <v>23.3</v>
      </c>
      <c r="L444" s="5" t="s">
        <v>190</v>
      </c>
      <c r="M444" s="5">
        <v>1666</v>
      </c>
      <c r="N444" s="5" t="s">
        <v>171</v>
      </c>
      <c r="O444" s="6" t="s">
        <v>81</v>
      </c>
      <c r="P444" s="6" t="s">
        <v>181</v>
      </c>
      <c r="Q444" s="6"/>
      <c r="R444" s="6"/>
      <c r="S444" s="6">
        <v>22</v>
      </c>
      <c r="T444" s="6">
        <v>11.13</v>
      </c>
      <c r="U444" s="6">
        <v>1444</v>
      </c>
      <c r="V444" s="6">
        <v>25.27</v>
      </c>
      <c r="W444" s="6">
        <v>1</v>
      </c>
      <c r="X444" s="6">
        <v>272</v>
      </c>
      <c r="Y444" s="6">
        <v>985</v>
      </c>
      <c r="Z444" s="6">
        <v>187</v>
      </c>
      <c r="AA444" s="6">
        <v>0</v>
      </c>
      <c r="AB444" s="6">
        <v>0</v>
      </c>
      <c r="AC444" s="7">
        <v>73</v>
      </c>
      <c r="AD444" s="7" t="s">
        <v>52</v>
      </c>
      <c r="AE444" s="7">
        <v>27.73</v>
      </c>
      <c r="AF444" s="76">
        <v>188</v>
      </c>
      <c r="AG444" s="7">
        <v>35.67</v>
      </c>
      <c r="AH444" s="7">
        <v>49.15</v>
      </c>
      <c r="AI444" s="7">
        <v>50.6</v>
      </c>
      <c r="AJ444" s="9">
        <v>375.419404610431</v>
      </c>
      <c r="AK444" s="9">
        <v>384.944586029937</v>
      </c>
      <c r="AL444" s="9">
        <v>470.45527590160901</v>
      </c>
      <c r="AM444" s="9" t="s">
        <v>169</v>
      </c>
      <c r="AN444" s="9" t="s">
        <v>169</v>
      </c>
      <c r="AO444" s="9" t="s">
        <v>169</v>
      </c>
      <c r="AP444" s="9" t="s">
        <v>169</v>
      </c>
      <c r="AQ444" s="9" t="s">
        <v>169</v>
      </c>
      <c r="AR444" s="9" t="s">
        <v>169</v>
      </c>
      <c r="AS444" s="73" t="s">
        <v>169</v>
      </c>
      <c r="AT444" s="10" t="s">
        <v>169</v>
      </c>
      <c r="AU444" s="10" t="s">
        <v>169</v>
      </c>
      <c r="AV444" s="10">
        <v>0</v>
      </c>
      <c r="AW444" s="10"/>
      <c r="AX444" s="10" t="s">
        <v>169</v>
      </c>
      <c r="AY444" s="10"/>
      <c r="AZ444" s="10"/>
      <c r="BA444" s="10"/>
      <c r="BB444" s="8"/>
      <c r="BC444" s="8"/>
      <c r="BD444" s="8"/>
      <c r="BE444" s="8"/>
      <c r="BF444" s="12">
        <v>0.45</v>
      </c>
      <c r="BG444" s="13">
        <v>368.99244791195099</v>
      </c>
      <c r="BH444" s="96" t="str">
        <f>+VLOOKUP(G444,Liste!$A$7:$G$50,3,FALSE)</f>
        <v>Pin Laricio</v>
      </c>
      <c r="BI444" s="96" t="str">
        <f>+VLOOKUP(H444,Liste!$B$7:$G$50,5,FALSE)</f>
        <v>GS Pineraies des plaines du Centre et du Nord Ouest</v>
      </c>
      <c r="BJ444" s="135">
        <f t="shared" si="129"/>
        <v>73</v>
      </c>
      <c r="BK444" s="135" t="str">
        <f t="shared" si="131"/>
        <v>Pin Laricio_F2_Classique_GS Pineraies des plaines du Centre et du Nord Ouest_73_</v>
      </c>
      <c r="BL444" s="322"/>
      <c r="BM444" s="13">
        <v>91.126919831711305</v>
      </c>
      <c r="BN444" s="13">
        <v>460.119367743662</v>
      </c>
      <c r="BO444" s="13" t="s">
        <v>169</v>
      </c>
      <c r="BP444" s="13">
        <v>261.61729964832301</v>
      </c>
      <c r="BQ444" s="13" t="s">
        <v>169</v>
      </c>
      <c r="BT444" s="298" t="str">
        <f>+VLOOKUP(G444,Liste!$A$7:$H$50,8,FALSE)</f>
        <v>Résineux</v>
      </c>
      <c r="BU444" s="298">
        <f t="shared" si="132"/>
        <v>0</v>
      </c>
      <c r="BV444" s="300">
        <f t="shared" si="133"/>
        <v>1</v>
      </c>
      <c r="BW444" s="321">
        <v>0</v>
      </c>
      <c r="BX444" s="298">
        <f t="shared" si="134"/>
        <v>0.43</v>
      </c>
      <c r="BY444">
        <f t="shared" si="135"/>
        <v>0</v>
      </c>
      <c r="BZ444" s="304">
        <f t="shared" si="136"/>
        <v>0</v>
      </c>
      <c r="CB444" s="299">
        <v>0.6</v>
      </c>
      <c r="CC444" s="299">
        <v>0.4</v>
      </c>
      <c r="CD444">
        <f t="shared" si="137"/>
        <v>0</v>
      </c>
      <c r="CE444">
        <f t="shared" si="138"/>
        <v>0</v>
      </c>
      <c r="CF444">
        <f t="shared" si="139"/>
        <v>0</v>
      </c>
      <c r="CG444">
        <f t="shared" si="140"/>
        <v>0</v>
      </c>
      <c r="CH444">
        <f t="shared" si="141"/>
        <v>0</v>
      </c>
      <c r="CI444">
        <f t="shared" si="142"/>
        <v>0</v>
      </c>
      <c r="CJ444">
        <f t="shared" si="143"/>
        <v>0</v>
      </c>
      <c r="CK444">
        <f t="shared" si="144"/>
        <v>0</v>
      </c>
      <c r="CL444">
        <f t="shared" si="145"/>
        <v>0</v>
      </c>
      <c r="CM444">
        <f t="shared" si="147"/>
        <v>0</v>
      </c>
      <c r="CN444">
        <f t="shared" si="146"/>
        <v>0</v>
      </c>
      <c r="CO444">
        <f t="shared" si="130"/>
        <v>0</v>
      </c>
    </row>
    <row r="445" spans="1:93" s="12" customFormat="1" ht="14.65" customHeight="1" x14ac:dyDescent="0.25">
      <c r="A445" s="4">
        <v>2021</v>
      </c>
      <c r="B445" s="4"/>
      <c r="C445" s="4" t="s">
        <v>179</v>
      </c>
      <c r="D445" s="4" t="s">
        <v>65</v>
      </c>
      <c r="E445" s="4"/>
      <c r="F445" s="4" t="s">
        <v>90</v>
      </c>
      <c r="G445" s="5" t="s">
        <v>180</v>
      </c>
      <c r="H445" s="5" t="s">
        <v>21</v>
      </c>
      <c r="I445" s="5" t="s">
        <v>18</v>
      </c>
      <c r="J445" s="5" t="s">
        <v>10</v>
      </c>
      <c r="K445" s="5">
        <v>23.3</v>
      </c>
      <c r="L445" s="5" t="s">
        <v>190</v>
      </c>
      <c r="M445" s="5">
        <v>1666</v>
      </c>
      <c r="N445" s="5" t="s">
        <v>171</v>
      </c>
      <c r="O445" s="6" t="s">
        <v>81</v>
      </c>
      <c r="P445" s="6" t="s">
        <v>181</v>
      </c>
      <c r="Q445" s="6"/>
      <c r="R445" s="6"/>
      <c r="S445" s="6">
        <v>22</v>
      </c>
      <c r="T445" s="6">
        <v>11.13</v>
      </c>
      <c r="U445" s="6">
        <v>1444</v>
      </c>
      <c r="V445" s="6">
        <v>25.27</v>
      </c>
      <c r="W445" s="6">
        <v>1</v>
      </c>
      <c r="X445" s="6">
        <v>272</v>
      </c>
      <c r="Y445" s="6">
        <v>985</v>
      </c>
      <c r="Z445" s="6">
        <v>187</v>
      </c>
      <c r="AA445" s="6">
        <v>0</v>
      </c>
      <c r="AB445" s="6">
        <v>0</v>
      </c>
      <c r="AC445" s="7">
        <v>74</v>
      </c>
      <c r="AD445" s="7" t="s">
        <v>52</v>
      </c>
      <c r="AE445" s="7">
        <v>27.85</v>
      </c>
      <c r="AF445" s="76">
        <v>188</v>
      </c>
      <c r="AG445" s="7">
        <v>36.32</v>
      </c>
      <c r="AH445" s="7">
        <v>49.6</v>
      </c>
      <c r="AI445" s="7">
        <v>51.06</v>
      </c>
      <c r="AJ445" s="9">
        <v>383.63435933620298</v>
      </c>
      <c r="AK445" s="9">
        <v>393.42467989079699</v>
      </c>
      <c r="AL445" s="9">
        <v>480.71831844681401</v>
      </c>
      <c r="AM445" s="9" t="s">
        <v>169</v>
      </c>
      <c r="AN445" s="9" t="s">
        <v>169</v>
      </c>
      <c r="AO445" s="9" t="s">
        <v>169</v>
      </c>
      <c r="AP445" s="9" t="s">
        <v>169</v>
      </c>
      <c r="AQ445" s="9" t="s">
        <v>169</v>
      </c>
      <c r="AR445" s="9" t="s">
        <v>169</v>
      </c>
      <c r="AS445" s="73" t="s">
        <v>169</v>
      </c>
      <c r="AT445" s="10" t="s">
        <v>169</v>
      </c>
      <c r="AU445" s="10" t="s">
        <v>169</v>
      </c>
      <c r="AV445" s="10">
        <v>0</v>
      </c>
      <c r="AW445" s="10"/>
      <c r="AX445" s="10" t="s">
        <v>169</v>
      </c>
      <c r="AY445" s="10"/>
      <c r="AZ445" s="10"/>
      <c r="BA445" s="10"/>
      <c r="BB445" s="8"/>
      <c r="BC445" s="8"/>
      <c r="BD445" s="8"/>
      <c r="BE445" s="8"/>
      <c r="BF445" s="12">
        <v>0.45</v>
      </c>
      <c r="BG445" s="13">
        <v>377.04206577312198</v>
      </c>
      <c r="BH445" s="96" t="str">
        <f>+VLOOKUP(G445,Liste!$A$7:$G$50,3,FALSE)</f>
        <v>Pin Laricio</v>
      </c>
      <c r="BI445" s="96" t="str">
        <f>+VLOOKUP(H445,Liste!$B$7:$G$50,5,FALSE)</f>
        <v>GS Pineraies des plaines du Centre et du Nord Ouest</v>
      </c>
      <c r="BJ445" s="135">
        <f t="shared" si="129"/>
        <v>74</v>
      </c>
      <c r="BK445" s="135" t="str">
        <f t="shared" si="131"/>
        <v>Pin Laricio_F2_Classique_GS Pineraies des plaines du Centre et du Nord Ouest_74_</v>
      </c>
      <c r="BL445" s="322"/>
      <c r="BM445" s="13">
        <v>92.884448135402195</v>
      </c>
      <c r="BN445" s="13">
        <v>469.92651390852399</v>
      </c>
      <c r="BO445" s="13" t="s">
        <v>169</v>
      </c>
      <c r="BP445" s="13">
        <v>261.61729964832301</v>
      </c>
      <c r="BQ445" s="13" t="s">
        <v>169</v>
      </c>
      <c r="BT445" s="298" t="str">
        <f>+VLOOKUP(G445,Liste!$A$7:$H$50,8,FALSE)</f>
        <v>Résineux</v>
      </c>
      <c r="BU445" s="298">
        <f t="shared" si="132"/>
        <v>0</v>
      </c>
      <c r="BV445" s="300">
        <f t="shared" si="133"/>
        <v>1</v>
      </c>
      <c r="BW445" s="321">
        <v>0</v>
      </c>
      <c r="BX445" s="298">
        <f t="shared" si="134"/>
        <v>0.43</v>
      </c>
      <c r="BY445">
        <f t="shared" si="135"/>
        <v>0</v>
      </c>
      <c r="BZ445" s="304">
        <f t="shared" si="136"/>
        <v>0</v>
      </c>
      <c r="CB445" s="299">
        <v>0.6</v>
      </c>
      <c r="CC445" s="299">
        <v>0.4</v>
      </c>
      <c r="CD445">
        <f t="shared" si="137"/>
        <v>0</v>
      </c>
      <c r="CE445">
        <f t="shared" si="138"/>
        <v>0</v>
      </c>
      <c r="CF445">
        <f t="shared" si="139"/>
        <v>0</v>
      </c>
      <c r="CG445">
        <f t="shared" si="140"/>
        <v>0</v>
      </c>
      <c r="CH445">
        <f t="shared" si="141"/>
        <v>0</v>
      </c>
      <c r="CI445">
        <f t="shared" si="142"/>
        <v>0</v>
      </c>
      <c r="CJ445">
        <f t="shared" si="143"/>
        <v>0</v>
      </c>
      <c r="CK445">
        <f t="shared" si="144"/>
        <v>0</v>
      </c>
      <c r="CL445">
        <f t="shared" si="145"/>
        <v>0</v>
      </c>
      <c r="CM445">
        <f t="shared" si="147"/>
        <v>0</v>
      </c>
      <c r="CN445">
        <f t="shared" si="146"/>
        <v>0</v>
      </c>
      <c r="CO445">
        <f t="shared" si="130"/>
        <v>0</v>
      </c>
    </row>
    <row r="446" spans="1:93" s="12" customFormat="1" ht="14.65" customHeight="1" x14ac:dyDescent="0.25">
      <c r="A446" s="4">
        <v>2021</v>
      </c>
      <c r="B446" s="4"/>
      <c r="C446" s="4" t="s">
        <v>179</v>
      </c>
      <c r="D446" s="4" t="s">
        <v>65</v>
      </c>
      <c r="E446" s="4"/>
      <c r="F446" s="4" t="s">
        <v>90</v>
      </c>
      <c r="G446" s="5" t="s">
        <v>180</v>
      </c>
      <c r="H446" s="5" t="s">
        <v>21</v>
      </c>
      <c r="I446" s="5" t="s">
        <v>18</v>
      </c>
      <c r="J446" s="5" t="s">
        <v>10</v>
      </c>
      <c r="K446" s="5">
        <v>23.3</v>
      </c>
      <c r="L446" s="5" t="s">
        <v>190</v>
      </c>
      <c r="M446" s="5">
        <v>1666</v>
      </c>
      <c r="N446" s="5" t="s">
        <v>171</v>
      </c>
      <c r="O446" s="6" t="s">
        <v>81</v>
      </c>
      <c r="P446" s="6" t="s">
        <v>181</v>
      </c>
      <c r="Q446" s="6"/>
      <c r="R446" s="6"/>
      <c r="S446" s="6">
        <v>22</v>
      </c>
      <c r="T446" s="6">
        <v>11.13</v>
      </c>
      <c r="U446" s="6">
        <v>1444</v>
      </c>
      <c r="V446" s="6">
        <v>25.27</v>
      </c>
      <c r="W446" s="6">
        <v>1</v>
      </c>
      <c r="X446" s="6">
        <v>272</v>
      </c>
      <c r="Y446" s="6">
        <v>985</v>
      </c>
      <c r="Z446" s="6">
        <v>187</v>
      </c>
      <c r="AA446" s="6">
        <v>0</v>
      </c>
      <c r="AB446" s="6">
        <v>0</v>
      </c>
      <c r="AC446" s="7">
        <v>75</v>
      </c>
      <c r="AD446" s="7" t="s">
        <v>52</v>
      </c>
      <c r="AE446" s="7">
        <v>27.97</v>
      </c>
      <c r="AF446" s="76">
        <v>188</v>
      </c>
      <c r="AG446" s="7">
        <v>36.96</v>
      </c>
      <c r="AH446" s="7">
        <v>50.03</v>
      </c>
      <c r="AI446" s="7">
        <v>51.5</v>
      </c>
      <c r="AJ446" s="9">
        <v>391.84931406197501</v>
      </c>
      <c r="AK446" s="9">
        <v>401.90477375165699</v>
      </c>
      <c r="AL446" s="9">
        <v>490.98136099201901</v>
      </c>
      <c r="AM446" s="9" t="s">
        <v>169</v>
      </c>
      <c r="AN446" s="9" t="s">
        <v>169</v>
      </c>
      <c r="AO446" s="9" t="s">
        <v>169</v>
      </c>
      <c r="AP446" s="9" t="s">
        <v>169</v>
      </c>
      <c r="AQ446" s="9" t="s">
        <v>169</v>
      </c>
      <c r="AR446" s="9" t="s">
        <v>169</v>
      </c>
      <c r="AS446" s="73" t="s">
        <v>169</v>
      </c>
      <c r="AT446" s="10" t="s">
        <v>169</v>
      </c>
      <c r="AU446" s="10" t="s">
        <v>169</v>
      </c>
      <c r="AV446" s="10">
        <v>0</v>
      </c>
      <c r="AW446" s="10"/>
      <c r="AX446" s="10" t="s">
        <v>169</v>
      </c>
      <c r="AY446" s="10"/>
      <c r="AZ446" s="10"/>
      <c r="BA446" s="10"/>
      <c r="BB446" s="8"/>
      <c r="BC446" s="8"/>
      <c r="BD446" s="8"/>
      <c r="BE446" s="8"/>
      <c r="BF446" s="12">
        <v>0.45</v>
      </c>
      <c r="BG446" s="13">
        <v>385.09168363429302</v>
      </c>
      <c r="BH446" s="96" t="str">
        <f>+VLOOKUP(G446,Liste!$A$7:$G$50,3,FALSE)</f>
        <v>Pin Laricio</v>
      </c>
      <c r="BI446" s="96" t="str">
        <f>+VLOOKUP(H446,Liste!$B$7:$G$50,5,FALSE)</f>
        <v>GS Pineraies des plaines du Centre et du Nord Ouest</v>
      </c>
      <c r="BJ446" s="135">
        <f t="shared" si="129"/>
        <v>75</v>
      </c>
      <c r="BK446" s="135" t="str">
        <f t="shared" si="131"/>
        <v>Pin Laricio_F2_Classique_GS Pineraies des plaines du Centre et du Nord Ouest_75_</v>
      </c>
      <c r="BL446" s="322"/>
      <c r="BM446" s="13">
        <v>94.641976439093099</v>
      </c>
      <c r="BN446" s="13">
        <v>479.73366007338598</v>
      </c>
      <c r="BO446" s="13" t="s">
        <v>169</v>
      </c>
      <c r="BP446" s="13">
        <v>261.61729964832301</v>
      </c>
      <c r="BQ446" s="13" t="s">
        <v>169</v>
      </c>
      <c r="BT446" s="298" t="str">
        <f>+VLOOKUP(G446,Liste!$A$7:$H$50,8,FALSE)</f>
        <v>Résineux</v>
      </c>
      <c r="BU446" s="298">
        <f t="shared" si="132"/>
        <v>0</v>
      </c>
      <c r="BV446" s="300">
        <f t="shared" si="133"/>
        <v>1</v>
      </c>
      <c r="BW446" s="321">
        <v>0</v>
      </c>
      <c r="BX446" s="298">
        <f t="shared" si="134"/>
        <v>0.43</v>
      </c>
      <c r="BY446">
        <f t="shared" si="135"/>
        <v>0</v>
      </c>
      <c r="BZ446" s="304">
        <f t="shared" si="136"/>
        <v>0</v>
      </c>
      <c r="CB446" s="299">
        <v>0.6</v>
      </c>
      <c r="CC446" s="299">
        <v>0.4</v>
      </c>
      <c r="CD446">
        <f t="shared" si="137"/>
        <v>0</v>
      </c>
      <c r="CE446">
        <f t="shared" si="138"/>
        <v>0</v>
      </c>
      <c r="CF446">
        <f t="shared" si="139"/>
        <v>0</v>
      </c>
      <c r="CG446">
        <f t="shared" si="140"/>
        <v>0</v>
      </c>
      <c r="CH446">
        <f t="shared" si="141"/>
        <v>0</v>
      </c>
      <c r="CI446">
        <f t="shared" si="142"/>
        <v>0</v>
      </c>
      <c r="CJ446">
        <f t="shared" si="143"/>
        <v>0</v>
      </c>
      <c r="CK446">
        <f t="shared" si="144"/>
        <v>0</v>
      </c>
      <c r="CL446">
        <f t="shared" si="145"/>
        <v>0</v>
      </c>
      <c r="CM446">
        <f t="shared" si="147"/>
        <v>0</v>
      </c>
      <c r="CN446">
        <f t="shared" si="146"/>
        <v>0</v>
      </c>
      <c r="CO446">
        <f t="shared" si="130"/>
        <v>0</v>
      </c>
    </row>
    <row r="447" spans="1:93" s="12" customFormat="1" ht="14.65" customHeight="1" x14ac:dyDescent="0.25">
      <c r="A447" s="4">
        <v>2021</v>
      </c>
      <c r="B447" s="4"/>
      <c r="C447" s="4" t="s">
        <v>179</v>
      </c>
      <c r="D447" s="4" t="s">
        <v>65</v>
      </c>
      <c r="E447" s="4"/>
      <c r="F447" s="4" t="s">
        <v>90</v>
      </c>
      <c r="G447" s="5" t="s">
        <v>180</v>
      </c>
      <c r="H447" s="5" t="s">
        <v>21</v>
      </c>
      <c r="I447" s="5" t="s">
        <v>18</v>
      </c>
      <c r="J447" s="5" t="s">
        <v>10</v>
      </c>
      <c r="K447" s="5">
        <v>23.3</v>
      </c>
      <c r="L447" s="5" t="s">
        <v>190</v>
      </c>
      <c r="M447" s="5">
        <v>1666</v>
      </c>
      <c r="N447" s="5" t="s">
        <v>171</v>
      </c>
      <c r="O447" s="6" t="s">
        <v>81</v>
      </c>
      <c r="P447" s="6" t="s">
        <v>181</v>
      </c>
      <c r="Q447" s="6"/>
      <c r="R447" s="6"/>
      <c r="S447" s="6">
        <v>22</v>
      </c>
      <c r="T447" s="6">
        <v>11.13</v>
      </c>
      <c r="U447" s="6">
        <v>1444</v>
      </c>
      <c r="V447" s="6">
        <v>25.27</v>
      </c>
      <c r="W447" s="6">
        <v>1</v>
      </c>
      <c r="X447" s="6">
        <v>272</v>
      </c>
      <c r="Y447" s="6">
        <v>985</v>
      </c>
      <c r="Z447" s="6">
        <v>187</v>
      </c>
      <c r="AA447" s="6">
        <v>0</v>
      </c>
      <c r="AB447" s="6">
        <v>0</v>
      </c>
      <c r="AC447" s="7">
        <v>76</v>
      </c>
      <c r="AD447" s="7" t="s">
        <v>52</v>
      </c>
      <c r="AE447" s="7">
        <v>28.09</v>
      </c>
      <c r="AF447" s="76">
        <v>188</v>
      </c>
      <c r="AG447" s="7">
        <v>37.590000000000003</v>
      </c>
      <c r="AH447" s="7">
        <v>50.45</v>
      </c>
      <c r="AI447" s="7">
        <v>51.94</v>
      </c>
      <c r="AJ447" s="9">
        <v>400.06426878774698</v>
      </c>
      <c r="AK447" s="9">
        <v>410.38486761251602</v>
      </c>
      <c r="AL447" s="9">
        <v>501.244403537224</v>
      </c>
      <c r="AM447" s="9" t="s">
        <v>169</v>
      </c>
      <c r="AN447" s="9" t="s">
        <v>169</v>
      </c>
      <c r="AO447" s="9" t="s">
        <v>169</v>
      </c>
      <c r="AP447" s="9" t="s">
        <v>169</v>
      </c>
      <c r="AQ447" s="9" t="s">
        <v>169</v>
      </c>
      <c r="AR447" s="9" t="s">
        <v>169</v>
      </c>
      <c r="AS447" s="73" t="s">
        <v>169</v>
      </c>
      <c r="AT447" s="10" t="s">
        <v>169</v>
      </c>
      <c r="AU447" s="10" t="s">
        <v>169</v>
      </c>
      <c r="AV447" s="10">
        <v>0</v>
      </c>
      <c r="AW447" s="10"/>
      <c r="AX447" s="10" t="s">
        <v>169</v>
      </c>
      <c r="AY447" s="10"/>
      <c r="AZ447" s="10"/>
      <c r="BA447" s="10"/>
      <c r="BB447" s="8"/>
      <c r="BC447" s="8"/>
      <c r="BD447" s="8"/>
      <c r="BE447" s="8"/>
      <c r="BF447" s="12">
        <v>0.45</v>
      </c>
      <c r="BG447" s="13">
        <v>393.14130149546401</v>
      </c>
      <c r="BH447" s="96" t="str">
        <f>+VLOOKUP(G447,Liste!$A$7:$G$50,3,FALSE)</f>
        <v>Pin Laricio</v>
      </c>
      <c r="BI447" s="96" t="str">
        <f>+VLOOKUP(H447,Liste!$B$7:$G$50,5,FALSE)</f>
        <v>GS Pineraies des plaines du Centre et du Nord Ouest</v>
      </c>
      <c r="BJ447" s="135">
        <f t="shared" si="129"/>
        <v>76</v>
      </c>
      <c r="BK447" s="135" t="str">
        <f t="shared" si="131"/>
        <v>Pin Laricio_F2_Classique_GS Pineraies des plaines du Centre et du Nord Ouest_76_</v>
      </c>
      <c r="BL447" s="322"/>
      <c r="BM447" s="13">
        <v>96.399504742784003</v>
      </c>
      <c r="BN447" s="13">
        <v>489.54080623824802</v>
      </c>
      <c r="BO447" s="13" t="s">
        <v>169</v>
      </c>
      <c r="BP447" s="13">
        <v>261.61729964832301</v>
      </c>
      <c r="BQ447" s="13" t="s">
        <v>169</v>
      </c>
      <c r="BT447" s="298" t="str">
        <f>+VLOOKUP(G447,Liste!$A$7:$H$50,8,FALSE)</f>
        <v>Résineux</v>
      </c>
      <c r="BU447" s="298">
        <f t="shared" si="132"/>
        <v>0</v>
      </c>
      <c r="BV447" s="300">
        <f t="shared" si="133"/>
        <v>1</v>
      </c>
      <c r="BW447" s="321">
        <v>0</v>
      </c>
      <c r="BX447" s="298">
        <f t="shared" si="134"/>
        <v>0.43</v>
      </c>
      <c r="BY447">
        <f t="shared" si="135"/>
        <v>0</v>
      </c>
      <c r="BZ447" s="304">
        <f t="shared" si="136"/>
        <v>0</v>
      </c>
      <c r="CB447" s="299">
        <v>0.6</v>
      </c>
      <c r="CC447" s="299">
        <v>0.4</v>
      </c>
      <c r="CD447">
        <f t="shared" si="137"/>
        <v>0</v>
      </c>
      <c r="CE447">
        <f t="shared" si="138"/>
        <v>0</v>
      </c>
      <c r="CF447">
        <f t="shared" si="139"/>
        <v>0</v>
      </c>
      <c r="CG447">
        <f t="shared" si="140"/>
        <v>0</v>
      </c>
      <c r="CH447">
        <f t="shared" si="141"/>
        <v>0</v>
      </c>
      <c r="CI447">
        <f t="shared" si="142"/>
        <v>0</v>
      </c>
      <c r="CJ447">
        <f t="shared" si="143"/>
        <v>0</v>
      </c>
      <c r="CK447">
        <f t="shared" si="144"/>
        <v>0</v>
      </c>
      <c r="CL447">
        <f t="shared" si="145"/>
        <v>0</v>
      </c>
      <c r="CM447">
        <f t="shared" si="147"/>
        <v>0</v>
      </c>
      <c r="CN447">
        <f t="shared" si="146"/>
        <v>0</v>
      </c>
      <c r="CO447">
        <f t="shared" si="130"/>
        <v>0</v>
      </c>
    </row>
    <row r="448" spans="1:93" s="12" customFormat="1" ht="14.65" customHeight="1" x14ac:dyDescent="0.25">
      <c r="A448" s="4">
        <v>2021</v>
      </c>
      <c r="B448" s="4"/>
      <c r="C448" s="4" t="s">
        <v>179</v>
      </c>
      <c r="D448" s="4" t="s">
        <v>65</v>
      </c>
      <c r="E448" s="4"/>
      <c r="F448" s="4" t="s">
        <v>90</v>
      </c>
      <c r="G448" s="5" t="s">
        <v>180</v>
      </c>
      <c r="H448" s="5" t="s">
        <v>21</v>
      </c>
      <c r="I448" s="5" t="s">
        <v>18</v>
      </c>
      <c r="J448" s="5" t="s">
        <v>10</v>
      </c>
      <c r="K448" s="5">
        <v>23.3</v>
      </c>
      <c r="L448" s="5" t="s">
        <v>190</v>
      </c>
      <c r="M448" s="5">
        <v>1666</v>
      </c>
      <c r="N448" s="5" t="s">
        <v>171</v>
      </c>
      <c r="O448" s="6" t="s">
        <v>81</v>
      </c>
      <c r="P448" s="6" t="s">
        <v>181</v>
      </c>
      <c r="Q448" s="6"/>
      <c r="R448" s="6"/>
      <c r="S448" s="6">
        <v>22</v>
      </c>
      <c r="T448" s="6">
        <v>11.13</v>
      </c>
      <c r="U448" s="6">
        <v>1444</v>
      </c>
      <c r="V448" s="6">
        <v>25.27</v>
      </c>
      <c r="W448" s="6">
        <v>1</v>
      </c>
      <c r="X448" s="6">
        <v>272</v>
      </c>
      <c r="Y448" s="6">
        <v>985</v>
      </c>
      <c r="Z448" s="6">
        <v>187</v>
      </c>
      <c r="AA448" s="6">
        <v>0</v>
      </c>
      <c r="AB448" s="6">
        <v>0</v>
      </c>
      <c r="AC448" s="7">
        <v>77</v>
      </c>
      <c r="AD448" s="7" t="s">
        <v>52</v>
      </c>
      <c r="AE448" s="7">
        <v>28.2</v>
      </c>
      <c r="AF448" s="76">
        <v>188</v>
      </c>
      <c r="AG448" s="7">
        <v>38.200000000000003</v>
      </c>
      <c r="AH448" s="7">
        <v>50.87</v>
      </c>
      <c r="AI448" s="7">
        <v>52.36</v>
      </c>
      <c r="AJ448" s="9">
        <v>408.27922351351901</v>
      </c>
      <c r="AK448" s="9">
        <v>418.86496147337601</v>
      </c>
      <c r="AL448" s="9">
        <v>511.507446082429</v>
      </c>
      <c r="AM448" s="9">
        <v>84.161510824252403</v>
      </c>
      <c r="AN448" s="9">
        <v>1.0930066340811999</v>
      </c>
      <c r="AO448" s="9">
        <v>0.59730299238375295</v>
      </c>
      <c r="AP448" s="9">
        <v>949.69273179182198</v>
      </c>
      <c r="AQ448" s="9">
        <v>12.333671841452199</v>
      </c>
      <c r="AR448" s="9">
        <v>9.59370229654564</v>
      </c>
      <c r="AS448" s="73" t="s">
        <v>169</v>
      </c>
      <c r="AT448" s="10" t="s">
        <v>169</v>
      </c>
      <c r="AU448" s="10" t="s">
        <v>169</v>
      </c>
      <c r="AV448" s="10">
        <v>0</v>
      </c>
      <c r="AW448" s="10"/>
      <c r="AX448" s="10" t="s">
        <v>169</v>
      </c>
      <c r="AY448" s="10"/>
      <c r="AZ448" s="10"/>
      <c r="BA448" s="10"/>
      <c r="BB448" s="8"/>
      <c r="BC448" s="8"/>
      <c r="BD448" s="8"/>
      <c r="BE448" s="8"/>
      <c r="BF448" s="12">
        <v>0.45</v>
      </c>
      <c r="BG448" s="13">
        <v>401.19091935663499</v>
      </c>
      <c r="BH448" s="96" t="str">
        <f>+VLOOKUP(G448,Liste!$A$7:$G$50,3,FALSE)</f>
        <v>Pin Laricio</v>
      </c>
      <c r="BI448" s="96" t="str">
        <f>+VLOOKUP(H448,Liste!$B$7:$G$50,5,FALSE)</f>
        <v>GS Pineraies des plaines du Centre et du Nord Ouest</v>
      </c>
      <c r="BJ448" s="135">
        <f t="shared" si="129"/>
        <v>77</v>
      </c>
      <c r="BK448" s="135" t="str">
        <f t="shared" si="131"/>
        <v>Pin Laricio_F2_Classique_GS Pineraies des plaines du Centre et du Nord Ouest_77_</v>
      </c>
      <c r="BL448" s="322"/>
      <c r="BM448" s="13">
        <v>98.157033046474893</v>
      </c>
      <c r="BN448" s="13">
        <v>499.34795240311001</v>
      </c>
      <c r="BO448" s="13" t="s">
        <v>169</v>
      </c>
      <c r="BP448" s="13">
        <v>261.61729964832301</v>
      </c>
      <c r="BQ448" s="13">
        <v>9.0365368698493906</v>
      </c>
      <c r="BT448" s="298" t="str">
        <f>+VLOOKUP(G448,Liste!$A$7:$H$50,8,FALSE)</f>
        <v>Résineux</v>
      </c>
      <c r="BU448" s="298">
        <f t="shared" si="132"/>
        <v>0</v>
      </c>
      <c r="BV448" s="300">
        <f t="shared" si="133"/>
        <v>1</v>
      </c>
      <c r="BW448" s="321">
        <v>0</v>
      </c>
      <c r="BX448" s="298">
        <f t="shared" si="134"/>
        <v>0.43</v>
      </c>
      <c r="BY448">
        <f t="shared" si="135"/>
        <v>0</v>
      </c>
      <c r="BZ448" s="304">
        <f t="shared" si="136"/>
        <v>0</v>
      </c>
      <c r="CB448" s="299">
        <v>0.6</v>
      </c>
      <c r="CC448" s="299">
        <v>0.4</v>
      </c>
      <c r="CD448">
        <f t="shared" si="137"/>
        <v>0</v>
      </c>
      <c r="CE448">
        <f t="shared" si="138"/>
        <v>0</v>
      </c>
      <c r="CF448">
        <f t="shared" si="139"/>
        <v>0</v>
      </c>
      <c r="CG448">
        <f t="shared" si="140"/>
        <v>0</v>
      </c>
      <c r="CH448">
        <f t="shared" si="141"/>
        <v>0</v>
      </c>
      <c r="CI448">
        <f t="shared" si="142"/>
        <v>0</v>
      </c>
      <c r="CJ448">
        <f t="shared" si="143"/>
        <v>0</v>
      </c>
      <c r="CK448">
        <f t="shared" si="144"/>
        <v>0</v>
      </c>
      <c r="CL448">
        <f t="shared" si="145"/>
        <v>0</v>
      </c>
      <c r="CM448">
        <f t="shared" si="147"/>
        <v>0</v>
      </c>
      <c r="CN448">
        <f t="shared" si="146"/>
        <v>0</v>
      </c>
      <c r="CO448">
        <f t="shared" si="130"/>
        <v>0</v>
      </c>
    </row>
    <row r="449" spans="1:93" s="12" customFormat="1" ht="14.65" customHeight="1" x14ac:dyDescent="0.25">
      <c r="A449" s="4">
        <v>2021</v>
      </c>
      <c r="B449" s="4"/>
      <c r="C449" s="4" t="s">
        <v>179</v>
      </c>
      <c r="D449" s="4" t="s">
        <v>65</v>
      </c>
      <c r="E449" s="4"/>
      <c r="F449" s="4" t="s">
        <v>90</v>
      </c>
      <c r="G449" s="5" t="s">
        <v>180</v>
      </c>
      <c r="H449" s="5" t="s">
        <v>21</v>
      </c>
      <c r="I449" s="5" t="s">
        <v>18</v>
      </c>
      <c r="J449" s="5" t="s">
        <v>10</v>
      </c>
      <c r="K449" s="5">
        <v>23.3</v>
      </c>
      <c r="L449" s="5" t="s">
        <v>190</v>
      </c>
      <c r="M449" s="5">
        <v>1666</v>
      </c>
      <c r="N449" s="5" t="s">
        <v>171</v>
      </c>
      <c r="O449" s="6" t="s">
        <v>81</v>
      </c>
      <c r="P449" s="6" t="s">
        <v>181</v>
      </c>
      <c r="Q449" s="6"/>
      <c r="R449" s="6"/>
      <c r="S449" s="6">
        <v>22</v>
      </c>
      <c r="T449" s="6">
        <v>11.13</v>
      </c>
      <c r="U449" s="6">
        <v>1444</v>
      </c>
      <c r="V449" s="6">
        <v>25.27</v>
      </c>
      <c r="W449" s="6">
        <v>1</v>
      </c>
      <c r="X449" s="6">
        <v>272</v>
      </c>
      <c r="Y449" s="6">
        <v>985</v>
      </c>
      <c r="Z449" s="6">
        <v>187</v>
      </c>
      <c r="AA449" s="6">
        <v>0</v>
      </c>
      <c r="AB449" s="6">
        <v>0</v>
      </c>
      <c r="AC449" s="7">
        <v>78</v>
      </c>
      <c r="AD449" s="7" t="s">
        <v>52</v>
      </c>
      <c r="AE449" s="7">
        <v>28.31</v>
      </c>
      <c r="AF449" s="76">
        <v>188</v>
      </c>
      <c r="AG449" s="7">
        <v>38.81</v>
      </c>
      <c r="AH449" s="7">
        <v>51.27</v>
      </c>
      <c r="AI449" s="7">
        <v>52.77</v>
      </c>
      <c r="AJ449" s="9">
        <v>415.95798959447001</v>
      </c>
      <c r="AK449" s="9">
        <v>426.79719703824998</v>
      </c>
      <c r="AL449" s="9">
        <v>521.10114837897402</v>
      </c>
      <c r="AM449" s="9" t="s">
        <v>169</v>
      </c>
      <c r="AN449" s="9" t="s">
        <v>169</v>
      </c>
      <c r="AO449" s="9" t="s">
        <v>169</v>
      </c>
      <c r="AP449" s="9" t="s">
        <v>169</v>
      </c>
      <c r="AQ449" s="9" t="s">
        <v>169</v>
      </c>
      <c r="AR449" s="9" t="s">
        <v>169</v>
      </c>
      <c r="AS449" s="73" t="s">
        <v>169</v>
      </c>
      <c r="AT449" s="10" t="s">
        <v>169</v>
      </c>
      <c r="AU449" s="10" t="s">
        <v>169</v>
      </c>
      <c r="AV449" s="10">
        <v>0</v>
      </c>
      <c r="AW449" s="10"/>
      <c r="AX449" s="10" t="s">
        <v>169</v>
      </c>
      <c r="AY449" s="10"/>
      <c r="AZ449" s="10"/>
      <c r="BA449" s="10"/>
      <c r="BB449" s="8"/>
      <c r="BC449" s="8"/>
      <c r="BD449" s="8"/>
      <c r="BE449" s="8"/>
      <c r="BF449" s="12">
        <v>0.45</v>
      </c>
      <c r="BG449" s="13">
        <v>408.71555320871897</v>
      </c>
      <c r="BH449" s="96" t="str">
        <f>+VLOOKUP(G449,Liste!$A$7:$G$50,3,FALSE)</f>
        <v>Pin Laricio</v>
      </c>
      <c r="BI449" s="96" t="str">
        <f>+VLOOKUP(H449,Liste!$B$7:$G$50,5,FALSE)</f>
        <v>GS Pineraies des plaines du Centre et du Nord Ouest</v>
      </c>
      <c r="BJ449" s="135">
        <f t="shared" si="129"/>
        <v>78</v>
      </c>
      <c r="BK449" s="135" t="str">
        <f t="shared" si="131"/>
        <v>Pin Laricio_F2_Classique_GS Pineraies des plaines du Centre et du Nord Ouest_78_</v>
      </c>
      <c r="BL449" s="322"/>
      <c r="BM449" s="13">
        <v>99.780245027864495</v>
      </c>
      <c r="BN449" s="13">
        <v>508.49579823658399</v>
      </c>
      <c r="BO449" s="13" t="s">
        <v>169</v>
      </c>
      <c r="BP449" s="13">
        <v>261.61729964832301</v>
      </c>
      <c r="BQ449" s="13" t="s">
        <v>169</v>
      </c>
      <c r="BT449" s="298" t="str">
        <f>+VLOOKUP(G449,Liste!$A$7:$H$50,8,FALSE)</f>
        <v>Résineux</v>
      </c>
      <c r="BU449" s="298">
        <f t="shared" si="132"/>
        <v>0</v>
      </c>
      <c r="BV449" s="300">
        <f t="shared" si="133"/>
        <v>1</v>
      </c>
      <c r="BW449" s="321">
        <v>0</v>
      </c>
      <c r="BX449" s="298">
        <f t="shared" si="134"/>
        <v>0.43</v>
      </c>
      <c r="BY449">
        <f t="shared" si="135"/>
        <v>0</v>
      </c>
      <c r="BZ449" s="304">
        <f t="shared" si="136"/>
        <v>0</v>
      </c>
      <c r="CB449" s="299">
        <v>0.6</v>
      </c>
      <c r="CC449" s="299">
        <v>0.4</v>
      </c>
      <c r="CD449">
        <f t="shared" si="137"/>
        <v>0</v>
      </c>
      <c r="CE449">
        <f t="shared" si="138"/>
        <v>0</v>
      </c>
      <c r="CF449">
        <f t="shared" si="139"/>
        <v>0</v>
      </c>
      <c r="CG449">
        <f t="shared" si="140"/>
        <v>0</v>
      </c>
      <c r="CH449">
        <f t="shared" si="141"/>
        <v>0</v>
      </c>
      <c r="CI449">
        <f t="shared" si="142"/>
        <v>0</v>
      </c>
      <c r="CJ449">
        <f t="shared" si="143"/>
        <v>0</v>
      </c>
      <c r="CK449">
        <f t="shared" si="144"/>
        <v>0</v>
      </c>
      <c r="CL449">
        <f t="shared" si="145"/>
        <v>0</v>
      </c>
      <c r="CM449">
        <f t="shared" si="147"/>
        <v>0</v>
      </c>
      <c r="CN449">
        <f t="shared" si="146"/>
        <v>0</v>
      </c>
      <c r="CO449">
        <f t="shared" si="130"/>
        <v>0</v>
      </c>
    </row>
    <row r="450" spans="1:93" s="12" customFormat="1" ht="14.65" customHeight="1" x14ac:dyDescent="0.25">
      <c r="A450" s="4">
        <v>2021</v>
      </c>
      <c r="B450" s="4"/>
      <c r="C450" s="4" t="s">
        <v>179</v>
      </c>
      <c r="D450" s="4" t="s">
        <v>65</v>
      </c>
      <c r="E450" s="4"/>
      <c r="F450" s="4" t="s">
        <v>90</v>
      </c>
      <c r="G450" s="5" t="s">
        <v>180</v>
      </c>
      <c r="H450" s="5" t="s">
        <v>21</v>
      </c>
      <c r="I450" s="5" t="s">
        <v>18</v>
      </c>
      <c r="J450" s="5" t="s">
        <v>10</v>
      </c>
      <c r="K450" s="5">
        <v>23.3</v>
      </c>
      <c r="L450" s="5" t="s">
        <v>190</v>
      </c>
      <c r="M450" s="5">
        <v>1666</v>
      </c>
      <c r="N450" s="5" t="s">
        <v>171</v>
      </c>
      <c r="O450" s="6" t="s">
        <v>81</v>
      </c>
      <c r="P450" s="6" t="s">
        <v>181</v>
      </c>
      <c r="Q450" s="6"/>
      <c r="R450" s="6"/>
      <c r="S450" s="6">
        <v>22</v>
      </c>
      <c r="T450" s="6">
        <v>11.13</v>
      </c>
      <c r="U450" s="6">
        <v>1444</v>
      </c>
      <c r="V450" s="6">
        <v>25.27</v>
      </c>
      <c r="W450" s="6">
        <v>1</v>
      </c>
      <c r="X450" s="6">
        <v>272</v>
      </c>
      <c r="Y450" s="6">
        <v>985</v>
      </c>
      <c r="Z450" s="6">
        <v>187</v>
      </c>
      <c r="AA450" s="6">
        <v>0</v>
      </c>
      <c r="AB450" s="6">
        <v>0</v>
      </c>
      <c r="AC450" s="7">
        <v>79</v>
      </c>
      <c r="AD450" s="7" t="s">
        <v>52</v>
      </c>
      <c r="AE450" s="7">
        <v>28.41</v>
      </c>
      <c r="AF450" s="76">
        <v>188</v>
      </c>
      <c r="AG450" s="7">
        <v>39.4</v>
      </c>
      <c r="AH450" s="7">
        <v>51.65</v>
      </c>
      <c r="AI450" s="7">
        <v>53.17</v>
      </c>
      <c r="AJ450" s="9">
        <v>423.63675567542202</v>
      </c>
      <c r="AK450" s="9">
        <v>434.72943260312502</v>
      </c>
      <c r="AL450" s="9">
        <v>530.69485067552</v>
      </c>
      <c r="AM450" s="9">
        <v>85.356116809019994</v>
      </c>
      <c r="AN450" s="9">
        <v>1.0804571747977201</v>
      </c>
      <c r="AO450" s="9" t="s">
        <v>169</v>
      </c>
      <c r="AP450" s="9">
        <v>968.88013638491395</v>
      </c>
      <c r="AQ450" s="9">
        <v>12.264305523859701</v>
      </c>
      <c r="AR450" s="9" t="s">
        <v>169</v>
      </c>
      <c r="AS450" s="73" t="s">
        <v>169</v>
      </c>
      <c r="AT450" s="10" t="s">
        <v>169</v>
      </c>
      <c r="AU450" s="10" t="s">
        <v>169</v>
      </c>
      <c r="AV450" s="10">
        <v>0</v>
      </c>
      <c r="AW450" s="10"/>
      <c r="AX450" s="10" t="s">
        <v>169</v>
      </c>
      <c r="AY450" s="10"/>
      <c r="AZ450" s="10"/>
      <c r="BA450" s="10"/>
      <c r="BB450" s="8"/>
      <c r="BC450" s="8"/>
      <c r="BD450" s="8"/>
      <c r="BE450" s="8"/>
      <c r="BF450" s="12">
        <v>0.45</v>
      </c>
      <c r="BG450" s="13">
        <v>416.24018706080301</v>
      </c>
      <c r="BH450" s="96" t="str">
        <f>+VLOOKUP(G450,Liste!$A$7:$G$50,3,FALSE)</f>
        <v>Pin Laricio</v>
      </c>
      <c r="BI450" s="96" t="str">
        <f>+VLOOKUP(H450,Liste!$B$7:$G$50,5,FALSE)</f>
        <v>GS Pineraies des plaines du Centre et du Nord Ouest</v>
      </c>
      <c r="BJ450" s="135">
        <f t="shared" si="129"/>
        <v>79</v>
      </c>
      <c r="BK450" s="135" t="str">
        <f t="shared" si="131"/>
        <v>Pin Laricio_F2_Classique_GS Pineraies des plaines du Centre et du Nord Ouest_79_</v>
      </c>
      <c r="BL450" s="322"/>
      <c r="BM450" s="13">
        <v>101.403457009254</v>
      </c>
      <c r="BN450" s="13">
        <v>517.64364407005701</v>
      </c>
      <c r="BO450" s="13" t="s">
        <v>169</v>
      </c>
      <c r="BP450" s="13">
        <v>261.61729964832301</v>
      </c>
      <c r="BQ450" s="13" t="s">
        <v>169</v>
      </c>
      <c r="BT450" s="298" t="str">
        <f>+VLOOKUP(G450,Liste!$A$7:$H$50,8,FALSE)</f>
        <v>Résineux</v>
      </c>
      <c r="BU450" s="298">
        <f t="shared" si="132"/>
        <v>0</v>
      </c>
      <c r="BV450" s="300">
        <f t="shared" si="133"/>
        <v>1</v>
      </c>
      <c r="BW450" s="321">
        <v>0</v>
      </c>
      <c r="BX450" s="298">
        <f t="shared" si="134"/>
        <v>0.43</v>
      </c>
      <c r="BY450">
        <f t="shared" si="135"/>
        <v>0</v>
      </c>
      <c r="BZ450" s="304">
        <f t="shared" si="136"/>
        <v>0</v>
      </c>
      <c r="CB450" s="299">
        <v>0.6</v>
      </c>
      <c r="CC450" s="299">
        <v>0.4</v>
      </c>
      <c r="CD450">
        <f t="shared" si="137"/>
        <v>0</v>
      </c>
      <c r="CE450">
        <f t="shared" si="138"/>
        <v>0</v>
      </c>
      <c r="CF450">
        <f t="shared" si="139"/>
        <v>0</v>
      </c>
      <c r="CG450">
        <f t="shared" si="140"/>
        <v>0</v>
      </c>
      <c r="CH450">
        <f t="shared" si="141"/>
        <v>0</v>
      </c>
      <c r="CI450">
        <f t="shared" si="142"/>
        <v>0</v>
      </c>
      <c r="CJ450">
        <f t="shared" si="143"/>
        <v>0</v>
      </c>
      <c r="CK450">
        <f t="shared" si="144"/>
        <v>0</v>
      </c>
      <c r="CL450">
        <f t="shared" si="145"/>
        <v>0</v>
      </c>
      <c r="CM450">
        <f t="shared" si="147"/>
        <v>0</v>
      </c>
      <c r="CN450">
        <f t="shared" si="146"/>
        <v>0</v>
      </c>
      <c r="CO450">
        <f t="shared" si="130"/>
        <v>0</v>
      </c>
    </row>
    <row r="451" spans="1:93" s="12" customFormat="1" ht="14.65" customHeight="1" x14ac:dyDescent="0.25">
      <c r="A451" s="4">
        <v>2021</v>
      </c>
      <c r="B451" s="4"/>
      <c r="C451" s="4" t="s">
        <v>179</v>
      </c>
      <c r="D451" s="4" t="s">
        <v>65</v>
      </c>
      <c r="E451" s="4"/>
      <c r="F451" s="4" t="s">
        <v>90</v>
      </c>
      <c r="G451" s="5" t="s">
        <v>180</v>
      </c>
      <c r="H451" s="5" t="s">
        <v>21</v>
      </c>
      <c r="I451" s="5" t="s">
        <v>18</v>
      </c>
      <c r="J451" s="5" t="s">
        <v>10</v>
      </c>
      <c r="K451" s="5">
        <v>23.3</v>
      </c>
      <c r="L451" s="5" t="s">
        <v>190</v>
      </c>
      <c r="M451" s="5">
        <v>1666</v>
      </c>
      <c r="N451" s="5" t="s">
        <v>171</v>
      </c>
      <c r="O451" s="6" t="s">
        <v>81</v>
      </c>
      <c r="P451" s="6" t="s">
        <v>181</v>
      </c>
      <c r="Q451" s="6"/>
      <c r="R451" s="6"/>
      <c r="S451" s="6">
        <v>22</v>
      </c>
      <c r="T451" s="6">
        <v>11.13</v>
      </c>
      <c r="U451" s="6">
        <v>1444</v>
      </c>
      <c r="V451" s="6">
        <v>25.27</v>
      </c>
      <c r="W451" s="6">
        <v>1</v>
      </c>
      <c r="X451" s="6">
        <v>272</v>
      </c>
      <c r="Y451" s="6">
        <v>985</v>
      </c>
      <c r="Z451" s="6">
        <v>187</v>
      </c>
      <c r="AA451" s="6">
        <v>0</v>
      </c>
      <c r="AB451" s="6">
        <v>0</v>
      </c>
      <c r="AC451" s="7">
        <v>79</v>
      </c>
      <c r="AD451" s="7" t="s">
        <v>53</v>
      </c>
      <c r="AE451" s="7">
        <v>28.41</v>
      </c>
      <c r="AF451" s="76">
        <v>0</v>
      </c>
      <c r="AG451" s="7">
        <v>0</v>
      </c>
      <c r="AH451" s="7">
        <v>0</v>
      </c>
      <c r="AI451" s="7">
        <v>0</v>
      </c>
      <c r="AJ451" s="9">
        <v>0</v>
      </c>
      <c r="AK451" s="9">
        <v>0</v>
      </c>
      <c r="AL451" s="9">
        <v>0</v>
      </c>
      <c r="AM451" s="9">
        <v>85.356116809019994</v>
      </c>
      <c r="AN451" s="9">
        <v>1.0804571747977201</v>
      </c>
      <c r="AO451" s="9" t="s">
        <v>169</v>
      </c>
      <c r="AP451" s="9">
        <v>968.88013638491395</v>
      </c>
      <c r="AQ451" s="9">
        <v>12.264305523859701</v>
      </c>
      <c r="AR451" s="9" t="s">
        <v>169</v>
      </c>
      <c r="AS451" s="73">
        <v>188</v>
      </c>
      <c r="AT451" s="10">
        <v>39.4</v>
      </c>
      <c r="AU451" s="10">
        <v>51.656412993237801</v>
      </c>
      <c r="AV451" s="10">
        <v>423.63675567542202</v>
      </c>
      <c r="AW451" s="10">
        <v>1.000248340420695</v>
      </c>
      <c r="AX451" s="10">
        <v>2.2533869982735215</v>
      </c>
      <c r="AY451" s="10"/>
      <c r="AZ451" s="10"/>
      <c r="BA451" s="10"/>
      <c r="BB451" s="8"/>
      <c r="BC451" s="8"/>
      <c r="BD451" s="8"/>
      <c r="BE451" s="8"/>
      <c r="BF451" s="12">
        <v>0.45</v>
      </c>
      <c r="BG451" s="13">
        <v>0</v>
      </c>
      <c r="BH451" s="96" t="str">
        <f>+VLOOKUP(G451,Liste!$A$7:$G$50,3,FALSE)</f>
        <v>Pin Laricio</v>
      </c>
      <c r="BI451" s="96" t="str">
        <f>+VLOOKUP(H451,Liste!$B$7:$G$50,5,FALSE)</f>
        <v>GS Pineraies des plaines du Centre et du Nord Ouest</v>
      </c>
      <c r="BJ451" s="135">
        <f t="shared" ref="BJ451:BJ514" si="148">+AC451</f>
        <v>79</v>
      </c>
      <c r="BK451" s="135" t="str">
        <f t="shared" si="131"/>
        <v>Pin Laricio_F2_Classique_GS Pineraies des plaines du Centre et du Nord Ouest_79_</v>
      </c>
      <c r="BL451" s="322"/>
      <c r="BM451" s="13">
        <v>0</v>
      </c>
      <c r="BN451" s="13">
        <v>0</v>
      </c>
      <c r="BO451" s="13">
        <v>517.64364407005701</v>
      </c>
      <c r="BP451" s="13">
        <v>261.61729964832301</v>
      </c>
      <c r="BQ451" s="13" t="s">
        <v>169</v>
      </c>
      <c r="BT451" s="298" t="str">
        <f>+VLOOKUP(G451,Liste!$A$7:$H$50,8,FALSE)</f>
        <v>Résineux</v>
      </c>
      <c r="BU451" s="298">
        <f t="shared" si="132"/>
        <v>0</v>
      </c>
      <c r="BV451" s="300">
        <f t="shared" si="133"/>
        <v>1</v>
      </c>
      <c r="BW451" s="321">
        <v>0</v>
      </c>
      <c r="BX451" s="298">
        <f t="shared" si="134"/>
        <v>0.43</v>
      </c>
      <c r="BY451">
        <f t="shared" si="135"/>
        <v>0</v>
      </c>
      <c r="BZ451" s="304">
        <f t="shared" si="136"/>
        <v>0</v>
      </c>
      <c r="CB451" s="299">
        <v>0.6</v>
      </c>
      <c r="CC451" s="299">
        <v>0.4</v>
      </c>
      <c r="CD451">
        <f t="shared" si="137"/>
        <v>0</v>
      </c>
      <c r="CE451">
        <f t="shared" si="138"/>
        <v>0</v>
      </c>
      <c r="CF451">
        <f t="shared" si="139"/>
        <v>0</v>
      </c>
      <c r="CG451">
        <f t="shared" si="140"/>
        <v>0</v>
      </c>
      <c r="CH451">
        <f t="shared" si="141"/>
        <v>0</v>
      </c>
      <c r="CI451">
        <f t="shared" si="142"/>
        <v>0</v>
      </c>
      <c r="CJ451">
        <f t="shared" si="143"/>
        <v>0</v>
      </c>
      <c r="CK451">
        <f t="shared" si="144"/>
        <v>0</v>
      </c>
      <c r="CL451">
        <f t="shared" si="145"/>
        <v>0</v>
      </c>
      <c r="CM451">
        <f t="shared" si="147"/>
        <v>0</v>
      </c>
      <c r="CN451">
        <f t="shared" si="146"/>
        <v>0</v>
      </c>
      <c r="CO451">
        <f t="shared" ref="CO451:CO514" si="149">+IF(BJ451=30,CN451/30,0)</f>
        <v>0</v>
      </c>
    </row>
    <row r="452" spans="1:93" s="12" customFormat="1" ht="14.65" customHeight="1" x14ac:dyDescent="0.25">
      <c r="A452" s="4">
        <v>2021</v>
      </c>
      <c r="B452" s="4"/>
      <c r="C452" s="4" t="s">
        <v>68</v>
      </c>
      <c r="D452" s="4" t="s">
        <v>65</v>
      </c>
      <c r="E452" s="4" t="s">
        <v>188</v>
      </c>
      <c r="F452" s="4" t="s">
        <v>90</v>
      </c>
      <c r="G452" s="5" t="s">
        <v>182</v>
      </c>
      <c r="H452" s="5" t="s">
        <v>185</v>
      </c>
      <c r="I452" s="5" t="s">
        <v>183</v>
      </c>
      <c r="J452" s="5" t="s">
        <v>184</v>
      </c>
      <c r="K452" s="5">
        <v>28.5</v>
      </c>
      <c r="L452" s="5" t="s">
        <v>191</v>
      </c>
      <c r="M452" s="5">
        <v>1666</v>
      </c>
      <c r="N452" s="5" t="s">
        <v>171</v>
      </c>
      <c r="O452" s="6" t="s">
        <v>81</v>
      </c>
      <c r="P452" s="6" t="s">
        <v>186</v>
      </c>
      <c r="Q452" s="6"/>
      <c r="R452" s="6"/>
      <c r="S452" s="6">
        <v>25</v>
      </c>
      <c r="T452" s="6">
        <v>16.53</v>
      </c>
      <c r="U452" s="6">
        <v>1255</v>
      </c>
      <c r="V452" s="6">
        <v>35.83</v>
      </c>
      <c r="W452" s="6">
        <v>3</v>
      </c>
      <c r="X452" s="6">
        <v>181</v>
      </c>
      <c r="Y452" s="6">
        <v>304</v>
      </c>
      <c r="Z452" s="6">
        <v>527</v>
      </c>
      <c r="AA452" s="6">
        <v>194</v>
      </c>
      <c r="AB452" s="6">
        <v>46</v>
      </c>
      <c r="AC452" s="7">
        <v>25</v>
      </c>
      <c r="AD452" s="7" t="s">
        <v>52</v>
      </c>
      <c r="AE452" s="9">
        <v>16.525487650009101</v>
      </c>
      <c r="AF452" s="76">
        <v>1255</v>
      </c>
      <c r="AG452" s="9">
        <v>35.829900645218203</v>
      </c>
      <c r="AH452" s="9">
        <v>19.065842381090501</v>
      </c>
      <c r="AI452" s="9">
        <v>27.3706157914351</v>
      </c>
      <c r="AJ452" s="9">
        <v>250.19225889832501</v>
      </c>
      <c r="AK452" s="9">
        <v>251.391538723493</v>
      </c>
      <c r="AL452" s="9">
        <v>319.13585873502501</v>
      </c>
      <c r="AM452" s="9">
        <v>35.829900645015599</v>
      </c>
      <c r="AN452" s="9">
        <v>1.43319602580062</v>
      </c>
      <c r="AO452" s="9">
        <v>1.8370576472414899</v>
      </c>
      <c r="AP452" s="9">
        <v>319.13585873502501</v>
      </c>
      <c r="AQ452" s="9">
        <v>12.765434349401</v>
      </c>
      <c r="AR452" s="9">
        <v>25.079268348667998</v>
      </c>
      <c r="AS452" s="8"/>
      <c r="AT452" s="8"/>
      <c r="AU452" s="10" t="s">
        <v>169</v>
      </c>
      <c r="AV452" s="10">
        <v>0</v>
      </c>
      <c r="AW452" s="8"/>
      <c r="AX452" s="8"/>
      <c r="AY452" s="8"/>
      <c r="AZ452" s="8"/>
      <c r="BA452" s="8"/>
      <c r="BB452" s="8"/>
      <c r="BC452" s="8"/>
      <c r="BD452" s="8"/>
      <c r="BE452" s="8"/>
      <c r="BF452" s="12">
        <v>0.37</v>
      </c>
      <c r="BG452" s="13">
        <v>205.65646629982899</v>
      </c>
      <c r="BH452" s="96" t="str">
        <f>+VLOOKUP(G452,Liste!$A$7:$G$50,3,FALSE)</f>
        <v>Epicéa</v>
      </c>
      <c r="BI452" s="96" t="str">
        <f>+VLOOKUP(H452,Liste!$B$7:$G$50,5,FALSE)</f>
        <v>GS Arc Jurassien</v>
      </c>
      <c r="BJ452" s="135">
        <f t="shared" si="148"/>
        <v>25</v>
      </c>
      <c r="BK452" s="135" t="str">
        <f t="shared" ref="BK452:BK515" si="150">+_xlfn.CONCAT(BH452,"_",J452,"_",I452,"_",BI452,"_",BJ452,"_")</f>
        <v>Epicéa_Fbonne_Entree 16-17 m_GS Arc Jurassien_25_</v>
      </c>
      <c r="BL452" s="322"/>
      <c r="BM452" s="13">
        <v>54.386735678123301</v>
      </c>
      <c r="BN452" s="13">
        <v>260.04320197795198</v>
      </c>
      <c r="BP452" s="13">
        <v>287.86350744279702</v>
      </c>
      <c r="BQ452" s="13">
        <v>19.862134189642401</v>
      </c>
      <c r="BT452" s="298" t="str">
        <f>+VLOOKUP(G452,Liste!$A$7:$H$50,8,FALSE)</f>
        <v>Résineux</v>
      </c>
      <c r="BU452" s="298">
        <f t="shared" ref="BU452:BU515" si="151">IF(BT452="Résineux",0%,100%)</f>
        <v>0</v>
      </c>
      <c r="BV452" s="300">
        <f t="shared" ref="BV452:BV515" si="152">+IF(BT452="Résineux",100%,0%)</f>
        <v>1</v>
      </c>
      <c r="BW452" s="321">
        <v>0</v>
      </c>
      <c r="BX452" s="298">
        <f t="shared" ref="BX452:BX515" si="153">+IF(BV452&lt;&gt;0,0.43,0.25)</f>
        <v>0.43</v>
      </c>
      <c r="BY452">
        <f>+IF(BJ452&lt;=30,AV452*BX452,0)</f>
        <v>0</v>
      </c>
      <c r="BZ452" s="304">
        <f t="shared" ref="BZ452:BZ515" si="154">+IF(BJ452&gt;=31,0,BY452+BZ451)</f>
        <v>0</v>
      </c>
      <c r="CB452" s="299">
        <v>0.6</v>
      </c>
      <c r="CC452" s="299">
        <v>0.4</v>
      </c>
      <c r="CD452">
        <f t="shared" ref="CD452:CD515" si="155">+IF(BJ452&lt;=31,AV452*CA452*0.5,0)</f>
        <v>0</v>
      </c>
      <c r="CE452">
        <f t="shared" ref="CE452:CE515" si="156">IF(BJ452&lt;=31,AV452*CB452,0)</f>
        <v>0</v>
      </c>
      <c r="CF452">
        <f t="shared" ref="CF452:CF515" si="157">IF(BJ452&lt;=31,AV452*CC452,0)</f>
        <v>0</v>
      </c>
      <c r="CG452">
        <f t="shared" ref="CG452:CG515" si="158">CD452*44/12*0.475*BF452</f>
        <v>0</v>
      </c>
      <c r="CH452">
        <f t="shared" ref="CH452:CH515" si="159">CE452*44/12*0.475*BF452</f>
        <v>0</v>
      </c>
      <c r="CI452">
        <f t="shared" ref="CI452:CI515" si="160">CF452*44/12*0.475*BF452</f>
        <v>0</v>
      </c>
      <c r="CJ452">
        <f t="shared" ref="CJ452:CJ515" si="161">+IF(BJ452&lt;=31,CJ451*EXP(-$CJ$1)+CG451*(1-EXP(-$CJ$1))/$CJ$1,0)</f>
        <v>0</v>
      </c>
      <c r="CK452">
        <f t="shared" ref="CK452:CK515" si="162">+IF(BJ452&lt;=31,CK451*EXP(-$CK$1)+CH451*(1-EXP(-$CK$1))/$CK$1,0)</f>
        <v>0</v>
      </c>
      <c r="CL452">
        <f t="shared" ref="CL452:CL515" si="163">+IF(BJ452&lt;=31,CL451*EXP(-$CL$1)+CI451*(1-EXP(-$CL$1))/$CL$1,0)</f>
        <v>0</v>
      </c>
      <c r="CM452">
        <f t="shared" si="147"/>
        <v>0</v>
      </c>
      <c r="CN452">
        <f t="shared" ref="CN452:CN515" si="164">+IF(BJ452&lt;=31,CM452+CN451,0)</f>
        <v>0</v>
      </c>
      <c r="CO452">
        <f t="shared" si="149"/>
        <v>0</v>
      </c>
    </row>
    <row r="453" spans="1:93" s="12" customFormat="1" ht="14.65" customHeight="1" x14ac:dyDescent="0.25">
      <c r="A453" s="4">
        <v>2021</v>
      </c>
      <c r="B453" s="4"/>
      <c r="C453" s="4" t="s">
        <v>68</v>
      </c>
      <c r="D453" s="4" t="s">
        <v>65</v>
      </c>
      <c r="E453" s="4" t="s">
        <v>188</v>
      </c>
      <c r="F453" s="4" t="s">
        <v>90</v>
      </c>
      <c r="G453" s="5" t="s">
        <v>182</v>
      </c>
      <c r="H453" s="5" t="s">
        <v>185</v>
      </c>
      <c r="I453" s="5" t="s">
        <v>183</v>
      </c>
      <c r="J453" s="5" t="s">
        <v>184</v>
      </c>
      <c r="K453" s="5">
        <v>28.5</v>
      </c>
      <c r="L453" s="5" t="s">
        <v>191</v>
      </c>
      <c r="M453" s="5">
        <v>1666</v>
      </c>
      <c r="N453" s="5" t="s">
        <v>171</v>
      </c>
      <c r="O453" s="6" t="s">
        <v>81</v>
      </c>
      <c r="P453" s="6" t="s">
        <v>186</v>
      </c>
      <c r="Q453" s="6"/>
      <c r="R453" s="6"/>
      <c r="S453" s="6">
        <v>25</v>
      </c>
      <c r="T453" s="6">
        <v>16.53</v>
      </c>
      <c r="U453" s="6">
        <v>1255</v>
      </c>
      <c r="V453" s="6">
        <v>35.83</v>
      </c>
      <c r="W453" s="6">
        <v>3</v>
      </c>
      <c r="X453" s="6">
        <v>181</v>
      </c>
      <c r="Y453" s="6">
        <v>304</v>
      </c>
      <c r="Z453" s="6">
        <v>527</v>
      </c>
      <c r="AA453" s="6">
        <v>194</v>
      </c>
      <c r="AB453" s="6">
        <v>46</v>
      </c>
      <c r="AC453" s="7">
        <v>25</v>
      </c>
      <c r="AD453" s="7" t="s">
        <v>53</v>
      </c>
      <c r="AE453" s="9">
        <v>16.525487650009101</v>
      </c>
      <c r="AF453" s="76">
        <v>875</v>
      </c>
      <c r="AG453" s="9">
        <v>26.349104742548299</v>
      </c>
      <c r="AH453" s="9">
        <v>19.580959301345001</v>
      </c>
      <c r="AI453" s="9">
        <v>26.268744410062599</v>
      </c>
      <c r="AJ453" s="9">
        <v>184.675613537</v>
      </c>
      <c r="AK453" s="9">
        <v>185.55716126607999</v>
      </c>
      <c r="AL453" s="9">
        <v>234.87479466077201</v>
      </c>
      <c r="AM453" s="9">
        <v>35.829900645015599</v>
      </c>
      <c r="AN453" s="9">
        <v>1.43319602580062</v>
      </c>
      <c r="AO453" s="9">
        <v>1.8370576472414899</v>
      </c>
      <c r="AP453" s="9">
        <v>319.13585873502501</v>
      </c>
      <c r="AQ453" s="9">
        <v>12.765434349401</v>
      </c>
      <c r="AR453" s="9">
        <v>25.079268348667998</v>
      </c>
      <c r="AS453" s="8">
        <v>380</v>
      </c>
      <c r="AT453" s="10">
        <v>9.4807959026699038</v>
      </c>
      <c r="AU453" s="10">
        <v>17.823199147859913</v>
      </c>
      <c r="AV453" s="10">
        <v>65.516645361325004</v>
      </c>
      <c r="AW453" s="10">
        <v>0.87389513724178602</v>
      </c>
      <c r="AX453" s="10">
        <v>0.17241222463506581</v>
      </c>
      <c r="AY453" s="10"/>
      <c r="AZ453" s="10"/>
      <c r="BA453" s="10"/>
      <c r="BB453" s="8"/>
      <c r="BC453" s="8"/>
      <c r="BD453" s="8"/>
      <c r="BE453" s="8"/>
      <c r="BF453" s="12">
        <v>0.37</v>
      </c>
      <c r="BG453" s="13">
        <v>151.35723225931301</v>
      </c>
      <c r="BH453" s="96" t="str">
        <f>+VLOOKUP(G453,Liste!$A$7:$G$50,3,FALSE)</f>
        <v>Epicéa</v>
      </c>
      <c r="BI453" s="96" t="str">
        <f>+VLOOKUP(H453,Liste!$B$7:$G$50,5,FALSE)</f>
        <v>GS Arc Jurassien</v>
      </c>
      <c r="BJ453" s="135">
        <f t="shared" si="148"/>
        <v>25</v>
      </c>
      <c r="BK453" s="135" t="str">
        <f t="shared" si="150"/>
        <v>Epicéa_Fbonne_Entree 16-17 m_GS Arc Jurassien_25_</v>
      </c>
      <c r="BL453" s="322"/>
      <c r="BM453" s="13">
        <v>41.481189657714602</v>
      </c>
      <c r="BN453" s="13">
        <v>192.83842191702701</v>
      </c>
      <c r="BO453" s="13">
        <v>67.204780060924975</v>
      </c>
      <c r="BP453" s="13">
        <v>287.86350744279702</v>
      </c>
      <c r="BQ453" s="13">
        <v>19.862134189642401</v>
      </c>
      <c r="BT453" s="298" t="str">
        <f>+VLOOKUP(G453,Liste!$A$7:$H$50,8,FALSE)</f>
        <v>Résineux</v>
      </c>
      <c r="BU453" s="298">
        <f t="shared" si="151"/>
        <v>0</v>
      </c>
      <c r="BV453" s="300">
        <f t="shared" si="152"/>
        <v>1</v>
      </c>
      <c r="BW453" s="321">
        <v>0</v>
      </c>
      <c r="BX453" s="298">
        <f t="shared" si="153"/>
        <v>0.43</v>
      </c>
      <c r="BY453">
        <f t="shared" ref="BY453:BY515" si="165">+IF(BJ453&lt;=30,AV453*BX453,0)</f>
        <v>28.17215750536975</v>
      </c>
      <c r="BZ453" s="304">
        <f t="shared" si="154"/>
        <v>28.17215750536975</v>
      </c>
      <c r="CB453" s="299">
        <v>0.6</v>
      </c>
      <c r="CC453" s="299">
        <v>0.4</v>
      </c>
      <c r="CD453">
        <f t="shared" si="155"/>
        <v>0</v>
      </c>
      <c r="CE453">
        <f t="shared" si="156"/>
        <v>39.309987216795001</v>
      </c>
      <c r="CF453">
        <f t="shared" si="157"/>
        <v>26.206658144530003</v>
      </c>
      <c r="CG453">
        <f t="shared" si="158"/>
        <v>0</v>
      </c>
      <c r="CH453">
        <f t="shared" si="159"/>
        <v>25.332010928956308</v>
      </c>
      <c r="CI453">
        <f t="shared" si="160"/>
        <v>16.888007285970875</v>
      </c>
      <c r="CJ453">
        <f t="shared" si="161"/>
        <v>0</v>
      </c>
      <c r="CK453">
        <f t="shared" si="162"/>
        <v>0</v>
      </c>
      <c r="CL453">
        <f t="shared" si="163"/>
        <v>0</v>
      </c>
      <c r="CM453">
        <f t="shared" ref="CM453:CM516" si="166">+CJ453+CK453+CL453</f>
        <v>0</v>
      </c>
      <c r="CN453">
        <f t="shared" si="164"/>
        <v>0</v>
      </c>
      <c r="CO453">
        <f t="shared" si="149"/>
        <v>0</v>
      </c>
    </row>
    <row r="454" spans="1:93" s="12" customFormat="1" ht="14.65" customHeight="1" x14ac:dyDescent="0.25">
      <c r="A454" s="4">
        <v>2021</v>
      </c>
      <c r="B454" s="4"/>
      <c r="C454" s="4" t="s">
        <v>68</v>
      </c>
      <c r="D454" s="4" t="s">
        <v>65</v>
      </c>
      <c r="E454" s="4" t="s">
        <v>188</v>
      </c>
      <c r="F454" s="4" t="s">
        <v>90</v>
      </c>
      <c r="G454" s="5" t="s">
        <v>182</v>
      </c>
      <c r="H454" s="5" t="s">
        <v>185</v>
      </c>
      <c r="I454" s="5" t="s">
        <v>183</v>
      </c>
      <c r="J454" s="5" t="s">
        <v>184</v>
      </c>
      <c r="K454" s="5">
        <v>28.5</v>
      </c>
      <c r="L454" s="5" t="s">
        <v>191</v>
      </c>
      <c r="M454" s="5">
        <v>1666</v>
      </c>
      <c r="N454" s="5" t="s">
        <v>171</v>
      </c>
      <c r="O454" s="6" t="s">
        <v>81</v>
      </c>
      <c r="P454" s="6" t="s">
        <v>186</v>
      </c>
      <c r="Q454" s="6"/>
      <c r="R454" s="6"/>
      <c r="S454" s="6">
        <v>25</v>
      </c>
      <c r="T454" s="6">
        <v>16.53</v>
      </c>
      <c r="U454" s="6">
        <v>1255</v>
      </c>
      <c r="V454" s="6">
        <v>35.83</v>
      </c>
      <c r="W454" s="6">
        <v>3</v>
      </c>
      <c r="X454" s="6">
        <v>181</v>
      </c>
      <c r="Y454" s="6">
        <v>304</v>
      </c>
      <c r="Z454" s="6">
        <v>527</v>
      </c>
      <c r="AA454" s="6">
        <v>194</v>
      </c>
      <c r="AB454" s="6">
        <v>46</v>
      </c>
      <c r="AC454" s="7">
        <v>30</v>
      </c>
      <c r="AD454" s="7" t="s">
        <v>52</v>
      </c>
      <c r="AE454" s="9">
        <v>19.510646822631799</v>
      </c>
      <c r="AF454" s="76">
        <v>875</v>
      </c>
      <c r="AG454" s="9">
        <v>35.534392978135799</v>
      </c>
      <c r="AH454" s="9">
        <v>22.739215802013401</v>
      </c>
      <c r="AI454" s="9">
        <v>30.788965986174698</v>
      </c>
      <c r="AJ454" s="9">
        <v>296.64489453465598</v>
      </c>
      <c r="AK454" s="9">
        <v>297.99997390379599</v>
      </c>
      <c r="AL454" s="9">
        <v>360.27113640411301</v>
      </c>
      <c r="AM454" s="9">
        <v>45.015188881222997</v>
      </c>
      <c r="AN454" s="9">
        <v>1.50050629604077</v>
      </c>
      <c r="AO454" s="9">
        <v>1.7149401751064199</v>
      </c>
      <c r="AP454" s="9">
        <v>444.53220047836498</v>
      </c>
      <c r="AQ454" s="9">
        <v>14.8177400159455</v>
      </c>
      <c r="AR454" s="9">
        <v>25.6669062016637</v>
      </c>
      <c r="AS454" s="8" t="s">
        <v>169</v>
      </c>
      <c r="AT454" s="10" t="s">
        <v>169</v>
      </c>
      <c r="AU454" s="10" t="s">
        <v>169</v>
      </c>
      <c r="AV454" s="10">
        <v>0</v>
      </c>
      <c r="AW454" s="10"/>
      <c r="AX454" s="10" t="s">
        <v>169</v>
      </c>
      <c r="AY454" s="10"/>
      <c r="AZ454" s="10"/>
      <c r="BA454" s="10"/>
      <c r="BB454" s="8"/>
      <c r="BC454" s="8"/>
      <c r="BD454" s="8"/>
      <c r="BE454" s="8"/>
      <c r="BF454" s="12">
        <v>0.37</v>
      </c>
      <c r="BG454" s="13">
        <v>232.16472481775</v>
      </c>
      <c r="BH454" s="96" t="str">
        <f>+VLOOKUP(G454,Liste!$A$7:$G$50,3,FALSE)</f>
        <v>Epicéa</v>
      </c>
      <c r="BI454" s="96" t="str">
        <f>+VLOOKUP(H454,Liste!$B$7:$G$50,5,FALSE)</f>
        <v>GS Arc Jurassien</v>
      </c>
      <c r="BJ454" s="135">
        <f t="shared" si="148"/>
        <v>30</v>
      </c>
      <c r="BK454" s="135" t="str">
        <f t="shared" si="150"/>
        <v>Epicéa_Fbonne_Entree 16-17 m_GS Arc Jurassien_30_</v>
      </c>
      <c r="BL454" s="322"/>
      <c r="BM454" s="13">
        <v>60.536589139881599</v>
      </c>
      <c r="BN454" s="13">
        <v>292.70131395763201</v>
      </c>
      <c r="BO454" s="13" t="s">
        <v>169</v>
      </c>
      <c r="BP454" s="13">
        <v>287.86350744279702</v>
      </c>
      <c r="BQ454" s="13">
        <v>20.192127440002398</v>
      </c>
      <c r="BT454" s="298" t="str">
        <f>+VLOOKUP(G454,Liste!$A$7:$H$50,8,FALSE)</f>
        <v>Résineux</v>
      </c>
      <c r="BU454" s="298">
        <f t="shared" si="151"/>
        <v>0</v>
      </c>
      <c r="BV454" s="300">
        <f t="shared" si="152"/>
        <v>1</v>
      </c>
      <c r="BW454" s="321">
        <v>0</v>
      </c>
      <c r="BX454" s="298">
        <f t="shared" si="153"/>
        <v>0.43</v>
      </c>
      <c r="BY454">
        <f>+IF(BJ454&lt;=30,AV454*BX454,0)</f>
        <v>0</v>
      </c>
      <c r="BZ454" s="304">
        <f>+IF(BJ454&gt;=31,0,BY454+BZ453)</f>
        <v>28.17215750536975</v>
      </c>
      <c r="CB454" s="299">
        <v>0.6</v>
      </c>
      <c r="CC454" s="299">
        <v>0.4</v>
      </c>
      <c r="CD454">
        <f t="shared" si="155"/>
        <v>0</v>
      </c>
      <c r="CE454">
        <f t="shared" si="156"/>
        <v>0</v>
      </c>
      <c r="CF454">
        <f t="shared" si="157"/>
        <v>0</v>
      </c>
      <c r="CG454">
        <f t="shared" si="158"/>
        <v>0</v>
      </c>
      <c r="CH454">
        <f t="shared" si="159"/>
        <v>0</v>
      </c>
      <c r="CI454">
        <f t="shared" si="160"/>
        <v>0</v>
      </c>
      <c r="CJ454">
        <f t="shared" si="161"/>
        <v>0</v>
      </c>
      <c r="CK454">
        <f t="shared" si="162"/>
        <v>24.984057875171608</v>
      </c>
      <c r="CL454">
        <f t="shared" si="163"/>
        <v>14.272243910267971</v>
      </c>
      <c r="CM454">
        <f t="shared" si="166"/>
        <v>39.256301785439575</v>
      </c>
      <c r="CN454">
        <f t="shared" si="164"/>
        <v>39.256301785439575</v>
      </c>
      <c r="CO454">
        <f t="shared" si="149"/>
        <v>1.3085433928479859</v>
      </c>
    </row>
    <row r="455" spans="1:93" s="12" customFormat="1" ht="14.65" customHeight="1" x14ac:dyDescent="0.25">
      <c r="A455" s="4">
        <v>2021</v>
      </c>
      <c r="B455" s="4"/>
      <c r="C455" s="4" t="s">
        <v>68</v>
      </c>
      <c r="D455" s="4" t="s">
        <v>65</v>
      </c>
      <c r="E455" s="4" t="s">
        <v>188</v>
      </c>
      <c r="F455" s="4" t="s">
        <v>90</v>
      </c>
      <c r="G455" s="5" t="s">
        <v>182</v>
      </c>
      <c r="H455" s="5" t="s">
        <v>185</v>
      </c>
      <c r="I455" s="5" t="s">
        <v>183</v>
      </c>
      <c r="J455" s="5" t="s">
        <v>184</v>
      </c>
      <c r="K455" s="5">
        <v>28.5</v>
      </c>
      <c r="L455" s="5" t="s">
        <v>191</v>
      </c>
      <c r="M455" s="5">
        <v>1666</v>
      </c>
      <c r="N455" s="5" t="s">
        <v>171</v>
      </c>
      <c r="O455" s="6" t="s">
        <v>81</v>
      </c>
      <c r="P455" s="6" t="s">
        <v>186</v>
      </c>
      <c r="Q455" s="6"/>
      <c r="R455" s="6"/>
      <c r="S455" s="6">
        <v>25</v>
      </c>
      <c r="T455" s="6">
        <v>16.53</v>
      </c>
      <c r="U455" s="6">
        <v>1255</v>
      </c>
      <c r="V455" s="6">
        <v>35.83</v>
      </c>
      <c r="W455" s="6">
        <v>3</v>
      </c>
      <c r="X455" s="6">
        <v>181</v>
      </c>
      <c r="Y455" s="6">
        <v>304</v>
      </c>
      <c r="Z455" s="6">
        <v>527</v>
      </c>
      <c r="AA455" s="6">
        <v>194</v>
      </c>
      <c r="AB455" s="6">
        <v>46</v>
      </c>
      <c r="AC455" s="7">
        <v>30</v>
      </c>
      <c r="AD455" s="7" t="s">
        <v>53</v>
      </c>
      <c r="AE455" s="9">
        <v>19.510646822631799</v>
      </c>
      <c r="AF455" s="76">
        <v>625</v>
      </c>
      <c r="AG455" s="9">
        <v>27.317932774447701</v>
      </c>
      <c r="AH455" s="9">
        <v>23.590598903408502</v>
      </c>
      <c r="AI455" s="9">
        <v>29.298476486228001</v>
      </c>
      <c r="AJ455" s="9">
        <v>228.85177117748199</v>
      </c>
      <c r="AK455" s="9">
        <v>229.916748829943</v>
      </c>
      <c r="AL455" s="9">
        <v>277.43011976460798</v>
      </c>
      <c r="AM455" s="9">
        <v>45.015188881222997</v>
      </c>
      <c r="AN455" s="9">
        <v>1.50050629604077</v>
      </c>
      <c r="AO455" s="9">
        <v>1.7149401751064199</v>
      </c>
      <c r="AP455" s="9">
        <v>444.53220047836498</v>
      </c>
      <c r="AQ455" s="9">
        <v>14.8177400159455</v>
      </c>
      <c r="AR455" s="9">
        <v>25.6669062016637</v>
      </c>
      <c r="AS455" s="8">
        <v>250</v>
      </c>
      <c r="AT455" s="10">
        <v>8.2164602036880972</v>
      </c>
      <c r="AU455" s="10">
        <v>20.456316431927245</v>
      </c>
      <c r="AV455" s="10">
        <v>67.793123357173982</v>
      </c>
      <c r="AW455" s="10">
        <v>0.80928948837265535</v>
      </c>
      <c r="AX455" s="10">
        <v>0.27117249342869593</v>
      </c>
      <c r="AY455" s="10"/>
      <c r="AZ455" s="10"/>
      <c r="BA455" s="10"/>
      <c r="BB455" s="8"/>
      <c r="BC455" s="8"/>
      <c r="BD455" s="8"/>
      <c r="BE455" s="8"/>
      <c r="BF455" s="12">
        <v>0.37</v>
      </c>
      <c r="BG455" s="13">
        <v>178.78059301164299</v>
      </c>
      <c r="BH455" s="96" t="str">
        <f>+VLOOKUP(G455,Liste!$A$7:$G$50,3,FALSE)</f>
        <v>Epicéa</v>
      </c>
      <c r="BI455" s="96" t="str">
        <f>+VLOOKUP(H455,Liste!$B$7:$G$50,5,FALSE)</f>
        <v>GS Arc Jurassien</v>
      </c>
      <c r="BJ455" s="135">
        <f t="shared" si="148"/>
        <v>30</v>
      </c>
      <c r="BK455" s="135" t="str">
        <f t="shared" si="150"/>
        <v>Epicéa_Fbonne_Entree 16-17 m_GS Arc Jurassien_30_</v>
      </c>
      <c r="BL455" s="322"/>
      <c r="BM455" s="13">
        <v>48.056338445599899</v>
      </c>
      <c r="BN455" s="13">
        <v>226.836931457242</v>
      </c>
      <c r="BO455" s="13">
        <v>65.864382500390008</v>
      </c>
      <c r="BP455" s="13">
        <v>287.86350744279702</v>
      </c>
      <c r="BQ455" s="13">
        <v>20.192127440002398</v>
      </c>
      <c r="BT455" s="298" t="str">
        <f>+VLOOKUP(G455,Liste!$A$7:$H$50,8,FALSE)</f>
        <v>Résineux</v>
      </c>
      <c r="BU455" s="298">
        <f t="shared" si="151"/>
        <v>0</v>
      </c>
      <c r="BV455" s="300">
        <f t="shared" si="152"/>
        <v>1</v>
      </c>
      <c r="BW455" s="321">
        <v>0</v>
      </c>
      <c r="BX455" s="298">
        <f t="shared" si="153"/>
        <v>0.43</v>
      </c>
      <c r="BY455">
        <f t="shared" si="165"/>
        <v>29.151043043584814</v>
      </c>
      <c r="BZ455" s="304">
        <f t="shared" si="154"/>
        <v>57.32320054895456</v>
      </c>
      <c r="CB455" s="299">
        <v>0.6</v>
      </c>
      <c r="CC455" s="299">
        <v>0.4</v>
      </c>
      <c r="CD455">
        <f t="shared" si="155"/>
        <v>0</v>
      </c>
      <c r="CE455">
        <f t="shared" si="156"/>
        <v>40.675874014304391</v>
      </c>
      <c r="CF455">
        <f t="shared" si="157"/>
        <v>27.117249342869595</v>
      </c>
      <c r="CG455">
        <f t="shared" si="158"/>
        <v>0</v>
      </c>
      <c r="CH455">
        <f t="shared" si="159"/>
        <v>26.212211146051317</v>
      </c>
      <c r="CI455">
        <f t="shared" si="160"/>
        <v>17.474807430700878</v>
      </c>
      <c r="CJ455">
        <f t="shared" si="161"/>
        <v>0</v>
      </c>
      <c r="CK455">
        <f t="shared" si="162"/>
        <v>24.300867498720539</v>
      </c>
      <c r="CL455">
        <f t="shared" si="163"/>
        <v>10.09200045169889</v>
      </c>
      <c r="CM455">
        <f t="shared" si="166"/>
        <v>34.392867950419429</v>
      </c>
      <c r="CN455">
        <f t="shared" si="164"/>
        <v>73.649169735859005</v>
      </c>
      <c r="CO455">
        <f t="shared" si="149"/>
        <v>2.4549723245286335</v>
      </c>
    </row>
    <row r="456" spans="1:93" s="12" customFormat="1" ht="14.65" customHeight="1" x14ac:dyDescent="0.25">
      <c r="A456" s="4">
        <v>2021</v>
      </c>
      <c r="B456" s="4"/>
      <c r="C456" s="4" t="s">
        <v>68</v>
      </c>
      <c r="D456" s="4" t="s">
        <v>65</v>
      </c>
      <c r="E456" s="4" t="s">
        <v>188</v>
      </c>
      <c r="F456" s="4" t="s">
        <v>90</v>
      </c>
      <c r="G456" s="5" t="s">
        <v>182</v>
      </c>
      <c r="H456" s="5" t="s">
        <v>185</v>
      </c>
      <c r="I456" s="5" t="s">
        <v>183</v>
      </c>
      <c r="J456" s="5" t="s">
        <v>184</v>
      </c>
      <c r="K456" s="5">
        <v>28.5</v>
      </c>
      <c r="L456" s="5" t="s">
        <v>191</v>
      </c>
      <c r="M456" s="5">
        <v>1666</v>
      </c>
      <c r="N456" s="5" t="s">
        <v>171</v>
      </c>
      <c r="O456" s="6" t="s">
        <v>81</v>
      </c>
      <c r="P456" s="6" t="s">
        <v>186</v>
      </c>
      <c r="Q456" s="6"/>
      <c r="R456" s="6"/>
      <c r="S456" s="6">
        <v>25</v>
      </c>
      <c r="T456" s="6">
        <v>16.53</v>
      </c>
      <c r="U456" s="6">
        <v>1255</v>
      </c>
      <c r="V456" s="6">
        <v>35.83</v>
      </c>
      <c r="W456" s="6">
        <v>3</v>
      </c>
      <c r="X456" s="6">
        <v>181</v>
      </c>
      <c r="Y456" s="6">
        <v>304</v>
      </c>
      <c r="Z456" s="6">
        <v>527</v>
      </c>
      <c r="AA456" s="6">
        <v>194</v>
      </c>
      <c r="AB456" s="6">
        <v>46</v>
      </c>
      <c r="AC456" s="7">
        <v>36</v>
      </c>
      <c r="AD456" s="7" t="s">
        <v>52</v>
      </c>
      <c r="AE456" s="9">
        <v>22.686495405848</v>
      </c>
      <c r="AF456" s="76">
        <v>625</v>
      </c>
      <c r="AG456" s="9">
        <v>37.607573825015699</v>
      </c>
      <c r="AH456" s="9">
        <v>27.6791474364531</v>
      </c>
      <c r="AI456" s="9">
        <v>34.648972907742703</v>
      </c>
      <c r="AJ456" s="9">
        <v>368.60655366461998</v>
      </c>
      <c r="AK456" s="9">
        <v>370.27544316279398</v>
      </c>
      <c r="AL456" s="9">
        <v>431.43155697459002</v>
      </c>
      <c r="AM456" s="9">
        <v>55.304829931861498</v>
      </c>
      <c r="AN456" s="9">
        <v>1.53624527588504</v>
      </c>
      <c r="AO456" s="9">
        <v>1.5585827907555201</v>
      </c>
      <c r="AP456" s="9">
        <v>598.53363768834697</v>
      </c>
      <c r="AQ456" s="9">
        <v>16.6259343802319</v>
      </c>
      <c r="AR456" s="9">
        <v>25.135609189657099</v>
      </c>
      <c r="AS456" s="8" t="s">
        <v>169</v>
      </c>
      <c r="AT456" s="10" t="s">
        <v>169</v>
      </c>
      <c r="AU456" s="10" t="s">
        <v>169</v>
      </c>
      <c r="AV456" s="10">
        <v>0</v>
      </c>
      <c r="AW456" s="10"/>
      <c r="AX456" s="10" t="s">
        <v>169</v>
      </c>
      <c r="AY456" s="10"/>
      <c r="AZ456" s="10"/>
      <c r="BA456" s="10"/>
      <c r="BB456" s="8"/>
      <c r="BC456" s="8"/>
      <c r="BD456" s="8"/>
      <c r="BE456" s="8"/>
      <c r="BF456" s="12">
        <v>0.37</v>
      </c>
      <c r="BG456" s="13">
        <v>278.02168584037503</v>
      </c>
      <c r="BH456" s="96" t="str">
        <f>+VLOOKUP(G456,Liste!$A$7:$G$50,3,FALSE)</f>
        <v>Epicéa</v>
      </c>
      <c r="BI456" s="96" t="str">
        <f>+VLOOKUP(H456,Liste!$B$7:$G$50,5,FALSE)</f>
        <v>GS Arc Jurassien</v>
      </c>
      <c r="BJ456" s="135">
        <f t="shared" si="148"/>
        <v>36</v>
      </c>
      <c r="BK456" s="135" t="str">
        <f t="shared" si="150"/>
        <v>Epicéa_Fbonne_Entree 16-17 m_GS Arc Jurassien_36_</v>
      </c>
      <c r="BL456" s="322"/>
      <c r="BM456" s="13">
        <v>70.988550827478804</v>
      </c>
      <c r="BN456" s="13">
        <v>349.01023666785397</v>
      </c>
      <c r="BO456" s="13" t="s">
        <v>169</v>
      </c>
      <c r="BP456" s="13">
        <v>287.86350744279702</v>
      </c>
      <c r="BQ456" s="13">
        <v>19.6683047297971</v>
      </c>
      <c r="BT456" s="298" t="str">
        <f>+VLOOKUP(G456,Liste!$A$7:$H$50,8,FALSE)</f>
        <v>Résineux</v>
      </c>
      <c r="BU456" s="298">
        <f t="shared" si="151"/>
        <v>0</v>
      </c>
      <c r="BV456" s="300">
        <f t="shared" si="152"/>
        <v>1</v>
      </c>
      <c r="BW456" s="321">
        <v>0</v>
      </c>
      <c r="BX456" s="298">
        <f t="shared" si="153"/>
        <v>0.43</v>
      </c>
      <c r="BY456">
        <f t="shared" si="165"/>
        <v>0</v>
      </c>
      <c r="BZ456" s="304">
        <f t="shared" si="154"/>
        <v>0</v>
      </c>
      <c r="CB456" s="299">
        <v>0.6</v>
      </c>
      <c r="CC456" s="299">
        <v>0.4</v>
      </c>
      <c r="CD456">
        <f t="shared" si="155"/>
        <v>0</v>
      </c>
      <c r="CE456">
        <f t="shared" si="156"/>
        <v>0</v>
      </c>
      <c r="CF456">
        <f t="shared" si="157"/>
        <v>0</v>
      </c>
      <c r="CG456">
        <f t="shared" si="158"/>
        <v>0</v>
      </c>
      <c r="CH456">
        <f t="shared" si="159"/>
        <v>0</v>
      </c>
      <c r="CI456">
        <f t="shared" si="160"/>
        <v>0</v>
      </c>
      <c r="CJ456">
        <f t="shared" si="161"/>
        <v>0</v>
      </c>
      <c r="CK456">
        <f t="shared" si="162"/>
        <v>0</v>
      </c>
      <c r="CL456">
        <f t="shared" si="163"/>
        <v>0</v>
      </c>
      <c r="CM456">
        <f t="shared" si="166"/>
        <v>0</v>
      </c>
      <c r="CN456">
        <f t="shared" si="164"/>
        <v>0</v>
      </c>
      <c r="CO456">
        <f t="shared" si="149"/>
        <v>0</v>
      </c>
    </row>
    <row r="457" spans="1:93" s="12" customFormat="1" ht="14.65" customHeight="1" x14ac:dyDescent="0.25">
      <c r="A457" s="4">
        <v>2021</v>
      </c>
      <c r="B457" s="4"/>
      <c r="C457" s="4" t="s">
        <v>68</v>
      </c>
      <c r="D457" s="4" t="s">
        <v>65</v>
      </c>
      <c r="E457" s="4" t="s">
        <v>188</v>
      </c>
      <c r="F457" s="4" t="s">
        <v>90</v>
      </c>
      <c r="G457" s="5" t="s">
        <v>182</v>
      </c>
      <c r="H457" s="5" t="s">
        <v>185</v>
      </c>
      <c r="I457" s="5" t="s">
        <v>183</v>
      </c>
      <c r="J457" s="5" t="s">
        <v>184</v>
      </c>
      <c r="K457" s="5">
        <v>28.5</v>
      </c>
      <c r="L457" s="5" t="s">
        <v>191</v>
      </c>
      <c r="M457" s="5">
        <v>1666</v>
      </c>
      <c r="N457" s="5" t="s">
        <v>171</v>
      </c>
      <c r="O457" s="6" t="s">
        <v>81</v>
      </c>
      <c r="P457" s="6" t="s">
        <v>186</v>
      </c>
      <c r="Q457" s="6"/>
      <c r="R457" s="6"/>
      <c r="S457" s="6">
        <v>25</v>
      </c>
      <c r="T457" s="6">
        <v>16.53</v>
      </c>
      <c r="U457" s="6">
        <v>1255</v>
      </c>
      <c r="V457" s="6">
        <v>35.83</v>
      </c>
      <c r="W457" s="6">
        <v>3</v>
      </c>
      <c r="X457" s="6">
        <v>181</v>
      </c>
      <c r="Y457" s="6">
        <v>304</v>
      </c>
      <c r="Z457" s="6">
        <v>527</v>
      </c>
      <c r="AA457" s="6">
        <v>194</v>
      </c>
      <c r="AB457" s="6">
        <v>46</v>
      </c>
      <c r="AC457" s="7">
        <v>36</v>
      </c>
      <c r="AD457" s="7" t="s">
        <v>53</v>
      </c>
      <c r="AE457" s="9">
        <v>22.686495405848</v>
      </c>
      <c r="AF457" s="76">
        <v>456</v>
      </c>
      <c r="AG457" s="9">
        <v>28.142409315658199</v>
      </c>
      <c r="AH457" s="9">
        <v>28.031947792394099</v>
      </c>
      <c r="AI457" s="9">
        <v>34.163235289709</v>
      </c>
      <c r="AJ457" s="9">
        <v>276.16147985023701</v>
      </c>
      <c r="AK457" s="9">
        <v>277.42692597802102</v>
      </c>
      <c r="AL457" s="9">
        <v>323.16707463089602</v>
      </c>
      <c r="AM457" s="9">
        <v>55.304829931861498</v>
      </c>
      <c r="AN457" s="9">
        <v>1.53624527588504</v>
      </c>
      <c r="AO457" s="9">
        <v>1.5585827907555201</v>
      </c>
      <c r="AP457" s="9">
        <v>598.53363768834697</v>
      </c>
      <c r="AQ457" s="9">
        <v>16.6259343802319</v>
      </c>
      <c r="AR457" s="9">
        <v>25.135609189657099</v>
      </c>
      <c r="AS457" s="8">
        <v>169</v>
      </c>
      <c r="AT457" s="10">
        <v>9.4651645093574999</v>
      </c>
      <c r="AU457" s="10">
        <v>26.703967471929698</v>
      </c>
      <c r="AV457" s="10">
        <v>92.445073814382965</v>
      </c>
      <c r="AW457" s="10">
        <v>0.93077811348102668</v>
      </c>
      <c r="AX457" s="10">
        <v>0.54701227109102346</v>
      </c>
      <c r="AY457" s="10"/>
      <c r="AZ457" s="10"/>
      <c r="BA457" s="10"/>
      <c r="BB457" s="8"/>
      <c r="BC457" s="8"/>
      <c r="BD457" s="8"/>
      <c r="BE457" s="8"/>
      <c r="BF457" s="12">
        <v>0.37</v>
      </c>
      <c r="BG457" s="13">
        <v>208.25424901005999</v>
      </c>
      <c r="BH457" s="96" t="str">
        <f>+VLOOKUP(G457,Liste!$A$7:$G$50,3,FALSE)</f>
        <v>Epicéa</v>
      </c>
      <c r="BI457" s="96" t="str">
        <f>+VLOOKUP(H457,Liste!$B$7:$G$50,5,FALSE)</f>
        <v>GS Arc Jurassien</v>
      </c>
      <c r="BJ457" s="135">
        <f t="shared" si="148"/>
        <v>36</v>
      </c>
      <c r="BK457" s="135" t="str">
        <f t="shared" si="150"/>
        <v>Epicéa_Fbonne_Entree 16-17 m_GS Arc Jurassien_36_</v>
      </c>
      <c r="BL457" s="322"/>
      <c r="BM457" s="13">
        <v>54.993320096787997</v>
      </c>
      <c r="BN457" s="13">
        <v>263.247569106848</v>
      </c>
      <c r="BO457" s="13">
        <v>85.762667561005969</v>
      </c>
      <c r="BP457" s="13">
        <v>287.86350744279702</v>
      </c>
      <c r="BQ457" s="13">
        <v>19.6683047297971</v>
      </c>
      <c r="BT457" s="298" t="str">
        <f>+VLOOKUP(G457,Liste!$A$7:$H$50,8,FALSE)</f>
        <v>Résineux</v>
      </c>
      <c r="BU457" s="298">
        <f t="shared" si="151"/>
        <v>0</v>
      </c>
      <c r="BV457" s="300">
        <f t="shared" si="152"/>
        <v>1</v>
      </c>
      <c r="BW457" s="321">
        <v>0</v>
      </c>
      <c r="BX457" s="298">
        <f t="shared" si="153"/>
        <v>0.43</v>
      </c>
      <c r="BY457">
        <f t="shared" si="165"/>
        <v>0</v>
      </c>
      <c r="BZ457" s="304">
        <f t="shared" si="154"/>
        <v>0</v>
      </c>
      <c r="CB457" s="299">
        <v>0.6</v>
      </c>
      <c r="CC457" s="299">
        <v>0.4</v>
      </c>
      <c r="CD457">
        <f t="shared" si="155"/>
        <v>0</v>
      </c>
      <c r="CE457">
        <f t="shared" si="156"/>
        <v>0</v>
      </c>
      <c r="CF457">
        <f t="shared" si="157"/>
        <v>0</v>
      </c>
      <c r="CG457">
        <f t="shared" si="158"/>
        <v>0</v>
      </c>
      <c r="CH457">
        <f t="shared" si="159"/>
        <v>0</v>
      </c>
      <c r="CI457">
        <f t="shared" si="160"/>
        <v>0</v>
      </c>
      <c r="CJ457">
        <f t="shared" si="161"/>
        <v>0</v>
      </c>
      <c r="CK457">
        <f t="shared" si="162"/>
        <v>0</v>
      </c>
      <c r="CL457">
        <f t="shared" si="163"/>
        <v>0</v>
      </c>
      <c r="CM457">
        <f t="shared" si="166"/>
        <v>0</v>
      </c>
      <c r="CN457">
        <f t="shared" si="164"/>
        <v>0</v>
      </c>
      <c r="CO457">
        <f t="shared" si="149"/>
        <v>0</v>
      </c>
    </row>
    <row r="458" spans="1:93" s="12" customFormat="1" ht="14.65" customHeight="1" x14ac:dyDescent="0.25">
      <c r="A458" s="4">
        <v>2021</v>
      </c>
      <c r="B458" s="4"/>
      <c r="C458" s="4" t="s">
        <v>68</v>
      </c>
      <c r="D458" s="4" t="s">
        <v>65</v>
      </c>
      <c r="E458" s="4" t="s">
        <v>188</v>
      </c>
      <c r="F458" s="4" t="s">
        <v>90</v>
      </c>
      <c r="G458" s="5" t="s">
        <v>182</v>
      </c>
      <c r="H458" s="5" t="s">
        <v>185</v>
      </c>
      <c r="I458" s="5" t="s">
        <v>183</v>
      </c>
      <c r="J458" s="5" t="s">
        <v>184</v>
      </c>
      <c r="K458" s="5">
        <v>28.5</v>
      </c>
      <c r="L458" s="5" t="s">
        <v>191</v>
      </c>
      <c r="M458" s="5">
        <v>1666</v>
      </c>
      <c r="N458" s="5" t="s">
        <v>171</v>
      </c>
      <c r="O458" s="6" t="s">
        <v>81</v>
      </c>
      <c r="P458" s="6" t="s">
        <v>186</v>
      </c>
      <c r="Q458" s="6"/>
      <c r="R458" s="6"/>
      <c r="S458" s="6">
        <v>25</v>
      </c>
      <c r="T458" s="6">
        <v>16.53</v>
      </c>
      <c r="U458" s="6">
        <v>1255</v>
      </c>
      <c r="V458" s="6">
        <v>35.83</v>
      </c>
      <c r="W458" s="6">
        <v>3</v>
      </c>
      <c r="X458" s="6">
        <v>181</v>
      </c>
      <c r="Y458" s="6">
        <v>304</v>
      </c>
      <c r="Z458" s="6">
        <v>527</v>
      </c>
      <c r="AA458" s="6">
        <v>194</v>
      </c>
      <c r="AB458" s="6">
        <v>46</v>
      </c>
      <c r="AC458" s="7">
        <v>42</v>
      </c>
      <c r="AD458" s="7" t="s">
        <v>52</v>
      </c>
      <c r="AE458" s="9">
        <v>25.4367017744351</v>
      </c>
      <c r="AF458" s="76">
        <v>456</v>
      </c>
      <c r="AG458" s="9">
        <v>37.493906060347001</v>
      </c>
      <c r="AH458" s="9">
        <v>32.355862521823198</v>
      </c>
      <c r="AI458" s="9">
        <v>39.659410674520799</v>
      </c>
      <c r="AJ458" s="9">
        <v>414.64752208644001</v>
      </c>
      <c r="AK458" s="9">
        <v>416.51775547111401</v>
      </c>
      <c r="AL458" s="9">
        <v>473.98072976883901</v>
      </c>
      <c r="AM458" s="9">
        <v>64.656326676394698</v>
      </c>
      <c r="AN458" s="9">
        <v>1.5394363494379699</v>
      </c>
      <c r="AO458" s="9">
        <v>1.3949291993562101</v>
      </c>
      <c r="AP458" s="9">
        <v>749.34729282628996</v>
      </c>
      <c r="AQ458" s="9">
        <v>17.841602210149802</v>
      </c>
      <c r="AR458" s="9">
        <v>24.038152526906298</v>
      </c>
      <c r="AS458" s="8" t="s">
        <v>169</v>
      </c>
      <c r="AT458" s="10" t="s">
        <v>169</v>
      </c>
      <c r="AU458" s="10" t="s">
        <v>169</v>
      </c>
      <c r="AV458" s="10">
        <v>0</v>
      </c>
      <c r="AW458" s="10"/>
      <c r="AX458" s="10" t="s">
        <v>169</v>
      </c>
      <c r="AY458" s="10"/>
      <c r="AZ458" s="10"/>
      <c r="BA458" s="10"/>
      <c r="BB458" s="8"/>
      <c r="BC458" s="8"/>
      <c r="BD458" s="8"/>
      <c r="BE458" s="8"/>
      <c r="BF458" s="12">
        <v>0.37</v>
      </c>
      <c r="BG458" s="13">
        <v>305.44108194186998</v>
      </c>
      <c r="BH458" s="96" t="str">
        <f>+VLOOKUP(G458,Liste!$A$7:$G$50,3,FALSE)</f>
        <v>Epicéa</v>
      </c>
      <c r="BI458" s="96" t="str">
        <f>+VLOOKUP(H458,Liste!$B$7:$G$50,5,FALSE)</f>
        <v>GS Arc Jurassien</v>
      </c>
      <c r="BJ458" s="135">
        <f t="shared" si="148"/>
        <v>42</v>
      </c>
      <c r="BK458" s="135" t="str">
        <f t="shared" si="150"/>
        <v>Epicéa_Fbonne_Entree 16-17 m_GS Arc Jurassien_42_</v>
      </c>
      <c r="BL458" s="322"/>
      <c r="BM458" s="13">
        <v>77.140471641790498</v>
      </c>
      <c r="BN458" s="13">
        <v>382.58155358366002</v>
      </c>
      <c r="BO458" s="13" t="s">
        <v>169</v>
      </c>
      <c r="BP458" s="13">
        <v>287.86350744279702</v>
      </c>
      <c r="BQ458" s="13">
        <v>18.733621181569699</v>
      </c>
      <c r="BT458" s="298" t="str">
        <f>+VLOOKUP(G458,Liste!$A$7:$H$50,8,FALSE)</f>
        <v>Résineux</v>
      </c>
      <c r="BU458" s="298">
        <f t="shared" si="151"/>
        <v>0</v>
      </c>
      <c r="BV458" s="300">
        <f t="shared" si="152"/>
        <v>1</v>
      </c>
      <c r="BW458" s="321">
        <v>0</v>
      </c>
      <c r="BX458" s="298">
        <f t="shared" si="153"/>
        <v>0.43</v>
      </c>
      <c r="BY458">
        <f t="shared" si="165"/>
        <v>0</v>
      </c>
      <c r="BZ458" s="304">
        <f t="shared" si="154"/>
        <v>0</v>
      </c>
      <c r="CB458" s="299">
        <v>0.6</v>
      </c>
      <c r="CC458" s="299">
        <v>0.4</v>
      </c>
      <c r="CD458">
        <f t="shared" si="155"/>
        <v>0</v>
      </c>
      <c r="CE458">
        <f t="shared" si="156"/>
        <v>0</v>
      </c>
      <c r="CF458">
        <f t="shared" si="157"/>
        <v>0</v>
      </c>
      <c r="CG458">
        <f t="shared" si="158"/>
        <v>0</v>
      </c>
      <c r="CH458">
        <f t="shared" si="159"/>
        <v>0</v>
      </c>
      <c r="CI458">
        <f t="shared" si="160"/>
        <v>0</v>
      </c>
      <c r="CJ458">
        <f t="shared" si="161"/>
        <v>0</v>
      </c>
      <c r="CK458">
        <f t="shared" si="162"/>
        <v>0</v>
      </c>
      <c r="CL458">
        <f t="shared" si="163"/>
        <v>0</v>
      </c>
      <c r="CM458">
        <f t="shared" si="166"/>
        <v>0</v>
      </c>
      <c r="CN458">
        <f t="shared" si="164"/>
        <v>0</v>
      </c>
      <c r="CO458">
        <f t="shared" si="149"/>
        <v>0</v>
      </c>
    </row>
    <row r="459" spans="1:93" s="12" customFormat="1" ht="14.65" customHeight="1" x14ac:dyDescent="0.25">
      <c r="A459" s="4">
        <v>2021</v>
      </c>
      <c r="B459" s="4"/>
      <c r="C459" s="4" t="s">
        <v>68</v>
      </c>
      <c r="D459" s="4" t="s">
        <v>65</v>
      </c>
      <c r="E459" s="4" t="s">
        <v>188</v>
      </c>
      <c r="F459" s="4" t="s">
        <v>90</v>
      </c>
      <c r="G459" s="5" t="s">
        <v>182</v>
      </c>
      <c r="H459" s="5" t="s">
        <v>185</v>
      </c>
      <c r="I459" s="5" t="s">
        <v>183</v>
      </c>
      <c r="J459" s="5" t="s">
        <v>184</v>
      </c>
      <c r="K459" s="5">
        <v>28.5</v>
      </c>
      <c r="L459" s="5" t="s">
        <v>191</v>
      </c>
      <c r="M459" s="5">
        <v>1666</v>
      </c>
      <c r="N459" s="5" t="s">
        <v>171</v>
      </c>
      <c r="O459" s="6" t="s">
        <v>81</v>
      </c>
      <c r="P459" s="6" t="s">
        <v>186</v>
      </c>
      <c r="Q459" s="6"/>
      <c r="R459" s="6"/>
      <c r="S459" s="6">
        <v>25</v>
      </c>
      <c r="T459" s="6">
        <v>16.53</v>
      </c>
      <c r="U459" s="6">
        <v>1255</v>
      </c>
      <c r="V459" s="6">
        <v>35.83</v>
      </c>
      <c r="W459" s="6">
        <v>3</v>
      </c>
      <c r="X459" s="6">
        <v>181</v>
      </c>
      <c r="Y459" s="6">
        <v>304</v>
      </c>
      <c r="Z459" s="6">
        <v>527</v>
      </c>
      <c r="AA459" s="6">
        <v>194</v>
      </c>
      <c r="AB459" s="6">
        <v>46</v>
      </c>
      <c r="AC459" s="7">
        <v>42</v>
      </c>
      <c r="AD459" s="7" t="s">
        <v>53</v>
      </c>
      <c r="AE459" s="9">
        <v>25.4367017744351</v>
      </c>
      <c r="AF459" s="76">
        <v>351</v>
      </c>
      <c r="AG459" s="9">
        <v>29.926339033519501</v>
      </c>
      <c r="AH459" s="9">
        <v>32.947942314398801</v>
      </c>
      <c r="AI459" s="9">
        <v>39.125287223974198</v>
      </c>
      <c r="AJ459" s="9">
        <v>331.44787282349</v>
      </c>
      <c r="AK459" s="9">
        <v>332.97212303535599</v>
      </c>
      <c r="AL459" s="9">
        <v>378.88612897222498</v>
      </c>
      <c r="AM459" s="9">
        <v>64.656326676394698</v>
      </c>
      <c r="AN459" s="9">
        <v>1.5394363494379699</v>
      </c>
      <c r="AO459" s="9">
        <v>1.3949291993562101</v>
      </c>
      <c r="AP459" s="9">
        <v>749.34729282628996</v>
      </c>
      <c r="AQ459" s="9">
        <v>17.841602210149802</v>
      </c>
      <c r="AR459" s="9">
        <v>24.038152526906298</v>
      </c>
      <c r="AS459" s="8">
        <v>105</v>
      </c>
      <c r="AT459" s="10">
        <v>7.5675670268275006</v>
      </c>
      <c r="AU459" s="10">
        <v>30.292739340657469</v>
      </c>
      <c r="AV459" s="10">
        <v>83.199649262950004</v>
      </c>
      <c r="AW459" s="10">
        <v>0.87653877575762551</v>
      </c>
      <c r="AX459" s="10">
        <v>0.79237761202809531</v>
      </c>
      <c r="AY459" s="10"/>
      <c r="AZ459" s="10"/>
      <c r="BA459" s="10"/>
      <c r="BB459" s="8"/>
      <c r="BC459" s="8"/>
      <c r="BD459" s="8"/>
      <c r="BE459" s="8"/>
      <c r="BF459" s="12">
        <v>0.37</v>
      </c>
      <c r="BG459" s="13">
        <v>244.16053627851801</v>
      </c>
      <c r="BH459" s="96" t="str">
        <f>+VLOOKUP(G459,Liste!$A$7:$G$50,3,FALSE)</f>
        <v>Epicéa</v>
      </c>
      <c r="BI459" s="96" t="str">
        <f>+VLOOKUP(H459,Liste!$B$7:$G$50,5,FALSE)</f>
        <v>GS Arc Jurassien</v>
      </c>
      <c r="BJ459" s="135">
        <f t="shared" si="148"/>
        <v>42</v>
      </c>
      <c r="BK459" s="135" t="str">
        <f t="shared" si="150"/>
        <v>Epicéa_Fbonne_Entree 16-17 m_GS Arc Jurassien_42_</v>
      </c>
      <c r="BL459" s="322"/>
      <c r="BM459" s="13">
        <v>63.292236319264902</v>
      </c>
      <c r="BN459" s="13">
        <v>307.452772597783</v>
      </c>
      <c r="BO459" s="13">
        <v>75.128780985877029</v>
      </c>
      <c r="BP459" s="13">
        <v>287.86350744279702</v>
      </c>
      <c r="BQ459" s="13">
        <v>18.733621181569699</v>
      </c>
      <c r="BT459" s="298" t="str">
        <f>+VLOOKUP(G459,Liste!$A$7:$H$50,8,FALSE)</f>
        <v>Résineux</v>
      </c>
      <c r="BU459" s="298">
        <f t="shared" si="151"/>
        <v>0</v>
      </c>
      <c r="BV459" s="300">
        <f t="shared" si="152"/>
        <v>1</v>
      </c>
      <c r="BW459" s="321">
        <v>0</v>
      </c>
      <c r="BX459" s="298">
        <f t="shared" si="153"/>
        <v>0.43</v>
      </c>
      <c r="BY459">
        <f t="shared" si="165"/>
        <v>0</v>
      </c>
      <c r="BZ459" s="304">
        <f t="shared" si="154"/>
        <v>0</v>
      </c>
      <c r="CB459" s="299">
        <v>0.6</v>
      </c>
      <c r="CC459" s="299">
        <v>0.4</v>
      </c>
      <c r="CD459">
        <f t="shared" si="155"/>
        <v>0</v>
      </c>
      <c r="CE459">
        <f t="shared" si="156"/>
        <v>0</v>
      </c>
      <c r="CF459">
        <f t="shared" si="157"/>
        <v>0</v>
      </c>
      <c r="CG459">
        <f t="shared" si="158"/>
        <v>0</v>
      </c>
      <c r="CH459">
        <f t="shared" si="159"/>
        <v>0</v>
      </c>
      <c r="CI459">
        <f t="shared" si="160"/>
        <v>0</v>
      </c>
      <c r="CJ459">
        <f t="shared" si="161"/>
        <v>0</v>
      </c>
      <c r="CK459">
        <f t="shared" si="162"/>
        <v>0</v>
      </c>
      <c r="CL459">
        <f t="shared" si="163"/>
        <v>0</v>
      </c>
      <c r="CM459">
        <f t="shared" si="166"/>
        <v>0</v>
      </c>
      <c r="CN459">
        <f t="shared" si="164"/>
        <v>0</v>
      </c>
      <c r="CO459">
        <f t="shared" si="149"/>
        <v>0</v>
      </c>
    </row>
    <row r="460" spans="1:93" s="12" customFormat="1" ht="14.65" customHeight="1" x14ac:dyDescent="0.25">
      <c r="A460" s="4">
        <v>2021</v>
      </c>
      <c r="B460" s="4"/>
      <c r="C460" s="4" t="s">
        <v>68</v>
      </c>
      <c r="D460" s="4" t="s">
        <v>65</v>
      </c>
      <c r="E460" s="4" t="s">
        <v>188</v>
      </c>
      <c r="F460" s="4" t="s">
        <v>90</v>
      </c>
      <c r="G460" s="5" t="s">
        <v>182</v>
      </c>
      <c r="H460" s="5" t="s">
        <v>185</v>
      </c>
      <c r="I460" s="5" t="s">
        <v>183</v>
      </c>
      <c r="J460" s="5" t="s">
        <v>184</v>
      </c>
      <c r="K460" s="5">
        <v>28.5</v>
      </c>
      <c r="L460" s="5" t="s">
        <v>191</v>
      </c>
      <c r="M460" s="5">
        <v>1666</v>
      </c>
      <c r="N460" s="5" t="s">
        <v>171</v>
      </c>
      <c r="O460" s="6" t="s">
        <v>81</v>
      </c>
      <c r="P460" s="6" t="s">
        <v>186</v>
      </c>
      <c r="Q460" s="6"/>
      <c r="R460" s="6"/>
      <c r="S460" s="6">
        <v>25</v>
      </c>
      <c r="T460" s="6">
        <v>16.53</v>
      </c>
      <c r="U460" s="6">
        <v>1255</v>
      </c>
      <c r="V460" s="6">
        <v>35.83</v>
      </c>
      <c r="W460" s="6">
        <v>3</v>
      </c>
      <c r="X460" s="6">
        <v>181</v>
      </c>
      <c r="Y460" s="6">
        <v>304</v>
      </c>
      <c r="Z460" s="6">
        <v>527</v>
      </c>
      <c r="AA460" s="6">
        <v>194</v>
      </c>
      <c r="AB460" s="6">
        <v>46</v>
      </c>
      <c r="AC460" s="7">
        <v>48</v>
      </c>
      <c r="AD460" s="7" t="s">
        <v>52</v>
      </c>
      <c r="AE460" s="9">
        <v>27.796584595430701</v>
      </c>
      <c r="AF460" s="76">
        <v>351</v>
      </c>
      <c r="AG460" s="9">
        <v>38.295914229358203</v>
      </c>
      <c r="AH460" s="9">
        <v>37.271572998820503</v>
      </c>
      <c r="AI460" s="9">
        <v>44.407610201088403</v>
      </c>
      <c r="AJ460" s="9">
        <v>465.32192049923202</v>
      </c>
      <c r="AK460" s="9">
        <v>467.41043032698298</v>
      </c>
      <c r="AL460" s="9">
        <v>523.11504413366299</v>
      </c>
      <c r="AM460" s="9">
        <v>73.025901872531904</v>
      </c>
      <c r="AN460" s="9">
        <v>1.52137295567775</v>
      </c>
      <c r="AO460" s="9">
        <v>1.22181140968651</v>
      </c>
      <c r="AP460" s="9">
        <v>893.576207987727</v>
      </c>
      <c r="AQ460" s="9">
        <v>18.616170999744298</v>
      </c>
      <c r="AR460" s="9">
        <v>22.2356928691867</v>
      </c>
      <c r="AS460" s="8" t="s">
        <v>169</v>
      </c>
      <c r="AT460" s="10" t="s">
        <v>169</v>
      </c>
      <c r="AU460" s="10" t="s">
        <v>169</v>
      </c>
      <c r="AV460" s="10">
        <v>0</v>
      </c>
      <c r="AW460" s="10"/>
      <c r="AX460" s="10" t="s">
        <v>169</v>
      </c>
      <c r="AY460" s="10"/>
      <c r="AZ460" s="10"/>
      <c r="BA460" s="10"/>
      <c r="BB460" s="8"/>
      <c r="BC460" s="8"/>
      <c r="BD460" s="8"/>
      <c r="BE460" s="8"/>
      <c r="BF460" s="12">
        <v>0.37</v>
      </c>
      <c r="BG460" s="13">
        <v>337.10405302380099</v>
      </c>
      <c r="BH460" s="96" t="str">
        <f>+VLOOKUP(G460,Liste!$A$7:$G$50,3,FALSE)</f>
        <v>Epicéa</v>
      </c>
      <c r="BI460" s="96" t="str">
        <f>+VLOOKUP(H460,Liste!$B$7:$G$50,5,FALSE)</f>
        <v>GS Arc Jurassien</v>
      </c>
      <c r="BJ460" s="135">
        <f t="shared" si="148"/>
        <v>48</v>
      </c>
      <c r="BK460" s="135" t="str">
        <f t="shared" si="150"/>
        <v>Epicéa_Fbonne_Entree 16-17 m_GS Arc Jurassien_48_</v>
      </c>
      <c r="BL460" s="322"/>
      <c r="BM460" s="13">
        <v>84.165216140444699</v>
      </c>
      <c r="BN460" s="13">
        <v>421.269269164246</v>
      </c>
      <c r="BO460" s="13" t="s">
        <v>169</v>
      </c>
      <c r="BP460" s="13">
        <v>287.86350744279702</v>
      </c>
      <c r="BQ460" s="13">
        <v>17.270855674751601</v>
      </c>
      <c r="BT460" s="298" t="str">
        <f>+VLOOKUP(G460,Liste!$A$7:$H$50,8,FALSE)</f>
        <v>Résineux</v>
      </c>
      <c r="BU460" s="298">
        <f t="shared" si="151"/>
        <v>0</v>
      </c>
      <c r="BV460" s="300">
        <f t="shared" si="152"/>
        <v>1</v>
      </c>
      <c r="BW460" s="321">
        <v>0</v>
      </c>
      <c r="BX460" s="298">
        <f t="shared" si="153"/>
        <v>0.43</v>
      </c>
      <c r="BY460">
        <f t="shared" si="165"/>
        <v>0</v>
      </c>
      <c r="BZ460" s="304">
        <f t="shared" si="154"/>
        <v>0</v>
      </c>
      <c r="CB460" s="299">
        <v>0.6</v>
      </c>
      <c r="CC460" s="299">
        <v>0.4</v>
      </c>
      <c r="CD460">
        <f t="shared" si="155"/>
        <v>0</v>
      </c>
      <c r="CE460">
        <f t="shared" si="156"/>
        <v>0</v>
      </c>
      <c r="CF460">
        <f t="shared" si="157"/>
        <v>0</v>
      </c>
      <c r="CG460">
        <f t="shared" si="158"/>
        <v>0</v>
      </c>
      <c r="CH460">
        <f t="shared" si="159"/>
        <v>0</v>
      </c>
      <c r="CI460">
        <f t="shared" si="160"/>
        <v>0</v>
      </c>
      <c r="CJ460">
        <f t="shared" si="161"/>
        <v>0</v>
      </c>
      <c r="CK460">
        <f t="shared" si="162"/>
        <v>0</v>
      </c>
      <c r="CL460">
        <f t="shared" si="163"/>
        <v>0</v>
      </c>
      <c r="CM460">
        <f t="shared" si="166"/>
        <v>0</v>
      </c>
      <c r="CN460">
        <f t="shared" si="164"/>
        <v>0</v>
      </c>
      <c r="CO460">
        <f t="shared" si="149"/>
        <v>0</v>
      </c>
    </row>
    <row r="461" spans="1:93" s="12" customFormat="1" ht="14.65" customHeight="1" x14ac:dyDescent="0.25">
      <c r="A461" s="4">
        <v>2021</v>
      </c>
      <c r="B461" s="4"/>
      <c r="C461" s="4" t="s">
        <v>68</v>
      </c>
      <c r="D461" s="4" t="s">
        <v>65</v>
      </c>
      <c r="E461" s="4" t="s">
        <v>188</v>
      </c>
      <c r="F461" s="4" t="s">
        <v>90</v>
      </c>
      <c r="G461" s="5" t="s">
        <v>182</v>
      </c>
      <c r="H461" s="5" t="s">
        <v>185</v>
      </c>
      <c r="I461" s="5" t="s">
        <v>183</v>
      </c>
      <c r="J461" s="5" t="s">
        <v>184</v>
      </c>
      <c r="K461" s="5">
        <v>28.5</v>
      </c>
      <c r="L461" s="5" t="s">
        <v>191</v>
      </c>
      <c r="M461" s="5">
        <v>1666</v>
      </c>
      <c r="N461" s="5" t="s">
        <v>171</v>
      </c>
      <c r="O461" s="6" t="s">
        <v>81</v>
      </c>
      <c r="P461" s="6" t="s">
        <v>186</v>
      </c>
      <c r="Q461" s="6"/>
      <c r="R461" s="6"/>
      <c r="S461" s="6">
        <v>25</v>
      </c>
      <c r="T461" s="6">
        <v>16.53</v>
      </c>
      <c r="U461" s="6">
        <v>1255</v>
      </c>
      <c r="V461" s="6">
        <v>35.83</v>
      </c>
      <c r="W461" s="6">
        <v>3</v>
      </c>
      <c r="X461" s="6">
        <v>181</v>
      </c>
      <c r="Y461" s="6">
        <v>304</v>
      </c>
      <c r="Z461" s="6">
        <v>527</v>
      </c>
      <c r="AA461" s="6">
        <v>194</v>
      </c>
      <c r="AB461" s="6">
        <v>46</v>
      </c>
      <c r="AC461" s="7">
        <v>48</v>
      </c>
      <c r="AD461" s="7" t="s">
        <v>53</v>
      </c>
      <c r="AE461" s="9">
        <v>27.796584595430701</v>
      </c>
      <c r="AF461" s="76">
        <v>279</v>
      </c>
      <c r="AG461" s="9">
        <v>30.730634842847401</v>
      </c>
      <c r="AH461" s="9">
        <v>37.448870528033702</v>
      </c>
      <c r="AI461" s="9">
        <v>43.301029840091701</v>
      </c>
      <c r="AJ461" s="9">
        <v>373.295673265429</v>
      </c>
      <c r="AK461" s="9">
        <v>374.96999554732702</v>
      </c>
      <c r="AL461" s="9">
        <v>419.65099540839799</v>
      </c>
      <c r="AM461" s="9">
        <v>73.025901872531904</v>
      </c>
      <c r="AN461" s="9">
        <v>1.52137295567775</v>
      </c>
      <c r="AO461" s="9">
        <v>1.22181140968651</v>
      </c>
      <c r="AP461" s="9">
        <v>893.576207987727</v>
      </c>
      <c r="AQ461" s="9">
        <v>18.616170999744298</v>
      </c>
      <c r="AR461" s="9">
        <v>22.2356928691867</v>
      </c>
      <c r="AS461" s="8">
        <v>72</v>
      </c>
      <c r="AT461" s="10">
        <v>7.5652793865108023</v>
      </c>
      <c r="AU461" s="10">
        <v>36.576428509118877</v>
      </c>
      <c r="AV461" s="10">
        <v>92.026247233803019</v>
      </c>
      <c r="AW461" s="10">
        <v>0.96304626097597867</v>
      </c>
      <c r="AX461" s="10">
        <v>1.2781423226917086</v>
      </c>
      <c r="AY461" s="10"/>
      <c r="AZ461" s="10"/>
      <c r="BA461" s="10"/>
      <c r="BB461" s="8"/>
      <c r="BC461" s="8"/>
      <c r="BD461" s="8"/>
      <c r="BE461" s="8"/>
      <c r="BF461" s="12">
        <v>0.37</v>
      </c>
      <c r="BG461" s="13">
        <v>270.43009562442899</v>
      </c>
      <c r="BH461" s="96" t="str">
        <f>+VLOOKUP(G461,Liste!$A$7:$G$50,3,FALSE)</f>
        <v>Epicéa</v>
      </c>
      <c r="BI461" s="96" t="str">
        <f>+VLOOKUP(H461,Liste!$B$7:$G$50,5,FALSE)</f>
        <v>GS Arc Jurassien</v>
      </c>
      <c r="BJ461" s="135">
        <f t="shared" si="148"/>
        <v>48</v>
      </c>
      <c r="BK461" s="135" t="str">
        <f t="shared" si="150"/>
        <v>Epicéa_Fbonne_Entree 16-17 m_GS Arc Jurassien_48_</v>
      </c>
      <c r="BL461" s="322"/>
      <c r="BM461" s="13">
        <v>69.273034569782595</v>
      </c>
      <c r="BN461" s="13">
        <v>339.70313019421098</v>
      </c>
      <c r="BO461" s="13">
        <v>81.566138970035013</v>
      </c>
      <c r="BP461" s="13">
        <v>287.86350744279702</v>
      </c>
      <c r="BQ461" s="13">
        <v>17.270855674751601</v>
      </c>
      <c r="BT461" s="298" t="str">
        <f>+VLOOKUP(G461,Liste!$A$7:$H$50,8,FALSE)</f>
        <v>Résineux</v>
      </c>
      <c r="BU461" s="298">
        <f t="shared" si="151"/>
        <v>0</v>
      </c>
      <c r="BV461" s="300">
        <f t="shared" si="152"/>
        <v>1</v>
      </c>
      <c r="BW461" s="321">
        <v>0</v>
      </c>
      <c r="BX461" s="298">
        <f t="shared" si="153"/>
        <v>0.43</v>
      </c>
      <c r="BY461">
        <f t="shared" si="165"/>
        <v>0</v>
      </c>
      <c r="BZ461" s="304">
        <f t="shared" si="154"/>
        <v>0</v>
      </c>
      <c r="CB461" s="299">
        <v>0.6</v>
      </c>
      <c r="CC461" s="299">
        <v>0.4</v>
      </c>
      <c r="CD461">
        <f t="shared" si="155"/>
        <v>0</v>
      </c>
      <c r="CE461">
        <f t="shared" si="156"/>
        <v>0</v>
      </c>
      <c r="CF461">
        <f t="shared" si="157"/>
        <v>0</v>
      </c>
      <c r="CG461">
        <f t="shared" si="158"/>
        <v>0</v>
      </c>
      <c r="CH461">
        <f t="shared" si="159"/>
        <v>0</v>
      </c>
      <c r="CI461">
        <f t="shared" si="160"/>
        <v>0</v>
      </c>
      <c r="CJ461">
        <f t="shared" si="161"/>
        <v>0</v>
      </c>
      <c r="CK461">
        <f t="shared" si="162"/>
        <v>0</v>
      </c>
      <c r="CL461">
        <f t="shared" si="163"/>
        <v>0</v>
      </c>
      <c r="CM461">
        <f t="shared" si="166"/>
        <v>0</v>
      </c>
      <c r="CN461">
        <f t="shared" si="164"/>
        <v>0</v>
      </c>
      <c r="CO461">
        <f t="shared" si="149"/>
        <v>0</v>
      </c>
    </row>
    <row r="462" spans="1:93" s="12" customFormat="1" ht="14.65" customHeight="1" x14ac:dyDescent="0.25">
      <c r="A462" s="4">
        <v>2021</v>
      </c>
      <c r="B462" s="4"/>
      <c r="C462" s="4" t="s">
        <v>68</v>
      </c>
      <c r="D462" s="4" t="s">
        <v>65</v>
      </c>
      <c r="E462" s="4" t="s">
        <v>188</v>
      </c>
      <c r="F462" s="4" t="s">
        <v>90</v>
      </c>
      <c r="G462" s="5" t="s">
        <v>182</v>
      </c>
      <c r="H462" s="5" t="s">
        <v>185</v>
      </c>
      <c r="I462" s="5" t="s">
        <v>183</v>
      </c>
      <c r="J462" s="5" t="s">
        <v>184</v>
      </c>
      <c r="K462" s="5">
        <v>28.5</v>
      </c>
      <c r="L462" s="5" t="s">
        <v>191</v>
      </c>
      <c r="M462" s="5">
        <v>1666</v>
      </c>
      <c r="N462" s="5" t="s">
        <v>171</v>
      </c>
      <c r="O462" s="6" t="s">
        <v>81</v>
      </c>
      <c r="P462" s="6" t="s">
        <v>186</v>
      </c>
      <c r="Q462" s="6"/>
      <c r="R462" s="6"/>
      <c r="S462" s="6">
        <v>25</v>
      </c>
      <c r="T462" s="6">
        <v>16.53</v>
      </c>
      <c r="U462" s="6">
        <v>1255</v>
      </c>
      <c r="V462" s="6">
        <v>35.83</v>
      </c>
      <c r="W462" s="6">
        <v>3</v>
      </c>
      <c r="X462" s="6">
        <v>181</v>
      </c>
      <c r="Y462" s="6">
        <v>304</v>
      </c>
      <c r="Z462" s="6">
        <v>527</v>
      </c>
      <c r="AA462" s="6">
        <v>194</v>
      </c>
      <c r="AB462" s="6">
        <v>46</v>
      </c>
      <c r="AC462" s="7">
        <v>55</v>
      </c>
      <c r="AD462" s="7" t="s">
        <v>52</v>
      </c>
      <c r="AE462" s="9">
        <v>30.112683557628301</v>
      </c>
      <c r="AF462" s="76">
        <v>279</v>
      </c>
      <c r="AG462" s="9">
        <v>39.283314711364199</v>
      </c>
      <c r="AH462" s="9">
        <v>42.340601246734401</v>
      </c>
      <c r="AI462" s="9">
        <v>49.051039576931899</v>
      </c>
      <c r="AJ462" s="9">
        <v>519.09965666546202</v>
      </c>
      <c r="AK462" s="9">
        <v>521.35362064292895</v>
      </c>
      <c r="AL462" s="9">
        <v>575.30084549270498</v>
      </c>
      <c r="AM462" s="9">
        <v>81.578581740337498</v>
      </c>
      <c r="AN462" s="9">
        <v>1.4832469407334099</v>
      </c>
      <c r="AO462" s="9">
        <v>1.0480463976514001</v>
      </c>
      <c r="AP462" s="9">
        <v>1049.2260580720299</v>
      </c>
      <c r="AQ462" s="9">
        <v>19.0768374194915</v>
      </c>
      <c r="AR462" s="9">
        <v>19.993856182641299</v>
      </c>
      <c r="AS462" s="8" t="s">
        <v>169</v>
      </c>
      <c r="AT462" s="10" t="s">
        <v>169</v>
      </c>
      <c r="AU462" s="10" t="s">
        <v>169</v>
      </c>
      <c r="AV462" s="10">
        <v>0</v>
      </c>
      <c r="AW462" s="10"/>
      <c r="AX462" s="10" t="s">
        <v>169</v>
      </c>
      <c r="AY462" s="10"/>
      <c r="AZ462" s="10"/>
      <c r="BA462" s="10"/>
      <c r="BB462" s="8"/>
      <c r="BC462" s="8"/>
      <c r="BD462" s="8"/>
      <c r="BE462" s="8"/>
      <c r="BF462" s="12">
        <v>0.37</v>
      </c>
      <c r="BG462" s="13">
        <v>370.73345318292399</v>
      </c>
      <c r="BH462" s="96" t="str">
        <f>+VLOOKUP(G462,Liste!$A$7:$G$50,3,FALSE)</f>
        <v>Epicéa</v>
      </c>
      <c r="BI462" s="96" t="str">
        <f>+VLOOKUP(H462,Liste!$B$7:$G$50,5,FALSE)</f>
        <v>GS Arc Jurassien</v>
      </c>
      <c r="BJ462" s="135">
        <f t="shared" si="148"/>
        <v>55</v>
      </c>
      <c r="BK462" s="135" t="str">
        <f t="shared" si="150"/>
        <v>Epicéa_Fbonne_Entree 16-17 m_GS Arc Jurassien_55_</v>
      </c>
      <c r="BL462" s="322"/>
      <c r="BM462" s="13">
        <v>91.542629097676098</v>
      </c>
      <c r="BN462" s="13">
        <v>462.27608228060001</v>
      </c>
      <c r="BO462" s="13" t="s">
        <v>169</v>
      </c>
      <c r="BP462" s="13">
        <v>287.86350744279702</v>
      </c>
      <c r="BQ462" s="13">
        <v>15.486187728584699</v>
      </c>
      <c r="BT462" s="298" t="str">
        <f>+VLOOKUP(G462,Liste!$A$7:$H$50,8,FALSE)</f>
        <v>Résineux</v>
      </c>
      <c r="BU462" s="298">
        <f t="shared" si="151"/>
        <v>0</v>
      </c>
      <c r="BV462" s="300">
        <f t="shared" si="152"/>
        <v>1</v>
      </c>
      <c r="BW462" s="321">
        <v>0</v>
      </c>
      <c r="BX462" s="298">
        <f t="shared" si="153"/>
        <v>0.43</v>
      </c>
      <c r="BY462">
        <f t="shared" si="165"/>
        <v>0</v>
      </c>
      <c r="BZ462" s="304">
        <f t="shared" si="154"/>
        <v>0</v>
      </c>
      <c r="CB462" s="299">
        <v>0.6</v>
      </c>
      <c r="CC462" s="299">
        <v>0.4</v>
      </c>
      <c r="CD462">
        <f t="shared" si="155"/>
        <v>0</v>
      </c>
      <c r="CE462">
        <f t="shared" si="156"/>
        <v>0</v>
      </c>
      <c r="CF462">
        <f t="shared" si="157"/>
        <v>0</v>
      </c>
      <c r="CG462">
        <f t="shared" si="158"/>
        <v>0</v>
      </c>
      <c r="CH462">
        <f t="shared" si="159"/>
        <v>0</v>
      </c>
      <c r="CI462">
        <f t="shared" si="160"/>
        <v>0</v>
      </c>
      <c r="CJ462">
        <f t="shared" si="161"/>
        <v>0</v>
      </c>
      <c r="CK462">
        <f t="shared" si="162"/>
        <v>0</v>
      </c>
      <c r="CL462">
        <f t="shared" si="163"/>
        <v>0</v>
      </c>
      <c r="CM462">
        <f t="shared" si="166"/>
        <v>0</v>
      </c>
      <c r="CN462">
        <f t="shared" si="164"/>
        <v>0</v>
      </c>
      <c r="CO462">
        <f t="shared" si="149"/>
        <v>0</v>
      </c>
    </row>
    <row r="463" spans="1:93" s="12" customFormat="1" ht="14.65" customHeight="1" x14ac:dyDescent="0.25">
      <c r="A463" s="4">
        <v>2021</v>
      </c>
      <c r="B463" s="4"/>
      <c r="C463" s="4" t="s">
        <v>68</v>
      </c>
      <c r="D463" s="4" t="s">
        <v>65</v>
      </c>
      <c r="E463" s="4" t="s">
        <v>188</v>
      </c>
      <c r="F463" s="4" t="s">
        <v>90</v>
      </c>
      <c r="G463" s="5" t="s">
        <v>182</v>
      </c>
      <c r="H463" s="5" t="s">
        <v>185</v>
      </c>
      <c r="I463" s="5" t="s">
        <v>183</v>
      </c>
      <c r="J463" s="5" t="s">
        <v>184</v>
      </c>
      <c r="K463" s="5">
        <v>28.5</v>
      </c>
      <c r="L463" s="5" t="s">
        <v>191</v>
      </c>
      <c r="M463" s="5">
        <v>1666</v>
      </c>
      <c r="N463" s="5" t="s">
        <v>171</v>
      </c>
      <c r="O463" s="6" t="s">
        <v>81</v>
      </c>
      <c r="P463" s="6" t="s">
        <v>186</v>
      </c>
      <c r="Q463" s="6"/>
      <c r="R463" s="6"/>
      <c r="S463" s="6">
        <v>25</v>
      </c>
      <c r="T463" s="6">
        <v>16.53</v>
      </c>
      <c r="U463" s="6">
        <v>1255</v>
      </c>
      <c r="V463" s="6">
        <v>35.83</v>
      </c>
      <c r="W463" s="6">
        <v>3</v>
      </c>
      <c r="X463" s="6">
        <v>181</v>
      </c>
      <c r="Y463" s="6">
        <v>304</v>
      </c>
      <c r="Z463" s="6">
        <v>527</v>
      </c>
      <c r="AA463" s="6">
        <v>194</v>
      </c>
      <c r="AB463" s="6">
        <v>46</v>
      </c>
      <c r="AC463" s="7">
        <v>55</v>
      </c>
      <c r="AD463" s="7" t="s">
        <v>53</v>
      </c>
      <c r="AE463" s="9">
        <v>30.112683557628301</v>
      </c>
      <c r="AF463" s="76">
        <v>221</v>
      </c>
      <c r="AG463" s="9">
        <v>31.9246703847578</v>
      </c>
      <c r="AH463" s="9">
        <v>42.8866509763672</v>
      </c>
      <c r="AI463" s="9">
        <v>47.769424050084403</v>
      </c>
      <c r="AJ463" s="9">
        <v>422.07871447034597</v>
      </c>
      <c r="AK463" s="9">
        <v>423.92989975022903</v>
      </c>
      <c r="AL463" s="9">
        <v>467.84253605911198</v>
      </c>
      <c r="AM463" s="9">
        <v>81.578581740337498</v>
      </c>
      <c r="AN463" s="9">
        <v>1.4832469407334099</v>
      </c>
      <c r="AO463" s="9">
        <v>1.0480463976514001</v>
      </c>
      <c r="AP463" s="9">
        <v>1049.2260580720299</v>
      </c>
      <c r="AQ463" s="9">
        <v>19.0768374194915</v>
      </c>
      <c r="AR463" s="9">
        <v>19.993856182641299</v>
      </c>
      <c r="AS463" s="8">
        <v>58</v>
      </c>
      <c r="AT463" s="10">
        <v>7.3586443266063988</v>
      </c>
      <c r="AU463" s="10">
        <v>40.192032475733292</v>
      </c>
      <c r="AV463" s="10">
        <v>97.020942195116049</v>
      </c>
      <c r="AW463" s="10">
        <v>0.90108528098056573</v>
      </c>
      <c r="AX463" s="10">
        <v>1.6727748654330354</v>
      </c>
      <c r="AY463" s="10"/>
      <c r="AZ463" s="10"/>
      <c r="BA463" s="10"/>
      <c r="BB463" s="8"/>
      <c r="BC463" s="8"/>
      <c r="BD463" s="8"/>
      <c r="BE463" s="8"/>
      <c r="BF463" s="12">
        <v>0.37</v>
      </c>
      <c r="BG463" s="13">
        <v>301.48552761209299</v>
      </c>
      <c r="BH463" s="96" t="str">
        <f>+VLOOKUP(G463,Liste!$A$7:$G$50,3,FALSE)</f>
        <v>Epicéa</v>
      </c>
      <c r="BI463" s="96" t="str">
        <f>+VLOOKUP(H463,Liste!$B$7:$G$50,5,FALSE)</f>
        <v>GS Arc Jurassien</v>
      </c>
      <c r="BJ463" s="135">
        <f t="shared" si="148"/>
        <v>55</v>
      </c>
      <c r="BK463" s="135" t="str">
        <f t="shared" si="150"/>
        <v>Epicéa_Fbonne_Entree 16-17 m_GS Arc Jurassien_55_</v>
      </c>
      <c r="BL463" s="322"/>
      <c r="BM463" s="13">
        <v>76.257093403205403</v>
      </c>
      <c r="BN463" s="13">
        <v>377.74262101529803</v>
      </c>
      <c r="BO463" s="13">
        <v>84.53346126530198</v>
      </c>
      <c r="BP463" s="13">
        <v>287.86350744279702</v>
      </c>
      <c r="BQ463" s="13">
        <v>15.486187728584699</v>
      </c>
      <c r="BT463" s="298" t="str">
        <f>+VLOOKUP(G463,Liste!$A$7:$H$50,8,FALSE)</f>
        <v>Résineux</v>
      </c>
      <c r="BU463" s="298">
        <f t="shared" si="151"/>
        <v>0</v>
      </c>
      <c r="BV463" s="300">
        <f t="shared" si="152"/>
        <v>1</v>
      </c>
      <c r="BW463" s="321">
        <v>0</v>
      </c>
      <c r="BX463" s="298">
        <f t="shared" si="153"/>
        <v>0.43</v>
      </c>
      <c r="BY463">
        <f t="shared" si="165"/>
        <v>0</v>
      </c>
      <c r="BZ463" s="304">
        <f t="shared" si="154"/>
        <v>0</v>
      </c>
      <c r="CB463" s="299">
        <v>0.6</v>
      </c>
      <c r="CC463" s="299">
        <v>0.4</v>
      </c>
      <c r="CD463">
        <f t="shared" si="155"/>
        <v>0</v>
      </c>
      <c r="CE463">
        <f t="shared" si="156"/>
        <v>0</v>
      </c>
      <c r="CF463">
        <f t="shared" si="157"/>
        <v>0</v>
      </c>
      <c r="CG463">
        <f t="shared" si="158"/>
        <v>0</v>
      </c>
      <c r="CH463">
        <f t="shared" si="159"/>
        <v>0</v>
      </c>
      <c r="CI463">
        <f t="shared" si="160"/>
        <v>0</v>
      </c>
      <c r="CJ463">
        <f t="shared" si="161"/>
        <v>0</v>
      </c>
      <c r="CK463">
        <f t="shared" si="162"/>
        <v>0</v>
      </c>
      <c r="CL463">
        <f t="shared" si="163"/>
        <v>0</v>
      </c>
      <c r="CM463">
        <f t="shared" si="166"/>
        <v>0</v>
      </c>
      <c r="CN463">
        <f t="shared" si="164"/>
        <v>0</v>
      </c>
      <c r="CO463">
        <f t="shared" si="149"/>
        <v>0</v>
      </c>
    </row>
    <row r="464" spans="1:93" s="12" customFormat="1" ht="14.65" customHeight="1" x14ac:dyDescent="0.25">
      <c r="A464" s="4">
        <v>2021</v>
      </c>
      <c r="B464" s="4"/>
      <c r="C464" s="4" t="s">
        <v>68</v>
      </c>
      <c r="D464" s="4" t="s">
        <v>65</v>
      </c>
      <c r="E464" s="4" t="s">
        <v>188</v>
      </c>
      <c r="F464" s="4" t="s">
        <v>90</v>
      </c>
      <c r="G464" s="5" t="s">
        <v>182</v>
      </c>
      <c r="H464" s="5" t="s">
        <v>185</v>
      </c>
      <c r="I464" s="5" t="s">
        <v>183</v>
      </c>
      <c r="J464" s="5" t="s">
        <v>184</v>
      </c>
      <c r="K464" s="5">
        <v>28.5</v>
      </c>
      <c r="L464" s="5" t="s">
        <v>191</v>
      </c>
      <c r="M464" s="5">
        <v>1666</v>
      </c>
      <c r="N464" s="5" t="s">
        <v>171</v>
      </c>
      <c r="O464" s="6" t="s">
        <v>81</v>
      </c>
      <c r="P464" s="6" t="s">
        <v>186</v>
      </c>
      <c r="Q464" s="6"/>
      <c r="R464" s="6"/>
      <c r="S464" s="6">
        <v>25</v>
      </c>
      <c r="T464" s="6">
        <v>16.53</v>
      </c>
      <c r="U464" s="6">
        <v>1255</v>
      </c>
      <c r="V464" s="6">
        <v>35.83</v>
      </c>
      <c r="W464" s="6">
        <v>3</v>
      </c>
      <c r="X464" s="6">
        <v>181</v>
      </c>
      <c r="Y464" s="6">
        <v>304</v>
      </c>
      <c r="Z464" s="6">
        <v>527</v>
      </c>
      <c r="AA464" s="6">
        <v>194</v>
      </c>
      <c r="AB464" s="6">
        <v>46</v>
      </c>
      <c r="AC464" s="7">
        <v>62</v>
      </c>
      <c r="AD464" s="7" t="s">
        <v>52</v>
      </c>
      <c r="AE464" s="9">
        <v>32.022767410850598</v>
      </c>
      <c r="AF464" s="76">
        <v>221</v>
      </c>
      <c r="AG464" s="9">
        <v>39.260995167660703</v>
      </c>
      <c r="AH464" s="9">
        <v>47.559751231953697</v>
      </c>
      <c r="AI464" s="9">
        <v>53.002409164422303</v>
      </c>
      <c r="AJ464" s="9">
        <v>554.17704978709799</v>
      </c>
      <c r="AK464" s="9">
        <v>556.52417456280102</v>
      </c>
      <c r="AL464" s="9">
        <v>607.79952933760103</v>
      </c>
      <c r="AM464" s="9">
        <v>88.914906523897301</v>
      </c>
      <c r="AN464" s="9">
        <v>1.43411139554673</v>
      </c>
      <c r="AO464" s="9">
        <v>0.89163184850324395</v>
      </c>
      <c r="AP464" s="9">
        <v>1189.1830513505199</v>
      </c>
      <c r="AQ464" s="9">
        <v>19.1803717959762</v>
      </c>
      <c r="AR464" s="9">
        <v>17.535129320840401</v>
      </c>
      <c r="AS464" s="8" t="s">
        <v>169</v>
      </c>
      <c r="AT464" s="10" t="s">
        <v>169</v>
      </c>
      <c r="AU464" s="10" t="s">
        <v>169</v>
      </c>
      <c r="AV464" s="10">
        <v>0</v>
      </c>
      <c r="AW464" s="10"/>
      <c r="AX464" s="10" t="s">
        <v>169</v>
      </c>
      <c r="AY464" s="10"/>
      <c r="AZ464" s="10"/>
      <c r="BA464" s="10"/>
      <c r="BB464" s="8"/>
      <c r="BC464" s="8"/>
      <c r="BD464" s="8"/>
      <c r="BE464" s="8"/>
      <c r="BF464" s="12">
        <v>0.37</v>
      </c>
      <c r="BG464" s="13">
        <v>391.67614669730602</v>
      </c>
      <c r="BH464" s="96" t="str">
        <f>+VLOOKUP(G464,Liste!$A$7:$G$50,3,FALSE)</f>
        <v>Epicéa</v>
      </c>
      <c r="BI464" s="96" t="str">
        <f>+VLOOKUP(H464,Liste!$B$7:$G$50,5,FALSE)</f>
        <v>GS Arc Jurassien</v>
      </c>
      <c r="BJ464" s="135">
        <f t="shared" si="148"/>
        <v>62</v>
      </c>
      <c r="BK464" s="135" t="str">
        <f t="shared" si="150"/>
        <v>Epicéa_Fbonne_Entree 16-17 m_GS Arc Jurassien_62_</v>
      </c>
      <c r="BL464" s="322"/>
      <c r="BM464" s="13">
        <v>96.097215085449207</v>
      </c>
      <c r="BN464" s="13">
        <v>487.77336178275499</v>
      </c>
      <c r="BO464" s="13" t="s">
        <v>169</v>
      </c>
      <c r="BP464" s="13">
        <v>287.86350744279702</v>
      </c>
      <c r="BQ464" s="13">
        <v>13.5524290405014</v>
      </c>
      <c r="BT464" s="298" t="str">
        <f>+VLOOKUP(G464,Liste!$A$7:$H$50,8,FALSE)</f>
        <v>Résineux</v>
      </c>
      <c r="BU464" s="298">
        <f t="shared" si="151"/>
        <v>0</v>
      </c>
      <c r="BV464" s="300">
        <f t="shared" si="152"/>
        <v>1</v>
      </c>
      <c r="BW464" s="321">
        <v>0</v>
      </c>
      <c r="BX464" s="298">
        <f t="shared" si="153"/>
        <v>0.43</v>
      </c>
      <c r="BY464">
        <f t="shared" si="165"/>
        <v>0</v>
      </c>
      <c r="BZ464" s="304">
        <f t="shared" si="154"/>
        <v>0</v>
      </c>
      <c r="CB464" s="299">
        <v>0.6</v>
      </c>
      <c r="CC464" s="299">
        <v>0.4</v>
      </c>
      <c r="CD464">
        <f t="shared" si="155"/>
        <v>0</v>
      </c>
      <c r="CE464">
        <f t="shared" si="156"/>
        <v>0</v>
      </c>
      <c r="CF464">
        <f t="shared" si="157"/>
        <v>0</v>
      </c>
      <c r="CG464">
        <f t="shared" si="158"/>
        <v>0</v>
      </c>
      <c r="CH464">
        <f t="shared" si="159"/>
        <v>0</v>
      </c>
      <c r="CI464">
        <f t="shared" si="160"/>
        <v>0</v>
      </c>
      <c r="CJ464">
        <f t="shared" si="161"/>
        <v>0</v>
      </c>
      <c r="CK464">
        <f t="shared" si="162"/>
        <v>0</v>
      </c>
      <c r="CL464">
        <f t="shared" si="163"/>
        <v>0</v>
      </c>
      <c r="CM464">
        <f t="shared" si="166"/>
        <v>0</v>
      </c>
      <c r="CN464">
        <f t="shared" si="164"/>
        <v>0</v>
      </c>
      <c r="CO464">
        <f t="shared" si="149"/>
        <v>0</v>
      </c>
    </row>
    <row r="465" spans="1:93" s="12" customFormat="1" ht="14.65" customHeight="1" x14ac:dyDescent="0.25">
      <c r="A465" s="4">
        <v>2021</v>
      </c>
      <c r="B465" s="4"/>
      <c r="C465" s="4" t="s">
        <v>68</v>
      </c>
      <c r="D465" s="4" t="s">
        <v>65</v>
      </c>
      <c r="E465" s="4" t="s">
        <v>188</v>
      </c>
      <c r="F465" s="4" t="s">
        <v>90</v>
      </c>
      <c r="G465" s="5" t="s">
        <v>182</v>
      </c>
      <c r="H465" s="5" t="s">
        <v>185</v>
      </c>
      <c r="I465" s="5" t="s">
        <v>183</v>
      </c>
      <c r="J465" s="5" t="s">
        <v>184</v>
      </c>
      <c r="K465" s="5">
        <v>28.5</v>
      </c>
      <c r="L465" s="5" t="s">
        <v>191</v>
      </c>
      <c r="M465" s="5">
        <v>1666</v>
      </c>
      <c r="N465" s="5" t="s">
        <v>171</v>
      </c>
      <c r="O465" s="6" t="s">
        <v>81</v>
      </c>
      <c r="P465" s="6" t="s">
        <v>186</v>
      </c>
      <c r="Q465" s="6"/>
      <c r="R465" s="6"/>
      <c r="S465" s="6">
        <v>25</v>
      </c>
      <c r="T465" s="6">
        <v>16.53</v>
      </c>
      <c r="U465" s="6">
        <v>1255</v>
      </c>
      <c r="V465" s="6">
        <v>35.83</v>
      </c>
      <c r="W465" s="6">
        <v>3</v>
      </c>
      <c r="X465" s="6">
        <v>181</v>
      </c>
      <c r="Y465" s="6">
        <v>304</v>
      </c>
      <c r="Z465" s="6">
        <v>527</v>
      </c>
      <c r="AA465" s="6">
        <v>194</v>
      </c>
      <c r="AB465" s="6">
        <v>46</v>
      </c>
      <c r="AC465" s="7">
        <v>62</v>
      </c>
      <c r="AD465" s="7" t="s">
        <v>53</v>
      </c>
      <c r="AE465" s="9">
        <v>32.022767410850598</v>
      </c>
      <c r="AF465" s="76">
        <v>174</v>
      </c>
      <c r="AG465" s="9">
        <v>31.126256428454901</v>
      </c>
      <c r="AH465" s="9">
        <v>47.724774021656202</v>
      </c>
      <c r="AI465" s="9">
        <v>51.491013241449501</v>
      </c>
      <c r="AJ465" s="9">
        <v>439.21112748372002</v>
      </c>
      <c r="AK465" s="9">
        <v>441.07068583159798</v>
      </c>
      <c r="AL465" s="9">
        <v>481.72370825801698</v>
      </c>
      <c r="AM465" s="9">
        <v>88.914906523897301</v>
      </c>
      <c r="AN465" s="9">
        <v>1.43411139554673</v>
      </c>
      <c r="AO465" s="9">
        <v>0.89163184850324395</v>
      </c>
      <c r="AP465" s="9">
        <v>1189.1830513505199</v>
      </c>
      <c r="AQ465" s="9">
        <v>19.1803717959762</v>
      </c>
      <c r="AR465" s="9">
        <v>17.535129320840401</v>
      </c>
      <c r="AS465" s="8">
        <v>47</v>
      </c>
      <c r="AT465" s="10">
        <v>8.134738739205801</v>
      </c>
      <c r="AU465" s="10">
        <v>46.943766832618948</v>
      </c>
      <c r="AV465" s="10">
        <v>114.96592230337797</v>
      </c>
      <c r="AW465" s="10">
        <v>0.97426414856999499</v>
      </c>
      <c r="AX465" s="10">
        <v>2.4460834532633609</v>
      </c>
      <c r="AY465" s="10"/>
      <c r="AZ465" s="10"/>
      <c r="BA465" s="10"/>
      <c r="BB465" s="8"/>
      <c r="BC465" s="8"/>
      <c r="BD465" s="8"/>
      <c r="BE465" s="8"/>
      <c r="BF465" s="12">
        <v>0.37</v>
      </c>
      <c r="BG465" s="13">
        <v>310.43078632993701</v>
      </c>
      <c r="BH465" s="96" t="str">
        <f>+VLOOKUP(G465,Liste!$A$7:$G$50,3,FALSE)</f>
        <v>Epicéa</v>
      </c>
      <c r="BI465" s="96" t="str">
        <f>+VLOOKUP(H465,Liste!$B$7:$G$50,5,FALSE)</f>
        <v>GS Arc Jurassien</v>
      </c>
      <c r="BJ465" s="135">
        <f t="shared" si="148"/>
        <v>62</v>
      </c>
      <c r="BK465" s="135" t="str">
        <f t="shared" si="150"/>
        <v>Epicéa_Fbonne_Entree 16-17 m_GS Arc Jurassien_62_</v>
      </c>
      <c r="BL465" s="322"/>
      <c r="BM465" s="13">
        <v>78.252906911828902</v>
      </c>
      <c r="BN465" s="13">
        <v>388.68369324176598</v>
      </c>
      <c r="BO465" s="13">
        <v>99.08966854098901</v>
      </c>
      <c r="BP465" s="13">
        <v>287.86350744279702</v>
      </c>
      <c r="BQ465" s="13">
        <v>13.5524290405014</v>
      </c>
      <c r="BT465" s="298" t="str">
        <f>+VLOOKUP(G465,Liste!$A$7:$H$50,8,FALSE)</f>
        <v>Résineux</v>
      </c>
      <c r="BU465" s="298">
        <f t="shared" si="151"/>
        <v>0</v>
      </c>
      <c r="BV465" s="300">
        <f t="shared" si="152"/>
        <v>1</v>
      </c>
      <c r="BW465" s="321">
        <v>0</v>
      </c>
      <c r="BX465" s="298">
        <f t="shared" si="153"/>
        <v>0.43</v>
      </c>
      <c r="BY465">
        <f t="shared" si="165"/>
        <v>0</v>
      </c>
      <c r="BZ465" s="304">
        <f t="shared" si="154"/>
        <v>0</v>
      </c>
      <c r="CB465" s="299">
        <v>0.6</v>
      </c>
      <c r="CC465" s="299">
        <v>0.4</v>
      </c>
      <c r="CD465">
        <f t="shared" si="155"/>
        <v>0</v>
      </c>
      <c r="CE465">
        <f t="shared" si="156"/>
        <v>0</v>
      </c>
      <c r="CF465">
        <f t="shared" si="157"/>
        <v>0</v>
      </c>
      <c r="CG465">
        <f t="shared" si="158"/>
        <v>0</v>
      </c>
      <c r="CH465">
        <f t="shared" si="159"/>
        <v>0</v>
      </c>
      <c r="CI465">
        <f t="shared" si="160"/>
        <v>0</v>
      </c>
      <c r="CJ465">
        <f t="shared" si="161"/>
        <v>0</v>
      </c>
      <c r="CK465">
        <f t="shared" si="162"/>
        <v>0</v>
      </c>
      <c r="CL465">
        <f t="shared" si="163"/>
        <v>0</v>
      </c>
      <c r="CM465">
        <f t="shared" si="166"/>
        <v>0</v>
      </c>
      <c r="CN465">
        <f t="shared" si="164"/>
        <v>0</v>
      </c>
      <c r="CO465">
        <f t="shared" si="149"/>
        <v>0</v>
      </c>
    </row>
    <row r="466" spans="1:93" s="12" customFormat="1" ht="14.65" customHeight="1" x14ac:dyDescent="0.25">
      <c r="A466" s="4">
        <v>2021</v>
      </c>
      <c r="B466" s="4"/>
      <c r="C466" s="4" t="s">
        <v>68</v>
      </c>
      <c r="D466" s="4" t="s">
        <v>65</v>
      </c>
      <c r="E466" s="4" t="s">
        <v>188</v>
      </c>
      <c r="F466" s="4" t="s">
        <v>90</v>
      </c>
      <c r="G466" s="5" t="s">
        <v>182</v>
      </c>
      <c r="H466" s="5" t="s">
        <v>185</v>
      </c>
      <c r="I466" s="5" t="s">
        <v>183</v>
      </c>
      <c r="J466" s="5" t="s">
        <v>184</v>
      </c>
      <c r="K466" s="5">
        <v>28.5</v>
      </c>
      <c r="L466" s="5" t="s">
        <v>191</v>
      </c>
      <c r="M466" s="5">
        <v>1666</v>
      </c>
      <c r="N466" s="5" t="s">
        <v>171</v>
      </c>
      <c r="O466" s="6" t="s">
        <v>81</v>
      </c>
      <c r="P466" s="6" t="s">
        <v>186</v>
      </c>
      <c r="Q466" s="6"/>
      <c r="R466" s="6"/>
      <c r="S466" s="6">
        <v>25</v>
      </c>
      <c r="T466" s="6">
        <v>16.53</v>
      </c>
      <c r="U466" s="6">
        <v>1255</v>
      </c>
      <c r="V466" s="6">
        <v>35.83</v>
      </c>
      <c r="W466" s="6">
        <v>3</v>
      </c>
      <c r="X466" s="6">
        <v>181</v>
      </c>
      <c r="Y466" s="6">
        <v>304</v>
      </c>
      <c r="Z466" s="6">
        <v>527</v>
      </c>
      <c r="AA466" s="6">
        <v>194</v>
      </c>
      <c r="AB466" s="6">
        <v>46</v>
      </c>
      <c r="AC466" s="7">
        <v>69</v>
      </c>
      <c r="AD466" s="7" t="s">
        <v>52</v>
      </c>
      <c r="AE466" s="9">
        <v>33.590494111844102</v>
      </c>
      <c r="AF466" s="76">
        <v>174</v>
      </c>
      <c r="AG466" s="9">
        <v>37.3676793674218</v>
      </c>
      <c r="AH466" s="9">
        <v>52.2911868497943</v>
      </c>
      <c r="AI466" s="9">
        <v>56.410787811724397</v>
      </c>
      <c r="AJ466" s="9">
        <v>555.55828518220403</v>
      </c>
      <c r="AK466" s="9">
        <v>557.84421137650202</v>
      </c>
      <c r="AL466" s="9">
        <v>604.46961350389995</v>
      </c>
      <c r="AM466" s="9">
        <v>95.156329463419993</v>
      </c>
      <c r="AN466" s="9">
        <v>1.3790772386002901</v>
      </c>
      <c r="AO466" s="9">
        <v>0.74496327164977005</v>
      </c>
      <c r="AP466" s="9">
        <v>1311.92895659641</v>
      </c>
      <c r="AQ466" s="9">
        <v>19.0134631390784</v>
      </c>
      <c r="AR466" s="9">
        <v>15.082849687085499</v>
      </c>
      <c r="AS466" s="8" t="s">
        <v>169</v>
      </c>
      <c r="AT466" s="10" t="s">
        <v>169</v>
      </c>
      <c r="AU466" s="10" t="s">
        <v>169</v>
      </c>
      <c r="AV466" s="10">
        <v>0</v>
      </c>
      <c r="AW466" s="10"/>
      <c r="AX466" s="10" t="s">
        <v>169</v>
      </c>
      <c r="AY466" s="10"/>
      <c r="AZ466" s="10"/>
      <c r="BA466" s="10"/>
      <c r="BB466" s="8"/>
      <c r="BC466" s="8"/>
      <c r="BD466" s="8"/>
      <c r="BE466" s="8"/>
      <c r="BF466" s="12">
        <v>0.37</v>
      </c>
      <c r="BG466" s="13">
        <v>389.530293435472</v>
      </c>
      <c r="BH466" s="96" t="str">
        <f>+VLOOKUP(G466,Liste!$A$7:$G$50,3,FALSE)</f>
        <v>Epicéa</v>
      </c>
      <c r="BI466" s="96" t="str">
        <f>+VLOOKUP(H466,Liste!$B$7:$G$50,5,FALSE)</f>
        <v>GS Arc Jurassien</v>
      </c>
      <c r="BJ466" s="135">
        <f t="shared" si="148"/>
        <v>69</v>
      </c>
      <c r="BK466" s="135" t="str">
        <f t="shared" si="150"/>
        <v>Epicéa_Fbonne_Entree 16-17 m_GS Arc Jurassien_69_</v>
      </c>
      <c r="BL466" s="322"/>
      <c r="BM466" s="13">
        <v>95.631866771217304</v>
      </c>
      <c r="BN466" s="13">
        <v>485.16216020668901</v>
      </c>
      <c r="BO466" s="13" t="s">
        <v>169</v>
      </c>
      <c r="BP466" s="13">
        <v>287.86350744279702</v>
      </c>
      <c r="BQ466" s="13">
        <v>11.6362765975669</v>
      </c>
      <c r="BT466" s="298" t="str">
        <f>+VLOOKUP(G466,Liste!$A$7:$H$50,8,FALSE)</f>
        <v>Résineux</v>
      </c>
      <c r="BU466" s="298">
        <f t="shared" si="151"/>
        <v>0</v>
      </c>
      <c r="BV466" s="300">
        <f t="shared" si="152"/>
        <v>1</v>
      </c>
      <c r="BW466" s="321">
        <v>0</v>
      </c>
      <c r="BX466" s="298">
        <f t="shared" si="153"/>
        <v>0.43</v>
      </c>
      <c r="BY466">
        <f t="shared" si="165"/>
        <v>0</v>
      </c>
      <c r="BZ466" s="304">
        <f t="shared" si="154"/>
        <v>0</v>
      </c>
      <c r="CB466" s="299">
        <v>0.6</v>
      </c>
      <c r="CC466" s="299">
        <v>0.4</v>
      </c>
      <c r="CD466">
        <f t="shared" si="155"/>
        <v>0</v>
      </c>
      <c r="CE466">
        <f t="shared" si="156"/>
        <v>0</v>
      </c>
      <c r="CF466">
        <f t="shared" si="157"/>
        <v>0</v>
      </c>
      <c r="CG466">
        <f t="shared" si="158"/>
        <v>0</v>
      </c>
      <c r="CH466">
        <f t="shared" si="159"/>
        <v>0</v>
      </c>
      <c r="CI466">
        <f t="shared" si="160"/>
        <v>0</v>
      </c>
      <c r="CJ466">
        <f t="shared" si="161"/>
        <v>0</v>
      </c>
      <c r="CK466">
        <f t="shared" si="162"/>
        <v>0</v>
      </c>
      <c r="CL466">
        <f t="shared" si="163"/>
        <v>0</v>
      </c>
      <c r="CM466">
        <f t="shared" si="166"/>
        <v>0</v>
      </c>
      <c r="CN466">
        <f t="shared" si="164"/>
        <v>0</v>
      </c>
      <c r="CO466">
        <f t="shared" si="149"/>
        <v>0</v>
      </c>
    </row>
    <row r="467" spans="1:93" s="12" customFormat="1" ht="14.65" customHeight="1" x14ac:dyDescent="0.25">
      <c r="A467" s="4">
        <v>2021</v>
      </c>
      <c r="B467" s="4"/>
      <c r="C467" s="4" t="s">
        <v>68</v>
      </c>
      <c r="D467" s="4" t="s">
        <v>65</v>
      </c>
      <c r="E467" s="4" t="s">
        <v>188</v>
      </c>
      <c r="F467" s="4" t="s">
        <v>90</v>
      </c>
      <c r="G467" s="5" t="s">
        <v>182</v>
      </c>
      <c r="H467" s="5" t="s">
        <v>185</v>
      </c>
      <c r="I467" s="5" t="s">
        <v>183</v>
      </c>
      <c r="J467" s="5" t="s">
        <v>184</v>
      </c>
      <c r="K467" s="5">
        <v>28.5</v>
      </c>
      <c r="L467" s="5" t="s">
        <v>191</v>
      </c>
      <c r="M467" s="5">
        <v>1666</v>
      </c>
      <c r="N467" s="5" t="s">
        <v>171</v>
      </c>
      <c r="O467" s="6" t="s">
        <v>81</v>
      </c>
      <c r="P467" s="6" t="s">
        <v>186</v>
      </c>
      <c r="Q467" s="6"/>
      <c r="R467" s="6"/>
      <c r="S467" s="6">
        <v>25</v>
      </c>
      <c r="T467" s="6">
        <v>16.53</v>
      </c>
      <c r="U467" s="6">
        <v>1255</v>
      </c>
      <c r="V467" s="6">
        <v>35.83</v>
      </c>
      <c r="W467" s="6">
        <v>3</v>
      </c>
      <c r="X467" s="6">
        <v>181</v>
      </c>
      <c r="Y467" s="6">
        <v>304</v>
      </c>
      <c r="Z467" s="6">
        <v>527</v>
      </c>
      <c r="AA467" s="6">
        <v>194</v>
      </c>
      <c r="AB467" s="6">
        <v>46</v>
      </c>
      <c r="AC467" s="7">
        <v>69</v>
      </c>
      <c r="AD467" s="7" t="s">
        <v>53</v>
      </c>
      <c r="AE467" s="9">
        <v>33.590494111844102</v>
      </c>
      <c r="AF467" s="76">
        <v>135</v>
      </c>
      <c r="AG467" s="9">
        <v>29.897399308436299</v>
      </c>
      <c r="AH467" s="9">
        <v>53.101266696364497</v>
      </c>
      <c r="AI467" s="9">
        <v>55.456693798294602</v>
      </c>
      <c r="AJ467" s="9">
        <v>445.18767285423303</v>
      </c>
      <c r="AK467" s="9">
        <v>447.049605257552</v>
      </c>
      <c r="AL467" s="9">
        <v>484.48267688077101</v>
      </c>
      <c r="AM467" s="9">
        <v>95.156329463419993</v>
      </c>
      <c r="AN467" s="9">
        <v>1.3790772386002901</v>
      </c>
      <c r="AO467" s="9">
        <v>0.74496327164977005</v>
      </c>
      <c r="AP467" s="9">
        <v>1311.92895659641</v>
      </c>
      <c r="AQ467" s="9">
        <v>19.0134631390784</v>
      </c>
      <c r="AR467" s="9">
        <v>15.082849687085499</v>
      </c>
      <c r="AS467" s="8">
        <v>39</v>
      </c>
      <c r="AT467" s="10">
        <v>7.4702800589855016</v>
      </c>
      <c r="AU467" s="10">
        <v>49.384561018723417</v>
      </c>
      <c r="AV467" s="10">
        <v>110.370612327971</v>
      </c>
      <c r="AW467" s="10">
        <v>0.89191896221108868</v>
      </c>
      <c r="AX467" s="10">
        <v>2.8300157007172051</v>
      </c>
      <c r="AY467" s="10"/>
      <c r="AZ467" s="10"/>
      <c r="BA467" s="10"/>
      <c r="BB467" s="8"/>
      <c r="BC467" s="8"/>
      <c r="BD467" s="8"/>
      <c r="BE467" s="8"/>
      <c r="BF467" s="12">
        <v>0.37</v>
      </c>
      <c r="BG467" s="13">
        <v>312.20871169325</v>
      </c>
      <c r="BH467" s="96" t="str">
        <f>+VLOOKUP(G467,Liste!$A$7:$G$50,3,FALSE)</f>
        <v>Epicéa</v>
      </c>
      <c r="BI467" s="96" t="str">
        <f>+VLOOKUP(H467,Liste!$B$7:$G$50,5,FALSE)</f>
        <v>GS Arc Jurassien</v>
      </c>
      <c r="BJ467" s="135">
        <f t="shared" si="148"/>
        <v>69</v>
      </c>
      <c r="BK467" s="135" t="str">
        <f t="shared" si="150"/>
        <v>Epicéa_Fbonne_Entree 16-17 m_GS Arc Jurassien_69_</v>
      </c>
      <c r="BL467" s="322"/>
      <c r="BM467" s="13">
        <v>78.648784073954701</v>
      </c>
      <c r="BN467" s="13">
        <v>390.85749576720502</v>
      </c>
      <c r="BO467" s="13">
        <v>94.304664439483986</v>
      </c>
      <c r="BP467" s="13">
        <v>287.86350744279702</v>
      </c>
      <c r="BQ467" s="13">
        <v>11.6362765975669</v>
      </c>
      <c r="BT467" s="298" t="str">
        <f>+VLOOKUP(G467,Liste!$A$7:$H$50,8,FALSE)</f>
        <v>Résineux</v>
      </c>
      <c r="BU467" s="298">
        <f t="shared" si="151"/>
        <v>0</v>
      </c>
      <c r="BV467" s="300">
        <f t="shared" si="152"/>
        <v>1</v>
      </c>
      <c r="BW467" s="321">
        <v>0</v>
      </c>
      <c r="BX467" s="298">
        <f t="shared" si="153"/>
        <v>0.43</v>
      </c>
      <c r="BY467">
        <f t="shared" si="165"/>
        <v>0</v>
      </c>
      <c r="BZ467" s="304">
        <f t="shared" si="154"/>
        <v>0</v>
      </c>
      <c r="CB467" s="299">
        <v>0.6</v>
      </c>
      <c r="CC467" s="299">
        <v>0.4</v>
      </c>
      <c r="CD467">
        <f t="shared" si="155"/>
        <v>0</v>
      </c>
      <c r="CE467">
        <f t="shared" si="156"/>
        <v>0</v>
      </c>
      <c r="CF467">
        <f t="shared" si="157"/>
        <v>0</v>
      </c>
      <c r="CG467">
        <f t="shared" si="158"/>
        <v>0</v>
      </c>
      <c r="CH467">
        <f t="shared" si="159"/>
        <v>0</v>
      </c>
      <c r="CI467">
        <f t="shared" si="160"/>
        <v>0</v>
      </c>
      <c r="CJ467">
        <f t="shared" si="161"/>
        <v>0</v>
      </c>
      <c r="CK467">
        <f t="shared" si="162"/>
        <v>0</v>
      </c>
      <c r="CL467">
        <f t="shared" si="163"/>
        <v>0</v>
      </c>
      <c r="CM467">
        <f t="shared" si="166"/>
        <v>0</v>
      </c>
      <c r="CN467">
        <f t="shared" si="164"/>
        <v>0</v>
      </c>
      <c r="CO467">
        <f t="shared" si="149"/>
        <v>0</v>
      </c>
    </row>
    <row r="468" spans="1:93" s="12" customFormat="1" ht="14.65" customHeight="1" x14ac:dyDescent="0.25">
      <c r="A468" s="4">
        <v>2021</v>
      </c>
      <c r="B468" s="4"/>
      <c r="C468" s="4" t="s">
        <v>68</v>
      </c>
      <c r="D468" s="4" t="s">
        <v>65</v>
      </c>
      <c r="E468" s="4" t="s">
        <v>188</v>
      </c>
      <c r="F468" s="4" t="s">
        <v>90</v>
      </c>
      <c r="G468" s="5" t="s">
        <v>182</v>
      </c>
      <c r="H468" s="5" t="s">
        <v>185</v>
      </c>
      <c r="I468" s="5" t="s">
        <v>183</v>
      </c>
      <c r="J468" s="5" t="s">
        <v>184</v>
      </c>
      <c r="K468" s="5">
        <v>28.5</v>
      </c>
      <c r="L468" s="5" t="s">
        <v>191</v>
      </c>
      <c r="M468" s="5">
        <v>1666</v>
      </c>
      <c r="N468" s="5" t="s">
        <v>171</v>
      </c>
      <c r="O468" s="6" t="s">
        <v>81</v>
      </c>
      <c r="P468" s="6" t="s">
        <v>186</v>
      </c>
      <c r="Q468" s="6"/>
      <c r="R468" s="6"/>
      <c r="S468" s="6">
        <v>25</v>
      </c>
      <c r="T468" s="6">
        <v>16.53</v>
      </c>
      <c r="U468" s="6">
        <v>1255</v>
      </c>
      <c r="V468" s="6">
        <v>35.83</v>
      </c>
      <c r="W468" s="6">
        <v>3</v>
      </c>
      <c r="X468" s="6">
        <v>181</v>
      </c>
      <c r="Y468" s="6">
        <v>304</v>
      </c>
      <c r="Z468" s="6">
        <v>527</v>
      </c>
      <c r="AA468" s="6">
        <v>194</v>
      </c>
      <c r="AB468" s="6">
        <v>46</v>
      </c>
      <c r="AC468" s="7">
        <v>77</v>
      </c>
      <c r="AD468" s="7" t="s">
        <v>52</v>
      </c>
      <c r="AE468" s="9">
        <v>35.035451586562402</v>
      </c>
      <c r="AF468" s="76">
        <v>135</v>
      </c>
      <c r="AG468" s="9">
        <v>35.857105482318097</v>
      </c>
      <c r="AH468" s="9">
        <v>58.153490809413597</v>
      </c>
      <c r="AI468" s="9">
        <v>60.713548759510097</v>
      </c>
      <c r="AJ468" s="9">
        <v>559.95895888144798</v>
      </c>
      <c r="AK468" s="9">
        <v>562.23650656125699</v>
      </c>
      <c r="AL468" s="9">
        <v>605.145474377455</v>
      </c>
      <c r="AM468" s="9">
        <v>101.11603563661799</v>
      </c>
      <c r="AN468" s="9">
        <v>1.3131952680080301</v>
      </c>
      <c r="AO468" s="7"/>
      <c r="AP468" s="9">
        <v>1432.59175409309</v>
      </c>
      <c r="AQ468" s="9">
        <v>18.605087715494701</v>
      </c>
      <c r="AR468" s="9"/>
      <c r="AS468" s="8" t="s">
        <v>169</v>
      </c>
      <c r="AT468" s="10" t="s">
        <v>169</v>
      </c>
      <c r="AU468" s="10" t="s">
        <v>169</v>
      </c>
      <c r="AV468" s="10">
        <v>0</v>
      </c>
      <c r="AW468" s="10"/>
      <c r="AX468" s="10" t="s">
        <v>169</v>
      </c>
      <c r="AY468" s="10"/>
      <c r="AZ468" s="10"/>
      <c r="BA468" s="10"/>
      <c r="BB468" s="8"/>
      <c r="BC468" s="8"/>
      <c r="BD468" s="8"/>
      <c r="BE468" s="8"/>
      <c r="BF468" s="12">
        <v>0.37</v>
      </c>
      <c r="BG468" s="13">
        <v>389.96582944673798</v>
      </c>
      <c r="BH468" s="96" t="str">
        <f>+VLOOKUP(G468,Liste!$A$7:$G$50,3,FALSE)</f>
        <v>Epicéa</v>
      </c>
      <c r="BI468" s="96" t="str">
        <f>+VLOOKUP(H468,Liste!$B$7:$G$50,5,FALSE)</f>
        <v>GS Arc Jurassien</v>
      </c>
      <c r="BJ468" s="135">
        <f t="shared" si="148"/>
        <v>77</v>
      </c>
      <c r="BK468" s="135" t="str">
        <f t="shared" si="150"/>
        <v>Epicéa_Fbonne_Entree 16-17 m_GS Arc Jurassien_77_</v>
      </c>
      <c r="BL468" s="322"/>
      <c r="BM468" s="13">
        <v>95.726340905673595</v>
      </c>
      <c r="BN468" s="13">
        <v>485.69217035241201</v>
      </c>
      <c r="BO468" s="13" t="s">
        <v>169</v>
      </c>
      <c r="BP468" s="13">
        <v>287.86350744279702</v>
      </c>
      <c r="BQ468" s="13"/>
      <c r="BT468" s="298" t="str">
        <f>+VLOOKUP(G468,Liste!$A$7:$H$50,8,FALSE)</f>
        <v>Résineux</v>
      </c>
      <c r="BU468" s="298">
        <f t="shared" si="151"/>
        <v>0</v>
      </c>
      <c r="BV468" s="300">
        <f t="shared" si="152"/>
        <v>1</v>
      </c>
      <c r="BW468" s="321">
        <v>0</v>
      </c>
      <c r="BX468" s="298">
        <f t="shared" si="153"/>
        <v>0.43</v>
      </c>
      <c r="BY468">
        <f t="shared" si="165"/>
        <v>0</v>
      </c>
      <c r="BZ468" s="304">
        <f t="shared" si="154"/>
        <v>0</v>
      </c>
      <c r="CB468" s="299">
        <v>0.6</v>
      </c>
      <c r="CC468" s="299">
        <v>0.4</v>
      </c>
      <c r="CD468">
        <f t="shared" si="155"/>
        <v>0</v>
      </c>
      <c r="CE468">
        <f t="shared" si="156"/>
        <v>0</v>
      </c>
      <c r="CF468">
        <f t="shared" si="157"/>
        <v>0</v>
      </c>
      <c r="CG468">
        <f t="shared" si="158"/>
        <v>0</v>
      </c>
      <c r="CH468">
        <f t="shared" si="159"/>
        <v>0</v>
      </c>
      <c r="CI468">
        <f t="shared" si="160"/>
        <v>0</v>
      </c>
      <c r="CJ468">
        <f t="shared" si="161"/>
        <v>0</v>
      </c>
      <c r="CK468">
        <f t="shared" si="162"/>
        <v>0</v>
      </c>
      <c r="CL468">
        <f t="shared" si="163"/>
        <v>0</v>
      </c>
      <c r="CM468">
        <f t="shared" si="166"/>
        <v>0</v>
      </c>
      <c r="CN468">
        <f t="shared" si="164"/>
        <v>0</v>
      </c>
      <c r="CO468">
        <f t="shared" si="149"/>
        <v>0</v>
      </c>
    </row>
    <row r="469" spans="1:93" s="12" customFormat="1" ht="14.65" customHeight="1" x14ac:dyDescent="0.25">
      <c r="A469" s="4">
        <v>2021</v>
      </c>
      <c r="B469" s="4"/>
      <c r="C469" s="4" t="s">
        <v>68</v>
      </c>
      <c r="D469" s="4" t="s">
        <v>65</v>
      </c>
      <c r="E469" s="4" t="s">
        <v>188</v>
      </c>
      <c r="F469" s="4" t="s">
        <v>90</v>
      </c>
      <c r="G469" s="5" t="s">
        <v>182</v>
      </c>
      <c r="H469" s="5" t="s">
        <v>185</v>
      </c>
      <c r="I469" s="5" t="s">
        <v>183</v>
      </c>
      <c r="J469" s="5" t="s">
        <v>184</v>
      </c>
      <c r="K469" s="5">
        <v>28.5</v>
      </c>
      <c r="L469" s="5" t="s">
        <v>191</v>
      </c>
      <c r="M469" s="5">
        <v>1666</v>
      </c>
      <c r="N469" s="5" t="s">
        <v>171</v>
      </c>
      <c r="O469" s="6" t="s">
        <v>81</v>
      </c>
      <c r="P469" s="6" t="s">
        <v>186</v>
      </c>
      <c r="Q469" s="6"/>
      <c r="R469" s="6"/>
      <c r="S469" s="6">
        <v>25</v>
      </c>
      <c r="T469" s="6">
        <v>16.53</v>
      </c>
      <c r="U469" s="6">
        <v>1255</v>
      </c>
      <c r="V469" s="6">
        <v>35.83</v>
      </c>
      <c r="W469" s="6">
        <v>3</v>
      </c>
      <c r="X469" s="6">
        <v>181</v>
      </c>
      <c r="Y469" s="6">
        <v>304</v>
      </c>
      <c r="Z469" s="6">
        <v>527</v>
      </c>
      <c r="AA469" s="6">
        <v>194</v>
      </c>
      <c r="AB469" s="6">
        <v>46</v>
      </c>
      <c r="AC469" s="7">
        <v>77</v>
      </c>
      <c r="AD469" s="7" t="s">
        <v>53</v>
      </c>
      <c r="AE469" s="9">
        <v>35.035451600000002</v>
      </c>
      <c r="AF469" s="76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101.11603563661799</v>
      </c>
      <c r="AN469" s="9">
        <v>1.3131952680080301</v>
      </c>
      <c r="AO469" s="7"/>
      <c r="AP469" s="9">
        <v>1432.59175409309</v>
      </c>
      <c r="AQ469" s="9">
        <v>18.605087715494701</v>
      </c>
      <c r="AR469" s="9"/>
      <c r="AS469" s="8">
        <v>135</v>
      </c>
      <c r="AT469" s="10">
        <v>35.857105482318097</v>
      </c>
      <c r="AU469" s="10">
        <v>58.153490809413569</v>
      </c>
      <c r="AV469" s="10">
        <v>559.95895888144798</v>
      </c>
      <c r="AW469" s="10">
        <v>0.99999999999999889</v>
      </c>
      <c r="AX469" s="10">
        <v>4.1478441398625776</v>
      </c>
      <c r="AY469" s="10"/>
      <c r="AZ469" s="10"/>
      <c r="BA469" s="10"/>
      <c r="BB469" s="8"/>
      <c r="BC469" s="8"/>
      <c r="BD469" s="8"/>
      <c r="BE469" s="8"/>
      <c r="BF469" s="12">
        <v>0.37</v>
      </c>
      <c r="BG469" s="13">
        <v>0</v>
      </c>
      <c r="BH469" s="96" t="str">
        <f>+VLOOKUP(G469,Liste!$A$7:$G$50,3,FALSE)</f>
        <v>Epicéa</v>
      </c>
      <c r="BI469" s="96" t="str">
        <f>+VLOOKUP(H469,Liste!$B$7:$G$50,5,FALSE)</f>
        <v>GS Arc Jurassien</v>
      </c>
      <c r="BJ469" s="135">
        <f t="shared" si="148"/>
        <v>77</v>
      </c>
      <c r="BK469" s="135" t="str">
        <f t="shared" si="150"/>
        <v>Epicéa_Fbonne_Entree 16-17 m_GS Arc Jurassien_77_</v>
      </c>
      <c r="BL469" s="322"/>
      <c r="BM469" s="13">
        <v>0</v>
      </c>
      <c r="BN469" s="13">
        <v>0</v>
      </c>
      <c r="BO469" s="13">
        <v>485.69217035241201</v>
      </c>
      <c r="BP469" s="13">
        <v>287.86350744279702</v>
      </c>
      <c r="BQ469" s="13"/>
      <c r="BT469" s="298" t="str">
        <f>+VLOOKUP(G469,Liste!$A$7:$H$50,8,FALSE)</f>
        <v>Résineux</v>
      </c>
      <c r="BU469" s="298">
        <f t="shared" si="151"/>
        <v>0</v>
      </c>
      <c r="BV469" s="300">
        <f t="shared" si="152"/>
        <v>1</v>
      </c>
      <c r="BW469" s="321">
        <v>0</v>
      </c>
      <c r="BX469" s="298">
        <f t="shared" si="153"/>
        <v>0.43</v>
      </c>
      <c r="BY469">
        <f t="shared" si="165"/>
        <v>0</v>
      </c>
      <c r="BZ469" s="304">
        <f t="shared" si="154"/>
        <v>0</v>
      </c>
      <c r="CB469" s="299">
        <v>0.6</v>
      </c>
      <c r="CC469" s="299">
        <v>0.4</v>
      </c>
      <c r="CD469">
        <f t="shared" si="155"/>
        <v>0</v>
      </c>
      <c r="CE469">
        <f t="shared" si="156"/>
        <v>0</v>
      </c>
      <c r="CF469">
        <f t="shared" si="157"/>
        <v>0</v>
      </c>
      <c r="CG469">
        <f t="shared" si="158"/>
        <v>0</v>
      </c>
      <c r="CH469">
        <f t="shared" si="159"/>
        <v>0</v>
      </c>
      <c r="CI469">
        <f t="shared" si="160"/>
        <v>0</v>
      </c>
      <c r="CJ469">
        <f t="shared" si="161"/>
        <v>0</v>
      </c>
      <c r="CK469">
        <f t="shared" si="162"/>
        <v>0</v>
      </c>
      <c r="CL469">
        <f t="shared" si="163"/>
        <v>0</v>
      </c>
      <c r="CM469">
        <f t="shared" si="166"/>
        <v>0</v>
      </c>
      <c r="CN469">
        <f t="shared" si="164"/>
        <v>0</v>
      </c>
      <c r="CO469">
        <f t="shared" si="149"/>
        <v>0</v>
      </c>
    </row>
    <row r="470" spans="1:93" s="12" customFormat="1" ht="14.65" customHeight="1" x14ac:dyDescent="0.25">
      <c r="A470" s="4">
        <v>2021</v>
      </c>
      <c r="B470" s="4"/>
      <c r="C470" s="4" t="s">
        <v>68</v>
      </c>
      <c r="D470" s="4" t="s">
        <v>65</v>
      </c>
      <c r="E470" s="4" t="s">
        <v>188</v>
      </c>
      <c r="F470" s="4" t="s">
        <v>90</v>
      </c>
      <c r="G470" s="5" t="s">
        <v>182</v>
      </c>
      <c r="H470" s="5" t="s">
        <v>185</v>
      </c>
      <c r="I470" s="5" t="s">
        <v>183</v>
      </c>
      <c r="J470" s="5" t="s">
        <v>184</v>
      </c>
      <c r="K470" s="5">
        <v>28.5</v>
      </c>
      <c r="L470" s="5" t="s">
        <v>190</v>
      </c>
      <c r="M470" s="5">
        <v>1666</v>
      </c>
      <c r="N470" s="5" t="s">
        <v>171</v>
      </c>
      <c r="O470" s="6" t="s">
        <v>81</v>
      </c>
      <c r="P470" s="6" t="s">
        <v>186</v>
      </c>
      <c r="Q470" s="6"/>
      <c r="R470" s="6"/>
      <c r="S470" s="6">
        <v>25</v>
      </c>
      <c r="T470" s="6">
        <v>16.53</v>
      </c>
      <c r="U470" s="6">
        <v>1255</v>
      </c>
      <c r="V470" s="6">
        <v>35.83</v>
      </c>
      <c r="W470" s="6">
        <v>3</v>
      </c>
      <c r="X470" s="6">
        <v>181</v>
      </c>
      <c r="Y470" s="6">
        <v>304</v>
      </c>
      <c r="Z470" s="6">
        <v>527</v>
      </c>
      <c r="AA470" s="6">
        <v>194</v>
      </c>
      <c r="AB470" s="6">
        <v>46</v>
      </c>
      <c r="AC470" s="7">
        <v>25</v>
      </c>
      <c r="AD470" s="7" t="s">
        <v>52</v>
      </c>
      <c r="AE470" s="9">
        <v>16.525487650009101</v>
      </c>
      <c r="AF470" s="76">
        <v>1255</v>
      </c>
      <c r="AG470" s="9">
        <v>35.829900645218203</v>
      </c>
      <c r="AH470" s="9">
        <v>19.065842381090501</v>
      </c>
      <c r="AI470" s="9">
        <v>27.3706157914351</v>
      </c>
      <c r="AJ470" s="9">
        <v>250.19225889832501</v>
      </c>
      <c r="AK470" s="9">
        <v>251.391538723493</v>
      </c>
      <c r="AL470" s="9">
        <v>319.13585873502501</v>
      </c>
      <c r="AM470" s="9">
        <v>35.829900645015599</v>
      </c>
      <c r="AN470" s="9">
        <v>1.43319602580062</v>
      </c>
      <c r="AO470" s="9">
        <v>1.8370576472414899</v>
      </c>
      <c r="AP470" s="9">
        <v>319.13585873502501</v>
      </c>
      <c r="AQ470" s="9">
        <v>12.765434349401</v>
      </c>
      <c r="AR470" s="9">
        <v>25.079268348667998</v>
      </c>
      <c r="AS470" s="8"/>
      <c r="AT470" s="8"/>
      <c r="AU470" s="10" t="s">
        <v>169</v>
      </c>
      <c r="AV470" s="10">
        <v>0</v>
      </c>
      <c r="AW470" s="8"/>
      <c r="AX470" s="8"/>
      <c r="AY470" s="8"/>
      <c r="AZ470" s="8"/>
      <c r="BA470" s="8"/>
      <c r="BB470" s="8"/>
      <c r="BC470" s="8"/>
      <c r="BD470" s="8"/>
      <c r="BE470" s="8"/>
      <c r="BF470" s="12">
        <v>0.37</v>
      </c>
      <c r="BG470" s="13">
        <v>205.65646629982899</v>
      </c>
      <c r="BH470" s="96" t="str">
        <f>+VLOOKUP(G470,Liste!$A$7:$G$50,3,FALSE)</f>
        <v>Epicéa</v>
      </c>
      <c r="BI470" s="96" t="str">
        <f>+VLOOKUP(H470,Liste!$B$7:$G$50,5,FALSE)</f>
        <v>GS Arc Jurassien</v>
      </c>
      <c r="BJ470" s="135">
        <f t="shared" si="148"/>
        <v>25</v>
      </c>
      <c r="BK470" s="135" t="str">
        <f t="shared" si="150"/>
        <v>Epicéa_Fbonne_Entree 16-17 m_GS Arc Jurassien_25_</v>
      </c>
      <c r="BL470" s="322"/>
      <c r="BM470" s="13">
        <v>54.386735678123301</v>
      </c>
      <c r="BN470" s="13">
        <v>260.04320197795198</v>
      </c>
      <c r="BP470" s="13">
        <v>238.5911201055597</v>
      </c>
      <c r="BQ470" s="13">
        <v>19.862134189642401</v>
      </c>
      <c r="BT470" s="298" t="str">
        <f>+VLOOKUP(G470,Liste!$A$7:$H$50,8,FALSE)</f>
        <v>Résineux</v>
      </c>
      <c r="BU470" s="298">
        <f t="shared" si="151"/>
        <v>0</v>
      </c>
      <c r="BV470" s="300">
        <f t="shared" si="152"/>
        <v>1</v>
      </c>
      <c r="BW470" s="321">
        <v>0</v>
      </c>
      <c r="BX470" s="298">
        <f t="shared" si="153"/>
        <v>0.43</v>
      </c>
      <c r="BY470">
        <f t="shared" si="165"/>
        <v>0</v>
      </c>
      <c r="BZ470" s="304">
        <f t="shared" si="154"/>
        <v>0</v>
      </c>
      <c r="CB470" s="299">
        <v>0.6</v>
      </c>
      <c r="CC470" s="299">
        <v>0.4</v>
      </c>
      <c r="CD470">
        <f t="shared" si="155"/>
        <v>0</v>
      </c>
      <c r="CE470">
        <f t="shared" si="156"/>
        <v>0</v>
      </c>
      <c r="CF470">
        <f t="shared" si="157"/>
        <v>0</v>
      </c>
      <c r="CG470">
        <f t="shared" si="158"/>
        <v>0</v>
      </c>
      <c r="CH470">
        <f t="shared" si="159"/>
        <v>0</v>
      </c>
      <c r="CI470">
        <f t="shared" si="160"/>
        <v>0</v>
      </c>
      <c r="CJ470">
        <f t="shared" si="161"/>
        <v>0</v>
      </c>
      <c r="CK470">
        <f t="shared" si="162"/>
        <v>0</v>
      </c>
      <c r="CL470">
        <f t="shared" si="163"/>
        <v>0</v>
      </c>
      <c r="CM470">
        <f t="shared" si="166"/>
        <v>0</v>
      </c>
      <c r="CN470">
        <f t="shared" si="164"/>
        <v>0</v>
      </c>
      <c r="CO470">
        <f t="shared" si="149"/>
        <v>0</v>
      </c>
    </row>
    <row r="471" spans="1:93" s="12" customFormat="1" ht="14.65" customHeight="1" x14ac:dyDescent="0.25">
      <c r="A471" s="4">
        <v>2021</v>
      </c>
      <c r="B471" s="4"/>
      <c r="C471" s="4" t="s">
        <v>68</v>
      </c>
      <c r="D471" s="4" t="s">
        <v>65</v>
      </c>
      <c r="E471" s="4" t="s">
        <v>188</v>
      </c>
      <c r="F471" s="4" t="s">
        <v>90</v>
      </c>
      <c r="G471" s="5" t="s">
        <v>182</v>
      </c>
      <c r="H471" s="5" t="s">
        <v>185</v>
      </c>
      <c r="I471" s="5" t="s">
        <v>183</v>
      </c>
      <c r="J471" s="5" t="s">
        <v>184</v>
      </c>
      <c r="K471" s="5">
        <v>28.5</v>
      </c>
      <c r="L471" s="5" t="s">
        <v>190</v>
      </c>
      <c r="M471" s="5">
        <v>1666</v>
      </c>
      <c r="N471" s="5" t="s">
        <v>171</v>
      </c>
      <c r="O471" s="6" t="s">
        <v>81</v>
      </c>
      <c r="P471" s="6" t="s">
        <v>186</v>
      </c>
      <c r="Q471" s="6"/>
      <c r="R471" s="6"/>
      <c r="S471" s="6">
        <v>25</v>
      </c>
      <c r="T471" s="6">
        <v>16.53</v>
      </c>
      <c r="U471" s="6">
        <v>1255</v>
      </c>
      <c r="V471" s="6">
        <v>35.83</v>
      </c>
      <c r="W471" s="6">
        <v>3</v>
      </c>
      <c r="X471" s="6">
        <v>181</v>
      </c>
      <c r="Y471" s="6">
        <v>304</v>
      </c>
      <c r="Z471" s="6">
        <v>527</v>
      </c>
      <c r="AA471" s="6">
        <v>194</v>
      </c>
      <c r="AB471" s="6">
        <v>46</v>
      </c>
      <c r="AC471" s="7">
        <v>25</v>
      </c>
      <c r="AD471" s="7" t="s">
        <v>53</v>
      </c>
      <c r="AE471" s="9">
        <v>16.525487650009101</v>
      </c>
      <c r="AF471" s="76">
        <v>875</v>
      </c>
      <c r="AG471" s="9">
        <v>26.349104742548299</v>
      </c>
      <c r="AH471" s="9">
        <v>19.580959301345001</v>
      </c>
      <c r="AI471" s="9">
        <v>26.268744410062599</v>
      </c>
      <c r="AJ471" s="9">
        <v>184.675613537</v>
      </c>
      <c r="AK471" s="9">
        <v>185.55716126607999</v>
      </c>
      <c r="AL471" s="9">
        <v>234.87479466077201</v>
      </c>
      <c r="AM471" s="9">
        <v>35.829900645015599</v>
      </c>
      <c r="AN471" s="9">
        <v>1.43319602580062</v>
      </c>
      <c r="AO471" s="9">
        <v>1.8370576472414899</v>
      </c>
      <c r="AP471" s="9">
        <v>319.13585873502501</v>
      </c>
      <c r="AQ471" s="9">
        <v>12.765434349401</v>
      </c>
      <c r="AR471" s="9">
        <v>25.079268348667998</v>
      </c>
      <c r="AS471" s="8">
        <v>380</v>
      </c>
      <c r="AT471" s="10">
        <v>9.4807959026699038</v>
      </c>
      <c r="AU471" s="10">
        <v>17.823199147859913</v>
      </c>
      <c r="AV471" s="10">
        <v>65.516645361325004</v>
      </c>
      <c r="AW471" s="10">
        <v>0.87389513724178602</v>
      </c>
      <c r="AX471" s="10">
        <v>0.17241222463506581</v>
      </c>
      <c r="AY471" s="10"/>
      <c r="AZ471" s="10"/>
      <c r="BA471" s="10"/>
      <c r="BB471" s="8"/>
      <c r="BC471" s="8"/>
      <c r="BD471" s="8"/>
      <c r="BE471" s="8"/>
      <c r="BF471" s="12">
        <v>0.37</v>
      </c>
      <c r="BG471" s="13">
        <v>151.35723225931301</v>
      </c>
      <c r="BH471" s="96" t="str">
        <f>+VLOOKUP(G471,Liste!$A$7:$G$50,3,FALSE)</f>
        <v>Epicéa</v>
      </c>
      <c r="BI471" s="96" t="str">
        <f>+VLOOKUP(H471,Liste!$B$7:$G$50,5,FALSE)</f>
        <v>GS Arc Jurassien</v>
      </c>
      <c r="BJ471" s="135">
        <f t="shared" si="148"/>
        <v>25</v>
      </c>
      <c r="BK471" s="135" t="str">
        <f t="shared" si="150"/>
        <v>Epicéa_Fbonne_Entree 16-17 m_GS Arc Jurassien_25_</v>
      </c>
      <c r="BL471" s="322"/>
      <c r="BM471" s="13">
        <v>41.481189657714602</v>
      </c>
      <c r="BN471" s="13">
        <v>192.83842191702701</v>
      </c>
      <c r="BO471" s="13">
        <v>67.204780060924975</v>
      </c>
      <c r="BP471" s="13">
        <v>238.5911201055597</v>
      </c>
      <c r="BQ471" s="13">
        <v>19.862134189642401</v>
      </c>
      <c r="BT471" s="298" t="str">
        <f>+VLOOKUP(G471,Liste!$A$7:$H$50,8,FALSE)</f>
        <v>Résineux</v>
      </c>
      <c r="BU471" s="298">
        <f t="shared" si="151"/>
        <v>0</v>
      </c>
      <c r="BV471" s="300">
        <f t="shared" si="152"/>
        <v>1</v>
      </c>
      <c r="BW471" s="321">
        <v>0</v>
      </c>
      <c r="BX471" s="298">
        <f t="shared" si="153"/>
        <v>0.43</v>
      </c>
      <c r="BY471">
        <f t="shared" si="165"/>
        <v>28.17215750536975</v>
      </c>
      <c r="BZ471" s="304">
        <f t="shared" si="154"/>
        <v>28.17215750536975</v>
      </c>
      <c r="CB471" s="299">
        <v>0.6</v>
      </c>
      <c r="CC471" s="299">
        <v>0.4</v>
      </c>
      <c r="CD471">
        <f t="shared" si="155"/>
        <v>0</v>
      </c>
      <c r="CE471">
        <f t="shared" si="156"/>
        <v>39.309987216795001</v>
      </c>
      <c r="CF471">
        <f t="shared" si="157"/>
        <v>26.206658144530003</v>
      </c>
      <c r="CG471">
        <f t="shared" si="158"/>
        <v>0</v>
      </c>
      <c r="CH471">
        <f t="shared" si="159"/>
        <v>25.332010928956308</v>
      </c>
      <c r="CI471">
        <f t="shared" si="160"/>
        <v>16.888007285970875</v>
      </c>
      <c r="CJ471">
        <f t="shared" si="161"/>
        <v>0</v>
      </c>
      <c r="CK471">
        <f t="shared" si="162"/>
        <v>0</v>
      </c>
      <c r="CL471">
        <f t="shared" si="163"/>
        <v>0</v>
      </c>
      <c r="CM471">
        <f t="shared" si="166"/>
        <v>0</v>
      </c>
      <c r="CN471">
        <f t="shared" si="164"/>
        <v>0</v>
      </c>
      <c r="CO471">
        <f t="shared" si="149"/>
        <v>0</v>
      </c>
    </row>
    <row r="472" spans="1:93" s="12" customFormat="1" ht="14.65" customHeight="1" x14ac:dyDescent="0.25">
      <c r="A472" s="4">
        <v>2021</v>
      </c>
      <c r="B472" s="4"/>
      <c r="C472" s="4" t="s">
        <v>68</v>
      </c>
      <c r="D472" s="4" t="s">
        <v>65</v>
      </c>
      <c r="E472" s="4" t="s">
        <v>188</v>
      </c>
      <c r="F472" s="4" t="s">
        <v>90</v>
      </c>
      <c r="G472" s="5" t="s">
        <v>182</v>
      </c>
      <c r="H472" s="5" t="s">
        <v>185</v>
      </c>
      <c r="I472" s="5" t="s">
        <v>183</v>
      </c>
      <c r="J472" s="5" t="s">
        <v>184</v>
      </c>
      <c r="K472" s="5">
        <v>28.5</v>
      </c>
      <c r="L472" s="5" t="s">
        <v>190</v>
      </c>
      <c r="M472" s="5">
        <v>1666</v>
      </c>
      <c r="N472" s="5" t="s">
        <v>171</v>
      </c>
      <c r="O472" s="6" t="s">
        <v>81</v>
      </c>
      <c r="P472" s="6" t="s">
        <v>186</v>
      </c>
      <c r="Q472" s="6"/>
      <c r="R472" s="6"/>
      <c r="S472" s="6">
        <v>25</v>
      </c>
      <c r="T472" s="6">
        <v>16.53</v>
      </c>
      <c r="U472" s="6">
        <v>1255</v>
      </c>
      <c r="V472" s="6">
        <v>35.83</v>
      </c>
      <c r="W472" s="6">
        <v>3</v>
      </c>
      <c r="X472" s="6">
        <v>181</v>
      </c>
      <c r="Y472" s="6">
        <v>304</v>
      </c>
      <c r="Z472" s="6">
        <v>527</v>
      </c>
      <c r="AA472" s="6">
        <v>194</v>
      </c>
      <c r="AB472" s="6">
        <v>46</v>
      </c>
      <c r="AC472" s="7">
        <v>30</v>
      </c>
      <c r="AD472" s="7" t="s">
        <v>52</v>
      </c>
      <c r="AE472" s="9">
        <v>19.510646822631799</v>
      </c>
      <c r="AF472" s="76">
        <v>875</v>
      </c>
      <c r="AG472" s="9">
        <v>35.534392978135799</v>
      </c>
      <c r="AH472" s="9">
        <v>22.739215802013401</v>
      </c>
      <c r="AI472" s="9">
        <v>30.788965986174698</v>
      </c>
      <c r="AJ472" s="9">
        <v>296.64489453465598</v>
      </c>
      <c r="AK472" s="9">
        <v>297.99997390379599</v>
      </c>
      <c r="AL472" s="9">
        <v>360.27113640411301</v>
      </c>
      <c r="AM472" s="9">
        <v>45.015188881222997</v>
      </c>
      <c r="AN472" s="9">
        <v>1.50050629604077</v>
      </c>
      <c r="AO472" s="9">
        <v>1.7149401751064199</v>
      </c>
      <c r="AP472" s="9">
        <v>444.53220047836498</v>
      </c>
      <c r="AQ472" s="9">
        <v>14.8177400159455</v>
      </c>
      <c r="AR472" s="9">
        <v>25.6669062016637</v>
      </c>
      <c r="AS472" s="8" t="s">
        <v>169</v>
      </c>
      <c r="AT472" s="10" t="s">
        <v>169</v>
      </c>
      <c r="AU472" s="10" t="s">
        <v>169</v>
      </c>
      <c r="AV472" s="10">
        <v>0</v>
      </c>
      <c r="AW472" s="10"/>
      <c r="AX472" s="10" t="s">
        <v>169</v>
      </c>
      <c r="AY472" s="10"/>
      <c r="AZ472" s="10"/>
      <c r="BA472" s="10"/>
      <c r="BB472" s="8"/>
      <c r="BC472" s="8"/>
      <c r="BD472" s="8"/>
      <c r="BE472" s="8"/>
      <c r="BF472" s="12">
        <v>0.37</v>
      </c>
      <c r="BG472" s="13">
        <v>232.16472481775</v>
      </c>
      <c r="BH472" s="96" t="str">
        <f>+VLOOKUP(G472,Liste!$A$7:$G$50,3,FALSE)</f>
        <v>Epicéa</v>
      </c>
      <c r="BI472" s="96" t="str">
        <f>+VLOOKUP(H472,Liste!$B$7:$G$50,5,FALSE)</f>
        <v>GS Arc Jurassien</v>
      </c>
      <c r="BJ472" s="135">
        <f t="shared" si="148"/>
        <v>30</v>
      </c>
      <c r="BK472" s="135" t="str">
        <f t="shared" si="150"/>
        <v>Epicéa_Fbonne_Entree 16-17 m_GS Arc Jurassien_30_</v>
      </c>
      <c r="BL472" s="322"/>
      <c r="BM472" s="13">
        <v>60.536589139881599</v>
      </c>
      <c r="BN472" s="13">
        <v>292.70131395763201</v>
      </c>
      <c r="BO472" s="13" t="s">
        <v>169</v>
      </c>
      <c r="BP472" s="13">
        <v>238.5911201055597</v>
      </c>
      <c r="BQ472" s="13">
        <v>20.192127440002398</v>
      </c>
      <c r="BT472" s="298" t="str">
        <f>+VLOOKUP(G472,Liste!$A$7:$H$50,8,FALSE)</f>
        <v>Résineux</v>
      </c>
      <c r="BU472" s="298">
        <f t="shared" si="151"/>
        <v>0</v>
      </c>
      <c r="BV472" s="300">
        <f t="shared" si="152"/>
        <v>1</v>
      </c>
      <c r="BW472" s="321">
        <v>0</v>
      </c>
      <c r="BX472" s="298">
        <f t="shared" si="153"/>
        <v>0.43</v>
      </c>
      <c r="BY472">
        <f t="shared" si="165"/>
        <v>0</v>
      </c>
      <c r="BZ472" s="304">
        <f t="shared" si="154"/>
        <v>28.17215750536975</v>
      </c>
      <c r="CB472" s="299">
        <v>0.6</v>
      </c>
      <c r="CC472" s="299">
        <v>0.4</v>
      </c>
      <c r="CD472">
        <f t="shared" si="155"/>
        <v>0</v>
      </c>
      <c r="CE472">
        <f t="shared" si="156"/>
        <v>0</v>
      </c>
      <c r="CF472">
        <f t="shared" si="157"/>
        <v>0</v>
      </c>
      <c r="CG472">
        <f t="shared" si="158"/>
        <v>0</v>
      </c>
      <c r="CH472">
        <f t="shared" si="159"/>
        <v>0</v>
      </c>
      <c r="CI472">
        <f t="shared" si="160"/>
        <v>0</v>
      </c>
      <c r="CJ472">
        <f t="shared" si="161"/>
        <v>0</v>
      </c>
      <c r="CK472">
        <f t="shared" si="162"/>
        <v>24.984057875171608</v>
      </c>
      <c r="CL472">
        <f t="shared" si="163"/>
        <v>14.272243910267971</v>
      </c>
      <c r="CM472">
        <f t="shared" si="166"/>
        <v>39.256301785439575</v>
      </c>
      <c r="CN472">
        <f t="shared" si="164"/>
        <v>39.256301785439575</v>
      </c>
      <c r="CO472">
        <f t="shared" si="149"/>
        <v>1.3085433928479859</v>
      </c>
    </row>
    <row r="473" spans="1:93" s="12" customFormat="1" ht="14.65" customHeight="1" x14ac:dyDescent="0.25">
      <c r="A473" s="4">
        <v>2021</v>
      </c>
      <c r="B473" s="4"/>
      <c r="C473" s="4" t="s">
        <v>68</v>
      </c>
      <c r="D473" s="4" t="s">
        <v>65</v>
      </c>
      <c r="E473" s="4" t="s">
        <v>188</v>
      </c>
      <c r="F473" s="4" t="s">
        <v>90</v>
      </c>
      <c r="G473" s="5" t="s">
        <v>182</v>
      </c>
      <c r="H473" s="5" t="s">
        <v>185</v>
      </c>
      <c r="I473" s="5" t="s">
        <v>183</v>
      </c>
      <c r="J473" s="5" t="s">
        <v>184</v>
      </c>
      <c r="K473" s="5">
        <v>28.5</v>
      </c>
      <c r="L473" s="5" t="s">
        <v>190</v>
      </c>
      <c r="M473" s="5">
        <v>1666</v>
      </c>
      <c r="N473" s="5" t="s">
        <v>171</v>
      </c>
      <c r="O473" s="6" t="s">
        <v>81</v>
      </c>
      <c r="P473" s="6" t="s">
        <v>186</v>
      </c>
      <c r="Q473" s="6"/>
      <c r="R473" s="6"/>
      <c r="S473" s="6">
        <v>25</v>
      </c>
      <c r="T473" s="6">
        <v>16.53</v>
      </c>
      <c r="U473" s="6">
        <v>1255</v>
      </c>
      <c r="V473" s="6">
        <v>35.83</v>
      </c>
      <c r="W473" s="6">
        <v>3</v>
      </c>
      <c r="X473" s="6">
        <v>181</v>
      </c>
      <c r="Y473" s="6">
        <v>304</v>
      </c>
      <c r="Z473" s="6">
        <v>527</v>
      </c>
      <c r="AA473" s="6">
        <v>194</v>
      </c>
      <c r="AB473" s="6">
        <v>46</v>
      </c>
      <c r="AC473" s="7">
        <v>30</v>
      </c>
      <c r="AD473" s="7" t="s">
        <v>53</v>
      </c>
      <c r="AE473" s="9">
        <v>19.510646822631799</v>
      </c>
      <c r="AF473" s="76">
        <v>625</v>
      </c>
      <c r="AG473" s="9">
        <v>27.317932774447701</v>
      </c>
      <c r="AH473" s="9">
        <v>23.590598903408502</v>
      </c>
      <c r="AI473" s="9">
        <v>29.298476486228001</v>
      </c>
      <c r="AJ473" s="9">
        <v>228.85177117748199</v>
      </c>
      <c r="AK473" s="9">
        <v>229.916748829943</v>
      </c>
      <c r="AL473" s="9">
        <v>277.43011976460798</v>
      </c>
      <c r="AM473" s="9">
        <v>45.015188881222997</v>
      </c>
      <c r="AN473" s="9">
        <v>1.50050629604077</v>
      </c>
      <c r="AO473" s="9">
        <v>1.7149401751064199</v>
      </c>
      <c r="AP473" s="9">
        <v>444.53220047836498</v>
      </c>
      <c r="AQ473" s="9">
        <v>14.8177400159455</v>
      </c>
      <c r="AR473" s="9">
        <v>25.6669062016637</v>
      </c>
      <c r="AS473" s="8">
        <v>250</v>
      </c>
      <c r="AT473" s="10">
        <v>8.2164602036880972</v>
      </c>
      <c r="AU473" s="10">
        <v>20.456316431927245</v>
      </c>
      <c r="AV473" s="10">
        <v>67.793123357173982</v>
      </c>
      <c r="AW473" s="10">
        <v>0.80928948837265535</v>
      </c>
      <c r="AX473" s="10">
        <v>0.27117249342869593</v>
      </c>
      <c r="AY473" s="10"/>
      <c r="AZ473" s="10"/>
      <c r="BA473" s="10"/>
      <c r="BB473" s="8"/>
      <c r="BC473" s="8"/>
      <c r="BD473" s="8"/>
      <c r="BE473" s="8"/>
      <c r="BF473" s="12">
        <v>0.37</v>
      </c>
      <c r="BG473" s="13">
        <v>178.78059301164299</v>
      </c>
      <c r="BH473" s="96" t="str">
        <f>+VLOOKUP(G473,Liste!$A$7:$G$50,3,FALSE)</f>
        <v>Epicéa</v>
      </c>
      <c r="BI473" s="96" t="str">
        <f>+VLOOKUP(H473,Liste!$B$7:$G$50,5,FALSE)</f>
        <v>GS Arc Jurassien</v>
      </c>
      <c r="BJ473" s="135">
        <f t="shared" si="148"/>
        <v>30</v>
      </c>
      <c r="BK473" s="135" t="str">
        <f t="shared" si="150"/>
        <v>Epicéa_Fbonne_Entree 16-17 m_GS Arc Jurassien_30_</v>
      </c>
      <c r="BL473" s="322"/>
      <c r="BM473" s="13">
        <v>48.056338445599899</v>
      </c>
      <c r="BN473" s="13">
        <v>226.836931457242</v>
      </c>
      <c r="BO473" s="13">
        <v>65.864382500390008</v>
      </c>
      <c r="BP473" s="13">
        <v>238.5911201055597</v>
      </c>
      <c r="BQ473" s="13">
        <v>20.192127440002398</v>
      </c>
      <c r="BT473" s="298" t="str">
        <f>+VLOOKUP(G473,Liste!$A$7:$H$50,8,FALSE)</f>
        <v>Résineux</v>
      </c>
      <c r="BU473" s="298">
        <f t="shared" si="151"/>
        <v>0</v>
      </c>
      <c r="BV473" s="300">
        <f t="shared" si="152"/>
        <v>1</v>
      </c>
      <c r="BW473" s="321">
        <v>0</v>
      </c>
      <c r="BX473" s="298">
        <f t="shared" si="153"/>
        <v>0.43</v>
      </c>
      <c r="BY473">
        <f t="shared" si="165"/>
        <v>29.151043043584814</v>
      </c>
      <c r="BZ473" s="304">
        <f t="shared" si="154"/>
        <v>57.32320054895456</v>
      </c>
      <c r="CB473" s="299">
        <v>0.6</v>
      </c>
      <c r="CC473" s="299">
        <v>0.4</v>
      </c>
      <c r="CD473">
        <f t="shared" si="155"/>
        <v>0</v>
      </c>
      <c r="CE473">
        <f t="shared" si="156"/>
        <v>40.675874014304391</v>
      </c>
      <c r="CF473">
        <f t="shared" si="157"/>
        <v>27.117249342869595</v>
      </c>
      <c r="CG473">
        <f t="shared" si="158"/>
        <v>0</v>
      </c>
      <c r="CH473">
        <f t="shared" si="159"/>
        <v>26.212211146051317</v>
      </c>
      <c r="CI473">
        <f t="shared" si="160"/>
        <v>17.474807430700878</v>
      </c>
      <c r="CJ473">
        <f t="shared" si="161"/>
        <v>0</v>
      </c>
      <c r="CK473">
        <f t="shared" si="162"/>
        <v>24.300867498720539</v>
      </c>
      <c r="CL473">
        <f t="shared" si="163"/>
        <v>10.09200045169889</v>
      </c>
      <c r="CM473">
        <f t="shared" si="166"/>
        <v>34.392867950419429</v>
      </c>
      <c r="CN473">
        <f t="shared" si="164"/>
        <v>73.649169735859005</v>
      </c>
      <c r="CO473">
        <f t="shared" si="149"/>
        <v>2.4549723245286335</v>
      </c>
    </row>
    <row r="474" spans="1:93" s="12" customFormat="1" ht="14.65" customHeight="1" x14ac:dyDescent="0.25">
      <c r="A474" s="4">
        <v>2021</v>
      </c>
      <c r="B474" s="4"/>
      <c r="C474" s="4" t="s">
        <v>68</v>
      </c>
      <c r="D474" s="4" t="s">
        <v>65</v>
      </c>
      <c r="E474" s="4" t="s">
        <v>188</v>
      </c>
      <c r="F474" s="4" t="s">
        <v>90</v>
      </c>
      <c r="G474" s="5" t="s">
        <v>182</v>
      </c>
      <c r="H474" s="5" t="s">
        <v>185</v>
      </c>
      <c r="I474" s="5" t="s">
        <v>183</v>
      </c>
      <c r="J474" s="5" t="s">
        <v>184</v>
      </c>
      <c r="K474" s="5">
        <v>28.5</v>
      </c>
      <c r="L474" s="5" t="s">
        <v>190</v>
      </c>
      <c r="M474" s="5">
        <v>1666</v>
      </c>
      <c r="N474" s="5" t="s">
        <v>171</v>
      </c>
      <c r="O474" s="6" t="s">
        <v>81</v>
      </c>
      <c r="P474" s="6" t="s">
        <v>186</v>
      </c>
      <c r="Q474" s="6"/>
      <c r="R474" s="6"/>
      <c r="S474" s="6">
        <v>25</v>
      </c>
      <c r="T474" s="6">
        <v>16.53</v>
      </c>
      <c r="U474" s="6">
        <v>1255</v>
      </c>
      <c r="V474" s="6">
        <v>35.83</v>
      </c>
      <c r="W474" s="6">
        <v>3</v>
      </c>
      <c r="X474" s="6">
        <v>181</v>
      </c>
      <c r="Y474" s="6">
        <v>304</v>
      </c>
      <c r="Z474" s="6">
        <v>527</v>
      </c>
      <c r="AA474" s="6">
        <v>194</v>
      </c>
      <c r="AB474" s="6">
        <v>46</v>
      </c>
      <c r="AC474" s="7">
        <v>36</v>
      </c>
      <c r="AD474" s="7" t="s">
        <v>52</v>
      </c>
      <c r="AE474" s="9">
        <v>22.686495405848</v>
      </c>
      <c r="AF474" s="76">
        <v>625</v>
      </c>
      <c r="AG474" s="9">
        <v>37.607573825015699</v>
      </c>
      <c r="AH474" s="9">
        <v>27.6791474364531</v>
      </c>
      <c r="AI474" s="9">
        <v>34.648972907742703</v>
      </c>
      <c r="AJ474" s="9">
        <v>368.60655366461998</v>
      </c>
      <c r="AK474" s="9">
        <v>370.27544316279398</v>
      </c>
      <c r="AL474" s="9">
        <v>431.43155697459002</v>
      </c>
      <c r="AM474" s="9">
        <v>55.304829931861498</v>
      </c>
      <c r="AN474" s="9">
        <v>1.53624527588504</v>
      </c>
      <c r="AO474" s="9">
        <v>1.5585827907555201</v>
      </c>
      <c r="AP474" s="9">
        <v>598.53363768834697</v>
      </c>
      <c r="AQ474" s="9">
        <v>16.6259343802319</v>
      </c>
      <c r="AR474" s="9">
        <v>25.135609189657099</v>
      </c>
      <c r="AS474" s="8" t="s">
        <v>169</v>
      </c>
      <c r="AT474" s="10" t="s">
        <v>169</v>
      </c>
      <c r="AU474" s="10" t="s">
        <v>169</v>
      </c>
      <c r="AV474" s="10">
        <v>0</v>
      </c>
      <c r="AW474" s="10"/>
      <c r="AX474" s="10" t="s">
        <v>169</v>
      </c>
      <c r="AY474" s="10"/>
      <c r="AZ474" s="10"/>
      <c r="BA474" s="10"/>
      <c r="BB474" s="8"/>
      <c r="BC474" s="8"/>
      <c r="BD474" s="8"/>
      <c r="BE474" s="8"/>
      <c r="BF474" s="12">
        <v>0.37</v>
      </c>
      <c r="BG474" s="13">
        <v>278.02168584037503</v>
      </c>
      <c r="BH474" s="96" t="str">
        <f>+VLOOKUP(G474,Liste!$A$7:$G$50,3,FALSE)</f>
        <v>Epicéa</v>
      </c>
      <c r="BI474" s="96" t="str">
        <f>+VLOOKUP(H474,Liste!$B$7:$G$50,5,FALSE)</f>
        <v>GS Arc Jurassien</v>
      </c>
      <c r="BJ474" s="135">
        <f t="shared" si="148"/>
        <v>36</v>
      </c>
      <c r="BK474" s="135" t="str">
        <f t="shared" si="150"/>
        <v>Epicéa_Fbonne_Entree 16-17 m_GS Arc Jurassien_36_</v>
      </c>
      <c r="BL474" s="322"/>
      <c r="BM474" s="13">
        <v>70.988550827478804</v>
      </c>
      <c r="BN474" s="13">
        <v>349.01023666785397</v>
      </c>
      <c r="BO474" s="13" t="s">
        <v>169</v>
      </c>
      <c r="BP474" s="13">
        <v>238.5911201055597</v>
      </c>
      <c r="BQ474" s="13">
        <v>19.6683047297971</v>
      </c>
      <c r="BT474" s="298" t="str">
        <f>+VLOOKUP(G474,Liste!$A$7:$H$50,8,FALSE)</f>
        <v>Résineux</v>
      </c>
      <c r="BU474" s="298">
        <f t="shared" si="151"/>
        <v>0</v>
      </c>
      <c r="BV474" s="300">
        <f t="shared" si="152"/>
        <v>1</v>
      </c>
      <c r="BW474" s="321">
        <v>0</v>
      </c>
      <c r="BX474" s="298">
        <f t="shared" si="153"/>
        <v>0.43</v>
      </c>
      <c r="BY474">
        <f t="shared" si="165"/>
        <v>0</v>
      </c>
      <c r="BZ474" s="304">
        <f t="shared" si="154"/>
        <v>0</v>
      </c>
      <c r="CB474" s="299">
        <v>0.6</v>
      </c>
      <c r="CC474" s="299">
        <v>0.4</v>
      </c>
      <c r="CD474">
        <f t="shared" si="155"/>
        <v>0</v>
      </c>
      <c r="CE474">
        <f t="shared" si="156"/>
        <v>0</v>
      </c>
      <c r="CF474">
        <f t="shared" si="157"/>
        <v>0</v>
      </c>
      <c r="CG474">
        <f t="shared" si="158"/>
        <v>0</v>
      </c>
      <c r="CH474">
        <f t="shared" si="159"/>
        <v>0</v>
      </c>
      <c r="CI474">
        <f t="shared" si="160"/>
        <v>0</v>
      </c>
      <c r="CJ474">
        <f t="shared" si="161"/>
        <v>0</v>
      </c>
      <c r="CK474">
        <f t="shared" si="162"/>
        <v>0</v>
      </c>
      <c r="CL474">
        <f t="shared" si="163"/>
        <v>0</v>
      </c>
      <c r="CM474">
        <f t="shared" si="166"/>
        <v>0</v>
      </c>
      <c r="CN474">
        <f t="shared" si="164"/>
        <v>0</v>
      </c>
      <c r="CO474">
        <f t="shared" si="149"/>
        <v>0</v>
      </c>
    </row>
    <row r="475" spans="1:93" s="12" customFormat="1" ht="14.65" customHeight="1" x14ac:dyDescent="0.25">
      <c r="A475" s="4">
        <v>2021</v>
      </c>
      <c r="B475" s="4"/>
      <c r="C475" s="4" t="s">
        <v>68</v>
      </c>
      <c r="D475" s="4" t="s">
        <v>65</v>
      </c>
      <c r="E475" s="4" t="s">
        <v>188</v>
      </c>
      <c r="F475" s="4" t="s">
        <v>90</v>
      </c>
      <c r="G475" s="5" t="s">
        <v>182</v>
      </c>
      <c r="H475" s="5" t="s">
        <v>185</v>
      </c>
      <c r="I475" s="5" t="s">
        <v>183</v>
      </c>
      <c r="J475" s="5" t="s">
        <v>184</v>
      </c>
      <c r="K475" s="5">
        <v>28.5</v>
      </c>
      <c r="L475" s="5" t="s">
        <v>190</v>
      </c>
      <c r="M475" s="5">
        <v>1666</v>
      </c>
      <c r="N475" s="5" t="s">
        <v>171</v>
      </c>
      <c r="O475" s="6" t="s">
        <v>81</v>
      </c>
      <c r="P475" s="6" t="s">
        <v>186</v>
      </c>
      <c r="Q475" s="6"/>
      <c r="R475" s="6"/>
      <c r="S475" s="6">
        <v>25</v>
      </c>
      <c r="T475" s="6">
        <v>16.53</v>
      </c>
      <c r="U475" s="6">
        <v>1255</v>
      </c>
      <c r="V475" s="6">
        <v>35.83</v>
      </c>
      <c r="W475" s="6">
        <v>3</v>
      </c>
      <c r="X475" s="6">
        <v>181</v>
      </c>
      <c r="Y475" s="6">
        <v>304</v>
      </c>
      <c r="Z475" s="6">
        <v>527</v>
      </c>
      <c r="AA475" s="6">
        <v>194</v>
      </c>
      <c r="AB475" s="6">
        <v>46</v>
      </c>
      <c r="AC475" s="7">
        <v>36</v>
      </c>
      <c r="AD475" s="7" t="s">
        <v>53</v>
      </c>
      <c r="AE475" s="9">
        <v>22.686495405848</v>
      </c>
      <c r="AF475" s="76">
        <v>456</v>
      </c>
      <c r="AG475" s="9">
        <v>28.142409315658199</v>
      </c>
      <c r="AH475" s="9">
        <v>28.031947792394099</v>
      </c>
      <c r="AI475" s="9">
        <v>34.163235289709</v>
      </c>
      <c r="AJ475" s="9">
        <v>276.16147985023701</v>
      </c>
      <c r="AK475" s="9">
        <v>277.42692597802102</v>
      </c>
      <c r="AL475" s="9">
        <v>323.16707463089602</v>
      </c>
      <c r="AM475" s="9">
        <v>55.304829931861498</v>
      </c>
      <c r="AN475" s="9">
        <v>1.53624527588504</v>
      </c>
      <c r="AO475" s="9">
        <v>1.5585827907555201</v>
      </c>
      <c r="AP475" s="9">
        <v>598.53363768834697</v>
      </c>
      <c r="AQ475" s="9">
        <v>16.6259343802319</v>
      </c>
      <c r="AR475" s="9">
        <v>25.135609189657099</v>
      </c>
      <c r="AS475" s="8">
        <v>169</v>
      </c>
      <c r="AT475" s="10">
        <v>9.4651645093574999</v>
      </c>
      <c r="AU475" s="10">
        <v>26.703967471929698</v>
      </c>
      <c r="AV475" s="10">
        <v>92.445073814382965</v>
      </c>
      <c r="AW475" s="10">
        <v>0.93077811348102668</v>
      </c>
      <c r="AX475" s="10">
        <v>0.54701227109102346</v>
      </c>
      <c r="AY475" s="10"/>
      <c r="AZ475" s="10"/>
      <c r="BA475" s="10"/>
      <c r="BB475" s="8"/>
      <c r="BC475" s="8"/>
      <c r="BD475" s="8"/>
      <c r="BE475" s="8"/>
      <c r="BF475" s="12">
        <v>0.37</v>
      </c>
      <c r="BG475" s="13">
        <v>208.25424901005999</v>
      </c>
      <c r="BH475" s="96" t="str">
        <f>+VLOOKUP(G475,Liste!$A$7:$G$50,3,FALSE)</f>
        <v>Epicéa</v>
      </c>
      <c r="BI475" s="96" t="str">
        <f>+VLOOKUP(H475,Liste!$B$7:$G$50,5,FALSE)</f>
        <v>GS Arc Jurassien</v>
      </c>
      <c r="BJ475" s="135">
        <f t="shared" si="148"/>
        <v>36</v>
      </c>
      <c r="BK475" s="135" t="str">
        <f t="shared" si="150"/>
        <v>Epicéa_Fbonne_Entree 16-17 m_GS Arc Jurassien_36_</v>
      </c>
      <c r="BL475" s="322"/>
      <c r="BM475" s="13">
        <v>54.993320096787997</v>
      </c>
      <c r="BN475" s="13">
        <v>263.247569106848</v>
      </c>
      <c r="BO475" s="13">
        <v>85.762667561005969</v>
      </c>
      <c r="BP475" s="13">
        <v>238.5911201055597</v>
      </c>
      <c r="BQ475" s="13">
        <v>19.6683047297971</v>
      </c>
      <c r="BT475" s="298" t="str">
        <f>+VLOOKUP(G475,Liste!$A$7:$H$50,8,FALSE)</f>
        <v>Résineux</v>
      </c>
      <c r="BU475" s="298">
        <f t="shared" si="151"/>
        <v>0</v>
      </c>
      <c r="BV475" s="300">
        <f t="shared" si="152"/>
        <v>1</v>
      </c>
      <c r="BW475" s="321">
        <v>0</v>
      </c>
      <c r="BX475" s="298">
        <f t="shared" si="153"/>
        <v>0.43</v>
      </c>
      <c r="BY475">
        <f t="shared" si="165"/>
        <v>0</v>
      </c>
      <c r="BZ475" s="304">
        <f t="shared" si="154"/>
        <v>0</v>
      </c>
      <c r="CB475" s="299">
        <v>0.6</v>
      </c>
      <c r="CC475" s="299">
        <v>0.4</v>
      </c>
      <c r="CD475">
        <f t="shared" si="155"/>
        <v>0</v>
      </c>
      <c r="CE475">
        <f t="shared" si="156"/>
        <v>0</v>
      </c>
      <c r="CF475">
        <f t="shared" si="157"/>
        <v>0</v>
      </c>
      <c r="CG475">
        <f t="shared" si="158"/>
        <v>0</v>
      </c>
      <c r="CH475">
        <f t="shared" si="159"/>
        <v>0</v>
      </c>
      <c r="CI475">
        <f t="shared" si="160"/>
        <v>0</v>
      </c>
      <c r="CJ475">
        <f t="shared" si="161"/>
        <v>0</v>
      </c>
      <c r="CK475">
        <f t="shared" si="162"/>
        <v>0</v>
      </c>
      <c r="CL475">
        <f t="shared" si="163"/>
        <v>0</v>
      </c>
      <c r="CM475">
        <f t="shared" si="166"/>
        <v>0</v>
      </c>
      <c r="CN475">
        <f t="shared" si="164"/>
        <v>0</v>
      </c>
      <c r="CO475">
        <f t="shared" si="149"/>
        <v>0</v>
      </c>
    </row>
    <row r="476" spans="1:93" s="12" customFormat="1" ht="14.65" customHeight="1" x14ac:dyDescent="0.25">
      <c r="A476" s="4">
        <v>2021</v>
      </c>
      <c r="B476" s="4"/>
      <c r="C476" s="4" t="s">
        <v>68</v>
      </c>
      <c r="D476" s="4" t="s">
        <v>65</v>
      </c>
      <c r="E476" s="4" t="s">
        <v>188</v>
      </c>
      <c r="F476" s="4" t="s">
        <v>90</v>
      </c>
      <c r="G476" s="5" t="s">
        <v>182</v>
      </c>
      <c r="H476" s="5" t="s">
        <v>185</v>
      </c>
      <c r="I476" s="5" t="s">
        <v>183</v>
      </c>
      <c r="J476" s="5" t="s">
        <v>184</v>
      </c>
      <c r="K476" s="5">
        <v>28.5</v>
      </c>
      <c r="L476" s="5" t="s">
        <v>190</v>
      </c>
      <c r="M476" s="5">
        <v>1666</v>
      </c>
      <c r="N476" s="5" t="s">
        <v>171</v>
      </c>
      <c r="O476" s="6" t="s">
        <v>81</v>
      </c>
      <c r="P476" s="6" t="s">
        <v>186</v>
      </c>
      <c r="Q476" s="6"/>
      <c r="R476" s="6"/>
      <c r="S476" s="6">
        <v>25</v>
      </c>
      <c r="T476" s="6">
        <v>16.53</v>
      </c>
      <c r="U476" s="6">
        <v>1255</v>
      </c>
      <c r="V476" s="6">
        <v>35.83</v>
      </c>
      <c r="W476" s="6">
        <v>3</v>
      </c>
      <c r="X476" s="6">
        <v>181</v>
      </c>
      <c r="Y476" s="6">
        <v>304</v>
      </c>
      <c r="Z476" s="6">
        <v>527</v>
      </c>
      <c r="AA476" s="6">
        <v>194</v>
      </c>
      <c r="AB476" s="6">
        <v>46</v>
      </c>
      <c r="AC476" s="7">
        <v>42</v>
      </c>
      <c r="AD476" s="7" t="s">
        <v>52</v>
      </c>
      <c r="AE476" s="9">
        <v>25.4367017744351</v>
      </c>
      <c r="AF476" s="76">
        <v>456</v>
      </c>
      <c r="AG476" s="9">
        <v>37.493906060347001</v>
      </c>
      <c r="AH476" s="9">
        <v>32.355862521823198</v>
      </c>
      <c r="AI476" s="9">
        <v>39.659410674520799</v>
      </c>
      <c r="AJ476" s="9">
        <v>414.64752208644001</v>
      </c>
      <c r="AK476" s="9">
        <v>416.51775547111401</v>
      </c>
      <c r="AL476" s="9">
        <v>473.98072976883901</v>
      </c>
      <c r="AM476" s="9">
        <v>64.656326676394698</v>
      </c>
      <c r="AN476" s="9">
        <v>1.5394363494379699</v>
      </c>
      <c r="AO476" s="9">
        <v>1.3949291993562101</v>
      </c>
      <c r="AP476" s="9">
        <v>749.34729282628996</v>
      </c>
      <c r="AQ476" s="9">
        <v>17.841602210149802</v>
      </c>
      <c r="AR476" s="9">
        <v>24.038152526906298</v>
      </c>
      <c r="AS476" s="8" t="s">
        <v>169</v>
      </c>
      <c r="AT476" s="10" t="s">
        <v>169</v>
      </c>
      <c r="AU476" s="10" t="s">
        <v>169</v>
      </c>
      <c r="AV476" s="10">
        <v>0</v>
      </c>
      <c r="AW476" s="10"/>
      <c r="AX476" s="10" t="s">
        <v>169</v>
      </c>
      <c r="AY476" s="10"/>
      <c r="AZ476" s="10"/>
      <c r="BA476" s="10"/>
      <c r="BB476" s="8"/>
      <c r="BC476" s="8"/>
      <c r="BD476" s="8"/>
      <c r="BE476" s="8"/>
      <c r="BF476" s="12">
        <v>0.37</v>
      </c>
      <c r="BG476" s="13">
        <v>305.44108194186998</v>
      </c>
      <c r="BH476" s="96" t="str">
        <f>+VLOOKUP(G476,Liste!$A$7:$G$50,3,FALSE)</f>
        <v>Epicéa</v>
      </c>
      <c r="BI476" s="96" t="str">
        <f>+VLOOKUP(H476,Liste!$B$7:$G$50,5,FALSE)</f>
        <v>GS Arc Jurassien</v>
      </c>
      <c r="BJ476" s="135">
        <f t="shared" si="148"/>
        <v>42</v>
      </c>
      <c r="BK476" s="135" t="str">
        <f t="shared" si="150"/>
        <v>Epicéa_Fbonne_Entree 16-17 m_GS Arc Jurassien_42_</v>
      </c>
      <c r="BL476" s="322"/>
      <c r="BM476" s="13">
        <v>77.140471641790498</v>
      </c>
      <c r="BN476" s="13">
        <v>382.58155358366002</v>
      </c>
      <c r="BO476" s="13" t="s">
        <v>169</v>
      </c>
      <c r="BP476" s="13">
        <v>238.5911201055597</v>
      </c>
      <c r="BQ476" s="13">
        <v>18.733621181569699</v>
      </c>
      <c r="BT476" s="298" t="str">
        <f>+VLOOKUP(G476,Liste!$A$7:$H$50,8,FALSE)</f>
        <v>Résineux</v>
      </c>
      <c r="BU476" s="298">
        <f t="shared" si="151"/>
        <v>0</v>
      </c>
      <c r="BV476" s="300">
        <f t="shared" si="152"/>
        <v>1</v>
      </c>
      <c r="BW476" s="321">
        <v>0</v>
      </c>
      <c r="BX476" s="298">
        <f t="shared" si="153"/>
        <v>0.43</v>
      </c>
      <c r="BY476">
        <f t="shared" si="165"/>
        <v>0</v>
      </c>
      <c r="BZ476" s="304">
        <f t="shared" si="154"/>
        <v>0</v>
      </c>
      <c r="CB476" s="299">
        <v>0.6</v>
      </c>
      <c r="CC476" s="299">
        <v>0.4</v>
      </c>
      <c r="CD476">
        <f t="shared" si="155"/>
        <v>0</v>
      </c>
      <c r="CE476">
        <f t="shared" si="156"/>
        <v>0</v>
      </c>
      <c r="CF476">
        <f t="shared" si="157"/>
        <v>0</v>
      </c>
      <c r="CG476">
        <f t="shared" si="158"/>
        <v>0</v>
      </c>
      <c r="CH476">
        <f t="shared" si="159"/>
        <v>0</v>
      </c>
      <c r="CI476">
        <f t="shared" si="160"/>
        <v>0</v>
      </c>
      <c r="CJ476">
        <f t="shared" si="161"/>
        <v>0</v>
      </c>
      <c r="CK476">
        <f t="shared" si="162"/>
        <v>0</v>
      </c>
      <c r="CL476">
        <f t="shared" si="163"/>
        <v>0</v>
      </c>
      <c r="CM476">
        <f t="shared" si="166"/>
        <v>0</v>
      </c>
      <c r="CN476">
        <f t="shared" si="164"/>
        <v>0</v>
      </c>
      <c r="CO476">
        <f t="shared" si="149"/>
        <v>0</v>
      </c>
    </row>
    <row r="477" spans="1:93" s="12" customFormat="1" ht="14.65" customHeight="1" x14ac:dyDescent="0.25">
      <c r="A477" s="4">
        <v>2021</v>
      </c>
      <c r="B477" s="4"/>
      <c r="C477" s="4" t="s">
        <v>68</v>
      </c>
      <c r="D477" s="4" t="s">
        <v>65</v>
      </c>
      <c r="E477" s="4" t="s">
        <v>188</v>
      </c>
      <c r="F477" s="4" t="s">
        <v>90</v>
      </c>
      <c r="G477" s="5" t="s">
        <v>182</v>
      </c>
      <c r="H477" s="5" t="s">
        <v>185</v>
      </c>
      <c r="I477" s="5" t="s">
        <v>183</v>
      </c>
      <c r="J477" s="5" t="s">
        <v>184</v>
      </c>
      <c r="K477" s="5">
        <v>28.5</v>
      </c>
      <c r="L477" s="5" t="s">
        <v>190</v>
      </c>
      <c r="M477" s="5">
        <v>1666</v>
      </c>
      <c r="N477" s="5" t="s">
        <v>171</v>
      </c>
      <c r="O477" s="6" t="s">
        <v>81</v>
      </c>
      <c r="P477" s="6" t="s">
        <v>186</v>
      </c>
      <c r="Q477" s="6"/>
      <c r="R477" s="6"/>
      <c r="S477" s="6">
        <v>25</v>
      </c>
      <c r="T477" s="6">
        <v>16.53</v>
      </c>
      <c r="U477" s="6">
        <v>1255</v>
      </c>
      <c r="V477" s="6">
        <v>35.83</v>
      </c>
      <c r="W477" s="6">
        <v>3</v>
      </c>
      <c r="X477" s="6">
        <v>181</v>
      </c>
      <c r="Y477" s="6">
        <v>304</v>
      </c>
      <c r="Z477" s="6">
        <v>527</v>
      </c>
      <c r="AA477" s="6">
        <v>194</v>
      </c>
      <c r="AB477" s="6">
        <v>46</v>
      </c>
      <c r="AC477" s="7">
        <v>42</v>
      </c>
      <c r="AD477" s="7" t="s">
        <v>53</v>
      </c>
      <c r="AE477" s="9">
        <v>25.4367017744351</v>
      </c>
      <c r="AF477" s="76">
        <v>351</v>
      </c>
      <c r="AG477" s="9">
        <v>29.926339033519501</v>
      </c>
      <c r="AH477" s="9">
        <v>32.947942314398801</v>
      </c>
      <c r="AI477" s="9">
        <v>39.125287223974198</v>
      </c>
      <c r="AJ477" s="9">
        <v>331.44787282349</v>
      </c>
      <c r="AK477" s="9">
        <v>332.97212303535599</v>
      </c>
      <c r="AL477" s="9">
        <v>378.88612897222498</v>
      </c>
      <c r="AM477" s="9">
        <v>64.656326676394698</v>
      </c>
      <c r="AN477" s="9">
        <v>1.5394363494379699</v>
      </c>
      <c r="AO477" s="9">
        <v>1.3949291993562101</v>
      </c>
      <c r="AP477" s="9">
        <v>749.34729282628996</v>
      </c>
      <c r="AQ477" s="9">
        <v>17.841602210149802</v>
      </c>
      <c r="AR477" s="9">
        <v>24.038152526906298</v>
      </c>
      <c r="AS477" s="8">
        <v>105</v>
      </c>
      <c r="AT477" s="10">
        <v>7.5675670268275006</v>
      </c>
      <c r="AU477" s="10">
        <v>30.292739340657469</v>
      </c>
      <c r="AV477" s="10">
        <v>83.199649262950004</v>
      </c>
      <c r="AW477" s="10">
        <v>0.87653877575762551</v>
      </c>
      <c r="AX477" s="10">
        <v>0.79237761202809531</v>
      </c>
      <c r="AY477" s="10"/>
      <c r="AZ477" s="10"/>
      <c r="BA477" s="10"/>
      <c r="BB477" s="8"/>
      <c r="BC477" s="8"/>
      <c r="BD477" s="8"/>
      <c r="BE477" s="8"/>
      <c r="BF477" s="12">
        <v>0.37</v>
      </c>
      <c r="BG477" s="13">
        <v>244.16053627851801</v>
      </c>
      <c r="BH477" s="96" t="str">
        <f>+VLOOKUP(G477,Liste!$A$7:$G$50,3,FALSE)</f>
        <v>Epicéa</v>
      </c>
      <c r="BI477" s="96" t="str">
        <f>+VLOOKUP(H477,Liste!$B$7:$G$50,5,FALSE)</f>
        <v>GS Arc Jurassien</v>
      </c>
      <c r="BJ477" s="135">
        <f t="shared" si="148"/>
        <v>42</v>
      </c>
      <c r="BK477" s="135" t="str">
        <f t="shared" si="150"/>
        <v>Epicéa_Fbonne_Entree 16-17 m_GS Arc Jurassien_42_</v>
      </c>
      <c r="BL477" s="322"/>
      <c r="BM477" s="13">
        <v>63.292236319264902</v>
      </c>
      <c r="BN477" s="13">
        <v>307.452772597783</v>
      </c>
      <c r="BO477" s="13">
        <v>75.128780985877029</v>
      </c>
      <c r="BP477" s="13">
        <v>238.5911201055597</v>
      </c>
      <c r="BQ477" s="13">
        <v>18.733621181569699</v>
      </c>
      <c r="BT477" s="298" t="str">
        <f>+VLOOKUP(G477,Liste!$A$7:$H$50,8,FALSE)</f>
        <v>Résineux</v>
      </c>
      <c r="BU477" s="298">
        <f t="shared" si="151"/>
        <v>0</v>
      </c>
      <c r="BV477" s="300">
        <f t="shared" si="152"/>
        <v>1</v>
      </c>
      <c r="BW477" s="321">
        <v>0</v>
      </c>
      <c r="BX477" s="298">
        <f t="shared" si="153"/>
        <v>0.43</v>
      </c>
      <c r="BY477">
        <f t="shared" si="165"/>
        <v>0</v>
      </c>
      <c r="BZ477" s="304">
        <f t="shared" si="154"/>
        <v>0</v>
      </c>
      <c r="CB477" s="299">
        <v>0.6</v>
      </c>
      <c r="CC477" s="299">
        <v>0.4</v>
      </c>
      <c r="CD477">
        <f t="shared" si="155"/>
        <v>0</v>
      </c>
      <c r="CE477">
        <f t="shared" si="156"/>
        <v>0</v>
      </c>
      <c r="CF477">
        <f t="shared" si="157"/>
        <v>0</v>
      </c>
      <c r="CG477">
        <f t="shared" si="158"/>
        <v>0</v>
      </c>
      <c r="CH477">
        <f t="shared" si="159"/>
        <v>0</v>
      </c>
      <c r="CI477">
        <f t="shared" si="160"/>
        <v>0</v>
      </c>
      <c r="CJ477">
        <f t="shared" si="161"/>
        <v>0</v>
      </c>
      <c r="CK477">
        <f t="shared" si="162"/>
        <v>0</v>
      </c>
      <c r="CL477">
        <f t="shared" si="163"/>
        <v>0</v>
      </c>
      <c r="CM477">
        <f t="shared" si="166"/>
        <v>0</v>
      </c>
      <c r="CN477">
        <f t="shared" si="164"/>
        <v>0</v>
      </c>
      <c r="CO477">
        <f t="shared" si="149"/>
        <v>0</v>
      </c>
    </row>
    <row r="478" spans="1:93" s="12" customFormat="1" ht="14.65" customHeight="1" x14ac:dyDescent="0.25">
      <c r="A478" s="4">
        <v>2021</v>
      </c>
      <c r="B478" s="4"/>
      <c r="C478" s="4" t="s">
        <v>68</v>
      </c>
      <c r="D478" s="4" t="s">
        <v>65</v>
      </c>
      <c r="E478" s="4" t="s">
        <v>188</v>
      </c>
      <c r="F478" s="4" t="s">
        <v>90</v>
      </c>
      <c r="G478" s="5" t="s">
        <v>182</v>
      </c>
      <c r="H478" s="5" t="s">
        <v>185</v>
      </c>
      <c r="I478" s="5" t="s">
        <v>183</v>
      </c>
      <c r="J478" s="5" t="s">
        <v>184</v>
      </c>
      <c r="K478" s="5">
        <v>28.5</v>
      </c>
      <c r="L478" s="5" t="s">
        <v>190</v>
      </c>
      <c r="M478" s="5">
        <v>1666</v>
      </c>
      <c r="N478" s="5" t="s">
        <v>171</v>
      </c>
      <c r="O478" s="6" t="s">
        <v>81</v>
      </c>
      <c r="P478" s="6" t="s">
        <v>186</v>
      </c>
      <c r="Q478" s="6"/>
      <c r="R478" s="6"/>
      <c r="S478" s="6">
        <v>25</v>
      </c>
      <c r="T478" s="6">
        <v>16.53</v>
      </c>
      <c r="U478" s="6">
        <v>1255</v>
      </c>
      <c r="V478" s="6">
        <v>35.83</v>
      </c>
      <c r="W478" s="6">
        <v>3</v>
      </c>
      <c r="X478" s="6">
        <v>181</v>
      </c>
      <c r="Y478" s="6">
        <v>304</v>
      </c>
      <c r="Z478" s="6">
        <v>527</v>
      </c>
      <c r="AA478" s="6">
        <v>194</v>
      </c>
      <c r="AB478" s="6">
        <v>46</v>
      </c>
      <c r="AC478" s="7">
        <v>48</v>
      </c>
      <c r="AD478" s="7" t="s">
        <v>52</v>
      </c>
      <c r="AE478" s="9">
        <v>27.796584595430701</v>
      </c>
      <c r="AF478" s="76">
        <v>351</v>
      </c>
      <c r="AG478" s="9">
        <v>38.295914229358203</v>
      </c>
      <c r="AH478" s="9">
        <v>37.271572998820503</v>
      </c>
      <c r="AI478" s="9">
        <v>44.407610201088403</v>
      </c>
      <c r="AJ478" s="9">
        <v>465.32192049923202</v>
      </c>
      <c r="AK478" s="9">
        <v>467.41043032698298</v>
      </c>
      <c r="AL478" s="9">
        <v>523.11504413366299</v>
      </c>
      <c r="AM478" s="9">
        <v>73.025901872531904</v>
      </c>
      <c r="AN478" s="9">
        <v>1.52137295567775</v>
      </c>
      <c r="AO478" s="9">
        <v>1.22181140968651</v>
      </c>
      <c r="AP478" s="9">
        <v>893.576207987727</v>
      </c>
      <c r="AQ478" s="9">
        <v>18.616170999744298</v>
      </c>
      <c r="AR478" s="9">
        <v>22.2356928691867</v>
      </c>
      <c r="AS478" s="8" t="s">
        <v>169</v>
      </c>
      <c r="AT478" s="10" t="s">
        <v>169</v>
      </c>
      <c r="AU478" s="10" t="s">
        <v>169</v>
      </c>
      <c r="AV478" s="10">
        <v>0</v>
      </c>
      <c r="AW478" s="10"/>
      <c r="AX478" s="10" t="s">
        <v>169</v>
      </c>
      <c r="AY478" s="10"/>
      <c r="AZ478" s="10"/>
      <c r="BA478" s="10"/>
      <c r="BB478" s="8"/>
      <c r="BC478" s="8"/>
      <c r="BD478" s="8"/>
      <c r="BE478" s="8"/>
      <c r="BF478" s="12">
        <v>0.37</v>
      </c>
      <c r="BG478" s="13">
        <v>337.10405302380099</v>
      </c>
      <c r="BH478" s="96" t="str">
        <f>+VLOOKUP(G478,Liste!$A$7:$G$50,3,FALSE)</f>
        <v>Epicéa</v>
      </c>
      <c r="BI478" s="96" t="str">
        <f>+VLOOKUP(H478,Liste!$B$7:$G$50,5,FALSE)</f>
        <v>GS Arc Jurassien</v>
      </c>
      <c r="BJ478" s="135">
        <f t="shared" si="148"/>
        <v>48</v>
      </c>
      <c r="BK478" s="135" t="str">
        <f t="shared" si="150"/>
        <v>Epicéa_Fbonne_Entree 16-17 m_GS Arc Jurassien_48_</v>
      </c>
      <c r="BL478" s="322"/>
      <c r="BM478" s="13">
        <v>84.165216140444699</v>
      </c>
      <c r="BN478" s="13">
        <v>421.269269164246</v>
      </c>
      <c r="BO478" s="13" t="s">
        <v>169</v>
      </c>
      <c r="BP478" s="13">
        <v>238.5911201055597</v>
      </c>
      <c r="BQ478" s="13">
        <v>17.270855674751601</v>
      </c>
      <c r="BT478" s="298" t="str">
        <f>+VLOOKUP(G478,Liste!$A$7:$H$50,8,FALSE)</f>
        <v>Résineux</v>
      </c>
      <c r="BU478" s="298">
        <f t="shared" si="151"/>
        <v>0</v>
      </c>
      <c r="BV478" s="300">
        <f t="shared" si="152"/>
        <v>1</v>
      </c>
      <c r="BW478" s="321">
        <v>0</v>
      </c>
      <c r="BX478" s="298">
        <f t="shared" si="153"/>
        <v>0.43</v>
      </c>
      <c r="BY478">
        <f t="shared" si="165"/>
        <v>0</v>
      </c>
      <c r="BZ478" s="304">
        <f t="shared" si="154"/>
        <v>0</v>
      </c>
      <c r="CB478" s="299">
        <v>0.6</v>
      </c>
      <c r="CC478" s="299">
        <v>0.4</v>
      </c>
      <c r="CD478">
        <f t="shared" si="155"/>
        <v>0</v>
      </c>
      <c r="CE478">
        <f t="shared" si="156"/>
        <v>0</v>
      </c>
      <c r="CF478">
        <f t="shared" si="157"/>
        <v>0</v>
      </c>
      <c r="CG478">
        <f t="shared" si="158"/>
        <v>0</v>
      </c>
      <c r="CH478">
        <f t="shared" si="159"/>
        <v>0</v>
      </c>
      <c r="CI478">
        <f t="shared" si="160"/>
        <v>0</v>
      </c>
      <c r="CJ478">
        <f t="shared" si="161"/>
        <v>0</v>
      </c>
      <c r="CK478">
        <f t="shared" si="162"/>
        <v>0</v>
      </c>
      <c r="CL478">
        <f t="shared" si="163"/>
        <v>0</v>
      </c>
      <c r="CM478">
        <f t="shared" si="166"/>
        <v>0</v>
      </c>
      <c r="CN478">
        <f t="shared" si="164"/>
        <v>0</v>
      </c>
      <c r="CO478">
        <f t="shared" si="149"/>
        <v>0</v>
      </c>
    </row>
    <row r="479" spans="1:93" s="12" customFormat="1" ht="14.65" customHeight="1" x14ac:dyDescent="0.25">
      <c r="A479" s="4">
        <v>2021</v>
      </c>
      <c r="B479" s="4"/>
      <c r="C479" s="4" t="s">
        <v>68</v>
      </c>
      <c r="D479" s="4" t="s">
        <v>65</v>
      </c>
      <c r="E479" s="4" t="s">
        <v>188</v>
      </c>
      <c r="F479" s="4" t="s">
        <v>90</v>
      </c>
      <c r="G479" s="5" t="s">
        <v>182</v>
      </c>
      <c r="H479" s="5" t="s">
        <v>185</v>
      </c>
      <c r="I479" s="5" t="s">
        <v>183</v>
      </c>
      <c r="J479" s="5" t="s">
        <v>184</v>
      </c>
      <c r="K479" s="5">
        <v>28.5</v>
      </c>
      <c r="L479" s="5" t="s">
        <v>190</v>
      </c>
      <c r="M479" s="5">
        <v>1666</v>
      </c>
      <c r="N479" s="5" t="s">
        <v>171</v>
      </c>
      <c r="O479" s="6" t="s">
        <v>81</v>
      </c>
      <c r="P479" s="6" t="s">
        <v>186</v>
      </c>
      <c r="Q479" s="6"/>
      <c r="R479" s="6"/>
      <c r="S479" s="6">
        <v>25</v>
      </c>
      <c r="T479" s="6">
        <v>16.53</v>
      </c>
      <c r="U479" s="6">
        <v>1255</v>
      </c>
      <c r="V479" s="6">
        <v>35.83</v>
      </c>
      <c r="W479" s="6">
        <v>3</v>
      </c>
      <c r="X479" s="6">
        <v>181</v>
      </c>
      <c r="Y479" s="6">
        <v>304</v>
      </c>
      <c r="Z479" s="6">
        <v>527</v>
      </c>
      <c r="AA479" s="6">
        <v>194</v>
      </c>
      <c r="AB479" s="6">
        <v>46</v>
      </c>
      <c r="AC479" s="7">
        <v>48</v>
      </c>
      <c r="AD479" s="7" t="s">
        <v>53</v>
      </c>
      <c r="AE479" s="9">
        <v>27.796584595430701</v>
      </c>
      <c r="AF479" s="76">
        <v>279</v>
      </c>
      <c r="AG479" s="9">
        <v>30.730634842847401</v>
      </c>
      <c r="AH479" s="9">
        <v>37.448870528033702</v>
      </c>
      <c r="AI479" s="9">
        <v>43.301029840091701</v>
      </c>
      <c r="AJ479" s="9">
        <v>373.295673265429</v>
      </c>
      <c r="AK479" s="9">
        <v>374.96999554732702</v>
      </c>
      <c r="AL479" s="9">
        <v>419.65099540839799</v>
      </c>
      <c r="AM479" s="9">
        <v>73.025901872531904</v>
      </c>
      <c r="AN479" s="9">
        <v>1.52137295567775</v>
      </c>
      <c r="AO479" s="9">
        <v>1.22181140968651</v>
      </c>
      <c r="AP479" s="9">
        <v>893.576207987727</v>
      </c>
      <c r="AQ479" s="9">
        <v>18.616170999744298</v>
      </c>
      <c r="AR479" s="9">
        <v>22.2356928691867</v>
      </c>
      <c r="AS479" s="8">
        <v>72</v>
      </c>
      <c r="AT479" s="10">
        <v>7.5652793865108023</v>
      </c>
      <c r="AU479" s="10">
        <v>36.576428509118877</v>
      </c>
      <c r="AV479" s="10">
        <v>92.026247233803019</v>
      </c>
      <c r="AW479" s="10">
        <v>0.96304626097597867</v>
      </c>
      <c r="AX479" s="10">
        <v>1.2781423226917086</v>
      </c>
      <c r="AY479" s="10"/>
      <c r="AZ479" s="10"/>
      <c r="BA479" s="10"/>
      <c r="BB479" s="8"/>
      <c r="BC479" s="8"/>
      <c r="BD479" s="8"/>
      <c r="BE479" s="8"/>
      <c r="BF479" s="12">
        <v>0.37</v>
      </c>
      <c r="BG479" s="13">
        <v>270.43009562442899</v>
      </c>
      <c r="BH479" s="96" t="str">
        <f>+VLOOKUP(G479,Liste!$A$7:$G$50,3,FALSE)</f>
        <v>Epicéa</v>
      </c>
      <c r="BI479" s="96" t="str">
        <f>+VLOOKUP(H479,Liste!$B$7:$G$50,5,FALSE)</f>
        <v>GS Arc Jurassien</v>
      </c>
      <c r="BJ479" s="135">
        <f t="shared" si="148"/>
        <v>48</v>
      </c>
      <c r="BK479" s="135" t="str">
        <f t="shared" si="150"/>
        <v>Epicéa_Fbonne_Entree 16-17 m_GS Arc Jurassien_48_</v>
      </c>
      <c r="BL479" s="322"/>
      <c r="BM479" s="13">
        <v>69.273034569782595</v>
      </c>
      <c r="BN479" s="13">
        <v>339.70313019421098</v>
      </c>
      <c r="BO479" s="13">
        <v>81.566138970035013</v>
      </c>
      <c r="BP479" s="13">
        <v>238.5911201055597</v>
      </c>
      <c r="BQ479" s="13">
        <v>17.270855674751601</v>
      </c>
      <c r="BT479" s="298" t="str">
        <f>+VLOOKUP(G479,Liste!$A$7:$H$50,8,FALSE)</f>
        <v>Résineux</v>
      </c>
      <c r="BU479" s="298">
        <f t="shared" si="151"/>
        <v>0</v>
      </c>
      <c r="BV479" s="300">
        <f t="shared" si="152"/>
        <v>1</v>
      </c>
      <c r="BW479" s="321">
        <v>0</v>
      </c>
      <c r="BX479" s="298">
        <f t="shared" si="153"/>
        <v>0.43</v>
      </c>
      <c r="BY479">
        <f t="shared" si="165"/>
        <v>0</v>
      </c>
      <c r="BZ479" s="304">
        <f t="shared" si="154"/>
        <v>0</v>
      </c>
      <c r="CB479" s="299">
        <v>0.6</v>
      </c>
      <c r="CC479" s="299">
        <v>0.4</v>
      </c>
      <c r="CD479">
        <f t="shared" si="155"/>
        <v>0</v>
      </c>
      <c r="CE479">
        <f t="shared" si="156"/>
        <v>0</v>
      </c>
      <c r="CF479">
        <f t="shared" si="157"/>
        <v>0</v>
      </c>
      <c r="CG479">
        <f t="shared" si="158"/>
        <v>0</v>
      </c>
      <c r="CH479">
        <f t="shared" si="159"/>
        <v>0</v>
      </c>
      <c r="CI479">
        <f t="shared" si="160"/>
        <v>0</v>
      </c>
      <c r="CJ479">
        <f t="shared" si="161"/>
        <v>0</v>
      </c>
      <c r="CK479">
        <f t="shared" si="162"/>
        <v>0</v>
      </c>
      <c r="CL479">
        <f t="shared" si="163"/>
        <v>0</v>
      </c>
      <c r="CM479">
        <f t="shared" si="166"/>
        <v>0</v>
      </c>
      <c r="CN479">
        <f t="shared" si="164"/>
        <v>0</v>
      </c>
      <c r="CO479">
        <f t="shared" si="149"/>
        <v>0</v>
      </c>
    </row>
    <row r="480" spans="1:93" s="12" customFormat="1" ht="14.65" customHeight="1" x14ac:dyDescent="0.25">
      <c r="A480" s="4">
        <v>2021</v>
      </c>
      <c r="B480" s="4"/>
      <c r="C480" s="4" t="s">
        <v>68</v>
      </c>
      <c r="D480" s="4" t="s">
        <v>65</v>
      </c>
      <c r="E480" s="4" t="s">
        <v>188</v>
      </c>
      <c r="F480" s="4" t="s">
        <v>90</v>
      </c>
      <c r="G480" s="5" t="s">
        <v>182</v>
      </c>
      <c r="H480" s="5" t="s">
        <v>185</v>
      </c>
      <c r="I480" s="5" t="s">
        <v>183</v>
      </c>
      <c r="J480" s="5" t="s">
        <v>184</v>
      </c>
      <c r="K480" s="5">
        <v>28.5</v>
      </c>
      <c r="L480" s="5" t="s">
        <v>190</v>
      </c>
      <c r="M480" s="5">
        <v>1666</v>
      </c>
      <c r="N480" s="5" t="s">
        <v>171</v>
      </c>
      <c r="O480" s="6" t="s">
        <v>81</v>
      </c>
      <c r="P480" s="6" t="s">
        <v>186</v>
      </c>
      <c r="Q480" s="6"/>
      <c r="R480" s="6"/>
      <c r="S480" s="6">
        <v>25</v>
      </c>
      <c r="T480" s="6">
        <v>16.53</v>
      </c>
      <c r="U480" s="6">
        <v>1255</v>
      </c>
      <c r="V480" s="6">
        <v>35.83</v>
      </c>
      <c r="W480" s="6">
        <v>3</v>
      </c>
      <c r="X480" s="6">
        <v>181</v>
      </c>
      <c r="Y480" s="6">
        <v>304</v>
      </c>
      <c r="Z480" s="6">
        <v>527</v>
      </c>
      <c r="AA480" s="6">
        <v>194</v>
      </c>
      <c r="AB480" s="6">
        <v>46</v>
      </c>
      <c r="AC480" s="7">
        <v>55</v>
      </c>
      <c r="AD480" s="7" t="s">
        <v>52</v>
      </c>
      <c r="AE480" s="9">
        <v>30.112683557628301</v>
      </c>
      <c r="AF480" s="76">
        <v>279</v>
      </c>
      <c r="AG480" s="9">
        <v>39.283314711364199</v>
      </c>
      <c r="AH480" s="9">
        <v>42.340601246734401</v>
      </c>
      <c r="AI480" s="9">
        <v>49.051039576931899</v>
      </c>
      <c r="AJ480" s="9">
        <v>519.09965666546202</v>
      </c>
      <c r="AK480" s="9">
        <v>521.35362064292895</v>
      </c>
      <c r="AL480" s="9">
        <v>575.30084549270498</v>
      </c>
      <c r="AM480" s="9">
        <v>81.578581740337498</v>
      </c>
      <c r="AN480" s="9">
        <v>1.4832469407334099</v>
      </c>
      <c r="AO480" s="9"/>
      <c r="AP480" s="9">
        <v>1049.2260580720299</v>
      </c>
      <c r="AQ480" s="9">
        <v>19.0768374194915</v>
      </c>
      <c r="AR480" s="9"/>
      <c r="AS480" s="8" t="s">
        <v>169</v>
      </c>
      <c r="AT480" s="10" t="s">
        <v>169</v>
      </c>
      <c r="AU480" s="10" t="s">
        <v>169</v>
      </c>
      <c r="AV480" s="10">
        <v>0</v>
      </c>
      <c r="AW480" s="10"/>
      <c r="AX480" s="10" t="s">
        <v>169</v>
      </c>
      <c r="AY480" s="10"/>
      <c r="AZ480" s="10"/>
      <c r="BA480" s="10"/>
      <c r="BB480" s="8"/>
      <c r="BC480" s="8"/>
      <c r="BD480" s="8"/>
      <c r="BE480" s="8"/>
      <c r="BF480" s="12">
        <v>0.37</v>
      </c>
      <c r="BG480" s="13">
        <v>370.73345318292399</v>
      </c>
      <c r="BH480" s="96" t="str">
        <f>+VLOOKUP(G480,Liste!$A$7:$G$50,3,FALSE)</f>
        <v>Epicéa</v>
      </c>
      <c r="BI480" s="96" t="str">
        <f>+VLOOKUP(H480,Liste!$B$7:$G$50,5,FALSE)</f>
        <v>GS Arc Jurassien</v>
      </c>
      <c r="BJ480" s="135">
        <f t="shared" si="148"/>
        <v>55</v>
      </c>
      <c r="BK480" s="135" t="str">
        <f t="shared" si="150"/>
        <v>Epicéa_Fbonne_Entree 16-17 m_GS Arc Jurassien_55_</v>
      </c>
      <c r="BL480" s="322"/>
      <c r="BM480" s="13">
        <v>91.542629097676098</v>
      </c>
      <c r="BN480" s="13">
        <v>462.27608228060001</v>
      </c>
      <c r="BO480" s="13" t="s">
        <v>169</v>
      </c>
      <c r="BP480" s="13">
        <v>238.5911201055597</v>
      </c>
      <c r="BQ480" s="13"/>
      <c r="BT480" s="298" t="str">
        <f>+VLOOKUP(G480,Liste!$A$7:$H$50,8,FALSE)</f>
        <v>Résineux</v>
      </c>
      <c r="BU480" s="298">
        <f t="shared" si="151"/>
        <v>0</v>
      </c>
      <c r="BV480" s="300">
        <f t="shared" si="152"/>
        <v>1</v>
      </c>
      <c r="BW480" s="321">
        <v>0</v>
      </c>
      <c r="BX480" s="298">
        <f t="shared" si="153"/>
        <v>0.43</v>
      </c>
      <c r="BY480">
        <f t="shared" si="165"/>
        <v>0</v>
      </c>
      <c r="BZ480" s="304">
        <f t="shared" si="154"/>
        <v>0</v>
      </c>
      <c r="CB480" s="299">
        <v>0.6</v>
      </c>
      <c r="CC480" s="299">
        <v>0.4</v>
      </c>
      <c r="CD480">
        <f t="shared" si="155"/>
        <v>0</v>
      </c>
      <c r="CE480">
        <f t="shared" si="156"/>
        <v>0</v>
      </c>
      <c r="CF480">
        <f t="shared" si="157"/>
        <v>0</v>
      </c>
      <c r="CG480">
        <f t="shared" si="158"/>
        <v>0</v>
      </c>
      <c r="CH480">
        <f t="shared" si="159"/>
        <v>0</v>
      </c>
      <c r="CI480">
        <f t="shared" si="160"/>
        <v>0</v>
      </c>
      <c r="CJ480">
        <f t="shared" si="161"/>
        <v>0</v>
      </c>
      <c r="CK480">
        <f t="shared" si="162"/>
        <v>0</v>
      </c>
      <c r="CL480">
        <f t="shared" si="163"/>
        <v>0</v>
      </c>
      <c r="CM480">
        <f t="shared" si="166"/>
        <v>0</v>
      </c>
      <c r="CN480">
        <f t="shared" si="164"/>
        <v>0</v>
      </c>
      <c r="CO480">
        <f t="shared" si="149"/>
        <v>0</v>
      </c>
    </row>
    <row r="481" spans="1:93" s="12" customFormat="1" ht="14.65" customHeight="1" x14ac:dyDescent="0.25">
      <c r="A481" s="4">
        <v>2021</v>
      </c>
      <c r="B481" s="4"/>
      <c r="C481" s="4" t="s">
        <v>68</v>
      </c>
      <c r="D481" s="4" t="s">
        <v>65</v>
      </c>
      <c r="E481" s="4" t="s">
        <v>188</v>
      </c>
      <c r="F481" s="4" t="s">
        <v>90</v>
      </c>
      <c r="G481" s="5" t="s">
        <v>182</v>
      </c>
      <c r="H481" s="5" t="s">
        <v>185</v>
      </c>
      <c r="I481" s="5" t="s">
        <v>183</v>
      </c>
      <c r="J481" s="5" t="s">
        <v>184</v>
      </c>
      <c r="K481" s="5">
        <v>28.5</v>
      </c>
      <c r="L481" s="5" t="s">
        <v>190</v>
      </c>
      <c r="M481" s="5">
        <v>1666</v>
      </c>
      <c r="N481" s="5" t="s">
        <v>171</v>
      </c>
      <c r="O481" s="6" t="s">
        <v>81</v>
      </c>
      <c r="P481" s="6" t="s">
        <v>186</v>
      </c>
      <c r="Q481" s="6"/>
      <c r="R481" s="6"/>
      <c r="S481" s="6">
        <v>25</v>
      </c>
      <c r="T481" s="6">
        <v>16.53</v>
      </c>
      <c r="U481" s="6">
        <v>1255</v>
      </c>
      <c r="V481" s="6">
        <v>35.83</v>
      </c>
      <c r="W481" s="6">
        <v>3</v>
      </c>
      <c r="X481" s="6">
        <v>181</v>
      </c>
      <c r="Y481" s="6">
        <v>304</v>
      </c>
      <c r="Z481" s="6">
        <v>527</v>
      </c>
      <c r="AA481" s="6">
        <v>194</v>
      </c>
      <c r="AB481" s="6">
        <v>46</v>
      </c>
      <c r="AC481" s="7">
        <v>55</v>
      </c>
      <c r="AD481" s="7" t="s">
        <v>53</v>
      </c>
      <c r="AE481" s="9">
        <v>30.112683557628301</v>
      </c>
      <c r="AF481" s="76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81.578581740337498</v>
      </c>
      <c r="AN481" s="9">
        <v>1.4832469407334099</v>
      </c>
      <c r="AO481" s="9"/>
      <c r="AP481" s="9">
        <v>1049.2260580720299</v>
      </c>
      <c r="AQ481" s="9">
        <v>19.0768374194915</v>
      </c>
      <c r="AR481" s="9"/>
      <c r="AS481" s="8">
        <v>279</v>
      </c>
      <c r="AT481" s="10">
        <v>39.28</v>
      </c>
      <c r="AU481" s="10">
        <v>42.338814867022265</v>
      </c>
      <c r="AV481" s="10">
        <v>519.1</v>
      </c>
      <c r="AW481" s="10">
        <v>1</v>
      </c>
      <c r="AX481" s="10">
        <v>1.8605734767025091</v>
      </c>
      <c r="AY481" s="10"/>
      <c r="AZ481" s="10"/>
      <c r="BA481" s="10"/>
      <c r="BB481" s="8"/>
      <c r="BC481" s="8"/>
      <c r="BD481" s="8"/>
      <c r="BE481" s="8"/>
      <c r="BF481" s="12">
        <v>0.37</v>
      </c>
      <c r="BG481" s="13">
        <v>0</v>
      </c>
      <c r="BH481" s="96" t="str">
        <f>+VLOOKUP(G481,Liste!$A$7:$G$50,3,FALSE)</f>
        <v>Epicéa</v>
      </c>
      <c r="BI481" s="96" t="str">
        <f>+VLOOKUP(H481,Liste!$B$7:$G$50,5,FALSE)</f>
        <v>GS Arc Jurassien</v>
      </c>
      <c r="BJ481" s="135">
        <f t="shared" si="148"/>
        <v>55</v>
      </c>
      <c r="BK481" s="135" t="str">
        <f t="shared" si="150"/>
        <v>Epicéa_Fbonne_Entree 16-17 m_GS Arc Jurassien_55_</v>
      </c>
      <c r="BL481" s="322"/>
      <c r="BM481" s="13">
        <v>0</v>
      </c>
      <c r="BN481" s="13">
        <v>0</v>
      </c>
      <c r="BO481" s="13">
        <v>462.28</v>
      </c>
      <c r="BP481" s="13">
        <v>238.5911201055597</v>
      </c>
      <c r="BQ481" s="13"/>
      <c r="BT481" s="298" t="str">
        <f>+VLOOKUP(G481,Liste!$A$7:$H$50,8,FALSE)</f>
        <v>Résineux</v>
      </c>
      <c r="BU481" s="298">
        <f t="shared" si="151"/>
        <v>0</v>
      </c>
      <c r="BV481" s="300">
        <f t="shared" si="152"/>
        <v>1</v>
      </c>
      <c r="BW481" s="321">
        <v>0</v>
      </c>
      <c r="BX481" s="298">
        <f t="shared" si="153"/>
        <v>0.43</v>
      </c>
      <c r="BY481">
        <f t="shared" si="165"/>
        <v>0</v>
      </c>
      <c r="BZ481" s="304">
        <f t="shared" si="154"/>
        <v>0</v>
      </c>
      <c r="CB481" s="299">
        <v>0.6</v>
      </c>
      <c r="CC481" s="299">
        <v>0.4</v>
      </c>
      <c r="CD481">
        <f t="shared" si="155"/>
        <v>0</v>
      </c>
      <c r="CE481">
        <f t="shared" si="156"/>
        <v>0</v>
      </c>
      <c r="CF481">
        <f t="shared" si="157"/>
        <v>0</v>
      </c>
      <c r="CG481">
        <f t="shared" si="158"/>
        <v>0</v>
      </c>
      <c r="CH481">
        <f t="shared" si="159"/>
        <v>0</v>
      </c>
      <c r="CI481">
        <f t="shared" si="160"/>
        <v>0</v>
      </c>
      <c r="CJ481">
        <f t="shared" si="161"/>
        <v>0</v>
      </c>
      <c r="CK481">
        <f t="shared" si="162"/>
        <v>0</v>
      </c>
      <c r="CL481">
        <f t="shared" si="163"/>
        <v>0</v>
      </c>
      <c r="CM481">
        <f t="shared" si="166"/>
        <v>0</v>
      </c>
      <c r="CN481">
        <f t="shared" si="164"/>
        <v>0</v>
      </c>
      <c r="CO481">
        <f t="shared" si="149"/>
        <v>0</v>
      </c>
    </row>
    <row r="482" spans="1:93" s="12" customFormat="1" ht="14.65" customHeight="1" x14ac:dyDescent="0.25">
      <c r="A482" s="4">
        <v>2021</v>
      </c>
      <c r="B482" s="4"/>
      <c r="C482" s="4" t="s">
        <v>418</v>
      </c>
      <c r="D482" s="4" t="s">
        <v>65</v>
      </c>
      <c r="E482" s="4"/>
      <c r="F482" s="4" t="s">
        <v>90</v>
      </c>
      <c r="G482" s="5" t="s">
        <v>419</v>
      </c>
      <c r="H482" s="5" t="s">
        <v>21</v>
      </c>
      <c r="I482" s="5" t="s">
        <v>18</v>
      </c>
      <c r="J482" s="5" t="s">
        <v>10</v>
      </c>
      <c r="K482" s="5">
        <v>23</v>
      </c>
      <c r="L482" s="5">
        <v>50</v>
      </c>
      <c r="M482" s="5">
        <v>1250</v>
      </c>
      <c r="N482" s="5" t="s">
        <v>171</v>
      </c>
      <c r="O482" s="6" t="s">
        <v>81</v>
      </c>
      <c r="P482" s="6" t="s">
        <v>420</v>
      </c>
      <c r="Q482" s="6"/>
      <c r="R482" s="6"/>
      <c r="S482" s="6">
        <v>17</v>
      </c>
      <c r="T482" s="6">
        <v>11</v>
      </c>
      <c r="U482" s="6">
        <v>1251</v>
      </c>
      <c r="V482" s="6">
        <v>25.56</v>
      </c>
      <c r="W482" s="6">
        <v>13</v>
      </c>
      <c r="X482" s="6">
        <v>239</v>
      </c>
      <c r="Y482" s="6">
        <v>629</v>
      </c>
      <c r="Z482" s="6">
        <v>324</v>
      </c>
      <c r="AA482" s="6">
        <v>46</v>
      </c>
      <c r="AB482" s="6">
        <v>0</v>
      </c>
      <c r="AC482" s="7">
        <v>17</v>
      </c>
      <c r="AD482" s="7" t="s">
        <v>52</v>
      </c>
      <c r="AE482" s="7">
        <v>10.99</v>
      </c>
      <c r="AF482" s="76">
        <v>1251</v>
      </c>
      <c r="AG482" s="7">
        <v>25.56</v>
      </c>
      <c r="AH482" s="7">
        <v>16.13</v>
      </c>
      <c r="AI482" s="7">
        <v>22.72</v>
      </c>
      <c r="AJ482" s="9">
        <v>122.235609399978</v>
      </c>
      <c r="AK482" s="9">
        <v>123.553121331526</v>
      </c>
      <c r="AL482" s="9">
        <v>164.228010452002</v>
      </c>
      <c r="AM482" s="9">
        <v>25.564238979688898</v>
      </c>
      <c r="AN482" s="9">
        <v>1.50377876351111</v>
      </c>
      <c r="AO482" s="9">
        <v>2.0735289564187598</v>
      </c>
      <c r="AP482" s="9">
        <v>164.228010452002</v>
      </c>
      <c r="AQ482" s="9">
        <v>9.6604712030589397</v>
      </c>
      <c r="AR482" s="9">
        <v>19.4058354200784</v>
      </c>
      <c r="AS482" s="8"/>
      <c r="AT482" s="8"/>
      <c r="AU482" s="10" t="s">
        <v>169</v>
      </c>
      <c r="AV482" s="10">
        <v>0</v>
      </c>
      <c r="AW482" s="8"/>
      <c r="AX482" s="8"/>
      <c r="AY482" s="8"/>
      <c r="AZ482" s="8"/>
      <c r="BA482" s="8"/>
      <c r="BB482" s="8"/>
      <c r="BC482" s="8"/>
      <c r="BD482" s="8"/>
      <c r="BE482" s="8"/>
      <c r="BF482" s="12">
        <v>0.46</v>
      </c>
      <c r="BG482" s="13">
        <v>131.574007707129</v>
      </c>
      <c r="BH482" s="96" t="str">
        <f>+VLOOKUP(G482,Liste!$A$7:$G$50,3,FALSE)</f>
        <v>Pin Maritime</v>
      </c>
      <c r="BI482" s="96" t="str">
        <f>+VLOOKUP(H482,Liste!$B$7:$G$50,5,FALSE)</f>
        <v>GS Pineraies des plaines du Centre et du Nord Ouest</v>
      </c>
      <c r="BJ482" s="135">
        <f t="shared" si="148"/>
        <v>17</v>
      </c>
      <c r="BK482" s="135" t="str">
        <f t="shared" si="150"/>
        <v>Pin Maritime_F2_Classique_GS Pineraies des plaines du Centre et du Nord Ouest_17_</v>
      </c>
      <c r="BL482" s="322"/>
      <c r="BM482" s="13">
        <v>36.652119923360701</v>
      </c>
      <c r="BN482" s="13">
        <v>168.22612763049</v>
      </c>
      <c r="BP482" s="13">
        <v>243.14590308576999</v>
      </c>
      <c r="BQ482" s="13">
        <v>19.246952882984999</v>
      </c>
      <c r="BT482" s="298" t="str">
        <f>+VLOOKUP(G482,Liste!$A$7:$H$50,8,FALSE)</f>
        <v>Résineux</v>
      </c>
      <c r="BU482" s="298">
        <f t="shared" si="151"/>
        <v>0</v>
      </c>
      <c r="BV482" s="300">
        <f t="shared" si="152"/>
        <v>1</v>
      </c>
      <c r="BW482" s="321">
        <v>0</v>
      </c>
      <c r="BX482" s="298">
        <f t="shared" si="153"/>
        <v>0.43</v>
      </c>
      <c r="BY482">
        <f t="shared" si="165"/>
        <v>0</v>
      </c>
      <c r="BZ482" s="304">
        <f t="shared" si="154"/>
        <v>0</v>
      </c>
      <c r="CB482" s="299">
        <v>0.6</v>
      </c>
      <c r="CC482" s="299">
        <v>0.4</v>
      </c>
      <c r="CD482">
        <f t="shared" si="155"/>
        <v>0</v>
      </c>
      <c r="CE482">
        <f t="shared" si="156"/>
        <v>0</v>
      </c>
      <c r="CF482">
        <f t="shared" si="157"/>
        <v>0</v>
      </c>
      <c r="CG482">
        <f t="shared" si="158"/>
        <v>0</v>
      </c>
      <c r="CH482">
        <f t="shared" si="159"/>
        <v>0</v>
      </c>
      <c r="CI482">
        <f t="shared" si="160"/>
        <v>0</v>
      </c>
      <c r="CJ482">
        <f t="shared" si="161"/>
        <v>0</v>
      </c>
      <c r="CK482">
        <f t="shared" si="162"/>
        <v>0</v>
      </c>
      <c r="CL482">
        <f t="shared" si="163"/>
        <v>0</v>
      </c>
      <c r="CM482">
        <f t="shared" si="166"/>
        <v>0</v>
      </c>
      <c r="CN482">
        <f t="shared" si="164"/>
        <v>0</v>
      </c>
      <c r="CO482">
        <f t="shared" si="149"/>
        <v>0</v>
      </c>
    </row>
    <row r="483" spans="1:93" s="12" customFormat="1" ht="14.65" customHeight="1" x14ac:dyDescent="0.25">
      <c r="A483" s="4">
        <v>2021</v>
      </c>
      <c r="B483" s="4"/>
      <c r="C483" s="4" t="s">
        <v>418</v>
      </c>
      <c r="D483" s="4" t="s">
        <v>65</v>
      </c>
      <c r="E483" s="4"/>
      <c r="F483" s="4" t="s">
        <v>90</v>
      </c>
      <c r="G483" s="5" t="s">
        <v>419</v>
      </c>
      <c r="H483" s="5" t="s">
        <v>21</v>
      </c>
      <c r="I483" s="5" t="s">
        <v>18</v>
      </c>
      <c r="J483" s="5" t="s">
        <v>10</v>
      </c>
      <c r="K483" s="5">
        <v>23</v>
      </c>
      <c r="L483" s="5">
        <v>50</v>
      </c>
      <c r="M483" s="5">
        <v>1250</v>
      </c>
      <c r="N483" s="5" t="s">
        <v>171</v>
      </c>
      <c r="O483" s="6" t="s">
        <v>81</v>
      </c>
      <c r="P483" s="6" t="s">
        <v>420</v>
      </c>
      <c r="Q483" s="6"/>
      <c r="R483" s="6"/>
      <c r="S483" s="6">
        <v>17</v>
      </c>
      <c r="T483" s="6">
        <v>11</v>
      </c>
      <c r="U483" s="6">
        <v>1251</v>
      </c>
      <c r="V483" s="6">
        <v>25.56</v>
      </c>
      <c r="W483" s="6">
        <v>13</v>
      </c>
      <c r="X483" s="6">
        <v>239</v>
      </c>
      <c r="Y483" s="6">
        <v>629</v>
      </c>
      <c r="Z483" s="6">
        <v>324</v>
      </c>
      <c r="AA483" s="6">
        <v>46</v>
      </c>
      <c r="AB483" s="6">
        <v>0</v>
      </c>
      <c r="AC483" s="7">
        <v>17</v>
      </c>
      <c r="AD483" s="7" t="s">
        <v>53</v>
      </c>
      <c r="AE483" s="7">
        <v>10.89</v>
      </c>
      <c r="AF483" s="76">
        <v>828.8</v>
      </c>
      <c r="AG483" s="7">
        <v>17.03</v>
      </c>
      <c r="AH483" s="7">
        <v>16.170000000000002</v>
      </c>
      <c r="AI483" s="7">
        <v>22.23</v>
      </c>
      <c r="AJ483" s="9">
        <v>81.506101893355094</v>
      </c>
      <c r="AK483" s="9">
        <v>82.393859791198906</v>
      </c>
      <c r="AL483" s="9">
        <v>109.515828974298</v>
      </c>
      <c r="AM483" s="9">
        <v>25.564238979688898</v>
      </c>
      <c r="AN483" s="9">
        <v>1.50377876351111</v>
      </c>
      <c r="AO483" s="9">
        <v>2.0735289564187598</v>
      </c>
      <c r="AP483" s="9">
        <v>164.228010452002</v>
      </c>
      <c r="AQ483" s="9">
        <v>9.6604712030589397</v>
      </c>
      <c r="AR483" s="9">
        <v>19.4058354200784</v>
      </c>
      <c r="AS483" s="73">
        <v>422.20000000000005</v>
      </c>
      <c r="AT483" s="8">
        <v>8.5299999999999976</v>
      </c>
      <c r="AU483" s="10">
        <v>16.038747873918343</v>
      </c>
      <c r="AV483" s="10">
        <v>40.729507506622909</v>
      </c>
      <c r="AW483" s="8">
        <v>0.99</v>
      </c>
      <c r="AX483" s="10">
        <v>9.6469700394653968E-2</v>
      </c>
      <c r="AY483" s="10"/>
      <c r="AZ483" s="10"/>
      <c r="BA483" s="10"/>
      <c r="BB483" s="8"/>
      <c r="BC483" s="8"/>
      <c r="BD483" s="8"/>
      <c r="BE483" s="8"/>
      <c r="BF483" s="12">
        <v>0.46</v>
      </c>
      <c r="BG483" s="13">
        <v>87.740431646575402</v>
      </c>
      <c r="BH483" s="96" t="str">
        <f>+VLOOKUP(G483,Liste!$A$7:$G$50,3,FALSE)</f>
        <v>Pin Maritime</v>
      </c>
      <c r="BI483" s="96" t="str">
        <f>+VLOOKUP(H483,Liste!$B$7:$G$50,5,FALSE)</f>
        <v>GS Pineraies des plaines du Centre et du Nord Ouest</v>
      </c>
      <c r="BJ483" s="135">
        <f t="shared" si="148"/>
        <v>17</v>
      </c>
      <c r="BK483" s="135" t="str">
        <f t="shared" si="150"/>
        <v>Pin Maritime_F2_Classique_GS Pineraies des plaines du Centre et du Nord Ouest_17_</v>
      </c>
      <c r="BL483" s="322"/>
      <c r="BM483" s="13">
        <v>25.621922269770799</v>
      </c>
      <c r="BN483" s="13">
        <v>113.362353916346</v>
      </c>
      <c r="BO483" s="13">
        <v>54.863773714144003</v>
      </c>
      <c r="BP483" s="13">
        <v>243.14590308576999</v>
      </c>
      <c r="BQ483" s="13">
        <v>19.246952882984999</v>
      </c>
      <c r="BT483" s="298" t="str">
        <f>+VLOOKUP(G483,Liste!$A$7:$H$50,8,FALSE)</f>
        <v>Résineux</v>
      </c>
      <c r="BU483" s="298">
        <f t="shared" si="151"/>
        <v>0</v>
      </c>
      <c r="BV483" s="300">
        <f t="shared" si="152"/>
        <v>1</v>
      </c>
      <c r="BW483" s="321">
        <v>0</v>
      </c>
      <c r="BX483" s="298">
        <f t="shared" si="153"/>
        <v>0.43</v>
      </c>
      <c r="BY483">
        <f t="shared" si="165"/>
        <v>17.513688227847851</v>
      </c>
      <c r="BZ483" s="304">
        <f t="shared" si="154"/>
        <v>17.513688227847851</v>
      </c>
      <c r="CB483" s="299">
        <v>0.6</v>
      </c>
      <c r="CC483" s="299">
        <v>0.4</v>
      </c>
      <c r="CD483">
        <f t="shared" si="155"/>
        <v>0</v>
      </c>
      <c r="CE483">
        <f t="shared" si="156"/>
        <v>24.437704503973745</v>
      </c>
      <c r="CF483">
        <f t="shared" si="157"/>
        <v>16.291803002649164</v>
      </c>
      <c r="CG483">
        <f t="shared" si="158"/>
        <v>0</v>
      </c>
      <c r="CH483">
        <f t="shared" si="159"/>
        <v>19.578674258433633</v>
      </c>
      <c r="CI483">
        <f t="shared" si="160"/>
        <v>13.052449505622423</v>
      </c>
      <c r="CJ483">
        <f t="shared" si="161"/>
        <v>0</v>
      </c>
      <c r="CK483">
        <f t="shared" si="162"/>
        <v>0</v>
      </c>
      <c r="CL483">
        <f t="shared" si="163"/>
        <v>0</v>
      </c>
      <c r="CM483">
        <f t="shared" si="166"/>
        <v>0</v>
      </c>
      <c r="CN483">
        <f t="shared" si="164"/>
        <v>0</v>
      </c>
      <c r="CO483">
        <f t="shared" si="149"/>
        <v>0</v>
      </c>
    </row>
    <row r="484" spans="1:93" s="12" customFormat="1" ht="14.65" customHeight="1" x14ac:dyDescent="0.25">
      <c r="A484" s="4">
        <v>2021</v>
      </c>
      <c r="B484" s="4"/>
      <c r="C484" s="4" t="s">
        <v>418</v>
      </c>
      <c r="D484" s="4" t="s">
        <v>65</v>
      </c>
      <c r="E484" s="4"/>
      <c r="F484" s="4" t="s">
        <v>90</v>
      </c>
      <c r="G484" s="5" t="s">
        <v>419</v>
      </c>
      <c r="H484" s="5" t="s">
        <v>21</v>
      </c>
      <c r="I484" s="5" t="s">
        <v>18</v>
      </c>
      <c r="J484" s="5" t="s">
        <v>10</v>
      </c>
      <c r="K484" s="5">
        <v>23</v>
      </c>
      <c r="L484" s="5">
        <v>50</v>
      </c>
      <c r="M484" s="5">
        <v>1250</v>
      </c>
      <c r="N484" s="5" t="s">
        <v>171</v>
      </c>
      <c r="O484" s="6" t="s">
        <v>81</v>
      </c>
      <c r="P484" s="6" t="s">
        <v>420</v>
      </c>
      <c r="Q484" s="6"/>
      <c r="R484" s="6"/>
      <c r="S484" s="6">
        <v>17</v>
      </c>
      <c r="T484" s="6">
        <v>11</v>
      </c>
      <c r="U484" s="6">
        <v>1251</v>
      </c>
      <c r="V484" s="6">
        <v>25.56</v>
      </c>
      <c r="W484" s="6">
        <v>13</v>
      </c>
      <c r="X484" s="6">
        <v>239</v>
      </c>
      <c r="Y484" s="6">
        <v>629</v>
      </c>
      <c r="Z484" s="6">
        <v>324</v>
      </c>
      <c r="AA484" s="6">
        <v>46</v>
      </c>
      <c r="AB484" s="6">
        <v>0</v>
      </c>
      <c r="AC484" s="7">
        <v>18</v>
      </c>
      <c r="AD484" s="7" t="s">
        <v>52</v>
      </c>
      <c r="AE484" s="7">
        <v>11.6</v>
      </c>
      <c r="AF484" s="76">
        <v>828.8</v>
      </c>
      <c r="AG484" s="7">
        <v>19.079999999999998</v>
      </c>
      <c r="AH484" s="7">
        <v>17.12</v>
      </c>
      <c r="AI484" s="7">
        <v>23.52</v>
      </c>
      <c r="AJ484" s="9">
        <v>99.074022299223302</v>
      </c>
      <c r="AK484" s="9">
        <v>100.06928967222601</v>
      </c>
      <c r="AL484" s="9">
        <v>128.92166439437699</v>
      </c>
      <c r="AM484" s="9" t="s">
        <v>169</v>
      </c>
      <c r="AN484" s="9" t="s">
        <v>169</v>
      </c>
      <c r="AO484" s="9" t="s">
        <v>169</v>
      </c>
      <c r="AP484" s="9" t="s">
        <v>169</v>
      </c>
      <c r="AQ484" s="9" t="s">
        <v>169</v>
      </c>
      <c r="AR484" s="9" t="s">
        <v>169</v>
      </c>
      <c r="AS484" s="73" t="s">
        <v>169</v>
      </c>
      <c r="AT484" s="8" t="s">
        <v>169</v>
      </c>
      <c r="AU484" s="10" t="s">
        <v>169</v>
      </c>
      <c r="AV484" s="10">
        <v>0</v>
      </c>
      <c r="AW484" s="8"/>
      <c r="AX484" s="8"/>
      <c r="AY484" s="8"/>
      <c r="AZ484" s="8"/>
      <c r="BA484" s="8"/>
      <c r="BB484" s="8"/>
      <c r="BC484" s="8"/>
      <c r="BD484" s="8"/>
      <c r="BE484" s="8"/>
      <c r="BF484" s="12">
        <v>0.46</v>
      </c>
      <c r="BG484" s="13">
        <v>103.287740123961</v>
      </c>
      <c r="BH484" s="96" t="str">
        <f>+VLOOKUP(G484,Liste!$A$7:$G$50,3,FALSE)</f>
        <v>Pin Maritime</v>
      </c>
      <c r="BI484" s="96" t="str">
        <f>+VLOOKUP(H484,Liste!$B$7:$G$50,5,FALSE)</f>
        <v>GS Pineraies des plaines du Centre et du Nord Ouest</v>
      </c>
      <c r="BJ484" s="135">
        <f t="shared" si="148"/>
        <v>18</v>
      </c>
      <c r="BK484" s="135" t="str">
        <f t="shared" si="150"/>
        <v>Pin Maritime_F2_Classique_GS Pineraies des plaines du Centre et du Nord Ouest_18_</v>
      </c>
      <c r="BL484" s="322"/>
      <c r="BM484" s="13">
        <v>29.449744350234202</v>
      </c>
      <c r="BN484" s="13">
        <v>132.73748447419601</v>
      </c>
      <c r="BO484" s="13" t="s">
        <v>169</v>
      </c>
      <c r="BP484" s="13">
        <v>243.14590308576999</v>
      </c>
      <c r="BQ484" s="13" t="s">
        <v>169</v>
      </c>
      <c r="BT484" s="298" t="str">
        <f>+VLOOKUP(G484,Liste!$A$7:$H$50,8,FALSE)</f>
        <v>Résineux</v>
      </c>
      <c r="BU484" s="298">
        <f t="shared" si="151"/>
        <v>0</v>
      </c>
      <c r="BV484" s="300">
        <f t="shared" si="152"/>
        <v>1</v>
      </c>
      <c r="BW484" s="321">
        <v>0</v>
      </c>
      <c r="BX484" s="298">
        <f t="shared" si="153"/>
        <v>0.43</v>
      </c>
      <c r="BY484">
        <f t="shared" si="165"/>
        <v>0</v>
      </c>
      <c r="BZ484" s="304">
        <f t="shared" si="154"/>
        <v>17.513688227847851</v>
      </c>
      <c r="CB484" s="299">
        <v>0.6</v>
      </c>
      <c r="CC484" s="299">
        <v>0.4</v>
      </c>
      <c r="CD484">
        <f t="shared" si="155"/>
        <v>0</v>
      </c>
      <c r="CE484">
        <f t="shared" si="156"/>
        <v>0</v>
      </c>
      <c r="CF484">
        <f t="shared" si="157"/>
        <v>0</v>
      </c>
      <c r="CG484">
        <f t="shared" si="158"/>
        <v>0</v>
      </c>
      <c r="CH484">
        <f t="shared" si="159"/>
        <v>0</v>
      </c>
      <c r="CI484">
        <f t="shared" si="160"/>
        <v>0</v>
      </c>
      <c r="CJ484">
        <f t="shared" si="161"/>
        <v>0</v>
      </c>
      <c r="CK484">
        <f t="shared" si="162"/>
        <v>19.309747345509763</v>
      </c>
      <c r="CL484">
        <f t="shared" si="163"/>
        <v>11.030771115633749</v>
      </c>
      <c r="CM484">
        <f t="shared" si="166"/>
        <v>30.34051846114351</v>
      </c>
      <c r="CN484">
        <f t="shared" si="164"/>
        <v>30.34051846114351</v>
      </c>
      <c r="CO484">
        <f t="shared" si="149"/>
        <v>0</v>
      </c>
    </row>
    <row r="485" spans="1:93" s="12" customFormat="1" ht="14.65" customHeight="1" x14ac:dyDescent="0.25">
      <c r="A485" s="4">
        <v>2021</v>
      </c>
      <c r="B485" s="4"/>
      <c r="C485" s="4" t="s">
        <v>418</v>
      </c>
      <c r="D485" s="4" t="s">
        <v>65</v>
      </c>
      <c r="E485" s="4"/>
      <c r="F485" s="4" t="s">
        <v>90</v>
      </c>
      <c r="G485" s="5" t="s">
        <v>419</v>
      </c>
      <c r="H485" s="5" t="s">
        <v>21</v>
      </c>
      <c r="I485" s="5" t="s">
        <v>18</v>
      </c>
      <c r="J485" s="5" t="s">
        <v>10</v>
      </c>
      <c r="K485" s="5">
        <v>23</v>
      </c>
      <c r="L485" s="5">
        <v>50</v>
      </c>
      <c r="M485" s="5">
        <v>1250</v>
      </c>
      <c r="N485" s="5" t="s">
        <v>171</v>
      </c>
      <c r="O485" s="6" t="s">
        <v>81</v>
      </c>
      <c r="P485" s="6" t="s">
        <v>420</v>
      </c>
      <c r="Q485" s="6"/>
      <c r="R485" s="6"/>
      <c r="S485" s="6">
        <v>17</v>
      </c>
      <c r="T485" s="6">
        <v>11</v>
      </c>
      <c r="U485" s="6">
        <v>1251</v>
      </c>
      <c r="V485" s="6">
        <v>25.56</v>
      </c>
      <c r="W485" s="6">
        <v>13</v>
      </c>
      <c r="X485" s="6">
        <v>239</v>
      </c>
      <c r="Y485" s="6">
        <v>629</v>
      </c>
      <c r="Z485" s="6">
        <v>324</v>
      </c>
      <c r="AA485" s="6">
        <v>46</v>
      </c>
      <c r="AB485" s="6">
        <v>0</v>
      </c>
      <c r="AC485" s="7">
        <v>19</v>
      </c>
      <c r="AD485" s="7" t="s">
        <v>52</v>
      </c>
      <c r="AE485" s="7">
        <v>12.2</v>
      </c>
      <c r="AF485" s="76">
        <v>828.8</v>
      </c>
      <c r="AG485" s="7">
        <v>21.17</v>
      </c>
      <c r="AH485" s="7">
        <v>18.03</v>
      </c>
      <c r="AI485" s="7">
        <v>24.77</v>
      </c>
      <c r="AJ485" s="9">
        <v>116.64194270509201</v>
      </c>
      <c r="AK485" s="9">
        <v>117.74471955325301</v>
      </c>
      <c r="AL485" s="9">
        <v>148.327499814455</v>
      </c>
      <c r="AM485" s="9" t="s">
        <v>169</v>
      </c>
      <c r="AN485" s="9" t="s">
        <v>169</v>
      </c>
      <c r="AO485" s="9" t="s">
        <v>169</v>
      </c>
      <c r="AP485" s="9" t="s">
        <v>169</v>
      </c>
      <c r="AQ485" s="9" t="s">
        <v>169</v>
      </c>
      <c r="AR485" s="9" t="s">
        <v>169</v>
      </c>
      <c r="AS485" s="73" t="s">
        <v>169</v>
      </c>
      <c r="AT485" s="8" t="s">
        <v>169</v>
      </c>
      <c r="AU485" s="10" t="s">
        <v>169</v>
      </c>
      <c r="AV485" s="10">
        <v>0</v>
      </c>
      <c r="AW485" s="8"/>
      <c r="AX485" s="8"/>
      <c r="AY485" s="8"/>
      <c r="AZ485" s="8"/>
      <c r="BA485" s="8"/>
      <c r="BB485" s="8"/>
      <c r="BC485" s="8"/>
      <c r="BD485" s="8"/>
      <c r="BE485" s="8"/>
      <c r="BF485" s="12">
        <v>0.46</v>
      </c>
      <c r="BG485" s="13">
        <v>118.83504860134801</v>
      </c>
      <c r="BH485" s="96" t="str">
        <f>+VLOOKUP(G485,Liste!$A$7:$G$50,3,FALSE)</f>
        <v>Pin Maritime</v>
      </c>
      <c r="BI485" s="96" t="str">
        <f>+VLOOKUP(H485,Liste!$B$7:$G$50,5,FALSE)</f>
        <v>GS Pineraies des plaines du Centre et du Nord Ouest</v>
      </c>
      <c r="BJ485" s="135">
        <f t="shared" si="148"/>
        <v>19</v>
      </c>
      <c r="BK485" s="135" t="str">
        <f t="shared" si="150"/>
        <v>Pin Maritime_F2_Classique_GS Pineraies des plaines du Centre et du Nord Ouest_19_</v>
      </c>
      <c r="BL485" s="322"/>
      <c r="BM485" s="13">
        <v>33.277566430697497</v>
      </c>
      <c r="BN485" s="13">
        <v>152.112615032045</v>
      </c>
      <c r="BO485" s="13" t="s">
        <v>169</v>
      </c>
      <c r="BP485" s="13">
        <v>243.14590308576999</v>
      </c>
      <c r="BQ485" s="13" t="s">
        <v>169</v>
      </c>
      <c r="BT485" s="298" t="str">
        <f>+VLOOKUP(G485,Liste!$A$7:$H$50,8,FALSE)</f>
        <v>Résineux</v>
      </c>
      <c r="BU485" s="298">
        <f t="shared" si="151"/>
        <v>0</v>
      </c>
      <c r="BV485" s="300">
        <f t="shared" si="152"/>
        <v>1</v>
      </c>
      <c r="BW485" s="321">
        <v>0</v>
      </c>
      <c r="BX485" s="298">
        <f t="shared" si="153"/>
        <v>0.43</v>
      </c>
      <c r="BY485">
        <f t="shared" si="165"/>
        <v>0</v>
      </c>
      <c r="BZ485" s="304">
        <f t="shared" si="154"/>
        <v>17.513688227847851</v>
      </c>
      <c r="CB485" s="299">
        <v>0.6</v>
      </c>
      <c r="CC485" s="299">
        <v>0.4</v>
      </c>
      <c r="CD485">
        <f t="shared" si="155"/>
        <v>0</v>
      </c>
      <c r="CE485">
        <f t="shared" si="156"/>
        <v>0</v>
      </c>
      <c r="CF485">
        <f t="shared" si="157"/>
        <v>0</v>
      </c>
      <c r="CG485">
        <f t="shared" si="158"/>
        <v>0</v>
      </c>
      <c r="CH485">
        <f t="shared" si="159"/>
        <v>0</v>
      </c>
      <c r="CI485">
        <f t="shared" si="160"/>
        <v>0</v>
      </c>
      <c r="CJ485">
        <f t="shared" si="161"/>
        <v>0</v>
      </c>
      <c r="CK485">
        <f t="shared" si="162"/>
        <v>18.781721288891319</v>
      </c>
      <c r="CL485">
        <f t="shared" si="163"/>
        <v>7.799933057581323</v>
      </c>
      <c r="CM485">
        <f t="shared" si="166"/>
        <v>26.581654346472643</v>
      </c>
      <c r="CN485">
        <f t="shared" si="164"/>
        <v>56.92217280761615</v>
      </c>
      <c r="CO485">
        <f t="shared" si="149"/>
        <v>0</v>
      </c>
    </row>
    <row r="486" spans="1:93" s="12" customFormat="1" ht="14.65" customHeight="1" x14ac:dyDescent="0.25">
      <c r="A486" s="4">
        <v>2021</v>
      </c>
      <c r="B486" s="4"/>
      <c r="C486" s="4" t="s">
        <v>418</v>
      </c>
      <c r="D486" s="4" t="s">
        <v>65</v>
      </c>
      <c r="E486" s="4"/>
      <c r="F486" s="4" t="s">
        <v>90</v>
      </c>
      <c r="G486" s="5" t="s">
        <v>419</v>
      </c>
      <c r="H486" s="5" t="s">
        <v>21</v>
      </c>
      <c r="I486" s="5" t="s">
        <v>18</v>
      </c>
      <c r="J486" s="5" t="s">
        <v>10</v>
      </c>
      <c r="K486" s="5">
        <v>23</v>
      </c>
      <c r="L486" s="5">
        <v>50</v>
      </c>
      <c r="M486" s="5">
        <v>1250</v>
      </c>
      <c r="N486" s="5" t="s">
        <v>171</v>
      </c>
      <c r="O486" s="6" t="s">
        <v>81</v>
      </c>
      <c r="P486" s="6" t="s">
        <v>420</v>
      </c>
      <c r="Q486" s="6"/>
      <c r="R486" s="6"/>
      <c r="S486" s="6">
        <v>17</v>
      </c>
      <c r="T486" s="6">
        <v>11</v>
      </c>
      <c r="U486" s="6">
        <v>1251</v>
      </c>
      <c r="V486" s="6">
        <v>25.56</v>
      </c>
      <c r="W486" s="6">
        <v>13</v>
      </c>
      <c r="X486" s="6">
        <v>239</v>
      </c>
      <c r="Y486" s="6">
        <v>629</v>
      </c>
      <c r="Z486" s="6">
        <v>324</v>
      </c>
      <c r="AA486" s="6">
        <v>46</v>
      </c>
      <c r="AB486" s="6">
        <v>0</v>
      </c>
      <c r="AC486" s="7">
        <v>20</v>
      </c>
      <c r="AD486" s="7" t="s">
        <v>52</v>
      </c>
      <c r="AE486" s="7">
        <v>12.78</v>
      </c>
      <c r="AF486" s="76">
        <v>828.8</v>
      </c>
      <c r="AG486" s="7">
        <v>23.25</v>
      </c>
      <c r="AH486" s="7">
        <v>18.899999999999999</v>
      </c>
      <c r="AI486" s="7">
        <v>25.97</v>
      </c>
      <c r="AJ486" s="9">
        <v>134.20986311095999</v>
      </c>
      <c r="AK486" s="9">
        <v>135.42014943428001</v>
      </c>
      <c r="AL486" s="9">
        <v>167.733335234533</v>
      </c>
      <c r="AM486" s="9" t="s">
        <v>169</v>
      </c>
      <c r="AN486" s="9" t="s">
        <v>169</v>
      </c>
      <c r="AO486" s="9" t="s">
        <v>169</v>
      </c>
      <c r="AP486" s="9" t="s">
        <v>169</v>
      </c>
      <c r="AQ486" s="9" t="s">
        <v>169</v>
      </c>
      <c r="AR486" s="9" t="s">
        <v>169</v>
      </c>
      <c r="AS486" s="73" t="s">
        <v>169</v>
      </c>
      <c r="AT486" s="8" t="s">
        <v>169</v>
      </c>
      <c r="AU486" s="10" t="s">
        <v>169</v>
      </c>
      <c r="AV486" s="10">
        <v>0</v>
      </c>
      <c r="AW486" s="8"/>
      <c r="AX486" s="8"/>
      <c r="AY486" s="8"/>
      <c r="AZ486" s="8"/>
      <c r="BA486" s="8"/>
      <c r="BB486" s="8"/>
      <c r="BC486" s="8"/>
      <c r="BD486" s="8"/>
      <c r="BE486" s="8"/>
      <c r="BF486" s="12">
        <v>0.46</v>
      </c>
      <c r="BG486" s="13">
        <v>134.382357078734</v>
      </c>
      <c r="BH486" s="96" t="str">
        <f>+VLOOKUP(G486,Liste!$A$7:$G$50,3,FALSE)</f>
        <v>Pin Maritime</v>
      </c>
      <c r="BI486" s="96" t="str">
        <f>+VLOOKUP(H486,Liste!$B$7:$G$50,5,FALSE)</f>
        <v>GS Pineraies des plaines du Centre et du Nord Ouest</v>
      </c>
      <c r="BJ486" s="135">
        <f t="shared" si="148"/>
        <v>20</v>
      </c>
      <c r="BK486" s="135" t="str">
        <f t="shared" si="150"/>
        <v>Pin Maritime_F2_Classique_GS Pineraies des plaines du Centre et du Nord Ouest_20_</v>
      </c>
      <c r="BL486" s="322"/>
      <c r="BM486" s="13">
        <v>37.105388511160903</v>
      </c>
      <c r="BN486" s="13">
        <v>171.48774558989501</v>
      </c>
      <c r="BO486" s="13" t="s">
        <v>169</v>
      </c>
      <c r="BP486" s="13">
        <v>243.14590308576999</v>
      </c>
      <c r="BQ486" s="13" t="s">
        <v>169</v>
      </c>
      <c r="BT486" s="298" t="str">
        <f>+VLOOKUP(G486,Liste!$A$7:$H$50,8,FALSE)</f>
        <v>Résineux</v>
      </c>
      <c r="BU486" s="298">
        <f t="shared" si="151"/>
        <v>0</v>
      </c>
      <c r="BV486" s="300">
        <f t="shared" si="152"/>
        <v>1</v>
      </c>
      <c r="BW486" s="321">
        <v>0</v>
      </c>
      <c r="BX486" s="298">
        <f t="shared" si="153"/>
        <v>0.43</v>
      </c>
      <c r="BY486">
        <f t="shared" si="165"/>
        <v>0</v>
      </c>
      <c r="BZ486" s="304">
        <f t="shared" si="154"/>
        <v>17.513688227847851</v>
      </c>
      <c r="CB486" s="299">
        <v>0.6</v>
      </c>
      <c r="CC486" s="299">
        <v>0.4</v>
      </c>
      <c r="CD486">
        <f t="shared" si="155"/>
        <v>0</v>
      </c>
      <c r="CE486">
        <f t="shared" si="156"/>
        <v>0</v>
      </c>
      <c r="CF486">
        <f t="shared" si="157"/>
        <v>0</v>
      </c>
      <c r="CG486">
        <f t="shared" si="158"/>
        <v>0</v>
      </c>
      <c r="CH486">
        <f t="shared" si="159"/>
        <v>0</v>
      </c>
      <c r="CI486">
        <f t="shared" si="160"/>
        <v>0</v>
      </c>
      <c r="CJ486">
        <f t="shared" si="161"/>
        <v>0</v>
      </c>
      <c r="CK486">
        <f t="shared" si="162"/>
        <v>18.268134132558789</v>
      </c>
      <c r="CL486">
        <f t="shared" si="163"/>
        <v>5.5153855578168756</v>
      </c>
      <c r="CM486">
        <f t="shared" si="166"/>
        <v>23.783519690375662</v>
      </c>
      <c r="CN486">
        <f t="shared" si="164"/>
        <v>80.705692497991805</v>
      </c>
      <c r="CO486">
        <f t="shared" si="149"/>
        <v>0</v>
      </c>
    </row>
    <row r="487" spans="1:93" s="12" customFormat="1" ht="14.65" customHeight="1" x14ac:dyDescent="0.25">
      <c r="A487" s="4">
        <v>2021</v>
      </c>
      <c r="B487" s="4"/>
      <c r="C487" s="4" t="s">
        <v>418</v>
      </c>
      <c r="D487" s="4" t="s">
        <v>65</v>
      </c>
      <c r="E487" s="4"/>
      <c r="F487" s="4" t="s">
        <v>90</v>
      </c>
      <c r="G487" s="5" t="s">
        <v>419</v>
      </c>
      <c r="H487" s="5" t="s">
        <v>21</v>
      </c>
      <c r="I487" s="5" t="s">
        <v>18</v>
      </c>
      <c r="J487" s="5" t="s">
        <v>10</v>
      </c>
      <c r="K487" s="5">
        <v>23</v>
      </c>
      <c r="L487" s="5">
        <v>50</v>
      </c>
      <c r="M487" s="5">
        <v>1250</v>
      </c>
      <c r="N487" s="5" t="s">
        <v>171</v>
      </c>
      <c r="O487" s="6" t="s">
        <v>81</v>
      </c>
      <c r="P487" s="6" t="s">
        <v>420</v>
      </c>
      <c r="Q487" s="6"/>
      <c r="R487" s="6"/>
      <c r="S487" s="6">
        <v>17</v>
      </c>
      <c r="T487" s="6">
        <v>11</v>
      </c>
      <c r="U487" s="6">
        <v>1251</v>
      </c>
      <c r="V487" s="6">
        <v>25.56</v>
      </c>
      <c r="W487" s="6">
        <v>13</v>
      </c>
      <c r="X487" s="6">
        <v>239</v>
      </c>
      <c r="Y487" s="6">
        <v>629</v>
      </c>
      <c r="Z487" s="6">
        <v>324</v>
      </c>
      <c r="AA487" s="6">
        <v>46</v>
      </c>
      <c r="AB487" s="6">
        <v>0</v>
      </c>
      <c r="AC487" s="7">
        <v>21</v>
      </c>
      <c r="AD487" s="7" t="s">
        <v>52</v>
      </c>
      <c r="AE487" s="7">
        <v>13.33</v>
      </c>
      <c r="AF487" s="76">
        <v>828.8</v>
      </c>
      <c r="AG487" s="7">
        <v>25.33</v>
      </c>
      <c r="AH487" s="7">
        <v>19.73</v>
      </c>
      <c r="AI487" s="7">
        <v>27.14</v>
      </c>
      <c r="AJ487" s="9">
        <v>151.77778351682801</v>
      </c>
      <c r="AK487" s="9">
        <v>153.09557931530699</v>
      </c>
      <c r="AL487" s="9">
        <v>187.139170654612</v>
      </c>
      <c r="AM487" s="9" t="s">
        <v>169</v>
      </c>
      <c r="AN487" s="9" t="s">
        <v>169</v>
      </c>
      <c r="AO487" s="9" t="s">
        <v>169</v>
      </c>
      <c r="AP487" s="9" t="s">
        <v>169</v>
      </c>
      <c r="AQ487" s="9" t="s">
        <v>169</v>
      </c>
      <c r="AR487" s="9" t="s">
        <v>169</v>
      </c>
      <c r="AS487" s="73" t="s">
        <v>169</v>
      </c>
      <c r="AT487" s="8" t="s">
        <v>169</v>
      </c>
      <c r="AU487" s="10" t="s">
        <v>169</v>
      </c>
      <c r="AV487" s="10">
        <v>0</v>
      </c>
      <c r="AW487" s="8"/>
      <c r="AX487" s="8"/>
      <c r="AY487" s="8"/>
      <c r="AZ487" s="8"/>
      <c r="BA487" s="8"/>
      <c r="BB487" s="8"/>
      <c r="BC487" s="8"/>
      <c r="BD487" s="8"/>
      <c r="BE487" s="8"/>
      <c r="BF487" s="12">
        <v>0.46</v>
      </c>
      <c r="BG487" s="13">
        <v>149.92966555612</v>
      </c>
      <c r="BH487" s="96" t="str">
        <f>+VLOOKUP(G487,Liste!$A$7:$G$50,3,FALSE)</f>
        <v>Pin Maritime</v>
      </c>
      <c r="BI487" s="96" t="str">
        <f>+VLOOKUP(H487,Liste!$B$7:$G$50,5,FALSE)</f>
        <v>GS Pineraies des plaines du Centre et du Nord Ouest</v>
      </c>
      <c r="BJ487" s="135">
        <f t="shared" si="148"/>
        <v>21</v>
      </c>
      <c r="BK487" s="135" t="str">
        <f t="shared" si="150"/>
        <v>Pin Maritime_F2_Classique_GS Pineraies des plaines du Centre et du Nord Ouest_21_</v>
      </c>
      <c r="BL487" s="322"/>
      <c r="BM487" s="13">
        <v>40.933210591624302</v>
      </c>
      <c r="BN487" s="13">
        <v>190.862876147744</v>
      </c>
      <c r="BO487" s="13" t="s">
        <v>169</v>
      </c>
      <c r="BP487" s="13">
        <v>243.14590308576999</v>
      </c>
      <c r="BQ487" s="13" t="s">
        <v>169</v>
      </c>
      <c r="BT487" s="298" t="str">
        <f>+VLOOKUP(G487,Liste!$A$7:$H$50,8,FALSE)</f>
        <v>Résineux</v>
      </c>
      <c r="BU487" s="298">
        <f t="shared" si="151"/>
        <v>0</v>
      </c>
      <c r="BV487" s="300">
        <f t="shared" si="152"/>
        <v>1</v>
      </c>
      <c r="BW487" s="321">
        <v>0</v>
      </c>
      <c r="BX487" s="298">
        <f t="shared" si="153"/>
        <v>0.43</v>
      </c>
      <c r="BY487">
        <f t="shared" si="165"/>
        <v>0</v>
      </c>
      <c r="BZ487" s="304">
        <f t="shared" si="154"/>
        <v>17.513688227847851</v>
      </c>
      <c r="CB487" s="299">
        <v>0.6</v>
      </c>
      <c r="CC487" s="299">
        <v>0.4</v>
      </c>
      <c r="CD487">
        <f t="shared" si="155"/>
        <v>0</v>
      </c>
      <c r="CE487">
        <f t="shared" si="156"/>
        <v>0</v>
      </c>
      <c r="CF487">
        <f t="shared" si="157"/>
        <v>0</v>
      </c>
      <c r="CG487">
        <f t="shared" si="158"/>
        <v>0</v>
      </c>
      <c r="CH487">
        <f t="shared" si="159"/>
        <v>0</v>
      </c>
      <c r="CI487">
        <f t="shared" si="160"/>
        <v>0</v>
      </c>
      <c r="CJ487">
        <f t="shared" si="161"/>
        <v>0</v>
      </c>
      <c r="CK487">
        <f t="shared" si="162"/>
        <v>17.768591044024546</v>
      </c>
      <c r="CL487">
        <f t="shared" si="163"/>
        <v>3.899966528790662</v>
      </c>
      <c r="CM487">
        <f t="shared" si="166"/>
        <v>21.66855757281521</v>
      </c>
      <c r="CN487">
        <f t="shared" si="164"/>
        <v>102.37425007080702</v>
      </c>
      <c r="CO487">
        <f t="shared" si="149"/>
        <v>0</v>
      </c>
    </row>
    <row r="488" spans="1:93" s="12" customFormat="1" ht="14.65" customHeight="1" x14ac:dyDescent="0.25">
      <c r="A488" s="4">
        <v>2021</v>
      </c>
      <c r="B488" s="4"/>
      <c r="C488" s="4" t="s">
        <v>418</v>
      </c>
      <c r="D488" s="4" t="s">
        <v>65</v>
      </c>
      <c r="E488" s="4"/>
      <c r="F488" s="4" t="s">
        <v>90</v>
      </c>
      <c r="G488" s="5" t="s">
        <v>419</v>
      </c>
      <c r="H488" s="5" t="s">
        <v>21</v>
      </c>
      <c r="I488" s="5" t="s">
        <v>18</v>
      </c>
      <c r="J488" s="5" t="s">
        <v>10</v>
      </c>
      <c r="K488" s="5">
        <v>23</v>
      </c>
      <c r="L488" s="5">
        <v>50</v>
      </c>
      <c r="M488" s="5">
        <v>1250</v>
      </c>
      <c r="N488" s="5" t="s">
        <v>171</v>
      </c>
      <c r="O488" s="6" t="s">
        <v>81</v>
      </c>
      <c r="P488" s="6" t="s">
        <v>420</v>
      </c>
      <c r="Q488" s="6"/>
      <c r="R488" s="6"/>
      <c r="S488" s="6">
        <v>17</v>
      </c>
      <c r="T488" s="6">
        <v>11</v>
      </c>
      <c r="U488" s="6">
        <v>1251</v>
      </c>
      <c r="V488" s="6">
        <v>25.56</v>
      </c>
      <c r="W488" s="6">
        <v>13</v>
      </c>
      <c r="X488" s="6">
        <v>239</v>
      </c>
      <c r="Y488" s="6">
        <v>629</v>
      </c>
      <c r="Z488" s="6">
        <v>324</v>
      </c>
      <c r="AA488" s="6">
        <v>46</v>
      </c>
      <c r="AB488" s="6">
        <v>0</v>
      </c>
      <c r="AC488" s="7">
        <v>22</v>
      </c>
      <c r="AD488" s="7" t="s">
        <v>52</v>
      </c>
      <c r="AE488" s="7">
        <v>13.87</v>
      </c>
      <c r="AF488" s="76">
        <v>828.8</v>
      </c>
      <c r="AG488" s="7">
        <v>27.4</v>
      </c>
      <c r="AH488" s="7">
        <v>20.52</v>
      </c>
      <c r="AI488" s="7">
        <v>28.28</v>
      </c>
      <c r="AJ488" s="9">
        <v>169.345703922696</v>
      </c>
      <c r="AK488" s="9">
        <v>170.77100919633401</v>
      </c>
      <c r="AL488" s="9">
        <v>206.54500607469001</v>
      </c>
      <c r="AM488" s="9" t="s">
        <v>169</v>
      </c>
      <c r="AN488" s="9" t="s">
        <v>169</v>
      </c>
      <c r="AO488" s="9" t="s">
        <v>169</v>
      </c>
      <c r="AP488" s="9" t="s">
        <v>169</v>
      </c>
      <c r="AQ488" s="9" t="s">
        <v>169</v>
      </c>
      <c r="AR488" s="9" t="s">
        <v>169</v>
      </c>
      <c r="AS488" s="73" t="s">
        <v>169</v>
      </c>
      <c r="AT488" s="8" t="s">
        <v>169</v>
      </c>
      <c r="AU488" s="10" t="s">
        <v>169</v>
      </c>
      <c r="AV488" s="10">
        <v>0</v>
      </c>
      <c r="AW488" s="8"/>
      <c r="AX488" s="8"/>
      <c r="AY488" s="8"/>
      <c r="AZ488" s="8"/>
      <c r="BA488" s="8"/>
      <c r="BB488" s="8"/>
      <c r="BC488" s="8"/>
      <c r="BD488" s="8"/>
      <c r="BE488" s="8"/>
      <c r="BF488" s="12">
        <v>0.46</v>
      </c>
      <c r="BG488" s="13">
        <v>165.476974033506</v>
      </c>
      <c r="BH488" s="96" t="str">
        <f>+VLOOKUP(G488,Liste!$A$7:$G$50,3,FALSE)</f>
        <v>Pin Maritime</v>
      </c>
      <c r="BI488" s="96" t="str">
        <f>+VLOOKUP(H488,Liste!$B$7:$G$50,5,FALSE)</f>
        <v>GS Pineraies des plaines du Centre et du Nord Ouest</v>
      </c>
      <c r="BJ488" s="135">
        <f t="shared" si="148"/>
        <v>22</v>
      </c>
      <c r="BK488" s="135" t="str">
        <f t="shared" si="150"/>
        <v>Pin Maritime_F2_Classique_GS Pineraies des plaines du Centre et du Nord Ouest_22_</v>
      </c>
      <c r="BL488" s="322"/>
      <c r="BM488" s="13">
        <v>44.761032672087701</v>
      </c>
      <c r="BN488" s="13">
        <v>210.23800670559399</v>
      </c>
      <c r="BO488" s="13" t="s">
        <v>169</v>
      </c>
      <c r="BP488" s="13">
        <v>243.14590308576999</v>
      </c>
      <c r="BQ488" s="13" t="s">
        <v>169</v>
      </c>
      <c r="BT488" s="298" t="str">
        <f>+VLOOKUP(G488,Liste!$A$7:$H$50,8,FALSE)</f>
        <v>Résineux</v>
      </c>
      <c r="BU488" s="298">
        <f t="shared" si="151"/>
        <v>0</v>
      </c>
      <c r="BV488" s="300">
        <f t="shared" si="152"/>
        <v>1</v>
      </c>
      <c r="BW488" s="321">
        <v>0</v>
      </c>
      <c r="BX488" s="298">
        <f t="shared" si="153"/>
        <v>0.43</v>
      </c>
      <c r="BY488">
        <f t="shared" si="165"/>
        <v>0</v>
      </c>
      <c r="BZ488" s="304">
        <f t="shared" si="154"/>
        <v>17.513688227847851</v>
      </c>
      <c r="CB488" s="299">
        <v>0.6</v>
      </c>
      <c r="CC488" s="299">
        <v>0.4</v>
      </c>
      <c r="CD488">
        <f t="shared" si="155"/>
        <v>0</v>
      </c>
      <c r="CE488">
        <f t="shared" si="156"/>
        <v>0</v>
      </c>
      <c r="CF488">
        <f t="shared" si="157"/>
        <v>0</v>
      </c>
      <c r="CG488">
        <f t="shared" si="158"/>
        <v>0</v>
      </c>
      <c r="CH488">
        <f t="shared" si="159"/>
        <v>0</v>
      </c>
      <c r="CI488">
        <f t="shared" si="160"/>
        <v>0</v>
      </c>
      <c r="CJ488">
        <f t="shared" si="161"/>
        <v>0</v>
      </c>
      <c r="CK488">
        <f t="shared" si="162"/>
        <v>17.282707987516101</v>
      </c>
      <c r="CL488">
        <f t="shared" si="163"/>
        <v>2.7576927789084382</v>
      </c>
      <c r="CM488">
        <f t="shared" si="166"/>
        <v>20.04040076642454</v>
      </c>
      <c r="CN488">
        <f t="shared" si="164"/>
        <v>122.41465083723156</v>
      </c>
      <c r="CO488">
        <f t="shared" si="149"/>
        <v>0</v>
      </c>
    </row>
    <row r="489" spans="1:93" s="12" customFormat="1" ht="14.65" customHeight="1" x14ac:dyDescent="0.25">
      <c r="A489" s="4">
        <v>2021</v>
      </c>
      <c r="B489" s="4"/>
      <c r="C489" s="4" t="s">
        <v>418</v>
      </c>
      <c r="D489" s="4" t="s">
        <v>65</v>
      </c>
      <c r="E489" s="4"/>
      <c r="F489" s="4" t="s">
        <v>90</v>
      </c>
      <c r="G489" s="5" t="s">
        <v>419</v>
      </c>
      <c r="H489" s="5" t="s">
        <v>21</v>
      </c>
      <c r="I489" s="5" t="s">
        <v>18</v>
      </c>
      <c r="J489" s="5" t="s">
        <v>10</v>
      </c>
      <c r="K489" s="5">
        <v>23</v>
      </c>
      <c r="L489" s="5">
        <v>50</v>
      </c>
      <c r="M489" s="5">
        <v>1250</v>
      </c>
      <c r="N489" s="5" t="s">
        <v>171</v>
      </c>
      <c r="O489" s="6" t="s">
        <v>81</v>
      </c>
      <c r="P489" s="6" t="s">
        <v>420</v>
      </c>
      <c r="Q489" s="6"/>
      <c r="R489" s="6"/>
      <c r="S489" s="6">
        <v>17</v>
      </c>
      <c r="T489" s="6">
        <v>11</v>
      </c>
      <c r="U489" s="6">
        <v>1251</v>
      </c>
      <c r="V489" s="6">
        <v>25.56</v>
      </c>
      <c r="W489" s="6">
        <v>13</v>
      </c>
      <c r="X489" s="6">
        <v>239</v>
      </c>
      <c r="Y489" s="6">
        <v>629</v>
      </c>
      <c r="Z489" s="6">
        <v>324</v>
      </c>
      <c r="AA489" s="6">
        <v>46</v>
      </c>
      <c r="AB489" s="6">
        <v>0</v>
      </c>
      <c r="AC489" s="7">
        <v>23</v>
      </c>
      <c r="AD489" s="7" t="s">
        <v>52</v>
      </c>
      <c r="AE489" s="7">
        <v>14.4</v>
      </c>
      <c r="AF489" s="76">
        <v>828.8</v>
      </c>
      <c r="AG489" s="7">
        <v>29.47</v>
      </c>
      <c r="AH489" s="7">
        <v>21.28</v>
      </c>
      <c r="AI489" s="7">
        <v>29.38</v>
      </c>
      <c r="AJ489" s="9">
        <v>186.913624328564</v>
      </c>
      <c r="AK489" s="9">
        <v>188.44643907736099</v>
      </c>
      <c r="AL489" s="9">
        <v>225.95084149476801</v>
      </c>
      <c r="AM489" s="9">
        <v>38.005412718201399</v>
      </c>
      <c r="AN489" s="9">
        <v>1.65240924861745</v>
      </c>
      <c r="AO489" s="9">
        <v>1.7512164110300501</v>
      </c>
      <c r="AP489" s="9">
        <v>280.66302297247199</v>
      </c>
      <c r="AQ489" s="9">
        <v>12.202740129237901</v>
      </c>
      <c r="AR489" s="9">
        <v>19.580308767453101</v>
      </c>
      <c r="AS489" s="73" t="s">
        <v>169</v>
      </c>
      <c r="AT489" s="8" t="s">
        <v>169</v>
      </c>
      <c r="AU489" s="10" t="s">
        <v>169</v>
      </c>
      <c r="AV489" s="10">
        <v>0</v>
      </c>
      <c r="AW489" s="8"/>
      <c r="AX489" s="8"/>
      <c r="AY489" s="8"/>
      <c r="AZ489" s="8"/>
      <c r="BA489" s="8"/>
      <c r="BB489" s="8"/>
      <c r="BC489" s="8"/>
      <c r="BD489" s="8"/>
      <c r="BE489" s="8"/>
      <c r="BF489" s="12">
        <v>0.46</v>
      </c>
      <c r="BG489" s="13">
        <v>181.02428251089199</v>
      </c>
      <c r="BH489" s="96" t="str">
        <f>+VLOOKUP(G489,Liste!$A$7:$G$50,3,FALSE)</f>
        <v>Pin Maritime</v>
      </c>
      <c r="BI489" s="96" t="str">
        <f>+VLOOKUP(H489,Liste!$B$7:$G$50,5,FALSE)</f>
        <v>GS Pineraies des plaines du Centre et du Nord Ouest</v>
      </c>
      <c r="BJ489" s="135">
        <f t="shared" si="148"/>
        <v>23</v>
      </c>
      <c r="BK489" s="135" t="str">
        <f t="shared" si="150"/>
        <v>Pin Maritime_F2_Classique_GS Pineraies des plaines du Centre et du Nord Ouest_23_</v>
      </c>
      <c r="BL489" s="322"/>
      <c r="BM489" s="13">
        <v>48.588854752551001</v>
      </c>
      <c r="BN489" s="13">
        <v>229.61313726344301</v>
      </c>
      <c r="BO489" s="13" t="s">
        <v>169</v>
      </c>
      <c r="BP489" s="13">
        <v>243.14590308576999</v>
      </c>
      <c r="BQ489" s="13">
        <v>19.286799143151899</v>
      </c>
      <c r="BT489" s="298" t="str">
        <f>+VLOOKUP(G489,Liste!$A$7:$H$50,8,FALSE)</f>
        <v>Résineux</v>
      </c>
      <c r="BU489" s="298">
        <f t="shared" si="151"/>
        <v>0</v>
      </c>
      <c r="BV489" s="300">
        <f t="shared" si="152"/>
        <v>1</v>
      </c>
      <c r="BW489" s="321">
        <v>0</v>
      </c>
      <c r="BX489" s="298">
        <f t="shared" si="153"/>
        <v>0.43</v>
      </c>
      <c r="BY489">
        <f t="shared" si="165"/>
        <v>0</v>
      </c>
      <c r="BZ489" s="304">
        <f t="shared" si="154"/>
        <v>17.513688227847851</v>
      </c>
      <c r="CB489" s="299">
        <v>0.6</v>
      </c>
      <c r="CC489" s="299">
        <v>0.4</v>
      </c>
      <c r="CD489">
        <f t="shared" si="155"/>
        <v>0</v>
      </c>
      <c r="CE489">
        <f t="shared" si="156"/>
        <v>0</v>
      </c>
      <c r="CF489">
        <f t="shared" si="157"/>
        <v>0</v>
      </c>
      <c r="CG489">
        <f t="shared" si="158"/>
        <v>0</v>
      </c>
      <c r="CH489">
        <f t="shared" si="159"/>
        <v>0</v>
      </c>
      <c r="CI489">
        <f t="shared" si="160"/>
        <v>0</v>
      </c>
      <c r="CJ489">
        <f t="shared" si="161"/>
        <v>0</v>
      </c>
      <c r="CK489">
        <f t="shared" si="162"/>
        <v>16.810111428739361</v>
      </c>
      <c r="CL489">
        <f t="shared" si="163"/>
        <v>1.9499832643953314</v>
      </c>
      <c r="CM489">
        <f t="shared" si="166"/>
        <v>18.760094693134693</v>
      </c>
      <c r="CN489">
        <f t="shared" si="164"/>
        <v>141.17474553036627</v>
      </c>
      <c r="CO489">
        <f t="shared" si="149"/>
        <v>0</v>
      </c>
    </row>
    <row r="490" spans="1:93" s="12" customFormat="1" ht="14.65" customHeight="1" x14ac:dyDescent="0.25">
      <c r="A490" s="4">
        <v>2021</v>
      </c>
      <c r="B490" s="4"/>
      <c r="C490" s="4" t="s">
        <v>418</v>
      </c>
      <c r="D490" s="4" t="s">
        <v>65</v>
      </c>
      <c r="E490" s="4"/>
      <c r="F490" s="4" t="s">
        <v>90</v>
      </c>
      <c r="G490" s="5" t="s">
        <v>419</v>
      </c>
      <c r="H490" s="5" t="s">
        <v>21</v>
      </c>
      <c r="I490" s="5" t="s">
        <v>18</v>
      </c>
      <c r="J490" s="5" t="s">
        <v>10</v>
      </c>
      <c r="K490" s="5">
        <v>23</v>
      </c>
      <c r="L490" s="5">
        <v>50</v>
      </c>
      <c r="M490" s="5">
        <v>1250</v>
      </c>
      <c r="N490" s="5" t="s">
        <v>171</v>
      </c>
      <c r="O490" s="6" t="s">
        <v>81</v>
      </c>
      <c r="P490" s="6" t="s">
        <v>420</v>
      </c>
      <c r="Q490" s="6"/>
      <c r="R490" s="6"/>
      <c r="S490" s="6">
        <v>17</v>
      </c>
      <c r="T490" s="6">
        <v>11</v>
      </c>
      <c r="U490" s="6">
        <v>1251</v>
      </c>
      <c r="V490" s="6">
        <v>25.56</v>
      </c>
      <c r="W490" s="6">
        <v>13</v>
      </c>
      <c r="X490" s="6">
        <v>239</v>
      </c>
      <c r="Y490" s="6">
        <v>629</v>
      </c>
      <c r="Z490" s="6">
        <v>324</v>
      </c>
      <c r="AA490" s="6">
        <v>46</v>
      </c>
      <c r="AB490" s="6">
        <v>0</v>
      </c>
      <c r="AC490" s="7">
        <v>23</v>
      </c>
      <c r="AD490" s="7" t="s">
        <v>53</v>
      </c>
      <c r="AE490" s="7">
        <v>13.89</v>
      </c>
      <c r="AF490" s="76">
        <v>586.6</v>
      </c>
      <c r="AG490" s="7">
        <v>20.55</v>
      </c>
      <c r="AH490" s="7">
        <v>21.12</v>
      </c>
      <c r="AI490" s="7">
        <v>26.68</v>
      </c>
      <c r="AJ490" s="9">
        <v>129.64596831099399</v>
      </c>
      <c r="AK490" s="9">
        <v>130.55956324193801</v>
      </c>
      <c r="AL490" s="9">
        <v>155.62368295055799</v>
      </c>
      <c r="AM490" s="9">
        <v>38.005412718201399</v>
      </c>
      <c r="AN490" s="9">
        <v>1.65240924861745</v>
      </c>
      <c r="AO490" s="9">
        <v>1.7512164110300501</v>
      </c>
      <c r="AP490" s="9">
        <v>280.66302297247199</v>
      </c>
      <c r="AQ490" s="9">
        <v>12.202740129237901</v>
      </c>
      <c r="AR490" s="9">
        <v>19.580308767453101</v>
      </c>
      <c r="AS490" s="73">
        <v>242.19999999999993</v>
      </c>
      <c r="AT490" s="8">
        <v>8.9199999999999982</v>
      </c>
      <c r="AU490" s="10">
        <v>21.654612523908082</v>
      </c>
      <c r="AV490" s="10">
        <v>57.267656017570005</v>
      </c>
      <c r="AW490" s="8">
        <v>1.04</v>
      </c>
      <c r="AX490" s="10">
        <v>0.23644779528311322</v>
      </c>
      <c r="AY490" s="10"/>
      <c r="AZ490" s="10"/>
      <c r="BA490" s="10"/>
      <c r="BB490" s="8"/>
      <c r="BC490" s="8"/>
      <c r="BD490" s="8"/>
      <c r="BE490" s="8"/>
      <c r="BF490" s="12">
        <v>0.46</v>
      </c>
      <c r="BG490" s="13">
        <v>124.680507323889</v>
      </c>
      <c r="BH490" s="96" t="str">
        <f>+VLOOKUP(G490,Liste!$A$7:$G$50,3,FALSE)</f>
        <v>Pin Maritime</v>
      </c>
      <c r="BI490" s="96" t="str">
        <f>+VLOOKUP(H490,Liste!$B$7:$G$50,5,FALSE)</f>
        <v>GS Pineraies des plaines du Centre et du Nord Ouest</v>
      </c>
      <c r="BJ490" s="135">
        <f t="shared" si="148"/>
        <v>23</v>
      </c>
      <c r="BK490" s="135" t="str">
        <f t="shared" si="150"/>
        <v>Pin Maritime_F2_Classique_GS Pineraies des plaines du Centre et du Nord Ouest_23_</v>
      </c>
      <c r="BL490" s="322"/>
      <c r="BM490" s="13">
        <v>34.950066289933503</v>
      </c>
      <c r="BN490" s="13">
        <v>159.63057361382201</v>
      </c>
      <c r="BO490" s="13">
        <v>69.982563649621</v>
      </c>
      <c r="BP490" s="13">
        <v>243.14590308576999</v>
      </c>
      <c r="BQ490" s="13">
        <v>19.286799143151899</v>
      </c>
      <c r="BT490" s="298" t="str">
        <f>+VLOOKUP(G490,Liste!$A$7:$H$50,8,FALSE)</f>
        <v>Résineux</v>
      </c>
      <c r="BU490" s="298">
        <f t="shared" si="151"/>
        <v>0</v>
      </c>
      <c r="BV490" s="300">
        <f t="shared" si="152"/>
        <v>1</v>
      </c>
      <c r="BW490" s="321">
        <v>0</v>
      </c>
      <c r="BX490" s="298">
        <f t="shared" si="153"/>
        <v>0.43</v>
      </c>
      <c r="BY490">
        <f t="shared" si="165"/>
        <v>24.625092087555103</v>
      </c>
      <c r="BZ490" s="304">
        <f t="shared" si="154"/>
        <v>42.138780315402954</v>
      </c>
      <c r="CB490" s="299">
        <v>0.6</v>
      </c>
      <c r="CC490" s="299">
        <v>0.4</v>
      </c>
      <c r="CD490">
        <f t="shared" si="155"/>
        <v>0</v>
      </c>
      <c r="CE490">
        <f t="shared" si="156"/>
        <v>34.360593610542004</v>
      </c>
      <c r="CF490">
        <f t="shared" si="157"/>
        <v>22.907062407028004</v>
      </c>
      <c r="CG490">
        <f t="shared" si="158"/>
        <v>0</v>
      </c>
      <c r="CH490">
        <f t="shared" si="159"/>
        <v>27.528562247645901</v>
      </c>
      <c r="CI490">
        <f t="shared" si="160"/>
        <v>18.352374831763939</v>
      </c>
      <c r="CJ490">
        <f t="shared" si="161"/>
        <v>0</v>
      </c>
      <c r="CK490">
        <f t="shared" si="162"/>
        <v>16.350438047715144</v>
      </c>
      <c r="CL490">
        <f t="shared" si="163"/>
        <v>1.3788463894542193</v>
      </c>
      <c r="CM490">
        <f t="shared" si="166"/>
        <v>17.729284437169362</v>
      </c>
      <c r="CN490">
        <f t="shared" si="164"/>
        <v>158.90402996753562</v>
      </c>
      <c r="CO490">
        <f t="shared" si="149"/>
        <v>0</v>
      </c>
    </row>
    <row r="491" spans="1:93" s="12" customFormat="1" ht="14.65" customHeight="1" x14ac:dyDescent="0.25">
      <c r="A491" s="4">
        <v>2021</v>
      </c>
      <c r="B491" s="4"/>
      <c r="C491" s="4" t="s">
        <v>418</v>
      </c>
      <c r="D491" s="4" t="s">
        <v>65</v>
      </c>
      <c r="E491" s="4"/>
      <c r="F491" s="4" t="s">
        <v>90</v>
      </c>
      <c r="G491" s="5" t="s">
        <v>419</v>
      </c>
      <c r="H491" s="5" t="s">
        <v>21</v>
      </c>
      <c r="I491" s="5" t="s">
        <v>18</v>
      </c>
      <c r="J491" s="5" t="s">
        <v>10</v>
      </c>
      <c r="K491" s="5">
        <v>23</v>
      </c>
      <c r="L491" s="5">
        <v>50</v>
      </c>
      <c r="M491" s="5">
        <v>1250</v>
      </c>
      <c r="N491" s="5" t="s">
        <v>171</v>
      </c>
      <c r="O491" s="6" t="s">
        <v>81</v>
      </c>
      <c r="P491" s="6" t="s">
        <v>420</v>
      </c>
      <c r="Q491" s="6"/>
      <c r="R491" s="6"/>
      <c r="S491" s="6">
        <v>17</v>
      </c>
      <c r="T491" s="6">
        <v>11</v>
      </c>
      <c r="U491" s="6">
        <v>1251</v>
      </c>
      <c r="V491" s="6">
        <v>25.56</v>
      </c>
      <c r="W491" s="6">
        <v>13</v>
      </c>
      <c r="X491" s="6">
        <v>239</v>
      </c>
      <c r="Y491" s="6">
        <v>629</v>
      </c>
      <c r="Z491" s="6">
        <v>324</v>
      </c>
      <c r="AA491" s="6">
        <v>46</v>
      </c>
      <c r="AB491" s="6">
        <v>0</v>
      </c>
      <c r="AC491" s="7">
        <v>24</v>
      </c>
      <c r="AD491" s="7" t="s">
        <v>52</v>
      </c>
      <c r="AE491" s="7">
        <v>14.92</v>
      </c>
      <c r="AF491" s="76">
        <v>586.6</v>
      </c>
      <c r="AG491" s="7">
        <v>22.3</v>
      </c>
      <c r="AH491" s="7">
        <v>22</v>
      </c>
      <c r="AI491" s="7">
        <v>27.81</v>
      </c>
      <c r="AJ491" s="9">
        <v>148.626806815084</v>
      </c>
      <c r="AK491" s="9">
        <v>149.55779942836401</v>
      </c>
      <c r="AL491" s="9">
        <v>175.203991718011</v>
      </c>
      <c r="AM491" s="9" t="s">
        <v>169</v>
      </c>
      <c r="AN491" s="9" t="s">
        <v>169</v>
      </c>
      <c r="AO491" s="9" t="s">
        <v>169</v>
      </c>
      <c r="AP491" s="9" t="s">
        <v>169</v>
      </c>
      <c r="AQ491" s="9" t="s">
        <v>169</v>
      </c>
      <c r="AR491" s="9" t="s">
        <v>169</v>
      </c>
      <c r="AS491" s="73" t="s">
        <v>169</v>
      </c>
      <c r="AT491" s="8" t="s">
        <v>169</v>
      </c>
      <c r="AU491" s="10" t="s">
        <v>169</v>
      </c>
      <c r="AV491" s="10">
        <v>0</v>
      </c>
      <c r="AW491" s="8"/>
      <c r="AX491" s="10" t="s">
        <v>169</v>
      </c>
      <c r="AY491" s="10"/>
      <c r="AZ491" s="10"/>
      <c r="BA491" s="10"/>
      <c r="BB491" s="8"/>
      <c r="BC491" s="8"/>
      <c r="BD491" s="8"/>
      <c r="BE491" s="8"/>
      <c r="BF491" s="12">
        <v>0.46</v>
      </c>
      <c r="BG491" s="13">
        <v>140.367598031413</v>
      </c>
      <c r="BH491" s="96" t="str">
        <f>+VLOOKUP(G491,Liste!$A$7:$G$50,3,FALSE)</f>
        <v>Pin Maritime</v>
      </c>
      <c r="BI491" s="96" t="str">
        <f>+VLOOKUP(H491,Liste!$B$7:$G$50,5,FALSE)</f>
        <v>GS Pineraies des plaines du Centre et du Nord Ouest</v>
      </c>
      <c r="BJ491" s="135">
        <f t="shared" si="148"/>
        <v>24</v>
      </c>
      <c r="BK491" s="135" t="str">
        <f t="shared" si="150"/>
        <v>Pin Maritime_F2_Classique_GS Pineraies des plaines du Centre et du Nord Ouest_24_</v>
      </c>
      <c r="BL491" s="322"/>
      <c r="BM491" s="13">
        <v>38.783382062113802</v>
      </c>
      <c r="BN491" s="13">
        <v>179.15098009352701</v>
      </c>
      <c r="BO491" s="13" t="s">
        <v>169</v>
      </c>
      <c r="BP491" s="13">
        <v>243.14590308576999</v>
      </c>
      <c r="BQ491" s="13" t="s">
        <v>169</v>
      </c>
      <c r="BT491" s="298" t="str">
        <f>+VLOOKUP(G491,Liste!$A$7:$H$50,8,FALSE)</f>
        <v>Résineux</v>
      </c>
      <c r="BU491" s="298">
        <f t="shared" si="151"/>
        <v>0</v>
      </c>
      <c r="BV491" s="300">
        <f t="shared" si="152"/>
        <v>1</v>
      </c>
      <c r="BW491" s="321">
        <v>0</v>
      </c>
      <c r="BX491" s="298">
        <f t="shared" si="153"/>
        <v>0.43</v>
      </c>
      <c r="BY491">
        <f t="shared" si="165"/>
        <v>0</v>
      </c>
      <c r="BZ491" s="304">
        <f t="shared" si="154"/>
        <v>42.138780315402954</v>
      </c>
      <c r="CB491" s="299">
        <v>0.6</v>
      </c>
      <c r="CC491" s="299">
        <v>0.4</v>
      </c>
      <c r="CD491">
        <f t="shared" si="155"/>
        <v>0</v>
      </c>
      <c r="CE491">
        <f t="shared" si="156"/>
        <v>0</v>
      </c>
      <c r="CF491">
        <f t="shared" si="157"/>
        <v>0</v>
      </c>
      <c r="CG491">
        <f t="shared" si="158"/>
        <v>0</v>
      </c>
      <c r="CH491">
        <f t="shared" si="159"/>
        <v>0</v>
      </c>
      <c r="CI491">
        <f t="shared" si="160"/>
        <v>0</v>
      </c>
      <c r="CJ491">
        <f t="shared" si="161"/>
        <v>0</v>
      </c>
      <c r="CK491">
        <f t="shared" si="162"/>
        <v>43.053772470264775</v>
      </c>
      <c r="CL491">
        <f t="shared" si="163"/>
        <v>16.484788939615157</v>
      </c>
      <c r="CM491">
        <f t="shared" si="166"/>
        <v>59.538561409879932</v>
      </c>
      <c r="CN491">
        <f t="shared" si="164"/>
        <v>218.44259137741557</v>
      </c>
      <c r="CO491">
        <f t="shared" si="149"/>
        <v>0</v>
      </c>
    </row>
    <row r="492" spans="1:93" s="12" customFormat="1" ht="14.65" customHeight="1" x14ac:dyDescent="0.25">
      <c r="A492" s="4">
        <v>2021</v>
      </c>
      <c r="B492" s="4"/>
      <c r="C492" s="4" t="s">
        <v>418</v>
      </c>
      <c r="D492" s="4" t="s">
        <v>65</v>
      </c>
      <c r="E492" s="4"/>
      <c r="F492" s="4" t="s">
        <v>90</v>
      </c>
      <c r="G492" s="5" t="s">
        <v>419</v>
      </c>
      <c r="H492" s="5" t="s">
        <v>21</v>
      </c>
      <c r="I492" s="5" t="s">
        <v>18</v>
      </c>
      <c r="J492" s="5" t="s">
        <v>10</v>
      </c>
      <c r="K492" s="5">
        <v>23</v>
      </c>
      <c r="L492" s="5">
        <v>50</v>
      </c>
      <c r="M492" s="5">
        <v>1250</v>
      </c>
      <c r="N492" s="5" t="s">
        <v>171</v>
      </c>
      <c r="O492" s="6" t="s">
        <v>81</v>
      </c>
      <c r="P492" s="6" t="s">
        <v>420</v>
      </c>
      <c r="Q492" s="6"/>
      <c r="R492" s="6"/>
      <c r="S492" s="6">
        <v>17</v>
      </c>
      <c r="T492" s="6">
        <v>11</v>
      </c>
      <c r="U492" s="6">
        <v>1251</v>
      </c>
      <c r="V492" s="6">
        <v>25.56</v>
      </c>
      <c r="W492" s="6">
        <v>13</v>
      </c>
      <c r="X492" s="6">
        <v>239</v>
      </c>
      <c r="Y492" s="6">
        <v>629</v>
      </c>
      <c r="Z492" s="6">
        <v>324</v>
      </c>
      <c r="AA492" s="6">
        <v>46</v>
      </c>
      <c r="AB492" s="6">
        <v>0</v>
      </c>
      <c r="AC492" s="7">
        <v>25</v>
      </c>
      <c r="AD492" s="7" t="s">
        <v>52</v>
      </c>
      <c r="AE492" s="7">
        <v>15.42</v>
      </c>
      <c r="AF492" s="76">
        <v>586.6</v>
      </c>
      <c r="AG492" s="7">
        <v>24.05</v>
      </c>
      <c r="AH492" s="7">
        <v>22.85</v>
      </c>
      <c r="AI492" s="7">
        <v>28.91</v>
      </c>
      <c r="AJ492" s="9">
        <v>167.607645319174</v>
      </c>
      <c r="AK492" s="9">
        <v>168.55603561479001</v>
      </c>
      <c r="AL492" s="9">
        <v>194.784300485464</v>
      </c>
      <c r="AM492" s="9">
        <v>41.507845540261499</v>
      </c>
      <c r="AN492" s="9">
        <v>1.66031382161046</v>
      </c>
      <c r="AO492" s="9">
        <v>1.7452995799756099</v>
      </c>
      <c r="AP492" s="9">
        <v>319.823640507378</v>
      </c>
      <c r="AQ492" s="9">
        <v>12.7929456202951</v>
      </c>
      <c r="AR492" s="9">
        <v>19.600488168674701</v>
      </c>
      <c r="AS492" s="73" t="s">
        <v>169</v>
      </c>
      <c r="AT492" s="8" t="s">
        <v>169</v>
      </c>
      <c r="AU492" s="10" t="s">
        <v>169</v>
      </c>
      <c r="AV492" s="10">
        <v>0</v>
      </c>
      <c r="AW492" s="8"/>
      <c r="AX492" s="10" t="s">
        <v>169</v>
      </c>
      <c r="AY492" s="10"/>
      <c r="AZ492" s="10"/>
      <c r="BA492" s="10"/>
      <c r="BB492" s="8"/>
      <c r="BC492" s="8"/>
      <c r="BD492" s="8"/>
      <c r="BE492" s="8"/>
      <c r="BF492" s="12">
        <v>0.46</v>
      </c>
      <c r="BG492" s="13">
        <v>156.05468873893801</v>
      </c>
      <c r="BH492" s="96" t="str">
        <f>+VLOOKUP(G492,Liste!$A$7:$G$50,3,FALSE)</f>
        <v>Pin Maritime</v>
      </c>
      <c r="BI492" s="96" t="str">
        <f>+VLOOKUP(H492,Liste!$B$7:$G$50,5,FALSE)</f>
        <v>GS Pineraies des plaines du Centre et du Nord Ouest</v>
      </c>
      <c r="BJ492" s="135">
        <f t="shared" si="148"/>
        <v>25</v>
      </c>
      <c r="BK492" s="135" t="str">
        <f t="shared" si="150"/>
        <v>Pin Maritime_F2_Classique_GS Pineraies des plaines du Centre et du Nord Ouest_25_</v>
      </c>
      <c r="BL492" s="322"/>
      <c r="BM492" s="13">
        <v>42.616697834294101</v>
      </c>
      <c r="BN492" s="13">
        <v>198.67138657323201</v>
      </c>
      <c r="BO492" s="13" t="s">
        <v>169</v>
      </c>
      <c r="BP492" s="13">
        <v>243.14590308576999</v>
      </c>
      <c r="BQ492" s="13">
        <v>19.233045806383501</v>
      </c>
      <c r="BT492" s="298" t="str">
        <f>+VLOOKUP(G492,Liste!$A$7:$H$50,8,FALSE)</f>
        <v>Résineux</v>
      </c>
      <c r="BU492" s="298">
        <f t="shared" si="151"/>
        <v>0</v>
      </c>
      <c r="BV492" s="300">
        <f t="shared" si="152"/>
        <v>1</v>
      </c>
      <c r="BW492" s="321">
        <v>0</v>
      </c>
      <c r="BX492" s="298">
        <f t="shared" si="153"/>
        <v>0.43</v>
      </c>
      <c r="BY492">
        <f t="shared" si="165"/>
        <v>0</v>
      </c>
      <c r="BZ492" s="304">
        <f t="shared" si="154"/>
        <v>42.138780315402954</v>
      </c>
      <c r="CB492" s="299">
        <v>0.6</v>
      </c>
      <c r="CC492" s="299">
        <v>0.4</v>
      </c>
      <c r="CD492">
        <f t="shared" si="155"/>
        <v>0</v>
      </c>
      <c r="CE492">
        <f t="shared" si="156"/>
        <v>0</v>
      </c>
      <c r="CF492">
        <f t="shared" si="157"/>
        <v>0</v>
      </c>
      <c r="CG492">
        <f t="shared" si="158"/>
        <v>0</v>
      </c>
      <c r="CH492">
        <f t="shared" si="159"/>
        <v>0</v>
      </c>
      <c r="CI492">
        <f t="shared" si="160"/>
        <v>0</v>
      </c>
      <c r="CJ492">
        <f t="shared" si="161"/>
        <v>0</v>
      </c>
      <c r="CK492">
        <f t="shared" si="162"/>
        <v>41.876464797965895</v>
      </c>
      <c r="CL492">
        <f t="shared" si="163"/>
        <v>11.656506045630875</v>
      </c>
      <c r="CM492">
        <f t="shared" si="166"/>
        <v>53.532970843596772</v>
      </c>
      <c r="CN492">
        <f t="shared" si="164"/>
        <v>271.97556222101235</v>
      </c>
      <c r="CO492">
        <f t="shared" si="149"/>
        <v>0</v>
      </c>
    </row>
    <row r="493" spans="1:93" s="12" customFormat="1" ht="14.65" customHeight="1" x14ac:dyDescent="0.25">
      <c r="A493" s="4">
        <v>2021</v>
      </c>
      <c r="B493" s="4"/>
      <c r="C493" s="4" t="s">
        <v>418</v>
      </c>
      <c r="D493" s="4" t="s">
        <v>65</v>
      </c>
      <c r="E493" s="4"/>
      <c r="F493" s="4" t="s">
        <v>90</v>
      </c>
      <c r="G493" s="5" t="s">
        <v>419</v>
      </c>
      <c r="H493" s="5" t="s">
        <v>21</v>
      </c>
      <c r="I493" s="5" t="s">
        <v>18</v>
      </c>
      <c r="J493" s="5" t="s">
        <v>10</v>
      </c>
      <c r="K493" s="5">
        <v>23</v>
      </c>
      <c r="L493" s="5">
        <v>50</v>
      </c>
      <c r="M493" s="5">
        <v>1250</v>
      </c>
      <c r="N493" s="5" t="s">
        <v>171</v>
      </c>
      <c r="O493" s="6" t="s">
        <v>81</v>
      </c>
      <c r="P493" s="6" t="s">
        <v>420</v>
      </c>
      <c r="Q493" s="6"/>
      <c r="R493" s="6"/>
      <c r="S493" s="6">
        <v>17</v>
      </c>
      <c r="T493" s="6">
        <v>11</v>
      </c>
      <c r="U493" s="6">
        <v>1251</v>
      </c>
      <c r="V493" s="6">
        <v>25.56</v>
      </c>
      <c r="W493" s="6">
        <v>13</v>
      </c>
      <c r="X493" s="6">
        <v>239</v>
      </c>
      <c r="Y493" s="6">
        <v>629</v>
      </c>
      <c r="Z493" s="6">
        <v>324</v>
      </c>
      <c r="AA493" s="6">
        <v>46</v>
      </c>
      <c r="AB493" s="6">
        <v>0</v>
      </c>
      <c r="AC493" s="7">
        <v>26</v>
      </c>
      <c r="AD493" s="7" t="s">
        <v>52</v>
      </c>
      <c r="AE493" s="7">
        <v>15.89</v>
      </c>
      <c r="AF493" s="76">
        <v>586.6</v>
      </c>
      <c r="AG493" s="7">
        <v>25.8</v>
      </c>
      <c r="AH493" s="7">
        <v>23.67</v>
      </c>
      <c r="AI493" s="7">
        <v>29.98</v>
      </c>
      <c r="AJ493" s="9">
        <v>185.555529478604</v>
      </c>
      <c r="AK493" s="9">
        <v>186.61356493310799</v>
      </c>
      <c r="AL493" s="9">
        <v>214.38478865413899</v>
      </c>
      <c r="AM493" s="9" t="s">
        <v>169</v>
      </c>
      <c r="AN493" s="9" t="s">
        <v>169</v>
      </c>
      <c r="AO493" s="9" t="s">
        <v>169</v>
      </c>
      <c r="AP493" s="9" t="s">
        <v>169</v>
      </c>
      <c r="AQ493" s="9" t="s">
        <v>169</v>
      </c>
      <c r="AR493" s="9" t="s">
        <v>169</v>
      </c>
      <c r="AS493" s="73" t="s">
        <v>169</v>
      </c>
      <c r="AT493" s="8" t="s">
        <v>169</v>
      </c>
      <c r="AU493" s="10" t="s">
        <v>169</v>
      </c>
      <c r="AV493" s="10">
        <v>0</v>
      </c>
      <c r="AW493" s="8"/>
      <c r="AX493" s="10" t="s">
        <v>169</v>
      </c>
      <c r="AY493" s="10"/>
      <c r="AZ493" s="10"/>
      <c r="BA493" s="10"/>
      <c r="BB493" s="8"/>
      <c r="BC493" s="8"/>
      <c r="BD493" s="8"/>
      <c r="BE493" s="8"/>
      <c r="BF493" s="12">
        <v>0.46</v>
      </c>
      <c r="BG493" s="13">
        <v>171.75794651007399</v>
      </c>
      <c r="BH493" s="96" t="str">
        <f>+VLOOKUP(G493,Liste!$A$7:$G$50,3,FALSE)</f>
        <v>Pin Maritime</v>
      </c>
      <c r="BI493" s="96" t="str">
        <f>+VLOOKUP(H493,Liste!$B$7:$G$50,5,FALSE)</f>
        <v>GS Pineraies des plaines du Centre et du Nord Ouest</v>
      </c>
      <c r="BJ493" s="135">
        <f t="shared" si="148"/>
        <v>26</v>
      </c>
      <c r="BK493" s="135" t="str">
        <f t="shared" si="150"/>
        <v>Pin Maritime_F2_Classique_GS Pineraies des plaines du Centre et du Nord Ouest_26_</v>
      </c>
      <c r="BL493" s="322"/>
      <c r="BM493" s="13">
        <v>46.3281629554088</v>
      </c>
      <c r="BN493" s="13">
        <v>218.08610946548299</v>
      </c>
      <c r="BO493" s="13" t="s">
        <v>169</v>
      </c>
      <c r="BP493" s="13">
        <v>243.14590308576999</v>
      </c>
      <c r="BQ493" s="13" t="s">
        <v>169</v>
      </c>
      <c r="BT493" s="298" t="str">
        <f>+VLOOKUP(G493,Liste!$A$7:$H$50,8,FALSE)</f>
        <v>Résineux</v>
      </c>
      <c r="BU493" s="298">
        <f t="shared" si="151"/>
        <v>0</v>
      </c>
      <c r="BV493" s="300">
        <f t="shared" si="152"/>
        <v>1</v>
      </c>
      <c r="BW493" s="321">
        <v>0</v>
      </c>
      <c r="BX493" s="298">
        <f t="shared" si="153"/>
        <v>0.43</v>
      </c>
      <c r="BY493">
        <f t="shared" si="165"/>
        <v>0</v>
      </c>
      <c r="BZ493" s="304">
        <f t="shared" si="154"/>
        <v>42.138780315402954</v>
      </c>
      <c r="CB493" s="299">
        <v>0.6</v>
      </c>
      <c r="CC493" s="299">
        <v>0.4</v>
      </c>
      <c r="CD493">
        <f t="shared" si="155"/>
        <v>0</v>
      </c>
      <c r="CE493">
        <f t="shared" si="156"/>
        <v>0</v>
      </c>
      <c r="CF493">
        <f t="shared" si="157"/>
        <v>0</v>
      </c>
      <c r="CG493">
        <f t="shared" si="158"/>
        <v>0</v>
      </c>
      <c r="CH493">
        <f t="shared" si="159"/>
        <v>0</v>
      </c>
      <c r="CI493">
        <f t="shared" si="160"/>
        <v>0</v>
      </c>
      <c r="CJ493">
        <f t="shared" si="161"/>
        <v>0</v>
      </c>
      <c r="CK493">
        <f t="shared" si="162"/>
        <v>40.73135066587794</v>
      </c>
      <c r="CL493">
        <f t="shared" si="163"/>
        <v>8.2423944698075804</v>
      </c>
      <c r="CM493">
        <f t="shared" si="166"/>
        <v>48.973745135685519</v>
      </c>
      <c r="CN493">
        <f t="shared" si="164"/>
        <v>320.94930735669789</v>
      </c>
      <c r="CO493">
        <f t="shared" si="149"/>
        <v>0</v>
      </c>
    </row>
    <row r="494" spans="1:93" s="12" customFormat="1" ht="14.65" customHeight="1" x14ac:dyDescent="0.25">
      <c r="A494" s="4">
        <v>2021</v>
      </c>
      <c r="B494" s="4"/>
      <c r="C494" s="4" t="s">
        <v>418</v>
      </c>
      <c r="D494" s="4" t="s">
        <v>65</v>
      </c>
      <c r="E494" s="4"/>
      <c r="F494" s="4" t="s">
        <v>90</v>
      </c>
      <c r="G494" s="5" t="s">
        <v>419</v>
      </c>
      <c r="H494" s="5" t="s">
        <v>21</v>
      </c>
      <c r="I494" s="5" t="s">
        <v>18</v>
      </c>
      <c r="J494" s="5" t="s">
        <v>10</v>
      </c>
      <c r="K494" s="5">
        <v>23</v>
      </c>
      <c r="L494" s="5">
        <v>50</v>
      </c>
      <c r="M494" s="5">
        <v>1250</v>
      </c>
      <c r="N494" s="5" t="s">
        <v>171</v>
      </c>
      <c r="O494" s="6" t="s">
        <v>81</v>
      </c>
      <c r="P494" s="6" t="s">
        <v>420</v>
      </c>
      <c r="Q494" s="6"/>
      <c r="R494" s="6"/>
      <c r="S494" s="6">
        <v>17</v>
      </c>
      <c r="T494" s="6">
        <v>11</v>
      </c>
      <c r="U494" s="6">
        <v>1251</v>
      </c>
      <c r="V494" s="6">
        <v>25.56</v>
      </c>
      <c r="W494" s="6">
        <v>13</v>
      </c>
      <c r="X494" s="6">
        <v>239</v>
      </c>
      <c r="Y494" s="6">
        <v>629</v>
      </c>
      <c r="Z494" s="6">
        <v>324</v>
      </c>
      <c r="AA494" s="6">
        <v>46</v>
      </c>
      <c r="AB494" s="6">
        <v>0</v>
      </c>
      <c r="AC494" s="7">
        <v>27</v>
      </c>
      <c r="AD494" s="7" t="s">
        <v>52</v>
      </c>
      <c r="AE494" s="7">
        <v>16.36</v>
      </c>
      <c r="AF494" s="76">
        <v>586.6</v>
      </c>
      <c r="AG494" s="7">
        <v>27.56</v>
      </c>
      <c r="AH494" s="7">
        <v>24.46</v>
      </c>
      <c r="AI494" s="7">
        <v>31.03</v>
      </c>
      <c r="AJ494" s="9">
        <v>203.50341363803301</v>
      </c>
      <c r="AK494" s="9">
        <v>204.67109425142601</v>
      </c>
      <c r="AL494" s="9">
        <v>233.985276822814</v>
      </c>
      <c r="AM494" s="9" t="s">
        <v>169</v>
      </c>
      <c r="AN494" s="9" t="s">
        <v>169</v>
      </c>
      <c r="AO494" s="9" t="s">
        <v>169</v>
      </c>
      <c r="AP494" s="9" t="s">
        <v>169</v>
      </c>
      <c r="AQ494" s="9" t="s">
        <v>169</v>
      </c>
      <c r="AR494" s="9" t="s">
        <v>169</v>
      </c>
      <c r="AS494" s="73" t="s">
        <v>169</v>
      </c>
      <c r="AT494" s="8" t="s">
        <v>169</v>
      </c>
      <c r="AU494" s="10" t="s">
        <v>169</v>
      </c>
      <c r="AV494" s="10">
        <v>0</v>
      </c>
      <c r="AW494" s="8"/>
      <c r="AX494" s="10" t="s">
        <v>169</v>
      </c>
      <c r="AY494" s="10"/>
      <c r="AZ494" s="10"/>
      <c r="BA494" s="10"/>
      <c r="BB494" s="8"/>
      <c r="BC494" s="8"/>
      <c r="BD494" s="8"/>
      <c r="BE494" s="8"/>
      <c r="BF494" s="12">
        <v>0.46</v>
      </c>
      <c r="BG494" s="13">
        <v>187.461204281211</v>
      </c>
      <c r="BH494" s="96" t="str">
        <f>+VLOOKUP(G494,Liste!$A$7:$G$50,3,FALSE)</f>
        <v>Pin Maritime</v>
      </c>
      <c r="BI494" s="96" t="str">
        <f>+VLOOKUP(H494,Liste!$B$7:$G$50,5,FALSE)</f>
        <v>GS Pineraies des plaines du Centre et du Nord Ouest</v>
      </c>
      <c r="BJ494" s="135">
        <f t="shared" si="148"/>
        <v>27</v>
      </c>
      <c r="BK494" s="135" t="str">
        <f t="shared" si="150"/>
        <v>Pin Maritime_F2_Classique_GS Pineraies des plaines du Centre et du Nord Ouest_27_</v>
      </c>
      <c r="BL494" s="322"/>
      <c r="BM494" s="13">
        <v>50.039628076523599</v>
      </c>
      <c r="BN494" s="13">
        <v>237.50083235773499</v>
      </c>
      <c r="BO494" s="13" t="s">
        <v>169</v>
      </c>
      <c r="BP494" s="13">
        <v>243.14590308576999</v>
      </c>
      <c r="BQ494" s="13" t="s">
        <v>169</v>
      </c>
      <c r="BT494" s="298" t="str">
        <f>+VLOOKUP(G494,Liste!$A$7:$H$50,8,FALSE)</f>
        <v>Résineux</v>
      </c>
      <c r="BU494" s="298">
        <f t="shared" si="151"/>
        <v>0</v>
      </c>
      <c r="BV494" s="300">
        <f t="shared" si="152"/>
        <v>1</v>
      </c>
      <c r="BW494" s="321">
        <v>0</v>
      </c>
      <c r="BX494" s="298">
        <f t="shared" si="153"/>
        <v>0.43</v>
      </c>
      <c r="BY494">
        <f t="shared" si="165"/>
        <v>0</v>
      </c>
      <c r="BZ494" s="304">
        <f t="shared" si="154"/>
        <v>42.138780315402954</v>
      </c>
      <c r="CB494" s="299">
        <v>0.6</v>
      </c>
      <c r="CC494" s="299">
        <v>0.4</v>
      </c>
      <c r="CD494">
        <f t="shared" si="155"/>
        <v>0</v>
      </c>
      <c r="CE494">
        <f t="shared" si="156"/>
        <v>0</v>
      </c>
      <c r="CF494">
        <f t="shared" si="157"/>
        <v>0</v>
      </c>
      <c r="CG494">
        <f t="shared" si="158"/>
        <v>0</v>
      </c>
      <c r="CH494">
        <f t="shared" si="159"/>
        <v>0</v>
      </c>
      <c r="CI494">
        <f t="shared" si="160"/>
        <v>0</v>
      </c>
      <c r="CJ494">
        <f t="shared" si="161"/>
        <v>0</v>
      </c>
      <c r="CK494">
        <f t="shared" si="162"/>
        <v>39.617549739950867</v>
      </c>
      <c r="CL494">
        <f t="shared" si="163"/>
        <v>5.8282530228154386</v>
      </c>
      <c r="CM494">
        <f t="shared" si="166"/>
        <v>45.445802762766306</v>
      </c>
      <c r="CN494">
        <f t="shared" si="164"/>
        <v>366.39511011946422</v>
      </c>
      <c r="CO494">
        <f t="shared" si="149"/>
        <v>0</v>
      </c>
    </row>
    <row r="495" spans="1:93" s="12" customFormat="1" ht="14.65" customHeight="1" x14ac:dyDescent="0.25">
      <c r="A495" s="4">
        <v>2021</v>
      </c>
      <c r="B495" s="4"/>
      <c r="C495" s="4" t="s">
        <v>418</v>
      </c>
      <c r="D495" s="4" t="s">
        <v>65</v>
      </c>
      <c r="E495" s="4"/>
      <c r="F495" s="4" t="s">
        <v>90</v>
      </c>
      <c r="G495" s="5" t="s">
        <v>419</v>
      </c>
      <c r="H495" s="5" t="s">
        <v>21</v>
      </c>
      <c r="I495" s="5" t="s">
        <v>18</v>
      </c>
      <c r="J495" s="5" t="s">
        <v>10</v>
      </c>
      <c r="K495" s="5">
        <v>23</v>
      </c>
      <c r="L495" s="5">
        <v>50</v>
      </c>
      <c r="M495" s="5">
        <v>1250</v>
      </c>
      <c r="N495" s="5" t="s">
        <v>171</v>
      </c>
      <c r="O495" s="6" t="s">
        <v>81</v>
      </c>
      <c r="P495" s="6" t="s">
        <v>420</v>
      </c>
      <c r="Q495" s="6"/>
      <c r="R495" s="6"/>
      <c r="S495" s="6">
        <v>17</v>
      </c>
      <c r="T495" s="6">
        <v>11</v>
      </c>
      <c r="U495" s="6">
        <v>1251</v>
      </c>
      <c r="V495" s="6">
        <v>25.56</v>
      </c>
      <c r="W495" s="6">
        <v>13</v>
      </c>
      <c r="X495" s="6">
        <v>239</v>
      </c>
      <c r="Y495" s="6">
        <v>629</v>
      </c>
      <c r="Z495" s="6">
        <v>324</v>
      </c>
      <c r="AA495" s="6">
        <v>46</v>
      </c>
      <c r="AB495" s="6">
        <v>0</v>
      </c>
      <c r="AC495" s="7">
        <v>28</v>
      </c>
      <c r="AD495" s="7" t="s">
        <v>52</v>
      </c>
      <c r="AE495" s="7">
        <v>16.809999999999999</v>
      </c>
      <c r="AF495" s="76">
        <v>586.6</v>
      </c>
      <c r="AG495" s="7">
        <v>29.3</v>
      </c>
      <c r="AH495" s="7">
        <v>25.22</v>
      </c>
      <c r="AI495" s="7">
        <v>32.049999999999997</v>
      </c>
      <c r="AJ495" s="9">
        <v>221.45129779746301</v>
      </c>
      <c r="AK495" s="9">
        <v>222.728623569745</v>
      </c>
      <c r="AL495" s="9">
        <v>253.58576499148799</v>
      </c>
      <c r="AM495" s="9" t="s">
        <v>169</v>
      </c>
      <c r="AN495" s="9" t="s">
        <v>169</v>
      </c>
      <c r="AO495" s="9" t="s">
        <v>169</v>
      </c>
      <c r="AP495" s="9" t="s">
        <v>169</v>
      </c>
      <c r="AQ495" s="9" t="s">
        <v>169</v>
      </c>
      <c r="AR495" s="9" t="s">
        <v>169</v>
      </c>
      <c r="AS495" s="73" t="s">
        <v>169</v>
      </c>
      <c r="AT495" s="8" t="s">
        <v>169</v>
      </c>
      <c r="AU495" s="10" t="s">
        <v>169</v>
      </c>
      <c r="AV495" s="10">
        <v>0</v>
      </c>
      <c r="AW495" s="8"/>
      <c r="AX495" s="10" t="s">
        <v>169</v>
      </c>
      <c r="AY495" s="10"/>
      <c r="AZ495" s="10"/>
      <c r="BA495" s="10"/>
      <c r="BB495" s="8"/>
      <c r="BC495" s="8"/>
      <c r="BD495" s="8"/>
      <c r="BE495" s="8"/>
      <c r="BF495" s="12">
        <v>0.46</v>
      </c>
      <c r="BG495" s="13">
        <v>203.16446205234701</v>
      </c>
      <c r="BH495" s="96" t="str">
        <f>+VLOOKUP(G495,Liste!$A$7:$G$50,3,FALSE)</f>
        <v>Pin Maritime</v>
      </c>
      <c r="BI495" s="96" t="str">
        <f>+VLOOKUP(H495,Liste!$B$7:$G$50,5,FALSE)</f>
        <v>GS Pineraies des plaines du Centre et du Nord Ouest</v>
      </c>
      <c r="BJ495" s="135">
        <f t="shared" si="148"/>
        <v>28</v>
      </c>
      <c r="BK495" s="135" t="str">
        <f t="shared" si="150"/>
        <v>Pin Maritime_F2_Classique_GS Pineraies des plaines du Centre et du Nord Ouest_28_</v>
      </c>
      <c r="BL495" s="322"/>
      <c r="BM495" s="13">
        <v>53.751093197638397</v>
      </c>
      <c r="BN495" s="13">
        <v>256.91555524998603</v>
      </c>
      <c r="BO495" s="13" t="s">
        <v>169</v>
      </c>
      <c r="BP495" s="13">
        <v>243.14590308576999</v>
      </c>
      <c r="BQ495" s="13" t="s">
        <v>169</v>
      </c>
      <c r="BT495" s="298" t="str">
        <f>+VLOOKUP(G495,Liste!$A$7:$H$50,8,FALSE)</f>
        <v>Résineux</v>
      </c>
      <c r="BU495" s="298">
        <f t="shared" si="151"/>
        <v>0</v>
      </c>
      <c r="BV495" s="300">
        <f t="shared" si="152"/>
        <v>1</v>
      </c>
      <c r="BW495" s="321">
        <v>0</v>
      </c>
      <c r="BX495" s="298">
        <f t="shared" si="153"/>
        <v>0.43</v>
      </c>
      <c r="BY495">
        <f t="shared" si="165"/>
        <v>0</v>
      </c>
      <c r="BZ495" s="304">
        <f t="shared" si="154"/>
        <v>42.138780315402954</v>
      </c>
      <c r="CB495" s="299">
        <v>0.6</v>
      </c>
      <c r="CC495" s="299">
        <v>0.4</v>
      </c>
      <c r="CD495">
        <f t="shared" si="155"/>
        <v>0</v>
      </c>
      <c r="CE495">
        <f t="shared" si="156"/>
        <v>0</v>
      </c>
      <c r="CF495">
        <f t="shared" si="157"/>
        <v>0</v>
      </c>
      <c r="CG495">
        <f t="shared" si="158"/>
        <v>0</v>
      </c>
      <c r="CH495">
        <f t="shared" si="159"/>
        <v>0</v>
      </c>
      <c r="CI495">
        <f t="shared" si="160"/>
        <v>0</v>
      </c>
      <c r="CJ495">
        <f t="shared" si="161"/>
        <v>0</v>
      </c>
      <c r="CK495">
        <f t="shared" si="162"/>
        <v>38.534205758915519</v>
      </c>
      <c r="CL495">
        <f t="shared" si="163"/>
        <v>4.1211972349037911</v>
      </c>
      <c r="CM495">
        <f t="shared" si="166"/>
        <v>42.655402993819308</v>
      </c>
      <c r="CN495">
        <f t="shared" si="164"/>
        <v>409.0505131132835</v>
      </c>
      <c r="CO495">
        <f t="shared" si="149"/>
        <v>0</v>
      </c>
    </row>
    <row r="496" spans="1:93" s="12" customFormat="1" ht="14.65" customHeight="1" x14ac:dyDescent="0.25">
      <c r="A496" s="4">
        <v>2021</v>
      </c>
      <c r="B496" s="4"/>
      <c r="C496" s="4" t="s">
        <v>418</v>
      </c>
      <c r="D496" s="4" t="s">
        <v>65</v>
      </c>
      <c r="E496" s="4"/>
      <c r="F496" s="4" t="s">
        <v>90</v>
      </c>
      <c r="G496" s="5" t="s">
        <v>419</v>
      </c>
      <c r="H496" s="5" t="s">
        <v>21</v>
      </c>
      <c r="I496" s="5" t="s">
        <v>18</v>
      </c>
      <c r="J496" s="5" t="s">
        <v>10</v>
      </c>
      <c r="K496" s="5">
        <v>23</v>
      </c>
      <c r="L496" s="5">
        <v>50</v>
      </c>
      <c r="M496" s="5">
        <v>1250</v>
      </c>
      <c r="N496" s="5" t="s">
        <v>171</v>
      </c>
      <c r="O496" s="6" t="s">
        <v>81</v>
      </c>
      <c r="P496" s="6" t="s">
        <v>420</v>
      </c>
      <c r="Q496" s="6"/>
      <c r="R496" s="6"/>
      <c r="S496" s="6">
        <v>17</v>
      </c>
      <c r="T496" s="6">
        <v>11</v>
      </c>
      <c r="U496" s="6">
        <v>1251</v>
      </c>
      <c r="V496" s="6">
        <v>25.56</v>
      </c>
      <c r="W496" s="6">
        <v>13</v>
      </c>
      <c r="X496" s="6">
        <v>239</v>
      </c>
      <c r="Y496" s="6">
        <v>629</v>
      </c>
      <c r="Z496" s="6">
        <v>324</v>
      </c>
      <c r="AA496" s="6">
        <v>46</v>
      </c>
      <c r="AB496" s="6">
        <v>0</v>
      </c>
      <c r="AC496" s="7">
        <v>29</v>
      </c>
      <c r="AD496" s="7" t="s">
        <v>52</v>
      </c>
      <c r="AE496" s="7">
        <v>17.260000000000002</v>
      </c>
      <c r="AF496" s="76">
        <v>586.6</v>
      </c>
      <c r="AG496" s="7">
        <v>31.03</v>
      </c>
      <c r="AH496" s="7">
        <v>25.95</v>
      </c>
      <c r="AI496" s="7">
        <v>33.049999999999997</v>
      </c>
      <c r="AJ496" s="9">
        <v>239.39918195689199</v>
      </c>
      <c r="AK496" s="9">
        <v>240.78615288806299</v>
      </c>
      <c r="AL496" s="9">
        <v>273.18625316016301</v>
      </c>
      <c r="AM496" s="9">
        <v>48.489043860164003</v>
      </c>
      <c r="AN496" s="9">
        <v>1.6720359951780699</v>
      </c>
      <c r="AO496" s="9">
        <v>1.47853970119038</v>
      </c>
      <c r="AP496" s="9">
        <v>398.22559318207698</v>
      </c>
      <c r="AQ496" s="9">
        <v>13.731917006278501</v>
      </c>
      <c r="AR496" s="9">
        <v>18.4264715850755</v>
      </c>
      <c r="AS496" s="73" t="s">
        <v>169</v>
      </c>
      <c r="AT496" s="8" t="s">
        <v>169</v>
      </c>
      <c r="AU496" s="10" t="s">
        <v>169</v>
      </c>
      <c r="AV496" s="10">
        <v>0</v>
      </c>
      <c r="AW496" s="8"/>
      <c r="AX496" s="10" t="s">
        <v>169</v>
      </c>
      <c r="AY496" s="10"/>
      <c r="AZ496" s="10"/>
      <c r="BA496" s="10"/>
      <c r="BB496" s="8"/>
      <c r="BC496" s="8"/>
      <c r="BD496" s="8"/>
      <c r="BE496" s="8"/>
      <c r="BF496" s="12">
        <v>0.46</v>
      </c>
      <c r="BG496" s="13">
        <v>218.86771982348401</v>
      </c>
      <c r="BH496" s="96" t="str">
        <f>+VLOOKUP(G496,Liste!$A$7:$G$50,3,FALSE)</f>
        <v>Pin Maritime</v>
      </c>
      <c r="BI496" s="96" t="str">
        <f>+VLOOKUP(H496,Liste!$B$7:$G$50,5,FALSE)</f>
        <v>GS Pineraies des plaines du Centre et du Nord Ouest</v>
      </c>
      <c r="BJ496" s="135">
        <f t="shared" si="148"/>
        <v>29</v>
      </c>
      <c r="BK496" s="135" t="str">
        <f t="shared" si="150"/>
        <v>Pin Maritime_F2_Classique_GS Pineraies des plaines du Centre et du Nord Ouest_29_</v>
      </c>
      <c r="BL496" s="322"/>
      <c r="BM496" s="13">
        <v>57.462558318753203</v>
      </c>
      <c r="BN496" s="13">
        <v>276.33027814223698</v>
      </c>
      <c r="BO496" s="13" t="s">
        <v>169</v>
      </c>
      <c r="BP496" s="13">
        <v>243.14590308576999</v>
      </c>
      <c r="BQ496" s="13">
        <v>17.999659879241001</v>
      </c>
      <c r="BT496" s="298" t="str">
        <f>+VLOOKUP(G496,Liste!$A$7:$H$50,8,FALSE)</f>
        <v>Résineux</v>
      </c>
      <c r="BU496" s="298">
        <f t="shared" si="151"/>
        <v>0</v>
      </c>
      <c r="BV496" s="300">
        <f t="shared" si="152"/>
        <v>1</v>
      </c>
      <c r="BW496" s="321">
        <v>0</v>
      </c>
      <c r="BX496" s="298">
        <f t="shared" si="153"/>
        <v>0.43</v>
      </c>
      <c r="BY496">
        <f t="shared" si="165"/>
        <v>0</v>
      </c>
      <c r="BZ496" s="304">
        <f t="shared" si="154"/>
        <v>42.138780315402954</v>
      </c>
      <c r="CB496" s="299">
        <v>0.6</v>
      </c>
      <c r="CC496" s="299">
        <v>0.4</v>
      </c>
      <c r="CD496">
        <f t="shared" si="155"/>
        <v>0</v>
      </c>
      <c r="CE496">
        <f t="shared" si="156"/>
        <v>0</v>
      </c>
      <c r="CF496">
        <f t="shared" si="157"/>
        <v>0</v>
      </c>
      <c r="CG496">
        <f t="shared" si="158"/>
        <v>0</v>
      </c>
      <c r="CH496">
        <f t="shared" si="159"/>
        <v>0</v>
      </c>
      <c r="CI496">
        <f t="shared" si="160"/>
        <v>0</v>
      </c>
      <c r="CJ496">
        <f t="shared" si="161"/>
        <v>0</v>
      </c>
      <c r="CK496">
        <f t="shared" si="162"/>
        <v>37.480485876012168</v>
      </c>
      <c r="CL496">
        <f t="shared" si="163"/>
        <v>2.9141265114077197</v>
      </c>
      <c r="CM496">
        <f t="shared" si="166"/>
        <v>40.39461238741989</v>
      </c>
      <c r="CN496">
        <f t="shared" si="164"/>
        <v>449.4451255007034</v>
      </c>
      <c r="CO496">
        <f t="shared" si="149"/>
        <v>0</v>
      </c>
    </row>
    <row r="497" spans="1:93" s="12" customFormat="1" ht="14.65" customHeight="1" x14ac:dyDescent="0.25">
      <c r="A497" s="4">
        <v>2021</v>
      </c>
      <c r="B497" s="4"/>
      <c r="C497" s="4" t="s">
        <v>418</v>
      </c>
      <c r="D497" s="4" t="s">
        <v>65</v>
      </c>
      <c r="E497" s="4"/>
      <c r="F497" s="4" t="s">
        <v>90</v>
      </c>
      <c r="G497" s="5" t="s">
        <v>419</v>
      </c>
      <c r="H497" s="5" t="s">
        <v>21</v>
      </c>
      <c r="I497" s="5" t="s">
        <v>18</v>
      </c>
      <c r="J497" s="5" t="s">
        <v>10</v>
      </c>
      <c r="K497" s="5">
        <v>23</v>
      </c>
      <c r="L497" s="5">
        <v>50</v>
      </c>
      <c r="M497" s="5">
        <v>1250</v>
      </c>
      <c r="N497" s="5" t="s">
        <v>171</v>
      </c>
      <c r="O497" s="6" t="s">
        <v>81</v>
      </c>
      <c r="P497" s="6" t="s">
        <v>420</v>
      </c>
      <c r="Q497" s="6"/>
      <c r="R497" s="6"/>
      <c r="S497" s="6">
        <v>17</v>
      </c>
      <c r="T497" s="6">
        <v>11</v>
      </c>
      <c r="U497" s="6">
        <v>1251</v>
      </c>
      <c r="V497" s="6">
        <v>25.56</v>
      </c>
      <c r="W497" s="6">
        <v>13</v>
      </c>
      <c r="X497" s="6">
        <v>239</v>
      </c>
      <c r="Y497" s="6">
        <v>629</v>
      </c>
      <c r="Z497" s="6">
        <v>324</v>
      </c>
      <c r="AA497" s="6">
        <v>46</v>
      </c>
      <c r="AB497" s="6">
        <v>0</v>
      </c>
      <c r="AC497" s="7">
        <v>29</v>
      </c>
      <c r="AD497" s="7" t="s">
        <v>53</v>
      </c>
      <c r="AE497" s="7">
        <v>17.03</v>
      </c>
      <c r="AF497" s="76">
        <v>445.6</v>
      </c>
      <c r="AG497" s="7">
        <v>24.02</v>
      </c>
      <c r="AH497" s="7">
        <v>26.2</v>
      </c>
      <c r="AI497" s="7">
        <v>31.74</v>
      </c>
      <c r="AJ497" s="9">
        <v>185.97912304990101</v>
      </c>
      <c r="AK497" s="9">
        <v>186.99129570215601</v>
      </c>
      <c r="AL497" s="9">
        <v>211.23371610500399</v>
      </c>
      <c r="AM497" s="9">
        <v>48.489043860164003</v>
      </c>
      <c r="AN497" s="9">
        <v>1.6720359951780699</v>
      </c>
      <c r="AO497" s="9">
        <v>1.47853970119038</v>
      </c>
      <c r="AP497" s="9">
        <v>398.22559318207698</v>
      </c>
      <c r="AQ497" s="9">
        <v>13.731917006278501</v>
      </c>
      <c r="AR497" s="9">
        <v>18.4264715850755</v>
      </c>
      <c r="AS497" s="73">
        <v>141</v>
      </c>
      <c r="AT497" s="8">
        <v>7.0100000000000016</v>
      </c>
      <c r="AU497" s="10">
        <v>25.159645174173633</v>
      </c>
      <c r="AV497" s="10">
        <v>53.420058906990988</v>
      </c>
      <c r="AW497" s="8">
        <v>0.94</v>
      </c>
      <c r="AX497" s="10">
        <v>0.37886566600702831</v>
      </c>
      <c r="AY497" s="10"/>
      <c r="AZ497" s="10"/>
      <c r="BA497" s="10"/>
      <c r="BB497" s="8"/>
      <c r="BC497" s="8"/>
      <c r="BD497" s="8"/>
      <c r="BE497" s="8"/>
      <c r="BF497" s="12">
        <v>0.46</v>
      </c>
      <c r="BG497" s="13">
        <v>169.23341221945901</v>
      </c>
      <c r="BH497" s="96" t="str">
        <f>+VLOOKUP(G497,Liste!$A$7:$G$50,3,FALSE)</f>
        <v>Pin Maritime</v>
      </c>
      <c r="BI497" s="96" t="str">
        <f>+VLOOKUP(H497,Liste!$B$7:$G$50,5,FALSE)</f>
        <v>GS Pineraies des plaines du Centre et du Nord Ouest</v>
      </c>
      <c r="BJ497" s="135">
        <f t="shared" si="148"/>
        <v>29</v>
      </c>
      <c r="BK497" s="135" t="str">
        <f t="shared" si="150"/>
        <v>Pin Maritime_F2_Classique_GS Pineraies des plaines du Centre et du Nord Ouest_29_</v>
      </c>
      <c r="BL497" s="322"/>
      <c r="BM497" s="13">
        <v>45.781574358920501</v>
      </c>
      <c r="BN497" s="13">
        <v>215.01498657837899</v>
      </c>
      <c r="BO497" s="13">
        <v>61.315291563857983</v>
      </c>
      <c r="BP497" s="13">
        <v>243.14590308576999</v>
      </c>
      <c r="BQ497" s="13">
        <v>17.999659879241001</v>
      </c>
      <c r="BT497" s="298" t="str">
        <f>+VLOOKUP(G497,Liste!$A$7:$H$50,8,FALSE)</f>
        <v>Résineux</v>
      </c>
      <c r="BU497" s="298">
        <f t="shared" si="151"/>
        <v>0</v>
      </c>
      <c r="BV497" s="300">
        <f t="shared" si="152"/>
        <v>1</v>
      </c>
      <c r="BW497" s="321">
        <v>0</v>
      </c>
      <c r="BX497" s="298">
        <f t="shared" si="153"/>
        <v>0.43</v>
      </c>
      <c r="BY497">
        <f t="shared" si="165"/>
        <v>22.970625330006126</v>
      </c>
      <c r="BZ497" s="304">
        <f t="shared" si="154"/>
        <v>65.109405645409083</v>
      </c>
      <c r="CB497" s="299">
        <v>0.6</v>
      </c>
      <c r="CC497" s="299">
        <v>0.4</v>
      </c>
      <c r="CD497">
        <f t="shared" si="155"/>
        <v>0</v>
      </c>
      <c r="CE497">
        <f t="shared" si="156"/>
        <v>32.052035344194593</v>
      </c>
      <c r="CF497">
        <f t="shared" si="157"/>
        <v>21.368023562796395</v>
      </c>
      <c r="CG497">
        <f t="shared" si="158"/>
        <v>0</v>
      </c>
      <c r="CH497">
        <f t="shared" si="159"/>
        <v>25.679022316590572</v>
      </c>
      <c r="CI497">
        <f t="shared" si="160"/>
        <v>17.11934821106038</v>
      </c>
      <c r="CJ497">
        <f t="shared" si="161"/>
        <v>0</v>
      </c>
      <c r="CK497">
        <f t="shared" si="162"/>
        <v>36.455580018719523</v>
      </c>
      <c r="CL497">
        <f t="shared" si="163"/>
        <v>2.0605986174518955</v>
      </c>
      <c r="CM497">
        <f t="shared" si="166"/>
        <v>38.516178636171418</v>
      </c>
      <c r="CN497">
        <f t="shared" si="164"/>
        <v>487.96130413687479</v>
      </c>
      <c r="CO497">
        <f t="shared" si="149"/>
        <v>0</v>
      </c>
    </row>
    <row r="498" spans="1:93" s="12" customFormat="1" ht="14.65" customHeight="1" x14ac:dyDescent="0.25">
      <c r="A498" s="4">
        <v>2021</v>
      </c>
      <c r="B498" s="4"/>
      <c r="C498" s="4" t="s">
        <v>418</v>
      </c>
      <c r="D498" s="4" t="s">
        <v>65</v>
      </c>
      <c r="E498" s="4"/>
      <c r="F498" s="4" t="s">
        <v>90</v>
      </c>
      <c r="G498" s="5" t="s">
        <v>419</v>
      </c>
      <c r="H498" s="5" t="s">
        <v>21</v>
      </c>
      <c r="I498" s="5" t="s">
        <v>18</v>
      </c>
      <c r="J498" s="5" t="s">
        <v>10</v>
      </c>
      <c r="K498" s="5">
        <v>23</v>
      </c>
      <c r="L498" s="5">
        <v>50</v>
      </c>
      <c r="M498" s="5">
        <v>1250</v>
      </c>
      <c r="N498" s="5" t="s">
        <v>171</v>
      </c>
      <c r="O498" s="6" t="s">
        <v>81</v>
      </c>
      <c r="P498" s="6" t="s">
        <v>420</v>
      </c>
      <c r="Q498" s="6"/>
      <c r="R498" s="6"/>
      <c r="S498" s="6">
        <v>17</v>
      </c>
      <c r="T498" s="6">
        <v>11</v>
      </c>
      <c r="U498" s="6">
        <v>1251</v>
      </c>
      <c r="V498" s="6">
        <v>25.56</v>
      </c>
      <c r="W498" s="6">
        <v>13</v>
      </c>
      <c r="X498" s="6">
        <v>239</v>
      </c>
      <c r="Y498" s="6">
        <v>629</v>
      </c>
      <c r="Z498" s="6">
        <v>324</v>
      </c>
      <c r="AA498" s="6">
        <v>46</v>
      </c>
      <c r="AB498" s="6">
        <v>0</v>
      </c>
      <c r="AC498" s="7">
        <v>30</v>
      </c>
      <c r="AD498" s="7" t="s">
        <v>52</v>
      </c>
      <c r="AE498" s="7">
        <v>17.68</v>
      </c>
      <c r="AF498" s="76">
        <v>445.6</v>
      </c>
      <c r="AG498" s="7">
        <v>25.5</v>
      </c>
      <c r="AH498" s="7">
        <v>26.99</v>
      </c>
      <c r="AI498" s="7">
        <v>32.75</v>
      </c>
      <c r="AJ498" s="9">
        <v>203.126847967456</v>
      </c>
      <c r="AK498" s="9">
        <v>204.22970468405799</v>
      </c>
      <c r="AL498" s="9">
        <v>229.660187690079</v>
      </c>
      <c r="AM498" s="9" t="s">
        <v>169</v>
      </c>
      <c r="AN498" s="9" t="s">
        <v>169</v>
      </c>
      <c r="AO498" s="9" t="s">
        <v>169</v>
      </c>
      <c r="AP498" s="9" t="s">
        <v>169</v>
      </c>
      <c r="AQ498" s="9" t="s">
        <v>169</v>
      </c>
      <c r="AR498" s="9" t="s">
        <v>169</v>
      </c>
      <c r="AS498" s="73" t="s">
        <v>169</v>
      </c>
      <c r="AT498" s="8" t="s">
        <v>169</v>
      </c>
      <c r="AU498" s="10" t="s">
        <v>169</v>
      </c>
      <c r="AV498" s="10">
        <v>0</v>
      </c>
      <c r="AW498" s="8"/>
      <c r="AX498" s="10" t="s">
        <v>169</v>
      </c>
      <c r="AY498" s="10"/>
      <c r="AZ498" s="10"/>
      <c r="BA498" s="10"/>
      <c r="BB498" s="8"/>
      <c r="BC498" s="8"/>
      <c r="BD498" s="8"/>
      <c r="BE498" s="8"/>
      <c r="BF498" s="12">
        <v>0.46</v>
      </c>
      <c r="BG498" s="13">
        <v>183.99608703770201</v>
      </c>
      <c r="BH498" s="96" t="str">
        <f>+VLOOKUP(G498,Liste!$A$7:$G$50,3,FALSE)</f>
        <v>Pin Maritime</v>
      </c>
      <c r="BI498" s="96" t="str">
        <f>+VLOOKUP(H498,Liste!$B$7:$G$50,5,FALSE)</f>
        <v>GS Pineraies des plaines du Centre et du Nord Ouest</v>
      </c>
      <c r="BJ498" s="135">
        <f t="shared" si="148"/>
        <v>30</v>
      </c>
      <c r="BK498" s="135" t="str">
        <f t="shared" si="150"/>
        <v>Pin Maritime_F2_Classique_GS Pineraies des plaines du Centre et du Nord Ouest_30_</v>
      </c>
      <c r="BL498" s="322"/>
      <c r="BM498" s="13">
        <v>49.232672251906003</v>
      </c>
      <c r="BN498" s="13">
        <v>233.22875928960801</v>
      </c>
      <c r="BO498" s="13" t="s">
        <v>169</v>
      </c>
      <c r="BP498" s="13">
        <v>243.14590308576999</v>
      </c>
      <c r="BQ498" s="13" t="s">
        <v>169</v>
      </c>
      <c r="BT498" s="298" t="str">
        <f>+VLOOKUP(G498,Liste!$A$7:$H$50,8,FALSE)</f>
        <v>Résineux</v>
      </c>
      <c r="BU498" s="298">
        <f t="shared" si="151"/>
        <v>0</v>
      </c>
      <c r="BV498" s="300">
        <f t="shared" si="152"/>
        <v>1</v>
      </c>
      <c r="BW498" s="321">
        <v>0</v>
      </c>
      <c r="BX498" s="298">
        <f t="shared" si="153"/>
        <v>0.43</v>
      </c>
      <c r="BY498">
        <f t="shared" si="165"/>
        <v>0</v>
      </c>
      <c r="BZ498" s="304">
        <f t="shared" si="154"/>
        <v>65.109405645409083</v>
      </c>
      <c r="CB498" s="299">
        <v>0.6</v>
      </c>
      <c r="CC498" s="299">
        <v>0.4</v>
      </c>
      <c r="CD498">
        <f t="shared" si="155"/>
        <v>0</v>
      </c>
      <c r="CE498">
        <f t="shared" si="156"/>
        <v>0</v>
      </c>
      <c r="CF498">
        <f t="shared" si="157"/>
        <v>0</v>
      </c>
      <c r="CG498">
        <f t="shared" si="158"/>
        <v>0</v>
      </c>
      <c r="CH498">
        <f t="shared" si="159"/>
        <v>0</v>
      </c>
      <c r="CI498">
        <f t="shared" si="160"/>
        <v>0</v>
      </c>
      <c r="CJ498">
        <f t="shared" si="161"/>
        <v>0</v>
      </c>
      <c r="CK498">
        <f t="shared" si="162"/>
        <v>60.785003082408608</v>
      </c>
      <c r="CL498">
        <f t="shared" si="163"/>
        <v>15.924815970142424</v>
      </c>
      <c r="CM498">
        <f t="shared" si="166"/>
        <v>76.709819052551026</v>
      </c>
      <c r="CN498">
        <f t="shared" si="164"/>
        <v>564.67112318942577</v>
      </c>
      <c r="CO498">
        <f t="shared" si="149"/>
        <v>18.822370772980857</v>
      </c>
    </row>
    <row r="499" spans="1:93" s="12" customFormat="1" ht="14.65" customHeight="1" x14ac:dyDescent="0.25">
      <c r="A499" s="4">
        <v>2021</v>
      </c>
      <c r="B499" s="4"/>
      <c r="C499" s="4" t="s">
        <v>418</v>
      </c>
      <c r="D499" s="4" t="s">
        <v>65</v>
      </c>
      <c r="E499" s="4"/>
      <c r="F499" s="4" t="s">
        <v>90</v>
      </c>
      <c r="G499" s="5" t="s">
        <v>419</v>
      </c>
      <c r="H499" s="5" t="s">
        <v>21</v>
      </c>
      <c r="I499" s="5" t="s">
        <v>18</v>
      </c>
      <c r="J499" s="5" t="s">
        <v>10</v>
      </c>
      <c r="K499" s="5">
        <v>23</v>
      </c>
      <c r="L499" s="5">
        <v>50</v>
      </c>
      <c r="M499" s="5">
        <v>1250</v>
      </c>
      <c r="N499" s="5" t="s">
        <v>171</v>
      </c>
      <c r="O499" s="6" t="s">
        <v>81</v>
      </c>
      <c r="P499" s="6" t="s">
        <v>420</v>
      </c>
      <c r="Q499" s="6"/>
      <c r="R499" s="6"/>
      <c r="S499" s="6">
        <v>17</v>
      </c>
      <c r="T499" s="6">
        <v>11</v>
      </c>
      <c r="U499" s="6">
        <v>1251</v>
      </c>
      <c r="V499" s="6">
        <v>25.56</v>
      </c>
      <c r="W499" s="6">
        <v>13</v>
      </c>
      <c r="X499" s="6">
        <v>239</v>
      </c>
      <c r="Y499" s="6">
        <v>629</v>
      </c>
      <c r="Z499" s="6">
        <v>324</v>
      </c>
      <c r="AA499" s="6">
        <v>46</v>
      </c>
      <c r="AB499" s="6">
        <v>0</v>
      </c>
      <c r="AC499" s="7">
        <v>31</v>
      </c>
      <c r="AD499" s="7" t="s">
        <v>52</v>
      </c>
      <c r="AE499" s="7">
        <v>18.100000000000001</v>
      </c>
      <c r="AF499" s="76">
        <v>445.6</v>
      </c>
      <c r="AG499" s="7">
        <v>26.99</v>
      </c>
      <c r="AH499" s="7">
        <v>27.77</v>
      </c>
      <c r="AI499" s="7">
        <v>33.729999999999997</v>
      </c>
      <c r="AJ499" s="9">
        <v>220.27457288501</v>
      </c>
      <c r="AK499" s="9">
        <v>221.46811366596</v>
      </c>
      <c r="AL499" s="9">
        <v>248.08665927515401</v>
      </c>
      <c r="AM499" s="9" t="s">
        <v>169</v>
      </c>
      <c r="AN499" s="9" t="s">
        <v>169</v>
      </c>
      <c r="AO499" s="9" t="s">
        <v>169</v>
      </c>
      <c r="AP499" s="9" t="s">
        <v>169</v>
      </c>
      <c r="AQ499" s="9" t="s">
        <v>169</v>
      </c>
      <c r="AR499" s="9" t="s">
        <v>169</v>
      </c>
      <c r="AS499" s="73" t="s">
        <v>169</v>
      </c>
      <c r="AT499" s="8" t="s">
        <v>169</v>
      </c>
      <c r="AU499" s="10" t="s">
        <v>169</v>
      </c>
      <c r="AV499" s="10">
        <v>0</v>
      </c>
      <c r="AW499" s="8"/>
      <c r="AX499" s="10" t="s">
        <v>169</v>
      </c>
      <c r="AY499" s="10"/>
      <c r="AZ499" s="10"/>
      <c r="BA499" s="10"/>
      <c r="BB499" s="8"/>
      <c r="BC499" s="8"/>
      <c r="BD499" s="8"/>
      <c r="BE499" s="8"/>
      <c r="BF499" s="12">
        <v>0.46</v>
      </c>
      <c r="BG499" s="13">
        <v>198.75876185594501</v>
      </c>
      <c r="BH499" s="96" t="str">
        <f>+VLOOKUP(G499,Liste!$A$7:$G$50,3,FALSE)</f>
        <v>Pin Maritime</v>
      </c>
      <c r="BI499" s="96" t="str">
        <f>+VLOOKUP(H499,Liste!$B$7:$G$50,5,FALSE)</f>
        <v>GS Pineraies des plaines du Centre et du Nord Ouest</v>
      </c>
      <c r="BJ499" s="135">
        <f t="shared" si="148"/>
        <v>31</v>
      </c>
      <c r="BK499" s="135" t="str">
        <f t="shared" si="150"/>
        <v>Pin Maritime_F2_Classique_GS Pineraies des plaines du Centre et du Nord Ouest_31_</v>
      </c>
      <c r="BL499" s="322"/>
      <c r="BM499" s="13">
        <v>52.683770144891497</v>
      </c>
      <c r="BN499" s="13">
        <v>251.442532000836</v>
      </c>
      <c r="BO499" s="13" t="s">
        <v>169</v>
      </c>
      <c r="BP499" s="13">
        <v>243.14590308576999</v>
      </c>
      <c r="BQ499" s="13" t="s">
        <v>169</v>
      </c>
      <c r="BT499" s="298" t="str">
        <f>+VLOOKUP(G499,Liste!$A$7:$H$50,8,FALSE)</f>
        <v>Résineux</v>
      </c>
      <c r="BU499" s="298">
        <f t="shared" si="151"/>
        <v>0</v>
      </c>
      <c r="BV499" s="300">
        <f t="shared" si="152"/>
        <v>1</v>
      </c>
      <c r="BW499" s="321">
        <v>0</v>
      </c>
      <c r="BX499" s="298">
        <f t="shared" si="153"/>
        <v>0.43</v>
      </c>
      <c r="BY499">
        <f t="shared" si="165"/>
        <v>0</v>
      </c>
      <c r="BZ499" s="304">
        <f t="shared" si="154"/>
        <v>0</v>
      </c>
      <c r="CB499" s="299">
        <v>0.6</v>
      </c>
      <c r="CC499" s="299">
        <v>0.4</v>
      </c>
      <c r="CD499">
        <f t="shared" si="155"/>
        <v>0</v>
      </c>
      <c r="CE499">
        <f t="shared" si="156"/>
        <v>0</v>
      </c>
      <c r="CF499">
        <f t="shared" si="157"/>
        <v>0</v>
      </c>
      <c r="CG499">
        <f t="shared" si="158"/>
        <v>0</v>
      </c>
      <c r="CH499">
        <f t="shared" si="159"/>
        <v>0</v>
      </c>
      <c r="CI499">
        <f t="shared" si="160"/>
        <v>0</v>
      </c>
      <c r="CJ499">
        <f t="shared" si="161"/>
        <v>0</v>
      </c>
      <c r="CK499">
        <f t="shared" si="162"/>
        <v>59.122833976575755</v>
      </c>
      <c r="CL499">
        <f t="shared" si="163"/>
        <v>11.260545361635538</v>
      </c>
      <c r="CM499">
        <f t="shared" si="166"/>
        <v>70.383379338211299</v>
      </c>
      <c r="CN499">
        <f t="shared" si="164"/>
        <v>635.05450252763706</v>
      </c>
      <c r="CO499">
        <f t="shared" si="149"/>
        <v>0</v>
      </c>
    </row>
    <row r="500" spans="1:93" s="12" customFormat="1" ht="14.65" customHeight="1" x14ac:dyDescent="0.25">
      <c r="A500" s="4">
        <v>2021</v>
      </c>
      <c r="B500" s="4"/>
      <c r="C500" s="4" t="s">
        <v>418</v>
      </c>
      <c r="D500" s="4" t="s">
        <v>65</v>
      </c>
      <c r="E500" s="4"/>
      <c r="F500" s="4" t="s">
        <v>90</v>
      </c>
      <c r="G500" s="5" t="s">
        <v>419</v>
      </c>
      <c r="H500" s="5" t="s">
        <v>21</v>
      </c>
      <c r="I500" s="5" t="s">
        <v>18</v>
      </c>
      <c r="J500" s="5" t="s">
        <v>10</v>
      </c>
      <c r="K500" s="5">
        <v>23</v>
      </c>
      <c r="L500" s="5">
        <v>50</v>
      </c>
      <c r="M500" s="5">
        <v>1250</v>
      </c>
      <c r="N500" s="5" t="s">
        <v>171</v>
      </c>
      <c r="O500" s="6" t="s">
        <v>81</v>
      </c>
      <c r="P500" s="6" t="s">
        <v>420</v>
      </c>
      <c r="Q500" s="6"/>
      <c r="R500" s="6"/>
      <c r="S500" s="6">
        <v>17</v>
      </c>
      <c r="T500" s="6">
        <v>11</v>
      </c>
      <c r="U500" s="6">
        <v>1251</v>
      </c>
      <c r="V500" s="6">
        <v>25.56</v>
      </c>
      <c r="W500" s="6">
        <v>13</v>
      </c>
      <c r="X500" s="6">
        <v>239</v>
      </c>
      <c r="Y500" s="6">
        <v>629</v>
      </c>
      <c r="Z500" s="6">
        <v>324</v>
      </c>
      <c r="AA500" s="6">
        <v>46</v>
      </c>
      <c r="AB500" s="6">
        <v>0</v>
      </c>
      <c r="AC500" s="7">
        <v>32</v>
      </c>
      <c r="AD500" s="7" t="s">
        <v>52</v>
      </c>
      <c r="AE500" s="7">
        <v>18.5</v>
      </c>
      <c r="AF500" s="76">
        <v>445.6</v>
      </c>
      <c r="AG500" s="7">
        <v>28.47</v>
      </c>
      <c r="AH500" s="7">
        <v>28.52</v>
      </c>
      <c r="AI500" s="7">
        <v>34.700000000000003</v>
      </c>
      <c r="AJ500" s="9">
        <v>237.422297802565</v>
      </c>
      <c r="AK500" s="9">
        <v>238.70652264786199</v>
      </c>
      <c r="AL500" s="9">
        <v>266.51313086022998</v>
      </c>
      <c r="AM500" s="9" t="s">
        <v>169</v>
      </c>
      <c r="AN500" s="9" t="s">
        <v>169</v>
      </c>
      <c r="AO500" s="9" t="s">
        <v>169</v>
      </c>
      <c r="AP500" s="9" t="s">
        <v>169</v>
      </c>
      <c r="AQ500" s="9" t="s">
        <v>169</v>
      </c>
      <c r="AR500" s="9" t="s">
        <v>169</v>
      </c>
      <c r="AS500" s="73" t="s">
        <v>169</v>
      </c>
      <c r="AT500" s="8" t="s">
        <v>169</v>
      </c>
      <c r="AU500" s="10" t="s">
        <v>169</v>
      </c>
      <c r="AV500" s="10">
        <v>0</v>
      </c>
      <c r="AW500" s="8"/>
      <c r="AX500" s="10" t="s">
        <v>169</v>
      </c>
      <c r="AY500" s="10"/>
      <c r="AZ500" s="10"/>
      <c r="BA500" s="10"/>
      <c r="BB500" s="8"/>
      <c r="BC500" s="8"/>
      <c r="BD500" s="8"/>
      <c r="BE500" s="8"/>
      <c r="BF500" s="12">
        <v>0.46</v>
      </c>
      <c r="BG500" s="13">
        <v>213.52143667418699</v>
      </c>
      <c r="BH500" s="96" t="str">
        <f>+VLOOKUP(G500,Liste!$A$7:$G$50,3,FALSE)</f>
        <v>Pin Maritime</v>
      </c>
      <c r="BI500" s="96" t="str">
        <f>+VLOOKUP(H500,Liste!$B$7:$G$50,5,FALSE)</f>
        <v>GS Pineraies des plaines du Centre et du Nord Ouest</v>
      </c>
      <c r="BJ500" s="135">
        <f t="shared" si="148"/>
        <v>32</v>
      </c>
      <c r="BK500" s="135" t="str">
        <f t="shared" si="150"/>
        <v>Pin Maritime_F2_Classique_GS Pineraies des plaines du Centre et du Nord Ouest_32_</v>
      </c>
      <c r="BL500" s="322"/>
      <c r="BM500" s="13">
        <v>56.134868037876998</v>
      </c>
      <c r="BN500" s="13">
        <v>269.65630471206498</v>
      </c>
      <c r="BO500" s="13" t="s">
        <v>169</v>
      </c>
      <c r="BP500" s="13">
        <v>243.14590308576999</v>
      </c>
      <c r="BQ500" s="13" t="s">
        <v>169</v>
      </c>
      <c r="BT500" s="298" t="str">
        <f>+VLOOKUP(G500,Liste!$A$7:$H$50,8,FALSE)</f>
        <v>Résineux</v>
      </c>
      <c r="BU500" s="298">
        <f t="shared" si="151"/>
        <v>0</v>
      </c>
      <c r="BV500" s="300">
        <f t="shared" si="152"/>
        <v>1</v>
      </c>
      <c r="BW500" s="321">
        <v>0</v>
      </c>
      <c r="BX500" s="298">
        <f t="shared" si="153"/>
        <v>0.43</v>
      </c>
      <c r="BY500">
        <f t="shared" si="165"/>
        <v>0</v>
      </c>
      <c r="BZ500" s="304">
        <f t="shared" si="154"/>
        <v>0</v>
      </c>
      <c r="CB500" s="299">
        <v>0.6</v>
      </c>
      <c r="CC500" s="299">
        <v>0.4</v>
      </c>
      <c r="CD500">
        <f t="shared" si="155"/>
        <v>0</v>
      </c>
      <c r="CE500">
        <f t="shared" si="156"/>
        <v>0</v>
      </c>
      <c r="CF500">
        <f t="shared" si="157"/>
        <v>0</v>
      </c>
      <c r="CG500">
        <f t="shared" si="158"/>
        <v>0</v>
      </c>
      <c r="CH500">
        <f t="shared" si="159"/>
        <v>0</v>
      </c>
      <c r="CI500">
        <f t="shared" si="160"/>
        <v>0</v>
      </c>
      <c r="CJ500">
        <f t="shared" si="161"/>
        <v>0</v>
      </c>
      <c r="CK500">
        <f t="shared" si="162"/>
        <v>0</v>
      </c>
      <c r="CL500">
        <f t="shared" si="163"/>
        <v>0</v>
      </c>
      <c r="CM500">
        <f t="shared" si="166"/>
        <v>0</v>
      </c>
      <c r="CN500">
        <f t="shared" si="164"/>
        <v>0</v>
      </c>
      <c r="CO500">
        <f t="shared" si="149"/>
        <v>0</v>
      </c>
    </row>
    <row r="501" spans="1:93" s="12" customFormat="1" ht="14.65" customHeight="1" x14ac:dyDescent="0.25">
      <c r="A501" s="4">
        <v>2021</v>
      </c>
      <c r="B501" s="4"/>
      <c r="C501" s="4" t="s">
        <v>418</v>
      </c>
      <c r="D501" s="4" t="s">
        <v>65</v>
      </c>
      <c r="E501" s="4"/>
      <c r="F501" s="4" t="s">
        <v>90</v>
      </c>
      <c r="G501" s="5" t="s">
        <v>419</v>
      </c>
      <c r="H501" s="5" t="s">
        <v>21</v>
      </c>
      <c r="I501" s="5" t="s">
        <v>18</v>
      </c>
      <c r="J501" s="5" t="s">
        <v>10</v>
      </c>
      <c r="K501" s="5">
        <v>23</v>
      </c>
      <c r="L501" s="5">
        <v>50</v>
      </c>
      <c r="M501" s="5">
        <v>1250</v>
      </c>
      <c r="N501" s="5" t="s">
        <v>171</v>
      </c>
      <c r="O501" s="6" t="s">
        <v>81</v>
      </c>
      <c r="P501" s="6" t="s">
        <v>420</v>
      </c>
      <c r="Q501" s="6"/>
      <c r="R501" s="6"/>
      <c r="S501" s="6">
        <v>17</v>
      </c>
      <c r="T501" s="6">
        <v>11</v>
      </c>
      <c r="U501" s="6">
        <v>1251</v>
      </c>
      <c r="V501" s="6">
        <v>25.56</v>
      </c>
      <c r="W501" s="6">
        <v>13</v>
      </c>
      <c r="X501" s="6">
        <v>239</v>
      </c>
      <c r="Y501" s="6">
        <v>629</v>
      </c>
      <c r="Z501" s="6">
        <v>324</v>
      </c>
      <c r="AA501" s="6">
        <v>46</v>
      </c>
      <c r="AB501" s="6">
        <v>0</v>
      </c>
      <c r="AC501" s="7">
        <v>33</v>
      </c>
      <c r="AD501" s="7" t="s">
        <v>52</v>
      </c>
      <c r="AE501" s="7">
        <v>18.89</v>
      </c>
      <c r="AF501" s="76">
        <v>445.6</v>
      </c>
      <c r="AG501" s="7">
        <v>29.94</v>
      </c>
      <c r="AH501" s="7">
        <v>29.25</v>
      </c>
      <c r="AI501" s="7">
        <v>35.64</v>
      </c>
      <c r="AJ501" s="9">
        <v>254.570022720119</v>
      </c>
      <c r="AK501" s="9">
        <v>255.94493162976499</v>
      </c>
      <c r="AL501" s="9">
        <v>284.93960244530501</v>
      </c>
      <c r="AM501" s="9" t="s">
        <v>169</v>
      </c>
      <c r="AN501" s="9" t="s">
        <v>169</v>
      </c>
      <c r="AO501" s="9" t="s">
        <v>169</v>
      </c>
      <c r="AP501" s="9" t="s">
        <v>169</v>
      </c>
      <c r="AQ501" s="9" t="s">
        <v>169</v>
      </c>
      <c r="AR501" s="9" t="s">
        <v>169</v>
      </c>
      <c r="AS501" s="73" t="s">
        <v>169</v>
      </c>
      <c r="AT501" s="8" t="s">
        <v>169</v>
      </c>
      <c r="AU501" s="10" t="s">
        <v>169</v>
      </c>
      <c r="AV501" s="10">
        <v>0</v>
      </c>
      <c r="AW501" s="8"/>
      <c r="AX501" s="10" t="s">
        <v>169</v>
      </c>
      <c r="AY501" s="10"/>
      <c r="AZ501" s="10"/>
      <c r="BA501" s="10"/>
      <c r="BB501" s="8"/>
      <c r="BC501" s="8"/>
      <c r="BD501" s="8"/>
      <c r="BE501" s="8"/>
      <c r="BF501" s="12">
        <v>0.46</v>
      </c>
      <c r="BG501" s="13">
        <v>228.28411149242999</v>
      </c>
      <c r="BH501" s="96" t="str">
        <f>+VLOOKUP(G501,Liste!$A$7:$G$50,3,FALSE)</f>
        <v>Pin Maritime</v>
      </c>
      <c r="BI501" s="96" t="str">
        <f>+VLOOKUP(H501,Liste!$B$7:$G$50,5,FALSE)</f>
        <v>GS Pineraies des plaines du Centre et du Nord Ouest</v>
      </c>
      <c r="BJ501" s="135">
        <f t="shared" si="148"/>
        <v>33</v>
      </c>
      <c r="BK501" s="135" t="str">
        <f t="shared" si="150"/>
        <v>Pin Maritime_F2_Classique_GS Pineraies des plaines du Centre et du Nord Ouest_33_</v>
      </c>
      <c r="BL501" s="322"/>
      <c r="BM501" s="13">
        <v>59.5859659308625</v>
      </c>
      <c r="BN501" s="13">
        <v>287.87007742329303</v>
      </c>
      <c r="BO501" s="13" t="s">
        <v>169</v>
      </c>
      <c r="BP501" s="13">
        <v>243.14590308576999</v>
      </c>
      <c r="BQ501" s="13" t="s">
        <v>169</v>
      </c>
      <c r="BT501" s="298" t="str">
        <f>+VLOOKUP(G501,Liste!$A$7:$H$50,8,FALSE)</f>
        <v>Résineux</v>
      </c>
      <c r="BU501" s="298">
        <f t="shared" si="151"/>
        <v>0</v>
      </c>
      <c r="BV501" s="300">
        <f t="shared" si="152"/>
        <v>1</v>
      </c>
      <c r="BW501" s="321">
        <v>0</v>
      </c>
      <c r="BX501" s="298">
        <f t="shared" si="153"/>
        <v>0.43</v>
      </c>
      <c r="BY501">
        <f t="shared" si="165"/>
        <v>0</v>
      </c>
      <c r="BZ501" s="304">
        <f t="shared" si="154"/>
        <v>0</v>
      </c>
      <c r="CB501" s="299">
        <v>0.6</v>
      </c>
      <c r="CC501" s="299">
        <v>0.4</v>
      </c>
      <c r="CD501">
        <f t="shared" si="155"/>
        <v>0</v>
      </c>
      <c r="CE501">
        <f t="shared" si="156"/>
        <v>0</v>
      </c>
      <c r="CF501">
        <f t="shared" si="157"/>
        <v>0</v>
      </c>
      <c r="CG501">
        <f t="shared" si="158"/>
        <v>0</v>
      </c>
      <c r="CH501">
        <f t="shared" si="159"/>
        <v>0</v>
      </c>
      <c r="CI501">
        <f t="shared" si="160"/>
        <v>0</v>
      </c>
      <c r="CJ501">
        <f t="shared" si="161"/>
        <v>0</v>
      </c>
      <c r="CK501">
        <f t="shared" si="162"/>
        <v>0</v>
      </c>
      <c r="CL501">
        <f t="shared" si="163"/>
        <v>0</v>
      </c>
      <c r="CM501">
        <f t="shared" si="166"/>
        <v>0</v>
      </c>
      <c r="CN501">
        <f t="shared" si="164"/>
        <v>0</v>
      </c>
      <c r="CO501">
        <f t="shared" si="149"/>
        <v>0</v>
      </c>
    </row>
    <row r="502" spans="1:93" s="12" customFormat="1" ht="14.65" customHeight="1" x14ac:dyDescent="0.25">
      <c r="A502" s="4">
        <v>2021</v>
      </c>
      <c r="B502" s="4"/>
      <c r="C502" s="4" t="s">
        <v>418</v>
      </c>
      <c r="D502" s="4" t="s">
        <v>65</v>
      </c>
      <c r="E502" s="4"/>
      <c r="F502" s="4" t="s">
        <v>90</v>
      </c>
      <c r="G502" s="5" t="s">
        <v>419</v>
      </c>
      <c r="H502" s="5" t="s">
        <v>21</v>
      </c>
      <c r="I502" s="5" t="s">
        <v>18</v>
      </c>
      <c r="J502" s="5" t="s">
        <v>10</v>
      </c>
      <c r="K502" s="5">
        <v>23</v>
      </c>
      <c r="L502" s="5">
        <v>50</v>
      </c>
      <c r="M502" s="5">
        <v>1250</v>
      </c>
      <c r="N502" s="5" t="s">
        <v>171</v>
      </c>
      <c r="O502" s="6" t="s">
        <v>81</v>
      </c>
      <c r="P502" s="6" t="s">
        <v>420</v>
      </c>
      <c r="Q502" s="6"/>
      <c r="R502" s="6"/>
      <c r="S502" s="6">
        <v>17</v>
      </c>
      <c r="T502" s="6">
        <v>11</v>
      </c>
      <c r="U502" s="6">
        <v>1251</v>
      </c>
      <c r="V502" s="6">
        <v>25.56</v>
      </c>
      <c r="W502" s="6">
        <v>13</v>
      </c>
      <c r="X502" s="6">
        <v>239</v>
      </c>
      <c r="Y502" s="6">
        <v>629</v>
      </c>
      <c r="Z502" s="6">
        <v>324</v>
      </c>
      <c r="AA502" s="6">
        <v>46</v>
      </c>
      <c r="AB502" s="6">
        <v>0</v>
      </c>
      <c r="AC502" s="7">
        <v>34</v>
      </c>
      <c r="AD502" s="7" t="s">
        <v>52</v>
      </c>
      <c r="AE502" s="7">
        <v>19.28</v>
      </c>
      <c r="AF502" s="76">
        <v>445.6</v>
      </c>
      <c r="AG502" s="7">
        <v>31.41</v>
      </c>
      <c r="AH502" s="7">
        <v>29.96</v>
      </c>
      <c r="AI502" s="7">
        <v>36.56</v>
      </c>
      <c r="AJ502" s="9">
        <v>271.71774763767399</v>
      </c>
      <c r="AK502" s="9">
        <v>273.18334061166701</v>
      </c>
      <c r="AL502" s="9">
        <v>303.36607403038101</v>
      </c>
      <c r="AM502" s="9">
        <v>55.881742366115901</v>
      </c>
      <c r="AN502" s="9">
        <v>1.6435806578269401</v>
      </c>
      <c r="AO502" s="9">
        <v>1.4574946614989499</v>
      </c>
      <c r="AP502" s="9">
        <v>490.35795110745403</v>
      </c>
      <c r="AQ502" s="9">
        <v>14.422292679630999</v>
      </c>
      <c r="AR502" s="9">
        <v>18.990680125919599</v>
      </c>
      <c r="AS502" s="73" t="s">
        <v>169</v>
      </c>
      <c r="AT502" s="8" t="s">
        <v>169</v>
      </c>
      <c r="AU502" s="10" t="s">
        <v>169</v>
      </c>
      <c r="AV502" s="10">
        <v>0</v>
      </c>
      <c r="AW502" s="8"/>
      <c r="AX502" s="10" t="s">
        <v>169</v>
      </c>
      <c r="AY502" s="10"/>
      <c r="AZ502" s="10"/>
      <c r="BA502" s="10"/>
      <c r="BB502" s="8"/>
      <c r="BC502" s="8"/>
      <c r="BD502" s="8"/>
      <c r="BE502" s="8"/>
      <c r="BF502" s="12">
        <v>0.46</v>
      </c>
      <c r="BG502" s="13">
        <v>243.04678631067301</v>
      </c>
      <c r="BH502" s="96" t="str">
        <f>+VLOOKUP(G502,Liste!$A$7:$G$50,3,FALSE)</f>
        <v>Pin Maritime</v>
      </c>
      <c r="BI502" s="96" t="str">
        <f>+VLOOKUP(H502,Liste!$B$7:$G$50,5,FALSE)</f>
        <v>GS Pineraies des plaines du Centre et du Nord Ouest</v>
      </c>
      <c r="BJ502" s="135">
        <f t="shared" si="148"/>
        <v>34</v>
      </c>
      <c r="BK502" s="135" t="str">
        <f t="shared" si="150"/>
        <v>Pin Maritime_F2_Classique_GS Pineraies des plaines du Centre et du Nord Ouest_34_</v>
      </c>
      <c r="BL502" s="322"/>
      <c r="BM502" s="13">
        <v>63.037063823848101</v>
      </c>
      <c r="BN502" s="13">
        <v>306.08385013452101</v>
      </c>
      <c r="BO502" s="13" t="s">
        <v>169</v>
      </c>
      <c r="BP502" s="13">
        <v>243.14590308576999</v>
      </c>
      <c r="BQ502" s="13">
        <v>18.497486626100301</v>
      </c>
      <c r="BT502" s="298" t="str">
        <f>+VLOOKUP(G502,Liste!$A$7:$H$50,8,FALSE)</f>
        <v>Résineux</v>
      </c>
      <c r="BU502" s="298">
        <f t="shared" si="151"/>
        <v>0</v>
      </c>
      <c r="BV502" s="300">
        <f t="shared" si="152"/>
        <v>1</v>
      </c>
      <c r="BW502" s="321">
        <v>0</v>
      </c>
      <c r="BX502" s="298">
        <f t="shared" si="153"/>
        <v>0.43</v>
      </c>
      <c r="BY502">
        <f t="shared" si="165"/>
        <v>0</v>
      </c>
      <c r="BZ502" s="304">
        <f t="shared" si="154"/>
        <v>0</v>
      </c>
      <c r="CB502" s="299">
        <v>0.6</v>
      </c>
      <c r="CC502" s="299">
        <v>0.4</v>
      </c>
      <c r="CD502">
        <f t="shared" si="155"/>
        <v>0</v>
      </c>
      <c r="CE502">
        <f t="shared" si="156"/>
        <v>0</v>
      </c>
      <c r="CF502">
        <f t="shared" si="157"/>
        <v>0</v>
      </c>
      <c r="CG502">
        <f t="shared" si="158"/>
        <v>0</v>
      </c>
      <c r="CH502">
        <f t="shared" si="159"/>
        <v>0</v>
      </c>
      <c r="CI502">
        <f t="shared" si="160"/>
        <v>0</v>
      </c>
      <c r="CJ502">
        <f t="shared" si="161"/>
        <v>0</v>
      </c>
      <c r="CK502">
        <f t="shared" si="162"/>
        <v>0</v>
      </c>
      <c r="CL502">
        <f t="shared" si="163"/>
        <v>0</v>
      </c>
      <c r="CM502">
        <f t="shared" si="166"/>
        <v>0</v>
      </c>
      <c r="CN502">
        <f t="shared" si="164"/>
        <v>0</v>
      </c>
      <c r="CO502">
        <f t="shared" si="149"/>
        <v>0</v>
      </c>
    </row>
    <row r="503" spans="1:93" s="12" customFormat="1" ht="14.65" customHeight="1" x14ac:dyDescent="0.25">
      <c r="A503" s="4">
        <v>2021</v>
      </c>
      <c r="B503" s="4"/>
      <c r="C503" s="4" t="s">
        <v>418</v>
      </c>
      <c r="D503" s="4" t="s">
        <v>65</v>
      </c>
      <c r="E503" s="4"/>
      <c r="F503" s="4" t="s">
        <v>90</v>
      </c>
      <c r="G503" s="5" t="s">
        <v>419</v>
      </c>
      <c r="H503" s="5" t="s">
        <v>21</v>
      </c>
      <c r="I503" s="5" t="s">
        <v>18</v>
      </c>
      <c r="J503" s="5" t="s">
        <v>10</v>
      </c>
      <c r="K503" s="5">
        <v>23</v>
      </c>
      <c r="L503" s="5">
        <v>50</v>
      </c>
      <c r="M503" s="5">
        <v>1250</v>
      </c>
      <c r="N503" s="5" t="s">
        <v>171</v>
      </c>
      <c r="O503" s="6" t="s">
        <v>81</v>
      </c>
      <c r="P503" s="6" t="s">
        <v>420</v>
      </c>
      <c r="Q503" s="6"/>
      <c r="R503" s="6"/>
      <c r="S503" s="6">
        <v>17</v>
      </c>
      <c r="T503" s="6">
        <v>11</v>
      </c>
      <c r="U503" s="6">
        <v>1251</v>
      </c>
      <c r="V503" s="6">
        <v>25.56</v>
      </c>
      <c r="W503" s="6">
        <v>13</v>
      </c>
      <c r="X503" s="6">
        <v>239</v>
      </c>
      <c r="Y503" s="6">
        <v>629</v>
      </c>
      <c r="Z503" s="6">
        <v>324</v>
      </c>
      <c r="AA503" s="6">
        <v>46</v>
      </c>
      <c r="AB503" s="6">
        <v>0</v>
      </c>
      <c r="AC503" s="7">
        <v>35</v>
      </c>
      <c r="AD503" s="7" t="s">
        <v>52</v>
      </c>
      <c r="AE503" s="7">
        <v>19.64</v>
      </c>
      <c r="AF503" s="76">
        <v>445.6</v>
      </c>
      <c r="AG503" s="7">
        <v>32.869999999999997</v>
      </c>
      <c r="AH503" s="7">
        <v>30.65</v>
      </c>
      <c r="AI503" s="7">
        <v>37.46</v>
      </c>
      <c r="AJ503" s="9">
        <v>289.56644893410999</v>
      </c>
      <c r="AK503" s="9">
        <v>291.12301236381597</v>
      </c>
      <c r="AL503" s="9">
        <v>322.35675415629998</v>
      </c>
      <c r="AM503" s="9" t="s">
        <v>169</v>
      </c>
      <c r="AN503" s="9" t="s">
        <v>169</v>
      </c>
      <c r="AO503" s="9" t="s">
        <v>169</v>
      </c>
      <c r="AP503" s="9" t="s">
        <v>169</v>
      </c>
      <c r="AQ503" s="9" t="s">
        <v>169</v>
      </c>
      <c r="AR503" s="9" t="s">
        <v>169</v>
      </c>
      <c r="AS503" s="73" t="s">
        <v>169</v>
      </c>
      <c r="AT503" s="8" t="s">
        <v>169</v>
      </c>
      <c r="AU503" s="10" t="s">
        <v>169</v>
      </c>
      <c r="AV503" s="10">
        <v>0</v>
      </c>
      <c r="AW503" s="8"/>
      <c r="AX503" s="10" t="s">
        <v>169</v>
      </c>
      <c r="AY503" s="10"/>
      <c r="AZ503" s="10"/>
      <c r="BA503" s="10"/>
      <c r="BB503" s="8"/>
      <c r="BC503" s="8"/>
      <c r="BD503" s="8"/>
      <c r="BE503" s="8"/>
      <c r="BF503" s="12">
        <v>0.46</v>
      </c>
      <c r="BG503" s="13">
        <v>258.26148620488902</v>
      </c>
      <c r="BH503" s="96" t="str">
        <f>+VLOOKUP(G503,Liste!$A$7:$G$50,3,FALSE)</f>
        <v>Pin Maritime</v>
      </c>
      <c r="BI503" s="96" t="str">
        <f>+VLOOKUP(H503,Liste!$B$7:$G$50,5,FALSE)</f>
        <v>GS Pineraies des plaines du Centre et du Nord Ouest</v>
      </c>
      <c r="BJ503" s="135">
        <f t="shared" si="148"/>
        <v>35</v>
      </c>
      <c r="BK503" s="135" t="str">
        <f t="shared" si="150"/>
        <v>Pin Maritime_F2_Classique_GS Pineraies des plaines du Centre et du Nord Ouest_35_</v>
      </c>
      <c r="BL503" s="322"/>
      <c r="BM503" s="13">
        <v>66.499553054852498</v>
      </c>
      <c r="BN503" s="13">
        <v>324.76103925974201</v>
      </c>
      <c r="BO503" s="13" t="s">
        <v>169</v>
      </c>
      <c r="BP503" s="13">
        <v>243.14590308576999</v>
      </c>
      <c r="BQ503" s="13" t="s">
        <v>169</v>
      </c>
      <c r="BT503" s="298" t="str">
        <f>+VLOOKUP(G503,Liste!$A$7:$H$50,8,FALSE)</f>
        <v>Résineux</v>
      </c>
      <c r="BU503" s="298">
        <f t="shared" si="151"/>
        <v>0</v>
      </c>
      <c r="BV503" s="300">
        <f t="shared" si="152"/>
        <v>1</v>
      </c>
      <c r="BW503" s="321">
        <v>0</v>
      </c>
      <c r="BX503" s="298">
        <f t="shared" si="153"/>
        <v>0.43</v>
      </c>
      <c r="BY503">
        <f t="shared" si="165"/>
        <v>0</v>
      </c>
      <c r="BZ503" s="304">
        <f t="shared" si="154"/>
        <v>0</v>
      </c>
      <c r="CB503" s="299">
        <v>0.6</v>
      </c>
      <c r="CC503" s="299">
        <v>0.4</v>
      </c>
      <c r="CD503">
        <f t="shared" si="155"/>
        <v>0</v>
      </c>
      <c r="CE503">
        <f t="shared" si="156"/>
        <v>0</v>
      </c>
      <c r="CF503">
        <f t="shared" si="157"/>
        <v>0</v>
      </c>
      <c r="CG503">
        <f t="shared" si="158"/>
        <v>0</v>
      </c>
      <c r="CH503">
        <f t="shared" si="159"/>
        <v>0</v>
      </c>
      <c r="CI503">
        <f t="shared" si="160"/>
        <v>0</v>
      </c>
      <c r="CJ503">
        <f t="shared" si="161"/>
        <v>0</v>
      </c>
      <c r="CK503">
        <f t="shared" si="162"/>
        <v>0</v>
      </c>
      <c r="CL503">
        <f t="shared" si="163"/>
        <v>0</v>
      </c>
      <c r="CM503">
        <f t="shared" si="166"/>
        <v>0</v>
      </c>
      <c r="CN503">
        <f t="shared" si="164"/>
        <v>0</v>
      </c>
      <c r="CO503">
        <f t="shared" si="149"/>
        <v>0</v>
      </c>
    </row>
    <row r="504" spans="1:93" s="12" customFormat="1" ht="14.65" customHeight="1" x14ac:dyDescent="0.25">
      <c r="A504" s="4">
        <v>2021</v>
      </c>
      <c r="B504" s="4"/>
      <c r="C504" s="4" t="s">
        <v>418</v>
      </c>
      <c r="D504" s="4" t="s">
        <v>65</v>
      </c>
      <c r="E504" s="4"/>
      <c r="F504" s="4" t="s">
        <v>90</v>
      </c>
      <c r="G504" s="5" t="s">
        <v>419</v>
      </c>
      <c r="H504" s="5" t="s">
        <v>21</v>
      </c>
      <c r="I504" s="5" t="s">
        <v>18</v>
      </c>
      <c r="J504" s="5" t="s">
        <v>10</v>
      </c>
      <c r="K504" s="5">
        <v>23</v>
      </c>
      <c r="L504" s="5">
        <v>50</v>
      </c>
      <c r="M504" s="5">
        <v>1250</v>
      </c>
      <c r="N504" s="5" t="s">
        <v>171</v>
      </c>
      <c r="O504" s="6" t="s">
        <v>81</v>
      </c>
      <c r="P504" s="6" t="s">
        <v>420</v>
      </c>
      <c r="Q504" s="6"/>
      <c r="R504" s="6"/>
      <c r="S504" s="6">
        <v>17</v>
      </c>
      <c r="T504" s="6">
        <v>11</v>
      </c>
      <c r="U504" s="6">
        <v>1251</v>
      </c>
      <c r="V504" s="6">
        <v>25.56</v>
      </c>
      <c r="W504" s="6">
        <v>13</v>
      </c>
      <c r="X504" s="6">
        <v>239</v>
      </c>
      <c r="Y504" s="6">
        <v>629</v>
      </c>
      <c r="Z504" s="6">
        <v>324</v>
      </c>
      <c r="AA504" s="6">
        <v>46</v>
      </c>
      <c r="AB504" s="6">
        <v>0</v>
      </c>
      <c r="AC504" s="7">
        <v>36</v>
      </c>
      <c r="AD504" s="7" t="s">
        <v>52</v>
      </c>
      <c r="AE504" s="7">
        <v>20</v>
      </c>
      <c r="AF504" s="76">
        <v>445.6</v>
      </c>
      <c r="AG504" s="7">
        <v>34.33</v>
      </c>
      <c r="AH504" s="7">
        <v>31.32</v>
      </c>
      <c r="AI504" s="7">
        <v>38.35</v>
      </c>
      <c r="AJ504" s="9">
        <v>307.415150230547</v>
      </c>
      <c r="AK504" s="9">
        <v>309.06268411596398</v>
      </c>
      <c r="AL504" s="9">
        <v>341.34743428221998</v>
      </c>
      <c r="AM504" s="9">
        <v>58.796731689113699</v>
      </c>
      <c r="AN504" s="9">
        <v>1.63324254691983</v>
      </c>
      <c r="AO504" s="9">
        <v>1.21894411048587</v>
      </c>
      <c r="AP504" s="9">
        <v>528.33931135929402</v>
      </c>
      <c r="AQ504" s="9">
        <v>14.6760919822026</v>
      </c>
      <c r="AR504" s="9">
        <v>17.072817665675199</v>
      </c>
      <c r="AS504" s="73" t="s">
        <v>169</v>
      </c>
      <c r="AT504" s="8" t="s">
        <v>169</v>
      </c>
      <c r="AU504" s="10" t="s">
        <v>169</v>
      </c>
      <c r="AV504" s="10">
        <v>0</v>
      </c>
      <c r="AW504" s="8"/>
      <c r="AX504" s="10" t="s">
        <v>169</v>
      </c>
      <c r="AY504" s="10"/>
      <c r="AZ504" s="10"/>
      <c r="BA504" s="10"/>
      <c r="BB504" s="8"/>
      <c r="BC504" s="8"/>
      <c r="BD504" s="8"/>
      <c r="BE504" s="8"/>
      <c r="BF504" s="12">
        <v>0.46</v>
      </c>
      <c r="BG504" s="13">
        <v>273.47618609910501</v>
      </c>
      <c r="BH504" s="96" t="str">
        <f>+VLOOKUP(G504,Liste!$A$7:$G$50,3,FALSE)</f>
        <v>Pin Maritime</v>
      </c>
      <c r="BI504" s="96" t="str">
        <f>+VLOOKUP(H504,Liste!$B$7:$G$50,5,FALSE)</f>
        <v>GS Pineraies des plaines du Centre et du Nord Ouest</v>
      </c>
      <c r="BJ504" s="135">
        <f t="shared" si="148"/>
        <v>36</v>
      </c>
      <c r="BK504" s="135" t="str">
        <f t="shared" si="150"/>
        <v>Pin Maritime_F2_Classique_GS Pineraies des plaines du Centre et du Nord Ouest_36_</v>
      </c>
      <c r="BL504" s="322"/>
      <c r="BM504" s="13">
        <v>69.962042285856896</v>
      </c>
      <c r="BN504" s="13">
        <v>343.43822838496197</v>
      </c>
      <c r="BO504" s="13" t="s">
        <v>169</v>
      </c>
      <c r="BP504" s="13">
        <v>243.14590308576999</v>
      </c>
      <c r="BQ504" s="13">
        <v>16.581022775557098</v>
      </c>
      <c r="BT504" s="298" t="str">
        <f>+VLOOKUP(G504,Liste!$A$7:$H$50,8,FALSE)</f>
        <v>Résineux</v>
      </c>
      <c r="BU504" s="298">
        <f t="shared" si="151"/>
        <v>0</v>
      </c>
      <c r="BV504" s="300">
        <f t="shared" si="152"/>
        <v>1</v>
      </c>
      <c r="BW504" s="321">
        <v>0</v>
      </c>
      <c r="BX504" s="298">
        <f t="shared" si="153"/>
        <v>0.43</v>
      </c>
      <c r="BY504">
        <f t="shared" si="165"/>
        <v>0</v>
      </c>
      <c r="BZ504" s="304">
        <f t="shared" si="154"/>
        <v>0</v>
      </c>
      <c r="CB504" s="299">
        <v>0.6</v>
      </c>
      <c r="CC504" s="299">
        <v>0.4</v>
      </c>
      <c r="CD504">
        <f t="shared" si="155"/>
        <v>0</v>
      </c>
      <c r="CE504">
        <f t="shared" si="156"/>
        <v>0</v>
      </c>
      <c r="CF504">
        <f t="shared" si="157"/>
        <v>0</v>
      </c>
      <c r="CG504">
        <f t="shared" si="158"/>
        <v>0</v>
      </c>
      <c r="CH504">
        <f t="shared" si="159"/>
        <v>0</v>
      </c>
      <c r="CI504">
        <f t="shared" si="160"/>
        <v>0</v>
      </c>
      <c r="CJ504">
        <f t="shared" si="161"/>
        <v>0</v>
      </c>
      <c r="CK504">
        <f t="shared" si="162"/>
        <v>0</v>
      </c>
      <c r="CL504">
        <f t="shared" si="163"/>
        <v>0</v>
      </c>
      <c r="CM504">
        <f t="shared" si="166"/>
        <v>0</v>
      </c>
      <c r="CN504">
        <f t="shared" si="164"/>
        <v>0</v>
      </c>
      <c r="CO504">
        <f t="shared" si="149"/>
        <v>0</v>
      </c>
    </row>
    <row r="505" spans="1:93" s="12" customFormat="1" ht="14.65" customHeight="1" x14ac:dyDescent="0.25">
      <c r="A505" s="4">
        <v>2021</v>
      </c>
      <c r="B505" s="4"/>
      <c r="C505" s="4" t="s">
        <v>418</v>
      </c>
      <c r="D505" s="4" t="s">
        <v>65</v>
      </c>
      <c r="E505" s="4"/>
      <c r="F505" s="4" t="s">
        <v>90</v>
      </c>
      <c r="G505" s="5" t="s">
        <v>419</v>
      </c>
      <c r="H505" s="5" t="s">
        <v>21</v>
      </c>
      <c r="I505" s="5" t="s">
        <v>18</v>
      </c>
      <c r="J505" s="5" t="s">
        <v>10</v>
      </c>
      <c r="K505" s="5">
        <v>23</v>
      </c>
      <c r="L505" s="5">
        <v>50</v>
      </c>
      <c r="M505" s="5">
        <v>1250</v>
      </c>
      <c r="N505" s="5" t="s">
        <v>171</v>
      </c>
      <c r="O505" s="6" t="s">
        <v>81</v>
      </c>
      <c r="P505" s="6" t="s">
        <v>420</v>
      </c>
      <c r="Q505" s="6"/>
      <c r="R505" s="6"/>
      <c r="S505" s="6">
        <v>17</v>
      </c>
      <c r="T505" s="6">
        <v>11</v>
      </c>
      <c r="U505" s="6">
        <v>1251</v>
      </c>
      <c r="V505" s="6">
        <v>25.56</v>
      </c>
      <c r="W505" s="6">
        <v>13</v>
      </c>
      <c r="X505" s="6">
        <v>239</v>
      </c>
      <c r="Y505" s="6">
        <v>629</v>
      </c>
      <c r="Z505" s="6">
        <v>324</v>
      </c>
      <c r="AA505" s="6">
        <v>46</v>
      </c>
      <c r="AB505" s="6">
        <v>0</v>
      </c>
      <c r="AC505" s="7">
        <v>36</v>
      </c>
      <c r="AD505" s="7" t="s">
        <v>53</v>
      </c>
      <c r="AE505" s="7">
        <v>19.66</v>
      </c>
      <c r="AF505" s="76">
        <v>338.6</v>
      </c>
      <c r="AG505" s="7">
        <v>26.01</v>
      </c>
      <c r="AH505" s="7">
        <v>31.27</v>
      </c>
      <c r="AI505" s="7">
        <v>36.25</v>
      </c>
      <c r="AJ505" s="9">
        <v>233.20415967885299</v>
      </c>
      <c r="AK505" s="9">
        <v>234.327651133339</v>
      </c>
      <c r="AL505" s="9">
        <v>257.42828480545001</v>
      </c>
      <c r="AM505" s="9">
        <v>58.796731689113699</v>
      </c>
      <c r="AN505" s="9">
        <v>1.63324254691983</v>
      </c>
      <c r="AO505" s="9">
        <v>1.21894411048587</v>
      </c>
      <c r="AP505" s="9">
        <v>528.33931135929402</v>
      </c>
      <c r="AQ505" s="9">
        <v>14.6760919822026</v>
      </c>
      <c r="AR505" s="9">
        <v>17.072817665675199</v>
      </c>
      <c r="AS505" s="73">
        <v>107</v>
      </c>
      <c r="AT505" s="8">
        <v>8.3199999999999967</v>
      </c>
      <c r="AU505" s="10">
        <v>31.464789714760055</v>
      </c>
      <c r="AV505" s="10">
        <v>74.21099055169401</v>
      </c>
      <c r="AW505" s="8">
        <v>1.01</v>
      </c>
      <c r="AX505" s="10">
        <v>0.69356065936162625</v>
      </c>
      <c r="AY505" s="10"/>
      <c r="AZ505" s="10"/>
      <c r="BA505" s="10"/>
      <c r="BB505" s="8"/>
      <c r="BC505" s="8"/>
      <c r="BD505" s="8"/>
      <c r="BE505" s="8"/>
      <c r="BF505" s="12">
        <v>0.46</v>
      </c>
      <c r="BG505" s="13">
        <v>206.24296084330001</v>
      </c>
      <c r="BH505" s="96" t="str">
        <f>+VLOOKUP(G505,Liste!$A$7:$G$50,3,FALSE)</f>
        <v>Pin Maritime</v>
      </c>
      <c r="BI505" s="96" t="str">
        <f>+VLOOKUP(H505,Liste!$B$7:$G$50,5,FALSE)</f>
        <v>GS Pineraies des plaines du Centre et du Nord Ouest</v>
      </c>
      <c r="BJ505" s="135">
        <f t="shared" si="148"/>
        <v>36</v>
      </c>
      <c r="BK505" s="135" t="str">
        <f t="shared" si="150"/>
        <v>Pin Maritime_F2_Classique_GS Pineraies des plaines du Centre et du Nord Ouest_36_</v>
      </c>
      <c r="BL505" s="322"/>
      <c r="BM505" s="13">
        <v>54.523760199881103</v>
      </c>
      <c r="BN505" s="13">
        <v>260.76672104318101</v>
      </c>
      <c r="BO505" s="13">
        <v>82.671507341780966</v>
      </c>
      <c r="BP505" s="13">
        <v>243.14590308576999</v>
      </c>
      <c r="BQ505" s="13">
        <v>16.581022775557098</v>
      </c>
      <c r="BT505" s="298" t="str">
        <f>+VLOOKUP(G505,Liste!$A$7:$H$50,8,FALSE)</f>
        <v>Résineux</v>
      </c>
      <c r="BU505" s="298">
        <f t="shared" si="151"/>
        <v>0</v>
      </c>
      <c r="BV505" s="300">
        <f t="shared" si="152"/>
        <v>1</v>
      </c>
      <c r="BW505" s="321">
        <v>0</v>
      </c>
      <c r="BX505" s="298">
        <f t="shared" si="153"/>
        <v>0.43</v>
      </c>
      <c r="BY505">
        <f t="shared" si="165"/>
        <v>0</v>
      </c>
      <c r="BZ505" s="304">
        <f t="shared" si="154"/>
        <v>0</v>
      </c>
      <c r="CB505" s="299">
        <v>0.6</v>
      </c>
      <c r="CC505" s="299">
        <v>0.4</v>
      </c>
      <c r="CD505">
        <f t="shared" si="155"/>
        <v>0</v>
      </c>
      <c r="CE505">
        <f t="shared" si="156"/>
        <v>0</v>
      </c>
      <c r="CF505">
        <f t="shared" si="157"/>
        <v>0</v>
      </c>
      <c r="CG505">
        <f t="shared" si="158"/>
        <v>0</v>
      </c>
      <c r="CH505">
        <f t="shared" si="159"/>
        <v>0</v>
      </c>
      <c r="CI505">
        <f t="shared" si="160"/>
        <v>0</v>
      </c>
      <c r="CJ505">
        <f t="shared" si="161"/>
        <v>0</v>
      </c>
      <c r="CK505">
        <f t="shared" si="162"/>
        <v>0</v>
      </c>
      <c r="CL505">
        <f t="shared" si="163"/>
        <v>0</v>
      </c>
      <c r="CM505">
        <f t="shared" si="166"/>
        <v>0</v>
      </c>
      <c r="CN505">
        <f t="shared" si="164"/>
        <v>0</v>
      </c>
      <c r="CO505">
        <f t="shared" si="149"/>
        <v>0</v>
      </c>
    </row>
    <row r="506" spans="1:93" s="12" customFormat="1" ht="14.65" customHeight="1" x14ac:dyDescent="0.25">
      <c r="A506" s="4">
        <v>2021</v>
      </c>
      <c r="B506" s="4"/>
      <c r="C506" s="4" t="s">
        <v>418</v>
      </c>
      <c r="D506" s="4" t="s">
        <v>65</v>
      </c>
      <c r="E506" s="4"/>
      <c r="F506" s="4" t="s">
        <v>90</v>
      </c>
      <c r="G506" s="5" t="s">
        <v>419</v>
      </c>
      <c r="H506" s="5" t="s">
        <v>21</v>
      </c>
      <c r="I506" s="5" t="s">
        <v>18</v>
      </c>
      <c r="J506" s="5" t="s">
        <v>10</v>
      </c>
      <c r="K506" s="5">
        <v>23</v>
      </c>
      <c r="L506" s="5">
        <v>50</v>
      </c>
      <c r="M506" s="5">
        <v>1250</v>
      </c>
      <c r="N506" s="5" t="s">
        <v>171</v>
      </c>
      <c r="O506" s="6" t="s">
        <v>81</v>
      </c>
      <c r="P506" s="6" t="s">
        <v>420</v>
      </c>
      <c r="Q506" s="6"/>
      <c r="R506" s="6"/>
      <c r="S506" s="6">
        <v>17</v>
      </c>
      <c r="T506" s="6">
        <v>11</v>
      </c>
      <c r="U506" s="6">
        <v>1251</v>
      </c>
      <c r="V506" s="6">
        <v>25.56</v>
      </c>
      <c r="W506" s="6">
        <v>13</v>
      </c>
      <c r="X506" s="6">
        <v>239</v>
      </c>
      <c r="Y506" s="6">
        <v>629</v>
      </c>
      <c r="Z506" s="6">
        <v>324</v>
      </c>
      <c r="AA506" s="6">
        <v>46</v>
      </c>
      <c r="AB506" s="6">
        <v>0</v>
      </c>
      <c r="AC506" s="7">
        <v>37</v>
      </c>
      <c r="AD506" s="7" t="s">
        <v>52</v>
      </c>
      <c r="AE506" s="7">
        <v>20.350000000000001</v>
      </c>
      <c r="AF506" s="76">
        <v>338.6</v>
      </c>
      <c r="AG506" s="7">
        <v>27.24</v>
      </c>
      <c r="AH506" s="7">
        <v>32.01</v>
      </c>
      <c r="AI506" s="7">
        <v>37.14</v>
      </c>
      <c r="AJ506" s="9">
        <v>247.67564299411001</v>
      </c>
      <c r="AK506" s="9">
        <v>249.01816823359701</v>
      </c>
      <c r="AL506" s="9">
        <v>274.50110247112599</v>
      </c>
      <c r="AM506" s="9" t="s">
        <v>169</v>
      </c>
      <c r="AN506" s="9" t="s">
        <v>169</v>
      </c>
      <c r="AO506" s="9" t="s">
        <v>169</v>
      </c>
      <c r="AP506" s="9" t="s">
        <v>169</v>
      </c>
      <c r="AQ506" s="9" t="s">
        <v>169</v>
      </c>
      <c r="AR506" s="9" t="s">
        <v>169</v>
      </c>
      <c r="AS506" s="73" t="s">
        <v>169</v>
      </c>
      <c r="AT506" s="8" t="s">
        <v>169</v>
      </c>
      <c r="AU506" s="10" t="s">
        <v>169</v>
      </c>
      <c r="AV506" s="10">
        <v>0</v>
      </c>
      <c r="AW506" s="8"/>
      <c r="AX506" s="10" t="s">
        <v>169</v>
      </c>
      <c r="AY506" s="10"/>
      <c r="AZ506" s="10"/>
      <c r="BA506" s="10"/>
      <c r="BB506" s="8"/>
      <c r="BC506" s="8"/>
      <c r="BD506" s="8"/>
      <c r="BE506" s="8"/>
      <c r="BF506" s="12">
        <v>0.46</v>
      </c>
      <c r="BG506" s="13">
        <v>219.92113326311701</v>
      </c>
      <c r="BH506" s="96" t="str">
        <f>+VLOOKUP(G506,Liste!$A$7:$G$50,3,FALSE)</f>
        <v>Pin Maritime</v>
      </c>
      <c r="BI506" s="96" t="str">
        <f>+VLOOKUP(H506,Liste!$B$7:$G$50,5,FALSE)</f>
        <v>GS Pineraies des plaines du Centre et du Nord Ouest</v>
      </c>
      <c r="BJ506" s="135">
        <f t="shared" si="148"/>
        <v>37</v>
      </c>
      <c r="BK506" s="135" t="str">
        <f t="shared" si="150"/>
        <v>Pin Maritime_F2_Classique_GS Pineraies des plaines du Centre et du Nord Ouest_37_</v>
      </c>
      <c r="BL506" s="322"/>
      <c r="BM506" s="13">
        <v>57.644632658800198</v>
      </c>
      <c r="BN506" s="13">
        <v>277.56576592191698</v>
      </c>
      <c r="BO506" s="13" t="s">
        <v>169</v>
      </c>
      <c r="BP506" s="13">
        <v>243.14590308576999</v>
      </c>
      <c r="BQ506" s="13" t="s">
        <v>169</v>
      </c>
      <c r="BT506" s="298" t="str">
        <f>+VLOOKUP(G506,Liste!$A$7:$H$50,8,FALSE)</f>
        <v>Résineux</v>
      </c>
      <c r="BU506" s="298">
        <f t="shared" si="151"/>
        <v>0</v>
      </c>
      <c r="BV506" s="300">
        <f t="shared" si="152"/>
        <v>1</v>
      </c>
      <c r="BW506" s="321">
        <v>0</v>
      </c>
      <c r="BX506" s="298">
        <f t="shared" si="153"/>
        <v>0.43</v>
      </c>
      <c r="BY506">
        <f t="shared" si="165"/>
        <v>0</v>
      </c>
      <c r="BZ506" s="304">
        <f t="shared" si="154"/>
        <v>0</v>
      </c>
      <c r="CB506" s="299">
        <v>0.6</v>
      </c>
      <c r="CC506" s="299">
        <v>0.4</v>
      </c>
      <c r="CD506">
        <f t="shared" si="155"/>
        <v>0</v>
      </c>
      <c r="CE506">
        <f t="shared" si="156"/>
        <v>0</v>
      </c>
      <c r="CF506">
        <f t="shared" si="157"/>
        <v>0</v>
      </c>
      <c r="CG506">
        <f t="shared" si="158"/>
        <v>0</v>
      </c>
      <c r="CH506">
        <f t="shared" si="159"/>
        <v>0</v>
      </c>
      <c r="CI506">
        <f t="shared" si="160"/>
        <v>0</v>
      </c>
      <c r="CJ506">
        <f t="shared" si="161"/>
        <v>0</v>
      </c>
      <c r="CK506">
        <f t="shared" si="162"/>
        <v>0</v>
      </c>
      <c r="CL506">
        <f t="shared" si="163"/>
        <v>0</v>
      </c>
      <c r="CM506">
        <f t="shared" si="166"/>
        <v>0</v>
      </c>
      <c r="CN506">
        <f t="shared" si="164"/>
        <v>0</v>
      </c>
      <c r="CO506">
        <f t="shared" si="149"/>
        <v>0</v>
      </c>
    </row>
    <row r="507" spans="1:93" s="12" customFormat="1" ht="14.65" customHeight="1" x14ac:dyDescent="0.25">
      <c r="A507" s="4">
        <v>2021</v>
      </c>
      <c r="B507" s="4"/>
      <c r="C507" s="4" t="s">
        <v>418</v>
      </c>
      <c r="D507" s="4" t="s">
        <v>65</v>
      </c>
      <c r="E507" s="4"/>
      <c r="F507" s="4" t="s">
        <v>90</v>
      </c>
      <c r="G507" s="5" t="s">
        <v>419</v>
      </c>
      <c r="H507" s="5" t="s">
        <v>21</v>
      </c>
      <c r="I507" s="5" t="s">
        <v>18</v>
      </c>
      <c r="J507" s="5" t="s">
        <v>10</v>
      </c>
      <c r="K507" s="5">
        <v>23</v>
      </c>
      <c r="L507" s="5">
        <v>50</v>
      </c>
      <c r="M507" s="5">
        <v>1250</v>
      </c>
      <c r="N507" s="5" t="s">
        <v>171</v>
      </c>
      <c r="O507" s="6" t="s">
        <v>81</v>
      </c>
      <c r="P507" s="6" t="s">
        <v>420</v>
      </c>
      <c r="Q507" s="6"/>
      <c r="R507" s="6"/>
      <c r="S507" s="6">
        <v>17</v>
      </c>
      <c r="T507" s="6">
        <v>11</v>
      </c>
      <c r="U507" s="6">
        <v>1251</v>
      </c>
      <c r="V507" s="6">
        <v>25.56</v>
      </c>
      <c r="W507" s="6">
        <v>13</v>
      </c>
      <c r="X507" s="6">
        <v>239</v>
      </c>
      <c r="Y507" s="6">
        <v>629</v>
      </c>
      <c r="Z507" s="6">
        <v>324</v>
      </c>
      <c r="AA507" s="6">
        <v>46</v>
      </c>
      <c r="AB507" s="6">
        <v>0</v>
      </c>
      <c r="AC507" s="7">
        <v>38</v>
      </c>
      <c r="AD507" s="7" t="s">
        <v>52</v>
      </c>
      <c r="AE507" s="7">
        <v>20.69</v>
      </c>
      <c r="AF507" s="76">
        <v>338.6</v>
      </c>
      <c r="AG507" s="7">
        <v>28.47</v>
      </c>
      <c r="AH507" s="7">
        <v>32.72</v>
      </c>
      <c r="AI507" s="7">
        <v>38.01</v>
      </c>
      <c r="AJ507" s="9">
        <v>262.14712630936702</v>
      </c>
      <c r="AK507" s="9">
        <v>263.70868533385499</v>
      </c>
      <c r="AL507" s="9">
        <v>291.57392013680101</v>
      </c>
      <c r="AM507" s="9" t="s">
        <v>169</v>
      </c>
      <c r="AN507" s="9" t="s">
        <v>169</v>
      </c>
      <c r="AO507" s="9" t="s">
        <v>169</v>
      </c>
      <c r="AP507" s="9" t="s">
        <v>169</v>
      </c>
      <c r="AQ507" s="9" t="s">
        <v>169</v>
      </c>
      <c r="AR507" s="9" t="s">
        <v>169</v>
      </c>
      <c r="AS507" s="73" t="s">
        <v>169</v>
      </c>
      <c r="AT507" s="8" t="s">
        <v>169</v>
      </c>
      <c r="AU507" s="10" t="s">
        <v>169</v>
      </c>
      <c r="AV507" s="10">
        <v>0</v>
      </c>
      <c r="AW507" s="8"/>
      <c r="AX507" s="10" t="s">
        <v>169</v>
      </c>
      <c r="AY507" s="10"/>
      <c r="AZ507" s="10"/>
      <c r="BA507" s="10"/>
      <c r="BB507" s="8"/>
      <c r="BC507" s="8"/>
      <c r="BD507" s="8"/>
      <c r="BE507" s="8"/>
      <c r="BF507" s="12">
        <v>0.46</v>
      </c>
      <c r="BG507" s="13">
        <v>233.59930568293399</v>
      </c>
      <c r="BH507" s="96" t="str">
        <f>+VLOOKUP(G507,Liste!$A$7:$G$50,3,FALSE)</f>
        <v>Pin Maritime</v>
      </c>
      <c r="BI507" s="96" t="str">
        <f>+VLOOKUP(H507,Liste!$B$7:$G$50,5,FALSE)</f>
        <v>GS Pineraies des plaines du Centre et du Nord Ouest</v>
      </c>
      <c r="BJ507" s="135">
        <f t="shared" si="148"/>
        <v>38</v>
      </c>
      <c r="BK507" s="135" t="str">
        <f t="shared" si="150"/>
        <v>Pin Maritime_F2_Classique_GS Pineraies des plaines du Centre et du Nord Ouest_38_</v>
      </c>
      <c r="BL507" s="322"/>
      <c r="BM507" s="13">
        <v>60.7655051177193</v>
      </c>
      <c r="BN507" s="13">
        <v>294.364810800653</v>
      </c>
      <c r="BO507" s="13" t="s">
        <v>169</v>
      </c>
      <c r="BP507" s="13">
        <v>243.14590308576999</v>
      </c>
      <c r="BQ507" s="13" t="s">
        <v>169</v>
      </c>
      <c r="BT507" s="298" t="str">
        <f>+VLOOKUP(G507,Liste!$A$7:$H$50,8,FALSE)</f>
        <v>Résineux</v>
      </c>
      <c r="BU507" s="298">
        <f t="shared" si="151"/>
        <v>0</v>
      </c>
      <c r="BV507" s="300">
        <f t="shared" si="152"/>
        <v>1</v>
      </c>
      <c r="BW507" s="321">
        <v>0</v>
      </c>
      <c r="BX507" s="298">
        <f t="shared" si="153"/>
        <v>0.43</v>
      </c>
      <c r="BY507">
        <f t="shared" si="165"/>
        <v>0</v>
      </c>
      <c r="BZ507" s="304">
        <f t="shared" si="154"/>
        <v>0</v>
      </c>
      <c r="CB507" s="299">
        <v>0.6</v>
      </c>
      <c r="CC507" s="299">
        <v>0.4</v>
      </c>
      <c r="CD507">
        <f t="shared" si="155"/>
        <v>0</v>
      </c>
      <c r="CE507">
        <f t="shared" si="156"/>
        <v>0</v>
      </c>
      <c r="CF507">
        <f t="shared" si="157"/>
        <v>0</v>
      </c>
      <c r="CG507">
        <f t="shared" si="158"/>
        <v>0</v>
      </c>
      <c r="CH507">
        <f t="shared" si="159"/>
        <v>0</v>
      </c>
      <c r="CI507">
        <f t="shared" si="160"/>
        <v>0</v>
      </c>
      <c r="CJ507">
        <f t="shared" si="161"/>
        <v>0</v>
      </c>
      <c r="CK507">
        <f t="shared" si="162"/>
        <v>0</v>
      </c>
      <c r="CL507">
        <f t="shared" si="163"/>
        <v>0</v>
      </c>
      <c r="CM507">
        <f t="shared" si="166"/>
        <v>0</v>
      </c>
      <c r="CN507">
        <f t="shared" si="164"/>
        <v>0</v>
      </c>
      <c r="CO507">
        <f t="shared" si="149"/>
        <v>0</v>
      </c>
    </row>
    <row r="508" spans="1:93" s="12" customFormat="1" ht="14.65" customHeight="1" x14ac:dyDescent="0.25">
      <c r="A508" s="4">
        <v>2021</v>
      </c>
      <c r="B508" s="4"/>
      <c r="C508" s="4" t="s">
        <v>418</v>
      </c>
      <c r="D508" s="4" t="s">
        <v>65</v>
      </c>
      <c r="E508" s="4"/>
      <c r="F508" s="4" t="s">
        <v>90</v>
      </c>
      <c r="G508" s="5" t="s">
        <v>419</v>
      </c>
      <c r="H508" s="5" t="s">
        <v>21</v>
      </c>
      <c r="I508" s="5" t="s">
        <v>18</v>
      </c>
      <c r="J508" s="5" t="s">
        <v>10</v>
      </c>
      <c r="K508" s="5">
        <v>23</v>
      </c>
      <c r="L508" s="5">
        <v>50</v>
      </c>
      <c r="M508" s="5">
        <v>1250</v>
      </c>
      <c r="N508" s="5" t="s">
        <v>171</v>
      </c>
      <c r="O508" s="6" t="s">
        <v>81</v>
      </c>
      <c r="P508" s="6" t="s">
        <v>420</v>
      </c>
      <c r="Q508" s="6"/>
      <c r="R508" s="6"/>
      <c r="S508" s="6">
        <v>17</v>
      </c>
      <c r="T508" s="6">
        <v>11</v>
      </c>
      <c r="U508" s="6">
        <v>1251</v>
      </c>
      <c r="V508" s="6">
        <v>25.56</v>
      </c>
      <c r="W508" s="6">
        <v>13</v>
      </c>
      <c r="X508" s="6">
        <v>239</v>
      </c>
      <c r="Y508" s="6">
        <v>629</v>
      </c>
      <c r="Z508" s="6">
        <v>324</v>
      </c>
      <c r="AA508" s="6">
        <v>46</v>
      </c>
      <c r="AB508" s="6">
        <v>0</v>
      </c>
      <c r="AC508" s="7">
        <v>39</v>
      </c>
      <c r="AD508" s="7" t="s">
        <v>52</v>
      </c>
      <c r="AE508" s="7">
        <v>21.01</v>
      </c>
      <c r="AF508" s="76">
        <v>338.6</v>
      </c>
      <c r="AG508" s="7">
        <v>29.7</v>
      </c>
      <c r="AH508" s="7">
        <v>33.42</v>
      </c>
      <c r="AI508" s="7">
        <v>38.880000000000003</v>
      </c>
      <c r="AJ508" s="9">
        <v>276.61860962462299</v>
      </c>
      <c r="AK508" s="9">
        <v>278.399202434112</v>
      </c>
      <c r="AL508" s="9">
        <v>308.64673780247603</v>
      </c>
      <c r="AM508" s="9" t="s">
        <v>169</v>
      </c>
      <c r="AN508" s="9" t="s">
        <v>169</v>
      </c>
      <c r="AO508" s="9" t="s">
        <v>169</v>
      </c>
      <c r="AP508" s="9" t="s">
        <v>169</v>
      </c>
      <c r="AQ508" s="9" t="s">
        <v>169</v>
      </c>
      <c r="AR508" s="9" t="s">
        <v>169</v>
      </c>
      <c r="AS508" s="73" t="s">
        <v>169</v>
      </c>
      <c r="AT508" s="8" t="s">
        <v>169</v>
      </c>
      <c r="AU508" s="10" t="s">
        <v>169</v>
      </c>
      <c r="AV508" s="10">
        <v>0</v>
      </c>
      <c r="AW508" s="8"/>
      <c r="AX508" s="10" t="s">
        <v>169</v>
      </c>
      <c r="AY508" s="10"/>
      <c r="AZ508" s="10"/>
      <c r="BA508" s="10"/>
      <c r="BB508" s="8"/>
      <c r="BC508" s="8"/>
      <c r="BD508" s="8"/>
      <c r="BE508" s="8"/>
      <c r="BF508" s="12">
        <v>0.46</v>
      </c>
      <c r="BG508" s="13">
        <v>247.27747810275</v>
      </c>
      <c r="BH508" s="96" t="str">
        <f>+VLOOKUP(G508,Liste!$A$7:$G$50,3,FALSE)</f>
        <v>Pin Maritime</v>
      </c>
      <c r="BI508" s="96" t="str">
        <f>+VLOOKUP(H508,Liste!$B$7:$G$50,5,FALSE)</f>
        <v>GS Pineraies des plaines du Centre et du Nord Ouest</v>
      </c>
      <c r="BJ508" s="135">
        <f t="shared" si="148"/>
        <v>39</v>
      </c>
      <c r="BK508" s="135" t="str">
        <f t="shared" si="150"/>
        <v>Pin Maritime_F2_Classique_GS Pineraies des plaines du Centre et du Nord Ouest_39_</v>
      </c>
      <c r="BL508" s="322"/>
      <c r="BM508" s="13">
        <v>63.886377576638402</v>
      </c>
      <c r="BN508" s="13">
        <v>311.16385567938897</v>
      </c>
      <c r="BO508" s="13" t="s">
        <v>169</v>
      </c>
      <c r="BP508" s="13">
        <v>243.14590308576999</v>
      </c>
      <c r="BQ508" s="13" t="s">
        <v>169</v>
      </c>
      <c r="BT508" s="298" t="str">
        <f>+VLOOKUP(G508,Liste!$A$7:$H$50,8,FALSE)</f>
        <v>Résineux</v>
      </c>
      <c r="BU508" s="298">
        <f t="shared" si="151"/>
        <v>0</v>
      </c>
      <c r="BV508" s="300">
        <f t="shared" si="152"/>
        <v>1</v>
      </c>
      <c r="BW508" s="321">
        <v>0</v>
      </c>
      <c r="BX508" s="298">
        <f t="shared" si="153"/>
        <v>0.43</v>
      </c>
      <c r="BY508">
        <f t="shared" si="165"/>
        <v>0</v>
      </c>
      <c r="BZ508" s="304">
        <f t="shared" si="154"/>
        <v>0</v>
      </c>
      <c r="CB508" s="299">
        <v>0.6</v>
      </c>
      <c r="CC508" s="299">
        <v>0.4</v>
      </c>
      <c r="CD508">
        <f t="shared" si="155"/>
        <v>0</v>
      </c>
      <c r="CE508">
        <f t="shared" si="156"/>
        <v>0</v>
      </c>
      <c r="CF508">
        <f t="shared" si="157"/>
        <v>0</v>
      </c>
      <c r="CG508">
        <f t="shared" si="158"/>
        <v>0</v>
      </c>
      <c r="CH508">
        <f t="shared" si="159"/>
        <v>0</v>
      </c>
      <c r="CI508">
        <f t="shared" si="160"/>
        <v>0</v>
      </c>
      <c r="CJ508">
        <f t="shared" si="161"/>
        <v>0</v>
      </c>
      <c r="CK508">
        <f t="shared" si="162"/>
        <v>0</v>
      </c>
      <c r="CL508">
        <f t="shared" si="163"/>
        <v>0</v>
      </c>
      <c r="CM508">
        <f t="shared" si="166"/>
        <v>0</v>
      </c>
      <c r="CN508">
        <f t="shared" si="164"/>
        <v>0</v>
      </c>
      <c r="CO508">
        <f t="shared" si="149"/>
        <v>0</v>
      </c>
    </row>
    <row r="509" spans="1:93" s="12" customFormat="1" ht="14.65" customHeight="1" x14ac:dyDescent="0.25">
      <c r="A509" s="4">
        <v>2021</v>
      </c>
      <c r="B509" s="4"/>
      <c r="C509" s="4" t="s">
        <v>418</v>
      </c>
      <c r="D509" s="4" t="s">
        <v>65</v>
      </c>
      <c r="E509" s="4"/>
      <c r="F509" s="4" t="s">
        <v>90</v>
      </c>
      <c r="G509" s="5" t="s">
        <v>419</v>
      </c>
      <c r="H509" s="5" t="s">
        <v>21</v>
      </c>
      <c r="I509" s="5" t="s">
        <v>18</v>
      </c>
      <c r="J509" s="5" t="s">
        <v>10</v>
      </c>
      <c r="K509" s="5">
        <v>23</v>
      </c>
      <c r="L509" s="5">
        <v>50</v>
      </c>
      <c r="M509" s="5">
        <v>1250</v>
      </c>
      <c r="N509" s="5" t="s">
        <v>171</v>
      </c>
      <c r="O509" s="6" t="s">
        <v>81</v>
      </c>
      <c r="P509" s="6" t="s">
        <v>420</v>
      </c>
      <c r="Q509" s="6"/>
      <c r="R509" s="6"/>
      <c r="S509" s="6">
        <v>17</v>
      </c>
      <c r="T509" s="6">
        <v>11</v>
      </c>
      <c r="U509" s="6">
        <v>1251</v>
      </c>
      <c r="V509" s="6">
        <v>25.56</v>
      </c>
      <c r="W509" s="6">
        <v>13</v>
      </c>
      <c r="X509" s="6">
        <v>239</v>
      </c>
      <c r="Y509" s="6">
        <v>629</v>
      </c>
      <c r="Z509" s="6">
        <v>324</v>
      </c>
      <c r="AA509" s="6">
        <v>46</v>
      </c>
      <c r="AB509" s="6">
        <v>0</v>
      </c>
      <c r="AC509" s="7">
        <v>40</v>
      </c>
      <c r="AD509" s="7" t="s">
        <v>52</v>
      </c>
      <c r="AE509" s="7">
        <v>21.33</v>
      </c>
      <c r="AF509" s="76">
        <v>338.6</v>
      </c>
      <c r="AG509" s="7">
        <v>30.92</v>
      </c>
      <c r="AH509" s="7">
        <v>34.1</v>
      </c>
      <c r="AI509" s="7">
        <v>39.72</v>
      </c>
      <c r="AJ509" s="9">
        <v>291.09009293987998</v>
      </c>
      <c r="AK509" s="9">
        <v>293.08971953436998</v>
      </c>
      <c r="AL509" s="9">
        <v>325.71955546815099</v>
      </c>
      <c r="AM509" s="9" t="s">
        <v>169</v>
      </c>
      <c r="AN509" s="9" t="s">
        <v>169</v>
      </c>
      <c r="AO509" s="9" t="s">
        <v>169</v>
      </c>
      <c r="AP509" s="9" t="s">
        <v>169</v>
      </c>
      <c r="AQ509" s="9" t="s">
        <v>169</v>
      </c>
      <c r="AR509" s="9" t="s">
        <v>169</v>
      </c>
      <c r="AS509" s="73" t="s">
        <v>169</v>
      </c>
      <c r="AT509" s="8" t="s">
        <v>169</v>
      </c>
      <c r="AU509" s="10" t="s">
        <v>169</v>
      </c>
      <c r="AV509" s="10">
        <v>0</v>
      </c>
      <c r="AW509" s="8"/>
      <c r="AX509" s="10" t="s">
        <v>169</v>
      </c>
      <c r="AY509" s="10"/>
      <c r="AZ509" s="10"/>
      <c r="BA509" s="10"/>
      <c r="BB509" s="8"/>
      <c r="BC509" s="8"/>
      <c r="BD509" s="8"/>
      <c r="BE509" s="8"/>
      <c r="BF509" s="12">
        <v>0.46</v>
      </c>
      <c r="BG509" s="13">
        <v>260.955650522567</v>
      </c>
      <c r="BH509" s="96" t="str">
        <f>+VLOOKUP(G509,Liste!$A$7:$G$50,3,FALSE)</f>
        <v>Pin Maritime</v>
      </c>
      <c r="BI509" s="96" t="str">
        <f>+VLOOKUP(H509,Liste!$B$7:$G$50,5,FALSE)</f>
        <v>GS Pineraies des plaines du Centre et du Nord Ouest</v>
      </c>
      <c r="BJ509" s="135">
        <f t="shared" si="148"/>
        <v>40</v>
      </c>
      <c r="BK509" s="135" t="str">
        <f t="shared" si="150"/>
        <v>Pin Maritime_F2_Classique_GS Pineraies des plaines du Centre et du Nord Ouest_40_</v>
      </c>
      <c r="BL509" s="322"/>
      <c r="BM509" s="13">
        <v>67.007250035557504</v>
      </c>
      <c r="BN509" s="13">
        <v>327.96290055812398</v>
      </c>
      <c r="BO509" s="13" t="s">
        <v>169</v>
      </c>
      <c r="BP509" s="13">
        <v>243.14590308576999</v>
      </c>
      <c r="BQ509" s="13" t="s">
        <v>169</v>
      </c>
      <c r="BT509" s="298" t="str">
        <f>+VLOOKUP(G509,Liste!$A$7:$H$50,8,FALSE)</f>
        <v>Résineux</v>
      </c>
      <c r="BU509" s="298">
        <f t="shared" si="151"/>
        <v>0</v>
      </c>
      <c r="BV509" s="300">
        <f t="shared" si="152"/>
        <v>1</v>
      </c>
      <c r="BW509" s="321">
        <v>0</v>
      </c>
      <c r="BX509" s="298">
        <f t="shared" si="153"/>
        <v>0.43</v>
      </c>
      <c r="BY509">
        <f t="shared" si="165"/>
        <v>0</v>
      </c>
      <c r="BZ509" s="304">
        <f t="shared" si="154"/>
        <v>0</v>
      </c>
      <c r="CB509" s="299">
        <v>0.6</v>
      </c>
      <c r="CC509" s="299">
        <v>0.4</v>
      </c>
      <c r="CD509">
        <f t="shared" si="155"/>
        <v>0</v>
      </c>
      <c r="CE509">
        <f t="shared" si="156"/>
        <v>0</v>
      </c>
      <c r="CF509">
        <f t="shared" si="157"/>
        <v>0</v>
      </c>
      <c r="CG509">
        <f t="shared" si="158"/>
        <v>0</v>
      </c>
      <c r="CH509">
        <f t="shared" si="159"/>
        <v>0</v>
      </c>
      <c r="CI509">
        <f t="shared" si="160"/>
        <v>0</v>
      </c>
      <c r="CJ509">
        <f t="shared" si="161"/>
        <v>0</v>
      </c>
      <c r="CK509">
        <f t="shared" si="162"/>
        <v>0</v>
      </c>
      <c r="CL509">
        <f t="shared" si="163"/>
        <v>0</v>
      </c>
      <c r="CM509">
        <f t="shared" si="166"/>
        <v>0</v>
      </c>
      <c r="CN509">
        <f t="shared" si="164"/>
        <v>0</v>
      </c>
      <c r="CO509">
        <f t="shared" si="149"/>
        <v>0</v>
      </c>
    </row>
    <row r="510" spans="1:93" s="12" customFormat="1" ht="14.65" customHeight="1" x14ac:dyDescent="0.25">
      <c r="A510" s="4">
        <v>2021</v>
      </c>
      <c r="B510" s="4"/>
      <c r="C510" s="4" t="s">
        <v>418</v>
      </c>
      <c r="D510" s="4" t="s">
        <v>65</v>
      </c>
      <c r="E510" s="4"/>
      <c r="F510" s="4" t="s">
        <v>90</v>
      </c>
      <c r="G510" s="5" t="s">
        <v>419</v>
      </c>
      <c r="H510" s="5" t="s">
        <v>21</v>
      </c>
      <c r="I510" s="5" t="s">
        <v>18</v>
      </c>
      <c r="J510" s="5" t="s">
        <v>10</v>
      </c>
      <c r="K510" s="5">
        <v>23</v>
      </c>
      <c r="L510" s="5">
        <v>50</v>
      </c>
      <c r="M510" s="5">
        <v>1250</v>
      </c>
      <c r="N510" s="5" t="s">
        <v>171</v>
      </c>
      <c r="O510" s="6" t="s">
        <v>81</v>
      </c>
      <c r="P510" s="6" t="s">
        <v>420</v>
      </c>
      <c r="Q510" s="6"/>
      <c r="R510" s="6"/>
      <c r="S510" s="6">
        <v>17</v>
      </c>
      <c r="T510" s="6">
        <v>11</v>
      </c>
      <c r="U510" s="6">
        <v>1251</v>
      </c>
      <c r="V510" s="6">
        <v>25.56</v>
      </c>
      <c r="W510" s="6">
        <v>13</v>
      </c>
      <c r="X510" s="6">
        <v>239</v>
      </c>
      <c r="Y510" s="6">
        <v>629</v>
      </c>
      <c r="Z510" s="6">
        <v>324</v>
      </c>
      <c r="AA510" s="6">
        <v>46</v>
      </c>
      <c r="AB510" s="6">
        <v>0</v>
      </c>
      <c r="AC510" s="7">
        <v>41</v>
      </c>
      <c r="AD510" s="7" t="s">
        <v>52</v>
      </c>
      <c r="AE510" s="7">
        <v>21.64</v>
      </c>
      <c r="AF510" s="76">
        <v>338.6</v>
      </c>
      <c r="AG510" s="7">
        <v>32.130000000000003</v>
      </c>
      <c r="AH510" s="7">
        <v>34.76</v>
      </c>
      <c r="AI510" s="7">
        <v>40.549999999999997</v>
      </c>
      <c r="AJ510" s="9">
        <v>305.56157625513703</v>
      </c>
      <c r="AK510" s="9">
        <v>307.78023663462801</v>
      </c>
      <c r="AL510" s="9">
        <v>342.792373133826</v>
      </c>
      <c r="AM510" s="9" t="s">
        <v>169</v>
      </c>
      <c r="AN510" s="9" t="s">
        <v>169</v>
      </c>
      <c r="AO510" s="9" t="s">
        <v>169</v>
      </c>
      <c r="AP510" s="9" t="s">
        <v>169</v>
      </c>
      <c r="AQ510" s="9" t="s">
        <v>169</v>
      </c>
      <c r="AR510" s="9" t="s">
        <v>169</v>
      </c>
      <c r="AS510" s="73" t="s">
        <v>169</v>
      </c>
      <c r="AT510" s="8" t="s">
        <v>169</v>
      </c>
      <c r="AU510" s="10" t="s">
        <v>169</v>
      </c>
      <c r="AV510" s="10">
        <v>0</v>
      </c>
      <c r="AW510" s="8"/>
      <c r="AX510" s="10" t="s">
        <v>169</v>
      </c>
      <c r="AY510" s="10"/>
      <c r="AZ510" s="10"/>
      <c r="BA510" s="10"/>
      <c r="BB510" s="8"/>
      <c r="BC510" s="8"/>
      <c r="BD510" s="8"/>
      <c r="BE510" s="8"/>
      <c r="BF510" s="12">
        <v>0.46</v>
      </c>
      <c r="BG510" s="13">
        <v>274.63382294238397</v>
      </c>
      <c r="BH510" s="96" t="str">
        <f>+VLOOKUP(G510,Liste!$A$7:$G$50,3,FALSE)</f>
        <v>Pin Maritime</v>
      </c>
      <c r="BI510" s="96" t="str">
        <f>+VLOOKUP(H510,Liste!$B$7:$G$50,5,FALSE)</f>
        <v>GS Pineraies des plaines du Centre et du Nord Ouest</v>
      </c>
      <c r="BJ510" s="135">
        <f t="shared" si="148"/>
        <v>41</v>
      </c>
      <c r="BK510" s="135" t="str">
        <f t="shared" si="150"/>
        <v>Pin Maritime_F2_Classique_GS Pineraies des plaines du Centre et du Nord Ouest_41_</v>
      </c>
      <c r="BL510" s="322"/>
      <c r="BM510" s="13">
        <v>70.1281224944766</v>
      </c>
      <c r="BN510" s="13">
        <v>344.76194543686</v>
      </c>
      <c r="BO510" s="13" t="s">
        <v>169</v>
      </c>
      <c r="BP510" s="13">
        <v>243.14590308576999</v>
      </c>
      <c r="BQ510" s="13" t="s">
        <v>169</v>
      </c>
      <c r="BT510" s="298" t="str">
        <f>+VLOOKUP(G510,Liste!$A$7:$H$50,8,FALSE)</f>
        <v>Résineux</v>
      </c>
      <c r="BU510" s="298">
        <f t="shared" si="151"/>
        <v>0</v>
      </c>
      <c r="BV510" s="300">
        <f t="shared" si="152"/>
        <v>1</v>
      </c>
      <c r="BW510" s="321">
        <v>0</v>
      </c>
      <c r="BX510" s="298">
        <f t="shared" si="153"/>
        <v>0.43</v>
      </c>
      <c r="BY510">
        <f t="shared" si="165"/>
        <v>0</v>
      </c>
      <c r="BZ510" s="304">
        <f t="shared" si="154"/>
        <v>0</v>
      </c>
      <c r="CB510" s="299">
        <v>0.6</v>
      </c>
      <c r="CC510" s="299">
        <v>0.4</v>
      </c>
      <c r="CD510">
        <f t="shared" si="155"/>
        <v>0</v>
      </c>
      <c r="CE510">
        <f t="shared" si="156"/>
        <v>0</v>
      </c>
      <c r="CF510">
        <f t="shared" si="157"/>
        <v>0</v>
      </c>
      <c r="CG510">
        <f t="shared" si="158"/>
        <v>0</v>
      </c>
      <c r="CH510">
        <f t="shared" si="159"/>
        <v>0</v>
      </c>
      <c r="CI510">
        <f t="shared" si="160"/>
        <v>0</v>
      </c>
      <c r="CJ510">
        <f t="shared" si="161"/>
        <v>0</v>
      </c>
      <c r="CK510">
        <f t="shared" si="162"/>
        <v>0</v>
      </c>
      <c r="CL510">
        <f t="shared" si="163"/>
        <v>0</v>
      </c>
      <c r="CM510">
        <f t="shared" si="166"/>
        <v>0</v>
      </c>
      <c r="CN510">
        <f t="shared" si="164"/>
        <v>0</v>
      </c>
      <c r="CO510">
        <f t="shared" si="149"/>
        <v>0</v>
      </c>
    </row>
    <row r="511" spans="1:93" s="12" customFormat="1" ht="14.65" customHeight="1" x14ac:dyDescent="0.25">
      <c r="A511" s="4">
        <v>2021</v>
      </c>
      <c r="B511" s="4"/>
      <c r="C511" s="4" t="s">
        <v>418</v>
      </c>
      <c r="D511" s="4" t="s">
        <v>65</v>
      </c>
      <c r="E511" s="4"/>
      <c r="F511" s="4" t="s">
        <v>90</v>
      </c>
      <c r="G511" s="5" t="s">
        <v>419</v>
      </c>
      <c r="H511" s="5" t="s">
        <v>21</v>
      </c>
      <c r="I511" s="5" t="s">
        <v>18</v>
      </c>
      <c r="J511" s="5" t="s">
        <v>10</v>
      </c>
      <c r="K511" s="5">
        <v>23</v>
      </c>
      <c r="L511" s="5">
        <v>50</v>
      </c>
      <c r="M511" s="5">
        <v>1250</v>
      </c>
      <c r="N511" s="5" t="s">
        <v>171</v>
      </c>
      <c r="O511" s="6" t="s">
        <v>81</v>
      </c>
      <c r="P511" s="6" t="s">
        <v>420</v>
      </c>
      <c r="Q511" s="6"/>
      <c r="R511" s="6"/>
      <c r="S511" s="6">
        <v>17</v>
      </c>
      <c r="T511" s="6">
        <v>11</v>
      </c>
      <c r="U511" s="6">
        <v>1251</v>
      </c>
      <c r="V511" s="6">
        <v>25.56</v>
      </c>
      <c r="W511" s="6">
        <v>13</v>
      </c>
      <c r="X511" s="6">
        <v>239</v>
      </c>
      <c r="Y511" s="6">
        <v>629</v>
      </c>
      <c r="Z511" s="6">
        <v>324</v>
      </c>
      <c r="AA511" s="6">
        <v>46</v>
      </c>
      <c r="AB511" s="6">
        <v>0</v>
      </c>
      <c r="AC511" s="7">
        <v>42</v>
      </c>
      <c r="AD511" s="7" t="s">
        <v>52</v>
      </c>
      <c r="AE511" s="7">
        <v>21.94</v>
      </c>
      <c r="AF511" s="76">
        <v>338.6</v>
      </c>
      <c r="AG511" s="7">
        <v>33.340000000000003</v>
      </c>
      <c r="AH511" s="7">
        <v>35.409999999999997</v>
      </c>
      <c r="AI511" s="7">
        <v>41.36</v>
      </c>
      <c r="AJ511" s="9">
        <v>320.03305957039299</v>
      </c>
      <c r="AK511" s="9">
        <v>322.47075373488599</v>
      </c>
      <c r="AL511" s="9">
        <v>359.86519079950102</v>
      </c>
      <c r="AM511" s="9" t="s">
        <v>169</v>
      </c>
      <c r="AN511" s="9" t="s">
        <v>169</v>
      </c>
      <c r="AO511" s="9" t="s">
        <v>169</v>
      </c>
      <c r="AP511" s="9" t="s">
        <v>169</v>
      </c>
      <c r="AQ511" s="9" t="s">
        <v>169</v>
      </c>
      <c r="AR511" s="9" t="s">
        <v>169</v>
      </c>
      <c r="AS511" s="73" t="s">
        <v>169</v>
      </c>
      <c r="AT511" s="8" t="s">
        <v>169</v>
      </c>
      <c r="AU511" s="10" t="s">
        <v>169</v>
      </c>
      <c r="AV511" s="10">
        <v>0</v>
      </c>
      <c r="AW511" s="8"/>
      <c r="AX511" s="10" t="s">
        <v>169</v>
      </c>
      <c r="AY511" s="10"/>
      <c r="AZ511" s="10"/>
      <c r="BA511" s="10"/>
      <c r="BB511" s="8"/>
      <c r="BC511" s="8"/>
      <c r="BD511" s="8"/>
      <c r="BE511" s="8"/>
      <c r="BF511" s="12">
        <v>0.46</v>
      </c>
      <c r="BG511" s="13">
        <v>288.311995362201</v>
      </c>
      <c r="BH511" s="96" t="str">
        <f>+VLOOKUP(G511,Liste!$A$7:$G$50,3,FALSE)</f>
        <v>Pin Maritime</v>
      </c>
      <c r="BI511" s="96" t="str">
        <f>+VLOOKUP(H511,Liste!$B$7:$G$50,5,FALSE)</f>
        <v>GS Pineraies des plaines du Centre et du Nord Ouest</v>
      </c>
      <c r="BJ511" s="135">
        <f t="shared" si="148"/>
        <v>42</v>
      </c>
      <c r="BK511" s="135" t="str">
        <f t="shared" si="150"/>
        <v>Pin Maritime_F2_Classique_GS Pineraies des plaines du Centre et du Nord Ouest_42_</v>
      </c>
      <c r="BL511" s="322"/>
      <c r="BM511" s="13">
        <v>73.248994953395695</v>
      </c>
      <c r="BN511" s="13">
        <v>361.56099031559597</v>
      </c>
      <c r="BO511" s="13" t="s">
        <v>169</v>
      </c>
      <c r="BP511" s="13">
        <v>243.14590308576999</v>
      </c>
      <c r="BQ511" s="13" t="s">
        <v>169</v>
      </c>
      <c r="BT511" s="298" t="str">
        <f>+VLOOKUP(G511,Liste!$A$7:$H$50,8,FALSE)</f>
        <v>Résineux</v>
      </c>
      <c r="BU511" s="298">
        <f t="shared" si="151"/>
        <v>0</v>
      </c>
      <c r="BV511" s="300">
        <f t="shared" si="152"/>
        <v>1</v>
      </c>
      <c r="BW511" s="321">
        <v>0</v>
      </c>
      <c r="BX511" s="298">
        <f t="shared" si="153"/>
        <v>0.43</v>
      </c>
      <c r="BY511">
        <f t="shared" si="165"/>
        <v>0</v>
      </c>
      <c r="BZ511" s="304">
        <f t="shared" si="154"/>
        <v>0</v>
      </c>
      <c r="CB511" s="299">
        <v>0.6</v>
      </c>
      <c r="CC511" s="299">
        <v>0.4</v>
      </c>
      <c r="CD511">
        <f t="shared" si="155"/>
        <v>0</v>
      </c>
      <c r="CE511">
        <f t="shared" si="156"/>
        <v>0</v>
      </c>
      <c r="CF511">
        <f t="shared" si="157"/>
        <v>0</v>
      </c>
      <c r="CG511">
        <f t="shared" si="158"/>
        <v>0</v>
      </c>
      <c r="CH511">
        <f t="shared" si="159"/>
        <v>0</v>
      </c>
      <c r="CI511">
        <f t="shared" si="160"/>
        <v>0</v>
      </c>
      <c r="CJ511">
        <f t="shared" si="161"/>
        <v>0</v>
      </c>
      <c r="CK511">
        <f t="shared" si="162"/>
        <v>0</v>
      </c>
      <c r="CL511">
        <f t="shared" si="163"/>
        <v>0</v>
      </c>
      <c r="CM511">
        <f t="shared" si="166"/>
        <v>0</v>
      </c>
      <c r="CN511">
        <f t="shared" si="164"/>
        <v>0</v>
      </c>
      <c r="CO511">
        <f t="shared" si="149"/>
        <v>0</v>
      </c>
    </row>
    <row r="512" spans="1:93" s="12" customFormat="1" ht="14.65" customHeight="1" x14ac:dyDescent="0.25">
      <c r="A512" s="4">
        <v>2021</v>
      </c>
      <c r="B512" s="4"/>
      <c r="C512" s="4" t="s">
        <v>418</v>
      </c>
      <c r="D512" s="4" t="s">
        <v>65</v>
      </c>
      <c r="E512" s="4"/>
      <c r="F512" s="4" t="s">
        <v>90</v>
      </c>
      <c r="G512" s="5" t="s">
        <v>419</v>
      </c>
      <c r="H512" s="5" t="s">
        <v>21</v>
      </c>
      <c r="I512" s="5" t="s">
        <v>18</v>
      </c>
      <c r="J512" s="5" t="s">
        <v>10</v>
      </c>
      <c r="K512" s="5">
        <v>23</v>
      </c>
      <c r="L512" s="5">
        <v>50</v>
      </c>
      <c r="M512" s="5">
        <v>1250</v>
      </c>
      <c r="N512" s="5" t="s">
        <v>171</v>
      </c>
      <c r="O512" s="6" t="s">
        <v>81</v>
      </c>
      <c r="P512" s="6" t="s">
        <v>420</v>
      </c>
      <c r="Q512" s="6"/>
      <c r="R512" s="6"/>
      <c r="S512" s="6">
        <v>17</v>
      </c>
      <c r="T512" s="6">
        <v>11</v>
      </c>
      <c r="U512" s="6">
        <v>1251</v>
      </c>
      <c r="V512" s="6">
        <v>25.56</v>
      </c>
      <c r="W512" s="6">
        <v>13</v>
      </c>
      <c r="X512" s="6">
        <v>239</v>
      </c>
      <c r="Y512" s="6">
        <v>629</v>
      </c>
      <c r="Z512" s="6">
        <v>324</v>
      </c>
      <c r="AA512" s="6">
        <v>46</v>
      </c>
      <c r="AB512" s="6">
        <v>0</v>
      </c>
      <c r="AC512" s="7">
        <v>43</v>
      </c>
      <c r="AD512" s="7" t="s">
        <v>52</v>
      </c>
      <c r="AE512" s="7">
        <v>22.22</v>
      </c>
      <c r="AF512" s="76">
        <v>338.6</v>
      </c>
      <c r="AG512" s="7">
        <v>34.54</v>
      </c>
      <c r="AH512" s="7">
        <v>36.04</v>
      </c>
      <c r="AI512" s="7">
        <v>42.16</v>
      </c>
      <c r="AJ512" s="9">
        <v>334.50454288564998</v>
      </c>
      <c r="AK512" s="9">
        <v>337.161270835143</v>
      </c>
      <c r="AL512" s="9">
        <v>376.93800846517701</v>
      </c>
      <c r="AM512" s="9">
        <v>67.329340462514807</v>
      </c>
      <c r="AN512" s="9">
        <v>1.56579861540732</v>
      </c>
      <c r="AO512" s="9">
        <v>1.19104067473447</v>
      </c>
      <c r="AP512" s="9">
        <v>647.84903501901999</v>
      </c>
      <c r="AQ512" s="9">
        <v>15.066256628349301</v>
      </c>
      <c r="AR512" s="9">
        <v>17.166411672831799</v>
      </c>
      <c r="AS512" s="73" t="s">
        <v>169</v>
      </c>
      <c r="AT512" s="8" t="s">
        <v>169</v>
      </c>
      <c r="AU512" s="10" t="s">
        <v>169</v>
      </c>
      <c r="AV512" s="10">
        <v>0</v>
      </c>
      <c r="AW512" s="8"/>
      <c r="AX512" s="10" t="s">
        <v>169</v>
      </c>
      <c r="AY512" s="10"/>
      <c r="AZ512" s="10"/>
      <c r="BA512" s="10"/>
      <c r="BB512" s="8"/>
      <c r="BC512" s="8"/>
      <c r="BD512" s="8"/>
      <c r="BE512" s="8"/>
      <c r="BF512" s="12">
        <v>0.46</v>
      </c>
      <c r="BG512" s="13">
        <v>301.99016778201701</v>
      </c>
      <c r="BH512" s="96" t="str">
        <f>+VLOOKUP(G512,Liste!$A$7:$G$50,3,FALSE)</f>
        <v>Pin Maritime</v>
      </c>
      <c r="BI512" s="96" t="str">
        <f>+VLOOKUP(H512,Liste!$B$7:$G$50,5,FALSE)</f>
        <v>GS Pineraies des plaines du Centre et du Nord Ouest</v>
      </c>
      <c r="BJ512" s="135">
        <f t="shared" si="148"/>
        <v>43</v>
      </c>
      <c r="BK512" s="135" t="str">
        <f t="shared" si="150"/>
        <v>Pin Maritime_F2_Classique_GS Pineraies des plaines du Centre et du Nord Ouest_43_</v>
      </c>
      <c r="BL512" s="322"/>
      <c r="BM512" s="13">
        <v>76.369867412314804</v>
      </c>
      <c r="BN512" s="13">
        <v>378.360035194332</v>
      </c>
      <c r="BO512" s="13" t="s">
        <v>169</v>
      </c>
      <c r="BP512" s="13">
        <v>243.14590308576999</v>
      </c>
      <c r="BQ512" s="13">
        <v>16.6341740707336</v>
      </c>
      <c r="BT512" s="298" t="str">
        <f>+VLOOKUP(G512,Liste!$A$7:$H$50,8,FALSE)</f>
        <v>Résineux</v>
      </c>
      <c r="BU512" s="298">
        <f t="shared" si="151"/>
        <v>0</v>
      </c>
      <c r="BV512" s="300">
        <f t="shared" si="152"/>
        <v>1</v>
      </c>
      <c r="BW512" s="321">
        <v>0</v>
      </c>
      <c r="BX512" s="298">
        <f t="shared" si="153"/>
        <v>0.43</v>
      </c>
      <c r="BY512">
        <f t="shared" si="165"/>
        <v>0</v>
      </c>
      <c r="BZ512" s="304">
        <f t="shared" si="154"/>
        <v>0</v>
      </c>
      <c r="CB512" s="299">
        <v>0.6</v>
      </c>
      <c r="CC512" s="299">
        <v>0.4</v>
      </c>
      <c r="CD512">
        <f t="shared" si="155"/>
        <v>0</v>
      </c>
      <c r="CE512">
        <f t="shared" si="156"/>
        <v>0</v>
      </c>
      <c r="CF512">
        <f t="shared" si="157"/>
        <v>0</v>
      </c>
      <c r="CG512">
        <f t="shared" si="158"/>
        <v>0</v>
      </c>
      <c r="CH512">
        <f t="shared" si="159"/>
        <v>0</v>
      </c>
      <c r="CI512">
        <f t="shared" si="160"/>
        <v>0</v>
      </c>
      <c r="CJ512">
        <f t="shared" si="161"/>
        <v>0</v>
      </c>
      <c r="CK512">
        <f t="shared" si="162"/>
        <v>0</v>
      </c>
      <c r="CL512">
        <f t="shared" si="163"/>
        <v>0</v>
      </c>
      <c r="CM512">
        <f t="shared" si="166"/>
        <v>0</v>
      </c>
      <c r="CN512">
        <f t="shared" si="164"/>
        <v>0</v>
      </c>
      <c r="CO512">
        <f t="shared" si="149"/>
        <v>0</v>
      </c>
    </row>
    <row r="513" spans="1:93" s="12" customFormat="1" ht="14.65" customHeight="1" x14ac:dyDescent="0.25">
      <c r="A513" s="4">
        <v>2021</v>
      </c>
      <c r="B513" s="4"/>
      <c r="C513" s="4" t="s">
        <v>418</v>
      </c>
      <c r="D513" s="4" t="s">
        <v>65</v>
      </c>
      <c r="E513" s="4"/>
      <c r="F513" s="4" t="s">
        <v>90</v>
      </c>
      <c r="G513" s="5" t="s">
        <v>419</v>
      </c>
      <c r="H513" s="5" t="s">
        <v>21</v>
      </c>
      <c r="I513" s="5" t="s">
        <v>18</v>
      </c>
      <c r="J513" s="5" t="s">
        <v>10</v>
      </c>
      <c r="K513" s="5">
        <v>23</v>
      </c>
      <c r="L513" s="5">
        <v>50</v>
      </c>
      <c r="M513" s="5">
        <v>1250</v>
      </c>
      <c r="N513" s="5" t="s">
        <v>171</v>
      </c>
      <c r="O513" s="6" t="s">
        <v>81</v>
      </c>
      <c r="P513" s="6" t="s">
        <v>420</v>
      </c>
      <c r="Q513" s="6"/>
      <c r="R513" s="6"/>
      <c r="S513" s="6">
        <v>17</v>
      </c>
      <c r="T513" s="6">
        <v>11</v>
      </c>
      <c r="U513" s="6">
        <v>1251</v>
      </c>
      <c r="V513" s="6">
        <v>25.56</v>
      </c>
      <c r="W513" s="6">
        <v>13</v>
      </c>
      <c r="X513" s="6">
        <v>239</v>
      </c>
      <c r="Y513" s="6">
        <v>629</v>
      </c>
      <c r="Z513" s="6">
        <v>324</v>
      </c>
      <c r="AA513" s="6">
        <v>46</v>
      </c>
      <c r="AB513" s="6">
        <v>0</v>
      </c>
      <c r="AC513" s="7">
        <v>44</v>
      </c>
      <c r="AD513" s="7" t="s">
        <v>52</v>
      </c>
      <c r="AE513" s="7">
        <v>22.51</v>
      </c>
      <c r="AF513" s="76">
        <v>338.6</v>
      </c>
      <c r="AG513" s="7">
        <v>35.729999999999997</v>
      </c>
      <c r="AH513" s="7">
        <v>36.65</v>
      </c>
      <c r="AI513" s="7">
        <v>42.95</v>
      </c>
      <c r="AJ513" s="9">
        <v>350.18836128124798</v>
      </c>
      <c r="AK513" s="9">
        <v>352.98475141582401</v>
      </c>
      <c r="AL513" s="9">
        <v>394.10442013800798</v>
      </c>
      <c r="AM513" s="9">
        <v>68.520381137249302</v>
      </c>
      <c r="AN513" s="9">
        <v>1.55728138948294</v>
      </c>
      <c r="AO513" s="9">
        <v>1.0010724346608899</v>
      </c>
      <c r="AP513" s="9">
        <v>665.01544669185205</v>
      </c>
      <c r="AQ513" s="9">
        <v>15.1139874248148</v>
      </c>
      <c r="AR513" s="9">
        <v>15.1341618097713</v>
      </c>
      <c r="AS513" s="73" t="s">
        <v>169</v>
      </c>
      <c r="AT513" s="8" t="s">
        <v>169</v>
      </c>
      <c r="AU513" s="10" t="s">
        <v>169</v>
      </c>
      <c r="AV513" s="10">
        <v>0</v>
      </c>
      <c r="AW513" s="8"/>
      <c r="AX513" s="10" t="s">
        <v>169</v>
      </c>
      <c r="AY513" s="10"/>
      <c r="AZ513" s="10"/>
      <c r="BA513" s="10"/>
      <c r="BB513" s="8"/>
      <c r="BC513" s="8"/>
      <c r="BD513" s="8"/>
      <c r="BE513" s="8"/>
      <c r="BF513" s="12">
        <v>0.46</v>
      </c>
      <c r="BG513" s="13">
        <v>315.74332460056797</v>
      </c>
      <c r="BH513" s="96" t="str">
        <f>+VLOOKUP(G513,Liste!$A$7:$G$50,3,FALSE)</f>
        <v>Pin Maritime</v>
      </c>
      <c r="BI513" s="96" t="str">
        <f>+VLOOKUP(H513,Liste!$B$7:$G$50,5,FALSE)</f>
        <v>GS Pineraies des plaines du Centre et du Nord Ouest</v>
      </c>
      <c r="BJ513" s="135">
        <f t="shared" si="148"/>
        <v>44</v>
      </c>
      <c r="BK513" s="135" t="str">
        <f t="shared" si="150"/>
        <v>Pin Maritime_F2_Classique_GS Pineraies des plaines du Centre et du Nord Ouest_44_</v>
      </c>
      <c r="BL513" s="322"/>
      <c r="BM513" s="13">
        <v>79.435031994444202</v>
      </c>
      <c r="BN513" s="13">
        <v>395.17835659501202</v>
      </c>
      <c r="BO513" s="13" t="s">
        <v>169</v>
      </c>
      <c r="BP513" s="13">
        <v>243.14590308576999</v>
      </c>
      <c r="BQ513" s="13">
        <v>14.6358766552411</v>
      </c>
      <c r="BT513" s="298" t="str">
        <f>+VLOOKUP(G513,Liste!$A$7:$H$50,8,FALSE)</f>
        <v>Résineux</v>
      </c>
      <c r="BU513" s="298">
        <f t="shared" si="151"/>
        <v>0</v>
      </c>
      <c r="BV513" s="300">
        <f t="shared" si="152"/>
        <v>1</v>
      </c>
      <c r="BW513" s="321">
        <v>0</v>
      </c>
      <c r="BX513" s="298">
        <f t="shared" si="153"/>
        <v>0.43</v>
      </c>
      <c r="BY513">
        <f t="shared" si="165"/>
        <v>0</v>
      </c>
      <c r="BZ513" s="304">
        <f t="shared" si="154"/>
        <v>0</v>
      </c>
      <c r="CB513" s="299">
        <v>0.6</v>
      </c>
      <c r="CC513" s="299">
        <v>0.4</v>
      </c>
      <c r="CD513">
        <f t="shared" si="155"/>
        <v>0</v>
      </c>
      <c r="CE513">
        <f t="shared" si="156"/>
        <v>0</v>
      </c>
      <c r="CF513">
        <f t="shared" si="157"/>
        <v>0</v>
      </c>
      <c r="CG513">
        <f t="shared" si="158"/>
        <v>0</v>
      </c>
      <c r="CH513">
        <f t="shared" si="159"/>
        <v>0</v>
      </c>
      <c r="CI513">
        <f t="shared" si="160"/>
        <v>0</v>
      </c>
      <c r="CJ513">
        <f t="shared" si="161"/>
        <v>0</v>
      </c>
      <c r="CK513">
        <f t="shared" si="162"/>
        <v>0</v>
      </c>
      <c r="CL513">
        <f t="shared" si="163"/>
        <v>0</v>
      </c>
      <c r="CM513">
        <f t="shared" si="166"/>
        <v>0</v>
      </c>
      <c r="CN513">
        <f t="shared" si="164"/>
        <v>0</v>
      </c>
      <c r="CO513">
        <f t="shared" si="149"/>
        <v>0</v>
      </c>
    </row>
    <row r="514" spans="1:93" s="12" customFormat="1" ht="14.65" customHeight="1" x14ac:dyDescent="0.25">
      <c r="A514" s="4">
        <v>2021</v>
      </c>
      <c r="B514" s="4"/>
      <c r="C514" s="4" t="s">
        <v>418</v>
      </c>
      <c r="D514" s="4" t="s">
        <v>65</v>
      </c>
      <c r="E514" s="4"/>
      <c r="F514" s="4" t="s">
        <v>90</v>
      </c>
      <c r="G514" s="5" t="s">
        <v>419</v>
      </c>
      <c r="H514" s="5" t="s">
        <v>21</v>
      </c>
      <c r="I514" s="5" t="s">
        <v>18</v>
      </c>
      <c r="J514" s="5" t="s">
        <v>10</v>
      </c>
      <c r="K514" s="5">
        <v>23</v>
      </c>
      <c r="L514" s="5">
        <v>50</v>
      </c>
      <c r="M514" s="5">
        <v>1250</v>
      </c>
      <c r="N514" s="5" t="s">
        <v>171</v>
      </c>
      <c r="O514" s="6" t="s">
        <v>81</v>
      </c>
      <c r="P514" s="6" t="s">
        <v>420</v>
      </c>
      <c r="Q514" s="6"/>
      <c r="R514" s="6"/>
      <c r="S514" s="6">
        <v>17</v>
      </c>
      <c r="T514" s="6">
        <v>11</v>
      </c>
      <c r="U514" s="6">
        <v>1251</v>
      </c>
      <c r="V514" s="6">
        <v>25.56</v>
      </c>
      <c r="W514" s="6">
        <v>13</v>
      </c>
      <c r="X514" s="6">
        <v>239</v>
      </c>
      <c r="Y514" s="6">
        <v>629</v>
      </c>
      <c r="Z514" s="6">
        <v>324</v>
      </c>
      <c r="AA514" s="6">
        <v>46</v>
      </c>
      <c r="AB514" s="6">
        <v>0</v>
      </c>
      <c r="AC514" s="7">
        <v>44</v>
      </c>
      <c r="AD514" s="7" t="s">
        <v>53</v>
      </c>
      <c r="AE514" s="7">
        <v>22.27</v>
      </c>
      <c r="AF514" s="76">
        <v>268.2</v>
      </c>
      <c r="AG514" s="7">
        <v>28.2</v>
      </c>
      <c r="AH514" s="7">
        <v>36.590000000000003</v>
      </c>
      <c r="AI514" s="7">
        <v>41.39</v>
      </c>
      <c r="AJ514" s="9">
        <v>276.158159885641</v>
      </c>
      <c r="AK514" s="9">
        <v>278.31398676947202</v>
      </c>
      <c r="AL514" s="9">
        <v>310.28480878482998</v>
      </c>
      <c r="AM514" s="9">
        <v>68.520381137249302</v>
      </c>
      <c r="AN514" s="9">
        <v>1.55728138948294</v>
      </c>
      <c r="AO514" s="9">
        <v>1.0010724346608899</v>
      </c>
      <c r="AP514" s="9">
        <v>665.01544669185205</v>
      </c>
      <c r="AQ514" s="9">
        <v>15.1139874248148</v>
      </c>
      <c r="AR514" s="9">
        <v>15.1341618097713</v>
      </c>
      <c r="AS514" s="73">
        <v>70.400000000000034</v>
      </c>
      <c r="AT514" s="8">
        <v>7.5299999999999976</v>
      </c>
      <c r="AU514" s="10">
        <v>36.903386169496244</v>
      </c>
      <c r="AV514" s="10">
        <v>74.03020139560698</v>
      </c>
      <c r="AW514" s="8">
        <v>1.01</v>
      </c>
      <c r="AX514" s="10">
        <v>1.0515653607330533</v>
      </c>
      <c r="AY514" s="10"/>
      <c r="AZ514" s="10"/>
      <c r="BA514" s="10"/>
      <c r="BB514" s="8"/>
      <c r="BC514" s="8"/>
      <c r="BD514" s="8"/>
      <c r="BE514" s="8"/>
      <c r="BF514" s="12">
        <v>0.46</v>
      </c>
      <c r="BG514" s="13">
        <v>248.58984597144601</v>
      </c>
      <c r="BH514" s="96" t="str">
        <f>+VLOOKUP(G514,Liste!$A$7:$G$50,3,FALSE)</f>
        <v>Pin Maritime</v>
      </c>
      <c r="BI514" s="96" t="str">
        <f>+VLOOKUP(H514,Liste!$B$7:$G$50,5,FALSE)</f>
        <v>GS Pineraies des plaines du Centre et du Nord Ouest</v>
      </c>
      <c r="BJ514" s="135">
        <f t="shared" si="148"/>
        <v>44</v>
      </c>
      <c r="BK514" s="135" t="str">
        <f t="shared" si="150"/>
        <v>Pin Maritime_F2_Classique_GS Pineraies des plaines du Centre et du Nord Ouest_44_</v>
      </c>
      <c r="BL514" s="322"/>
      <c r="BM514" s="13">
        <v>64.305706609117607</v>
      </c>
      <c r="BN514" s="13">
        <v>312.89555258056401</v>
      </c>
      <c r="BO514" s="13">
        <v>82.282804014448004</v>
      </c>
      <c r="BP514" s="13">
        <v>243.14590308576999</v>
      </c>
      <c r="BQ514" s="13">
        <v>14.6358766552411</v>
      </c>
      <c r="BT514" s="298" t="str">
        <f>+VLOOKUP(G514,Liste!$A$7:$H$50,8,FALSE)</f>
        <v>Résineux</v>
      </c>
      <c r="BU514" s="298">
        <f t="shared" si="151"/>
        <v>0</v>
      </c>
      <c r="BV514" s="300">
        <f t="shared" si="152"/>
        <v>1</v>
      </c>
      <c r="BW514" s="321">
        <v>0</v>
      </c>
      <c r="BX514" s="298">
        <f t="shared" si="153"/>
        <v>0.43</v>
      </c>
      <c r="BY514">
        <f t="shared" si="165"/>
        <v>0</v>
      </c>
      <c r="BZ514" s="304">
        <f t="shared" si="154"/>
        <v>0</v>
      </c>
      <c r="CB514" s="299">
        <v>0.6</v>
      </c>
      <c r="CC514" s="299">
        <v>0.4</v>
      </c>
      <c r="CD514">
        <f t="shared" si="155"/>
        <v>0</v>
      </c>
      <c r="CE514">
        <f t="shared" si="156"/>
        <v>0</v>
      </c>
      <c r="CF514">
        <f t="shared" si="157"/>
        <v>0</v>
      </c>
      <c r="CG514">
        <f t="shared" si="158"/>
        <v>0</v>
      </c>
      <c r="CH514">
        <f t="shared" si="159"/>
        <v>0</v>
      </c>
      <c r="CI514">
        <f t="shared" si="160"/>
        <v>0</v>
      </c>
      <c r="CJ514">
        <f t="shared" si="161"/>
        <v>0</v>
      </c>
      <c r="CK514">
        <f t="shared" si="162"/>
        <v>0</v>
      </c>
      <c r="CL514">
        <f t="shared" si="163"/>
        <v>0</v>
      </c>
      <c r="CM514">
        <f t="shared" si="166"/>
        <v>0</v>
      </c>
      <c r="CN514">
        <f t="shared" si="164"/>
        <v>0</v>
      </c>
      <c r="CO514">
        <f t="shared" si="149"/>
        <v>0</v>
      </c>
    </row>
    <row r="515" spans="1:93" s="12" customFormat="1" ht="14.65" customHeight="1" x14ac:dyDescent="0.25">
      <c r="A515" s="4">
        <v>2021</v>
      </c>
      <c r="B515" s="4"/>
      <c r="C515" s="4" t="s">
        <v>418</v>
      </c>
      <c r="D515" s="4" t="s">
        <v>65</v>
      </c>
      <c r="E515" s="4"/>
      <c r="F515" s="4" t="s">
        <v>90</v>
      </c>
      <c r="G515" s="5" t="s">
        <v>419</v>
      </c>
      <c r="H515" s="5" t="s">
        <v>21</v>
      </c>
      <c r="I515" s="5" t="s">
        <v>18</v>
      </c>
      <c r="J515" s="5" t="s">
        <v>10</v>
      </c>
      <c r="K515" s="5">
        <v>23</v>
      </c>
      <c r="L515" s="5">
        <v>50</v>
      </c>
      <c r="M515" s="5">
        <v>1250</v>
      </c>
      <c r="N515" s="5" t="s">
        <v>171</v>
      </c>
      <c r="O515" s="6" t="s">
        <v>81</v>
      </c>
      <c r="P515" s="6" t="s">
        <v>420</v>
      </c>
      <c r="Q515" s="6"/>
      <c r="R515" s="6"/>
      <c r="S515" s="6">
        <v>17</v>
      </c>
      <c r="T515" s="6">
        <v>11</v>
      </c>
      <c r="U515" s="6">
        <v>1251</v>
      </c>
      <c r="V515" s="6">
        <v>25.56</v>
      </c>
      <c r="W515" s="6">
        <v>13</v>
      </c>
      <c r="X515" s="6">
        <v>239</v>
      </c>
      <c r="Y515" s="6">
        <v>629</v>
      </c>
      <c r="Z515" s="6">
        <v>324</v>
      </c>
      <c r="AA515" s="6">
        <v>46</v>
      </c>
      <c r="AB515" s="6">
        <v>0</v>
      </c>
      <c r="AC515" s="7">
        <v>45</v>
      </c>
      <c r="AD515" s="7" t="s">
        <v>52</v>
      </c>
      <c r="AE515" s="7">
        <v>22.78</v>
      </c>
      <c r="AF515" s="76">
        <v>268.2</v>
      </c>
      <c r="AG515" s="7">
        <v>29.21</v>
      </c>
      <c r="AH515" s="7">
        <v>37.24</v>
      </c>
      <c r="AI515" s="7">
        <v>42.18</v>
      </c>
      <c r="AJ515" s="9">
        <v>288.05133004993797</v>
      </c>
      <c r="AK515" s="9">
        <v>290.53192887175499</v>
      </c>
      <c r="AL515" s="9">
        <v>325.41897059460098</v>
      </c>
      <c r="AM515" s="9" t="s">
        <v>169</v>
      </c>
      <c r="AN515" s="9" t="s">
        <v>169</v>
      </c>
      <c r="AO515" s="9" t="s">
        <v>169</v>
      </c>
      <c r="AP515" s="9" t="s">
        <v>169</v>
      </c>
      <c r="AQ515" s="9" t="s">
        <v>169</v>
      </c>
      <c r="AR515" s="9" t="s">
        <v>169</v>
      </c>
      <c r="AS515" s="73" t="s">
        <v>169</v>
      </c>
      <c r="AT515" s="8" t="s">
        <v>169</v>
      </c>
      <c r="AU515" s="10" t="s">
        <v>169</v>
      </c>
      <c r="AV515" s="10">
        <v>0</v>
      </c>
      <c r="AW515" s="8"/>
      <c r="AX515" s="10" t="s">
        <v>169</v>
      </c>
      <c r="AY515" s="10"/>
      <c r="AZ515" s="10"/>
      <c r="BA515" s="10"/>
      <c r="BB515" s="8"/>
      <c r="BC515" s="8"/>
      <c r="BD515" s="8"/>
      <c r="BE515" s="8"/>
      <c r="BF515" s="12">
        <v>0.46</v>
      </c>
      <c r="BG515" s="13">
        <v>260.714831941375</v>
      </c>
      <c r="BH515" s="96" t="str">
        <f>+VLOOKUP(G515,Liste!$A$7:$G$50,3,FALSE)</f>
        <v>Pin Maritime</v>
      </c>
      <c r="BI515" s="96" t="str">
        <f>+VLOOKUP(H515,Liste!$B$7:$G$50,5,FALSE)</f>
        <v>GS Pineraies des plaines du Centre et du Nord Ouest</v>
      </c>
      <c r="BJ515" s="135">
        <f t="shared" ref="BJ515:BJ578" si="167">+AC515</f>
        <v>45</v>
      </c>
      <c r="BK515" s="135" t="str">
        <f t="shared" si="150"/>
        <v>Pin Maritime_F2_Classique_GS Pineraies des plaines du Centre et du Nord Ouest_45_</v>
      </c>
      <c r="BL515" s="322"/>
      <c r="BM515" s="13">
        <v>67.021808460877196</v>
      </c>
      <c r="BN515" s="13">
        <v>327.73664040225202</v>
      </c>
      <c r="BO515" s="13" t="s">
        <v>169</v>
      </c>
      <c r="BP515" s="13">
        <v>243.14590308576999</v>
      </c>
      <c r="BQ515" s="13" t="s">
        <v>169</v>
      </c>
      <c r="BT515" s="298" t="str">
        <f>+VLOOKUP(G515,Liste!$A$7:$H$50,8,FALSE)</f>
        <v>Résineux</v>
      </c>
      <c r="BU515" s="298">
        <f t="shared" si="151"/>
        <v>0</v>
      </c>
      <c r="BV515" s="300">
        <f t="shared" si="152"/>
        <v>1</v>
      </c>
      <c r="BW515" s="321">
        <v>0</v>
      </c>
      <c r="BX515" s="298">
        <f t="shared" si="153"/>
        <v>0.43</v>
      </c>
      <c r="BY515">
        <f t="shared" si="165"/>
        <v>0</v>
      </c>
      <c r="BZ515" s="304">
        <f t="shared" si="154"/>
        <v>0</v>
      </c>
      <c r="CB515" s="299">
        <v>0.6</v>
      </c>
      <c r="CC515" s="299">
        <v>0.4</v>
      </c>
      <c r="CD515">
        <f t="shared" si="155"/>
        <v>0</v>
      </c>
      <c r="CE515">
        <f t="shared" si="156"/>
        <v>0</v>
      </c>
      <c r="CF515">
        <f t="shared" si="157"/>
        <v>0</v>
      </c>
      <c r="CG515">
        <f t="shared" si="158"/>
        <v>0</v>
      </c>
      <c r="CH515">
        <f t="shared" si="159"/>
        <v>0</v>
      </c>
      <c r="CI515">
        <f t="shared" si="160"/>
        <v>0</v>
      </c>
      <c r="CJ515">
        <f t="shared" si="161"/>
        <v>0</v>
      </c>
      <c r="CK515">
        <f t="shared" si="162"/>
        <v>0</v>
      </c>
      <c r="CL515">
        <f t="shared" si="163"/>
        <v>0</v>
      </c>
      <c r="CM515">
        <f t="shared" si="166"/>
        <v>0</v>
      </c>
      <c r="CN515">
        <f t="shared" si="164"/>
        <v>0</v>
      </c>
      <c r="CO515">
        <f t="shared" ref="CO515:CO578" si="168">+IF(BJ515=30,CN515/30,0)</f>
        <v>0</v>
      </c>
    </row>
    <row r="516" spans="1:93" s="12" customFormat="1" ht="14.65" customHeight="1" x14ac:dyDescent="0.25">
      <c r="A516" s="4">
        <v>2021</v>
      </c>
      <c r="B516" s="4"/>
      <c r="C516" s="4" t="s">
        <v>418</v>
      </c>
      <c r="D516" s="4" t="s">
        <v>65</v>
      </c>
      <c r="E516" s="4"/>
      <c r="F516" s="4" t="s">
        <v>90</v>
      </c>
      <c r="G516" s="5" t="s">
        <v>419</v>
      </c>
      <c r="H516" s="5" t="s">
        <v>21</v>
      </c>
      <c r="I516" s="5" t="s">
        <v>18</v>
      </c>
      <c r="J516" s="5" t="s">
        <v>10</v>
      </c>
      <c r="K516" s="5">
        <v>23</v>
      </c>
      <c r="L516" s="5">
        <v>50</v>
      </c>
      <c r="M516" s="5">
        <v>1250</v>
      </c>
      <c r="N516" s="5" t="s">
        <v>171</v>
      </c>
      <c r="O516" s="6" t="s">
        <v>81</v>
      </c>
      <c r="P516" s="6" t="s">
        <v>420</v>
      </c>
      <c r="Q516" s="6"/>
      <c r="R516" s="6"/>
      <c r="S516" s="6">
        <v>17</v>
      </c>
      <c r="T516" s="6">
        <v>11</v>
      </c>
      <c r="U516" s="6">
        <v>1251</v>
      </c>
      <c r="V516" s="6">
        <v>25.56</v>
      </c>
      <c r="W516" s="6">
        <v>13</v>
      </c>
      <c r="X516" s="6">
        <v>239</v>
      </c>
      <c r="Y516" s="6">
        <v>629</v>
      </c>
      <c r="Z516" s="6">
        <v>324</v>
      </c>
      <c r="AA516" s="6">
        <v>46</v>
      </c>
      <c r="AB516" s="6">
        <v>0</v>
      </c>
      <c r="AC516" s="7">
        <v>46</v>
      </c>
      <c r="AD516" s="7" t="s">
        <v>52</v>
      </c>
      <c r="AE516" s="7">
        <v>23.05</v>
      </c>
      <c r="AF516" s="76">
        <v>268.2</v>
      </c>
      <c r="AG516" s="7">
        <v>30.23</v>
      </c>
      <c r="AH516" s="7">
        <v>37.880000000000003</v>
      </c>
      <c r="AI516" s="7">
        <v>42.95</v>
      </c>
      <c r="AJ516" s="9">
        <v>299.94450021423597</v>
      </c>
      <c r="AK516" s="9">
        <v>302.749870974038</v>
      </c>
      <c r="AL516" s="9">
        <v>340.55313240437198</v>
      </c>
      <c r="AM516" s="9" t="s">
        <v>169</v>
      </c>
      <c r="AN516" s="9" t="s">
        <v>169</v>
      </c>
      <c r="AO516" s="9" t="s">
        <v>169</v>
      </c>
      <c r="AP516" s="9" t="s">
        <v>169</v>
      </c>
      <c r="AQ516" s="9" t="s">
        <v>169</v>
      </c>
      <c r="AR516" s="9" t="s">
        <v>169</v>
      </c>
      <c r="AS516" s="73" t="s">
        <v>169</v>
      </c>
      <c r="AT516" s="8" t="s">
        <v>169</v>
      </c>
      <c r="AU516" s="10" t="s">
        <v>169</v>
      </c>
      <c r="AV516" s="10">
        <v>0</v>
      </c>
      <c r="AW516" s="8"/>
      <c r="AX516" s="10" t="s">
        <v>169</v>
      </c>
      <c r="AY516" s="10"/>
      <c r="AZ516" s="10"/>
      <c r="BA516" s="10"/>
      <c r="BB516" s="8"/>
      <c r="BC516" s="8"/>
      <c r="BD516" s="8"/>
      <c r="BE516" s="8"/>
      <c r="BF516" s="12">
        <v>0.46</v>
      </c>
      <c r="BG516" s="13">
        <v>272.83981791130299</v>
      </c>
      <c r="BH516" s="96" t="str">
        <f>+VLOOKUP(G516,Liste!$A$7:$G$50,3,FALSE)</f>
        <v>Pin Maritime</v>
      </c>
      <c r="BI516" s="96" t="str">
        <f>+VLOOKUP(H516,Liste!$B$7:$G$50,5,FALSE)</f>
        <v>GS Pineraies des plaines du Centre et du Nord Ouest</v>
      </c>
      <c r="BJ516" s="135">
        <f t="shared" si="167"/>
        <v>46</v>
      </c>
      <c r="BK516" s="135" t="str">
        <f t="shared" ref="BK516:BK579" si="169">+_xlfn.CONCAT(BH516,"_",J516,"_",I516,"_",BI516,"_",BJ516,"_")</f>
        <v>Pin Maritime_F2_Classique_GS Pineraies des plaines du Centre et du Nord Ouest_46_</v>
      </c>
      <c r="BL516" s="322"/>
      <c r="BM516" s="13">
        <v>69.737910312636799</v>
      </c>
      <c r="BN516" s="13">
        <v>342.57772822394003</v>
      </c>
      <c r="BO516" s="13" t="s">
        <v>169</v>
      </c>
      <c r="BP516" s="13">
        <v>243.14590308576999</v>
      </c>
      <c r="BQ516" s="13" t="s">
        <v>169</v>
      </c>
      <c r="BT516" s="298" t="str">
        <f>+VLOOKUP(G516,Liste!$A$7:$H$50,8,FALSE)</f>
        <v>Résineux</v>
      </c>
      <c r="BU516" s="298">
        <f t="shared" ref="BU516:BU579" si="170">IF(BT516="Résineux",0%,100%)</f>
        <v>0</v>
      </c>
      <c r="BV516" s="300">
        <f t="shared" ref="BV516:BV579" si="171">+IF(BT516="Résineux",100%,0%)</f>
        <v>1</v>
      </c>
      <c r="BW516" s="321">
        <v>0</v>
      </c>
      <c r="BX516" s="298">
        <f t="shared" ref="BX516:BX579" si="172">+IF(BV516&lt;&gt;0,0.43,0.25)</f>
        <v>0.43</v>
      </c>
      <c r="BY516">
        <f t="shared" ref="BY516:BY579" si="173">+IF(BJ516&lt;=30,AV516*BX516,0)</f>
        <v>0</v>
      </c>
      <c r="BZ516" s="304">
        <f t="shared" ref="BZ516:BZ579" si="174">+IF(BJ516&gt;=31,0,BY516+BZ515)</f>
        <v>0</v>
      </c>
      <c r="CB516" s="299">
        <v>0.6</v>
      </c>
      <c r="CC516" s="299">
        <v>0.4</v>
      </c>
      <c r="CD516">
        <f t="shared" ref="CD516:CD579" si="175">+IF(BJ516&lt;=31,AV516*CA516*0.5,0)</f>
        <v>0</v>
      </c>
      <c r="CE516">
        <f t="shared" ref="CE516:CE579" si="176">IF(BJ516&lt;=31,AV516*CB516,0)</f>
        <v>0</v>
      </c>
      <c r="CF516">
        <f t="shared" ref="CF516:CF579" si="177">IF(BJ516&lt;=31,AV516*CC516,0)</f>
        <v>0</v>
      </c>
      <c r="CG516">
        <f t="shared" ref="CG516:CG579" si="178">CD516*44/12*0.475*BF516</f>
        <v>0</v>
      </c>
      <c r="CH516">
        <f t="shared" ref="CH516:CH579" si="179">CE516*44/12*0.475*BF516</f>
        <v>0</v>
      </c>
      <c r="CI516">
        <f t="shared" ref="CI516:CI579" si="180">CF516*44/12*0.475*BF516</f>
        <v>0</v>
      </c>
      <c r="CJ516">
        <f t="shared" ref="CJ516:CJ579" si="181">+IF(BJ516&lt;=31,CJ515*EXP(-$CJ$1)+CG515*(1-EXP(-$CJ$1))/$CJ$1,0)</f>
        <v>0</v>
      </c>
      <c r="CK516">
        <f t="shared" ref="CK516:CK579" si="182">+IF(BJ516&lt;=31,CK515*EXP(-$CK$1)+CH515*(1-EXP(-$CK$1))/$CK$1,0)</f>
        <v>0</v>
      </c>
      <c r="CL516">
        <f t="shared" ref="CL516:CL579" si="183">+IF(BJ516&lt;=31,CL515*EXP(-$CL$1)+CI515*(1-EXP(-$CL$1))/$CL$1,0)</f>
        <v>0</v>
      </c>
      <c r="CM516">
        <f t="shared" si="166"/>
        <v>0</v>
      </c>
      <c r="CN516">
        <f t="shared" ref="CN516:CN579" si="184">+IF(BJ516&lt;=31,CM516+CN515,0)</f>
        <v>0</v>
      </c>
      <c r="CO516">
        <f t="shared" si="168"/>
        <v>0</v>
      </c>
    </row>
    <row r="517" spans="1:93" s="12" customFormat="1" ht="14.65" customHeight="1" x14ac:dyDescent="0.25">
      <c r="A517" s="4">
        <v>2021</v>
      </c>
      <c r="B517" s="4"/>
      <c r="C517" s="4" t="s">
        <v>418</v>
      </c>
      <c r="D517" s="4" t="s">
        <v>65</v>
      </c>
      <c r="E517" s="4"/>
      <c r="F517" s="4" t="s">
        <v>90</v>
      </c>
      <c r="G517" s="5" t="s">
        <v>419</v>
      </c>
      <c r="H517" s="5" t="s">
        <v>21</v>
      </c>
      <c r="I517" s="5" t="s">
        <v>18</v>
      </c>
      <c r="J517" s="5" t="s">
        <v>10</v>
      </c>
      <c r="K517" s="5">
        <v>23</v>
      </c>
      <c r="L517" s="5">
        <v>50</v>
      </c>
      <c r="M517" s="5">
        <v>1250</v>
      </c>
      <c r="N517" s="5" t="s">
        <v>171</v>
      </c>
      <c r="O517" s="6" t="s">
        <v>81</v>
      </c>
      <c r="P517" s="6" t="s">
        <v>420</v>
      </c>
      <c r="Q517" s="6"/>
      <c r="R517" s="6"/>
      <c r="S517" s="6">
        <v>17</v>
      </c>
      <c r="T517" s="6">
        <v>11</v>
      </c>
      <c r="U517" s="6">
        <v>1251</v>
      </c>
      <c r="V517" s="6">
        <v>25.56</v>
      </c>
      <c r="W517" s="6">
        <v>13</v>
      </c>
      <c r="X517" s="6">
        <v>239</v>
      </c>
      <c r="Y517" s="6">
        <v>629</v>
      </c>
      <c r="Z517" s="6">
        <v>324</v>
      </c>
      <c r="AA517" s="6">
        <v>46</v>
      </c>
      <c r="AB517" s="6">
        <v>0</v>
      </c>
      <c r="AC517" s="7">
        <v>47</v>
      </c>
      <c r="AD517" s="7" t="s">
        <v>52</v>
      </c>
      <c r="AE517" s="7">
        <v>23.3</v>
      </c>
      <c r="AF517" s="76">
        <v>268.2</v>
      </c>
      <c r="AG517" s="7">
        <v>31.24</v>
      </c>
      <c r="AH517" s="7">
        <v>38.51</v>
      </c>
      <c r="AI517" s="7">
        <v>43.71</v>
      </c>
      <c r="AJ517" s="9">
        <v>311.83767037853301</v>
      </c>
      <c r="AK517" s="9">
        <v>314.96781307632102</v>
      </c>
      <c r="AL517" s="9">
        <v>355.687294214144</v>
      </c>
      <c r="AM517" s="9" t="s">
        <v>169</v>
      </c>
      <c r="AN517" s="9" t="s">
        <v>169</v>
      </c>
      <c r="AO517" s="9" t="s">
        <v>169</v>
      </c>
      <c r="AP517" s="9" t="s">
        <v>169</v>
      </c>
      <c r="AQ517" s="9" t="s">
        <v>169</v>
      </c>
      <c r="AR517" s="9" t="s">
        <v>169</v>
      </c>
      <c r="AS517" s="73" t="s">
        <v>169</v>
      </c>
      <c r="AT517" s="8" t="s">
        <v>169</v>
      </c>
      <c r="AU517" s="10" t="s">
        <v>169</v>
      </c>
      <c r="AV517" s="10">
        <v>0</v>
      </c>
      <c r="AW517" s="8"/>
      <c r="AX517" s="10" t="s">
        <v>169</v>
      </c>
      <c r="AY517" s="10"/>
      <c r="AZ517" s="10"/>
      <c r="BA517" s="10"/>
      <c r="BB517" s="8"/>
      <c r="BC517" s="8"/>
      <c r="BD517" s="8"/>
      <c r="BE517" s="8"/>
      <c r="BF517" s="12">
        <v>0.46</v>
      </c>
      <c r="BG517" s="13">
        <v>284.96480388123098</v>
      </c>
      <c r="BH517" s="96" t="str">
        <f>+VLOOKUP(G517,Liste!$A$7:$G$50,3,FALSE)</f>
        <v>Pin Maritime</v>
      </c>
      <c r="BI517" s="96" t="str">
        <f>+VLOOKUP(H517,Liste!$B$7:$G$50,5,FALSE)</f>
        <v>GS Pineraies des plaines du Centre et du Nord Ouest</v>
      </c>
      <c r="BJ517" s="135">
        <f t="shared" si="167"/>
        <v>47</v>
      </c>
      <c r="BK517" s="135" t="str">
        <f t="shared" si="169"/>
        <v>Pin Maritime_F2_Classique_GS Pineraies des plaines du Centre et du Nord Ouest_47_</v>
      </c>
      <c r="BL517" s="322"/>
      <c r="BM517" s="13">
        <v>72.454012164396403</v>
      </c>
      <c r="BN517" s="13">
        <v>357.41881604562798</v>
      </c>
      <c r="BO517" s="13" t="s">
        <v>169</v>
      </c>
      <c r="BP517" s="13">
        <v>243.14590308576999</v>
      </c>
      <c r="BQ517" s="13" t="s">
        <v>169</v>
      </c>
      <c r="BT517" s="298" t="str">
        <f>+VLOOKUP(G517,Liste!$A$7:$H$50,8,FALSE)</f>
        <v>Résineux</v>
      </c>
      <c r="BU517" s="298">
        <f t="shared" si="170"/>
        <v>0</v>
      </c>
      <c r="BV517" s="300">
        <f t="shared" si="171"/>
        <v>1</v>
      </c>
      <c r="BW517" s="321">
        <v>0</v>
      </c>
      <c r="BX517" s="298">
        <f t="shared" si="172"/>
        <v>0.43</v>
      </c>
      <c r="BY517">
        <f t="shared" si="173"/>
        <v>0</v>
      </c>
      <c r="BZ517" s="304">
        <f t="shared" si="174"/>
        <v>0</v>
      </c>
      <c r="CB517" s="299">
        <v>0.6</v>
      </c>
      <c r="CC517" s="299">
        <v>0.4</v>
      </c>
      <c r="CD517">
        <f t="shared" si="175"/>
        <v>0</v>
      </c>
      <c r="CE517">
        <f t="shared" si="176"/>
        <v>0</v>
      </c>
      <c r="CF517">
        <f t="shared" si="177"/>
        <v>0</v>
      </c>
      <c r="CG517">
        <f t="shared" si="178"/>
        <v>0</v>
      </c>
      <c r="CH517">
        <f t="shared" si="179"/>
        <v>0</v>
      </c>
      <c r="CI517">
        <f t="shared" si="180"/>
        <v>0</v>
      </c>
      <c r="CJ517">
        <f t="shared" si="181"/>
        <v>0</v>
      </c>
      <c r="CK517">
        <f t="shared" si="182"/>
        <v>0</v>
      </c>
      <c r="CL517">
        <f t="shared" si="183"/>
        <v>0</v>
      </c>
      <c r="CM517">
        <f t="shared" ref="CM517:CM580" si="185">+CJ517+CK517+CL517</f>
        <v>0</v>
      </c>
      <c r="CN517">
        <f t="shared" si="184"/>
        <v>0</v>
      </c>
      <c r="CO517">
        <f t="shared" si="168"/>
        <v>0</v>
      </c>
    </row>
    <row r="518" spans="1:93" s="12" customFormat="1" ht="14.65" customHeight="1" x14ac:dyDescent="0.25">
      <c r="A518" s="4">
        <v>2021</v>
      </c>
      <c r="B518" s="4"/>
      <c r="C518" s="4" t="s">
        <v>418</v>
      </c>
      <c r="D518" s="4" t="s">
        <v>65</v>
      </c>
      <c r="E518" s="4"/>
      <c r="F518" s="4" t="s">
        <v>90</v>
      </c>
      <c r="G518" s="5" t="s">
        <v>419</v>
      </c>
      <c r="H518" s="5" t="s">
        <v>21</v>
      </c>
      <c r="I518" s="5" t="s">
        <v>18</v>
      </c>
      <c r="J518" s="5" t="s">
        <v>10</v>
      </c>
      <c r="K518" s="5">
        <v>23</v>
      </c>
      <c r="L518" s="5">
        <v>50</v>
      </c>
      <c r="M518" s="5">
        <v>1250</v>
      </c>
      <c r="N518" s="5" t="s">
        <v>171</v>
      </c>
      <c r="O518" s="6" t="s">
        <v>81</v>
      </c>
      <c r="P518" s="6" t="s">
        <v>420</v>
      </c>
      <c r="Q518" s="6"/>
      <c r="R518" s="6"/>
      <c r="S518" s="6">
        <v>17</v>
      </c>
      <c r="T518" s="6">
        <v>11</v>
      </c>
      <c r="U518" s="6">
        <v>1251</v>
      </c>
      <c r="V518" s="6">
        <v>25.56</v>
      </c>
      <c r="W518" s="6">
        <v>13</v>
      </c>
      <c r="X518" s="6">
        <v>239</v>
      </c>
      <c r="Y518" s="6">
        <v>629</v>
      </c>
      <c r="Z518" s="6">
        <v>324</v>
      </c>
      <c r="AA518" s="6">
        <v>46</v>
      </c>
      <c r="AB518" s="6">
        <v>0</v>
      </c>
      <c r="AC518" s="7">
        <v>48</v>
      </c>
      <c r="AD518" s="7" t="s">
        <v>52</v>
      </c>
      <c r="AE518" s="7">
        <v>23.54</v>
      </c>
      <c r="AF518" s="76">
        <v>268.2</v>
      </c>
      <c r="AG518" s="7">
        <v>32.25</v>
      </c>
      <c r="AH518" s="7">
        <v>39.130000000000003</v>
      </c>
      <c r="AI518" s="7">
        <v>44.46</v>
      </c>
      <c r="AJ518" s="9">
        <v>323.730840542831</v>
      </c>
      <c r="AK518" s="9">
        <v>327.18575517860398</v>
      </c>
      <c r="AL518" s="9">
        <v>370.821456023915</v>
      </c>
      <c r="AM518" s="9" t="s">
        <v>169</v>
      </c>
      <c r="AN518" s="9" t="s">
        <v>169</v>
      </c>
      <c r="AO518" s="9" t="s">
        <v>169</v>
      </c>
      <c r="AP518" s="9" t="s">
        <v>169</v>
      </c>
      <c r="AQ518" s="9" t="s">
        <v>169</v>
      </c>
      <c r="AR518" s="9" t="s">
        <v>169</v>
      </c>
      <c r="AS518" s="73" t="s">
        <v>169</v>
      </c>
      <c r="AT518" s="8" t="s">
        <v>169</v>
      </c>
      <c r="AU518" s="10" t="s">
        <v>169</v>
      </c>
      <c r="AV518" s="10">
        <v>0</v>
      </c>
      <c r="AW518" s="8"/>
      <c r="AX518" s="10" t="s">
        <v>169</v>
      </c>
      <c r="AY518" s="10"/>
      <c r="AZ518" s="10"/>
      <c r="BA518" s="10"/>
      <c r="BB518" s="8"/>
      <c r="BC518" s="8"/>
      <c r="BD518" s="8"/>
      <c r="BE518" s="8"/>
      <c r="BF518" s="12">
        <v>0.46</v>
      </c>
      <c r="BG518" s="13">
        <v>297.08978985115999</v>
      </c>
      <c r="BH518" s="96" t="str">
        <f>+VLOOKUP(G518,Liste!$A$7:$G$50,3,FALSE)</f>
        <v>Pin Maritime</v>
      </c>
      <c r="BI518" s="96" t="str">
        <f>+VLOOKUP(H518,Liste!$B$7:$G$50,5,FALSE)</f>
        <v>GS Pineraies des plaines du Centre et du Nord Ouest</v>
      </c>
      <c r="BJ518" s="135">
        <f t="shared" si="167"/>
        <v>48</v>
      </c>
      <c r="BK518" s="135" t="str">
        <f t="shared" si="169"/>
        <v>Pin Maritime_F2_Classique_GS Pineraies des plaines du Centre et du Nord Ouest_48_</v>
      </c>
      <c r="BL518" s="322"/>
      <c r="BM518" s="13">
        <v>75.170114016156006</v>
      </c>
      <c r="BN518" s="13">
        <v>372.25990386731598</v>
      </c>
      <c r="BO518" s="13" t="s">
        <v>169</v>
      </c>
      <c r="BP518" s="13">
        <v>243.14590308576999</v>
      </c>
      <c r="BQ518" s="13" t="s">
        <v>169</v>
      </c>
      <c r="BT518" s="298" t="str">
        <f>+VLOOKUP(G518,Liste!$A$7:$H$50,8,FALSE)</f>
        <v>Résineux</v>
      </c>
      <c r="BU518" s="298">
        <f t="shared" si="170"/>
        <v>0</v>
      </c>
      <c r="BV518" s="300">
        <f t="shared" si="171"/>
        <v>1</v>
      </c>
      <c r="BW518" s="321">
        <v>0</v>
      </c>
      <c r="BX518" s="298">
        <f t="shared" si="172"/>
        <v>0.43</v>
      </c>
      <c r="BY518">
        <f t="shared" si="173"/>
        <v>0</v>
      </c>
      <c r="BZ518" s="304">
        <f t="shared" si="174"/>
        <v>0</v>
      </c>
      <c r="CB518" s="299">
        <v>0.6</v>
      </c>
      <c r="CC518" s="299">
        <v>0.4</v>
      </c>
      <c r="CD518">
        <f t="shared" si="175"/>
        <v>0</v>
      </c>
      <c r="CE518">
        <f t="shared" si="176"/>
        <v>0</v>
      </c>
      <c r="CF518">
        <f t="shared" si="177"/>
        <v>0</v>
      </c>
      <c r="CG518">
        <f t="shared" si="178"/>
        <v>0</v>
      </c>
      <c r="CH518">
        <f t="shared" si="179"/>
        <v>0</v>
      </c>
      <c r="CI518">
        <f t="shared" si="180"/>
        <v>0</v>
      </c>
      <c r="CJ518">
        <f t="shared" si="181"/>
        <v>0</v>
      </c>
      <c r="CK518">
        <f t="shared" si="182"/>
        <v>0</v>
      </c>
      <c r="CL518">
        <f t="shared" si="183"/>
        <v>0</v>
      </c>
      <c r="CM518">
        <f t="shared" si="185"/>
        <v>0</v>
      </c>
      <c r="CN518">
        <f t="shared" si="184"/>
        <v>0</v>
      </c>
      <c r="CO518">
        <f t="shared" si="168"/>
        <v>0</v>
      </c>
    </row>
    <row r="519" spans="1:93" s="12" customFormat="1" ht="14.65" customHeight="1" x14ac:dyDescent="0.25">
      <c r="A519" s="4">
        <v>2021</v>
      </c>
      <c r="B519" s="4"/>
      <c r="C519" s="4" t="s">
        <v>418</v>
      </c>
      <c r="D519" s="4" t="s">
        <v>65</v>
      </c>
      <c r="E519" s="4"/>
      <c r="F519" s="4" t="s">
        <v>90</v>
      </c>
      <c r="G519" s="5" t="s">
        <v>419</v>
      </c>
      <c r="H519" s="5" t="s">
        <v>21</v>
      </c>
      <c r="I519" s="5" t="s">
        <v>18</v>
      </c>
      <c r="J519" s="5" t="s">
        <v>10</v>
      </c>
      <c r="K519" s="5">
        <v>23</v>
      </c>
      <c r="L519" s="5">
        <v>50</v>
      </c>
      <c r="M519" s="5">
        <v>1250</v>
      </c>
      <c r="N519" s="5" t="s">
        <v>171</v>
      </c>
      <c r="O519" s="6" t="s">
        <v>81</v>
      </c>
      <c r="P519" s="6" t="s">
        <v>420</v>
      </c>
      <c r="Q519" s="6"/>
      <c r="R519" s="6"/>
      <c r="S519" s="6">
        <v>17</v>
      </c>
      <c r="T519" s="6">
        <v>11</v>
      </c>
      <c r="U519" s="6">
        <v>1251</v>
      </c>
      <c r="V519" s="6">
        <v>25.56</v>
      </c>
      <c r="W519" s="6">
        <v>13</v>
      </c>
      <c r="X519" s="6">
        <v>239</v>
      </c>
      <c r="Y519" s="6">
        <v>629</v>
      </c>
      <c r="Z519" s="6">
        <v>324</v>
      </c>
      <c r="AA519" s="6">
        <v>46</v>
      </c>
      <c r="AB519" s="6">
        <v>0</v>
      </c>
      <c r="AC519" s="7">
        <v>49</v>
      </c>
      <c r="AD519" s="7" t="s">
        <v>52</v>
      </c>
      <c r="AE519" s="7">
        <v>23.78</v>
      </c>
      <c r="AF519" s="76">
        <v>268.2</v>
      </c>
      <c r="AG519" s="7">
        <v>33.24</v>
      </c>
      <c r="AH519" s="7">
        <v>39.729999999999997</v>
      </c>
      <c r="AI519" s="7">
        <v>45.2</v>
      </c>
      <c r="AJ519" s="9">
        <v>335.62401070712798</v>
      </c>
      <c r="AK519" s="9">
        <v>339.40369728088598</v>
      </c>
      <c r="AL519" s="9">
        <v>385.95561783368601</v>
      </c>
      <c r="AM519" s="9" t="s">
        <v>169</v>
      </c>
      <c r="AN519" s="9" t="s">
        <v>169</v>
      </c>
      <c r="AO519" s="9" t="s">
        <v>169</v>
      </c>
      <c r="AP519" s="9" t="s">
        <v>169</v>
      </c>
      <c r="AQ519" s="9" t="s">
        <v>169</v>
      </c>
      <c r="AR519" s="9" t="s">
        <v>169</v>
      </c>
      <c r="AS519" s="73" t="s">
        <v>169</v>
      </c>
      <c r="AT519" s="8" t="s">
        <v>169</v>
      </c>
      <c r="AU519" s="10" t="s">
        <v>169</v>
      </c>
      <c r="AV519" s="10">
        <v>0</v>
      </c>
      <c r="AW519" s="8"/>
      <c r="AX519" s="10" t="s">
        <v>169</v>
      </c>
      <c r="AY519" s="10"/>
      <c r="AZ519" s="10"/>
      <c r="BA519" s="10"/>
      <c r="BB519" s="8"/>
      <c r="BC519" s="8"/>
      <c r="BD519" s="8"/>
      <c r="BE519" s="8"/>
      <c r="BF519" s="12">
        <v>0.46</v>
      </c>
      <c r="BG519" s="13">
        <v>309.21477582108798</v>
      </c>
      <c r="BH519" s="96" t="str">
        <f>+VLOOKUP(G519,Liste!$A$7:$G$50,3,FALSE)</f>
        <v>Pin Maritime</v>
      </c>
      <c r="BI519" s="96" t="str">
        <f>+VLOOKUP(H519,Liste!$B$7:$G$50,5,FALSE)</f>
        <v>GS Pineraies des plaines du Centre et du Nord Ouest</v>
      </c>
      <c r="BJ519" s="135">
        <f t="shared" si="167"/>
        <v>49</v>
      </c>
      <c r="BK519" s="135" t="str">
        <f t="shared" si="169"/>
        <v>Pin Maritime_F2_Classique_GS Pineraies des plaines du Centre et du Nord Ouest_49_</v>
      </c>
      <c r="BL519" s="322"/>
      <c r="BM519" s="13">
        <v>77.886215867915595</v>
      </c>
      <c r="BN519" s="13">
        <v>387.10099168900399</v>
      </c>
      <c r="BO519" s="13" t="s">
        <v>169</v>
      </c>
      <c r="BP519" s="13">
        <v>243.14590308576999</v>
      </c>
      <c r="BQ519" s="13" t="s">
        <v>169</v>
      </c>
      <c r="BT519" s="298" t="str">
        <f>+VLOOKUP(G519,Liste!$A$7:$H$50,8,FALSE)</f>
        <v>Résineux</v>
      </c>
      <c r="BU519" s="298">
        <f t="shared" si="170"/>
        <v>0</v>
      </c>
      <c r="BV519" s="300">
        <f t="shared" si="171"/>
        <v>1</v>
      </c>
      <c r="BW519" s="321">
        <v>0</v>
      </c>
      <c r="BX519" s="298">
        <f t="shared" si="172"/>
        <v>0.43</v>
      </c>
      <c r="BY519">
        <f t="shared" si="173"/>
        <v>0</v>
      </c>
      <c r="BZ519" s="304">
        <f t="shared" si="174"/>
        <v>0</v>
      </c>
      <c r="CB519" s="299">
        <v>0.6</v>
      </c>
      <c r="CC519" s="299">
        <v>0.4</v>
      </c>
      <c r="CD519">
        <f t="shared" si="175"/>
        <v>0</v>
      </c>
      <c r="CE519">
        <f t="shared" si="176"/>
        <v>0</v>
      </c>
      <c r="CF519">
        <f t="shared" si="177"/>
        <v>0</v>
      </c>
      <c r="CG519">
        <f t="shared" si="178"/>
        <v>0</v>
      </c>
      <c r="CH519">
        <f t="shared" si="179"/>
        <v>0</v>
      </c>
      <c r="CI519">
        <f t="shared" si="180"/>
        <v>0</v>
      </c>
      <c r="CJ519">
        <f t="shared" si="181"/>
        <v>0</v>
      </c>
      <c r="CK519">
        <f t="shared" si="182"/>
        <v>0</v>
      </c>
      <c r="CL519">
        <f t="shared" si="183"/>
        <v>0</v>
      </c>
      <c r="CM519">
        <f t="shared" si="185"/>
        <v>0</v>
      </c>
      <c r="CN519">
        <f t="shared" si="184"/>
        <v>0</v>
      </c>
      <c r="CO519">
        <f t="shared" si="168"/>
        <v>0</v>
      </c>
    </row>
    <row r="520" spans="1:93" s="12" customFormat="1" ht="14.65" customHeight="1" x14ac:dyDescent="0.25">
      <c r="A520" s="4">
        <v>2021</v>
      </c>
      <c r="B520" s="4"/>
      <c r="C520" s="4" t="s">
        <v>418</v>
      </c>
      <c r="D520" s="4" t="s">
        <v>65</v>
      </c>
      <c r="E520" s="4"/>
      <c r="F520" s="4" t="s">
        <v>90</v>
      </c>
      <c r="G520" s="5" t="s">
        <v>419</v>
      </c>
      <c r="H520" s="5" t="s">
        <v>21</v>
      </c>
      <c r="I520" s="5" t="s">
        <v>18</v>
      </c>
      <c r="J520" s="5" t="s">
        <v>10</v>
      </c>
      <c r="K520" s="5">
        <v>23</v>
      </c>
      <c r="L520" s="5">
        <v>50</v>
      </c>
      <c r="M520" s="5">
        <v>1250</v>
      </c>
      <c r="N520" s="5" t="s">
        <v>171</v>
      </c>
      <c r="O520" s="6" t="s">
        <v>81</v>
      </c>
      <c r="P520" s="6" t="s">
        <v>420</v>
      </c>
      <c r="Q520" s="6"/>
      <c r="R520" s="6"/>
      <c r="S520" s="6">
        <v>17</v>
      </c>
      <c r="T520" s="6">
        <v>11</v>
      </c>
      <c r="U520" s="6">
        <v>1251</v>
      </c>
      <c r="V520" s="6">
        <v>25.56</v>
      </c>
      <c r="W520" s="6">
        <v>13</v>
      </c>
      <c r="X520" s="6">
        <v>239</v>
      </c>
      <c r="Y520" s="6">
        <v>629</v>
      </c>
      <c r="Z520" s="6">
        <v>324</v>
      </c>
      <c r="AA520" s="6">
        <v>46</v>
      </c>
      <c r="AB520" s="6">
        <v>0</v>
      </c>
      <c r="AC520" s="7">
        <v>50</v>
      </c>
      <c r="AD520" s="7" t="s">
        <v>52</v>
      </c>
      <c r="AE520" s="7">
        <v>24.02</v>
      </c>
      <c r="AF520" s="76">
        <v>268.2</v>
      </c>
      <c r="AG520" s="7">
        <v>34.24</v>
      </c>
      <c r="AH520" s="7">
        <v>40.32</v>
      </c>
      <c r="AI520" s="7">
        <v>45.92</v>
      </c>
      <c r="AJ520" s="9">
        <v>347.51718087142598</v>
      </c>
      <c r="AK520" s="9">
        <v>351.621639383169</v>
      </c>
      <c r="AL520" s="9">
        <v>401.08977964345797</v>
      </c>
      <c r="AM520" s="9" t="s">
        <v>169</v>
      </c>
      <c r="AN520" s="9" t="s">
        <v>169</v>
      </c>
      <c r="AO520" s="9" t="s">
        <v>169</v>
      </c>
      <c r="AP520" s="9" t="s">
        <v>169</v>
      </c>
      <c r="AQ520" s="9" t="s">
        <v>169</v>
      </c>
      <c r="AR520" s="9" t="s">
        <v>169</v>
      </c>
      <c r="AS520" s="73" t="s">
        <v>169</v>
      </c>
      <c r="AT520" s="8" t="s">
        <v>169</v>
      </c>
      <c r="AU520" s="10" t="s">
        <v>169</v>
      </c>
      <c r="AV520" s="10">
        <v>0</v>
      </c>
      <c r="AW520" s="8"/>
      <c r="AX520" s="10" t="s">
        <v>169</v>
      </c>
      <c r="AY520" s="10"/>
      <c r="AZ520" s="10"/>
      <c r="BA520" s="10"/>
      <c r="BB520" s="8"/>
      <c r="BC520" s="8"/>
      <c r="BD520" s="8"/>
      <c r="BE520" s="8"/>
      <c r="BF520" s="12">
        <v>0.46</v>
      </c>
      <c r="BG520" s="13">
        <v>321.339761791017</v>
      </c>
      <c r="BH520" s="96" t="str">
        <f>+VLOOKUP(G520,Liste!$A$7:$G$50,3,FALSE)</f>
        <v>Pin Maritime</v>
      </c>
      <c r="BI520" s="96" t="str">
        <f>+VLOOKUP(H520,Liste!$B$7:$G$50,5,FALSE)</f>
        <v>GS Pineraies des plaines du Centre et du Nord Ouest</v>
      </c>
      <c r="BJ520" s="135">
        <f t="shared" si="167"/>
        <v>50</v>
      </c>
      <c r="BK520" s="135" t="str">
        <f t="shared" si="169"/>
        <v>Pin Maritime_F2_Classique_GS Pineraies des plaines du Centre et du Nord Ouest_50_</v>
      </c>
      <c r="BL520" s="322"/>
      <c r="BM520" s="13">
        <v>80.602317719675199</v>
      </c>
      <c r="BN520" s="13">
        <v>401.942079510692</v>
      </c>
      <c r="BO520" s="13" t="s">
        <v>169</v>
      </c>
      <c r="BP520" s="13">
        <v>243.14590308576999</v>
      </c>
      <c r="BQ520" s="13" t="s">
        <v>169</v>
      </c>
      <c r="BT520" s="298" t="str">
        <f>+VLOOKUP(G520,Liste!$A$7:$H$50,8,FALSE)</f>
        <v>Résineux</v>
      </c>
      <c r="BU520" s="298">
        <f t="shared" si="170"/>
        <v>0</v>
      </c>
      <c r="BV520" s="300">
        <f t="shared" si="171"/>
        <v>1</v>
      </c>
      <c r="BW520" s="321">
        <v>0</v>
      </c>
      <c r="BX520" s="298">
        <f t="shared" si="172"/>
        <v>0.43</v>
      </c>
      <c r="BY520">
        <f t="shared" si="173"/>
        <v>0</v>
      </c>
      <c r="BZ520" s="304">
        <f t="shared" si="174"/>
        <v>0</v>
      </c>
      <c r="CB520" s="299">
        <v>0.6</v>
      </c>
      <c r="CC520" s="299">
        <v>0.4</v>
      </c>
      <c r="CD520">
        <f t="shared" si="175"/>
        <v>0</v>
      </c>
      <c r="CE520">
        <f t="shared" si="176"/>
        <v>0</v>
      </c>
      <c r="CF520">
        <f t="shared" si="177"/>
        <v>0</v>
      </c>
      <c r="CG520">
        <f t="shared" si="178"/>
        <v>0</v>
      </c>
      <c r="CH520">
        <f t="shared" si="179"/>
        <v>0</v>
      </c>
      <c r="CI520">
        <f t="shared" si="180"/>
        <v>0</v>
      </c>
      <c r="CJ520">
        <f t="shared" si="181"/>
        <v>0</v>
      </c>
      <c r="CK520">
        <f t="shared" si="182"/>
        <v>0</v>
      </c>
      <c r="CL520">
        <f t="shared" si="183"/>
        <v>0</v>
      </c>
      <c r="CM520">
        <f t="shared" si="185"/>
        <v>0</v>
      </c>
      <c r="CN520">
        <f t="shared" si="184"/>
        <v>0</v>
      </c>
      <c r="CO520">
        <f t="shared" si="168"/>
        <v>0</v>
      </c>
    </row>
    <row r="521" spans="1:93" s="12" customFormat="1" ht="14.65" customHeight="1" x14ac:dyDescent="0.25">
      <c r="A521" s="4">
        <v>2021</v>
      </c>
      <c r="B521" s="4"/>
      <c r="C521" s="4" t="s">
        <v>418</v>
      </c>
      <c r="D521" s="4" t="s">
        <v>65</v>
      </c>
      <c r="E521" s="4"/>
      <c r="F521" s="4" t="s">
        <v>90</v>
      </c>
      <c r="G521" s="5" t="s">
        <v>419</v>
      </c>
      <c r="H521" s="5" t="s">
        <v>21</v>
      </c>
      <c r="I521" s="5" t="s">
        <v>18</v>
      </c>
      <c r="J521" s="5" t="s">
        <v>10</v>
      </c>
      <c r="K521" s="5">
        <v>23</v>
      </c>
      <c r="L521" s="5">
        <v>50</v>
      </c>
      <c r="M521" s="5">
        <v>1250</v>
      </c>
      <c r="N521" s="5" t="s">
        <v>171</v>
      </c>
      <c r="O521" s="6" t="s">
        <v>81</v>
      </c>
      <c r="P521" s="6" t="s">
        <v>420</v>
      </c>
      <c r="Q521" s="6"/>
      <c r="R521" s="6"/>
      <c r="S521" s="6">
        <v>17</v>
      </c>
      <c r="T521" s="6">
        <v>11</v>
      </c>
      <c r="U521" s="6">
        <v>1251</v>
      </c>
      <c r="V521" s="6">
        <v>25.56</v>
      </c>
      <c r="W521" s="6">
        <v>13</v>
      </c>
      <c r="X521" s="6">
        <v>239</v>
      </c>
      <c r="Y521" s="6">
        <v>629</v>
      </c>
      <c r="Z521" s="6">
        <v>324</v>
      </c>
      <c r="AA521" s="6">
        <v>46</v>
      </c>
      <c r="AB521" s="6">
        <v>0</v>
      </c>
      <c r="AC521" s="7">
        <v>51</v>
      </c>
      <c r="AD521" s="7" t="s">
        <v>52</v>
      </c>
      <c r="AE521" s="7">
        <v>24.24</v>
      </c>
      <c r="AF521" s="76">
        <v>268.2</v>
      </c>
      <c r="AG521" s="7">
        <v>35.22</v>
      </c>
      <c r="AH521" s="7">
        <v>40.89</v>
      </c>
      <c r="AI521" s="7">
        <v>46.63</v>
      </c>
      <c r="AJ521" s="9">
        <v>359.41035103572301</v>
      </c>
      <c r="AK521" s="9">
        <v>363.83958148545202</v>
      </c>
      <c r="AL521" s="9">
        <v>416.22394145322897</v>
      </c>
      <c r="AM521" s="9" t="s">
        <v>169</v>
      </c>
      <c r="AN521" s="9" t="s">
        <v>169</v>
      </c>
      <c r="AO521" s="9" t="s">
        <v>169</v>
      </c>
      <c r="AP521" s="9" t="s">
        <v>169</v>
      </c>
      <c r="AQ521" s="9" t="s">
        <v>169</v>
      </c>
      <c r="AR521" s="9" t="s">
        <v>169</v>
      </c>
      <c r="AS521" s="73" t="s">
        <v>169</v>
      </c>
      <c r="AT521" s="8" t="s">
        <v>169</v>
      </c>
      <c r="AU521" s="10" t="s">
        <v>169</v>
      </c>
      <c r="AV521" s="10">
        <v>0</v>
      </c>
      <c r="AW521" s="8"/>
      <c r="AX521" s="10" t="s">
        <v>169</v>
      </c>
      <c r="AY521" s="10"/>
      <c r="AZ521" s="10"/>
      <c r="BA521" s="10"/>
      <c r="BB521" s="8"/>
      <c r="BC521" s="8"/>
      <c r="BD521" s="8"/>
      <c r="BE521" s="8"/>
      <c r="BF521" s="12">
        <v>0.46</v>
      </c>
      <c r="BG521" s="13">
        <v>333.46474776094499</v>
      </c>
      <c r="BH521" s="96" t="str">
        <f>+VLOOKUP(G521,Liste!$A$7:$G$50,3,FALSE)</f>
        <v>Pin Maritime</v>
      </c>
      <c r="BI521" s="96" t="str">
        <f>+VLOOKUP(H521,Liste!$B$7:$G$50,5,FALSE)</f>
        <v>GS Pineraies des plaines du Centre et du Nord Ouest</v>
      </c>
      <c r="BJ521" s="135">
        <f t="shared" si="167"/>
        <v>51</v>
      </c>
      <c r="BK521" s="135" t="str">
        <f t="shared" si="169"/>
        <v>Pin Maritime_F2_Classique_GS Pineraies des plaines du Centre et du Nord Ouest_51_</v>
      </c>
      <c r="BL521" s="322"/>
      <c r="BM521" s="13">
        <v>83.318419571434802</v>
      </c>
      <c r="BN521" s="13">
        <v>416.78316733238</v>
      </c>
      <c r="BO521" s="13" t="s">
        <v>169</v>
      </c>
      <c r="BP521" s="13">
        <v>243.14590308576999</v>
      </c>
      <c r="BQ521" s="13" t="s">
        <v>169</v>
      </c>
      <c r="BT521" s="298" t="str">
        <f>+VLOOKUP(G521,Liste!$A$7:$H$50,8,FALSE)</f>
        <v>Résineux</v>
      </c>
      <c r="BU521" s="298">
        <f t="shared" si="170"/>
        <v>0</v>
      </c>
      <c r="BV521" s="300">
        <f t="shared" si="171"/>
        <v>1</v>
      </c>
      <c r="BW521" s="321">
        <v>0</v>
      </c>
      <c r="BX521" s="298">
        <f t="shared" si="172"/>
        <v>0.43</v>
      </c>
      <c r="BY521">
        <f t="shared" si="173"/>
        <v>0</v>
      </c>
      <c r="BZ521" s="304">
        <f t="shared" si="174"/>
        <v>0</v>
      </c>
      <c r="CB521" s="299">
        <v>0.6</v>
      </c>
      <c r="CC521" s="299">
        <v>0.4</v>
      </c>
      <c r="CD521">
        <f t="shared" si="175"/>
        <v>0</v>
      </c>
      <c r="CE521">
        <f t="shared" si="176"/>
        <v>0</v>
      </c>
      <c r="CF521">
        <f t="shared" si="177"/>
        <v>0</v>
      </c>
      <c r="CG521">
        <f t="shared" si="178"/>
        <v>0</v>
      </c>
      <c r="CH521">
        <f t="shared" si="179"/>
        <v>0</v>
      </c>
      <c r="CI521">
        <f t="shared" si="180"/>
        <v>0</v>
      </c>
      <c r="CJ521">
        <f t="shared" si="181"/>
        <v>0</v>
      </c>
      <c r="CK521">
        <f t="shared" si="182"/>
        <v>0</v>
      </c>
      <c r="CL521">
        <f t="shared" si="183"/>
        <v>0</v>
      </c>
      <c r="CM521">
        <f t="shared" si="185"/>
        <v>0</v>
      </c>
      <c r="CN521">
        <f t="shared" si="184"/>
        <v>0</v>
      </c>
      <c r="CO521">
        <f t="shared" si="168"/>
        <v>0</v>
      </c>
    </row>
    <row r="522" spans="1:93" s="12" customFormat="1" ht="14.65" customHeight="1" x14ac:dyDescent="0.25">
      <c r="A522" s="4">
        <v>2021</v>
      </c>
      <c r="B522" s="4"/>
      <c r="C522" s="4" t="s">
        <v>418</v>
      </c>
      <c r="D522" s="4" t="s">
        <v>65</v>
      </c>
      <c r="E522" s="4"/>
      <c r="F522" s="4" t="s">
        <v>90</v>
      </c>
      <c r="G522" s="5" t="s">
        <v>419</v>
      </c>
      <c r="H522" s="5" t="s">
        <v>21</v>
      </c>
      <c r="I522" s="5" t="s">
        <v>18</v>
      </c>
      <c r="J522" s="5" t="s">
        <v>10</v>
      </c>
      <c r="K522" s="5">
        <v>23</v>
      </c>
      <c r="L522" s="5">
        <v>50</v>
      </c>
      <c r="M522" s="5">
        <v>1250</v>
      </c>
      <c r="N522" s="5" t="s">
        <v>171</v>
      </c>
      <c r="O522" s="6" t="s">
        <v>81</v>
      </c>
      <c r="P522" s="6" t="s">
        <v>420</v>
      </c>
      <c r="Q522" s="6"/>
      <c r="R522" s="6"/>
      <c r="S522" s="6">
        <v>17</v>
      </c>
      <c r="T522" s="6">
        <v>11</v>
      </c>
      <c r="U522" s="6">
        <v>1251</v>
      </c>
      <c r="V522" s="6">
        <v>25.56</v>
      </c>
      <c r="W522" s="6">
        <v>13</v>
      </c>
      <c r="X522" s="6">
        <v>239</v>
      </c>
      <c r="Y522" s="6">
        <v>629</v>
      </c>
      <c r="Z522" s="6">
        <v>324</v>
      </c>
      <c r="AA522" s="6">
        <v>46</v>
      </c>
      <c r="AB522" s="6">
        <v>0</v>
      </c>
      <c r="AC522" s="7">
        <v>52</v>
      </c>
      <c r="AD522" s="7" t="s">
        <v>52</v>
      </c>
      <c r="AE522" s="7">
        <v>24.47</v>
      </c>
      <c r="AF522" s="76">
        <v>268.2</v>
      </c>
      <c r="AG522" s="7">
        <v>36.200000000000003</v>
      </c>
      <c r="AH522" s="7">
        <v>41.46</v>
      </c>
      <c r="AI522" s="7">
        <v>47.33</v>
      </c>
      <c r="AJ522" s="9">
        <v>371.30352120002101</v>
      </c>
      <c r="AK522" s="9">
        <v>376.05752358773498</v>
      </c>
      <c r="AL522" s="9">
        <v>431.35810326299998</v>
      </c>
      <c r="AM522" s="9">
        <v>76.528960614536501</v>
      </c>
      <c r="AN522" s="9">
        <v>1.4717107810487799</v>
      </c>
      <c r="AO522" s="9">
        <v>0.84780423425621299</v>
      </c>
      <c r="AP522" s="9">
        <v>786.08874117002199</v>
      </c>
      <c r="AQ522" s="9">
        <v>15.1170911763466</v>
      </c>
      <c r="AR522" s="9">
        <v>13.5633261158591</v>
      </c>
      <c r="AS522" s="73" t="s">
        <v>169</v>
      </c>
      <c r="AT522" s="8" t="s">
        <v>169</v>
      </c>
      <c r="AU522" s="10" t="s">
        <v>169</v>
      </c>
      <c r="AV522" s="10">
        <v>0</v>
      </c>
      <c r="AW522" s="8"/>
      <c r="AX522" s="10" t="s">
        <v>169</v>
      </c>
      <c r="AY522" s="10"/>
      <c r="AZ522" s="10"/>
      <c r="BA522" s="10"/>
      <c r="BB522" s="8"/>
      <c r="BC522" s="8"/>
      <c r="BD522" s="8"/>
      <c r="BE522" s="8"/>
      <c r="BF522" s="12">
        <v>0.46</v>
      </c>
      <c r="BG522" s="13">
        <v>345.589733730874</v>
      </c>
      <c r="BH522" s="96" t="str">
        <f>+VLOOKUP(G522,Liste!$A$7:$G$50,3,FALSE)</f>
        <v>Pin Maritime</v>
      </c>
      <c r="BI522" s="96" t="str">
        <f>+VLOOKUP(H522,Liste!$B$7:$G$50,5,FALSE)</f>
        <v>GS Pineraies des plaines du Centre et du Nord Ouest</v>
      </c>
      <c r="BJ522" s="135">
        <f t="shared" si="167"/>
        <v>52</v>
      </c>
      <c r="BK522" s="135" t="str">
        <f t="shared" si="169"/>
        <v>Pin Maritime_F2_Classique_GS Pineraies des plaines du Centre et du Nord Ouest_52_</v>
      </c>
      <c r="BL522" s="322"/>
      <c r="BM522" s="13">
        <v>86.034521423194306</v>
      </c>
      <c r="BN522" s="13">
        <v>431.62425515406801</v>
      </c>
      <c r="BO522" s="13" t="s">
        <v>169</v>
      </c>
      <c r="BP522" s="13">
        <v>243.14590308576999</v>
      </c>
      <c r="BQ522" s="13">
        <v>13.0784811159551</v>
      </c>
      <c r="BT522" s="298" t="str">
        <f>+VLOOKUP(G522,Liste!$A$7:$H$50,8,FALSE)</f>
        <v>Résineux</v>
      </c>
      <c r="BU522" s="298">
        <f t="shared" si="170"/>
        <v>0</v>
      </c>
      <c r="BV522" s="300">
        <f t="shared" si="171"/>
        <v>1</v>
      </c>
      <c r="BW522" s="321">
        <v>0</v>
      </c>
      <c r="BX522" s="298">
        <f t="shared" si="172"/>
        <v>0.43</v>
      </c>
      <c r="BY522">
        <f t="shared" si="173"/>
        <v>0</v>
      </c>
      <c r="BZ522" s="304">
        <f t="shared" si="174"/>
        <v>0</v>
      </c>
      <c r="CB522" s="299">
        <v>0.6</v>
      </c>
      <c r="CC522" s="299">
        <v>0.4</v>
      </c>
      <c r="CD522">
        <f t="shared" si="175"/>
        <v>0</v>
      </c>
      <c r="CE522">
        <f t="shared" si="176"/>
        <v>0</v>
      </c>
      <c r="CF522">
        <f t="shared" si="177"/>
        <v>0</v>
      </c>
      <c r="CG522">
        <f t="shared" si="178"/>
        <v>0</v>
      </c>
      <c r="CH522">
        <f t="shared" si="179"/>
        <v>0</v>
      </c>
      <c r="CI522">
        <f t="shared" si="180"/>
        <v>0</v>
      </c>
      <c r="CJ522">
        <f t="shared" si="181"/>
        <v>0</v>
      </c>
      <c r="CK522">
        <f t="shared" si="182"/>
        <v>0</v>
      </c>
      <c r="CL522">
        <f t="shared" si="183"/>
        <v>0</v>
      </c>
      <c r="CM522">
        <f t="shared" si="185"/>
        <v>0</v>
      </c>
      <c r="CN522">
        <f t="shared" si="184"/>
        <v>0</v>
      </c>
      <c r="CO522">
        <f t="shared" si="168"/>
        <v>0</v>
      </c>
    </row>
    <row r="523" spans="1:93" s="12" customFormat="1" ht="14.65" customHeight="1" x14ac:dyDescent="0.25">
      <c r="A523" s="4">
        <v>2021</v>
      </c>
      <c r="B523" s="4"/>
      <c r="C523" s="4" t="s">
        <v>418</v>
      </c>
      <c r="D523" s="4" t="s">
        <v>65</v>
      </c>
      <c r="E523" s="4"/>
      <c r="F523" s="4" t="s">
        <v>90</v>
      </c>
      <c r="G523" s="5" t="s">
        <v>419</v>
      </c>
      <c r="H523" s="5" t="s">
        <v>21</v>
      </c>
      <c r="I523" s="5" t="s">
        <v>18</v>
      </c>
      <c r="J523" s="5" t="s">
        <v>10</v>
      </c>
      <c r="K523" s="5">
        <v>23</v>
      </c>
      <c r="L523" s="5">
        <v>50</v>
      </c>
      <c r="M523" s="5">
        <v>1250</v>
      </c>
      <c r="N523" s="5" t="s">
        <v>171</v>
      </c>
      <c r="O523" s="6" t="s">
        <v>81</v>
      </c>
      <c r="P523" s="6" t="s">
        <v>420</v>
      </c>
      <c r="Q523" s="6"/>
      <c r="R523" s="6"/>
      <c r="S523" s="6">
        <v>17</v>
      </c>
      <c r="T523" s="6">
        <v>11</v>
      </c>
      <c r="U523" s="6">
        <v>1251</v>
      </c>
      <c r="V523" s="6">
        <v>25.56</v>
      </c>
      <c r="W523" s="6">
        <v>13</v>
      </c>
      <c r="X523" s="6">
        <v>239</v>
      </c>
      <c r="Y523" s="6">
        <v>629</v>
      </c>
      <c r="Z523" s="6">
        <v>324</v>
      </c>
      <c r="AA523" s="6">
        <v>46</v>
      </c>
      <c r="AB523" s="6">
        <v>0</v>
      </c>
      <c r="AC523" s="7">
        <v>52</v>
      </c>
      <c r="AD523" s="7" t="s">
        <v>53</v>
      </c>
      <c r="AE523" s="7">
        <v>24.16</v>
      </c>
      <c r="AF523" s="76">
        <v>218.2</v>
      </c>
      <c r="AG523" s="7">
        <v>29.55</v>
      </c>
      <c r="AH523" s="7">
        <v>41.52</v>
      </c>
      <c r="AI523" s="7">
        <v>45.21</v>
      </c>
      <c r="AJ523" s="9">
        <v>302.09013894925801</v>
      </c>
      <c r="AK523" s="9">
        <v>305.98030150589102</v>
      </c>
      <c r="AL523" s="9">
        <v>351.03843091865798</v>
      </c>
      <c r="AM523" s="9">
        <v>76.528960614536501</v>
      </c>
      <c r="AN523" s="9">
        <v>1.4717107810487799</v>
      </c>
      <c r="AO523" s="9">
        <v>0.84780423425621299</v>
      </c>
      <c r="AP523" s="9">
        <v>786.08874117002199</v>
      </c>
      <c r="AQ523" s="9">
        <v>15.1170911763466</v>
      </c>
      <c r="AR523" s="9">
        <v>13.5633261158591</v>
      </c>
      <c r="AS523" s="73">
        <v>50</v>
      </c>
      <c r="AT523" s="8">
        <v>6.6500000000000021</v>
      </c>
      <c r="AU523" s="10">
        <v>41.151046092387091</v>
      </c>
      <c r="AV523" s="10">
        <v>69.213382250763004</v>
      </c>
      <c r="AW523" s="8">
        <v>0.99</v>
      </c>
      <c r="AX523" s="10">
        <v>1.38426764501526</v>
      </c>
      <c r="AY523" s="10"/>
      <c r="AZ523" s="10"/>
      <c r="BA523" s="10"/>
      <c r="BB523" s="8"/>
      <c r="BC523" s="8"/>
      <c r="BD523" s="8"/>
      <c r="BE523" s="8"/>
      <c r="BF523" s="12">
        <v>0.46</v>
      </c>
      <c r="BG523" s="13">
        <v>281.24028957099898</v>
      </c>
      <c r="BH523" s="96" t="str">
        <f>+VLOOKUP(G523,Liste!$A$7:$G$50,3,FALSE)</f>
        <v>Pin Maritime</v>
      </c>
      <c r="BI523" s="96" t="str">
        <f>+VLOOKUP(H523,Liste!$B$7:$G$50,5,FALSE)</f>
        <v>GS Pineraies des plaines du Centre et du Nord Ouest</v>
      </c>
      <c r="BJ523" s="135">
        <f t="shared" si="167"/>
        <v>52</v>
      </c>
      <c r="BK523" s="135" t="str">
        <f t="shared" si="169"/>
        <v>Pin Maritime_F2_Classique_GS Pineraies des plaines du Centre et du Nord Ouest_52_</v>
      </c>
      <c r="BL523" s="322"/>
      <c r="BM523" s="13">
        <v>71.714224548334201</v>
      </c>
      <c r="BN523" s="13">
        <v>352.954514119333</v>
      </c>
      <c r="BO523" s="13">
        <v>78.669741034735011</v>
      </c>
      <c r="BP523" s="13">
        <v>243.14590308576999</v>
      </c>
      <c r="BQ523" s="13">
        <v>13.0784811159551</v>
      </c>
      <c r="BT523" s="298" t="str">
        <f>+VLOOKUP(G523,Liste!$A$7:$H$50,8,FALSE)</f>
        <v>Résineux</v>
      </c>
      <c r="BU523" s="298">
        <f t="shared" si="170"/>
        <v>0</v>
      </c>
      <c r="BV523" s="300">
        <f t="shared" si="171"/>
        <v>1</v>
      </c>
      <c r="BW523" s="321">
        <v>0</v>
      </c>
      <c r="BX523" s="298">
        <f t="shared" si="172"/>
        <v>0.43</v>
      </c>
      <c r="BY523">
        <f t="shared" si="173"/>
        <v>0</v>
      </c>
      <c r="BZ523" s="304">
        <f t="shared" si="174"/>
        <v>0</v>
      </c>
      <c r="CB523" s="299">
        <v>0.6</v>
      </c>
      <c r="CC523" s="299">
        <v>0.4</v>
      </c>
      <c r="CD523">
        <f t="shared" si="175"/>
        <v>0</v>
      </c>
      <c r="CE523">
        <f t="shared" si="176"/>
        <v>0</v>
      </c>
      <c r="CF523">
        <f t="shared" si="177"/>
        <v>0</v>
      </c>
      <c r="CG523">
        <f t="shared" si="178"/>
        <v>0</v>
      </c>
      <c r="CH523">
        <f t="shared" si="179"/>
        <v>0</v>
      </c>
      <c r="CI523">
        <f t="shared" si="180"/>
        <v>0</v>
      </c>
      <c r="CJ523">
        <f t="shared" si="181"/>
        <v>0</v>
      </c>
      <c r="CK523">
        <f t="shared" si="182"/>
        <v>0</v>
      </c>
      <c r="CL523">
        <f t="shared" si="183"/>
        <v>0</v>
      </c>
      <c r="CM523">
        <f t="shared" si="185"/>
        <v>0</v>
      </c>
      <c r="CN523">
        <f t="shared" si="184"/>
        <v>0</v>
      </c>
      <c r="CO523">
        <f t="shared" si="168"/>
        <v>0</v>
      </c>
    </row>
    <row r="524" spans="1:93" s="12" customFormat="1" ht="14.65" customHeight="1" x14ac:dyDescent="0.25">
      <c r="A524" s="4">
        <v>2021</v>
      </c>
      <c r="B524" s="4"/>
      <c r="C524" s="4" t="s">
        <v>418</v>
      </c>
      <c r="D524" s="4" t="s">
        <v>65</v>
      </c>
      <c r="E524" s="4"/>
      <c r="F524" s="4" t="s">
        <v>90</v>
      </c>
      <c r="G524" s="5" t="s">
        <v>419</v>
      </c>
      <c r="H524" s="5" t="s">
        <v>21</v>
      </c>
      <c r="I524" s="5" t="s">
        <v>18</v>
      </c>
      <c r="J524" s="5" t="s">
        <v>10</v>
      </c>
      <c r="K524" s="5">
        <v>23</v>
      </c>
      <c r="L524" s="5">
        <v>50</v>
      </c>
      <c r="M524" s="5">
        <v>1250</v>
      </c>
      <c r="N524" s="5" t="s">
        <v>171</v>
      </c>
      <c r="O524" s="6" t="s">
        <v>81</v>
      </c>
      <c r="P524" s="6" t="s">
        <v>420</v>
      </c>
      <c r="Q524" s="6"/>
      <c r="R524" s="6"/>
      <c r="S524" s="6">
        <v>17</v>
      </c>
      <c r="T524" s="6">
        <v>11</v>
      </c>
      <c r="U524" s="6">
        <v>1251</v>
      </c>
      <c r="V524" s="6">
        <v>25.56</v>
      </c>
      <c r="W524" s="6">
        <v>13</v>
      </c>
      <c r="X524" s="6">
        <v>239</v>
      </c>
      <c r="Y524" s="6">
        <v>629</v>
      </c>
      <c r="Z524" s="6">
        <v>324</v>
      </c>
      <c r="AA524" s="6">
        <v>46</v>
      </c>
      <c r="AB524" s="6">
        <v>0</v>
      </c>
      <c r="AC524" s="7">
        <v>53</v>
      </c>
      <c r="AD524" s="7" t="s">
        <v>52</v>
      </c>
      <c r="AE524" s="7">
        <v>24.67</v>
      </c>
      <c r="AF524" s="76">
        <v>218.2</v>
      </c>
      <c r="AG524" s="7">
        <v>30.41</v>
      </c>
      <c r="AH524" s="7">
        <v>42.13</v>
      </c>
      <c r="AI524" s="7">
        <v>45.91</v>
      </c>
      <c r="AJ524" s="9">
        <v>314.02337605850198</v>
      </c>
      <c r="AK524" s="9">
        <v>318.096253554741</v>
      </c>
      <c r="AL524" s="9">
        <v>364.60175703451802</v>
      </c>
      <c r="AM524" s="9" t="s">
        <v>169</v>
      </c>
      <c r="AN524" s="9" t="s">
        <v>169</v>
      </c>
      <c r="AO524" s="9" t="s">
        <v>169</v>
      </c>
      <c r="AP524" s="9" t="s">
        <v>169</v>
      </c>
      <c r="AQ524" s="9" t="s">
        <v>169</v>
      </c>
      <c r="AR524" s="9" t="s">
        <v>169</v>
      </c>
      <c r="AS524" s="73" t="s">
        <v>169</v>
      </c>
      <c r="AT524" s="8" t="s">
        <v>169</v>
      </c>
      <c r="AU524" s="10" t="s">
        <v>169</v>
      </c>
      <c r="AV524" s="10">
        <v>0</v>
      </c>
      <c r="AW524" s="8"/>
      <c r="AX524" s="10" t="s">
        <v>169</v>
      </c>
      <c r="AY524" s="10"/>
      <c r="AZ524" s="10"/>
      <c r="BA524" s="10"/>
      <c r="BB524" s="8"/>
      <c r="BC524" s="8"/>
      <c r="BD524" s="8"/>
      <c r="BE524" s="8"/>
      <c r="BF524" s="12">
        <v>0.46</v>
      </c>
      <c r="BG524" s="13">
        <v>292.10677434415402</v>
      </c>
      <c r="BH524" s="96" t="str">
        <f>+VLOOKUP(G524,Liste!$A$7:$G$50,3,FALSE)</f>
        <v>Pin Maritime</v>
      </c>
      <c r="BI524" s="96" t="str">
        <f>+VLOOKUP(H524,Liste!$B$7:$G$50,5,FALSE)</f>
        <v>GS Pineraies des plaines du Centre et du Nord Ouest</v>
      </c>
      <c r="BJ524" s="135">
        <f t="shared" si="167"/>
        <v>53</v>
      </c>
      <c r="BK524" s="135" t="str">
        <f t="shared" si="169"/>
        <v>Pin Maritime_F2_Classique_GS Pineraies des plaines du Centre et du Nord Ouest_53_</v>
      </c>
      <c r="BL524" s="322"/>
      <c r="BM524" s="13">
        <v>74.122893918857301</v>
      </c>
      <c r="BN524" s="13">
        <v>366.229668263012</v>
      </c>
      <c r="BO524" s="13" t="s">
        <v>169</v>
      </c>
      <c r="BP524" s="13">
        <v>243.14590308576999</v>
      </c>
      <c r="BQ524" s="13" t="s">
        <v>169</v>
      </c>
      <c r="BT524" s="298" t="str">
        <f>+VLOOKUP(G524,Liste!$A$7:$H$50,8,FALSE)</f>
        <v>Résineux</v>
      </c>
      <c r="BU524" s="298">
        <f t="shared" si="170"/>
        <v>0</v>
      </c>
      <c r="BV524" s="300">
        <f t="shared" si="171"/>
        <v>1</v>
      </c>
      <c r="BW524" s="321">
        <v>0</v>
      </c>
      <c r="BX524" s="298">
        <f t="shared" si="172"/>
        <v>0.43</v>
      </c>
      <c r="BY524">
        <f t="shared" si="173"/>
        <v>0</v>
      </c>
      <c r="BZ524" s="304">
        <f t="shared" si="174"/>
        <v>0</v>
      </c>
      <c r="CB524" s="299">
        <v>0.6</v>
      </c>
      <c r="CC524" s="299">
        <v>0.4</v>
      </c>
      <c r="CD524">
        <f t="shared" si="175"/>
        <v>0</v>
      </c>
      <c r="CE524">
        <f t="shared" si="176"/>
        <v>0</v>
      </c>
      <c r="CF524">
        <f t="shared" si="177"/>
        <v>0</v>
      </c>
      <c r="CG524">
        <f t="shared" si="178"/>
        <v>0</v>
      </c>
      <c r="CH524">
        <f t="shared" si="179"/>
        <v>0</v>
      </c>
      <c r="CI524">
        <f t="shared" si="180"/>
        <v>0</v>
      </c>
      <c r="CJ524">
        <f t="shared" si="181"/>
        <v>0</v>
      </c>
      <c r="CK524">
        <f t="shared" si="182"/>
        <v>0</v>
      </c>
      <c r="CL524">
        <f t="shared" si="183"/>
        <v>0</v>
      </c>
      <c r="CM524">
        <f t="shared" si="185"/>
        <v>0</v>
      </c>
      <c r="CN524">
        <f t="shared" si="184"/>
        <v>0</v>
      </c>
      <c r="CO524">
        <f t="shared" si="168"/>
        <v>0</v>
      </c>
    </row>
    <row r="525" spans="1:93" s="12" customFormat="1" ht="14.65" customHeight="1" x14ac:dyDescent="0.25">
      <c r="A525" s="4">
        <v>2021</v>
      </c>
      <c r="B525" s="4"/>
      <c r="C525" s="4" t="s">
        <v>418</v>
      </c>
      <c r="D525" s="4" t="s">
        <v>65</v>
      </c>
      <c r="E525" s="4"/>
      <c r="F525" s="4" t="s">
        <v>90</v>
      </c>
      <c r="G525" s="5" t="s">
        <v>419</v>
      </c>
      <c r="H525" s="5" t="s">
        <v>21</v>
      </c>
      <c r="I525" s="5" t="s">
        <v>18</v>
      </c>
      <c r="J525" s="5" t="s">
        <v>10</v>
      </c>
      <c r="K525" s="5">
        <v>23</v>
      </c>
      <c r="L525" s="5">
        <v>50</v>
      </c>
      <c r="M525" s="5">
        <v>1250</v>
      </c>
      <c r="N525" s="5" t="s">
        <v>171</v>
      </c>
      <c r="O525" s="6" t="s">
        <v>81</v>
      </c>
      <c r="P525" s="6" t="s">
        <v>420</v>
      </c>
      <c r="Q525" s="6"/>
      <c r="R525" s="6"/>
      <c r="S525" s="6">
        <v>17</v>
      </c>
      <c r="T525" s="6">
        <v>11</v>
      </c>
      <c r="U525" s="6">
        <v>1251</v>
      </c>
      <c r="V525" s="6">
        <v>25.56</v>
      </c>
      <c r="W525" s="6">
        <v>13</v>
      </c>
      <c r="X525" s="6">
        <v>239</v>
      </c>
      <c r="Y525" s="6">
        <v>629</v>
      </c>
      <c r="Z525" s="6">
        <v>324</v>
      </c>
      <c r="AA525" s="6">
        <v>46</v>
      </c>
      <c r="AB525" s="6">
        <v>0</v>
      </c>
      <c r="AC525" s="7">
        <v>54</v>
      </c>
      <c r="AD525" s="7" t="s">
        <v>52</v>
      </c>
      <c r="AE525" s="7">
        <v>24.87</v>
      </c>
      <c r="AF525" s="76">
        <v>218.2</v>
      </c>
      <c r="AG525" s="7">
        <v>31.27</v>
      </c>
      <c r="AH525" s="7">
        <v>42.72</v>
      </c>
      <c r="AI525" s="7">
        <v>46.6</v>
      </c>
      <c r="AJ525" s="9">
        <v>325.95661316774601</v>
      </c>
      <c r="AK525" s="9">
        <v>330.21220560359097</v>
      </c>
      <c r="AL525" s="9">
        <v>378.16508315037697</v>
      </c>
      <c r="AM525" s="9" t="s">
        <v>169</v>
      </c>
      <c r="AN525" s="9" t="s">
        <v>169</v>
      </c>
      <c r="AO525" s="9" t="s">
        <v>169</v>
      </c>
      <c r="AP525" s="9" t="s">
        <v>169</v>
      </c>
      <c r="AQ525" s="9" t="s">
        <v>169</v>
      </c>
      <c r="AR525" s="9" t="s">
        <v>169</v>
      </c>
      <c r="AS525" s="73" t="s">
        <v>169</v>
      </c>
      <c r="AT525" s="8" t="s">
        <v>169</v>
      </c>
      <c r="AU525" s="10" t="s">
        <v>169</v>
      </c>
      <c r="AV525" s="10">
        <v>0</v>
      </c>
      <c r="AW525" s="8"/>
      <c r="AX525" s="10" t="s">
        <v>169</v>
      </c>
      <c r="AY525" s="10"/>
      <c r="AZ525" s="10"/>
      <c r="BA525" s="10"/>
      <c r="BB525" s="8"/>
      <c r="BC525" s="8"/>
      <c r="BD525" s="8"/>
      <c r="BE525" s="8"/>
      <c r="BF525" s="12">
        <v>0.46</v>
      </c>
      <c r="BG525" s="13">
        <v>302.97325911731002</v>
      </c>
      <c r="BH525" s="96" t="str">
        <f>+VLOOKUP(G525,Liste!$A$7:$G$50,3,FALSE)</f>
        <v>Pin Maritime</v>
      </c>
      <c r="BI525" s="96" t="str">
        <f>+VLOOKUP(H525,Liste!$B$7:$G$50,5,FALSE)</f>
        <v>GS Pineraies des plaines du Centre et du Nord Ouest</v>
      </c>
      <c r="BJ525" s="135">
        <f t="shared" si="167"/>
        <v>54</v>
      </c>
      <c r="BK525" s="135" t="str">
        <f t="shared" si="169"/>
        <v>Pin Maritime_F2_Classique_GS Pineraies des plaines du Centre et du Nord Ouest_54_</v>
      </c>
      <c r="BL525" s="322"/>
      <c r="BM525" s="13">
        <v>76.531563289380401</v>
      </c>
      <c r="BN525" s="13">
        <v>379.50482240669101</v>
      </c>
      <c r="BO525" s="13" t="s">
        <v>169</v>
      </c>
      <c r="BP525" s="13">
        <v>243.14590308576999</v>
      </c>
      <c r="BQ525" s="13" t="s">
        <v>169</v>
      </c>
      <c r="BT525" s="298" t="str">
        <f>+VLOOKUP(G525,Liste!$A$7:$H$50,8,FALSE)</f>
        <v>Résineux</v>
      </c>
      <c r="BU525" s="298">
        <f t="shared" si="170"/>
        <v>0</v>
      </c>
      <c r="BV525" s="300">
        <f t="shared" si="171"/>
        <v>1</v>
      </c>
      <c r="BW525" s="321">
        <v>0</v>
      </c>
      <c r="BX525" s="298">
        <f t="shared" si="172"/>
        <v>0.43</v>
      </c>
      <c r="BY525">
        <f t="shared" si="173"/>
        <v>0</v>
      </c>
      <c r="BZ525" s="304">
        <f t="shared" si="174"/>
        <v>0</v>
      </c>
      <c r="CB525" s="299">
        <v>0.6</v>
      </c>
      <c r="CC525" s="299">
        <v>0.4</v>
      </c>
      <c r="CD525">
        <f t="shared" si="175"/>
        <v>0</v>
      </c>
      <c r="CE525">
        <f t="shared" si="176"/>
        <v>0</v>
      </c>
      <c r="CF525">
        <f t="shared" si="177"/>
        <v>0</v>
      </c>
      <c r="CG525">
        <f t="shared" si="178"/>
        <v>0</v>
      </c>
      <c r="CH525">
        <f t="shared" si="179"/>
        <v>0</v>
      </c>
      <c r="CI525">
        <f t="shared" si="180"/>
        <v>0</v>
      </c>
      <c r="CJ525">
        <f t="shared" si="181"/>
        <v>0</v>
      </c>
      <c r="CK525">
        <f t="shared" si="182"/>
        <v>0</v>
      </c>
      <c r="CL525">
        <f t="shared" si="183"/>
        <v>0</v>
      </c>
      <c r="CM525">
        <f t="shared" si="185"/>
        <v>0</v>
      </c>
      <c r="CN525">
        <f t="shared" si="184"/>
        <v>0</v>
      </c>
      <c r="CO525">
        <f t="shared" si="168"/>
        <v>0</v>
      </c>
    </row>
    <row r="526" spans="1:93" s="12" customFormat="1" ht="14.65" customHeight="1" x14ac:dyDescent="0.25">
      <c r="A526" s="4">
        <v>2021</v>
      </c>
      <c r="B526" s="4"/>
      <c r="C526" s="4" t="s">
        <v>418</v>
      </c>
      <c r="D526" s="4" t="s">
        <v>65</v>
      </c>
      <c r="E526" s="4"/>
      <c r="F526" s="4" t="s">
        <v>90</v>
      </c>
      <c r="G526" s="5" t="s">
        <v>419</v>
      </c>
      <c r="H526" s="5" t="s">
        <v>21</v>
      </c>
      <c r="I526" s="5" t="s">
        <v>18</v>
      </c>
      <c r="J526" s="5" t="s">
        <v>10</v>
      </c>
      <c r="K526" s="5">
        <v>23</v>
      </c>
      <c r="L526" s="5">
        <v>50</v>
      </c>
      <c r="M526" s="5">
        <v>1250</v>
      </c>
      <c r="N526" s="5" t="s">
        <v>171</v>
      </c>
      <c r="O526" s="6" t="s">
        <v>81</v>
      </c>
      <c r="P526" s="6" t="s">
        <v>420</v>
      </c>
      <c r="Q526" s="6"/>
      <c r="R526" s="6"/>
      <c r="S526" s="6">
        <v>17</v>
      </c>
      <c r="T526" s="6">
        <v>11</v>
      </c>
      <c r="U526" s="6">
        <v>1251</v>
      </c>
      <c r="V526" s="6">
        <v>25.56</v>
      </c>
      <c r="W526" s="6">
        <v>13</v>
      </c>
      <c r="X526" s="6">
        <v>239</v>
      </c>
      <c r="Y526" s="6">
        <v>629</v>
      </c>
      <c r="Z526" s="6">
        <v>324</v>
      </c>
      <c r="AA526" s="6">
        <v>46</v>
      </c>
      <c r="AB526" s="6">
        <v>0</v>
      </c>
      <c r="AC526" s="7">
        <v>55</v>
      </c>
      <c r="AD526" s="7" t="s">
        <v>52</v>
      </c>
      <c r="AE526" s="7">
        <v>25.09</v>
      </c>
      <c r="AF526" s="76">
        <v>218.2</v>
      </c>
      <c r="AG526" s="7">
        <v>32.130000000000003</v>
      </c>
      <c r="AH526" s="7">
        <v>43.3</v>
      </c>
      <c r="AI526" s="7">
        <v>47.28</v>
      </c>
      <c r="AJ526" s="9">
        <v>337.88985027699101</v>
      </c>
      <c r="AK526" s="9">
        <v>342.32815765244197</v>
      </c>
      <c r="AL526" s="9">
        <v>391.72840926623599</v>
      </c>
      <c r="AM526" s="9" t="s">
        <v>169</v>
      </c>
      <c r="AN526" s="9" t="s">
        <v>169</v>
      </c>
      <c r="AO526" s="9" t="s">
        <v>169</v>
      </c>
      <c r="AP526" s="9" t="s">
        <v>169</v>
      </c>
      <c r="AQ526" s="9" t="s">
        <v>169</v>
      </c>
      <c r="AR526" s="9" t="s">
        <v>169</v>
      </c>
      <c r="AS526" s="73" t="s">
        <v>169</v>
      </c>
      <c r="AT526" s="8" t="s">
        <v>169</v>
      </c>
      <c r="AU526" s="10" t="s">
        <v>169</v>
      </c>
      <c r="AV526" s="10">
        <v>0</v>
      </c>
      <c r="AW526" s="8"/>
      <c r="AX526" s="10" t="s">
        <v>169</v>
      </c>
      <c r="AY526" s="10"/>
      <c r="AZ526" s="10"/>
      <c r="BA526" s="10"/>
      <c r="BB526" s="8"/>
      <c r="BC526" s="8"/>
      <c r="BD526" s="8"/>
      <c r="BE526" s="8"/>
      <c r="BF526" s="12">
        <v>0.46</v>
      </c>
      <c r="BG526" s="13">
        <v>313.83974389046602</v>
      </c>
      <c r="BH526" s="96" t="str">
        <f>+VLOOKUP(G526,Liste!$A$7:$G$50,3,FALSE)</f>
        <v>Pin Maritime</v>
      </c>
      <c r="BI526" s="96" t="str">
        <f>+VLOOKUP(H526,Liste!$B$7:$G$50,5,FALSE)</f>
        <v>GS Pineraies des plaines du Centre et du Nord Ouest</v>
      </c>
      <c r="BJ526" s="135">
        <f t="shared" si="167"/>
        <v>55</v>
      </c>
      <c r="BK526" s="135" t="str">
        <f t="shared" si="169"/>
        <v>Pin Maritime_F2_Classique_GS Pineraies des plaines du Centre et du Nord Ouest_55_</v>
      </c>
      <c r="BL526" s="322"/>
      <c r="BM526" s="13">
        <v>78.940232659903501</v>
      </c>
      <c r="BN526" s="13">
        <v>392.77997655036899</v>
      </c>
      <c r="BO526" s="13" t="s">
        <v>169</v>
      </c>
      <c r="BP526" s="13">
        <v>243.14590308576999</v>
      </c>
      <c r="BQ526" s="13" t="s">
        <v>169</v>
      </c>
      <c r="BT526" s="298" t="str">
        <f>+VLOOKUP(G526,Liste!$A$7:$H$50,8,FALSE)</f>
        <v>Résineux</v>
      </c>
      <c r="BU526" s="298">
        <f t="shared" si="170"/>
        <v>0</v>
      </c>
      <c r="BV526" s="300">
        <f t="shared" si="171"/>
        <v>1</v>
      </c>
      <c r="BW526" s="321">
        <v>0</v>
      </c>
      <c r="BX526" s="298">
        <f t="shared" si="172"/>
        <v>0.43</v>
      </c>
      <c r="BY526">
        <f t="shared" si="173"/>
        <v>0</v>
      </c>
      <c r="BZ526" s="304">
        <f t="shared" si="174"/>
        <v>0</v>
      </c>
      <c r="CB526" s="299">
        <v>0.6</v>
      </c>
      <c r="CC526" s="299">
        <v>0.4</v>
      </c>
      <c r="CD526">
        <f t="shared" si="175"/>
        <v>0</v>
      </c>
      <c r="CE526">
        <f t="shared" si="176"/>
        <v>0</v>
      </c>
      <c r="CF526">
        <f t="shared" si="177"/>
        <v>0</v>
      </c>
      <c r="CG526">
        <f t="shared" si="178"/>
        <v>0</v>
      </c>
      <c r="CH526">
        <f t="shared" si="179"/>
        <v>0</v>
      </c>
      <c r="CI526">
        <f t="shared" si="180"/>
        <v>0</v>
      </c>
      <c r="CJ526">
        <f t="shared" si="181"/>
        <v>0</v>
      </c>
      <c r="CK526">
        <f t="shared" si="182"/>
        <v>0</v>
      </c>
      <c r="CL526">
        <f t="shared" si="183"/>
        <v>0</v>
      </c>
      <c r="CM526">
        <f t="shared" si="185"/>
        <v>0</v>
      </c>
      <c r="CN526">
        <f t="shared" si="184"/>
        <v>0</v>
      </c>
      <c r="CO526">
        <f t="shared" si="168"/>
        <v>0</v>
      </c>
    </row>
    <row r="527" spans="1:93" s="12" customFormat="1" ht="14.65" customHeight="1" x14ac:dyDescent="0.25">
      <c r="A527" s="4">
        <v>2021</v>
      </c>
      <c r="B527" s="4"/>
      <c r="C527" s="4" t="s">
        <v>418</v>
      </c>
      <c r="D527" s="4" t="s">
        <v>65</v>
      </c>
      <c r="E527" s="4"/>
      <c r="F527" s="4" t="s">
        <v>90</v>
      </c>
      <c r="G527" s="5" t="s">
        <v>419</v>
      </c>
      <c r="H527" s="5" t="s">
        <v>21</v>
      </c>
      <c r="I527" s="5" t="s">
        <v>18</v>
      </c>
      <c r="J527" s="5" t="s">
        <v>10</v>
      </c>
      <c r="K527" s="5">
        <v>23</v>
      </c>
      <c r="L527" s="5">
        <v>50</v>
      </c>
      <c r="M527" s="5">
        <v>1250</v>
      </c>
      <c r="N527" s="5" t="s">
        <v>171</v>
      </c>
      <c r="O527" s="6" t="s">
        <v>81</v>
      </c>
      <c r="P527" s="6" t="s">
        <v>420</v>
      </c>
      <c r="Q527" s="6"/>
      <c r="R527" s="6"/>
      <c r="S527" s="6">
        <v>17</v>
      </c>
      <c r="T527" s="6">
        <v>11</v>
      </c>
      <c r="U527" s="6">
        <v>1251</v>
      </c>
      <c r="V527" s="6">
        <v>25.56</v>
      </c>
      <c r="W527" s="6">
        <v>13</v>
      </c>
      <c r="X527" s="6">
        <v>239</v>
      </c>
      <c r="Y527" s="6">
        <v>629</v>
      </c>
      <c r="Z527" s="6">
        <v>324</v>
      </c>
      <c r="AA527" s="6">
        <v>46</v>
      </c>
      <c r="AB527" s="6">
        <v>0</v>
      </c>
      <c r="AC527" s="7">
        <v>56</v>
      </c>
      <c r="AD527" s="7" t="s">
        <v>52</v>
      </c>
      <c r="AE527" s="7">
        <v>25.27</v>
      </c>
      <c r="AF527" s="76">
        <v>218.2</v>
      </c>
      <c r="AG527" s="7">
        <v>32.979999999999997</v>
      </c>
      <c r="AH527" s="7">
        <v>43.87</v>
      </c>
      <c r="AI527" s="7">
        <v>47.95</v>
      </c>
      <c r="AJ527" s="9">
        <v>349.82308738623499</v>
      </c>
      <c r="AK527" s="9">
        <v>354.44410970129098</v>
      </c>
      <c r="AL527" s="9">
        <v>405.291735382095</v>
      </c>
      <c r="AM527" s="9" t="s">
        <v>169</v>
      </c>
      <c r="AN527" s="9" t="s">
        <v>169</v>
      </c>
      <c r="AO527" s="9" t="s">
        <v>169</v>
      </c>
      <c r="AP527" s="9" t="s">
        <v>169</v>
      </c>
      <c r="AQ527" s="9" t="s">
        <v>169</v>
      </c>
      <c r="AR527" s="9" t="s">
        <v>169</v>
      </c>
      <c r="AS527" s="73" t="s">
        <v>169</v>
      </c>
      <c r="AT527" s="8" t="s">
        <v>169</v>
      </c>
      <c r="AU527" s="10" t="s">
        <v>169</v>
      </c>
      <c r="AV527" s="10">
        <v>0</v>
      </c>
      <c r="AW527" s="8"/>
      <c r="AX527" s="10" t="s">
        <v>169</v>
      </c>
      <c r="AY527" s="10"/>
      <c r="AZ527" s="10"/>
      <c r="BA527" s="10"/>
      <c r="BB527" s="8"/>
      <c r="BC527" s="8"/>
      <c r="BD527" s="8"/>
      <c r="BE527" s="8"/>
      <c r="BF527" s="12">
        <v>0.46</v>
      </c>
      <c r="BG527" s="13">
        <v>324.70622866362203</v>
      </c>
      <c r="BH527" s="96" t="str">
        <f>+VLOOKUP(G527,Liste!$A$7:$G$50,3,FALSE)</f>
        <v>Pin Maritime</v>
      </c>
      <c r="BI527" s="96" t="str">
        <f>+VLOOKUP(H527,Liste!$B$7:$G$50,5,FALSE)</f>
        <v>GS Pineraies des plaines du Centre et du Nord Ouest</v>
      </c>
      <c r="BJ527" s="135">
        <f t="shared" si="167"/>
        <v>56</v>
      </c>
      <c r="BK527" s="135" t="str">
        <f t="shared" si="169"/>
        <v>Pin Maritime_F2_Classique_GS Pineraies des plaines du Centre et du Nord Ouest_56_</v>
      </c>
      <c r="BL527" s="322"/>
      <c r="BM527" s="13">
        <v>81.348902030426601</v>
      </c>
      <c r="BN527" s="13">
        <v>406.05513069404799</v>
      </c>
      <c r="BO527" s="13" t="s">
        <v>169</v>
      </c>
      <c r="BP527" s="13">
        <v>243.14590308576999</v>
      </c>
      <c r="BQ527" s="13" t="s">
        <v>169</v>
      </c>
      <c r="BT527" s="298" t="str">
        <f>+VLOOKUP(G527,Liste!$A$7:$H$50,8,FALSE)</f>
        <v>Résineux</v>
      </c>
      <c r="BU527" s="298">
        <f t="shared" si="170"/>
        <v>0</v>
      </c>
      <c r="BV527" s="300">
        <f t="shared" si="171"/>
        <v>1</v>
      </c>
      <c r="BW527" s="321">
        <v>0</v>
      </c>
      <c r="BX527" s="298">
        <f t="shared" si="172"/>
        <v>0.43</v>
      </c>
      <c r="BY527">
        <f t="shared" si="173"/>
        <v>0</v>
      </c>
      <c r="BZ527" s="304">
        <f t="shared" si="174"/>
        <v>0</v>
      </c>
      <c r="CB527" s="299">
        <v>0.6</v>
      </c>
      <c r="CC527" s="299">
        <v>0.4</v>
      </c>
      <c r="CD527">
        <f t="shared" si="175"/>
        <v>0</v>
      </c>
      <c r="CE527">
        <f t="shared" si="176"/>
        <v>0</v>
      </c>
      <c r="CF527">
        <f t="shared" si="177"/>
        <v>0</v>
      </c>
      <c r="CG527">
        <f t="shared" si="178"/>
        <v>0</v>
      </c>
      <c r="CH527">
        <f t="shared" si="179"/>
        <v>0</v>
      </c>
      <c r="CI527">
        <f t="shared" si="180"/>
        <v>0</v>
      </c>
      <c r="CJ527">
        <f t="shared" si="181"/>
        <v>0</v>
      </c>
      <c r="CK527">
        <f t="shared" si="182"/>
        <v>0</v>
      </c>
      <c r="CL527">
        <f t="shared" si="183"/>
        <v>0</v>
      </c>
      <c r="CM527">
        <f t="shared" si="185"/>
        <v>0</v>
      </c>
      <c r="CN527">
        <f t="shared" si="184"/>
        <v>0</v>
      </c>
      <c r="CO527">
        <f t="shared" si="168"/>
        <v>0</v>
      </c>
    </row>
    <row r="528" spans="1:93" s="12" customFormat="1" ht="14.65" customHeight="1" x14ac:dyDescent="0.25">
      <c r="A528" s="4">
        <v>2021</v>
      </c>
      <c r="B528" s="4"/>
      <c r="C528" s="4" t="s">
        <v>418</v>
      </c>
      <c r="D528" s="4" t="s">
        <v>65</v>
      </c>
      <c r="E528" s="4"/>
      <c r="F528" s="4" t="s">
        <v>90</v>
      </c>
      <c r="G528" s="5" t="s">
        <v>419</v>
      </c>
      <c r="H528" s="5" t="s">
        <v>21</v>
      </c>
      <c r="I528" s="5" t="s">
        <v>18</v>
      </c>
      <c r="J528" s="5" t="s">
        <v>10</v>
      </c>
      <c r="K528" s="5">
        <v>23</v>
      </c>
      <c r="L528" s="5">
        <v>50</v>
      </c>
      <c r="M528" s="5">
        <v>1250</v>
      </c>
      <c r="N528" s="5" t="s">
        <v>171</v>
      </c>
      <c r="O528" s="6" t="s">
        <v>81</v>
      </c>
      <c r="P528" s="6" t="s">
        <v>420</v>
      </c>
      <c r="Q528" s="6"/>
      <c r="R528" s="6"/>
      <c r="S528" s="6">
        <v>17</v>
      </c>
      <c r="T528" s="6">
        <v>11</v>
      </c>
      <c r="U528" s="6">
        <v>1251</v>
      </c>
      <c r="V528" s="6">
        <v>25.56</v>
      </c>
      <c r="W528" s="6">
        <v>13</v>
      </c>
      <c r="X528" s="6">
        <v>239</v>
      </c>
      <c r="Y528" s="6">
        <v>629</v>
      </c>
      <c r="Z528" s="6">
        <v>324</v>
      </c>
      <c r="AA528" s="6">
        <v>46</v>
      </c>
      <c r="AB528" s="6">
        <v>0</v>
      </c>
      <c r="AC528" s="7">
        <v>57</v>
      </c>
      <c r="AD528" s="7" t="s">
        <v>52</v>
      </c>
      <c r="AE528" s="7">
        <v>25.46</v>
      </c>
      <c r="AF528" s="76">
        <v>218.2</v>
      </c>
      <c r="AG528" s="7">
        <v>33.83</v>
      </c>
      <c r="AH528" s="7">
        <v>44.43</v>
      </c>
      <c r="AI528" s="7">
        <v>48.61</v>
      </c>
      <c r="AJ528" s="9">
        <v>361.75632449547902</v>
      </c>
      <c r="AK528" s="9">
        <v>366.56006175014198</v>
      </c>
      <c r="AL528" s="9">
        <v>418.85506149795401</v>
      </c>
      <c r="AM528" s="9" t="s">
        <v>169</v>
      </c>
      <c r="AN528" s="9" t="s">
        <v>169</v>
      </c>
      <c r="AO528" s="9" t="s">
        <v>169</v>
      </c>
      <c r="AP528" s="9" t="s">
        <v>169</v>
      </c>
      <c r="AQ528" s="9" t="s">
        <v>169</v>
      </c>
      <c r="AR528" s="9" t="s">
        <v>169</v>
      </c>
      <c r="AS528" s="73" t="s">
        <v>169</v>
      </c>
      <c r="AT528" s="8" t="s">
        <v>169</v>
      </c>
      <c r="AU528" s="10" t="s">
        <v>169</v>
      </c>
      <c r="AV528" s="10">
        <v>0</v>
      </c>
      <c r="AW528" s="8"/>
      <c r="AX528" s="10" t="s">
        <v>169</v>
      </c>
      <c r="AY528" s="10"/>
      <c r="AZ528" s="10"/>
      <c r="BA528" s="10"/>
      <c r="BB528" s="8"/>
      <c r="BC528" s="8"/>
      <c r="BD528" s="8"/>
      <c r="BE528" s="8"/>
      <c r="BF528" s="12">
        <v>0.46</v>
      </c>
      <c r="BG528" s="13">
        <v>335.57271343677797</v>
      </c>
      <c r="BH528" s="96" t="str">
        <f>+VLOOKUP(G528,Liste!$A$7:$G$50,3,FALSE)</f>
        <v>Pin Maritime</v>
      </c>
      <c r="BI528" s="96" t="str">
        <f>+VLOOKUP(H528,Liste!$B$7:$G$50,5,FALSE)</f>
        <v>GS Pineraies des plaines du Centre et du Nord Ouest</v>
      </c>
      <c r="BJ528" s="135">
        <f t="shared" si="167"/>
        <v>57</v>
      </c>
      <c r="BK528" s="135" t="str">
        <f t="shared" si="169"/>
        <v>Pin Maritime_F2_Classique_GS Pineraies des plaines du Centre et du Nord Ouest_57_</v>
      </c>
      <c r="BL528" s="322"/>
      <c r="BM528" s="13">
        <v>83.757571400949701</v>
      </c>
      <c r="BN528" s="13">
        <v>419.33028483772699</v>
      </c>
      <c r="BO528" s="13" t="s">
        <v>169</v>
      </c>
      <c r="BP528" s="13">
        <v>243.14590308576999</v>
      </c>
      <c r="BQ528" s="13" t="s">
        <v>169</v>
      </c>
      <c r="BT528" s="298" t="str">
        <f>+VLOOKUP(G528,Liste!$A$7:$H$50,8,FALSE)</f>
        <v>Résineux</v>
      </c>
      <c r="BU528" s="298">
        <f t="shared" si="170"/>
        <v>0</v>
      </c>
      <c r="BV528" s="300">
        <f t="shared" si="171"/>
        <v>1</v>
      </c>
      <c r="BW528" s="321">
        <v>0</v>
      </c>
      <c r="BX528" s="298">
        <f t="shared" si="172"/>
        <v>0.43</v>
      </c>
      <c r="BY528">
        <f t="shared" si="173"/>
        <v>0</v>
      </c>
      <c r="BZ528" s="304">
        <f t="shared" si="174"/>
        <v>0</v>
      </c>
      <c r="CB528" s="299">
        <v>0.6</v>
      </c>
      <c r="CC528" s="299">
        <v>0.4</v>
      </c>
      <c r="CD528">
        <f t="shared" si="175"/>
        <v>0</v>
      </c>
      <c r="CE528">
        <f t="shared" si="176"/>
        <v>0</v>
      </c>
      <c r="CF528">
        <f t="shared" si="177"/>
        <v>0</v>
      </c>
      <c r="CG528">
        <f t="shared" si="178"/>
        <v>0</v>
      </c>
      <c r="CH528">
        <f t="shared" si="179"/>
        <v>0</v>
      </c>
      <c r="CI528">
        <f t="shared" si="180"/>
        <v>0</v>
      </c>
      <c r="CJ528">
        <f t="shared" si="181"/>
        <v>0</v>
      </c>
      <c r="CK528">
        <f t="shared" si="182"/>
        <v>0</v>
      </c>
      <c r="CL528">
        <f t="shared" si="183"/>
        <v>0</v>
      </c>
      <c r="CM528">
        <f t="shared" si="185"/>
        <v>0</v>
      </c>
      <c r="CN528">
        <f t="shared" si="184"/>
        <v>0</v>
      </c>
      <c r="CO528">
        <f t="shared" si="168"/>
        <v>0</v>
      </c>
    </row>
    <row r="529" spans="1:93" s="12" customFormat="1" ht="14.65" customHeight="1" x14ac:dyDescent="0.25">
      <c r="A529" s="4">
        <v>2021</v>
      </c>
      <c r="B529" s="4"/>
      <c r="C529" s="4" t="s">
        <v>418</v>
      </c>
      <c r="D529" s="4" t="s">
        <v>65</v>
      </c>
      <c r="E529" s="4"/>
      <c r="F529" s="4" t="s">
        <v>90</v>
      </c>
      <c r="G529" s="5" t="s">
        <v>419</v>
      </c>
      <c r="H529" s="5" t="s">
        <v>21</v>
      </c>
      <c r="I529" s="5" t="s">
        <v>18</v>
      </c>
      <c r="J529" s="5" t="s">
        <v>10</v>
      </c>
      <c r="K529" s="5">
        <v>23</v>
      </c>
      <c r="L529" s="5">
        <v>50</v>
      </c>
      <c r="M529" s="5">
        <v>1250</v>
      </c>
      <c r="N529" s="5" t="s">
        <v>171</v>
      </c>
      <c r="O529" s="6" t="s">
        <v>81</v>
      </c>
      <c r="P529" s="6" t="s">
        <v>420</v>
      </c>
      <c r="Q529" s="6"/>
      <c r="R529" s="6"/>
      <c r="S529" s="6">
        <v>17</v>
      </c>
      <c r="T529" s="6">
        <v>11</v>
      </c>
      <c r="U529" s="6">
        <v>1251</v>
      </c>
      <c r="V529" s="6">
        <v>25.56</v>
      </c>
      <c r="W529" s="6">
        <v>13</v>
      </c>
      <c r="X529" s="6">
        <v>239</v>
      </c>
      <c r="Y529" s="6">
        <v>629</v>
      </c>
      <c r="Z529" s="6">
        <v>324</v>
      </c>
      <c r="AA529" s="6">
        <v>46</v>
      </c>
      <c r="AB529" s="6">
        <v>0</v>
      </c>
      <c r="AC529" s="7">
        <v>58</v>
      </c>
      <c r="AD529" s="7" t="s">
        <v>52</v>
      </c>
      <c r="AE529" s="7">
        <v>25.63</v>
      </c>
      <c r="AF529" s="76">
        <v>218.2</v>
      </c>
      <c r="AG529" s="7">
        <v>34.659999999999997</v>
      </c>
      <c r="AH529" s="7">
        <v>44.98</v>
      </c>
      <c r="AI529" s="7">
        <v>49.26</v>
      </c>
      <c r="AJ529" s="9">
        <v>373.689561604723</v>
      </c>
      <c r="AK529" s="9">
        <v>378.67601379899202</v>
      </c>
      <c r="AL529" s="9">
        <v>432.41838761381302</v>
      </c>
      <c r="AM529" s="9" t="s">
        <v>169</v>
      </c>
      <c r="AN529" s="9" t="s">
        <v>169</v>
      </c>
      <c r="AO529" s="9" t="s">
        <v>169</v>
      </c>
      <c r="AP529" s="9" t="s">
        <v>169</v>
      </c>
      <c r="AQ529" s="9" t="s">
        <v>169</v>
      </c>
      <c r="AR529" s="9" t="s">
        <v>169</v>
      </c>
      <c r="AS529" s="73" t="s">
        <v>169</v>
      </c>
      <c r="AT529" s="8" t="s">
        <v>169</v>
      </c>
      <c r="AU529" s="10" t="s">
        <v>169</v>
      </c>
      <c r="AV529" s="10">
        <v>0</v>
      </c>
      <c r="AW529" s="8"/>
      <c r="AX529" s="10" t="s">
        <v>169</v>
      </c>
      <c r="AY529" s="10"/>
      <c r="AZ529" s="10"/>
      <c r="BA529" s="10"/>
      <c r="BB529" s="8"/>
      <c r="BC529" s="8"/>
      <c r="BD529" s="8"/>
      <c r="BE529" s="8"/>
      <c r="BF529" s="12">
        <v>0.46</v>
      </c>
      <c r="BG529" s="13">
        <v>346.43919820993301</v>
      </c>
      <c r="BH529" s="96" t="str">
        <f>+VLOOKUP(G529,Liste!$A$7:$G$50,3,FALSE)</f>
        <v>Pin Maritime</v>
      </c>
      <c r="BI529" s="96" t="str">
        <f>+VLOOKUP(H529,Liste!$B$7:$G$50,5,FALSE)</f>
        <v>GS Pineraies des plaines du Centre et du Nord Ouest</v>
      </c>
      <c r="BJ529" s="135">
        <f t="shared" si="167"/>
        <v>58</v>
      </c>
      <c r="BK529" s="135" t="str">
        <f t="shared" si="169"/>
        <v>Pin Maritime_F2_Classique_GS Pineraies des plaines du Centre et du Nord Ouest_58_</v>
      </c>
      <c r="BL529" s="322"/>
      <c r="BM529" s="13">
        <v>86.1662407714728</v>
      </c>
      <c r="BN529" s="13">
        <v>432.605438981406</v>
      </c>
      <c r="BO529" s="13" t="s">
        <v>169</v>
      </c>
      <c r="BP529" s="13">
        <v>243.14590308576999</v>
      </c>
      <c r="BQ529" s="13" t="s">
        <v>169</v>
      </c>
      <c r="BT529" s="298" t="str">
        <f>+VLOOKUP(G529,Liste!$A$7:$H$50,8,FALSE)</f>
        <v>Résineux</v>
      </c>
      <c r="BU529" s="298">
        <f t="shared" si="170"/>
        <v>0</v>
      </c>
      <c r="BV529" s="300">
        <f t="shared" si="171"/>
        <v>1</v>
      </c>
      <c r="BW529" s="321">
        <v>0</v>
      </c>
      <c r="BX529" s="298">
        <f t="shared" si="172"/>
        <v>0.43</v>
      </c>
      <c r="BY529">
        <f t="shared" si="173"/>
        <v>0</v>
      </c>
      <c r="BZ529" s="304">
        <f t="shared" si="174"/>
        <v>0</v>
      </c>
      <c r="CB529" s="299">
        <v>0.6</v>
      </c>
      <c r="CC529" s="299">
        <v>0.4</v>
      </c>
      <c r="CD529">
        <f t="shared" si="175"/>
        <v>0</v>
      </c>
      <c r="CE529">
        <f t="shared" si="176"/>
        <v>0</v>
      </c>
      <c r="CF529">
        <f t="shared" si="177"/>
        <v>0</v>
      </c>
      <c r="CG529">
        <f t="shared" si="178"/>
        <v>0</v>
      </c>
      <c r="CH529">
        <f t="shared" si="179"/>
        <v>0</v>
      </c>
      <c r="CI529">
        <f t="shared" si="180"/>
        <v>0</v>
      </c>
      <c r="CJ529">
        <f t="shared" si="181"/>
        <v>0</v>
      </c>
      <c r="CK529">
        <f t="shared" si="182"/>
        <v>0</v>
      </c>
      <c r="CL529">
        <f t="shared" si="183"/>
        <v>0</v>
      </c>
      <c r="CM529">
        <f t="shared" si="185"/>
        <v>0</v>
      </c>
      <c r="CN529">
        <f t="shared" si="184"/>
        <v>0</v>
      </c>
      <c r="CO529">
        <f t="shared" si="168"/>
        <v>0</v>
      </c>
    </row>
    <row r="530" spans="1:93" s="12" customFormat="1" ht="14.65" customHeight="1" x14ac:dyDescent="0.25">
      <c r="A530" s="4">
        <v>2021</v>
      </c>
      <c r="B530" s="4"/>
      <c r="C530" s="4" t="s">
        <v>418</v>
      </c>
      <c r="D530" s="4" t="s">
        <v>65</v>
      </c>
      <c r="E530" s="4"/>
      <c r="F530" s="4" t="s">
        <v>90</v>
      </c>
      <c r="G530" s="5" t="s">
        <v>419</v>
      </c>
      <c r="H530" s="5" t="s">
        <v>21</v>
      </c>
      <c r="I530" s="5" t="s">
        <v>18</v>
      </c>
      <c r="J530" s="5" t="s">
        <v>10</v>
      </c>
      <c r="K530" s="5">
        <v>23</v>
      </c>
      <c r="L530" s="5">
        <v>50</v>
      </c>
      <c r="M530" s="5">
        <v>1250</v>
      </c>
      <c r="N530" s="5" t="s">
        <v>171</v>
      </c>
      <c r="O530" s="6" t="s">
        <v>81</v>
      </c>
      <c r="P530" s="6" t="s">
        <v>420</v>
      </c>
      <c r="Q530" s="6"/>
      <c r="R530" s="6"/>
      <c r="S530" s="6">
        <v>17</v>
      </c>
      <c r="T530" s="6">
        <v>11</v>
      </c>
      <c r="U530" s="6">
        <v>1251</v>
      </c>
      <c r="V530" s="6">
        <v>25.56</v>
      </c>
      <c r="W530" s="6">
        <v>13</v>
      </c>
      <c r="X530" s="6">
        <v>239</v>
      </c>
      <c r="Y530" s="6">
        <v>629</v>
      </c>
      <c r="Z530" s="6">
        <v>324</v>
      </c>
      <c r="AA530" s="6">
        <v>46</v>
      </c>
      <c r="AB530" s="6">
        <v>0</v>
      </c>
      <c r="AC530" s="7">
        <v>59</v>
      </c>
      <c r="AD530" s="7" t="s">
        <v>52</v>
      </c>
      <c r="AE530" s="7">
        <v>25.8</v>
      </c>
      <c r="AF530" s="76">
        <v>218.2</v>
      </c>
      <c r="AG530" s="7">
        <v>35.5</v>
      </c>
      <c r="AH530" s="7">
        <v>45.51</v>
      </c>
      <c r="AI530" s="7">
        <v>49.9</v>
      </c>
      <c r="AJ530" s="9">
        <v>385.622798713968</v>
      </c>
      <c r="AK530" s="9">
        <v>390.79196584784199</v>
      </c>
      <c r="AL530" s="9">
        <v>445.98171372967198</v>
      </c>
      <c r="AM530" s="9" t="s">
        <v>169</v>
      </c>
      <c r="AN530" s="9" t="s">
        <v>169</v>
      </c>
      <c r="AO530" s="9" t="s">
        <v>169</v>
      </c>
      <c r="AP530" s="9" t="s">
        <v>169</v>
      </c>
      <c r="AQ530" s="9" t="s">
        <v>169</v>
      </c>
      <c r="AR530" s="9" t="s">
        <v>169</v>
      </c>
      <c r="AS530" s="73" t="s">
        <v>169</v>
      </c>
      <c r="AT530" s="8" t="s">
        <v>169</v>
      </c>
      <c r="AU530" s="10" t="s">
        <v>169</v>
      </c>
      <c r="AV530" s="10">
        <v>0</v>
      </c>
      <c r="AW530" s="8"/>
      <c r="AX530" s="10" t="s">
        <v>169</v>
      </c>
      <c r="AY530" s="10"/>
      <c r="AZ530" s="10"/>
      <c r="BA530" s="10"/>
      <c r="BB530" s="8"/>
      <c r="BC530" s="8"/>
      <c r="BD530" s="8"/>
      <c r="BE530" s="8"/>
      <c r="BF530" s="12">
        <v>0.46</v>
      </c>
      <c r="BG530" s="13">
        <v>357.30568298308901</v>
      </c>
      <c r="BH530" s="96" t="str">
        <f>+VLOOKUP(G530,Liste!$A$7:$G$50,3,FALSE)</f>
        <v>Pin Maritime</v>
      </c>
      <c r="BI530" s="96" t="str">
        <f>+VLOOKUP(H530,Liste!$B$7:$G$50,5,FALSE)</f>
        <v>GS Pineraies des plaines du Centre et du Nord Ouest</v>
      </c>
      <c r="BJ530" s="135">
        <f t="shared" si="167"/>
        <v>59</v>
      </c>
      <c r="BK530" s="135" t="str">
        <f t="shared" si="169"/>
        <v>Pin Maritime_F2_Classique_GS Pineraies des plaines du Centre et du Nord Ouest_59_</v>
      </c>
      <c r="BL530" s="322"/>
      <c r="BM530" s="13">
        <v>88.574910141995801</v>
      </c>
      <c r="BN530" s="13">
        <v>445.880593125085</v>
      </c>
      <c r="BO530" s="13" t="s">
        <v>169</v>
      </c>
      <c r="BP530" s="13">
        <v>243.14590308576999</v>
      </c>
      <c r="BQ530" s="13" t="s">
        <v>169</v>
      </c>
      <c r="BT530" s="298" t="str">
        <f>+VLOOKUP(G530,Liste!$A$7:$H$50,8,FALSE)</f>
        <v>Résineux</v>
      </c>
      <c r="BU530" s="298">
        <f t="shared" si="170"/>
        <v>0</v>
      </c>
      <c r="BV530" s="300">
        <f t="shared" si="171"/>
        <v>1</v>
      </c>
      <c r="BW530" s="321">
        <v>0</v>
      </c>
      <c r="BX530" s="298">
        <f t="shared" si="172"/>
        <v>0.43</v>
      </c>
      <c r="BY530">
        <f t="shared" si="173"/>
        <v>0</v>
      </c>
      <c r="BZ530" s="304">
        <f t="shared" si="174"/>
        <v>0</v>
      </c>
      <c r="CB530" s="299">
        <v>0.6</v>
      </c>
      <c r="CC530" s="299">
        <v>0.4</v>
      </c>
      <c r="CD530">
        <f t="shared" si="175"/>
        <v>0</v>
      </c>
      <c r="CE530">
        <f t="shared" si="176"/>
        <v>0</v>
      </c>
      <c r="CF530">
        <f t="shared" si="177"/>
        <v>0</v>
      </c>
      <c r="CG530">
        <f t="shared" si="178"/>
        <v>0</v>
      </c>
      <c r="CH530">
        <f t="shared" si="179"/>
        <v>0</v>
      </c>
      <c r="CI530">
        <f t="shared" si="180"/>
        <v>0</v>
      </c>
      <c r="CJ530">
        <f t="shared" si="181"/>
        <v>0</v>
      </c>
      <c r="CK530">
        <f t="shared" si="182"/>
        <v>0</v>
      </c>
      <c r="CL530">
        <f t="shared" si="183"/>
        <v>0</v>
      </c>
      <c r="CM530">
        <f t="shared" si="185"/>
        <v>0</v>
      </c>
      <c r="CN530">
        <f t="shared" si="184"/>
        <v>0</v>
      </c>
      <c r="CO530">
        <f t="shared" si="168"/>
        <v>0</v>
      </c>
    </row>
    <row r="531" spans="1:93" s="12" customFormat="1" ht="14.65" customHeight="1" x14ac:dyDescent="0.25">
      <c r="A531" s="4">
        <v>2021</v>
      </c>
      <c r="B531" s="4"/>
      <c r="C531" s="4" t="s">
        <v>418</v>
      </c>
      <c r="D531" s="4" t="s">
        <v>65</v>
      </c>
      <c r="E531" s="4"/>
      <c r="F531" s="4" t="s">
        <v>90</v>
      </c>
      <c r="G531" s="5" t="s">
        <v>419</v>
      </c>
      <c r="H531" s="5" t="s">
        <v>21</v>
      </c>
      <c r="I531" s="5" t="s">
        <v>18</v>
      </c>
      <c r="J531" s="5" t="s">
        <v>10</v>
      </c>
      <c r="K531" s="5">
        <v>23</v>
      </c>
      <c r="L531" s="5">
        <v>50</v>
      </c>
      <c r="M531" s="5">
        <v>1250</v>
      </c>
      <c r="N531" s="5" t="s">
        <v>171</v>
      </c>
      <c r="O531" s="6" t="s">
        <v>81</v>
      </c>
      <c r="P531" s="6" t="s">
        <v>420</v>
      </c>
      <c r="Q531" s="6"/>
      <c r="R531" s="6"/>
      <c r="S531" s="6">
        <v>17</v>
      </c>
      <c r="T531" s="6">
        <v>11</v>
      </c>
      <c r="U531" s="6">
        <v>1251</v>
      </c>
      <c r="V531" s="6">
        <v>25.56</v>
      </c>
      <c r="W531" s="6">
        <v>13</v>
      </c>
      <c r="X531" s="6">
        <v>239</v>
      </c>
      <c r="Y531" s="6">
        <v>629</v>
      </c>
      <c r="Z531" s="6">
        <v>324</v>
      </c>
      <c r="AA531" s="6">
        <v>46</v>
      </c>
      <c r="AB531" s="6">
        <v>0</v>
      </c>
      <c r="AC531" s="7">
        <v>60</v>
      </c>
      <c r="AD531" s="7" t="s">
        <v>52</v>
      </c>
      <c r="AE531" s="7">
        <v>25.97</v>
      </c>
      <c r="AF531" s="76">
        <v>218.2</v>
      </c>
      <c r="AG531" s="7">
        <v>36.33</v>
      </c>
      <c r="AH531" s="7">
        <v>46.04</v>
      </c>
      <c r="AI531" s="7">
        <v>50.54</v>
      </c>
      <c r="AJ531" s="9">
        <v>397.55603582321203</v>
      </c>
      <c r="AK531" s="9">
        <v>402.90791789669203</v>
      </c>
      <c r="AL531" s="9">
        <v>459.54503984553099</v>
      </c>
      <c r="AM531" s="9">
        <v>83.311394488586203</v>
      </c>
      <c r="AN531" s="9">
        <v>1.3885232414764399</v>
      </c>
      <c r="AO531" s="9" t="s">
        <v>169</v>
      </c>
      <c r="AP531" s="9">
        <v>894.595350096895</v>
      </c>
      <c r="AQ531" s="9">
        <v>14.909922501614901</v>
      </c>
      <c r="AR531" s="9" t="s">
        <v>169</v>
      </c>
      <c r="AS531" s="73" t="s">
        <v>169</v>
      </c>
      <c r="AT531" s="8" t="s">
        <v>169</v>
      </c>
      <c r="AU531" s="10" t="s">
        <v>169</v>
      </c>
      <c r="AV531" s="10">
        <v>0</v>
      </c>
      <c r="AW531" s="8"/>
      <c r="AX531" s="10" t="s">
        <v>169</v>
      </c>
      <c r="AY531" s="10"/>
      <c r="AZ531" s="10"/>
      <c r="BA531" s="10"/>
      <c r="BB531" s="8"/>
      <c r="BC531" s="8"/>
      <c r="BD531" s="8"/>
      <c r="BE531" s="8"/>
      <c r="BF531" s="12">
        <v>0.46</v>
      </c>
      <c r="BG531" s="13">
        <v>368.17216775624502</v>
      </c>
      <c r="BH531" s="96" t="str">
        <f>+VLOOKUP(G531,Liste!$A$7:$G$50,3,FALSE)</f>
        <v>Pin Maritime</v>
      </c>
      <c r="BI531" s="96" t="str">
        <f>+VLOOKUP(H531,Liste!$B$7:$G$50,5,FALSE)</f>
        <v>GS Pineraies des plaines du Centre et du Nord Ouest</v>
      </c>
      <c r="BJ531" s="135">
        <f t="shared" si="167"/>
        <v>60</v>
      </c>
      <c r="BK531" s="135" t="str">
        <f t="shared" si="169"/>
        <v>Pin Maritime_F2_Classique_GS Pineraies des plaines du Centre et du Nord Ouest_60_</v>
      </c>
      <c r="BL531" s="322"/>
      <c r="BM531" s="13">
        <v>90.983579512518901</v>
      </c>
      <c r="BN531" s="13">
        <v>459.155747268764</v>
      </c>
      <c r="BO531" s="13" t="s">
        <v>169</v>
      </c>
      <c r="BP531" s="13">
        <v>243.14590308576999</v>
      </c>
      <c r="BQ531" s="13" t="s">
        <v>169</v>
      </c>
      <c r="BT531" s="298" t="str">
        <f>+VLOOKUP(G531,Liste!$A$7:$H$50,8,FALSE)</f>
        <v>Résineux</v>
      </c>
      <c r="BU531" s="298">
        <f t="shared" si="170"/>
        <v>0</v>
      </c>
      <c r="BV531" s="300">
        <f t="shared" si="171"/>
        <v>1</v>
      </c>
      <c r="BW531" s="321">
        <v>0</v>
      </c>
      <c r="BX531" s="298">
        <f t="shared" si="172"/>
        <v>0.43</v>
      </c>
      <c r="BY531">
        <f t="shared" si="173"/>
        <v>0</v>
      </c>
      <c r="BZ531" s="304">
        <f t="shared" si="174"/>
        <v>0</v>
      </c>
      <c r="CB531" s="299">
        <v>0.6</v>
      </c>
      <c r="CC531" s="299">
        <v>0.4</v>
      </c>
      <c r="CD531">
        <f t="shared" si="175"/>
        <v>0</v>
      </c>
      <c r="CE531">
        <f t="shared" si="176"/>
        <v>0</v>
      </c>
      <c r="CF531">
        <f t="shared" si="177"/>
        <v>0</v>
      </c>
      <c r="CG531">
        <f t="shared" si="178"/>
        <v>0</v>
      </c>
      <c r="CH531">
        <f t="shared" si="179"/>
        <v>0</v>
      </c>
      <c r="CI531">
        <f t="shared" si="180"/>
        <v>0</v>
      </c>
      <c r="CJ531">
        <f t="shared" si="181"/>
        <v>0</v>
      </c>
      <c r="CK531">
        <f t="shared" si="182"/>
        <v>0</v>
      </c>
      <c r="CL531">
        <f t="shared" si="183"/>
        <v>0</v>
      </c>
      <c r="CM531">
        <f t="shared" si="185"/>
        <v>0</v>
      </c>
      <c r="CN531">
        <f t="shared" si="184"/>
        <v>0</v>
      </c>
      <c r="CO531">
        <f t="shared" si="168"/>
        <v>0</v>
      </c>
    </row>
    <row r="532" spans="1:93" s="12" customFormat="1" ht="14.65" customHeight="1" x14ac:dyDescent="0.25">
      <c r="A532" s="4">
        <v>2021</v>
      </c>
      <c r="B532" s="4"/>
      <c r="C532" s="4" t="s">
        <v>418</v>
      </c>
      <c r="D532" s="4" t="s">
        <v>65</v>
      </c>
      <c r="E532" s="4"/>
      <c r="F532" s="4" t="s">
        <v>90</v>
      </c>
      <c r="G532" s="5" t="s">
        <v>419</v>
      </c>
      <c r="H532" s="5" t="s">
        <v>21</v>
      </c>
      <c r="I532" s="5" t="s">
        <v>18</v>
      </c>
      <c r="J532" s="5" t="s">
        <v>10</v>
      </c>
      <c r="K532" s="5">
        <v>23</v>
      </c>
      <c r="L532" s="5">
        <v>50</v>
      </c>
      <c r="M532" s="5">
        <v>1250</v>
      </c>
      <c r="N532" s="5" t="s">
        <v>171</v>
      </c>
      <c r="O532" s="6" t="s">
        <v>81</v>
      </c>
      <c r="P532" s="6" t="s">
        <v>420</v>
      </c>
      <c r="Q532" s="6"/>
      <c r="R532" s="6"/>
      <c r="S532" s="6">
        <v>17</v>
      </c>
      <c r="T532" s="6">
        <v>11</v>
      </c>
      <c r="U532" s="6">
        <v>1251</v>
      </c>
      <c r="V532" s="6">
        <v>25.56</v>
      </c>
      <c r="W532" s="6">
        <v>13</v>
      </c>
      <c r="X532" s="6">
        <v>239</v>
      </c>
      <c r="Y532" s="6">
        <v>629</v>
      </c>
      <c r="Z532" s="6">
        <v>324</v>
      </c>
      <c r="AA532" s="6">
        <v>46</v>
      </c>
      <c r="AB532" s="6">
        <v>0</v>
      </c>
      <c r="AC532" s="7">
        <v>60</v>
      </c>
      <c r="AD532" s="7" t="s">
        <v>53</v>
      </c>
      <c r="AE532" s="7">
        <v>25.97</v>
      </c>
      <c r="AF532" s="76">
        <v>0</v>
      </c>
      <c r="AG532" s="7">
        <v>0</v>
      </c>
      <c r="AH532" s="7">
        <v>0</v>
      </c>
      <c r="AI532" s="7">
        <v>0</v>
      </c>
      <c r="AJ532" s="9">
        <v>0</v>
      </c>
      <c r="AK532" s="9">
        <v>0</v>
      </c>
      <c r="AL532" s="9">
        <v>0</v>
      </c>
      <c r="AM532" s="9">
        <v>83.311394488586203</v>
      </c>
      <c r="AN532" s="9">
        <v>1.3885232414764399</v>
      </c>
      <c r="AO532" s="9" t="s">
        <v>169</v>
      </c>
      <c r="AP532" s="9">
        <v>894.595350096895</v>
      </c>
      <c r="AQ532" s="9">
        <v>14.909922501614901</v>
      </c>
      <c r="AR532" s="9" t="s">
        <v>169</v>
      </c>
      <c r="AS532" s="73">
        <v>218.2</v>
      </c>
      <c r="AT532" s="8">
        <v>36.33</v>
      </c>
      <c r="AU532" s="10">
        <v>46.042657790348123</v>
      </c>
      <c r="AV532" s="10">
        <v>397.55603582321203</v>
      </c>
      <c r="AW532" s="8">
        <v>1</v>
      </c>
      <c r="AX532" s="10">
        <v>1.8219799991897894</v>
      </c>
      <c r="AY532" s="10"/>
      <c r="AZ532" s="10"/>
      <c r="BA532" s="10"/>
      <c r="BB532" s="8"/>
      <c r="BC532" s="8"/>
      <c r="BD532" s="8"/>
      <c r="BE532" s="8"/>
      <c r="BF532" s="12">
        <v>0.46</v>
      </c>
      <c r="BG532" s="13">
        <v>0</v>
      </c>
      <c r="BH532" s="96" t="str">
        <f>+VLOOKUP(G532,Liste!$A$7:$G$50,3,FALSE)</f>
        <v>Pin Maritime</v>
      </c>
      <c r="BI532" s="96" t="str">
        <f>+VLOOKUP(H532,Liste!$B$7:$G$50,5,FALSE)</f>
        <v>GS Pineraies des plaines du Centre et du Nord Ouest</v>
      </c>
      <c r="BJ532" s="135">
        <f t="shared" si="167"/>
        <v>60</v>
      </c>
      <c r="BK532" s="135" t="str">
        <f t="shared" si="169"/>
        <v>Pin Maritime_F2_Classique_GS Pineraies des plaines du Centre et du Nord Ouest_60_</v>
      </c>
      <c r="BL532" s="322"/>
      <c r="BM532" s="13">
        <v>0</v>
      </c>
      <c r="BN532" s="13">
        <v>0</v>
      </c>
      <c r="BO532" s="13">
        <v>459.155747268764</v>
      </c>
      <c r="BP532" s="13">
        <v>243.14590308576999</v>
      </c>
      <c r="BQ532" s="13" t="s">
        <v>169</v>
      </c>
      <c r="BT532" s="298" t="str">
        <f>+VLOOKUP(G532,Liste!$A$7:$H$50,8,FALSE)</f>
        <v>Résineux</v>
      </c>
      <c r="BU532" s="298">
        <f t="shared" si="170"/>
        <v>0</v>
      </c>
      <c r="BV532" s="300">
        <f t="shared" si="171"/>
        <v>1</v>
      </c>
      <c r="BW532" s="321">
        <v>0</v>
      </c>
      <c r="BX532" s="298">
        <f t="shared" si="172"/>
        <v>0.43</v>
      </c>
      <c r="BY532">
        <f t="shared" si="173"/>
        <v>0</v>
      </c>
      <c r="BZ532" s="304">
        <f t="shared" si="174"/>
        <v>0</v>
      </c>
      <c r="CB532" s="299">
        <v>0.6</v>
      </c>
      <c r="CC532" s="299">
        <v>0.4</v>
      </c>
      <c r="CD532">
        <f t="shared" si="175"/>
        <v>0</v>
      </c>
      <c r="CE532">
        <f t="shared" si="176"/>
        <v>0</v>
      </c>
      <c r="CF532">
        <f t="shared" si="177"/>
        <v>0</v>
      </c>
      <c r="CG532">
        <f t="shared" si="178"/>
        <v>0</v>
      </c>
      <c r="CH532">
        <f t="shared" si="179"/>
        <v>0</v>
      </c>
      <c r="CI532">
        <f t="shared" si="180"/>
        <v>0</v>
      </c>
      <c r="CJ532">
        <f t="shared" si="181"/>
        <v>0</v>
      </c>
      <c r="CK532">
        <f t="shared" si="182"/>
        <v>0</v>
      </c>
      <c r="CL532">
        <f t="shared" si="183"/>
        <v>0</v>
      </c>
      <c r="CM532">
        <f t="shared" si="185"/>
        <v>0</v>
      </c>
      <c r="CN532">
        <f t="shared" si="184"/>
        <v>0</v>
      </c>
      <c r="CO532">
        <f t="shared" si="168"/>
        <v>0</v>
      </c>
    </row>
    <row r="533" spans="1:93" s="12" customFormat="1" ht="14.65" customHeight="1" x14ac:dyDescent="0.25">
      <c r="A533" s="4">
        <v>2021</v>
      </c>
      <c r="B533" s="4"/>
      <c r="C533" s="4" t="s">
        <v>418</v>
      </c>
      <c r="D533" s="4" t="s">
        <v>65</v>
      </c>
      <c r="E533" s="4"/>
      <c r="F533" s="4" t="s">
        <v>90</v>
      </c>
      <c r="G533" s="5" t="s">
        <v>419</v>
      </c>
      <c r="H533" s="5" t="s">
        <v>21</v>
      </c>
      <c r="I533" s="5" t="s">
        <v>18</v>
      </c>
      <c r="J533" s="5" t="s">
        <v>9</v>
      </c>
      <c r="K533" s="5">
        <v>27.5</v>
      </c>
      <c r="L533" s="5">
        <v>55</v>
      </c>
      <c r="M533" s="5">
        <v>1250</v>
      </c>
      <c r="N533" s="5" t="s">
        <v>171</v>
      </c>
      <c r="O533" s="6" t="s">
        <v>81</v>
      </c>
      <c r="P533" s="6" t="s">
        <v>420</v>
      </c>
      <c r="Q533" s="6"/>
      <c r="R533" s="6"/>
      <c r="S533" s="6">
        <v>14</v>
      </c>
      <c r="T533" s="6">
        <v>11</v>
      </c>
      <c r="U533" s="6">
        <v>1251</v>
      </c>
      <c r="V533" s="6">
        <v>25.56</v>
      </c>
      <c r="W533" s="6">
        <v>13</v>
      </c>
      <c r="X533" s="6">
        <v>239</v>
      </c>
      <c r="Y533" s="6">
        <v>629</v>
      </c>
      <c r="Z533" s="6">
        <v>324</v>
      </c>
      <c r="AA533" s="6">
        <v>46</v>
      </c>
      <c r="AB533" s="6">
        <v>0</v>
      </c>
      <c r="AC533" s="7">
        <v>14</v>
      </c>
      <c r="AD533" s="7" t="s">
        <v>52</v>
      </c>
      <c r="AE533" s="7">
        <v>10.99</v>
      </c>
      <c r="AF533" s="7">
        <v>1251</v>
      </c>
      <c r="AG533" s="7">
        <v>25.56</v>
      </c>
      <c r="AH533" s="7">
        <v>16.13</v>
      </c>
      <c r="AI533" s="7">
        <v>22.72</v>
      </c>
      <c r="AJ533" s="9">
        <v>122.235609399978</v>
      </c>
      <c r="AK533" s="9">
        <v>123.553121331526</v>
      </c>
      <c r="AL533" s="9">
        <v>164.228010452002</v>
      </c>
      <c r="AM533" s="9">
        <v>25.564238979688898</v>
      </c>
      <c r="AN533" s="9">
        <v>1.82601706997778</v>
      </c>
      <c r="AO533" s="9">
        <v>2.4809688749586001</v>
      </c>
      <c r="AP533" s="9">
        <v>164.228010452002</v>
      </c>
      <c r="AQ533" s="9">
        <v>11.730572175142999</v>
      </c>
      <c r="AR533" s="9">
        <v>23.947510234301799</v>
      </c>
      <c r="AS533" s="8" t="s">
        <v>169</v>
      </c>
      <c r="AT533" s="8" t="s">
        <v>169</v>
      </c>
      <c r="AU533" s="10" t="s">
        <v>169</v>
      </c>
      <c r="AV533" s="10">
        <v>0</v>
      </c>
      <c r="AW533" s="8"/>
      <c r="AX533" s="8"/>
      <c r="AY533" s="8"/>
      <c r="AZ533" s="8"/>
      <c r="BA533" s="8"/>
      <c r="BB533" s="8"/>
      <c r="BC533" s="8"/>
      <c r="BD533" s="8"/>
      <c r="BE533" s="8"/>
      <c r="BF533" s="12">
        <v>0.46</v>
      </c>
      <c r="BG533" s="13">
        <v>131.574007707129</v>
      </c>
      <c r="BH533" s="96" t="str">
        <f>+VLOOKUP(G533,Liste!$A$7:$G$50,3,FALSE)</f>
        <v>Pin Maritime</v>
      </c>
      <c r="BI533" s="96" t="str">
        <f>+VLOOKUP(H533,Liste!$B$7:$G$50,5,FALSE)</f>
        <v>GS Pineraies des plaines du Centre et du Nord Ouest</v>
      </c>
      <c r="BJ533" s="135">
        <f t="shared" si="167"/>
        <v>14</v>
      </c>
      <c r="BK533" s="135" t="str">
        <f t="shared" si="169"/>
        <v>Pin Maritime_F1_Classique_GS Pineraies des plaines du Centre et du Nord Ouest_14_</v>
      </c>
      <c r="BL533" s="322"/>
      <c r="BM533" s="13">
        <v>36.652119923360701</v>
      </c>
      <c r="BN533" s="13">
        <v>168.22612763049</v>
      </c>
      <c r="BP533" s="13">
        <v>298.10759386198703</v>
      </c>
      <c r="BQ533" s="13">
        <v>23.747812378467302</v>
      </c>
      <c r="BT533" s="298" t="str">
        <f>+VLOOKUP(G533,Liste!$A$7:$H$50,8,FALSE)</f>
        <v>Résineux</v>
      </c>
      <c r="BU533" s="298">
        <f t="shared" si="170"/>
        <v>0</v>
      </c>
      <c r="BV533" s="300">
        <f t="shared" si="171"/>
        <v>1</v>
      </c>
      <c r="BW533" s="321">
        <v>0</v>
      </c>
      <c r="BX533" s="298">
        <f t="shared" si="172"/>
        <v>0.43</v>
      </c>
      <c r="BY533">
        <f t="shared" si="173"/>
        <v>0</v>
      </c>
      <c r="BZ533" s="304">
        <f t="shared" si="174"/>
        <v>0</v>
      </c>
      <c r="CB533" s="299">
        <v>0.6</v>
      </c>
      <c r="CC533" s="299">
        <v>0.4</v>
      </c>
      <c r="CD533">
        <f t="shared" si="175"/>
        <v>0</v>
      </c>
      <c r="CE533">
        <f t="shared" si="176"/>
        <v>0</v>
      </c>
      <c r="CF533">
        <f t="shared" si="177"/>
        <v>0</v>
      </c>
      <c r="CG533">
        <f t="shared" si="178"/>
        <v>0</v>
      </c>
      <c r="CH533">
        <f t="shared" si="179"/>
        <v>0</v>
      </c>
      <c r="CI533">
        <f t="shared" si="180"/>
        <v>0</v>
      </c>
      <c r="CJ533">
        <f t="shared" si="181"/>
        <v>0</v>
      </c>
      <c r="CK533">
        <f t="shared" si="182"/>
        <v>0</v>
      </c>
      <c r="CL533">
        <f t="shared" si="183"/>
        <v>0</v>
      </c>
      <c r="CM533">
        <f t="shared" si="185"/>
        <v>0</v>
      </c>
      <c r="CN533">
        <f t="shared" si="184"/>
        <v>0</v>
      </c>
      <c r="CO533">
        <f t="shared" si="168"/>
        <v>0</v>
      </c>
    </row>
    <row r="534" spans="1:93" s="12" customFormat="1" ht="14.65" customHeight="1" x14ac:dyDescent="0.25">
      <c r="A534" s="4">
        <v>2021</v>
      </c>
      <c r="B534" s="4"/>
      <c r="C534" s="4" t="s">
        <v>418</v>
      </c>
      <c r="D534" s="4" t="s">
        <v>65</v>
      </c>
      <c r="E534" s="4"/>
      <c r="F534" s="4" t="s">
        <v>90</v>
      </c>
      <c r="G534" s="5" t="s">
        <v>419</v>
      </c>
      <c r="H534" s="5" t="s">
        <v>21</v>
      </c>
      <c r="I534" s="5" t="s">
        <v>18</v>
      </c>
      <c r="J534" s="5" t="s">
        <v>9</v>
      </c>
      <c r="K534" s="5">
        <v>27.5</v>
      </c>
      <c r="L534" s="5">
        <v>55</v>
      </c>
      <c r="M534" s="5">
        <v>1250</v>
      </c>
      <c r="N534" s="5" t="s">
        <v>171</v>
      </c>
      <c r="O534" s="6" t="s">
        <v>81</v>
      </c>
      <c r="P534" s="6" t="s">
        <v>420</v>
      </c>
      <c r="Q534" s="6"/>
      <c r="R534" s="6"/>
      <c r="S534" s="6">
        <v>14</v>
      </c>
      <c r="T534" s="6">
        <v>11</v>
      </c>
      <c r="U534" s="6">
        <v>1251</v>
      </c>
      <c r="V534" s="6">
        <v>25.56</v>
      </c>
      <c r="W534" s="6">
        <v>13</v>
      </c>
      <c r="X534" s="6">
        <v>239</v>
      </c>
      <c r="Y534" s="6">
        <v>629</v>
      </c>
      <c r="Z534" s="6">
        <v>324</v>
      </c>
      <c r="AA534" s="6">
        <v>46</v>
      </c>
      <c r="AB534" s="6">
        <v>0</v>
      </c>
      <c r="AC534" s="7">
        <v>14</v>
      </c>
      <c r="AD534" s="7" t="s">
        <v>53</v>
      </c>
      <c r="AE534" s="7">
        <v>10.8</v>
      </c>
      <c r="AF534" s="7">
        <v>875</v>
      </c>
      <c r="AG534" s="7">
        <v>17.68</v>
      </c>
      <c r="AH534" s="7">
        <v>16.04</v>
      </c>
      <c r="AI534" s="7">
        <v>21.84</v>
      </c>
      <c r="AJ534" s="9">
        <v>84.1456048499426</v>
      </c>
      <c r="AK534" s="9">
        <v>85.007606961068106</v>
      </c>
      <c r="AL534" s="9">
        <v>112.902738379971</v>
      </c>
      <c r="AM534" s="9">
        <v>25.564238979688898</v>
      </c>
      <c r="AN534" s="9">
        <v>1.82601706997778</v>
      </c>
      <c r="AO534" s="9">
        <v>2.4809688749586001</v>
      </c>
      <c r="AP534" s="9">
        <v>164.228010452002</v>
      </c>
      <c r="AQ534" s="9">
        <v>11.730572175142999</v>
      </c>
      <c r="AR534" s="9">
        <v>23.947510234301799</v>
      </c>
      <c r="AS534" s="8">
        <v>376</v>
      </c>
      <c r="AT534" s="8">
        <v>7.879999999999999</v>
      </c>
      <c r="AU534" s="10">
        <v>16.33519208129475</v>
      </c>
      <c r="AV534" s="10">
        <v>38.090004550035403</v>
      </c>
      <c r="AW534" s="8">
        <v>1.03</v>
      </c>
      <c r="AX534" s="10">
        <v>0.10130320359051968</v>
      </c>
      <c r="AY534" s="10"/>
      <c r="AZ534" s="10"/>
      <c r="BA534" s="10"/>
      <c r="BB534" s="8"/>
      <c r="BC534" s="8"/>
      <c r="BD534" s="8"/>
      <c r="BE534" s="8"/>
      <c r="BF534" s="12">
        <v>0.46</v>
      </c>
      <c r="BG534" s="13">
        <v>90.453910565420202</v>
      </c>
      <c r="BH534" s="96" t="str">
        <f>+VLOOKUP(G534,Liste!$A$7:$G$50,3,FALSE)</f>
        <v>Pin Maritime</v>
      </c>
      <c r="BI534" s="96" t="str">
        <f>+VLOOKUP(H534,Liste!$B$7:$G$50,5,FALSE)</f>
        <v>GS Pineraies des plaines du Centre et du Nord Ouest</v>
      </c>
      <c r="BJ534" s="135">
        <f t="shared" si="167"/>
        <v>14</v>
      </c>
      <c r="BK534" s="135" t="str">
        <f t="shared" si="169"/>
        <v>Pin Maritime_F1_Classique_GS Pineraies des plaines du Centre et du Nord Ouest_14_</v>
      </c>
      <c r="BL534" s="322"/>
      <c r="BM534" s="13">
        <v>26.3208311782194</v>
      </c>
      <c r="BN534" s="13">
        <v>116.77474174364001</v>
      </c>
      <c r="BO534" s="13">
        <v>51.451385886849991</v>
      </c>
      <c r="BP534" s="13">
        <v>298.10759386198703</v>
      </c>
      <c r="BQ534" s="13">
        <v>23.747812378467302</v>
      </c>
      <c r="BT534" s="298" t="str">
        <f>+VLOOKUP(G534,Liste!$A$7:$H$50,8,FALSE)</f>
        <v>Résineux</v>
      </c>
      <c r="BU534" s="298">
        <f t="shared" si="170"/>
        <v>0</v>
      </c>
      <c r="BV534" s="300">
        <f t="shared" si="171"/>
        <v>1</v>
      </c>
      <c r="BW534" s="321">
        <v>0</v>
      </c>
      <c r="BX534" s="298">
        <f t="shared" si="172"/>
        <v>0.43</v>
      </c>
      <c r="BY534">
        <f t="shared" si="173"/>
        <v>16.378701956515222</v>
      </c>
      <c r="BZ534" s="304">
        <f t="shared" si="174"/>
        <v>16.378701956515222</v>
      </c>
      <c r="CB534" s="299">
        <v>0.6</v>
      </c>
      <c r="CC534" s="299">
        <v>0.4</v>
      </c>
      <c r="CD534">
        <f t="shared" si="175"/>
        <v>0</v>
      </c>
      <c r="CE534">
        <f t="shared" si="176"/>
        <v>22.854002730021239</v>
      </c>
      <c r="CF534">
        <f t="shared" si="177"/>
        <v>15.236001820014161</v>
      </c>
      <c r="CG534">
        <f t="shared" si="178"/>
        <v>0</v>
      </c>
      <c r="CH534">
        <f t="shared" si="179"/>
        <v>18.309865187202014</v>
      </c>
      <c r="CI534">
        <f t="shared" si="180"/>
        <v>12.206576791468013</v>
      </c>
      <c r="CJ534">
        <f t="shared" si="181"/>
        <v>0</v>
      </c>
      <c r="CK534">
        <f t="shared" si="182"/>
        <v>0</v>
      </c>
      <c r="CL534">
        <f t="shared" si="183"/>
        <v>0</v>
      </c>
      <c r="CM534">
        <f t="shared" si="185"/>
        <v>0</v>
      </c>
      <c r="CN534">
        <f t="shared" si="184"/>
        <v>0</v>
      </c>
      <c r="CO534">
        <f t="shared" si="168"/>
        <v>0</v>
      </c>
    </row>
    <row r="535" spans="1:93" s="12" customFormat="1" ht="14.65" customHeight="1" x14ac:dyDescent="0.25">
      <c r="A535" s="4">
        <v>2021</v>
      </c>
      <c r="B535" s="4"/>
      <c r="C535" s="4" t="s">
        <v>418</v>
      </c>
      <c r="D535" s="4" t="s">
        <v>65</v>
      </c>
      <c r="E535" s="4"/>
      <c r="F535" s="4" t="s">
        <v>90</v>
      </c>
      <c r="G535" s="5" t="s">
        <v>419</v>
      </c>
      <c r="H535" s="5" t="s">
        <v>21</v>
      </c>
      <c r="I535" s="5" t="s">
        <v>18</v>
      </c>
      <c r="J535" s="5" t="s">
        <v>9</v>
      </c>
      <c r="K535" s="5">
        <v>27.5</v>
      </c>
      <c r="L535" s="5">
        <v>55</v>
      </c>
      <c r="M535" s="5">
        <v>1250</v>
      </c>
      <c r="N535" s="5" t="s">
        <v>171</v>
      </c>
      <c r="O535" s="6" t="s">
        <v>81</v>
      </c>
      <c r="P535" s="6" t="s">
        <v>420</v>
      </c>
      <c r="Q535" s="6"/>
      <c r="R535" s="6"/>
      <c r="S535" s="6">
        <v>14</v>
      </c>
      <c r="T535" s="6">
        <v>11</v>
      </c>
      <c r="U535" s="6">
        <v>1251</v>
      </c>
      <c r="V535" s="6">
        <v>25.56</v>
      </c>
      <c r="W535" s="6">
        <v>13</v>
      </c>
      <c r="X535" s="6">
        <v>239</v>
      </c>
      <c r="Y535" s="6">
        <v>629</v>
      </c>
      <c r="Z535" s="6">
        <v>324</v>
      </c>
      <c r="AA535" s="6">
        <v>46</v>
      </c>
      <c r="AB535" s="6">
        <v>0</v>
      </c>
      <c r="AC535" s="7">
        <v>15</v>
      </c>
      <c r="AD535" s="7" t="s">
        <v>52</v>
      </c>
      <c r="AE535" s="7">
        <v>11.8</v>
      </c>
      <c r="AF535" s="7">
        <v>875</v>
      </c>
      <c r="AG535" s="7">
        <v>20.16</v>
      </c>
      <c r="AH535" s="7">
        <v>17.13</v>
      </c>
      <c r="AI535" s="7">
        <v>23.33</v>
      </c>
      <c r="AJ535" s="9">
        <v>106.667755021706</v>
      </c>
      <c r="AK535" s="9">
        <v>107.59045466651099</v>
      </c>
      <c r="AL535" s="9">
        <v>136.850248614273</v>
      </c>
      <c r="AM535" s="9" t="s">
        <v>169</v>
      </c>
      <c r="AN535" s="9" t="s">
        <v>169</v>
      </c>
      <c r="AO535" s="9" t="s">
        <v>169</v>
      </c>
      <c r="AP535" s="9" t="s">
        <v>169</v>
      </c>
      <c r="AQ535" s="9" t="s">
        <v>169</v>
      </c>
      <c r="AR535" s="9" t="s">
        <v>169</v>
      </c>
      <c r="AS535" s="8" t="s">
        <v>169</v>
      </c>
      <c r="AT535" s="8" t="s">
        <v>169</v>
      </c>
      <c r="AU535" s="10" t="s">
        <v>169</v>
      </c>
      <c r="AV535" s="10">
        <v>0</v>
      </c>
      <c r="AW535" s="8"/>
      <c r="AX535" s="10" t="s">
        <v>169</v>
      </c>
      <c r="AY535" s="10"/>
      <c r="AZ535" s="10"/>
      <c r="BA535" s="10"/>
      <c r="BB535" s="8"/>
      <c r="BC535" s="8"/>
      <c r="BD535" s="8"/>
      <c r="BE535" s="8"/>
      <c r="BF535" s="12">
        <v>0.46</v>
      </c>
      <c r="BG535" s="13">
        <v>109.639857514802</v>
      </c>
      <c r="BH535" s="96" t="str">
        <f>+VLOOKUP(G535,Liste!$A$7:$G$50,3,FALSE)</f>
        <v>Pin Maritime</v>
      </c>
      <c r="BI535" s="96" t="str">
        <f>+VLOOKUP(H535,Liste!$B$7:$G$50,5,FALSE)</f>
        <v>GS Pineraies des plaines du Centre et du Nord Ouest</v>
      </c>
      <c r="BJ535" s="135">
        <f t="shared" si="167"/>
        <v>15</v>
      </c>
      <c r="BK535" s="135" t="str">
        <f t="shared" si="169"/>
        <v>Pin Maritime_F1_Classique_GS Pineraies des plaines du Centre et du Nord Ouest_15_</v>
      </c>
      <c r="BL535" s="322"/>
      <c r="BM535" s="13">
        <v>31.0282161664706</v>
      </c>
      <c r="BN535" s="13">
        <v>140.66807368127201</v>
      </c>
      <c r="BO535" s="13" t="s">
        <v>169</v>
      </c>
      <c r="BP535" s="13">
        <v>298.10759386198703</v>
      </c>
      <c r="BQ535" s="13" t="s">
        <v>169</v>
      </c>
      <c r="BT535" s="298" t="str">
        <f>+VLOOKUP(G535,Liste!$A$7:$H$50,8,FALSE)</f>
        <v>Résineux</v>
      </c>
      <c r="BU535" s="298">
        <f t="shared" si="170"/>
        <v>0</v>
      </c>
      <c r="BV535" s="300">
        <f t="shared" si="171"/>
        <v>1</v>
      </c>
      <c r="BW535" s="321">
        <v>0</v>
      </c>
      <c r="BX535" s="298">
        <f t="shared" si="172"/>
        <v>0.43</v>
      </c>
      <c r="BY535">
        <f t="shared" si="173"/>
        <v>0</v>
      </c>
      <c r="BZ535" s="304">
        <f t="shared" si="174"/>
        <v>16.378701956515222</v>
      </c>
      <c r="CB535" s="299">
        <v>0.6</v>
      </c>
      <c r="CC535" s="299">
        <v>0.4</v>
      </c>
      <c r="CD535">
        <f t="shared" si="175"/>
        <v>0</v>
      </c>
      <c r="CE535">
        <f t="shared" si="176"/>
        <v>0</v>
      </c>
      <c r="CF535">
        <f t="shared" si="177"/>
        <v>0</v>
      </c>
      <c r="CG535">
        <f t="shared" si="178"/>
        <v>0</v>
      </c>
      <c r="CH535">
        <f t="shared" si="179"/>
        <v>0</v>
      </c>
      <c r="CI535">
        <f t="shared" si="180"/>
        <v>0</v>
      </c>
      <c r="CJ535">
        <f t="shared" si="181"/>
        <v>0</v>
      </c>
      <c r="CK535">
        <f t="shared" si="182"/>
        <v>18.058366262614442</v>
      </c>
      <c r="CL535">
        <f t="shared" si="183"/>
        <v>10.315914620783646</v>
      </c>
      <c r="CM535">
        <f t="shared" si="185"/>
        <v>28.374280883398086</v>
      </c>
      <c r="CN535">
        <f t="shared" si="184"/>
        <v>28.374280883398086</v>
      </c>
      <c r="CO535">
        <f t="shared" si="168"/>
        <v>0</v>
      </c>
    </row>
    <row r="536" spans="1:93" s="12" customFormat="1" ht="14.65" customHeight="1" x14ac:dyDescent="0.25">
      <c r="A536" s="4">
        <v>2021</v>
      </c>
      <c r="B536" s="4"/>
      <c r="C536" s="4" t="s">
        <v>418</v>
      </c>
      <c r="D536" s="4" t="s">
        <v>65</v>
      </c>
      <c r="E536" s="4"/>
      <c r="F536" s="4" t="s">
        <v>90</v>
      </c>
      <c r="G536" s="5" t="s">
        <v>419</v>
      </c>
      <c r="H536" s="5" t="s">
        <v>21</v>
      </c>
      <c r="I536" s="5" t="s">
        <v>18</v>
      </c>
      <c r="J536" s="5" t="s">
        <v>9</v>
      </c>
      <c r="K536" s="5">
        <v>27.5</v>
      </c>
      <c r="L536" s="5">
        <v>55</v>
      </c>
      <c r="M536" s="5">
        <v>1250</v>
      </c>
      <c r="N536" s="5" t="s">
        <v>171</v>
      </c>
      <c r="O536" s="6" t="s">
        <v>81</v>
      </c>
      <c r="P536" s="6" t="s">
        <v>420</v>
      </c>
      <c r="Q536" s="6"/>
      <c r="R536" s="6"/>
      <c r="S536" s="6">
        <v>14</v>
      </c>
      <c r="T536" s="6">
        <v>11</v>
      </c>
      <c r="U536" s="6">
        <v>1251</v>
      </c>
      <c r="V536" s="6">
        <v>25.56</v>
      </c>
      <c r="W536" s="6">
        <v>13</v>
      </c>
      <c r="X536" s="6">
        <v>239</v>
      </c>
      <c r="Y536" s="6">
        <v>629</v>
      </c>
      <c r="Z536" s="6">
        <v>324</v>
      </c>
      <c r="AA536" s="6">
        <v>46</v>
      </c>
      <c r="AB536" s="6">
        <v>0</v>
      </c>
      <c r="AC536" s="7">
        <v>16</v>
      </c>
      <c r="AD536" s="7" t="s">
        <v>52</v>
      </c>
      <c r="AE536" s="7">
        <v>12.59</v>
      </c>
      <c r="AF536" s="7">
        <v>875</v>
      </c>
      <c r="AG536" s="7">
        <v>22.65</v>
      </c>
      <c r="AH536" s="7">
        <v>18.149999999999999</v>
      </c>
      <c r="AI536" s="7">
        <v>24.76</v>
      </c>
      <c r="AJ536" s="9">
        <v>129.18990519347</v>
      </c>
      <c r="AK536" s="9">
        <v>130.17330237195401</v>
      </c>
      <c r="AL536" s="9">
        <v>160.797758848575</v>
      </c>
      <c r="AM536" s="9" t="s">
        <v>169</v>
      </c>
      <c r="AN536" s="9" t="s">
        <v>169</v>
      </c>
      <c r="AO536" s="9" t="s">
        <v>169</v>
      </c>
      <c r="AP536" s="9" t="s">
        <v>169</v>
      </c>
      <c r="AQ536" s="9" t="s">
        <v>169</v>
      </c>
      <c r="AR536" s="9" t="s">
        <v>169</v>
      </c>
      <c r="AS536" s="8" t="s">
        <v>169</v>
      </c>
      <c r="AT536" s="8" t="s">
        <v>169</v>
      </c>
      <c r="AU536" s="10" t="s">
        <v>169</v>
      </c>
      <c r="AV536" s="10">
        <v>0</v>
      </c>
      <c r="AW536" s="8"/>
      <c r="AX536" s="10" t="s">
        <v>169</v>
      </c>
      <c r="AY536" s="10"/>
      <c r="AZ536" s="10"/>
      <c r="BA536" s="10"/>
      <c r="BB536" s="8"/>
      <c r="BC536" s="8"/>
      <c r="BD536" s="8"/>
      <c r="BE536" s="8"/>
      <c r="BF536" s="12">
        <v>0.46</v>
      </c>
      <c r="BG536" s="13">
        <v>128.82580446418299</v>
      </c>
      <c r="BH536" s="96" t="str">
        <f>+VLOOKUP(G536,Liste!$A$7:$G$50,3,FALSE)</f>
        <v>Pin Maritime</v>
      </c>
      <c r="BI536" s="96" t="str">
        <f>+VLOOKUP(H536,Liste!$B$7:$G$50,5,FALSE)</f>
        <v>GS Pineraies des plaines du Centre et du Nord Ouest</v>
      </c>
      <c r="BJ536" s="135">
        <f t="shared" si="167"/>
        <v>16</v>
      </c>
      <c r="BK536" s="135" t="str">
        <f t="shared" si="169"/>
        <v>Pin Maritime_F1_Classique_GS Pineraies des plaines du Centre et du Nord Ouest_16_</v>
      </c>
      <c r="BL536" s="322"/>
      <c r="BM536" s="13">
        <v>35.735601154721799</v>
      </c>
      <c r="BN536" s="13">
        <v>164.56140561890501</v>
      </c>
      <c r="BO536" s="13" t="s">
        <v>169</v>
      </c>
      <c r="BP536" s="13">
        <v>298.10759386198703</v>
      </c>
      <c r="BQ536" s="13" t="s">
        <v>169</v>
      </c>
      <c r="BT536" s="298" t="str">
        <f>+VLOOKUP(G536,Liste!$A$7:$H$50,8,FALSE)</f>
        <v>Résineux</v>
      </c>
      <c r="BU536" s="298">
        <f t="shared" si="170"/>
        <v>0</v>
      </c>
      <c r="BV536" s="300">
        <f t="shared" si="171"/>
        <v>1</v>
      </c>
      <c r="BW536" s="321">
        <v>0</v>
      </c>
      <c r="BX536" s="298">
        <f t="shared" si="172"/>
        <v>0.43</v>
      </c>
      <c r="BY536">
        <f t="shared" si="173"/>
        <v>0</v>
      </c>
      <c r="BZ536" s="304">
        <f t="shared" si="174"/>
        <v>16.378701956515222</v>
      </c>
      <c r="CB536" s="299">
        <v>0.6</v>
      </c>
      <c r="CC536" s="299">
        <v>0.4</v>
      </c>
      <c r="CD536">
        <f t="shared" si="175"/>
        <v>0</v>
      </c>
      <c r="CE536">
        <f t="shared" si="176"/>
        <v>0</v>
      </c>
      <c r="CF536">
        <f t="shared" si="177"/>
        <v>0</v>
      </c>
      <c r="CG536">
        <f t="shared" si="178"/>
        <v>0</v>
      </c>
      <c r="CH536">
        <f t="shared" si="179"/>
        <v>0</v>
      </c>
      <c r="CI536">
        <f t="shared" si="180"/>
        <v>0</v>
      </c>
      <c r="CJ536">
        <f t="shared" si="181"/>
        <v>0</v>
      </c>
      <c r="CK536">
        <f t="shared" si="182"/>
        <v>17.564559287515042</v>
      </c>
      <c r="CL536">
        <f t="shared" si="183"/>
        <v>7.2944531824975689</v>
      </c>
      <c r="CM536">
        <f t="shared" si="185"/>
        <v>24.859012470012612</v>
      </c>
      <c r="CN536">
        <f t="shared" si="184"/>
        <v>53.233293353410701</v>
      </c>
      <c r="CO536">
        <f t="shared" si="168"/>
        <v>0</v>
      </c>
    </row>
    <row r="537" spans="1:93" s="12" customFormat="1" ht="14.65" customHeight="1" x14ac:dyDescent="0.25">
      <c r="A537" s="4">
        <v>2021</v>
      </c>
      <c r="B537" s="4"/>
      <c r="C537" s="4" t="s">
        <v>418</v>
      </c>
      <c r="D537" s="4" t="s">
        <v>65</v>
      </c>
      <c r="E537" s="4"/>
      <c r="F537" s="4" t="s">
        <v>90</v>
      </c>
      <c r="G537" s="5" t="s">
        <v>419</v>
      </c>
      <c r="H537" s="5" t="s">
        <v>21</v>
      </c>
      <c r="I537" s="5" t="s">
        <v>18</v>
      </c>
      <c r="J537" s="5" t="s">
        <v>9</v>
      </c>
      <c r="K537" s="5">
        <v>27.5</v>
      </c>
      <c r="L537" s="5">
        <v>55</v>
      </c>
      <c r="M537" s="5">
        <v>1250</v>
      </c>
      <c r="N537" s="5" t="s">
        <v>171</v>
      </c>
      <c r="O537" s="6" t="s">
        <v>81</v>
      </c>
      <c r="P537" s="6" t="s">
        <v>420</v>
      </c>
      <c r="Q537" s="6"/>
      <c r="R537" s="6"/>
      <c r="S537" s="6">
        <v>14</v>
      </c>
      <c r="T537" s="6">
        <v>11</v>
      </c>
      <c r="U537" s="6">
        <v>1251</v>
      </c>
      <c r="V537" s="6">
        <v>25.56</v>
      </c>
      <c r="W537" s="6">
        <v>13</v>
      </c>
      <c r="X537" s="6">
        <v>239</v>
      </c>
      <c r="Y537" s="6">
        <v>629</v>
      </c>
      <c r="Z537" s="6">
        <v>324</v>
      </c>
      <c r="AA537" s="6">
        <v>46</v>
      </c>
      <c r="AB537" s="6">
        <v>0</v>
      </c>
      <c r="AC537" s="7">
        <v>17</v>
      </c>
      <c r="AD537" s="7" t="s">
        <v>52</v>
      </c>
      <c r="AE537" s="7">
        <v>13.34</v>
      </c>
      <c r="AF537" s="7">
        <v>875</v>
      </c>
      <c r="AG537" s="7">
        <v>25.14</v>
      </c>
      <c r="AH537" s="7">
        <v>19.13</v>
      </c>
      <c r="AI537" s="7">
        <v>26.13</v>
      </c>
      <c r="AJ537" s="9">
        <v>151.712055365233</v>
      </c>
      <c r="AK537" s="9">
        <v>152.75615007739799</v>
      </c>
      <c r="AL537" s="9">
        <v>184.74526908287601</v>
      </c>
      <c r="AM537" s="9" t="s">
        <v>169</v>
      </c>
      <c r="AN537" s="9" t="s">
        <v>169</v>
      </c>
      <c r="AO537" s="9" t="s">
        <v>169</v>
      </c>
      <c r="AP537" s="9" t="s">
        <v>169</v>
      </c>
      <c r="AQ537" s="9" t="s">
        <v>169</v>
      </c>
      <c r="AR537" s="9" t="s">
        <v>169</v>
      </c>
      <c r="AS537" s="8" t="s">
        <v>169</v>
      </c>
      <c r="AT537" s="8" t="s">
        <v>169</v>
      </c>
      <c r="AU537" s="10" t="s">
        <v>169</v>
      </c>
      <c r="AV537" s="10">
        <v>0</v>
      </c>
      <c r="AW537" s="8"/>
      <c r="AX537" s="10" t="s">
        <v>169</v>
      </c>
      <c r="AY537" s="10"/>
      <c r="AZ537" s="10"/>
      <c r="BA537" s="10"/>
      <c r="BB537" s="8"/>
      <c r="BC537" s="8"/>
      <c r="BD537" s="8"/>
      <c r="BE537" s="8"/>
      <c r="BF537" s="12">
        <v>0.46</v>
      </c>
      <c r="BG537" s="13">
        <v>148.01175141356501</v>
      </c>
      <c r="BH537" s="96" t="str">
        <f>+VLOOKUP(G537,Liste!$A$7:$G$50,3,FALSE)</f>
        <v>Pin Maritime</v>
      </c>
      <c r="BI537" s="96" t="str">
        <f>+VLOOKUP(H537,Liste!$B$7:$G$50,5,FALSE)</f>
        <v>GS Pineraies des plaines du Centre et du Nord Ouest</v>
      </c>
      <c r="BJ537" s="135">
        <f t="shared" si="167"/>
        <v>17</v>
      </c>
      <c r="BK537" s="135" t="str">
        <f t="shared" si="169"/>
        <v>Pin Maritime_F1_Classique_GS Pineraies des plaines du Centre et du Nord Ouest_17_</v>
      </c>
      <c r="BL537" s="322"/>
      <c r="BM537" s="13">
        <v>40.442986142972998</v>
      </c>
      <c r="BN537" s="13">
        <v>188.45473755653799</v>
      </c>
      <c r="BO537" s="13" t="s">
        <v>169</v>
      </c>
      <c r="BP537" s="13">
        <v>298.10759386198703</v>
      </c>
      <c r="BQ537" s="13" t="s">
        <v>169</v>
      </c>
      <c r="BT537" s="298" t="str">
        <f>+VLOOKUP(G537,Liste!$A$7:$H$50,8,FALSE)</f>
        <v>Résineux</v>
      </c>
      <c r="BU537" s="298">
        <f t="shared" si="170"/>
        <v>0</v>
      </c>
      <c r="BV537" s="300">
        <f t="shared" si="171"/>
        <v>1</v>
      </c>
      <c r="BW537" s="321">
        <v>0</v>
      </c>
      <c r="BX537" s="298">
        <f t="shared" si="172"/>
        <v>0.43</v>
      </c>
      <c r="BY537">
        <f t="shared" si="173"/>
        <v>0</v>
      </c>
      <c r="BZ537" s="304">
        <f t="shared" si="174"/>
        <v>16.378701956515222</v>
      </c>
      <c r="CB537" s="299">
        <v>0.6</v>
      </c>
      <c r="CC537" s="299">
        <v>0.4</v>
      </c>
      <c r="CD537">
        <f t="shared" si="175"/>
        <v>0</v>
      </c>
      <c r="CE537">
        <f t="shared" si="176"/>
        <v>0</v>
      </c>
      <c r="CF537">
        <f t="shared" si="177"/>
        <v>0</v>
      </c>
      <c r="CG537">
        <f t="shared" si="178"/>
        <v>0</v>
      </c>
      <c r="CH537">
        <f t="shared" si="179"/>
        <v>0</v>
      </c>
      <c r="CI537">
        <f t="shared" si="180"/>
        <v>0</v>
      </c>
      <c r="CJ537">
        <f t="shared" si="181"/>
        <v>0</v>
      </c>
      <c r="CK537">
        <f t="shared" si="182"/>
        <v>17.084255490117915</v>
      </c>
      <c r="CL537">
        <f t="shared" si="183"/>
        <v>5.1579573103918239</v>
      </c>
      <c r="CM537">
        <f t="shared" si="185"/>
        <v>22.242212800509741</v>
      </c>
      <c r="CN537">
        <f t="shared" si="184"/>
        <v>75.475506153920435</v>
      </c>
      <c r="CO537">
        <f t="shared" si="168"/>
        <v>0</v>
      </c>
    </row>
    <row r="538" spans="1:93" s="12" customFormat="1" ht="14.65" customHeight="1" x14ac:dyDescent="0.25">
      <c r="A538" s="4">
        <v>2021</v>
      </c>
      <c r="B538" s="4"/>
      <c r="C538" s="4" t="s">
        <v>418</v>
      </c>
      <c r="D538" s="4" t="s">
        <v>65</v>
      </c>
      <c r="E538" s="4"/>
      <c r="F538" s="4" t="s">
        <v>90</v>
      </c>
      <c r="G538" s="5" t="s">
        <v>419</v>
      </c>
      <c r="H538" s="5" t="s">
        <v>21</v>
      </c>
      <c r="I538" s="5" t="s">
        <v>18</v>
      </c>
      <c r="J538" s="5" t="s">
        <v>9</v>
      </c>
      <c r="K538" s="5">
        <v>27.5</v>
      </c>
      <c r="L538" s="5">
        <v>55</v>
      </c>
      <c r="M538" s="5">
        <v>1250</v>
      </c>
      <c r="N538" s="5" t="s">
        <v>171</v>
      </c>
      <c r="O538" s="6" t="s">
        <v>81</v>
      </c>
      <c r="P538" s="6" t="s">
        <v>420</v>
      </c>
      <c r="Q538" s="6"/>
      <c r="R538" s="6"/>
      <c r="S538" s="6">
        <v>14</v>
      </c>
      <c r="T538" s="6">
        <v>11</v>
      </c>
      <c r="U538" s="6">
        <v>1251</v>
      </c>
      <c r="V538" s="6">
        <v>25.56</v>
      </c>
      <c r="W538" s="6">
        <v>13</v>
      </c>
      <c r="X538" s="6">
        <v>239</v>
      </c>
      <c r="Y538" s="6">
        <v>629</v>
      </c>
      <c r="Z538" s="6">
        <v>324</v>
      </c>
      <c r="AA538" s="6">
        <v>46</v>
      </c>
      <c r="AB538" s="6">
        <v>0</v>
      </c>
      <c r="AC538" s="7">
        <v>18</v>
      </c>
      <c r="AD538" s="7" t="s">
        <v>52</v>
      </c>
      <c r="AE538" s="7">
        <v>14.09</v>
      </c>
      <c r="AF538" s="7">
        <v>875</v>
      </c>
      <c r="AG538" s="7">
        <v>27.63</v>
      </c>
      <c r="AH538" s="7">
        <v>20.05</v>
      </c>
      <c r="AI538" s="7">
        <v>27.45</v>
      </c>
      <c r="AJ538" s="9">
        <v>174.234205536997</v>
      </c>
      <c r="AK538" s="9">
        <v>175.33899778284101</v>
      </c>
      <c r="AL538" s="9">
        <v>208.69277931717801</v>
      </c>
      <c r="AM538" s="9" t="s">
        <v>169</v>
      </c>
      <c r="AN538" s="9" t="s">
        <v>169</v>
      </c>
      <c r="AO538" s="9" t="s">
        <v>169</v>
      </c>
      <c r="AP538" s="9" t="s">
        <v>169</v>
      </c>
      <c r="AQ538" s="9" t="s">
        <v>169</v>
      </c>
      <c r="AR538" s="9" t="s">
        <v>169</v>
      </c>
      <c r="AS538" s="8" t="s">
        <v>169</v>
      </c>
      <c r="AT538" s="8" t="s">
        <v>169</v>
      </c>
      <c r="AU538" s="10" t="s">
        <v>169</v>
      </c>
      <c r="AV538" s="10">
        <v>0</v>
      </c>
      <c r="AW538" s="8"/>
      <c r="AX538" s="10" t="s">
        <v>169</v>
      </c>
      <c r="AY538" s="10"/>
      <c r="AZ538" s="10"/>
      <c r="BA538" s="10"/>
      <c r="BB538" s="8"/>
      <c r="BC538" s="8"/>
      <c r="BD538" s="8"/>
      <c r="BE538" s="8"/>
      <c r="BF538" s="12">
        <v>0.46</v>
      </c>
      <c r="BG538" s="13">
        <v>167.197698362946</v>
      </c>
      <c r="BH538" s="96" t="str">
        <f>+VLOOKUP(G538,Liste!$A$7:$G$50,3,FALSE)</f>
        <v>Pin Maritime</v>
      </c>
      <c r="BI538" s="96" t="str">
        <f>+VLOOKUP(H538,Liste!$B$7:$G$50,5,FALSE)</f>
        <v>GS Pineraies des plaines du Centre et du Nord Ouest</v>
      </c>
      <c r="BJ538" s="135">
        <f t="shared" si="167"/>
        <v>18</v>
      </c>
      <c r="BK538" s="135" t="str">
        <f t="shared" si="169"/>
        <v>Pin Maritime_F1_Classique_GS Pineraies des plaines du Centre et du Nord Ouest_18_</v>
      </c>
      <c r="BL538" s="322"/>
      <c r="BM538" s="13">
        <v>45.150371131224198</v>
      </c>
      <c r="BN538" s="13">
        <v>212.34806949417001</v>
      </c>
      <c r="BO538" s="13" t="s">
        <v>169</v>
      </c>
      <c r="BP538" s="13">
        <v>298.10759386198703</v>
      </c>
      <c r="BQ538" s="13" t="s">
        <v>169</v>
      </c>
      <c r="BT538" s="298" t="str">
        <f>+VLOOKUP(G538,Liste!$A$7:$H$50,8,FALSE)</f>
        <v>Résineux</v>
      </c>
      <c r="BU538" s="298">
        <f t="shared" si="170"/>
        <v>0</v>
      </c>
      <c r="BV538" s="300">
        <f t="shared" si="171"/>
        <v>1</v>
      </c>
      <c r="BW538" s="321">
        <v>0</v>
      </c>
      <c r="BX538" s="298">
        <f t="shared" si="172"/>
        <v>0.43</v>
      </c>
      <c r="BY538">
        <f t="shared" si="173"/>
        <v>0</v>
      </c>
      <c r="BZ538" s="304">
        <f t="shared" si="174"/>
        <v>16.378701956515222</v>
      </c>
      <c r="CB538" s="299">
        <v>0.6</v>
      </c>
      <c r="CC538" s="299">
        <v>0.4</v>
      </c>
      <c r="CD538">
        <f t="shared" si="175"/>
        <v>0</v>
      </c>
      <c r="CE538">
        <f t="shared" si="176"/>
        <v>0</v>
      </c>
      <c r="CF538">
        <f t="shared" si="177"/>
        <v>0</v>
      </c>
      <c r="CG538">
        <f t="shared" si="178"/>
        <v>0</v>
      </c>
      <c r="CH538">
        <f t="shared" si="179"/>
        <v>0</v>
      </c>
      <c r="CI538">
        <f t="shared" si="180"/>
        <v>0</v>
      </c>
      <c r="CJ538">
        <f t="shared" si="181"/>
        <v>0</v>
      </c>
      <c r="CK538">
        <f t="shared" si="182"/>
        <v>16.61708562531869</v>
      </c>
      <c r="CL538">
        <f t="shared" si="183"/>
        <v>3.6472265912487849</v>
      </c>
      <c r="CM538">
        <f t="shared" si="185"/>
        <v>20.264312216567475</v>
      </c>
      <c r="CN538">
        <f t="shared" si="184"/>
        <v>95.73981837048791</v>
      </c>
      <c r="CO538">
        <f t="shared" si="168"/>
        <v>0</v>
      </c>
    </row>
    <row r="539" spans="1:93" s="12" customFormat="1" ht="14.65" customHeight="1" x14ac:dyDescent="0.25">
      <c r="A539" s="4">
        <v>2021</v>
      </c>
      <c r="B539" s="4"/>
      <c r="C539" s="4" t="s">
        <v>418</v>
      </c>
      <c r="D539" s="4" t="s">
        <v>65</v>
      </c>
      <c r="E539" s="4"/>
      <c r="F539" s="4" t="s">
        <v>90</v>
      </c>
      <c r="G539" s="5" t="s">
        <v>419</v>
      </c>
      <c r="H539" s="5" t="s">
        <v>21</v>
      </c>
      <c r="I539" s="5" t="s">
        <v>18</v>
      </c>
      <c r="J539" s="5" t="s">
        <v>9</v>
      </c>
      <c r="K539" s="5">
        <v>27.5</v>
      </c>
      <c r="L539" s="5">
        <v>55</v>
      </c>
      <c r="M539" s="5">
        <v>1250</v>
      </c>
      <c r="N539" s="5" t="s">
        <v>171</v>
      </c>
      <c r="O539" s="6" t="s">
        <v>81</v>
      </c>
      <c r="P539" s="6" t="s">
        <v>420</v>
      </c>
      <c r="Q539" s="6"/>
      <c r="R539" s="6"/>
      <c r="S539" s="6">
        <v>14</v>
      </c>
      <c r="T539" s="6">
        <v>11</v>
      </c>
      <c r="U539" s="6">
        <v>1251</v>
      </c>
      <c r="V539" s="6">
        <v>25.56</v>
      </c>
      <c r="W539" s="6">
        <v>13</v>
      </c>
      <c r="X539" s="6">
        <v>239</v>
      </c>
      <c r="Y539" s="6">
        <v>629</v>
      </c>
      <c r="Z539" s="6">
        <v>324</v>
      </c>
      <c r="AA539" s="6">
        <v>46</v>
      </c>
      <c r="AB539" s="6">
        <v>0</v>
      </c>
      <c r="AC539" s="7">
        <v>19</v>
      </c>
      <c r="AD539" s="7" t="s">
        <v>52</v>
      </c>
      <c r="AE539" s="7">
        <v>14.81</v>
      </c>
      <c r="AF539" s="7">
        <v>875</v>
      </c>
      <c r="AG539" s="7">
        <v>30.08</v>
      </c>
      <c r="AH539" s="7">
        <v>20.92</v>
      </c>
      <c r="AI539" s="7">
        <v>28.73</v>
      </c>
      <c r="AJ539" s="9">
        <v>196.75635570876</v>
      </c>
      <c r="AK539" s="9">
        <v>197.92184548828399</v>
      </c>
      <c r="AL539" s="9">
        <v>232.64028955148001</v>
      </c>
      <c r="AM539" s="9">
        <v>37.969083354481903</v>
      </c>
      <c r="AN539" s="9">
        <v>1.99837280813063</v>
      </c>
      <c r="AO539" s="9">
        <v>2.0242271354005501</v>
      </c>
      <c r="AP539" s="9">
        <v>283.96556162351101</v>
      </c>
      <c r="AQ539" s="9">
        <v>14.945555874921601</v>
      </c>
      <c r="AR539" s="9">
        <v>23.620191387884098</v>
      </c>
      <c r="AS539" s="8" t="s">
        <v>169</v>
      </c>
      <c r="AT539" s="8" t="s">
        <v>169</v>
      </c>
      <c r="AU539" s="10" t="s">
        <v>169</v>
      </c>
      <c r="AV539" s="10">
        <v>0</v>
      </c>
      <c r="AW539" s="8"/>
      <c r="AX539" s="10" t="s">
        <v>169</v>
      </c>
      <c r="AY539" s="10"/>
      <c r="AZ539" s="10"/>
      <c r="BA539" s="10"/>
      <c r="BB539" s="8"/>
      <c r="BC539" s="8"/>
      <c r="BD539" s="8"/>
      <c r="BE539" s="8"/>
      <c r="BF539" s="12">
        <v>0.46</v>
      </c>
      <c r="BG539" s="13">
        <v>186.38364531232699</v>
      </c>
      <c r="BH539" s="96" t="str">
        <f>+VLOOKUP(G539,Liste!$A$7:$G$50,3,FALSE)</f>
        <v>Pin Maritime</v>
      </c>
      <c r="BI539" s="96" t="str">
        <f>+VLOOKUP(H539,Liste!$B$7:$G$50,5,FALSE)</f>
        <v>GS Pineraies des plaines du Centre et du Nord Ouest</v>
      </c>
      <c r="BJ539" s="135">
        <f t="shared" si="167"/>
        <v>19</v>
      </c>
      <c r="BK539" s="135" t="str">
        <f t="shared" si="169"/>
        <v>Pin Maritime_F1_Classique_GS Pineraies des plaines du Centre et du Nord Ouest_19_</v>
      </c>
      <c r="BL539" s="322"/>
      <c r="BM539" s="13">
        <v>49.857756119475397</v>
      </c>
      <c r="BN539" s="13">
        <v>236.24140143180301</v>
      </c>
      <c r="BO539" s="13" t="s">
        <v>169</v>
      </c>
      <c r="BP539" s="13">
        <v>298.10759386198703</v>
      </c>
      <c r="BQ539" s="13">
        <v>23.201701083944201</v>
      </c>
      <c r="BT539" s="298" t="str">
        <f>+VLOOKUP(G539,Liste!$A$7:$H$50,8,FALSE)</f>
        <v>Résineux</v>
      </c>
      <c r="BU539" s="298">
        <f t="shared" si="170"/>
        <v>0</v>
      </c>
      <c r="BV539" s="300">
        <f t="shared" si="171"/>
        <v>1</v>
      </c>
      <c r="BW539" s="321">
        <v>0</v>
      </c>
      <c r="BX539" s="298">
        <f t="shared" si="172"/>
        <v>0.43</v>
      </c>
      <c r="BY539">
        <f t="shared" si="173"/>
        <v>0</v>
      </c>
      <c r="BZ539" s="304">
        <f t="shared" si="174"/>
        <v>16.378701956515222</v>
      </c>
      <c r="CB539" s="299">
        <v>0.6</v>
      </c>
      <c r="CC539" s="299">
        <v>0.4</v>
      </c>
      <c r="CD539">
        <f t="shared" si="175"/>
        <v>0</v>
      </c>
      <c r="CE539">
        <f t="shared" si="176"/>
        <v>0</v>
      </c>
      <c r="CF539">
        <f t="shared" si="177"/>
        <v>0</v>
      </c>
      <c r="CG539">
        <f t="shared" si="178"/>
        <v>0</v>
      </c>
      <c r="CH539">
        <f t="shared" si="179"/>
        <v>0</v>
      </c>
      <c r="CI539">
        <f t="shared" si="180"/>
        <v>0</v>
      </c>
      <c r="CJ539">
        <f t="shared" si="181"/>
        <v>0</v>
      </c>
      <c r="CK539">
        <f t="shared" si="182"/>
        <v>16.162690545039798</v>
      </c>
      <c r="CL539">
        <f t="shared" si="183"/>
        <v>2.5789786551959124</v>
      </c>
      <c r="CM539">
        <f t="shared" si="185"/>
        <v>18.741669200235709</v>
      </c>
      <c r="CN539">
        <f t="shared" si="184"/>
        <v>114.48148757072362</v>
      </c>
      <c r="CO539">
        <f t="shared" si="168"/>
        <v>0</v>
      </c>
    </row>
    <row r="540" spans="1:93" s="12" customFormat="1" ht="14.65" customHeight="1" x14ac:dyDescent="0.25">
      <c r="A540" s="4">
        <v>2021</v>
      </c>
      <c r="B540" s="4"/>
      <c r="C540" s="4" t="s">
        <v>418</v>
      </c>
      <c r="D540" s="4" t="s">
        <v>65</v>
      </c>
      <c r="E540" s="4"/>
      <c r="F540" s="4" t="s">
        <v>90</v>
      </c>
      <c r="G540" s="5" t="s">
        <v>419</v>
      </c>
      <c r="H540" s="5" t="s">
        <v>21</v>
      </c>
      <c r="I540" s="5" t="s">
        <v>18</v>
      </c>
      <c r="J540" s="5" t="s">
        <v>9</v>
      </c>
      <c r="K540" s="5">
        <v>27.5</v>
      </c>
      <c r="L540" s="5">
        <v>55</v>
      </c>
      <c r="M540" s="5">
        <v>1250</v>
      </c>
      <c r="N540" s="5" t="s">
        <v>171</v>
      </c>
      <c r="O540" s="6" t="s">
        <v>81</v>
      </c>
      <c r="P540" s="6" t="s">
        <v>420</v>
      </c>
      <c r="Q540" s="6"/>
      <c r="R540" s="6"/>
      <c r="S540" s="6">
        <v>14</v>
      </c>
      <c r="T540" s="6">
        <v>11</v>
      </c>
      <c r="U540" s="6">
        <v>1251</v>
      </c>
      <c r="V540" s="6">
        <v>25.56</v>
      </c>
      <c r="W540" s="6">
        <v>13</v>
      </c>
      <c r="X540" s="6">
        <v>239</v>
      </c>
      <c r="Y540" s="6">
        <v>629</v>
      </c>
      <c r="Z540" s="6">
        <v>324</v>
      </c>
      <c r="AA540" s="6">
        <v>46</v>
      </c>
      <c r="AB540" s="6">
        <v>0</v>
      </c>
      <c r="AC540" s="7">
        <v>19</v>
      </c>
      <c r="AD540" s="7" t="s">
        <v>53</v>
      </c>
      <c r="AE540" s="7">
        <v>14.81</v>
      </c>
      <c r="AF540" s="7">
        <v>604</v>
      </c>
      <c r="AG540" s="7">
        <v>23.03</v>
      </c>
      <c r="AH540" s="7">
        <v>22.03</v>
      </c>
      <c r="AI540" s="7">
        <v>28.73</v>
      </c>
      <c r="AJ540" s="9">
        <v>153.04372419438201</v>
      </c>
      <c r="AK540" s="9">
        <v>154.079691477072</v>
      </c>
      <c r="AL540" s="9">
        <v>181.10458117268101</v>
      </c>
      <c r="AM540" s="9">
        <v>37.969083354481903</v>
      </c>
      <c r="AN540" s="9">
        <v>1.99837280813063</v>
      </c>
      <c r="AO540" s="9">
        <v>2.0242271354005501</v>
      </c>
      <c r="AP540" s="9">
        <v>283.96556162351101</v>
      </c>
      <c r="AQ540" s="9">
        <v>14.945555874921601</v>
      </c>
      <c r="AR540" s="9">
        <v>23.620191387884098</v>
      </c>
      <c r="AS540" s="8">
        <v>271</v>
      </c>
      <c r="AT540" s="8">
        <v>7.0499999999999972</v>
      </c>
      <c r="AU540" s="10">
        <v>18.199731142719266</v>
      </c>
      <c r="AV540" s="10">
        <v>43.712631514377989</v>
      </c>
      <c r="AW540" s="8">
        <v>0.76</v>
      </c>
      <c r="AX540" s="10">
        <v>0.16130122330028779</v>
      </c>
      <c r="AY540" s="10"/>
      <c r="AZ540" s="10"/>
      <c r="BA540" s="10"/>
      <c r="BB540" s="8"/>
      <c r="BC540" s="8"/>
      <c r="BD540" s="8"/>
      <c r="BE540" s="8"/>
      <c r="BF540" s="12">
        <v>0.46</v>
      </c>
      <c r="BG540" s="13">
        <v>145.09495361617999</v>
      </c>
      <c r="BH540" s="96" t="str">
        <f>+VLOOKUP(G540,Liste!$A$7:$G$50,3,FALSE)</f>
        <v>Pin Maritime</v>
      </c>
      <c r="BI540" s="96" t="str">
        <f>+VLOOKUP(H540,Liste!$B$7:$G$50,5,FALSE)</f>
        <v>GS Pineraies des plaines du Centre et du Nord Ouest</v>
      </c>
      <c r="BJ540" s="135">
        <f t="shared" si="167"/>
        <v>19</v>
      </c>
      <c r="BK540" s="135" t="str">
        <f t="shared" si="169"/>
        <v>Pin Maritime_F1_Classique_GS Pineraies des plaines du Centre et du Nord Ouest_19_</v>
      </c>
      <c r="BL540" s="322"/>
      <c r="BM540" s="13">
        <v>39.961002505380101</v>
      </c>
      <c r="BN540" s="13">
        <v>185.05595612156</v>
      </c>
      <c r="BO540" s="13">
        <v>51.185445310243011</v>
      </c>
      <c r="BP540" s="13">
        <v>298.10759386198703</v>
      </c>
      <c r="BQ540" s="13">
        <v>23.201701083944201</v>
      </c>
      <c r="BT540" s="298" t="str">
        <f>+VLOOKUP(G540,Liste!$A$7:$H$50,8,FALSE)</f>
        <v>Résineux</v>
      </c>
      <c r="BU540" s="298">
        <f t="shared" si="170"/>
        <v>0</v>
      </c>
      <c r="BV540" s="300">
        <f t="shared" si="171"/>
        <v>1</v>
      </c>
      <c r="BW540" s="321">
        <v>0</v>
      </c>
      <c r="BX540" s="298">
        <f t="shared" si="172"/>
        <v>0.43</v>
      </c>
      <c r="BY540">
        <f t="shared" si="173"/>
        <v>18.796431551182536</v>
      </c>
      <c r="BZ540" s="304">
        <f t="shared" si="174"/>
        <v>35.175133507697758</v>
      </c>
      <c r="CB540" s="299">
        <v>0.6</v>
      </c>
      <c r="CC540" s="299">
        <v>0.4</v>
      </c>
      <c r="CD540">
        <f t="shared" si="175"/>
        <v>0</v>
      </c>
      <c r="CE540">
        <f t="shared" si="176"/>
        <v>26.227578908626793</v>
      </c>
      <c r="CF540">
        <f t="shared" si="177"/>
        <v>17.485052605751196</v>
      </c>
      <c r="CG540">
        <f t="shared" si="178"/>
        <v>0</v>
      </c>
      <c r="CH540">
        <f t="shared" si="179"/>
        <v>21.012661968961499</v>
      </c>
      <c r="CI540">
        <f t="shared" si="180"/>
        <v>14.008441312641002</v>
      </c>
      <c r="CJ540">
        <f t="shared" si="181"/>
        <v>0</v>
      </c>
      <c r="CK540">
        <f t="shared" si="182"/>
        <v>15.720720922126729</v>
      </c>
      <c r="CL540">
        <f t="shared" si="183"/>
        <v>1.8236132956243927</v>
      </c>
      <c r="CM540">
        <f t="shared" si="185"/>
        <v>17.544334217751121</v>
      </c>
      <c r="CN540">
        <f t="shared" si="184"/>
        <v>132.02582178847473</v>
      </c>
      <c r="CO540">
        <f t="shared" si="168"/>
        <v>0</v>
      </c>
    </row>
    <row r="541" spans="1:93" s="12" customFormat="1" ht="14.65" customHeight="1" x14ac:dyDescent="0.25">
      <c r="A541" s="4">
        <v>2021</v>
      </c>
      <c r="B541" s="4"/>
      <c r="C541" s="4" t="s">
        <v>418</v>
      </c>
      <c r="D541" s="4" t="s">
        <v>65</v>
      </c>
      <c r="E541" s="4"/>
      <c r="F541" s="4" t="s">
        <v>90</v>
      </c>
      <c r="G541" s="5" t="s">
        <v>419</v>
      </c>
      <c r="H541" s="5" t="s">
        <v>21</v>
      </c>
      <c r="I541" s="5" t="s">
        <v>18</v>
      </c>
      <c r="J541" s="5" t="s">
        <v>9</v>
      </c>
      <c r="K541" s="5">
        <v>27.5</v>
      </c>
      <c r="L541" s="5">
        <v>55</v>
      </c>
      <c r="M541" s="5">
        <v>1250</v>
      </c>
      <c r="N541" s="5" t="s">
        <v>171</v>
      </c>
      <c r="O541" s="6" t="s">
        <v>81</v>
      </c>
      <c r="P541" s="6" t="s">
        <v>420</v>
      </c>
      <c r="Q541" s="6"/>
      <c r="R541" s="6"/>
      <c r="S541" s="6">
        <v>14</v>
      </c>
      <c r="T541" s="6">
        <v>11</v>
      </c>
      <c r="U541" s="6">
        <v>1251</v>
      </c>
      <c r="V541" s="6">
        <v>25.56</v>
      </c>
      <c r="W541" s="6">
        <v>13</v>
      </c>
      <c r="X541" s="6">
        <v>239</v>
      </c>
      <c r="Y541" s="6">
        <v>629</v>
      </c>
      <c r="Z541" s="6">
        <v>324</v>
      </c>
      <c r="AA541" s="6">
        <v>46</v>
      </c>
      <c r="AB541" s="6">
        <v>0</v>
      </c>
      <c r="AC541" s="7">
        <v>20</v>
      </c>
      <c r="AD541" s="7" t="s">
        <v>52</v>
      </c>
      <c r="AE541" s="7">
        <v>15.49</v>
      </c>
      <c r="AF541" s="7">
        <v>604</v>
      </c>
      <c r="AG541" s="7">
        <v>25.08</v>
      </c>
      <c r="AH541" s="7">
        <v>22.99</v>
      </c>
      <c r="AI541" s="7">
        <v>30.03</v>
      </c>
      <c r="AJ541" s="9">
        <v>174.61466192552899</v>
      </c>
      <c r="AK541" s="9">
        <v>175.73861841406799</v>
      </c>
      <c r="AL541" s="9">
        <v>204.11632472132999</v>
      </c>
      <c r="AM541" s="9" t="s">
        <v>169</v>
      </c>
      <c r="AN541" s="9" t="s">
        <v>169</v>
      </c>
      <c r="AO541" s="9" t="s">
        <v>169</v>
      </c>
      <c r="AP541" s="9" t="s">
        <v>169</v>
      </c>
      <c r="AQ541" s="9" t="s">
        <v>169</v>
      </c>
      <c r="AR541" s="9" t="s">
        <v>169</v>
      </c>
      <c r="AS541" s="8" t="s">
        <v>169</v>
      </c>
      <c r="AT541" s="8" t="s">
        <v>169</v>
      </c>
      <c r="AU541" s="10" t="s">
        <v>169</v>
      </c>
      <c r="AV541" s="10">
        <v>0</v>
      </c>
      <c r="AW541" s="8"/>
      <c r="AX541" s="10" t="s">
        <v>169</v>
      </c>
      <c r="AY541" s="10"/>
      <c r="AZ541" s="10"/>
      <c r="BA541" s="10"/>
      <c r="BB541" s="8"/>
      <c r="BC541" s="8"/>
      <c r="BD541" s="8"/>
      <c r="BE541" s="8"/>
      <c r="BF541" s="12">
        <v>0.46</v>
      </c>
      <c r="BG541" s="13">
        <v>163.531195489239</v>
      </c>
      <c r="BH541" s="96" t="str">
        <f>+VLOOKUP(G541,Liste!$A$7:$G$50,3,FALSE)</f>
        <v>Pin Maritime</v>
      </c>
      <c r="BI541" s="96" t="str">
        <f>+VLOOKUP(H541,Liste!$B$7:$G$50,5,FALSE)</f>
        <v>GS Pineraies des plaines du Centre et du Nord Ouest</v>
      </c>
      <c r="BJ541" s="135">
        <f t="shared" si="167"/>
        <v>20</v>
      </c>
      <c r="BK541" s="135" t="str">
        <f t="shared" si="169"/>
        <v>Pin Maritime_F1_Classique_GS Pineraies des plaines du Centre et du Nord Ouest_20_</v>
      </c>
      <c r="BL541" s="322"/>
      <c r="BM541" s="13">
        <v>44.359823409457803</v>
      </c>
      <c r="BN541" s="13">
        <v>207.89101889869701</v>
      </c>
      <c r="BO541" s="13" t="s">
        <v>169</v>
      </c>
      <c r="BP541" s="13">
        <v>298.10759386198703</v>
      </c>
      <c r="BQ541" s="13" t="s">
        <v>169</v>
      </c>
      <c r="BT541" s="298" t="str">
        <f>+VLOOKUP(G541,Liste!$A$7:$H$50,8,FALSE)</f>
        <v>Résineux</v>
      </c>
      <c r="BU541" s="298">
        <f t="shared" si="170"/>
        <v>0</v>
      </c>
      <c r="BV541" s="300">
        <f t="shared" si="171"/>
        <v>1</v>
      </c>
      <c r="BW541" s="321">
        <v>0</v>
      </c>
      <c r="BX541" s="298">
        <f t="shared" si="172"/>
        <v>0.43</v>
      </c>
      <c r="BY541">
        <f t="shared" si="173"/>
        <v>0</v>
      </c>
      <c r="BZ541" s="304">
        <f t="shared" si="174"/>
        <v>35.175133507697758</v>
      </c>
      <c r="CB541" s="299">
        <v>0.6</v>
      </c>
      <c r="CC541" s="299">
        <v>0.4</v>
      </c>
      <c r="CD541">
        <f t="shared" si="175"/>
        <v>0</v>
      </c>
      <c r="CE541">
        <f t="shared" si="176"/>
        <v>0</v>
      </c>
      <c r="CF541">
        <f t="shared" si="177"/>
        <v>0</v>
      </c>
      <c r="CG541">
        <f t="shared" si="178"/>
        <v>0</v>
      </c>
      <c r="CH541">
        <f t="shared" si="179"/>
        <v>0</v>
      </c>
      <c r="CI541">
        <f t="shared" si="180"/>
        <v>0</v>
      </c>
      <c r="CJ541">
        <f t="shared" si="181"/>
        <v>0</v>
      </c>
      <c r="CK541">
        <f t="shared" si="182"/>
        <v>36.014875204273594</v>
      </c>
      <c r="CL541">
        <f t="shared" si="183"/>
        <v>13.128179815538076</v>
      </c>
      <c r="CM541">
        <f t="shared" si="185"/>
        <v>49.143055019811669</v>
      </c>
      <c r="CN541">
        <f t="shared" si="184"/>
        <v>181.1688768082864</v>
      </c>
      <c r="CO541">
        <f t="shared" si="168"/>
        <v>0</v>
      </c>
    </row>
    <row r="542" spans="1:93" s="12" customFormat="1" ht="14.65" customHeight="1" x14ac:dyDescent="0.25">
      <c r="A542" s="4">
        <v>2021</v>
      </c>
      <c r="B542" s="4"/>
      <c r="C542" s="4" t="s">
        <v>418</v>
      </c>
      <c r="D542" s="4" t="s">
        <v>65</v>
      </c>
      <c r="E542" s="4"/>
      <c r="F542" s="4" t="s">
        <v>90</v>
      </c>
      <c r="G542" s="5" t="s">
        <v>419</v>
      </c>
      <c r="H542" s="5" t="s">
        <v>21</v>
      </c>
      <c r="I542" s="5" t="s">
        <v>18</v>
      </c>
      <c r="J542" s="5" t="s">
        <v>9</v>
      </c>
      <c r="K542" s="5">
        <v>27.5</v>
      </c>
      <c r="L542" s="5">
        <v>55</v>
      </c>
      <c r="M542" s="5">
        <v>1250</v>
      </c>
      <c r="N542" s="5" t="s">
        <v>171</v>
      </c>
      <c r="O542" s="6" t="s">
        <v>81</v>
      </c>
      <c r="P542" s="6" t="s">
        <v>420</v>
      </c>
      <c r="Q542" s="6"/>
      <c r="R542" s="6"/>
      <c r="S542" s="6">
        <v>14</v>
      </c>
      <c r="T542" s="6">
        <v>11</v>
      </c>
      <c r="U542" s="6">
        <v>1251</v>
      </c>
      <c r="V542" s="6">
        <v>25.56</v>
      </c>
      <c r="W542" s="6">
        <v>13</v>
      </c>
      <c r="X542" s="6">
        <v>239</v>
      </c>
      <c r="Y542" s="6">
        <v>629</v>
      </c>
      <c r="Z542" s="6">
        <v>324</v>
      </c>
      <c r="AA542" s="6">
        <v>46</v>
      </c>
      <c r="AB542" s="6">
        <v>0</v>
      </c>
      <c r="AC542" s="7">
        <v>21</v>
      </c>
      <c r="AD542" s="7" t="s">
        <v>52</v>
      </c>
      <c r="AE542" s="7">
        <v>16.16</v>
      </c>
      <c r="AF542" s="7">
        <v>604</v>
      </c>
      <c r="AG542" s="7">
        <v>27.12</v>
      </c>
      <c r="AH542" s="7">
        <v>23.91</v>
      </c>
      <c r="AI542" s="7">
        <v>31.3</v>
      </c>
      <c r="AJ542" s="9">
        <v>196.185599656676</v>
      </c>
      <c r="AK542" s="9">
        <v>197.397545351063</v>
      </c>
      <c r="AL542" s="9">
        <v>227.128068269979</v>
      </c>
      <c r="AM542" s="9" t="s">
        <v>169</v>
      </c>
      <c r="AN542" s="9" t="s">
        <v>169</v>
      </c>
      <c r="AO542" s="9" t="s">
        <v>169</v>
      </c>
      <c r="AP542" s="9" t="s">
        <v>169</v>
      </c>
      <c r="AQ542" s="9" t="s">
        <v>169</v>
      </c>
      <c r="AR542" s="9" t="s">
        <v>169</v>
      </c>
      <c r="AS542" s="8" t="s">
        <v>169</v>
      </c>
      <c r="AT542" s="8" t="s">
        <v>169</v>
      </c>
      <c r="AU542" s="10" t="s">
        <v>169</v>
      </c>
      <c r="AV542" s="10">
        <v>0</v>
      </c>
      <c r="AW542" s="8"/>
      <c r="AX542" s="10" t="s">
        <v>169</v>
      </c>
      <c r="AY542" s="10"/>
      <c r="AZ542" s="10"/>
      <c r="BA542" s="10"/>
      <c r="BB542" s="8"/>
      <c r="BC542" s="8"/>
      <c r="BD542" s="8"/>
      <c r="BE542" s="8"/>
      <c r="BF542" s="12">
        <v>0.46</v>
      </c>
      <c r="BG542" s="13">
        <v>181.967437362298</v>
      </c>
      <c r="BH542" s="96" t="str">
        <f>+VLOOKUP(G542,Liste!$A$7:$G$50,3,FALSE)</f>
        <v>Pin Maritime</v>
      </c>
      <c r="BI542" s="96" t="str">
        <f>+VLOOKUP(H542,Liste!$B$7:$G$50,5,FALSE)</f>
        <v>GS Pineraies des plaines du Centre et du Nord Ouest</v>
      </c>
      <c r="BJ542" s="135">
        <f t="shared" si="167"/>
        <v>21</v>
      </c>
      <c r="BK542" s="135" t="str">
        <f t="shared" si="169"/>
        <v>Pin Maritime_F1_Classique_GS Pineraies des plaines du Centre et du Nord Ouest_21_</v>
      </c>
      <c r="BL542" s="322"/>
      <c r="BM542" s="13">
        <v>48.758644313535498</v>
      </c>
      <c r="BN542" s="13">
        <v>230.726081675834</v>
      </c>
      <c r="BO542" s="13" t="s">
        <v>169</v>
      </c>
      <c r="BP542" s="13">
        <v>298.10759386198703</v>
      </c>
      <c r="BQ542" s="13" t="s">
        <v>169</v>
      </c>
      <c r="BT542" s="298" t="str">
        <f>+VLOOKUP(G542,Liste!$A$7:$H$50,8,FALSE)</f>
        <v>Résineux</v>
      </c>
      <c r="BU542" s="298">
        <f t="shared" si="170"/>
        <v>0</v>
      </c>
      <c r="BV542" s="300">
        <f t="shared" si="171"/>
        <v>1</v>
      </c>
      <c r="BW542" s="321">
        <v>0</v>
      </c>
      <c r="BX542" s="298">
        <f t="shared" si="172"/>
        <v>0.43</v>
      </c>
      <c r="BY542">
        <f t="shared" si="173"/>
        <v>0</v>
      </c>
      <c r="BZ542" s="304">
        <f t="shared" si="174"/>
        <v>35.175133507697758</v>
      </c>
      <c r="CB542" s="299">
        <v>0.6</v>
      </c>
      <c r="CC542" s="299">
        <v>0.4</v>
      </c>
      <c r="CD542">
        <f t="shared" si="175"/>
        <v>0</v>
      </c>
      <c r="CE542">
        <f t="shared" si="176"/>
        <v>0</v>
      </c>
      <c r="CF542">
        <f t="shared" si="177"/>
        <v>0</v>
      </c>
      <c r="CG542">
        <f t="shared" si="178"/>
        <v>0</v>
      </c>
      <c r="CH542">
        <f t="shared" si="179"/>
        <v>0</v>
      </c>
      <c r="CI542">
        <f t="shared" si="180"/>
        <v>0</v>
      </c>
      <c r="CJ542">
        <f t="shared" si="181"/>
        <v>0</v>
      </c>
      <c r="CK542">
        <f t="shared" si="182"/>
        <v>35.030046547872757</v>
      </c>
      <c r="CL542">
        <f t="shared" si="183"/>
        <v>9.2830249722033322</v>
      </c>
      <c r="CM542">
        <f t="shared" si="185"/>
        <v>44.313071520076093</v>
      </c>
      <c r="CN542">
        <f t="shared" si="184"/>
        <v>225.48194832836248</v>
      </c>
      <c r="CO542">
        <f t="shared" si="168"/>
        <v>0</v>
      </c>
    </row>
    <row r="543" spans="1:93" s="12" customFormat="1" ht="14.65" customHeight="1" x14ac:dyDescent="0.25">
      <c r="A543" s="4">
        <v>2021</v>
      </c>
      <c r="B543" s="4"/>
      <c r="C543" s="4" t="s">
        <v>418</v>
      </c>
      <c r="D543" s="4" t="s">
        <v>65</v>
      </c>
      <c r="E543" s="4"/>
      <c r="F543" s="4" t="s">
        <v>90</v>
      </c>
      <c r="G543" s="5" t="s">
        <v>419</v>
      </c>
      <c r="H543" s="5" t="s">
        <v>21</v>
      </c>
      <c r="I543" s="5" t="s">
        <v>18</v>
      </c>
      <c r="J543" s="5" t="s">
        <v>9</v>
      </c>
      <c r="K543" s="5">
        <v>27.5</v>
      </c>
      <c r="L543" s="5">
        <v>55</v>
      </c>
      <c r="M543" s="5">
        <v>1250</v>
      </c>
      <c r="N543" s="5" t="s">
        <v>171</v>
      </c>
      <c r="O543" s="6" t="s">
        <v>81</v>
      </c>
      <c r="P543" s="6" t="s">
        <v>420</v>
      </c>
      <c r="Q543" s="6"/>
      <c r="R543" s="6"/>
      <c r="S543" s="6">
        <v>14</v>
      </c>
      <c r="T543" s="6">
        <v>11</v>
      </c>
      <c r="U543" s="6">
        <v>1251</v>
      </c>
      <c r="V543" s="6">
        <v>25.56</v>
      </c>
      <c r="W543" s="6">
        <v>13</v>
      </c>
      <c r="X543" s="6">
        <v>239</v>
      </c>
      <c r="Y543" s="6">
        <v>629</v>
      </c>
      <c r="Z543" s="6">
        <v>324</v>
      </c>
      <c r="AA543" s="6">
        <v>46</v>
      </c>
      <c r="AB543" s="6">
        <v>0</v>
      </c>
      <c r="AC543" s="7">
        <v>22</v>
      </c>
      <c r="AD543" s="7" t="s">
        <v>52</v>
      </c>
      <c r="AE543" s="7">
        <v>16.8</v>
      </c>
      <c r="AF543" s="7">
        <v>604</v>
      </c>
      <c r="AG543" s="7">
        <v>29.14</v>
      </c>
      <c r="AH543" s="7">
        <v>24.78</v>
      </c>
      <c r="AI543" s="7">
        <v>32.520000000000003</v>
      </c>
      <c r="AJ543" s="9">
        <v>217.75653738782299</v>
      </c>
      <c r="AK543" s="9">
        <v>219.05647228805901</v>
      </c>
      <c r="AL543" s="9">
        <v>250.139811818628</v>
      </c>
      <c r="AM543" s="9" t="s">
        <v>169</v>
      </c>
      <c r="AN543" s="9" t="s">
        <v>169</v>
      </c>
      <c r="AO543" s="9" t="s">
        <v>169</v>
      </c>
      <c r="AP543" s="9" t="s">
        <v>169</v>
      </c>
      <c r="AQ543" s="9" t="s">
        <v>169</v>
      </c>
      <c r="AR543" s="9" t="s">
        <v>169</v>
      </c>
      <c r="AS543" s="8" t="s">
        <v>169</v>
      </c>
      <c r="AT543" s="8" t="s">
        <v>169</v>
      </c>
      <c r="AU543" s="10" t="s">
        <v>169</v>
      </c>
      <c r="AV543" s="10">
        <v>0</v>
      </c>
      <c r="AW543" s="8"/>
      <c r="AX543" s="10" t="s">
        <v>169</v>
      </c>
      <c r="AY543" s="10"/>
      <c r="AZ543" s="10"/>
      <c r="BA543" s="10"/>
      <c r="BB543" s="8"/>
      <c r="BC543" s="8"/>
      <c r="BD543" s="8"/>
      <c r="BE543" s="8"/>
      <c r="BF543" s="12">
        <v>0.46</v>
      </c>
      <c r="BG543" s="13">
        <v>200.403679235358</v>
      </c>
      <c r="BH543" s="96" t="str">
        <f>+VLOOKUP(G543,Liste!$A$7:$G$50,3,FALSE)</f>
        <v>Pin Maritime</v>
      </c>
      <c r="BI543" s="96" t="str">
        <f>+VLOOKUP(H543,Liste!$B$7:$G$50,5,FALSE)</f>
        <v>GS Pineraies des plaines du Centre et du Nord Ouest</v>
      </c>
      <c r="BJ543" s="135">
        <f t="shared" si="167"/>
        <v>22</v>
      </c>
      <c r="BK543" s="135" t="str">
        <f t="shared" si="169"/>
        <v>Pin Maritime_F1_Classique_GS Pineraies des plaines du Centre et du Nord Ouest_22_</v>
      </c>
      <c r="BL543" s="322"/>
      <c r="BM543" s="13">
        <v>53.157465217613201</v>
      </c>
      <c r="BN543" s="13">
        <v>253.56114445297101</v>
      </c>
      <c r="BO543" s="13" t="s">
        <v>169</v>
      </c>
      <c r="BP543" s="13">
        <v>298.10759386198703</v>
      </c>
      <c r="BQ543" s="13" t="s">
        <v>169</v>
      </c>
      <c r="BT543" s="298" t="str">
        <f>+VLOOKUP(G543,Liste!$A$7:$H$50,8,FALSE)</f>
        <v>Résineux</v>
      </c>
      <c r="BU543" s="298">
        <f t="shared" si="170"/>
        <v>0</v>
      </c>
      <c r="BV543" s="300">
        <f t="shared" si="171"/>
        <v>1</v>
      </c>
      <c r="BW543" s="321">
        <v>0</v>
      </c>
      <c r="BX543" s="298">
        <f t="shared" si="172"/>
        <v>0.43</v>
      </c>
      <c r="BY543">
        <f t="shared" si="173"/>
        <v>0</v>
      </c>
      <c r="BZ543" s="304">
        <f t="shared" si="174"/>
        <v>35.175133507697758</v>
      </c>
      <c r="CB543" s="299">
        <v>0.6</v>
      </c>
      <c r="CC543" s="299">
        <v>0.4</v>
      </c>
      <c r="CD543">
        <f t="shared" si="175"/>
        <v>0</v>
      </c>
      <c r="CE543">
        <f t="shared" si="176"/>
        <v>0</v>
      </c>
      <c r="CF543">
        <f t="shared" si="177"/>
        <v>0</v>
      </c>
      <c r="CG543">
        <f t="shared" si="178"/>
        <v>0</v>
      </c>
      <c r="CH543">
        <f t="shared" si="179"/>
        <v>0</v>
      </c>
      <c r="CI543">
        <f t="shared" si="180"/>
        <v>0</v>
      </c>
      <c r="CJ543">
        <f t="shared" si="181"/>
        <v>0</v>
      </c>
      <c r="CK543">
        <f t="shared" si="182"/>
        <v>34.072148082871088</v>
      </c>
      <c r="CL543">
        <f t="shared" si="183"/>
        <v>6.5640899077690387</v>
      </c>
      <c r="CM543">
        <f t="shared" si="185"/>
        <v>40.636237990640126</v>
      </c>
      <c r="CN543">
        <f t="shared" si="184"/>
        <v>266.11818631900258</v>
      </c>
      <c r="CO543">
        <f t="shared" si="168"/>
        <v>0</v>
      </c>
    </row>
    <row r="544" spans="1:93" s="12" customFormat="1" ht="14.65" customHeight="1" x14ac:dyDescent="0.25">
      <c r="A544" s="4">
        <v>2021</v>
      </c>
      <c r="B544" s="4"/>
      <c r="C544" s="4" t="s">
        <v>418</v>
      </c>
      <c r="D544" s="4" t="s">
        <v>65</v>
      </c>
      <c r="E544" s="4"/>
      <c r="F544" s="4" t="s">
        <v>90</v>
      </c>
      <c r="G544" s="5" t="s">
        <v>419</v>
      </c>
      <c r="H544" s="5" t="s">
        <v>21</v>
      </c>
      <c r="I544" s="5" t="s">
        <v>18</v>
      </c>
      <c r="J544" s="5" t="s">
        <v>9</v>
      </c>
      <c r="K544" s="5">
        <v>27.5</v>
      </c>
      <c r="L544" s="5">
        <v>55</v>
      </c>
      <c r="M544" s="5">
        <v>1250</v>
      </c>
      <c r="N544" s="5" t="s">
        <v>171</v>
      </c>
      <c r="O544" s="6" t="s">
        <v>81</v>
      </c>
      <c r="P544" s="6" t="s">
        <v>420</v>
      </c>
      <c r="Q544" s="6"/>
      <c r="R544" s="6"/>
      <c r="S544" s="6">
        <v>14</v>
      </c>
      <c r="T544" s="6">
        <v>11</v>
      </c>
      <c r="U544" s="6">
        <v>1251</v>
      </c>
      <c r="V544" s="6">
        <v>25.56</v>
      </c>
      <c r="W544" s="6">
        <v>13</v>
      </c>
      <c r="X544" s="6">
        <v>239</v>
      </c>
      <c r="Y544" s="6">
        <v>629</v>
      </c>
      <c r="Z544" s="6">
        <v>324</v>
      </c>
      <c r="AA544" s="6">
        <v>46</v>
      </c>
      <c r="AB544" s="6">
        <v>0</v>
      </c>
      <c r="AC544" s="7">
        <v>23</v>
      </c>
      <c r="AD544" s="7" t="s">
        <v>52</v>
      </c>
      <c r="AE544" s="7">
        <v>17.41</v>
      </c>
      <c r="AF544" s="7">
        <v>604</v>
      </c>
      <c r="AG544" s="7">
        <v>31.15</v>
      </c>
      <c r="AH544" s="7">
        <v>25.62</v>
      </c>
      <c r="AI544" s="7">
        <v>33.71</v>
      </c>
      <c r="AJ544" s="9">
        <v>240.458142319507</v>
      </c>
      <c r="AK544" s="9">
        <v>241.870677043847</v>
      </c>
      <c r="AL544" s="9">
        <v>274.67267496536499</v>
      </c>
      <c r="AM544" s="9" t="s">
        <v>169</v>
      </c>
      <c r="AN544" s="9" t="s">
        <v>169</v>
      </c>
      <c r="AO544" s="9" t="s">
        <v>169</v>
      </c>
      <c r="AP544" s="9" t="s">
        <v>169</v>
      </c>
      <c r="AQ544" s="9" t="s">
        <v>169</v>
      </c>
      <c r="AR544" s="9" t="s">
        <v>169</v>
      </c>
      <c r="AS544" s="8" t="s">
        <v>169</v>
      </c>
      <c r="AT544" s="8" t="s">
        <v>169</v>
      </c>
      <c r="AU544" s="10" t="s">
        <v>169</v>
      </c>
      <c r="AV544" s="10">
        <v>0</v>
      </c>
      <c r="AW544" s="8"/>
      <c r="AX544" s="10" t="s">
        <v>169</v>
      </c>
      <c r="AY544" s="10"/>
      <c r="AZ544" s="10"/>
      <c r="BA544" s="10"/>
      <c r="BB544" s="8"/>
      <c r="BC544" s="8"/>
      <c r="BD544" s="8"/>
      <c r="BE544" s="8"/>
      <c r="BF544" s="12">
        <v>0.46</v>
      </c>
      <c r="BG544" s="13">
        <v>220.05859142641799</v>
      </c>
      <c r="BH544" s="96" t="str">
        <f>+VLOOKUP(G544,Liste!$A$7:$G$50,3,FALSE)</f>
        <v>Pin Maritime</v>
      </c>
      <c r="BI544" s="96" t="str">
        <f>+VLOOKUP(H544,Liste!$B$7:$G$50,5,FALSE)</f>
        <v>GS Pineraies des plaines du Centre et du Nord Ouest</v>
      </c>
      <c r="BJ544" s="135">
        <f t="shared" si="167"/>
        <v>23</v>
      </c>
      <c r="BK544" s="135" t="str">
        <f t="shared" si="169"/>
        <v>Pin Maritime_F1_Classique_GS Pineraies des plaines du Centre et du Nord Ouest_23_</v>
      </c>
      <c r="BL544" s="322"/>
      <c r="BM544" s="13">
        <v>57.715010340700502</v>
      </c>
      <c r="BN544" s="13">
        <v>277.77360176711898</v>
      </c>
      <c r="BO544" s="13" t="s">
        <v>169</v>
      </c>
      <c r="BP544" s="13">
        <v>298.10759386198703</v>
      </c>
      <c r="BQ544" s="13" t="s">
        <v>169</v>
      </c>
      <c r="BT544" s="298" t="str">
        <f>+VLOOKUP(G544,Liste!$A$7:$H$50,8,FALSE)</f>
        <v>Résineux</v>
      </c>
      <c r="BU544" s="298">
        <f t="shared" si="170"/>
        <v>0</v>
      </c>
      <c r="BV544" s="300">
        <f t="shared" si="171"/>
        <v>1</v>
      </c>
      <c r="BW544" s="321">
        <v>0</v>
      </c>
      <c r="BX544" s="298">
        <f t="shared" si="172"/>
        <v>0.43</v>
      </c>
      <c r="BY544">
        <f t="shared" si="173"/>
        <v>0</v>
      </c>
      <c r="BZ544" s="304">
        <f t="shared" si="174"/>
        <v>35.175133507697758</v>
      </c>
      <c r="CB544" s="299">
        <v>0.6</v>
      </c>
      <c r="CC544" s="299">
        <v>0.4</v>
      </c>
      <c r="CD544">
        <f t="shared" si="175"/>
        <v>0</v>
      </c>
      <c r="CE544">
        <f t="shared" si="176"/>
        <v>0</v>
      </c>
      <c r="CF544">
        <f t="shared" si="177"/>
        <v>0</v>
      </c>
      <c r="CG544">
        <f t="shared" si="178"/>
        <v>0</v>
      </c>
      <c r="CH544">
        <f t="shared" si="179"/>
        <v>0</v>
      </c>
      <c r="CI544">
        <f t="shared" si="180"/>
        <v>0</v>
      </c>
      <c r="CJ544">
        <f t="shared" si="181"/>
        <v>0</v>
      </c>
      <c r="CK544">
        <f t="shared" si="182"/>
        <v>33.140443401768586</v>
      </c>
      <c r="CL544">
        <f t="shared" si="183"/>
        <v>4.641512486101667</v>
      </c>
      <c r="CM544">
        <f t="shared" si="185"/>
        <v>37.781955887870254</v>
      </c>
      <c r="CN544">
        <f t="shared" si="184"/>
        <v>303.90014220687283</v>
      </c>
      <c r="CO544">
        <f t="shared" si="168"/>
        <v>0</v>
      </c>
    </row>
    <row r="545" spans="1:93" s="12" customFormat="1" ht="14.65" customHeight="1" x14ac:dyDescent="0.25">
      <c r="A545" s="4">
        <v>2021</v>
      </c>
      <c r="B545" s="4"/>
      <c r="C545" s="4" t="s">
        <v>418</v>
      </c>
      <c r="D545" s="4" t="s">
        <v>65</v>
      </c>
      <c r="E545" s="4"/>
      <c r="F545" s="4" t="s">
        <v>90</v>
      </c>
      <c r="G545" s="5" t="s">
        <v>419</v>
      </c>
      <c r="H545" s="5" t="s">
        <v>21</v>
      </c>
      <c r="I545" s="5" t="s">
        <v>18</v>
      </c>
      <c r="J545" s="5" t="s">
        <v>9</v>
      </c>
      <c r="K545" s="5">
        <v>27.5</v>
      </c>
      <c r="L545" s="5">
        <v>55</v>
      </c>
      <c r="M545" s="5">
        <v>1250</v>
      </c>
      <c r="N545" s="5" t="s">
        <v>171</v>
      </c>
      <c r="O545" s="6" t="s">
        <v>81</v>
      </c>
      <c r="P545" s="6" t="s">
        <v>420</v>
      </c>
      <c r="Q545" s="6"/>
      <c r="R545" s="6"/>
      <c r="S545" s="6">
        <v>14</v>
      </c>
      <c r="T545" s="6">
        <v>11</v>
      </c>
      <c r="U545" s="6">
        <v>1251</v>
      </c>
      <c r="V545" s="6">
        <v>25.56</v>
      </c>
      <c r="W545" s="6">
        <v>13</v>
      </c>
      <c r="X545" s="6">
        <v>239</v>
      </c>
      <c r="Y545" s="6">
        <v>629</v>
      </c>
      <c r="Z545" s="6">
        <v>324</v>
      </c>
      <c r="AA545" s="6">
        <v>46</v>
      </c>
      <c r="AB545" s="6">
        <v>0</v>
      </c>
      <c r="AC545" s="7">
        <v>24</v>
      </c>
      <c r="AD545" s="7" t="s">
        <v>52</v>
      </c>
      <c r="AE545" s="7">
        <v>18.010000000000002</v>
      </c>
      <c r="AF545" s="7">
        <v>604</v>
      </c>
      <c r="AG545" s="7">
        <v>33.15</v>
      </c>
      <c r="AH545" s="7">
        <v>26.44</v>
      </c>
      <c r="AI545" s="7">
        <v>34.86</v>
      </c>
      <c r="AJ545" s="9">
        <v>263.15974725119099</v>
      </c>
      <c r="AK545" s="9">
        <v>264.68488179963401</v>
      </c>
      <c r="AL545" s="9">
        <v>299.20553811210198</v>
      </c>
      <c r="AM545" s="9">
        <v>48.0902190314847</v>
      </c>
      <c r="AN545" s="9">
        <v>2.0037591263118602</v>
      </c>
      <c r="AO545" s="9">
        <v>1.7105165393560899</v>
      </c>
      <c r="AP545" s="9">
        <v>402.066518562932</v>
      </c>
      <c r="AQ545" s="9">
        <v>16.752771606788802</v>
      </c>
      <c r="AR545" s="9">
        <v>23.1662452419421</v>
      </c>
      <c r="AS545" s="8" t="s">
        <v>169</v>
      </c>
      <c r="AT545" s="8" t="s">
        <v>169</v>
      </c>
      <c r="AU545" s="10" t="s">
        <v>169</v>
      </c>
      <c r="AV545" s="10">
        <v>0</v>
      </c>
      <c r="AW545" s="8"/>
      <c r="AX545" s="10" t="s">
        <v>169</v>
      </c>
      <c r="AY545" s="10"/>
      <c r="AZ545" s="10"/>
      <c r="BA545" s="10"/>
      <c r="BB545" s="8"/>
      <c r="BC545" s="8"/>
      <c r="BD545" s="8"/>
      <c r="BE545" s="8"/>
      <c r="BF545" s="12">
        <v>0.46</v>
      </c>
      <c r="BG545" s="13">
        <v>239.71350361747901</v>
      </c>
      <c r="BH545" s="96" t="str">
        <f>+VLOOKUP(G545,Liste!$A$7:$G$50,3,FALSE)</f>
        <v>Pin Maritime</v>
      </c>
      <c r="BI545" s="96" t="str">
        <f>+VLOOKUP(H545,Liste!$B$7:$G$50,5,FALSE)</f>
        <v>GS Pineraies des plaines du Centre et du Nord Ouest</v>
      </c>
      <c r="BJ545" s="135">
        <f t="shared" si="167"/>
        <v>24</v>
      </c>
      <c r="BK545" s="135" t="str">
        <f t="shared" si="169"/>
        <v>Pin Maritime_F1_Classique_GS Pineraies des plaines du Centre et du Nord Ouest_24_</v>
      </c>
      <c r="BL545" s="322"/>
      <c r="BM545" s="13">
        <v>62.272555463787697</v>
      </c>
      <c r="BN545" s="13">
        <v>301.986059081267</v>
      </c>
      <c r="BO545" s="13" t="s">
        <v>169</v>
      </c>
      <c r="BP545" s="13">
        <v>298.10759386198703</v>
      </c>
      <c r="BQ545" s="13">
        <v>22.602492970668699</v>
      </c>
      <c r="BT545" s="298" t="str">
        <f>+VLOOKUP(G545,Liste!$A$7:$H$50,8,FALSE)</f>
        <v>Résineux</v>
      </c>
      <c r="BU545" s="298">
        <f t="shared" si="170"/>
        <v>0</v>
      </c>
      <c r="BV545" s="300">
        <f t="shared" si="171"/>
        <v>1</v>
      </c>
      <c r="BW545" s="321">
        <v>0</v>
      </c>
      <c r="BX545" s="298">
        <f t="shared" si="172"/>
        <v>0.43</v>
      </c>
      <c r="BY545">
        <f t="shared" si="173"/>
        <v>0</v>
      </c>
      <c r="BZ545" s="304">
        <f t="shared" si="174"/>
        <v>35.175133507697758</v>
      </c>
      <c r="CB545" s="299">
        <v>0.6</v>
      </c>
      <c r="CC545" s="299">
        <v>0.4</v>
      </c>
      <c r="CD545">
        <f t="shared" si="175"/>
        <v>0</v>
      </c>
      <c r="CE545">
        <f t="shared" si="176"/>
        <v>0</v>
      </c>
      <c r="CF545">
        <f t="shared" si="177"/>
        <v>0</v>
      </c>
      <c r="CG545">
        <f t="shared" si="178"/>
        <v>0</v>
      </c>
      <c r="CH545">
        <f t="shared" si="179"/>
        <v>0</v>
      </c>
      <c r="CI545">
        <f t="shared" si="180"/>
        <v>0</v>
      </c>
      <c r="CJ545">
        <f t="shared" si="181"/>
        <v>0</v>
      </c>
      <c r="CK545">
        <f t="shared" si="182"/>
        <v>32.23421623416705</v>
      </c>
      <c r="CL545">
        <f t="shared" si="183"/>
        <v>3.2820449538845198</v>
      </c>
      <c r="CM545">
        <f t="shared" si="185"/>
        <v>35.516261188051573</v>
      </c>
      <c r="CN545">
        <f t="shared" si="184"/>
        <v>339.41640339492437</v>
      </c>
      <c r="CO545">
        <f t="shared" si="168"/>
        <v>0</v>
      </c>
    </row>
    <row r="546" spans="1:93" s="12" customFormat="1" ht="14.65" customHeight="1" x14ac:dyDescent="0.25">
      <c r="A546" s="4">
        <v>2021</v>
      </c>
      <c r="B546" s="4"/>
      <c r="C546" s="4" t="s">
        <v>418</v>
      </c>
      <c r="D546" s="4" t="s">
        <v>65</v>
      </c>
      <c r="E546" s="4"/>
      <c r="F546" s="4" t="s">
        <v>90</v>
      </c>
      <c r="G546" s="5" t="s">
        <v>419</v>
      </c>
      <c r="H546" s="5" t="s">
        <v>21</v>
      </c>
      <c r="I546" s="5" t="s">
        <v>18</v>
      </c>
      <c r="J546" s="5" t="s">
        <v>9</v>
      </c>
      <c r="K546" s="5">
        <v>27.5</v>
      </c>
      <c r="L546" s="5">
        <v>55</v>
      </c>
      <c r="M546" s="5">
        <v>1250</v>
      </c>
      <c r="N546" s="5" t="s">
        <v>171</v>
      </c>
      <c r="O546" s="6" t="s">
        <v>81</v>
      </c>
      <c r="P546" s="6" t="s">
        <v>420</v>
      </c>
      <c r="Q546" s="6"/>
      <c r="R546" s="6"/>
      <c r="S546" s="6">
        <v>14</v>
      </c>
      <c r="T546" s="6">
        <v>11</v>
      </c>
      <c r="U546" s="6">
        <v>1251</v>
      </c>
      <c r="V546" s="6">
        <v>25.56</v>
      </c>
      <c r="W546" s="6">
        <v>13</v>
      </c>
      <c r="X546" s="6">
        <v>239</v>
      </c>
      <c r="Y546" s="6">
        <v>629</v>
      </c>
      <c r="Z546" s="6">
        <v>324</v>
      </c>
      <c r="AA546" s="6">
        <v>46</v>
      </c>
      <c r="AB546" s="6">
        <v>0</v>
      </c>
      <c r="AC546" s="7">
        <v>24</v>
      </c>
      <c r="AD546" s="7" t="s">
        <v>53</v>
      </c>
      <c r="AE546" s="7">
        <v>17.940000000000001</v>
      </c>
      <c r="AF546" s="7">
        <v>452</v>
      </c>
      <c r="AG546" s="7">
        <v>26.99</v>
      </c>
      <c r="AH546" s="7">
        <v>27.57</v>
      </c>
      <c r="AI546" s="7">
        <v>34.46</v>
      </c>
      <c r="AJ546" s="9">
        <v>217.158608540004</v>
      </c>
      <c r="AK546" s="9">
        <v>218.47455415885</v>
      </c>
      <c r="AL546" s="9">
        <v>246.46112557389901</v>
      </c>
      <c r="AM546" s="9">
        <v>48.0902190314847</v>
      </c>
      <c r="AN546" s="9">
        <v>2.0037591263118602</v>
      </c>
      <c r="AO546" s="9">
        <v>1.7105165393560899</v>
      </c>
      <c r="AP546" s="9">
        <v>402.066518562932</v>
      </c>
      <c r="AQ546" s="9">
        <v>16.752771606788802</v>
      </c>
      <c r="AR546" s="9">
        <v>23.1662452419421</v>
      </c>
      <c r="AS546" s="8">
        <v>152</v>
      </c>
      <c r="AT546" s="8">
        <v>6.16</v>
      </c>
      <c r="AU546" s="10">
        <v>22.715569080607008</v>
      </c>
      <c r="AV546" s="10">
        <v>46.001138711186996</v>
      </c>
      <c r="AW546" s="8">
        <v>0.74</v>
      </c>
      <c r="AX546" s="10">
        <v>0.30263907046833549</v>
      </c>
      <c r="AY546" s="10"/>
      <c r="AZ546" s="10"/>
      <c r="BA546" s="10"/>
      <c r="BB546" s="8"/>
      <c r="BC546" s="8"/>
      <c r="BD546" s="8"/>
      <c r="BE546" s="8"/>
      <c r="BF546" s="12">
        <v>0.46</v>
      </c>
      <c r="BG546" s="13">
        <v>197.45643843895499</v>
      </c>
      <c r="BH546" s="96" t="str">
        <f>+VLOOKUP(G546,Liste!$A$7:$G$50,3,FALSE)</f>
        <v>Pin Maritime</v>
      </c>
      <c r="BI546" s="96" t="str">
        <f>+VLOOKUP(H546,Liste!$B$7:$G$50,5,FALSE)</f>
        <v>GS Pineraies des plaines du Centre et du Nord Ouest</v>
      </c>
      <c r="BJ546" s="135">
        <f t="shared" si="167"/>
        <v>24</v>
      </c>
      <c r="BK546" s="135" t="str">
        <f t="shared" si="169"/>
        <v>Pin Maritime_F1_Classique_GS Pineraies des plaines du Centre et du Nord Ouest_24_</v>
      </c>
      <c r="BL546" s="322"/>
      <c r="BM546" s="13">
        <v>52.466106392063899</v>
      </c>
      <c r="BN546" s="13">
        <v>249.922544831019</v>
      </c>
      <c r="BO546" s="13">
        <v>52.063514250248005</v>
      </c>
      <c r="BP546" s="13">
        <v>298.10759386198703</v>
      </c>
      <c r="BQ546" s="13">
        <v>22.602492970668699</v>
      </c>
      <c r="BT546" s="298" t="str">
        <f>+VLOOKUP(G546,Liste!$A$7:$H$50,8,FALSE)</f>
        <v>Résineux</v>
      </c>
      <c r="BU546" s="298">
        <f t="shared" si="170"/>
        <v>0</v>
      </c>
      <c r="BV546" s="300">
        <f t="shared" si="171"/>
        <v>1</v>
      </c>
      <c r="BW546" s="321">
        <v>0</v>
      </c>
      <c r="BX546" s="298">
        <f t="shared" si="172"/>
        <v>0.43</v>
      </c>
      <c r="BY546">
        <f t="shared" si="173"/>
        <v>19.780489645810409</v>
      </c>
      <c r="BZ546" s="304">
        <f t="shared" si="174"/>
        <v>54.955623153508171</v>
      </c>
      <c r="CB546" s="299">
        <v>0.6</v>
      </c>
      <c r="CC546" s="299">
        <v>0.4</v>
      </c>
      <c r="CD546">
        <f t="shared" si="175"/>
        <v>0</v>
      </c>
      <c r="CE546">
        <f t="shared" si="176"/>
        <v>27.600683226712196</v>
      </c>
      <c r="CF546">
        <f t="shared" si="177"/>
        <v>18.400455484474801</v>
      </c>
      <c r="CG546">
        <f t="shared" si="178"/>
        <v>0</v>
      </c>
      <c r="CH546">
        <f t="shared" si="179"/>
        <v>22.112747378467592</v>
      </c>
      <c r="CI546">
        <f t="shared" si="180"/>
        <v>14.741831585645061</v>
      </c>
      <c r="CJ546">
        <f t="shared" si="181"/>
        <v>0</v>
      </c>
      <c r="CK546">
        <f t="shared" si="182"/>
        <v>31.352769896119991</v>
      </c>
      <c r="CL546">
        <f t="shared" si="183"/>
        <v>2.3207562430508339</v>
      </c>
      <c r="CM546">
        <f t="shared" si="185"/>
        <v>33.673526139170825</v>
      </c>
      <c r="CN546">
        <f t="shared" si="184"/>
        <v>373.08992953409518</v>
      </c>
      <c r="CO546">
        <f t="shared" si="168"/>
        <v>0</v>
      </c>
    </row>
    <row r="547" spans="1:93" s="12" customFormat="1" ht="14.65" customHeight="1" x14ac:dyDescent="0.25">
      <c r="A547" s="4">
        <v>2021</v>
      </c>
      <c r="B547" s="4"/>
      <c r="C547" s="4" t="s">
        <v>418</v>
      </c>
      <c r="D547" s="4" t="s">
        <v>65</v>
      </c>
      <c r="E547" s="4"/>
      <c r="F547" s="4" t="s">
        <v>90</v>
      </c>
      <c r="G547" s="5" t="s">
        <v>419</v>
      </c>
      <c r="H547" s="5" t="s">
        <v>21</v>
      </c>
      <c r="I547" s="5" t="s">
        <v>18</v>
      </c>
      <c r="J547" s="5" t="s">
        <v>9</v>
      </c>
      <c r="K547" s="5">
        <v>27.5</v>
      </c>
      <c r="L547" s="5">
        <v>55</v>
      </c>
      <c r="M547" s="5">
        <v>1250</v>
      </c>
      <c r="N547" s="5" t="s">
        <v>171</v>
      </c>
      <c r="O547" s="6" t="s">
        <v>81</v>
      </c>
      <c r="P547" s="6" t="s">
        <v>420</v>
      </c>
      <c r="Q547" s="6"/>
      <c r="R547" s="6"/>
      <c r="S547" s="6">
        <v>14</v>
      </c>
      <c r="T547" s="6">
        <v>11</v>
      </c>
      <c r="U547" s="6">
        <v>1251</v>
      </c>
      <c r="V547" s="6">
        <v>25.56</v>
      </c>
      <c r="W547" s="6">
        <v>13</v>
      </c>
      <c r="X547" s="6">
        <v>239</v>
      </c>
      <c r="Y547" s="6">
        <v>629</v>
      </c>
      <c r="Z547" s="6">
        <v>324</v>
      </c>
      <c r="AA547" s="6">
        <v>46</v>
      </c>
      <c r="AB547" s="6">
        <v>0</v>
      </c>
      <c r="AC547" s="7">
        <v>25</v>
      </c>
      <c r="AD547" s="7" t="s">
        <v>52</v>
      </c>
      <c r="AE547" s="7">
        <v>18.600000000000001</v>
      </c>
      <c r="AF547" s="7">
        <v>452</v>
      </c>
      <c r="AG547" s="7">
        <v>28.73</v>
      </c>
      <c r="AH547" s="7">
        <v>28.45</v>
      </c>
      <c r="AI547" s="7">
        <v>35.630000000000003</v>
      </c>
      <c r="AJ547" s="9">
        <v>238.845265347393</v>
      </c>
      <c r="AK547" s="9">
        <v>240.26894635565799</v>
      </c>
      <c r="AL547" s="9">
        <v>269.627370815841</v>
      </c>
      <c r="AM547" s="9" t="s">
        <v>169</v>
      </c>
      <c r="AN547" s="9" t="s">
        <v>169</v>
      </c>
      <c r="AO547" s="9" t="s">
        <v>169</v>
      </c>
      <c r="AP547" s="9" t="s">
        <v>169</v>
      </c>
      <c r="AQ547" s="9" t="s">
        <v>169</v>
      </c>
      <c r="AR547" s="9" t="s">
        <v>169</v>
      </c>
      <c r="AS547" s="8" t="s">
        <v>169</v>
      </c>
      <c r="AT547" s="8" t="s">
        <v>169</v>
      </c>
      <c r="AU547" s="10" t="s">
        <v>169</v>
      </c>
      <c r="AV547" s="10">
        <v>0</v>
      </c>
      <c r="AW547" s="8"/>
      <c r="AX547" s="10" t="s">
        <v>169</v>
      </c>
      <c r="AY547" s="10"/>
      <c r="AZ547" s="10"/>
      <c r="BA547" s="10"/>
      <c r="BB547" s="8"/>
      <c r="BC547" s="8"/>
      <c r="BD547" s="8"/>
      <c r="BE547" s="8"/>
      <c r="BF547" s="12">
        <v>0.46</v>
      </c>
      <c r="BG547" s="13">
        <v>216.016461918624</v>
      </c>
      <c r="BH547" s="96" t="str">
        <f>+VLOOKUP(G547,Liste!$A$7:$G$50,3,FALSE)</f>
        <v>Pin Maritime</v>
      </c>
      <c r="BI547" s="96" t="str">
        <f>+VLOOKUP(H547,Liste!$B$7:$G$50,5,FALSE)</f>
        <v>GS Pineraies des plaines du Centre et du Nord Ouest</v>
      </c>
      <c r="BJ547" s="135">
        <f t="shared" si="167"/>
        <v>25</v>
      </c>
      <c r="BK547" s="135" t="str">
        <f t="shared" si="169"/>
        <v>Pin Maritime_F1_Classique_GS Pineraies des plaines du Centre et du Nord Ouest_25_</v>
      </c>
      <c r="BL547" s="322"/>
      <c r="BM547" s="13">
        <v>56.703964503663002</v>
      </c>
      <c r="BN547" s="13">
        <v>272.72042642228701</v>
      </c>
      <c r="BO547" s="13" t="s">
        <v>169</v>
      </c>
      <c r="BP547" s="13">
        <v>298.10759386198703</v>
      </c>
      <c r="BQ547" s="13" t="s">
        <v>169</v>
      </c>
      <c r="BT547" s="298" t="str">
        <f>+VLOOKUP(G547,Liste!$A$7:$H$50,8,FALSE)</f>
        <v>Résineux</v>
      </c>
      <c r="BU547" s="298">
        <f t="shared" si="170"/>
        <v>0</v>
      </c>
      <c r="BV547" s="300">
        <f t="shared" si="171"/>
        <v>1</v>
      </c>
      <c r="BW547" s="321">
        <v>0</v>
      </c>
      <c r="BX547" s="298">
        <f t="shared" si="172"/>
        <v>0.43</v>
      </c>
      <c r="BY547">
        <f t="shared" si="173"/>
        <v>0</v>
      </c>
      <c r="BZ547" s="304">
        <f t="shared" si="174"/>
        <v>54.955623153508171</v>
      </c>
      <c r="CB547" s="299">
        <v>0.6</v>
      </c>
      <c r="CC547" s="299">
        <v>0.4</v>
      </c>
      <c r="CD547">
        <f t="shared" si="175"/>
        <v>0</v>
      </c>
      <c r="CE547">
        <f t="shared" si="176"/>
        <v>0</v>
      </c>
      <c r="CF547">
        <f t="shared" si="177"/>
        <v>0</v>
      </c>
      <c r="CG547">
        <f t="shared" si="178"/>
        <v>0</v>
      </c>
      <c r="CH547">
        <f t="shared" si="179"/>
        <v>0</v>
      </c>
      <c r="CI547">
        <f t="shared" si="180"/>
        <v>0</v>
      </c>
      <c r="CJ547">
        <f t="shared" si="181"/>
        <v>0</v>
      </c>
      <c r="CK547">
        <f t="shared" si="182"/>
        <v>52.304439936796967</v>
      </c>
      <c r="CL547">
        <f t="shared" si="183"/>
        <v>14.099509290197037</v>
      </c>
      <c r="CM547">
        <f t="shared" si="185"/>
        <v>66.403949226994001</v>
      </c>
      <c r="CN547">
        <f t="shared" si="184"/>
        <v>439.49387876108915</v>
      </c>
      <c r="CO547">
        <f t="shared" si="168"/>
        <v>0</v>
      </c>
    </row>
    <row r="548" spans="1:93" s="12" customFormat="1" ht="14.65" customHeight="1" x14ac:dyDescent="0.25">
      <c r="A548" s="4">
        <v>2021</v>
      </c>
      <c r="B548" s="4"/>
      <c r="C548" s="4" t="s">
        <v>418</v>
      </c>
      <c r="D548" s="4" t="s">
        <v>65</v>
      </c>
      <c r="E548" s="4"/>
      <c r="F548" s="4" t="s">
        <v>90</v>
      </c>
      <c r="G548" s="5" t="s">
        <v>419</v>
      </c>
      <c r="H548" s="5" t="s">
        <v>21</v>
      </c>
      <c r="I548" s="5" t="s">
        <v>18</v>
      </c>
      <c r="J548" s="5" t="s">
        <v>9</v>
      </c>
      <c r="K548" s="5">
        <v>27.5</v>
      </c>
      <c r="L548" s="5">
        <v>55</v>
      </c>
      <c r="M548" s="5">
        <v>1250</v>
      </c>
      <c r="N548" s="5" t="s">
        <v>171</v>
      </c>
      <c r="O548" s="6" t="s">
        <v>81</v>
      </c>
      <c r="P548" s="6" t="s">
        <v>420</v>
      </c>
      <c r="Q548" s="6"/>
      <c r="R548" s="6"/>
      <c r="S548" s="6">
        <v>14</v>
      </c>
      <c r="T548" s="6">
        <v>11</v>
      </c>
      <c r="U548" s="6">
        <v>1251</v>
      </c>
      <c r="V548" s="6">
        <v>25.56</v>
      </c>
      <c r="W548" s="6">
        <v>13</v>
      </c>
      <c r="X548" s="6">
        <v>239</v>
      </c>
      <c r="Y548" s="6">
        <v>629</v>
      </c>
      <c r="Z548" s="6">
        <v>324</v>
      </c>
      <c r="AA548" s="6">
        <v>46</v>
      </c>
      <c r="AB548" s="6">
        <v>0</v>
      </c>
      <c r="AC548" s="7">
        <v>26</v>
      </c>
      <c r="AD548" s="7" t="s">
        <v>52</v>
      </c>
      <c r="AE548" s="7">
        <v>19.14</v>
      </c>
      <c r="AF548" s="7">
        <v>452</v>
      </c>
      <c r="AG548" s="7">
        <v>30.46</v>
      </c>
      <c r="AH548" s="7">
        <v>29.29</v>
      </c>
      <c r="AI548" s="7">
        <v>36.76</v>
      </c>
      <c r="AJ548" s="9">
        <v>260.53192215478202</v>
      </c>
      <c r="AK548" s="9">
        <v>262.06333855246498</v>
      </c>
      <c r="AL548" s="9">
        <v>292.79361605778303</v>
      </c>
      <c r="AM548" s="9" t="s">
        <v>169</v>
      </c>
      <c r="AN548" s="9" t="s">
        <v>169</v>
      </c>
      <c r="AO548" s="9" t="s">
        <v>169</v>
      </c>
      <c r="AP548" s="9" t="s">
        <v>169</v>
      </c>
      <c r="AQ548" s="9" t="s">
        <v>169</v>
      </c>
      <c r="AR548" s="9" t="s">
        <v>169</v>
      </c>
      <c r="AS548" s="8" t="s">
        <v>169</v>
      </c>
      <c r="AT548" s="8" t="s">
        <v>169</v>
      </c>
      <c r="AU548" s="10" t="s">
        <v>169</v>
      </c>
      <c r="AV548" s="10">
        <v>0</v>
      </c>
      <c r="AW548" s="8"/>
      <c r="AX548" s="10" t="s">
        <v>169</v>
      </c>
      <c r="AY548" s="10"/>
      <c r="AZ548" s="10"/>
      <c r="BA548" s="10"/>
      <c r="BB548" s="8"/>
      <c r="BC548" s="8"/>
      <c r="BD548" s="8"/>
      <c r="BE548" s="8"/>
      <c r="BF548" s="12">
        <v>0.46</v>
      </c>
      <c r="BG548" s="13">
        <v>234.57648539829401</v>
      </c>
      <c r="BH548" s="96" t="str">
        <f>+VLOOKUP(G548,Liste!$A$7:$G$50,3,FALSE)</f>
        <v>Pin Maritime</v>
      </c>
      <c r="BI548" s="96" t="str">
        <f>+VLOOKUP(H548,Liste!$B$7:$G$50,5,FALSE)</f>
        <v>GS Pineraies des plaines du Centre et du Nord Ouest</v>
      </c>
      <c r="BJ548" s="135">
        <f t="shared" si="167"/>
        <v>26</v>
      </c>
      <c r="BK548" s="135" t="str">
        <f t="shared" si="169"/>
        <v>Pin Maritime_F1_Classique_GS Pineraies des plaines du Centre et du Nord Ouest_26_</v>
      </c>
      <c r="BL548" s="322"/>
      <c r="BM548" s="13">
        <v>60.941822615261998</v>
      </c>
      <c r="BN548" s="13">
        <v>295.51830801355601</v>
      </c>
      <c r="BO548" s="13" t="s">
        <v>169</v>
      </c>
      <c r="BP548" s="13">
        <v>298.10759386198703</v>
      </c>
      <c r="BQ548" s="13" t="s">
        <v>169</v>
      </c>
      <c r="BT548" s="298" t="str">
        <f>+VLOOKUP(G548,Liste!$A$7:$H$50,8,FALSE)</f>
        <v>Résineux</v>
      </c>
      <c r="BU548" s="298">
        <f t="shared" si="170"/>
        <v>0</v>
      </c>
      <c r="BV548" s="300">
        <f t="shared" si="171"/>
        <v>1</v>
      </c>
      <c r="BW548" s="321">
        <v>0</v>
      </c>
      <c r="BX548" s="298">
        <f t="shared" si="172"/>
        <v>0.43</v>
      </c>
      <c r="BY548">
        <f t="shared" si="173"/>
        <v>0</v>
      </c>
      <c r="BZ548" s="304">
        <f t="shared" si="174"/>
        <v>54.955623153508171</v>
      </c>
      <c r="CB548" s="299">
        <v>0.6</v>
      </c>
      <c r="CC548" s="299">
        <v>0.4</v>
      </c>
      <c r="CD548">
        <f t="shared" si="175"/>
        <v>0</v>
      </c>
      <c r="CE548">
        <f t="shared" si="176"/>
        <v>0</v>
      </c>
      <c r="CF548">
        <f t="shared" si="177"/>
        <v>0</v>
      </c>
      <c r="CG548">
        <f t="shared" si="178"/>
        <v>0</v>
      </c>
      <c r="CH548">
        <f t="shared" si="179"/>
        <v>0</v>
      </c>
      <c r="CI548">
        <f t="shared" si="180"/>
        <v>0</v>
      </c>
      <c r="CJ548">
        <f t="shared" si="181"/>
        <v>0</v>
      </c>
      <c r="CK548">
        <f t="shared" si="182"/>
        <v>50.874172276154304</v>
      </c>
      <c r="CL548">
        <f t="shared" si="183"/>
        <v>9.9698586305010508</v>
      </c>
      <c r="CM548">
        <f t="shared" si="185"/>
        <v>60.844030906655355</v>
      </c>
      <c r="CN548">
        <f t="shared" si="184"/>
        <v>500.3379096677445</v>
      </c>
      <c r="CO548">
        <f t="shared" si="168"/>
        <v>0</v>
      </c>
    </row>
    <row r="549" spans="1:93" s="12" customFormat="1" ht="14.65" customHeight="1" x14ac:dyDescent="0.25">
      <c r="A549" s="4">
        <v>2021</v>
      </c>
      <c r="B549" s="4"/>
      <c r="C549" s="4" t="s">
        <v>418</v>
      </c>
      <c r="D549" s="4" t="s">
        <v>65</v>
      </c>
      <c r="E549" s="4"/>
      <c r="F549" s="4" t="s">
        <v>90</v>
      </c>
      <c r="G549" s="5" t="s">
        <v>419</v>
      </c>
      <c r="H549" s="5" t="s">
        <v>21</v>
      </c>
      <c r="I549" s="5" t="s">
        <v>18</v>
      </c>
      <c r="J549" s="5" t="s">
        <v>9</v>
      </c>
      <c r="K549" s="5">
        <v>27.5</v>
      </c>
      <c r="L549" s="5">
        <v>55</v>
      </c>
      <c r="M549" s="5">
        <v>1250</v>
      </c>
      <c r="N549" s="5" t="s">
        <v>171</v>
      </c>
      <c r="O549" s="6" t="s">
        <v>81</v>
      </c>
      <c r="P549" s="6" t="s">
        <v>420</v>
      </c>
      <c r="Q549" s="6"/>
      <c r="R549" s="6"/>
      <c r="S549" s="6">
        <v>14</v>
      </c>
      <c r="T549" s="6">
        <v>11</v>
      </c>
      <c r="U549" s="6">
        <v>1251</v>
      </c>
      <c r="V549" s="6">
        <v>25.56</v>
      </c>
      <c r="W549" s="6">
        <v>13</v>
      </c>
      <c r="X549" s="6">
        <v>239</v>
      </c>
      <c r="Y549" s="6">
        <v>629</v>
      </c>
      <c r="Z549" s="6">
        <v>324</v>
      </c>
      <c r="AA549" s="6">
        <v>46</v>
      </c>
      <c r="AB549" s="6">
        <v>0</v>
      </c>
      <c r="AC549" s="7">
        <v>27</v>
      </c>
      <c r="AD549" s="7" t="s">
        <v>52</v>
      </c>
      <c r="AE549" s="7">
        <v>19.670000000000002</v>
      </c>
      <c r="AF549" s="7">
        <v>452</v>
      </c>
      <c r="AG549" s="7">
        <v>32.18</v>
      </c>
      <c r="AH549" s="7">
        <v>30.11</v>
      </c>
      <c r="AI549" s="7">
        <v>37.869999999999997</v>
      </c>
      <c r="AJ549" s="9">
        <v>282.21857896217102</v>
      </c>
      <c r="AK549" s="9">
        <v>283.85773074927198</v>
      </c>
      <c r="AL549" s="9">
        <v>315.95986129972499</v>
      </c>
      <c r="AM549" s="9" t="s">
        <v>169</v>
      </c>
      <c r="AN549" s="9" t="s">
        <v>169</v>
      </c>
      <c r="AO549" s="9" t="s">
        <v>169</v>
      </c>
      <c r="AP549" s="9" t="s">
        <v>169</v>
      </c>
      <c r="AQ549" s="9" t="s">
        <v>169</v>
      </c>
      <c r="AR549" s="9" t="s">
        <v>169</v>
      </c>
      <c r="AS549" s="8" t="s">
        <v>169</v>
      </c>
      <c r="AT549" s="8" t="s">
        <v>169</v>
      </c>
      <c r="AU549" s="10" t="s">
        <v>169</v>
      </c>
      <c r="AV549" s="10">
        <v>0</v>
      </c>
      <c r="AW549" s="8"/>
      <c r="AX549" s="10" t="s">
        <v>169</v>
      </c>
      <c r="AY549" s="10"/>
      <c r="AZ549" s="10"/>
      <c r="BA549" s="10"/>
      <c r="BB549" s="8"/>
      <c r="BC549" s="8"/>
      <c r="BD549" s="8"/>
      <c r="BE549" s="8"/>
      <c r="BF549" s="12">
        <v>0.46</v>
      </c>
      <c r="BG549" s="13">
        <v>253.136508877963</v>
      </c>
      <c r="BH549" s="96" t="str">
        <f>+VLOOKUP(G549,Liste!$A$7:$G$50,3,FALSE)</f>
        <v>Pin Maritime</v>
      </c>
      <c r="BI549" s="96" t="str">
        <f>+VLOOKUP(H549,Liste!$B$7:$G$50,5,FALSE)</f>
        <v>GS Pineraies des plaines du Centre et du Nord Ouest</v>
      </c>
      <c r="BJ549" s="135">
        <f t="shared" si="167"/>
        <v>27</v>
      </c>
      <c r="BK549" s="135" t="str">
        <f t="shared" si="169"/>
        <v>Pin Maritime_F1_Classique_GS Pineraies des plaines du Centre et du Nord Ouest_27_</v>
      </c>
      <c r="BL549" s="322"/>
      <c r="BM549" s="13">
        <v>65.179680726861093</v>
      </c>
      <c r="BN549" s="13">
        <v>318.31618960482399</v>
      </c>
      <c r="BO549" s="13" t="s">
        <v>169</v>
      </c>
      <c r="BP549" s="13">
        <v>298.10759386198703</v>
      </c>
      <c r="BQ549" s="13" t="s">
        <v>169</v>
      </c>
      <c r="BT549" s="298" t="str">
        <f>+VLOOKUP(G549,Liste!$A$7:$H$50,8,FALSE)</f>
        <v>Résineux</v>
      </c>
      <c r="BU549" s="298">
        <f t="shared" si="170"/>
        <v>0</v>
      </c>
      <c r="BV549" s="300">
        <f t="shared" si="171"/>
        <v>1</v>
      </c>
      <c r="BW549" s="321">
        <v>0</v>
      </c>
      <c r="BX549" s="298">
        <f t="shared" si="172"/>
        <v>0.43</v>
      </c>
      <c r="BY549">
        <f t="shared" si="173"/>
        <v>0</v>
      </c>
      <c r="BZ549" s="304">
        <f t="shared" si="174"/>
        <v>54.955623153508171</v>
      </c>
      <c r="CB549" s="299">
        <v>0.6</v>
      </c>
      <c r="CC549" s="299">
        <v>0.4</v>
      </c>
      <c r="CD549">
        <f t="shared" si="175"/>
        <v>0</v>
      </c>
      <c r="CE549">
        <f t="shared" si="176"/>
        <v>0</v>
      </c>
      <c r="CF549">
        <f t="shared" si="177"/>
        <v>0</v>
      </c>
      <c r="CG549">
        <f t="shared" si="178"/>
        <v>0</v>
      </c>
      <c r="CH549">
        <f t="shared" si="179"/>
        <v>0</v>
      </c>
      <c r="CI549">
        <f t="shared" si="180"/>
        <v>0</v>
      </c>
      <c r="CJ549">
        <f t="shared" si="181"/>
        <v>0</v>
      </c>
      <c r="CK549">
        <f t="shared" si="182"/>
        <v>49.483015359906418</v>
      </c>
      <c r="CL549">
        <f t="shared" si="183"/>
        <v>7.0497546450985196</v>
      </c>
      <c r="CM549">
        <f t="shared" si="185"/>
        <v>56.532770005004934</v>
      </c>
      <c r="CN549">
        <f t="shared" si="184"/>
        <v>556.87067967274947</v>
      </c>
      <c r="CO549">
        <f t="shared" si="168"/>
        <v>0</v>
      </c>
    </row>
    <row r="550" spans="1:93" s="12" customFormat="1" ht="14.65" customHeight="1" x14ac:dyDescent="0.25">
      <c r="A550" s="4">
        <v>2021</v>
      </c>
      <c r="B550" s="4"/>
      <c r="C550" s="4" t="s">
        <v>418</v>
      </c>
      <c r="D550" s="4" t="s">
        <v>65</v>
      </c>
      <c r="E550" s="4"/>
      <c r="F550" s="4" t="s">
        <v>90</v>
      </c>
      <c r="G550" s="5" t="s">
        <v>419</v>
      </c>
      <c r="H550" s="5" t="s">
        <v>21</v>
      </c>
      <c r="I550" s="5" t="s">
        <v>18</v>
      </c>
      <c r="J550" s="5" t="s">
        <v>9</v>
      </c>
      <c r="K550" s="5">
        <v>27.5</v>
      </c>
      <c r="L550" s="5">
        <v>55</v>
      </c>
      <c r="M550" s="5">
        <v>1250</v>
      </c>
      <c r="N550" s="5" t="s">
        <v>171</v>
      </c>
      <c r="O550" s="6" t="s">
        <v>81</v>
      </c>
      <c r="P550" s="6" t="s">
        <v>420</v>
      </c>
      <c r="Q550" s="6"/>
      <c r="R550" s="6"/>
      <c r="S550" s="6">
        <v>14</v>
      </c>
      <c r="T550" s="6">
        <v>11</v>
      </c>
      <c r="U550" s="6">
        <v>1251</v>
      </c>
      <c r="V550" s="6">
        <v>25.56</v>
      </c>
      <c r="W550" s="6">
        <v>13</v>
      </c>
      <c r="X550" s="6">
        <v>239</v>
      </c>
      <c r="Y550" s="6">
        <v>629</v>
      </c>
      <c r="Z550" s="6">
        <v>324</v>
      </c>
      <c r="AA550" s="6">
        <v>46</v>
      </c>
      <c r="AB550" s="6">
        <v>0</v>
      </c>
      <c r="AC550" s="7">
        <v>28</v>
      </c>
      <c r="AD550" s="7" t="s">
        <v>52</v>
      </c>
      <c r="AE550" s="7">
        <v>20.2</v>
      </c>
      <c r="AF550" s="7">
        <v>452</v>
      </c>
      <c r="AG550" s="7">
        <v>33.880000000000003</v>
      </c>
      <c r="AH550" s="7">
        <v>30.89</v>
      </c>
      <c r="AI550" s="7">
        <v>38.950000000000003</v>
      </c>
      <c r="AJ550" s="9">
        <v>303.90523576956002</v>
      </c>
      <c r="AK550" s="9">
        <v>305.65212294607898</v>
      </c>
      <c r="AL550" s="9">
        <v>339.12610654166701</v>
      </c>
      <c r="AM550" s="9" t="s">
        <v>169</v>
      </c>
      <c r="AN550" s="9" t="s">
        <v>169</v>
      </c>
      <c r="AO550" s="9" t="s">
        <v>169</v>
      </c>
      <c r="AP550" s="9" t="s">
        <v>169</v>
      </c>
      <c r="AQ550" s="9" t="s">
        <v>169</v>
      </c>
      <c r="AR550" s="9" t="s">
        <v>169</v>
      </c>
      <c r="AS550" s="8" t="s">
        <v>169</v>
      </c>
      <c r="AT550" s="8" t="s">
        <v>169</v>
      </c>
      <c r="AU550" s="10" t="s">
        <v>169</v>
      </c>
      <c r="AV550" s="10">
        <v>0</v>
      </c>
      <c r="AW550" s="8"/>
      <c r="AX550" s="10" t="s">
        <v>169</v>
      </c>
      <c r="AY550" s="10"/>
      <c r="AZ550" s="10"/>
      <c r="BA550" s="10"/>
      <c r="BB550" s="8"/>
      <c r="BC550" s="8"/>
      <c r="BD550" s="8"/>
      <c r="BE550" s="8"/>
      <c r="BF550" s="12">
        <v>0.46</v>
      </c>
      <c r="BG550" s="13">
        <v>271.69653235763201</v>
      </c>
      <c r="BH550" s="96" t="str">
        <f>+VLOOKUP(G550,Liste!$A$7:$G$50,3,FALSE)</f>
        <v>Pin Maritime</v>
      </c>
      <c r="BI550" s="96" t="str">
        <f>+VLOOKUP(H550,Liste!$B$7:$G$50,5,FALSE)</f>
        <v>GS Pineraies des plaines du Centre et du Nord Ouest</v>
      </c>
      <c r="BJ550" s="135">
        <f t="shared" si="167"/>
        <v>28</v>
      </c>
      <c r="BK550" s="135" t="str">
        <f t="shared" si="169"/>
        <v>Pin Maritime_F1_Classique_GS Pineraies des plaines du Centre et du Nord Ouest_28_</v>
      </c>
      <c r="BL550" s="322"/>
      <c r="BM550" s="13">
        <v>69.417538838460104</v>
      </c>
      <c r="BN550" s="13">
        <v>341.11407119609203</v>
      </c>
      <c r="BO550" s="13" t="s">
        <v>169</v>
      </c>
      <c r="BP550" s="13">
        <v>298.10759386198703</v>
      </c>
      <c r="BQ550" s="13" t="s">
        <v>169</v>
      </c>
      <c r="BT550" s="298" t="str">
        <f>+VLOOKUP(G550,Liste!$A$7:$H$50,8,FALSE)</f>
        <v>Résineux</v>
      </c>
      <c r="BU550" s="298">
        <f t="shared" si="170"/>
        <v>0</v>
      </c>
      <c r="BV550" s="300">
        <f t="shared" si="171"/>
        <v>1</v>
      </c>
      <c r="BW550" s="321">
        <v>0</v>
      </c>
      <c r="BX550" s="298">
        <f t="shared" si="172"/>
        <v>0.43</v>
      </c>
      <c r="BY550">
        <f t="shared" si="173"/>
        <v>0</v>
      </c>
      <c r="BZ550" s="304">
        <f t="shared" si="174"/>
        <v>54.955623153508171</v>
      </c>
      <c r="CB550" s="299">
        <v>0.6</v>
      </c>
      <c r="CC550" s="299">
        <v>0.4</v>
      </c>
      <c r="CD550">
        <f t="shared" si="175"/>
        <v>0</v>
      </c>
      <c r="CE550">
        <f t="shared" si="176"/>
        <v>0</v>
      </c>
      <c r="CF550">
        <f t="shared" si="177"/>
        <v>0</v>
      </c>
      <c r="CG550">
        <f t="shared" si="178"/>
        <v>0</v>
      </c>
      <c r="CH550">
        <f t="shared" si="179"/>
        <v>0</v>
      </c>
      <c r="CI550">
        <f t="shared" si="180"/>
        <v>0</v>
      </c>
      <c r="CJ550">
        <f t="shared" si="181"/>
        <v>0</v>
      </c>
      <c r="CK550">
        <f t="shared" si="182"/>
        <v>48.129899702691091</v>
      </c>
      <c r="CL550">
        <f t="shared" si="183"/>
        <v>4.9849293152505263</v>
      </c>
      <c r="CM550">
        <f t="shared" si="185"/>
        <v>53.114829017941616</v>
      </c>
      <c r="CN550">
        <f t="shared" si="184"/>
        <v>609.98550869069106</v>
      </c>
      <c r="CO550">
        <f t="shared" si="168"/>
        <v>0</v>
      </c>
    </row>
    <row r="551" spans="1:93" s="12" customFormat="1" ht="14.65" customHeight="1" x14ac:dyDescent="0.25">
      <c r="A551" s="4">
        <v>2021</v>
      </c>
      <c r="B551" s="4"/>
      <c r="C551" s="4" t="s">
        <v>418</v>
      </c>
      <c r="D551" s="4" t="s">
        <v>65</v>
      </c>
      <c r="E551" s="4"/>
      <c r="F551" s="4" t="s">
        <v>90</v>
      </c>
      <c r="G551" s="5" t="s">
        <v>419</v>
      </c>
      <c r="H551" s="5" t="s">
        <v>21</v>
      </c>
      <c r="I551" s="5" t="s">
        <v>18</v>
      </c>
      <c r="J551" s="5" t="s">
        <v>9</v>
      </c>
      <c r="K551" s="5">
        <v>27.5</v>
      </c>
      <c r="L551" s="5">
        <v>55</v>
      </c>
      <c r="M551" s="5">
        <v>1250</v>
      </c>
      <c r="N551" s="5" t="s">
        <v>171</v>
      </c>
      <c r="O551" s="6" t="s">
        <v>81</v>
      </c>
      <c r="P551" s="6" t="s">
        <v>420</v>
      </c>
      <c r="Q551" s="6"/>
      <c r="R551" s="6"/>
      <c r="S551" s="6">
        <v>14</v>
      </c>
      <c r="T551" s="6">
        <v>11</v>
      </c>
      <c r="U551" s="6">
        <v>1251</v>
      </c>
      <c r="V551" s="6">
        <v>25.56</v>
      </c>
      <c r="W551" s="6">
        <v>13</v>
      </c>
      <c r="X551" s="6">
        <v>239</v>
      </c>
      <c r="Y551" s="6">
        <v>629</v>
      </c>
      <c r="Z551" s="6">
        <v>324</v>
      </c>
      <c r="AA551" s="6">
        <v>46</v>
      </c>
      <c r="AB551" s="6">
        <v>0</v>
      </c>
      <c r="AC551" s="7">
        <v>29</v>
      </c>
      <c r="AD551" s="7" t="s">
        <v>52</v>
      </c>
      <c r="AE551" s="7">
        <v>20.7</v>
      </c>
      <c r="AF551" s="7">
        <v>452</v>
      </c>
      <c r="AG551" s="7">
        <v>35.58</v>
      </c>
      <c r="AH551" s="7">
        <v>31.66</v>
      </c>
      <c r="AI551" s="7">
        <v>40.01</v>
      </c>
      <c r="AJ551" s="9">
        <v>325.59189257694902</v>
      </c>
      <c r="AK551" s="9">
        <v>327.44651514288699</v>
      </c>
      <c r="AL551" s="9">
        <v>362.29235178360898</v>
      </c>
      <c r="AM551" s="9" t="s">
        <v>169</v>
      </c>
      <c r="AN551" s="9" t="s">
        <v>169</v>
      </c>
      <c r="AO551" s="9" t="s">
        <v>169</v>
      </c>
      <c r="AP551" s="9" t="s">
        <v>169</v>
      </c>
      <c r="AQ551" s="9" t="s">
        <v>169</v>
      </c>
      <c r="AR551" s="9" t="s">
        <v>169</v>
      </c>
      <c r="AS551" s="8" t="s">
        <v>169</v>
      </c>
      <c r="AT551" s="8" t="s">
        <v>169</v>
      </c>
      <c r="AU551" s="10" t="s">
        <v>169</v>
      </c>
      <c r="AV551" s="10">
        <v>0</v>
      </c>
      <c r="AW551" s="8"/>
      <c r="AX551" s="10" t="s">
        <v>169</v>
      </c>
      <c r="AY551" s="10"/>
      <c r="AZ551" s="10"/>
      <c r="BA551" s="10"/>
      <c r="BB551" s="8"/>
      <c r="BC551" s="8"/>
      <c r="BD551" s="8"/>
      <c r="BE551" s="8"/>
      <c r="BF551" s="12">
        <v>0.46</v>
      </c>
      <c r="BG551" s="13">
        <v>290.25655583730202</v>
      </c>
      <c r="BH551" s="96" t="str">
        <f>+VLOOKUP(G551,Liste!$A$7:$G$50,3,FALSE)</f>
        <v>Pin Maritime</v>
      </c>
      <c r="BI551" s="96" t="str">
        <f>+VLOOKUP(H551,Liste!$B$7:$G$50,5,FALSE)</f>
        <v>GS Pineraies des plaines du Centre et du Nord Ouest</v>
      </c>
      <c r="BJ551" s="135">
        <f t="shared" si="167"/>
        <v>29</v>
      </c>
      <c r="BK551" s="135" t="str">
        <f t="shared" si="169"/>
        <v>Pin Maritime_F1_Classique_GS Pineraies des plaines du Centre et du Nord Ouest_29_</v>
      </c>
      <c r="BL551" s="322"/>
      <c r="BM551" s="13">
        <v>73.655396950059199</v>
      </c>
      <c r="BN551" s="13">
        <v>363.91195278736097</v>
      </c>
      <c r="BO551" s="13" t="s">
        <v>169</v>
      </c>
      <c r="BP551" s="13">
        <v>298.10759386198703</v>
      </c>
      <c r="BQ551" s="13" t="s">
        <v>169</v>
      </c>
      <c r="BT551" s="298" t="str">
        <f>+VLOOKUP(G551,Liste!$A$7:$H$50,8,FALSE)</f>
        <v>Résineux</v>
      </c>
      <c r="BU551" s="298">
        <f t="shared" si="170"/>
        <v>0</v>
      </c>
      <c r="BV551" s="300">
        <f t="shared" si="171"/>
        <v>1</v>
      </c>
      <c r="BW551" s="321">
        <v>0</v>
      </c>
      <c r="BX551" s="298">
        <f t="shared" si="172"/>
        <v>0.43</v>
      </c>
      <c r="BY551">
        <f t="shared" si="173"/>
        <v>0</v>
      </c>
      <c r="BZ551" s="304">
        <f t="shared" si="174"/>
        <v>54.955623153508171</v>
      </c>
      <c r="CB551" s="299">
        <v>0.6</v>
      </c>
      <c r="CC551" s="299">
        <v>0.4</v>
      </c>
      <c r="CD551">
        <f t="shared" si="175"/>
        <v>0</v>
      </c>
      <c r="CE551">
        <f t="shared" si="176"/>
        <v>0</v>
      </c>
      <c r="CF551">
        <f t="shared" si="177"/>
        <v>0</v>
      </c>
      <c r="CG551">
        <f t="shared" si="178"/>
        <v>0</v>
      </c>
      <c r="CH551">
        <f t="shared" si="179"/>
        <v>0</v>
      </c>
      <c r="CI551">
        <f t="shared" si="180"/>
        <v>0</v>
      </c>
      <c r="CJ551">
        <f t="shared" si="181"/>
        <v>0</v>
      </c>
      <c r="CK551">
        <f t="shared" si="182"/>
        <v>46.813785064279578</v>
      </c>
      <c r="CL551">
        <f t="shared" si="183"/>
        <v>3.5248773225492602</v>
      </c>
      <c r="CM551">
        <f t="shared" si="185"/>
        <v>50.338662386828837</v>
      </c>
      <c r="CN551">
        <f t="shared" si="184"/>
        <v>660.32417107751985</v>
      </c>
      <c r="CO551">
        <f t="shared" si="168"/>
        <v>0</v>
      </c>
    </row>
    <row r="552" spans="1:93" s="12" customFormat="1" ht="14.65" customHeight="1" x14ac:dyDescent="0.25">
      <c r="A552" s="4">
        <v>2021</v>
      </c>
      <c r="B552" s="4"/>
      <c r="C552" s="4" t="s">
        <v>418</v>
      </c>
      <c r="D552" s="4" t="s">
        <v>65</v>
      </c>
      <c r="E552" s="4"/>
      <c r="F552" s="4" t="s">
        <v>90</v>
      </c>
      <c r="G552" s="5" t="s">
        <v>419</v>
      </c>
      <c r="H552" s="5" t="s">
        <v>21</v>
      </c>
      <c r="I552" s="5" t="s">
        <v>18</v>
      </c>
      <c r="J552" s="5" t="s">
        <v>9</v>
      </c>
      <c r="K552" s="5">
        <v>27.5</v>
      </c>
      <c r="L552" s="5">
        <v>55</v>
      </c>
      <c r="M552" s="5">
        <v>1250</v>
      </c>
      <c r="N552" s="5" t="s">
        <v>171</v>
      </c>
      <c r="O552" s="6" t="s">
        <v>81</v>
      </c>
      <c r="P552" s="6" t="s">
        <v>420</v>
      </c>
      <c r="Q552" s="6"/>
      <c r="R552" s="6"/>
      <c r="S552" s="6">
        <v>14</v>
      </c>
      <c r="T552" s="6">
        <v>11</v>
      </c>
      <c r="U552" s="6">
        <v>1251</v>
      </c>
      <c r="V552" s="6">
        <v>25.56</v>
      </c>
      <c r="W552" s="6">
        <v>13</v>
      </c>
      <c r="X552" s="6">
        <v>239</v>
      </c>
      <c r="Y552" s="6">
        <v>629</v>
      </c>
      <c r="Z552" s="6">
        <v>324</v>
      </c>
      <c r="AA552" s="6">
        <v>46</v>
      </c>
      <c r="AB552" s="6">
        <v>0</v>
      </c>
      <c r="AC552" s="7">
        <v>30</v>
      </c>
      <c r="AD552" s="7" t="s">
        <v>52</v>
      </c>
      <c r="AE552" s="7">
        <v>21.17</v>
      </c>
      <c r="AF552" s="7">
        <v>452</v>
      </c>
      <c r="AG552" s="7">
        <v>37.25</v>
      </c>
      <c r="AH552" s="7">
        <v>32.39</v>
      </c>
      <c r="AI552" s="7">
        <v>41.04</v>
      </c>
      <c r="AJ552" s="9">
        <v>347.278549384337</v>
      </c>
      <c r="AK552" s="9">
        <v>349.24090733969399</v>
      </c>
      <c r="AL552" s="9">
        <v>385.45859702555202</v>
      </c>
      <c r="AM552" s="9">
        <v>58.353318267621198</v>
      </c>
      <c r="AN552" s="9">
        <v>1.94511060892071</v>
      </c>
      <c r="AO552" s="9">
        <v>1.46203232893208</v>
      </c>
      <c r="AP552" s="9">
        <v>541.06399001458396</v>
      </c>
      <c r="AQ552" s="9">
        <v>18.0354663338195</v>
      </c>
      <c r="AR552" s="9">
        <v>22.329883463777598</v>
      </c>
      <c r="AS552" s="8" t="s">
        <v>169</v>
      </c>
      <c r="AT552" s="8" t="s">
        <v>169</v>
      </c>
      <c r="AU552" s="10" t="s">
        <v>169</v>
      </c>
      <c r="AV552" s="10">
        <v>0</v>
      </c>
      <c r="AW552" s="8"/>
      <c r="AX552" s="10" t="s">
        <v>169</v>
      </c>
      <c r="AY552" s="10"/>
      <c r="AZ552" s="10"/>
      <c r="BA552" s="10"/>
      <c r="BB552" s="8"/>
      <c r="BC552" s="8"/>
      <c r="BD552" s="8"/>
      <c r="BE552" s="8"/>
      <c r="BF552" s="12">
        <v>0.46</v>
      </c>
      <c r="BG552" s="13">
        <v>308.816579316971</v>
      </c>
      <c r="BH552" s="96" t="str">
        <f>+VLOOKUP(G552,Liste!$A$7:$G$50,3,FALSE)</f>
        <v>Pin Maritime</v>
      </c>
      <c r="BI552" s="96" t="str">
        <f>+VLOOKUP(H552,Liste!$B$7:$G$50,5,FALSE)</f>
        <v>GS Pineraies des plaines du Centre et du Nord Ouest</v>
      </c>
      <c r="BJ552" s="135">
        <f t="shared" si="167"/>
        <v>30</v>
      </c>
      <c r="BK552" s="135" t="str">
        <f t="shared" si="169"/>
        <v>Pin Maritime_F1_Classique_GS Pineraies des plaines du Centre et du Nord Ouest_30_</v>
      </c>
      <c r="BL552" s="322"/>
      <c r="BM552" s="13">
        <v>77.893255061658195</v>
      </c>
      <c r="BN552" s="13">
        <v>386.70983437862901</v>
      </c>
      <c r="BO552" s="13" t="s">
        <v>169</v>
      </c>
      <c r="BP552" s="13">
        <v>298.10759386198703</v>
      </c>
      <c r="BQ552" s="13">
        <v>21.656893446659002</v>
      </c>
      <c r="BT552" s="298" t="str">
        <f>+VLOOKUP(G552,Liste!$A$7:$H$50,8,FALSE)</f>
        <v>Résineux</v>
      </c>
      <c r="BU552" s="298">
        <f t="shared" si="170"/>
        <v>0</v>
      </c>
      <c r="BV552" s="300">
        <f t="shared" si="171"/>
        <v>1</v>
      </c>
      <c r="BW552" s="321">
        <v>0</v>
      </c>
      <c r="BX552" s="298">
        <f t="shared" si="172"/>
        <v>0.43</v>
      </c>
      <c r="BY552">
        <f t="shared" si="173"/>
        <v>0</v>
      </c>
      <c r="BZ552" s="304">
        <f t="shared" si="174"/>
        <v>54.955623153508171</v>
      </c>
      <c r="CB552" s="299">
        <v>0.6</v>
      </c>
      <c r="CC552" s="299">
        <v>0.4</v>
      </c>
      <c r="CD552">
        <f t="shared" si="175"/>
        <v>0</v>
      </c>
      <c r="CE552">
        <f t="shared" si="176"/>
        <v>0</v>
      </c>
      <c r="CF552">
        <f t="shared" si="177"/>
        <v>0</v>
      </c>
      <c r="CG552">
        <f t="shared" si="178"/>
        <v>0</v>
      </c>
      <c r="CH552">
        <f t="shared" si="179"/>
        <v>0</v>
      </c>
      <c r="CI552">
        <f t="shared" si="180"/>
        <v>0</v>
      </c>
      <c r="CJ552">
        <f t="shared" si="181"/>
        <v>0</v>
      </c>
      <c r="CK552">
        <f t="shared" si="182"/>
        <v>45.533659649866891</v>
      </c>
      <c r="CL552">
        <f t="shared" si="183"/>
        <v>2.4924646576252636</v>
      </c>
      <c r="CM552">
        <f t="shared" si="185"/>
        <v>48.026124307492154</v>
      </c>
      <c r="CN552">
        <f t="shared" si="184"/>
        <v>708.35029538501203</v>
      </c>
      <c r="CO552">
        <f t="shared" si="168"/>
        <v>23.611676512833736</v>
      </c>
    </row>
    <row r="553" spans="1:93" s="12" customFormat="1" ht="14.65" customHeight="1" x14ac:dyDescent="0.25">
      <c r="A553" s="4">
        <v>2021</v>
      </c>
      <c r="B553" s="4"/>
      <c r="C553" s="4" t="s">
        <v>418</v>
      </c>
      <c r="D553" s="4" t="s">
        <v>65</v>
      </c>
      <c r="E553" s="4"/>
      <c r="F553" s="4" t="s">
        <v>90</v>
      </c>
      <c r="G553" s="5" t="s">
        <v>419</v>
      </c>
      <c r="H553" s="5" t="s">
        <v>21</v>
      </c>
      <c r="I553" s="5" t="s">
        <v>18</v>
      </c>
      <c r="J553" s="5" t="s">
        <v>9</v>
      </c>
      <c r="K553" s="5">
        <v>27.5</v>
      </c>
      <c r="L553" s="5">
        <v>55</v>
      </c>
      <c r="M553" s="5">
        <v>1250</v>
      </c>
      <c r="N553" s="5" t="s">
        <v>171</v>
      </c>
      <c r="O553" s="6" t="s">
        <v>81</v>
      </c>
      <c r="P553" s="6" t="s">
        <v>420</v>
      </c>
      <c r="Q553" s="6"/>
      <c r="R553" s="6"/>
      <c r="S553" s="6">
        <v>14</v>
      </c>
      <c r="T553" s="6">
        <v>11</v>
      </c>
      <c r="U553" s="6">
        <v>1251</v>
      </c>
      <c r="V553" s="6">
        <v>25.56</v>
      </c>
      <c r="W553" s="6">
        <v>13</v>
      </c>
      <c r="X553" s="6">
        <v>239</v>
      </c>
      <c r="Y553" s="6">
        <v>629</v>
      </c>
      <c r="Z553" s="6">
        <v>324</v>
      </c>
      <c r="AA553" s="6">
        <v>46</v>
      </c>
      <c r="AB553" s="6">
        <v>0</v>
      </c>
      <c r="AC553" s="7">
        <v>30</v>
      </c>
      <c r="AD553" s="7" t="s">
        <v>53</v>
      </c>
      <c r="AE553" s="7">
        <v>20.83</v>
      </c>
      <c r="AF553" s="7">
        <v>366.8</v>
      </c>
      <c r="AG553" s="7">
        <v>30.04</v>
      </c>
      <c r="AH553" s="7">
        <v>32.29</v>
      </c>
      <c r="AI553" s="7">
        <v>38.880000000000003</v>
      </c>
      <c r="AJ553" s="9">
        <v>279.847055854198</v>
      </c>
      <c r="AK553" s="9">
        <v>281.28771722070297</v>
      </c>
      <c r="AL553" s="9">
        <v>309.071705324231</v>
      </c>
      <c r="AM553" s="9">
        <v>58.353318267621198</v>
      </c>
      <c r="AN553" s="9">
        <v>1.94511060892071</v>
      </c>
      <c r="AO553" s="9">
        <v>1.46203232893208</v>
      </c>
      <c r="AP553" s="9">
        <v>541.06399001458396</v>
      </c>
      <c r="AQ553" s="9">
        <v>18.0354663338195</v>
      </c>
      <c r="AR553" s="9">
        <v>22.329883463777598</v>
      </c>
      <c r="AS553" s="8">
        <v>85.199999999999989</v>
      </c>
      <c r="AT553" s="8">
        <v>7.2100000000000009</v>
      </c>
      <c r="AU553" s="10">
        <v>32.824860893369767</v>
      </c>
      <c r="AV553" s="10">
        <v>67.431493530138994</v>
      </c>
      <c r="AW553" s="8">
        <v>1.03</v>
      </c>
      <c r="AX553" s="10">
        <v>0.79144945457909632</v>
      </c>
      <c r="AY553" s="10"/>
      <c r="AZ553" s="10"/>
      <c r="BA553" s="10"/>
      <c r="BB553" s="8"/>
      <c r="BC553" s="8"/>
      <c r="BD553" s="8"/>
      <c r="BE553" s="8"/>
      <c r="BF553" s="12">
        <v>0.46</v>
      </c>
      <c r="BG553" s="13">
        <v>247.61794791559601</v>
      </c>
      <c r="BH553" s="96" t="str">
        <f>+VLOOKUP(G553,Liste!$A$7:$G$50,3,FALSE)</f>
        <v>Pin Maritime</v>
      </c>
      <c r="BI553" s="96" t="str">
        <f>+VLOOKUP(H553,Liste!$B$7:$G$50,5,FALSE)</f>
        <v>GS Pineraies des plaines du Centre et du Nord Ouest</v>
      </c>
      <c r="BJ553" s="135">
        <f t="shared" si="167"/>
        <v>30</v>
      </c>
      <c r="BK553" s="135" t="str">
        <f t="shared" si="169"/>
        <v>Pin Maritime_F1_Classique_GS Pineraies des plaines du Centre et du Nord Ouest_30_</v>
      </c>
      <c r="BL553" s="322"/>
      <c r="BM553" s="13">
        <v>64.083507914696995</v>
      </c>
      <c r="BN553" s="13">
        <v>311.70145583029301</v>
      </c>
      <c r="BO553" s="13">
        <v>75.008378548335997</v>
      </c>
      <c r="BP553" s="13">
        <v>298.10759386198703</v>
      </c>
      <c r="BQ553" s="13">
        <v>21.656893446659002</v>
      </c>
      <c r="BT553" s="298" t="str">
        <f>+VLOOKUP(G553,Liste!$A$7:$H$50,8,FALSE)</f>
        <v>Résineux</v>
      </c>
      <c r="BU553" s="298">
        <f t="shared" si="170"/>
        <v>0</v>
      </c>
      <c r="BV553" s="300">
        <f t="shared" si="171"/>
        <v>1</v>
      </c>
      <c r="BW553" s="321">
        <v>0</v>
      </c>
      <c r="BX553" s="298">
        <f t="shared" si="172"/>
        <v>0.43</v>
      </c>
      <c r="BY553">
        <f t="shared" si="173"/>
        <v>28.995542217959766</v>
      </c>
      <c r="BZ553" s="304">
        <f t="shared" si="174"/>
        <v>83.951165371467937</v>
      </c>
      <c r="CB553" s="299">
        <v>0.6</v>
      </c>
      <c r="CC553" s="299">
        <v>0.4</v>
      </c>
      <c r="CD553">
        <f t="shared" si="175"/>
        <v>0</v>
      </c>
      <c r="CE553">
        <f t="shared" si="176"/>
        <v>40.458896118083395</v>
      </c>
      <c r="CF553">
        <f t="shared" si="177"/>
        <v>26.972597412055599</v>
      </c>
      <c r="CG553">
        <f t="shared" si="178"/>
        <v>0</v>
      </c>
      <c r="CH553">
        <f t="shared" si="179"/>
        <v>32.414318939937807</v>
      </c>
      <c r="CI553">
        <f t="shared" si="180"/>
        <v>21.609545959958545</v>
      </c>
      <c r="CJ553">
        <f t="shared" si="181"/>
        <v>0</v>
      </c>
      <c r="CK553">
        <f t="shared" si="182"/>
        <v>44.288539332230187</v>
      </c>
      <c r="CL553">
        <f t="shared" si="183"/>
        <v>1.7624386612746306</v>
      </c>
      <c r="CM553">
        <f t="shared" si="185"/>
        <v>46.050977993504816</v>
      </c>
      <c r="CN553">
        <f t="shared" si="184"/>
        <v>754.40127337851686</v>
      </c>
      <c r="CO553">
        <f t="shared" si="168"/>
        <v>25.146709112617227</v>
      </c>
    </row>
    <row r="554" spans="1:93" s="12" customFormat="1" ht="14.65" customHeight="1" x14ac:dyDescent="0.25">
      <c r="A554" s="4">
        <v>2021</v>
      </c>
      <c r="B554" s="4"/>
      <c r="C554" s="4" t="s">
        <v>418</v>
      </c>
      <c r="D554" s="4" t="s">
        <v>65</v>
      </c>
      <c r="E554" s="4"/>
      <c r="F554" s="4" t="s">
        <v>90</v>
      </c>
      <c r="G554" s="5" t="s">
        <v>419</v>
      </c>
      <c r="H554" s="5" t="s">
        <v>21</v>
      </c>
      <c r="I554" s="5" t="s">
        <v>18</v>
      </c>
      <c r="J554" s="5" t="s">
        <v>9</v>
      </c>
      <c r="K554" s="5">
        <v>27.5</v>
      </c>
      <c r="L554" s="5">
        <v>55</v>
      </c>
      <c r="M554" s="5">
        <v>1250</v>
      </c>
      <c r="N554" s="5" t="s">
        <v>171</v>
      </c>
      <c r="O554" s="6" t="s">
        <v>81</v>
      </c>
      <c r="P554" s="6" t="s">
        <v>420</v>
      </c>
      <c r="Q554" s="6"/>
      <c r="R554" s="6"/>
      <c r="S554" s="6">
        <v>14</v>
      </c>
      <c r="T554" s="6">
        <v>11</v>
      </c>
      <c r="U554" s="6">
        <v>1251</v>
      </c>
      <c r="V554" s="6">
        <v>25.56</v>
      </c>
      <c r="W554" s="6">
        <v>13</v>
      </c>
      <c r="X554" s="6">
        <v>239</v>
      </c>
      <c r="Y554" s="6">
        <v>629</v>
      </c>
      <c r="Z554" s="6">
        <v>324</v>
      </c>
      <c r="AA554" s="6">
        <v>46</v>
      </c>
      <c r="AB554" s="6">
        <v>0</v>
      </c>
      <c r="AC554" s="7">
        <v>31</v>
      </c>
      <c r="AD554" s="7" t="s">
        <v>52</v>
      </c>
      <c r="AE554" s="7">
        <v>21.64</v>
      </c>
      <c r="AF554" s="7">
        <v>366.8</v>
      </c>
      <c r="AG554" s="7">
        <v>31.54</v>
      </c>
      <c r="AH554" s="7">
        <v>33.090000000000003</v>
      </c>
      <c r="AI554" s="7">
        <v>39.92</v>
      </c>
      <c r="AJ554" s="9">
        <v>297.39680088030099</v>
      </c>
      <c r="AK554" s="9">
        <v>299.27573328681802</v>
      </c>
      <c r="AL554" s="9">
        <v>331.40158878800798</v>
      </c>
      <c r="AM554" s="9" t="s">
        <v>169</v>
      </c>
      <c r="AN554" s="9" t="s">
        <v>169</v>
      </c>
      <c r="AO554" s="9" t="s">
        <v>169</v>
      </c>
      <c r="AP554" s="9" t="s">
        <v>169</v>
      </c>
      <c r="AQ554" s="9" t="s">
        <v>169</v>
      </c>
      <c r="AR554" s="9" t="s">
        <v>169</v>
      </c>
      <c r="AS554" s="8" t="s">
        <v>169</v>
      </c>
      <c r="AT554" s="8" t="s">
        <v>169</v>
      </c>
      <c r="AU554" s="10" t="s">
        <v>169</v>
      </c>
      <c r="AV554" s="10">
        <v>0</v>
      </c>
      <c r="AW554" s="8"/>
      <c r="AX554" s="10" t="s">
        <v>169</v>
      </c>
      <c r="AY554" s="10"/>
      <c r="AZ554" s="10"/>
      <c r="BA554" s="10"/>
      <c r="BB554" s="8"/>
      <c r="BC554" s="8"/>
      <c r="BD554" s="8"/>
      <c r="BE554" s="8"/>
      <c r="BF554" s="12">
        <v>0.46</v>
      </c>
      <c r="BG554" s="13">
        <v>265.50790621732602</v>
      </c>
      <c r="BH554" s="96" t="str">
        <f>+VLOOKUP(G554,Liste!$A$7:$G$50,3,FALSE)</f>
        <v>Pin Maritime</v>
      </c>
      <c r="BI554" s="96" t="str">
        <f>+VLOOKUP(H554,Liste!$B$7:$G$50,5,FALSE)</f>
        <v>GS Pineraies des plaines du Centre et du Nord Ouest</v>
      </c>
      <c r="BJ554" s="135">
        <f t="shared" si="167"/>
        <v>31</v>
      </c>
      <c r="BK554" s="135" t="str">
        <f t="shared" si="169"/>
        <v>Pin Maritime_F1_Classique_GS Pineraies des plaines du Centre et du Nord Ouest_31_</v>
      </c>
      <c r="BL554" s="322"/>
      <c r="BM554" s="13">
        <v>68.059784698803696</v>
      </c>
      <c r="BN554" s="13">
        <v>333.56769091613</v>
      </c>
      <c r="BO554" s="13" t="s">
        <v>169</v>
      </c>
      <c r="BP554" s="13">
        <v>298.10759386198703</v>
      </c>
      <c r="BQ554" s="13" t="s">
        <v>169</v>
      </c>
      <c r="BT554" s="298" t="str">
        <f>+VLOOKUP(G554,Liste!$A$7:$H$50,8,FALSE)</f>
        <v>Résineux</v>
      </c>
      <c r="BU554" s="298">
        <f t="shared" si="170"/>
        <v>0</v>
      </c>
      <c r="BV554" s="300">
        <f t="shared" si="171"/>
        <v>1</v>
      </c>
      <c r="BW554" s="321">
        <v>0</v>
      </c>
      <c r="BX554" s="298">
        <f t="shared" si="172"/>
        <v>0.43</v>
      </c>
      <c r="BY554">
        <f t="shared" si="173"/>
        <v>0</v>
      </c>
      <c r="BZ554" s="304">
        <f t="shared" si="174"/>
        <v>0</v>
      </c>
      <c r="CB554" s="299">
        <v>0.6</v>
      </c>
      <c r="CC554" s="299">
        <v>0.4</v>
      </c>
      <c r="CD554">
        <f t="shared" si="175"/>
        <v>0</v>
      </c>
      <c r="CE554">
        <f t="shared" si="176"/>
        <v>0</v>
      </c>
      <c r="CF554">
        <f t="shared" si="177"/>
        <v>0</v>
      </c>
      <c r="CG554">
        <f t="shared" si="178"/>
        <v>0</v>
      </c>
      <c r="CH554">
        <f t="shared" si="179"/>
        <v>0</v>
      </c>
      <c r="CI554">
        <f t="shared" si="180"/>
        <v>0</v>
      </c>
      <c r="CJ554">
        <f t="shared" si="181"/>
        <v>0</v>
      </c>
      <c r="CK554">
        <f t="shared" si="182"/>
        <v>75.046552280872589</v>
      </c>
      <c r="CL554">
        <f t="shared" si="183"/>
        <v>19.508701399801286</v>
      </c>
      <c r="CM554">
        <f t="shared" si="185"/>
        <v>94.555253680673871</v>
      </c>
      <c r="CN554">
        <f t="shared" si="184"/>
        <v>848.95652705919076</v>
      </c>
      <c r="CO554">
        <f t="shared" si="168"/>
        <v>0</v>
      </c>
    </row>
    <row r="555" spans="1:93" s="12" customFormat="1" ht="14.65" customHeight="1" x14ac:dyDescent="0.25">
      <c r="A555" s="4">
        <v>2021</v>
      </c>
      <c r="B555" s="4"/>
      <c r="C555" s="4" t="s">
        <v>418</v>
      </c>
      <c r="D555" s="4" t="s">
        <v>65</v>
      </c>
      <c r="E555" s="4"/>
      <c r="F555" s="4" t="s">
        <v>90</v>
      </c>
      <c r="G555" s="5" t="s">
        <v>419</v>
      </c>
      <c r="H555" s="5" t="s">
        <v>21</v>
      </c>
      <c r="I555" s="5" t="s">
        <v>18</v>
      </c>
      <c r="J555" s="5" t="s">
        <v>9</v>
      </c>
      <c r="K555" s="5">
        <v>27.5</v>
      </c>
      <c r="L555" s="5">
        <v>55</v>
      </c>
      <c r="M555" s="5">
        <v>1250</v>
      </c>
      <c r="N555" s="5" t="s">
        <v>171</v>
      </c>
      <c r="O555" s="6" t="s">
        <v>81</v>
      </c>
      <c r="P555" s="6" t="s">
        <v>420</v>
      </c>
      <c r="Q555" s="6"/>
      <c r="R555" s="6"/>
      <c r="S555" s="6">
        <v>14</v>
      </c>
      <c r="T555" s="6">
        <v>11</v>
      </c>
      <c r="U555" s="6">
        <v>1251</v>
      </c>
      <c r="V555" s="6">
        <v>25.56</v>
      </c>
      <c r="W555" s="6">
        <v>13</v>
      </c>
      <c r="X555" s="6">
        <v>239</v>
      </c>
      <c r="Y555" s="6">
        <v>629</v>
      </c>
      <c r="Z555" s="6">
        <v>324</v>
      </c>
      <c r="AA555" s="6">
        <v>46</v>
      </c>
      <c r="AB555" s="6">
        <v>0</v>
      </c>
      <c r="AC555" s="7">
        <v>32</v>
      </c>
      <c r="AD555" s="7" t="s">
        <v>52</v>
      </c>
      <c r="AE555" s="7">
        <v>22.08</v>
      </c>
      <c r="AF555" s="7">
        <v>366.8</v>
      </c>
      <c r="AG555" s="7">
        <v>33.04</v>
      </c>
      <c r="AH555" s="7">
        <v>33.86</v>
      </c>
      <c r="AI555" s="7">
        <v>40.94</v>
      </c>
      <c r="AJ555" s="9">
        <v>314.946545906403</v>
      </c>
      <c r="AK555" s="9">
        <v>317.26374935293398</v>
      </c>
      <c r="AL555" s="9">
        <v>353.73147225178599</v>
      </c>
      <c r="AM555" s="9" t="s">
        <v>169</v>
      </c>
      <c r="AN555" s="9" t="s">
        <v>169</v>
      </c>
      <c r="AO555" s="9" t="s">
        <v>169</v>
      </c>
      <c r="AP555" s="9" t="s">
        <v>169</v>
      </c>
      <c r="AQ555" s="9" t="s">
        <v>169</v>
      </c>
      <c r="AR555" s="9" t="s">
        <v>169</v>
      </c>
      <c r="AS555" s="8" t="s">
        <v>169</v>
      </c>
      <c r="AT555" s="8" t="s">
        <v>169</v>
      </c>
      <c r="AU555" s="10" t="s">
        <v>169</v>
      </c>
      <c r="AV555" s="10">
        <v>0</v>
      </c>
      <c r="AW555" s="8"/>
      <c r="AX555" s="10" t="s">
        <v>169</v>
      </c>
      <c r="AY555" s="10"/>
      <c r="AZ555" s="10"/>
      <c r="BA555" s="10"/>
      <c r="BB555" s="8"/>
      <c r="BC555" s="8"/>
      <c r="BD555" s="8"/>
      <c r="BE555" s="8"/>
      <c r="BF555" s="12">
        <v>0.46</v>
      </c>
      <c r="BG555" s="13">
        <v>283.39786451905599</v>
      </c>
      <c r="BH555" s="96" t="str">
        <f>+VLOOKUP(G555,Liste!$A$7:$G$50,3,FALSE)</f>
        <v>Pin Maritime</v>
      </c>
      <c r="BI555" s="96" t="str">
        <f>+VLOOKUP(H555,Liste!$B$7:$G$50,5,FALSE)</f>
        <v>GS Pineraies des plaines du Centre et du Nord Ouest</v>
      </c>
      <c r="BJ555" s="135">
        <f t="shared" si="167"/>
        <v>32</v>
      </c>
      <c r="BK555" s="135" t="str">
        <f t="shared" si="169"/>
        <v>Pin Maritime_F1_Classique_GS Pineraies des plaines du Centre et du Nord Ouest_32_</v>
      </c>
      <c r="BL555" s="322"/>
      <c r="BM555" s="13">
        <v>72.036061482910299</v>
      </c>
      <c r="BN555" s="13">
        <v>355.43392600196597</v>
      </c>
      <c r="BO555" s="13" t="s">
        <v>169</v>
      </c>
      <c r="BP555" s="13">
        <v>298.10759386198703</v>
      </c>
      <c r="BQ555" s="13" t="s">
        <v>169</v>
      </c>
      <c r="BT555" s="298" t="str">
        <f>+VLOOKUP(G555,Liste!$A$7:$H$50,8,FALSE)</f>
        <v>Résineux</v>
      </c>
      <c r="BU555" s="298">
        <f t="shared" si="170"/>
        <v>0</v>
      </c>
      <c r="BV555" s="300">
        <f t="shared" si="171"/>
        <v>1</v>
      </c>
      <c r="BW555" s="321">
        <v>0</v>
      </c>
      <c r="BX555" s="298">
        <f t="shared" si="172"/>
        <v>0.43</v>
      </c>
      <c r="BY555">
        <f t="shared" si="173"/>
        <v>0</v>
      </c>
      <c r="BZ555" s="304">
        <f t="shared" si="174"/>
        <v>0</v>
      </c>
      <c r="CB555" s="299">
        <v>0.6</v>
      </c>
      <c r="CC555" s="299">
        <v>0.4</v>
      </c>
      <c r="CD555">
        <f t="shared" si="175"/>
        <v>0</v>
      </c>
      <c r="CE555">
        <f t="shared" si="176"/>
        <v>0</v>
      </c>
      <c r="CF555">
        <f t="shared" si="177"/>
        <v>0</v>
      </c>
      <c r="CG555">
        <f t="shared" si="178"/>
        <v>0</v>
      </c>
      <c r="CH555">
        <f t="shared" si="179"/>
        <v>0</v>
      </c>
      <c r="CI555">
        <f t="shared" si="180"/>
        <v>0</v>
      </c>
      <c r="CJ555">
        <f t="shared" si="181"/>
        <v>0</v>
      </c>
      <c r="CK555">
        <f t="shared" si="182"/>
        <v>0</v>
      </c>
      <c r="CL555">
        <f t="shared" si="183"/>
        <v>0</v>
      </c>
      <c r="CM555">
        <f t="shared" si="185"/>
        <v>0</v>
      </c>
      <c r="CN555">
        <f t="shared" si="184"/>
        <v>0</v>
      </c>
      <c r="CO555">
        <f t="shared" si="168"/>
        <v>0</v>
      </c>
    </row>
    <row r="556" spans="1:93" s="12" customFormat="1" ht="14.65" customHeight="1" x14ac:dyDescent="0.25">
      <c r="A556" s="4">
        <v>2021</v>
      </c>
      <c r="B556" s="4"/>
      <c r="C556" s="4" t="s">
        <v>418</v>
      </c>
      <c r="D556" s="4" t="s">
        <v>65</v>
      </c>
      <c r="E556" s="4"/>
      <c r="F556" s="4" t="s">
        <v>90</v>
      </c>
      <c r="G556" s="5" t="s">
        <v>419</v>
      </c>
      <c r="H556" s="5" t="s">
        <v>21</v>
      </c>
      <c r="I556" s="5" t="s">
        <v>18</v>
      </c>
      <c r="J556" s="5" t="s">
        <v>9</v>
      </c>
      <c r="K556" s="5">
        <v>27.5</v>
      </c>
      <c r="L556" s="5">
        <v>55</v>
      </c>
      <c r="M556" s="5">
        <v>1250</v>
      </c>
      <c r="N556" s="5" t="s">
        <v>171</v>
      </c>
      <c r="O556" s="6" t="s">
        <v>81</v>
      </c>
      <c r="P556" s="6" t="s">
        <v>420</v>
      </c>
      <c r="Q556" s="6"/>
      <c r="R556" s="6"/>
      <c r="S556" s="6">
        <v>14</v>
      </c>
      <c r="T556" s="6">
        <v>11</v>
      </c>
      <c r="U556" s="6">
        <v>1251</v>
      </c>
      <c r="V556" s="6">
        <v>25.56</v>
      </c>
      <c r="W556" s="6">
        <v>13</v>
      </c>
      <c r="X556" s="6">
        <v>239</v>
      </c>
      <c r="Y556" s="6">
        <v>629</v>
      </c>
      <c r="Z556" s="6">
        <v>324</v>
      </c>
      <c r="AA556" s="6">
        <v>46</v>
      </c>
      <c r="AB556" s="6">
        <v>0</v>
      </c>
      <c r="AC556" s="7">
        <v>33</v>
      </c>
      <c r="AD556" s="7" t="s">
        <v>52</v>
      </c>
      <c r="AE556" s="7">
        <v>22.52</v>
      </c>
      <c r="AF556" s="7">
        <v>366.8</v>
      </c>
      <c r="AG556" s="7">
        <v>34.520000000000003</v>
      </c>
      <c r="AH556" s="7">
        <v>34.619999999999997</v>
      </c>
      <c r="AI556" s="7">
        <v>41.93</v>
      </c>
      <c r="AJ556" s="9">
        <v>332.49629093250599</v>
      </c>
      <c r="AK556" s="9">
        <v>335.25176541904898</v>
      </c>
      <c r="AL556" s="9">
        <v>376.06135571556302</v>
      </c>
      <c r="AM556" s="9" t="s">
        <v>169</v>
      </c>
      <c r="AN556" s="9" t="s">
        <v>169</v>
      </c>
      <c r="AO556" s="9" t="s">
        <v>169</v>
      </c>
      <c r="AP556" s="9" t="s">
        <v>169</v>
      </c>
      <c r="AQ556" s="9" t="s">
        <v>169</v>
      </c>
      <c r="AR556" s="9" t="s">
        <v>169</v>
      </c>
      <c r="AS556" s="8" t="s">
        <v>169</v>
      </c>
      <c r="AT556" s="8" t="s">
        <v>169</v>
      </c>
      <c r="AU556" s="10" t="s">
        <v>169</v>
      </c>
      <c r="AV556" s="10">
        <v>0</v>
      </c>
      <c r="AW556" s="8"/>
      <c r="AX556" s="10" t="s">
        <v>169</v>
      </c>
      <c r="AY556" s="10"/>
      <c r="AZ556" s="10"/>
      <c r="BA556" s="10"/>
      <c r="BB556" s="8"/>
      <c r="BC556" s="8"/>
      <c r="BD556" s="8"/>
      <c r="BE556" s="8"/>
      <c r="BF556" s="12">
        <v>0.46</v>
      </c>
      <c r="BG556" s="13">
        <v>301.287822820786</v>
      </c>
      <c r="BH556" s="96" t="str">
        <f>+VLOOKUP(G556,Liste!$A$7:$G$50,3,FALSE)</f>
        <v>Pin Maritime</v>
      </c>
      <c r="BI556" s="96" t="str">
        <f>+VLOOKUP(H556,Liste!$B$7:$G$50,5,FALSE)</f>
        <v>GS Pineraies des plaines du Centre et du Nord Ouest</v>
      </c>
      <c r="BJ556" s="135">
        <f t="shared" si="167"/>
        <v>33</v>
      </c>
      <c r="BK556" s="135" t="str">
        <f t="shared" si="169"/>
        <v>Pin Maritime_F1_Classique_GS Pineraies des plaines du Centre et du Nord Ouest_33_</v>
      </c>
      <c r="BL556" s="322"/>
      <c r="BM556" s="13">
        <v>76.012338267016901</v>
      </c>
      <c r="BN556" s="13">
        <v>377.30016108780302</v>
      </c>
      <c r="BO556" s="13" t="s">
        <v>169</v>
      </c>
      <c r="BP556" s="13">
        <v>298.10759386198703</v>
      </c>
      <c r="BQ556" s="13" t="s">
        <v>169</v>
      </c>
      <c r="BT556" s="298" t="str">
        <f>+VLOOKUP(G556,Liste!$A$7:$H$50,8,FALSE)</f>
        <v>Résineux</v>
      </c>
      <c r="BU556" s="298">
        <f t="shared" si="170"/>
        <v>0</v>
      </c>
      <c r="BV556" s="300">
        <f t="shared" si="171"/>
        <v>1</v>
      </c>
      <c r="BW556" s="321">
        <v>0</v>
      </c>
      <c r="BX556" s="298">
        <f t="shared" si="172"/>
        <v>0.43</v>
      </c>
      <c r="BY556">
        <f t="shared" si="173"/>
        <v>0</v>
      </c>
      <c r="BZ556" s="304">
        <f t="shared" si="174"/>
        <v>0</v>
      </c>
      <c r="CB556" s="299">
        <v>0.6</v>
      </c>
      <c r="CC556" s="299">
        <v>0.4</v>
      </c>
      <c r="CD556">
        <f t="shared" si="175"/>
        <v>0</v>
      </c>
      <c r="CE556">
        <f t="shared" si="176"/>
        <v>0</v>
      </c>
      <c r="CF556">
        <f t="shared" si="177"/>
        <v>0</v>
      </c>
      <c r="CG556">
        <f t="shared" si="178"/>
        <v>0</v>
      </c>
      <c r="CH556">
        <f t="shared" si="179"/>
        <v>0</v>
      </c>
      <c r="CI556">
        <f t="shared" si="180"/>
        <v>0</v>
      </c>
      <c r="CJ556">
        <f t="shared" si="181"/>
        <v>0</v>
      </c>
      <c r="CK556">
        <f t="shared" si="182"/>
        <v>0</v>
      </c>
      <c r="CL556">
        <f t="shared" si="183"/>
        <v>0</v>
      </c>
      <c r="CM556">
        <f t="shared" si="185"/>
        <v>0</v>
      </c>
      <c r="CN556">
        <f t="shared" si="184"/>
        <v>0</v>
      </c>
      <c r="CO556">
        <f t="shared" si="168"/>
        <v>0</v>
      </c>
    </row>
    <row r="557" spans="1:93" s="12" customFormat="1" ht="14.65" customHeight="1" x14ac:dyDescent="0.25">
      <c r="A557" s="4">
        <v>2021</v>
      </c>
      <c r="B557" s="4"/>
      <c r="C557" s="4" t="s">
        <v>418</v>
      </c>
      <c r="D557" s="4" t="s">
        <v>65</v>
      </c>
      <c r="E557" s="4"/>
      <c r="F557" s="4" t="s">
        <v>90</v>
      </c>
      <c r="G557" s="5" t="s">
        <v>419</v>
      </c>
      <c r="H557" s="5" t="s">
        <v>21</v>
      </c>
      <c r="I557" s="5" t="s">
        <v>18</v>
      </c>
      <c r="J557" s="5" t="s">
        <v>9</v>
      </c>
      <c r="K557" s="5">
        <v>27.5</v>
      </c>
      <c r="L557" s="5">
        <v>55</v>
      </c>
      <c r="M557" s="5">
        <v>1250</v>
      </c>
      <c r="N557" s="5" t="s">
        <v>171</v>
      </c>
      <c r="O557" s="6" t="s">
        <v>81</v>
      </c>
      <c r="P557" s="6" t="s">
        <v>420</v>
      </c>
      <c r="Q557" s="6"/>
      <c r="R557" s="6"/>
      <c r="S557" s="6">
        <v>14</v>
      </c>
      <c r="T557" s="6">
        <v>11</v>
      </c>
      <c r="U557" s="6">
        <v>1251</v>
      </c>
      <c r="V557" s="6">
        <v>25.56</v>
      </c>
      <c r="W557" s="6">
        <v>13</v>
      </c>
      <c r="X557" s="6">
        <v>239</v>
      </c>
      <c r="Y557" s="6">
        <v>629</v>
      </c>
      <c r="Z557" s="6">
        <v>324</v>
      </c>
      <c r="AA557" s="6">
        <v>46</v>
      </c>
      <c r="AB557" s="6">
        <v>0</v>
      </c>
      <c r="AC557" s="7">
        <v>34</v>
      </c>
      <c r="AD557" s="7" t="s">
        <v>52</v>
      </c>
      <c r="AE557" s="7">
        <v>22.93</v>
      </c>
      <c r="AF557" s="7">
        <v>366.8</v>
      </c>
      <c r="AG557" s="7">
        <v>35.99</v>
      </c>
      <c r="AH557" s="7">
        <v>35.35</v>
      </c>
      <c r="AI557" s="7">
        <v>42.91</v>
      </c>
      <c r="AJ557" s="9">
        <v>350.046035958608</v>
      </c>
      <c r="AK557" s="9">
        <v>353.23978148516397</v>
      </c>
      <c r="AL557" s="9">
        <v>398.39123917934103</v>
      </c>
      <c r="AM557" s="9" t="s">
        <v>169</v>
      </c>
      <c r="AN557" s="9" t="s">
        <v>169</v>
      </c>
      <c r="AO557" s="9" t="s">
        <v>169</v>
      </c>
      <c r="AP557" s="9" t="s">
        <v>169</v>
      </c>
      <c r="AQ557" s="9" t="s">
        <v>169</v>
      </c>
      <c r="AR557" s="9" t="s">
        <v>169</v>
      </c>
      <c r="AS557" s="8" t="s">
        <v>169</v>
      </c>
      <c r="AT557" s="8" t="s">
        <v>169</v>
      </c>
      <c r="AU557" s="10" t="s">
        <v>169</v>
      </c>
      <c r="AV557" s="10">
        <v>0</v>
      </c>
      <c r="AW557" s="8"/>
      <c r="AX557" s="10" t="s">
        <v>169</v>
      </c>
      <c r="AY557" s="10"/>
      <c r="AZ557" s="10"/>
      <c r="BA557" s="10"/>
      <c r="BB557" s="8"/>
      <c r="BC557" s="8"/>
      <c r="BD557" s="8"/>
      <c r="BE557" s="8"/>
      <c r="BF557" s="12">
        <v>0.46</v>
      </c>
      <c r="BG557" s="13">
        <v>319.177781122515</v>
      </c>
      <c r="BH557" s="96" t="str">
        <f>+VLOOKUP(G557,Liste!$A$7:$G$50,3,FALSE)</f>
        <v>Pin Maritime</v>
      </c>
      <c r="BI557" s="96" t="str">
        <f>+VLOOKUP(H557,Liste!$B$7:$G$50,5,FALSE)</f>
        <v>GS Pineraies des plaines du Centre et du Nord Ouest</v>
      </c>
      <c r="BJ557" s="135">
        <f t="shared" si="167"/>
        <v>34</v>
      </c>
      <c r="BK557" s="135" t="str">
        <f t="shared" si="169"/>
        <v>Pin Maritime_F1_Classique_GS Pineraies des plaines du Centre et du Nord Ouest_34_</v>
      </c>
      <c r="BL557" s="322"/>
      <c r="BM557" s="13">
        <v>79.988615051123602</v>
      </c>
      <c r="BN557" s="13">
        <v>399.16639617363899</v>
      </c>
      <c r="BO557" s="13" t="s">
        <v>169</v>
      </c>
      <c r="BP557" s="13">
        <v>298.10759386198703</v>
      </c>
      <c r="BQ557" s="13" t="s">
        <v>169</v>
      </c>
      <c r="BT557" s="298" t="str">
        <f>+VLOOKUP(G557,Liste!$A$7:$H$50,8,FALSE)</f>
        <v>Résineux</v>
      </c>
      <c r="BU557" s="298">
        <f t="shared" si="170"/>
        <v>0</v>
      </c>
      <c r="BV557" s="300">
        <f t="shared" si="171"/>
        <v>1</v>
      </c>
      <c r="BW557" s="321">
        <v>0</v>
      </c>
      <c r="BX557" s="298">
        <f t="shared" si="172"/>
        <v>0.43</v>
      </c>
      <c r="BY557">
        <f t="shared" si="173"/>
        <v>0</v>
      </c>
      <c r="BZ557" s="304">
        <f t="shared" si="174"/>
        <v>0</v>
      </c>
      <c r="CB557" s="299">
        <v>0.6</v>
      </c>
      <c r="CC557" s="299">
        <v>0.4</v>
      </c>
      <c r="CD557">
        <f t="shared" si="175"/>
        <v>0</v>
      </c>
      <c r="CE557">
        <f t="shared" si="176"/>
        <v>0</v>
      </c>
      <c r="CF557">
        <f t="shared" si="177"/>
        <v>0</v>
      </c>
      <c r="CG557">
        <f t="shared" si="178"/>
        <v>0</v>
      </c>
      <c r="CH557">
        <f t="shared" si="179"/>
        <v>0</v>
      </c>
      <c r="CI557">
        <f t="shared" si="180"/>
        <v>0</v>
      </c>
      <c r="CJ557">
        <f t="shared" si="181"/>
        <v>0</v>
      </c>
      <c r="CK557">
        <f t="shared" si="182"/>
        <v>0</v>
      </c>
      <c r="CL557">
        <f t="shared" si="183"/>
        <v>0</v>
      </c>
      <c r="CM557">
        <f t="shared" si="185"/>
        <v>0</v>
      </c>
      <c r="CN557">
        <f t="shared" si="184"/>
        <v>0</v>
      </c>
      <c r="CO557">
        <f t="shared" si="168"/>
        <v>0</v>
      </c>
    </row>
    <row r="558" spans="1:93" s="12" customFormat="1" ht="14.65" customHeight="1" x14ac:dyDescent="0.25">
      <c r="A558" s="4">
        <v>2021</v>
      </c>
      <c r="B558" s="4"/>
      <c r="C558" s="4" t="s">
        <v>418</v>
      </c>
      <c r="D558" s="4" t="s">
        <v>65</v>
      </c>
      <c r="E558" s="4"/>
      <c r="F558" s="4" t="s">
        <v>90</v>
      </c>
      <c r="G558" s="5" t="s">
        <v>419</v>
      </c>
      <c r="H558" s="5" t="s">
        <v>21</v>
      </c>
      <c r="I558" s="5" t="s">
        <v>18</v>
      </c>
      <c r="J558" s="5" t="s">
        <v>9</v>
      </c>
      <c r="K558" s="5">
        <v>27.5</v>
      </c>
      <c r="L558" s="5">
        <v>55</v>
      </c>
      <c r="M558" s="5">
        <v>1250</v>
      </c>
      <c r="N558" s="5" t="s">
        <v>171</v>
      </c>
      <c r="O558" s="6" t="s">
        <v>81</v>
      </c>
      <c r="P558" s="6" t="s">
        <v>420</v>
      </c>
      <c r="Q558" s="6"/>
      <c r="R558" s="6"/>
      <c r="S558" s="6">
        <v>14</v>
      </c>
      <c r="T558" s="6">
        <v>11</v>
      </c>
      <c r="U558" s="6">
        <v>1251</v>
      </c>
      <c r="V558" s="6">
        <v>25.56</v>
      </c>
      <c r="W558" s="6">
        <v>13</v>
      </c>
      <c r="X558" s="6">
        <v>239</v>
      </c>
      <c r="Y558" s="6">
        <v>629</v>
      </c>
      <c r="Z558" s="6">
        <v>324</v>
      </c>
      <c r="AA558" s="6">
        <v>46</v>
      </c>
      <c r="AB558" s="6">
        <v>0</v>
      </c>
      <c r="AC558" s="7">
        <v>35</v>
      </c>
      <c r="AD558" s="7" t="s">
        <v>52</v>
      </c>
      <c r="AE558" s="7">
        <v>23.34</v>
      </c>
      <c r="AF558" s="7">
        <v>366.8</v>
      </c>
      <c r="AG558" s="7">
        <v>37.450000000000003</v>
      </c>
      <c r="AH558" s="7">
        <v>36.06</v>
      </c>
      <c r="AI558" s="7">
        <v>43.86</v>
      </c>
      <c r="AJ558" s="9">
        <v>367.59578098471002</v>
      </c>
      <c r="AK558" s="9">
        <v>371.22779755127999</v>
      </c>
      <c r="AL558" s="9">
        <v>420.72112264311897</v>
      </c>
      <c r="AM558" s="9" t="s">
        <v>169</v>
      </c>
      <c r="AN558" s="9" t="s">
        <v>169</v>
      </c>
      <c r="AO558" s="9" t="s">
        <v>169</v>
      </c>
      <c r="AP558" s="9" t="s">
        <v>169</v>
      </c>
      <c r="AQ558" s="9" t="s">
        <v>169</v>
      </c>
      <c r="AR558" s="9" t="s">
        <v>169</v>
      </c>
      <c r="AS558" s="8" t="s">
        <v>169</v>
      </c>
      <c r="AT558" s="8" t="s">
        <v>169</v>
      </c>
      <c r="AU558" s="10" t="s">
        <v>169</v>
      </c>
      <c r="AV558" s="10">
        <v>0</v>
      </c>
      <c r="AW558" s="8"/>
      <c r="AX558" s="10" t="s">
        <v>169</v>
      </c>
      <c r="AY558" s="10"/>
      <c r="AZ558" s="10"/>
      <c r="BA558" s="10"/>
      <c r="BB558" s="8"/>
      <c r="BC558" s="8"/>
      <c r="BD558" s="8"/>
      <c r="BE558" s="8"/>
      <c r="BF558" s="12">
        <v>0.46</v>
      </c>
      <c r="BG558" s="13">
        <v>337.06773942424502</v>
      </c>
      <c r="BH558" s="96" t="str">
        <f>+VLOOKUP(G558,Liste!$A$7:$G$50,3,FALSE)</f>
        <v>Pin Maritime</v>
      </c>
      <c r="BI558" s="96" t="str">
        <f>+VLOOKUP(H558,Liste!$B$7:$G$50,5,FALSE)</f>
        <v>GS Pineraies des plaines du Centre et du Nord Ouest</v>
      </c>
      <c r="BJ558" s="135">
        <f t="shared" si="167"/>
        <v>35</v>
      </c>
      <c r="BK558" s="135" t="str">
        <f t="shared" si="169"/>
        <v>Pin Maritime_F1_Classique_GS Pineraies des plaines du Centre et du Nord Ouest_35_</v>
      </c>
      <c r="BL558" s="322"/>
      <c r="BM558" s="13">
        <v>83.964891835230205</v>
      </c>
      <c r="BN558" s="13">
        <v>421.03263125947501</v>
      </c>
      <c r="BO558" s="13" t="s">
        <v>169</v>
      </c>
      <c r="BP558" s="13">
        <v>298.10759386198703</v>
      </c>
      <c r="BQ558" s="13" t="s">
        <v>169</v>
      </c>
      <c r="BT558" s="298" t="str">
        <f>+VLOOKUP(G558,Liste!$A$7:$H$50,8,FALSE)</f>
        <v>Résineux</v>
      </c>
      <c r="BU558" s="298">
        <f t="shared" si="170"/>
        <v>0</v>
      </c>
      <c r="BV558" s="300">
        <f t="shared" si="171"/>
        <v>1</v>
      </c>
      <c r="BW558" s="321">
        <v>0</v>
      </c>
      <c r="BX558" s="298">
        <f t="shared" si="172"/>
        <v>0.43</v>
      </c>
      <c r="BY558">
        <f t="shared" si="173"/>
        <v>0</v>
      </c>
      <c r="BZ558" s="304">
        <f t="shared" si="174"/>
        <v>0</v>
      </c>
      <c r="CB558" s="299">
        <v>0.6</v>
      </c>
      <c r="CC558" s="299">
        <v>0.4</v>
      </c>
      <c r="CD558">
        <f t="shared" si="175"/>
        <v>0</v>
      </c>
      <c r="CE558">
        <f t="shared" si="176"/>
        <v>0</v>
      </c>
      <c r="CF558">
        <f t="shared" si="177"/>
        <v>0</v>
      </c>
      <c r="CG558">
        <f t="shared" si="178"/>
        <v>0</v>
      </c>
      <c r="CH558">
        <f t="shared" si="179"/>
        <v>0</v>
      </c>
      <c r="CI558">
        <f t="shared" si="180"/>
        <v>0</v>
      </c>
      <c r="CJ558">
        <f t="shared" si="181"/>
        <v>0</v>
      </c>
      <c r="CK558">
        <f t="shared" si="182"/>
        <v>0</v>
      </c>
      <c r="CL558">
        <f t="shared" si="183"/>
        <v>0</v>
      </c>
      <c r="CM558">
        <f t="shared" si="185"/>
        <v>0</v>
      </c>
      <c r="CN558">
        <f t="shared" si="184"/>
        <v>0</v>
      </c>
      <c r="CO558">
        <f t="shared" si="168"/>
        <v>0</v>
      </c>
    </row>
    <row r="559" spans="1:93" s="12" customFormat="1" ht="14.65" customHeight="1" x14ac:dyDescent="0.25">
      <c r="A559" s="4">
        <v>2021</v>
      </c>
      <c r="B559" s="4"/>
      <c r="C559" s="4" t="s">
        <v>418</v>
      </c>
      <c r="D559" s="4" t="s">
        <v>65</v>
      </c>
      <c r="E559" s="4"/>
      <c r="F559" s="4" t="s">
        <v>90</v>
      </c>
      <c r="G559" s="5" t="s">
        <v>419</v>
      </c>
      <c r="H559" s="5" t="s">
        <v>21</v>
      </c>
      <c r="I559" s="5" t="s">
        <v>18</v>
      </c>
      <c r="J559" s="5" t="s">
        <v>9</v>
      </c>
      <c r="K559" s="5">
        <v>27.5</v>
      </c>
      <c r="L559" s="5">
        <v>55</v>
      </c>
      <c r="M559" s="5">
        <v>1250</v>
      </c>
      <c r="N559" s="5" t="s">
        <v>171</v>
      </c>
      <c r="O559" s="6" t="s">
        <v>81</v>
      </c>
      <c r="P559" s="6" t="s">
        <v>420</v>
      </c>
      <c r="Q559" s="6"/>
      <c r="R559" s="6"/>
      <c r="S559" s="6">
        <v>14</v>
      </c>
      <c r="T559" s="6">
        <v>11</v>
      </c>
      <c r="U559" s="6">
        <v>1251</v>
      </c>
      <c r="V559" s="6">
        <v>25.56</v>
      </c>
      <c r="W559" s="6">
        <v>13</v>
      </c>
      <c r="X559" s="6">
        <v>239</v>
      </c>
      <c r="Y559" s="6">
        <v>629</v>
      </c>
      <c r="Z559" s="6">
        <v>324</v>
      </c>
      <c r="AA559" s="6">
        <v>46</v>
      </c>
      <c r="AB559" s="6">
        <v>0</v>
      </c>
      <c r="AC559" s="7">
        <v>36</v>
      </c>
      <c r="AD559" s="7" t="s">
        <v>52</v>
      </c>
      <c r="AE559" s="7">
        <v>23.74</v>
      </c>
      <c r="AF559" s="7">
        <v>366.8</v>
      </c>
      <c r="AG559" s="7">
        <v>38.9</v>
      </c>
      <c r="AH559" s="7">
        <v>36.74</v>
      </c>
      <c r="AI559" s="7">
        <v>44.79</v>
      </c>
      <c r="AJ559" s="9">
        <v>385.145526010813</v>
      </c>
      <c r="AK559" s="9">
        <v>389.21581361739499</v>
      </c>
      <c r="AL559" s="9">
        <v>443.05100610689601</v>
      </c>
      <c r="AM559" s="9" t="s">
        <v>169</v>
      </c>
      <c r="AN559" s="9" t="s">
        <v>169</v>
      </c>
      <c r="AO559" s="9" t="s">
        <v>169</v>
      </c>
      <c r="AP559" s="9" t="s">
        <v>169</v>
      </c>
      <c r="AQ559" s="9" t="s">
        <v>169</v>
      </c>
      <c r="AR559" s="9" t="s">
        <v>169</v>
      </c>
      <c r="AS559" s="8" t="s">
        <v>169</v>
      </c>
      <c r="AT559" s="8" t="s">
        <v>169</v>
      </c>
      <c r="AU559" s="10" t="s">
        <v>169</v>
      </c>
      <c r="AV559" s="10">
        <v>0</v>
      </c>
      <c r="AW559" s="8"/>
      <c r="AX559" s="10" t="s">
        <v>169</v>
      </c>
      <c r="AY559" s="10"/>
      <c r="AZ559" s="10"/>
      <c r="BA559" s="10"/>
      <c r="BB559" s="8"/>
      <c r="BC559" s="8"/>
      <c r="BD559" s="8"/>
      <c r="BE559" s="8"/>
      <c r="BF559" s="12">
        <v>0.46</v>
      </c>
      <c r="BG559" s="13">
        <v>354.95769772597498</v>
      </c>
      <c r="BH559" s="96" t="str">
        <f>+VLOOKUP(G559,Liste!$A$7:$G$50,3,FALSE)</f>
        <v>Pin Maritime</v>
      </c>
      <c r="BI559" s="96" t="str">
        <f>+VLOOKUP(H559,Liste!$B$7:$G$50,5,FALSE)</f>
        <v>GS Pineraies des plaines du Centre et du Nord Ouest</v>
      </c>
      <c r="BJ559" s="135">
        <f t="shared" si="167"/>
        <v>36</v>
      </c>
      <c r="BK559" s="135" t="str">
        <f t="shared" si="169"/>
        <v>Pin Maritime_F1_Classique_GS Pineraies des plaines du Centre et du Nord Ouest_36_</v>
      </c>
      <c r="BL559" s="322"/>
      <c r="BM559" s="13">
        <v>87.941168619336807</v>
      </c>
      <c r="BN559" s="13">
        <v>442.898866345312</v>
      </c>
      <c r="BO559" s="13" t="s">
        <v>169</v>
      </c>
      <c r="BP559" s="13">
        <v>298.10759386198703</v>
      </c>
      <c r="BQ559" s="13" t="s">
        <v>169</v>
      </c>
      <c r="BT559" s="298" t="str">
        <f>+VLOOKUP(G559,Liste!$A$7:$H$50,8,FALSE)</f>
        <v>Résineux</v>
      </c>
      <c r="BU559" s="298">
        <f t="shared" si="170"/>
        <v>0</v>
      </c>
      <c r="BV559" s="300">
        <f t="shared" si="171"/>
        <v>1</v>
      </c>
      <c r="BW559" s="321">
        <v>0</v>
      </c>
      <c r="BX559" s="298">
        <f t="shared" si="172"/>
        <v>0.43</v>
      </c>
      <c r="BY559">
        <f t="shared" si="173"/>
        <v>0</v>
      </c>
      <c r="BZ559" s="304">
        <f t="shared" si="174"/>
        <v>0</v>
      </c>
      <c r="CB559" s="299">
        <v>0.6</v>
      </c>
      <c r="CC559" s="299">
        <v>0.4</v>
      </c>
      <c r="CD559">
        <f t="shared" si="175"/>
        <v>0</v>
      </c>
      <c r="CE559">
        <f t="shared" si="176"/>
        <v>0</v>
      </c>
      <c r="CF559">
        <f t="shared" si="177"/>
        <v>0</v>
      </c>
      <c r="CG559">
        <f t="shared" si="178"/>
        <v>0</v>
      </c>
      <c r="CH559">
        <f t="shared" si="179"/>
        <v>0</v>
      </c>
      <c r="CI559">
        <f t="shared" si="180"/>
        <v>0</v>
      </c>
      <c r="CJ559">
        <f t="shared" si="181"/>
        <v>0</v>
      </c>
      <c r="CK559">
        <f t="shared" si="182"/>
        <v>0</v>
      </c>
      <c r="CL559">
        <f t="shared" si="183"/>
        <v>0</v>
      </c>
      <c r="CM559">
        <f t="shared" si="185"/>
        <v>0</v>
      </c>
      <c r="CN559">
        <f t="shared" si="184"/>
        <v>0</v>
      </c>
      <c r="CO559">
        <f t="shared" si="168"/>
        <v>0</v>
      </c>
    </row>
    <row r="560" spans="1:93" s="12" customFormat="1" ht="14.65" customHeight="1" x14ac:dyDescent="0.25">
      <c r="A560" s="4">
        <v>2021</v>
      </c>
      <c r="B560" s="4"/>
      <c r="C560" s="4" t="s">
        <v>418</v>
      </c>
      <c r="D560" s="4" t="s">
        <v>65</v>
      </c>
      <c r="E560" s="4"/>
      <c r="F560" s="4" t="s">
        <v>90</v>
      </c>
      <c r="G560" s="5" t="s">
        <v>419</v>
      </c>
      <c r="H560" s="5" t="s">
        <v>21</v>
      </c>
      <c r="I560" s="5" t="s">
        <v>18</v>
      </c>
      <c r="J560" s="5" t="s">
        <v>9</v>
      </c>
      <c r="K560" s="5">
        <v>27.5</v>
      </c>
      <c r="L560" s="5">
        <v>55</v>
      </c>
      <c r="M560" s="5">
        <v>1250</v>
      </c>
      <c r="N560" s="5" t="s">
        <v>171</v>
      </c>
      <c r="O560" s="6" t="s">
        <v>81</v>
      </c>
      <c r="P560" s="6" t="s">
        <v>420</v>
      </c>
      <c r="Q560" s="6"/>
      <c r="R560" s="6"/>
      <c r="S560" s="6">
        <v>14</v>
      </c>
      <c r="T560" s="6">
        <v>11</v>
      </c>
      <c r="U560" s="6">
        <v>1251</v>
      </c>
      <c r="V560" s="6">
        <v>25.56</v>
      </c>
      <c r="W560" s="6">
        <v>13</v>
      </c>
      <c r="X560" s="6">
        <v>239</v>
      </c>
      <c r="Y560" s="6">
        <v>629</v>
      </c>
      <c r="Z560" s="6">
        <v>324</v>
      </c>
      <c r="AA560" s="6">
        <v>46</v>
      </c>
      <c r="AB560" s="6">
        <v>0</v>
      </c>
      <c r="AC560" s="7">
        <v>37</v>
      </c>
      <c r="AD560" s="7" t="s">
        <v>52</v>
      </c>
      <c r="AE560" s="7">
        <v>24.12</v>
      </c>
      <c r="AF560" s="7">
        <v>366.8</v>
      </c>
      <c r="AG560" s="7">
        <v>40.33</v>
      </c>
      <c r="AH560" s="7">
        <v>37.409999999999997</v>
      </c>
      <c r="AI560" s="7">
        <v>45.7</v>
      </c>
      <c r="AJ560" s="9">
        <v>402.69527103691502</v>
      </c>
      <c r="AK560" s="9">
        <v>407.203829683511</v>
      </c>
      <c r="AL560" s="9">
        <v>465.38088957067401</v>
      </c>
      <c r="AM560" s="9" t="s">
        <v>169</v>
      </c>
      <c r="AN560" s="9" t="s">
        <v>169</v>
      </c>
      <c r="AO560" s="9" t="s">
        <v>169</v>
      </c>
      <c r="AP560" s="9" t="s">
        <v>169</v>
      </c>
      <c r="AQ560" s="9" t="s">
        <v>169</v>
      </c>
      <c r="AR560" s="9" t="s">
        <v>169</v>
      </c>
      <c r="AS560" s="8" t="s">
        <v>169</v>
      </c>
      <c r="AT560" s="8" t="s">
        <v>169</v>
      </c>
      <c r="AU560" s="10" t="s">
        <v>169</v>
      </c>
      <c r="AV560" s="10">
        <v>0</v>
      </c>
      <c r="AW560" s="8"/>
      <c r="AX560" s="10" t="s">
        <v>169</v>
      </c>
      <c r="AY560" s="10"/>
      <c r="AZ560" s="10"/>
      <c r="BA560" s="10"/>
      <c r="BB560" s="8"/>
      <c r="BC560" s="8"/>
      <c r="BD560" s="8"/>
      <c r="BE560" s="8"/>
      <c r="BF560" s="12">
        <v>0.46</v>
      </c>
      <c r="BG560" s="13">
        <v>372.847656027705</v>
      </c>
      <c r="BH560" s="96" t="str">
        <f>+VLOOKUP(G560,Liste!$A$7:$G$50,3,FALSE)</f>
        <v>Pin Maritime</v>
      </c>
      <c r="BI560" s="96" t="str">
        <f>+VLOOKUP(H560,Liste!$B$7:$G$50,5,FALSE)</f>
        <v>GS Pineraies des plaines du Centre et du Nord Ouest</v>
      </c>
      <c r="BJ560" s="135">
        <f t="shared" si="167"/>
        <v>37</v>
      </c>
      <c r="BK560" s="135" t="str">
        <f t="shared" si="169"/>
        <v>Pin Maritime_F1_Classique_GS Pineraies des plaines du Centre et du Nord Ouest_37_</v>
      </c>
      <c r="BL560" s="322"/>
      <c r="BM560" s="13">
        <v>91.917445403443494</v>
      </c>
      <c r="BN560" s="13">
        <v>464.76510143114803</v>
      </c>
      <c r="BO560" s="13" t="s">
        <v>169</v>
      </c>
      <c r="BP560" s="13">
        <v>298.10759386198703</v>
      </c>
      <c r="BQ560" s="13" t="s">
        <v>169</v>
      </c>
      <c r="BT560" s="298" t="str">
        <f>+VLOOKUP(G560,Liste!$A$7:$H$50,8,FALSE)</f>
        <v>Résineux</v>
      </c>
      <c r="BU560" s="298">
        <f t="shared" si="170"/>
        <v>0</v>
      </c>
      <c r="BV560" s="300">
        <f t="shared" si="171"/>
        <v>1</v>
      </c>
      <c r="BW560" s="321">
        <v>0</v>
      </c>
      <c r="BX560" s="298">
        <f t="shared" si="172"/>
        <v>0.43</v>
      </c>
      <c r="BY560">
        <f t="shared" si="173"/>
        <v>0</v>
      </c>
      <c r="BZ560" s="304">
        <f t="shared" si="174"/>
        <v>0</v>
      </c>
      <c r="CB560" s="299">
        <v>0.6</v>
      </c>
      <c r="CC560" s="299">
        <v>0.4</v>
      </c>
      <c r="CD560">
        <f t="shared" si="175"/>
        <v>0</v>
      </c>
      <c r="CE560">
        <f t="shared" si="176"/>
        <v>0</v>
      </c>
      <c r="CF560">
        <f t="shared" si="177"/>
        <v>0</v>
      </c>
      <c r="CG560">
        <f t="shared" si="178"/>
        <v>0</v>
      </c>
      <c r="CH560">
        <f t="shared" si="179"/>
        <v>0</v>
      </c>
      <c r="CI560">
        <f t="shared" si="180"/>
        <v>0</v>
      </c>
      <c r="CJ560">
        <f t="shared" si="181"/>
        <v>0</v>
      </c>
      <c r="CK560">
        <f t="shared" si="182"/>
        <v>0</v>
      </c>
      <c r="CL560">
        <f t="shared" si="183"/>
        <v>0</v>
      </c>
      <c r="CM560">
        <f t="shared" si="185"/>
        <v>0</v>
      </c>
      <c r="CN560">
        <f t="shared" si="184"/>
        <v>0</v>
      </c>
      <c r="CO560">
        <f t="shared" si="168"/>
        <v>0</v>
      </c>
    </row>
    <row r="561" spans="1:93" s="12" customFormat="1" ht="14.65" customHeight="1" x14ac:dyDescent="0.25">
      <c r="A561" s="4">
        <v>2021</v>
      </c>
      <c r="B561" s="4"/>
      <c r="C561" s="4" t="s">
        <v>418</v>
      </c>
      <c r="D561" s="4" t="s">
        <v>65</v>
      </c>
      <c r="E561" s="4"/>
      <c r="F561" s="4" t="s">
        <v>90</v>
      </c>
      <c r="G561" s="5" t="s">
        <v>419</v>
      </c>
      <c r="H561" s="5" t="s">
        <v>21</v>
      </c>
      <c r="I561" s="5" t="s">
        <v>18</v>
      </c>
      <c r="J561" s="5" t="s">
        <v>9</v>
      </c>
      <c r="K561" s="5">
        <v>27.5</v>
      </c>
      <c r="L561" s="5">
        <v>55</v>
      </c>
      <c r="M561" s="5">
        <v>1250</v>
      </c>
      <c r="N561" s="5" t="s">
        <v>171</v>
      </c>
      <c r="O561" s="6" t="s">
        <v>81</v>
      </c>
      <c r="P561" s="6" t="s">
        <v>420</v>
      </c>
      <c r="Q561" s="6"/>
      <c r="R561" s="6"/>
      <c r="S561" s="6">
        <v>14</v>
      </c>
      <c r="T561" s="6">
        <v>11</v>
      </c>
      <c r="U561" s="6">
        <v>1251</v>
      </c>
      <c r="V561" s="6">
        <v>25.56</v>
      </c>
      <c r="W561" s="6">
        <v>13</v>
      </c>
      <c r="X561" s="6">
        <v>239</v>
      </c>
      <c r="Y561" s="6">
        <v>629</v>
      </c>
      <c r="Z561" s="6">
        <v>324</v>
      </c>
      <c r="AA561" s="6">
        <v>46</v>
      </c>
      <c r="AB561" s="6">
        <v>0</v>
      </c>
      <c r="AC561" s="7">
        <v>38</v>
      </c>
      <c r="AD561" s="7" t="s">
        <v>52</v>
      </c>
      <c r="AE561" s="7">
        <v>24.48</v>
      </c>
      <c r="AF561" s="7">
        <v>366.8</v>
      </c>
      <c r="AG561" s="7">
        <v>41.74</v>
      </c>
      <c r="AH561" s="7">
        <v>38.06</v>
      </c>
      <c r="AI561" s="7">
        <v>46.59</v>
      </c>
      <c r="AJ561" s="9">
        <v>420.24501606301698</v>
      </c>
      <c r="AK561" s="9">
        <v>425.191845749626</v>
      </c>
      <c r="AL561" s="9">
        <v>487.71077303445202</v>
      </c>
      <c r="AM561" s="9">
        <v>70.049576899077906</v>
      </c>
      <c r="AN561" s="9">
        <v>1.84340991839679</v>
      </c>
      <c r="AO561" s="9">
        <v>1.2368877029449099</v>
      </c>
      <c r="AP561" s="9">
        <v>719.70305772480503</v>
      </c>
      <c r="AQ561" s="9">
        <v>18.9395541506528</v>
      </c>
      <c r="AR561" s="9">
        <v>20.665511988059102</v>
      </c>
      <c r="AS561" s="8" t="s">
        <v>169</v>
      </c>
      <c r="AT561" s="8" t="s">
        <v>169</v>
      </c>
      <c r="AU561" s="10" t="s">
        <v>169</v>
      </c>
      <c r="AV561" s="10">
        <v>0</v>
      </c>
      <c r="AW561" s="8"/>
      <c r="AX561" s="10" t="s">
        <v>169</v>
      </c>
      <c r="AY561" s="10"/>
      <c r="AZ561" s="10"/>
      <c r="BA561" s="10"/>
      <c r="BB561" s="8"/>
      <c r="BC561" s="8"/>
      <c r="BD561" s="8"/>
      <c r="BE561" s="8"/>
      <c r="BF561" s="12">
        <v>0.46</v>
      </c>
      <c r="BG561" s="13">
        <v>390.73761432943502</v>
      </c>
      <c r="BH561" s="96" t="str">
        <f>+VLOOKUP(G561,Liste!$A$7:$G$50,3,FALSE)</f>
        <v>Pin Maritime</v>
      </c>
      <c r="BI561" s="96" t="str">
        <f>+VLOOKUP(H561,Liste!$B$7:$G$50,5,FALSE)</f>
        <v>GS Pineraies des plaines du Centre et du Nord Ouest</v>
      </c>
      <c r="BJ561" s="135">
        <f t="shared" si="167"/>
        <v>38</v>
      </c>
      <c r="BK561" s="135" t="str">
        <f t="shared" si="169"/>
        <v>Pin Maritime_F1_Classique_GS Pineraies des plaines du Centre et du Nord Ouest_38_</v>
      </c>
      <c r="BL561" s="322"/>
      <c r="BM561" s="13">
        <v>95.893722187550097</v>
      </c>
      <c r="BN561" s="13">
        <v>486.63133651698502</v>
      </c>
      <c r="BO561" s="13" t="s">
        <v>169</v>
      </c>
      <c r="BP561" s="13">
        <v>298.10759386198703</v>
      </c>
      <c r="BQ561" s="13">
        <v>19.945453032274401</v>
      </c>
      <c r="BT561" s="298" t="str">
        <f>+VLOOKUP(G561,Liste!$A$7:$H$50,8,FALSE)</f>
        <v>Résineux</v>
      </c>
      <c r="BU561" s="298">
        <f t="shared" si="170"/>
        <v>0</v>
      </c>
      <c r="BV561" s="300">
        <f t="shared" si="171"/>
        <v>1</v>
      </c>
      <c r="BW561" s="321">
        <v>0</v>
      </c>
      <c r="BX561" s="298">
        <f t="shared" si="172"/>
        <v>0.43</v>
      </c>
      <c r="BY561">
        <f t="shared" si="173"/>
        <v>0</v>
      </c>
      <c r="BZ561" s="304">
        <f t="shared" si="174"/>
        <v>0</v>
      </c>
      <c r="CB561" s="299">
        <v>0.6</v>
      </c>
      <c r="CC561" s="299">
        <v>0.4</v>
      </c>
      <c r="CD561">
        <f t="shared" si="175"/>
        <v>0</v>
      </c>
      <c r="CE561">
        <f t="shared" si="176"/>
        <v>0</v>
      </c>
      <c r="CF561">
        <f t="shared" si="177"/>
        <v>0</v>
      </c>
      <c r="CG561">
        <f t="shared" si="178"/>
        <v>0</v>
      </c>
      <c r="CH561">
        <f t="shared" si="179"/>
        <v>0</v>
      </c>
      <c r="CI561">
        <f t="shared" si="180"/>
        <v>0</v>
      </c>
      <c r="CJ561">
        <f t="shared" si="181"/>
        <v>0</v>
      </c>
      <c r="CK561">
        <f t="shared" si="182"/>
        <v>0</v>
      </c>
      <c r="CL561">
        <f t="shared" si="183"/>
        <v>0</v>
      </c>
      <c r="CM561">
        <f t="shared" si="185"/>
        <v>0</v>
      </c>
      <c r="CN561">
        <f t="shared" si="184"/>
        <v>0</v>
      </c>
      <c r="CO561">
        <f t="shared" si="168"/>
        <v>0</v>
      </c>
    </row>
    <row r="562" spans="1:93" s="12" customFormat="1" ht="14.65" customHeight="1" x14ac:dyDescent="0.25">
      <c r="A562" s="4">
        <v>2021</v>
      </c>
      <c r="B562" s="4"/>
      <c r="C562" s="4" t="s">
        <v>418</v>
      </c>
      <c r="D562" s="4" t="s">
        <v>65</v>
      </c>
      <c r="E562" s="4"/>
      <c r="F562" s="4" t="s">
        <v>90</v>
      </c>
      <c r="G562" s="5" t="s">
        <v>419</v>
      </c>
      <c r="H562" s="5" t="s">
        <v>21</v>
      </c>
      <c r="I562" s="5" t="s">
        <v>18</v>
      </c>
      <c r="J562" s="5" t="s">
        <v>9</v>
      </c>
      <c r="K562" s="5">
        <v>27.5</v>
      </c>
      <c r="L562" s="5">
        <v>55</v>
      </c>
      <c r="M562" s="5">
        <v>1250</v>
      </c>
      <c r="N562" s="5" t="s">
        <v>171</v>
      </c>
      <c r="O562" s="6" t="s">
        <v>81</v>
      </c>
      <c r="P562" s="6" t="s">
        <v>420</v>
      </c>
      <c r="Q562" s="6"/>
      <c r="R562" s="6"/>
      <c r="S562" s="6">
        <v>14</v>
      </c>
      <c r="T562" s="6">
        <v>11</v>
      </c>
      <c r="U562" s="6">
        <v>1251</v>
      </c>
      <c r="V562" s="6">
        <v>25.56</v>
      </c>
      <c r="W562" s="6">
        <v>13</v>
      </c>
      <c r="X562" s="6">
        <v>239</v>
      </c>
      <c r="Y562" s="6">
        <v>629</v>
      </c>
      <c r="Z562" s="6">
        <v>324</v>
      </c>
      <c r="AA562" s="6">
        <v>46</v>
      </c>
      <c r="AB562" s="6">
        <v>0</v>
      </c>
      <c r="AC562" s="7">
        <v>38</v>
      </c>
      <c r="AD562" s="7" t="s">
        <v>53</v>
      </c>
      <c r="AE562" s="7">
        <v>23.94</v>
      </c>
      <c r="AF562" s="7">
        <v>286.2</v>
      </c>
      <c r="AG562" s="7">
        <v>32.590000000000003</v>
      </c>
      <c r="AH562" s="7">
        <v>38.08</v>
      </c>
      <c r="AI562" s="7">
        <v>43</v>
      </c>
      <c r="AJ562" s="9">
        <v>323.078173548368</v>
      </c>
      <c r="AK562" s="9">
        <v>327.11253443734</v>
      </c>
      <c r="AL562" s="9">
        <v>377.47976109201301</v>
      </c>
      <c r="AM562" s="9">
        <v>70.049576899077906</v>
      </c>
      <c r="AN562" s="9">
        <v>1.84340991839679</v>
      </c>
      <c r="AO562" s="9">
        <v>1.2368877029449099</v>
      </c>
      <c r="AP562" s="9">
        <v>719.70305772480503</v>
      </c>
      <c r="AQ562" s="9">
        <v>18.9395541506528</v>
      </c>
      <c r="AR562" s="9">
        <v>20.665511988059102</v>
      </c>
      <c r="AS562" s="8">
        <v>80.600000000000023</v>
      </c>
      <c r="AT562" s="8">
        <v>9.1499999999999986</v>
      </c>
      <c r="AU562" s="10">
        <v>38.018772028978084</v>
      </c>
      <c r="AV562" s="10">
        <v>97.166842514648977</v>
      </c>
      <c r="AW562" s="8">
        <v>1</v>
      </c>
      <c r="AX562" s="10">
        <v>1.205543951794652</v>
      </c>
      <c r="AY562" s="10"/>
      <c r="AZ562" s="10"/>
      <c r="BA562" s="10"/>
      <c r="BB562" s="8"/>
      <c r="BC562" s="8"/>
      <c r="BD562" s="8"/>
      <c r="BE562" s="8"/>
      <c r="BF562" s="12">
        <v>0.46</v>
      </c>
      <c r="BG562" s="13">
        <v>302.42420192821697</v>
      </c>
      <c r="BH562" s="96" t="str">
        <f>+VLOOKUP(G562,Liste!$A$7:$G$50,3,FALSE)</f>
        <v>Pin Maritime</v>
      </c>
      <c r="BI562" s="96" t="str">
        <f>+VLOOKUP(H562,Liste!$B$7:$G$50,5,FALSE)</f>
        <v>GS Pineraies des plaines du Centre et du Nord Ouest</v>
      </c>
      <c r="BJ562" s="135">
        <f t="shared" si="167"/>
        <v>38</v>
      </c>
      <c r="BK562" s="135" t="str">
        <f t="shared" si="169"/>
        <v>Pin Maritime_F1_Classique_GS Pineraies des plaines du Centre et du Nord Ouest_38_</v>
      </c>
      <c r="BL562" s="322"/>
      <c r="BM562" s="13">
        <v>76.466845257075803</v>
      </c>
      <c r="BN562" s="13">
        <v>378.89104718529302</v>
      </c>
      <c r="BO562" s="13">
        <v>107.740289331692</v>
      </c>
      <c r="BP562" s="13">
        <v>298.10759386198703</v>
      </c>
      <c r="BQ562" s="13">
        <v>19.945453032274401</v>
      </c>
      <c r="BT562" s="298" t="str">
        <f>+VLOOKUP(G562,Liste!$A$7:$H$50,8,FALSE)</f>
        <v>Résineux</v>
      </c>
      <c r="BU562" s="298">
        <f t="shared" si="170"/>
        <v>0</v>
      </c>
      <c r="BV562" s="300">
        <f t="shared" si="171"/>
        <v>1</v>
      </c>
      <c r="BW562" s="321">
        <v>0</v>
      </c>
      <c r="BX562" s="298">
        <f t="shared" si="172"/>
        <v>0.43</v>
      </c>
      <c r="BY562">
        <f t="shared" si="173"/>
        <v>0</v>
      </c>
      <c r="BZ562" s="304">
        <f t="shared" si="174"/>
        <v>0</v>
      </c>
      <c r="CB562" s="299">
        <v>0.6</v>
      </c>
      <c r="CC562" s="299">
        <v>0.4</v>
      </c>
      <c r="CD562">
        <f t="shared" si="175"/>
        <v>0</v>
      </c>
      <c r="CE562">
        <f t="shared" si="176"/>
        <v>0</v>
      </c>
      <c r="CF562">
        <f t="shared" si="177"/>
        <v>0</v>
      </c>
      <c r="CG562">
        <f t="shared" si="178"/>
        <v>0</v>
      </c>
      <c r="CH562">
        <f t="shared" si="179"/>
        <v>0</v>
      </c>
      <c r="CI562">
        <f t="shared" si="180"/>
        <v>0</v>
      </c>
      <c r="CJ562">
        <f t="shared" si="181"/>
        <v>0</v>
      </c>
      <c r="CK562">
        <f t="shared" si="182"/>
        <v>0</v>
      </c>
      <c r="CL562">
        <f t="shared" si="183"/>
        <v>0</v>
      </c>
      <c r="CM562">
        <f t="shared" si="185"/>
        <v>0</v>
      </c>
      <c r="CN562">
        <f t="shared" si="184"/>
        <v>0</v>
      </c>
      <c r="CO562">
        <f t="shared" si="168"/>
        <v>0</v>
      </c>
    </row>
    <row r="563" spans="1:93" s="12" customFormat="1" ht="14.65" customHeight="1" x14ac:dyDescent="0.25">
      <c r="A563" s="4">
        <v>2021</v>
      </c>
      <c r="B563" s="4"/>
      <c r="C563" s="4" t="s">
        <v>418</v>
      </c>
      <c r="D563" s="4" t="s">
        <v>65</v>
      </c>
      <c r="E563" s="4"/>
      <c r="F563" s="4" t="s">
        <v>90</v>
      </c>
      <c r="G563" s="5" t="s">
        <v>419</v>
      </c>
      <c r="H563" s="5" t="s">
        <v>21</v>
      </c>
      <c r="I563" s="5" t="s">
        <v>18</v>
      </c>
      <c r="J563" s="5" t="s">
        <v>9</v>
      </c>
      <c r="K563" s="5">
        <v>27.5</v>
      </c>
      <c r="L563" s="5">
        <v>55</v>
      </c>
      <c r="M563" s="5">
        <v>1250</v>
      </c>
      <c r="N563" s="5" t="s">
        <v>171</v>
      </c>
      <c r="O563" s="6" t="s">
        <v>81</v>
      </c>
      <c r="P563" s="6" t="s">
        <v>420</v>
      </c>
      <c r="Q563" s="6"/>
      <c r="R563" s="6"/>
      <c r="S563" s="6">
        <v>14</v>
      </c>
      <c r="T563" s="6">
        <v>11</v>
      </c>
      <c r="U563" s="6">
        <v>1251</v>
      </c>
      <c r="V563" s="6">
        <v>25.56</v>
      </c>
      <c r="W563" s="6">
        <v>13</v>
      </c>
      <c r="X563" s="6">
        <v>239</v>
      </c>
      <c r="Y563" s="6">
        <v>629</v>
      </c>
      <c r="Z563" s="6">
        <v>324</v>
      </c>
      <c r="AA563" s="6">
        <v>46</v>
      </c>
      <c r="AB563" s="6">
        <v>0</v>
      </c>
      <c r="AC563" s="7">
        <v>39</v>
      </c>
      <c r="AD563" s="7" t="s">
        <v>52</v>
      </c>
      <c r="AE563" s="7">
        <v>24.83</v>
      </c>
      <c r="AF563" s="7">
        <v>286.2</v>
      </c>
      <c r="AG563" s="7">
        <v>33.869999999999997</v>
      </c>
      <c r="AH563" s="7">
        <v>38.82</v>
      </c>
      <c r="AI563" s="7">
        <v>43.9</v>
      </c>
      <c r="AJ563" s="9">
        <v>323.35575561075501</v>
      </c>
      <c r="AK563" s="9">
        <v>330.00293291757202</v>
      </c>
      <c r="AL563" s="9">
        <v>402.566884019979</v>
      </c>
      <c r="AM563" s="9" t="s">
        <v>169</v>
      </c>
      <c r="AN563" s="9" t="s">
        <v>169</v>
      </c>
      <c r="AO563" s="9" t="s">
        <v>169</v>
      </c>
      <c r="AP563" s="9" t="s">
        <v>169</v>
      </c>
      <c r="AQ563" s="9" t="s">
        <v>169</v>
      </c>
      <c r="AR563" s="9" t="s">
        <v>169</v>
      </c>
      <c r="AS563" s="8" t="s">
        <v>169</v>
      </c>
      <c r="AT563" s="8" t="s">
        <v>169</v>
      </c>
      <c r="AU563" s="10" t="s">
        <v>169</v>
      </c>
      <c r="AV563" s="10">
        <v>0</v>
      </c>
      <c r="AW563" s="8"/>
      <c r="AX563" s="10" t="s">
        <v>169</v>
      </c>
      <c r="AY563" s="10"/>
      <c r="AZ563" s="10"/>
      <c r="BA563" s="10"/>
      <c r="BB563" s="8"/>
      <c r="BC563" s="8"/>
      <c r="BD563" s="8"/>
      <c r="BE563" s="8"/>
      <c r="BF563" s="12">
        <v>0.46</v>
      </c>
      <c r="BG563" s="13">
        <v>322.52316858067297</v>
      </c>
      <c r="BH563" s="96" t="str">
        <f>+VLOOKUP(G563,Liste!$A$7:$G$50,3,FALSE)</f>
        <v>Pin Maritime</v>
      </c>
      <c r="BI563" s="96" t="str">
        <f>+VLOOKUP(H563,Liste!$B$7:$G$50,5,FALSE)</f>
        <v>GS Pineraies des plaines du Centre et du Nord Ouest</v>
      </c>
      <c r="BJ563" s="135">
        <f t="shared" si="167"/>
        <v>39</v>
      </c>
      <c r="BK563" s="135" t="str">
        <f t="shared" si="169"/>
        <v>Pin Maritime_F1_Classique_GS Pineraies des plaines du Centre et du Nord Ouest_39_</v>
      </c>
      <c r="BL563" s="322"/>
      <c r="BM563" s="13">
        <v>80.940302379300505</v>
      </c>
      <c r="BN563" s="13">
        <v>403.46347095997402</v>
      </c>
      <c r="BO563" s="13" t="s">
        <v>169</v>
      </c>
      <c r="BP563" s="13">
        <v>298.10759386198703</v>
      </c>
      <c r="BQ563" s="13" t="s">
        <v>169</v>
      </c>
      <c r="BT563" s="298" t="str">
        <f>+VLOOKUP(G563,Liste!$A$7:$H$50,8,FALSE)</f>
        <v>Résineux</v>
      </c>
      <c r="BU563" s="298">
        <f t="shared" si="170"/>
        <v>0</v>
      </c>
      <c r="BV563" s="300">
        <f t="shared" si="171"/>
        <v>1</v>
      </c>
      <c r="BW563" s="321">
        <v>0</v>
      </c>
      <c r="BX563" s="298">
        <f t="shared" si="172"/>
        <v>0.43</v>
      </c>
      <c r="BY563">
        <f t="shared" si="173"/>
        <v>0</v>
      </c>
      <c r="BZ563" s="304">
        <f t="shared" si="174"/>
        <v>0</v>
      </c>
      <c r="CB563" s="299">
        <v>0.6</v>
      </c>
      <c r="CC563" s="299">
        <v>0.4</v>
      </c>
      <c r="CD563">
        <f t="shared" si="175"/>
        <v>0</v>
      </c>
      <c r="CE563">
        <f t="shared" si="176"/>
        <v>0</v>
      </c>
      <c r="CF563">
        <f t="shared" si="177"/>
        <v>0</v>
      </c>
      <c r="CG563">
        <f t="shared" si="178"/>
        <v>0</v>
      </c>
      <c r="CH563">
        <f t="shared" si="179"/>
        <v>0</v>
      </c>
      <c r="CI563">
        <f t="shared" si="180"/>
        <v>0</v>
      </c>
      <c r="CJ563">
        <f t="shared" si="181"/>
        <v>0</v>
      </c>
      <c r="CK563">
        <f t="shared" si="182"/>
        <v>0</v>
      </c>
      <c r="CL563">
        <f t="shared" si="183"/>
        <v>0</v>
      </c>
      <c r="CM563">
        <f t="shared" si="185"/>
        <v>0</v>
      </c>
      <c r="CN563">
        <f t="shared" si="184"/>
        <v>0</v>
      </c>
      <c r="CO563">
        <f t="shared" si="168"/>
        <v>0</v>
      </c>
    </row>
    <row r="564" spans="1:93" s="12" customFormat="1" ht="14.65" customHeight="1" x14ac:dyDescent="0.25">
      <c r="A564" s="4">
        <v>2021</v>
      </c>
      <c r="B564" s="4"/>
      <c r="C564" s="4" t="s">
        <v>418</v>
      </c>
      <c r="D564" s="4" t="s">
        <v>65</v>
      </c>
      <c r="E564" s="4"/>
      <c r="F564" s="4" t="s">
        <v>90</v>
      </c>
      <c r="G564" s="5" t="s">
        <v>419</v>
      </c>
      <c r="H564" s="5" t="s">
        <v>21</v>
      </c>
      <c r="I564" s="5" t="s">
        <v>18</v>
      </c>
      <c r="J564" s="5" t="s">
        <v>9</v>
      </c>
      <c r="K564" s="5">
        <v>27.5</v>
      </c>
      <c r="L564" s="5">
        <v>55</v>
      </c>
      <c r="M564" s="5">
        <v>1250</v>
      </c>
      <c r="N564" s="5" t="s">
        <v>171</v>
      </c>
      <c r="O564" s="6" t="s">
        <v>81</v>
      </c>
      <c r="P564" s="6" t="s">
        <v>420</v>
      </c>
      <c r="Q564" s="6"/>
      <c r="R564" s="6"/>
      <c r="S564" s="6">
        <v>14</v>
      </c>
      <c r="T564" s="6">
        <v>11</v>
      </c>
      <c r="U564" s="6">
        <v>1251</v>
      </c>
      <c r="V564" s="6">
        <v>25.56</v>
      </c>
      <c r="W564" s="6">
        <v>13</v>
      </c>
      <c r="X564" s="6">
        <v>239</v>
      </c>
      <c r="Y564" s="6">
        <v>629</v>
      </c>
      <c r="Z564" s="6">
        <v>324</v>
      </c>
      <c r="AA564" s="6">
        <v>46</v>
      </c>
      <c r="AB564" s="6">
        <v>0</v>
      </c>
      <c r="AC564" s="7">
        <v>40</v>
      </c>
      <c r="AD564" s="7" t="s">
        <v>52</v>
      </c>
      <c r="AE564" s="7">
        <v>25.17</v>
      </c>
      <c r="AF564" s="7">
        <v>286.2</v>
      </c>
      <c r="AG564" s="7">
        <v>35.130000000000003</v>
      </c>
      <c r="AH564" s="7">
        <v>39.54</v>
      </c>
      <c r="AI564" s="7">
        <v>44.8</v>
      </c>
      <c r="AJ564" s="9">
        <v>338.98845730111498</v>
      </c>
      <c r="AK564" s="9">
        <v>346.15236422529301</v>
      </c>
      <c r="AL564" s="9">
        <v>422.600737302337</v>
      </c>
      <c r="AM564" s="9" t="s">
        <v>169</v>
      </c>
      <c r="AN564" s="9" t="s">
        <v>169</v>
      </c>
      <c r="AO564" s="9" t="s">
        <v>169</v>
      </c>
      <c r="AP564" s="9" t="s">
        <v>169</v>
      </c>
      <c r="AQ564" s="9" t="s">
        <v>169</v>
      </c>
      <c r="AR564" s="9" t="s">
        <v>169</v>
      </c>
      <c r="AS564" s="8" t="s">
        <v>169</v>
      </c>
      <c r="AT564" s="8" t="s">
        <v>169</v>
      </c>
      <c r="AU564" s="10" t="s">
        <v>169</v>
      </c>
      <c r="AV564" s="10">
        <v>0</v>
      </c>
      <c r="AW564" s="8"/>
      <c r="AX564" s="10" t="s">
        <v>169</v>
      </c>
      <c r="AY564" s="10"/>
      <c r="AZ564" s="10"/>
      <c r="BA564" s="10"/>
      <c r="BB564" s="8"/>
      <c r="BC564" s="8"/>
      <c r="BD564" s="8"/>
      <c r="BE564" s="8"/>
      <c r="BF564" s="12">
        <v>0.46</v>
      </c>
      <c r="BG564" s="13">
        <v>338.573624035389</v>
      </c>
      <c r="BH564" s="96" t="str">
        <f>+VLOOKUP(G564,Liste!$A$7:$G$50,3,FALSE)</f>
        <v>Pin Maritime</v>
      </c>
      <c r="BI564" s="96" t="str">
        <f>+VLOOKUP(H564,Liste!$B$7:$G$50,5,FALSE)</f>
        <v>GS Pineraies des plaines du Centre et du Nord Ouest</v>
      </c>
      <c r="BJ564" s="135">
        <f t="shared" si="167"/>
        <v>40</v>
      </c>
      <c r="BK564" s="135" t="str">
        <f t="shared" si="169"/>
        <v>Pin Maritime_F1_Classique_GS Pineraies des plaines du Centre et du Nord Ouest_40_</v>
      </c>
      <c r="BL564" s="322"/>
      <c r="BM564" s="13">
        <v>84.435231476219698</v>
      </c>
      <c r="BN564" s="13">
        <v>423.008855511609</v>
      </c>
      <c r="BO564" s="13" t="s">
        <v>169</v>
      </c>
      <c r="BP564" s="13">
        <v>298.10759386198703</v>
      </c>
      <c r="BQ564" s="13" t="s">
        <v>169</v>
      </c>
      <c r="BT564" s="298" t="str">
        <f>+VLOOKUP(G564,Liste!$A$7:$H$50,8,FALSE)</f>
        <v>Résineux</v>
      </c>
      <c r="BU564" s="298">
        <f t="shared" si="170"/>
        <v>0</v>
      </c>
      <c r="BV564" s="300">
        <f t="shared" si="171"/>
        <v>1</v>
      </c>
      <c r="BW564" s="321">
        <v>0</v>
      </c>
      <c r="BX564" s="298">
        <f t="shared" si="172"/>
        <v>0.43</v>
      </c>
      <c r="BY564">
        <f t="shared" si="173"/>
        <v>0</v>
      </c>
      <c r="BZ564" s="304">
        <f t="shared" si="174"/>
        <v>0</v>
      </c>
      <c r="CB564" s="299">
        <v>0.6</v>
      </c>
      <c r="CC564" s="299">
        <v>0.4</v>
      </c>
      <c r="CD564">
        <f t="shared" si="175"/>
        <v>0</v>
      </c>
      <c r="CE564">
        <f t="shared" si="176"/>
        <v>0</v>
      </c>
      <c r="CF564">
        <f t="shared" si="177"/>
        <v>0</v>
      </c>
      <c r="CG564">
        <f t="shared" si="178"/>
        <v>0</v>
      </c>
      <c r="CH564">
        <f t="shared" si="179"/>
        <v>0</v>
      </c>
      <c r="CI564">
        <f t="shared" si="180"/>
        <v>0</v>
      </c>
      <c r="CJ564">
        <f t="shared" si="181"/>
        <v>0</v>
      </c>
      <c r="CK564">
        <f t="shared" si="182"/>
        <v>0</v>
      </c>
      <c r="CL564">
        <f t="shared" si="183"/>
        <v>0</v>
      </c>
      <c r="CM564">
        <f t="shared" si="185"/>
        <v>0</v>
      </c>
      <c r="CN564">
        <f t="shared" si="184"/>
        <v>0</v>
      </c>
      <c r="CO564">
        <f t="shared" si="168"/>
        <v>0</v>
      </c>
    </row>
    <row r="565" spans="1:93" s="12" customFormat="1" ht="14.65" customHeight="1" x14ac:dyDescent="0.25">
      <c r="A565" s="4">
        <v>2021</v>
      </c>
      <c r="B565" s="4"/>
      <c r="C565" s="4" t="s">
        <v>418</v>
      </c>
      <c r="D565" s="4" t="s">
        <v>65</v>
      </c>
      <c r="E565" s="4"/>
      <c r="F565" s="4" t="s">
        <v>90</v>
      </c>
      <c r="G565" s="5" t="s">
        <v>419</v>
      </c>
      <c r="H565" s="5" t="s">
        <v>21</v>
      </c>
      <c r="I565" s="5" t="s">
        <v>18</v>
      </c>
      <c r="J565" s="5" t="s">
        <v>9</v>
      </c>
      <c r="K565" s="5">
        <v>27.5</v>
      </c>
      <c r="L565" s="5">
        <v>55</v>
      </c>
      <c r="M565" s="5">
        <v>1250</v>
      </c>
      <c r="N565" s="5" t="s">
        <v>171</v>
      </c>
      <c r="O565" s="6" t="s">
        <v>81</v>
      </c>
      <c r="P565" s="6" t="s">
        <v>420</v>
      </c>
      <c r="Q565" s="6"/>
      <c r="R565" s="6"/>
      <c r="S565" s="6">
        <v>14</v>
      </c>
      <c r="T565" s="6">
        <v>11</v>
      </c>
      <c r="U565" s="6">
        <v>1251</v>
      </c>
      <c r="V565" s="6">
        <v>25.56</v>
      </c>
      <c r="W565" s="6">
        <v>13</v>
      </c>
      <c r="X565" s="6">
        <v>239</v>
      </c>
      <c r="Y565" s="6">
        <v>629</v>
      </c>
      <c r="Z565" s="6">
        <v>324</v>
      </c>
      <c r="AA565" s="6">
        <v>46</v>
      </c>
      <c r="AB565" s="6">
        <v>0</v>
      </c>
      <c r="AC565" s="7">
        <v>41</v>
      </c>
      <c r="AD565" s="7" t="s">
        <v>52</v>
      </c>
      <c r="AE565" s="7">
        <v>25.5</v>
      </c>
      <c r="AF565" s="7">
        <v>286.2</v>
      </c>
      <c r="AG565" s="7">
        <v>36.380000000000003</v>
      </c>
      <c r="AH565" s="7">
        <v>40.229999999999997</v>
      </c>
      <c r="AI565" s="7">
        <v>45.67</v>
      </c>
      <c r="AJ565" s="9">
        <v>354.62115899147398</v>
      </c>
      <c r="AK565" s="9">
        <v>362.30179553301502</v>
      </c>
      <c r="AL565" s="9">
        <v>442.63459058469499</v>
      </c>
      <c r="AM565" s="9" t="s">
        <v>169</v>
      </c>
      <c r="AN565" s="9" t="s">
        <v>169</v>
      </c>
      <c r="AO565" s="9" t="s">
        <v>169</v>
      </c>
      <c r="AP565" s="9" t="s">
        <v>169</v>
      </c>
      <c r="AQ565" s="9" t="s">
        <v>169</v>
      </c>
      <c r="AR565" s="9" t="s">
        <v>169</v>
      </c>
      <c r="AS565" s="8" t="s">
        <v>169</v>
      </c>
      <c r="AT565" s="8" t="s">
        <v>169</v>
      </c>
      <c r="AU565" s="10" t="s">
        <v>169</v>
      </c>
      <c r="AV565" s="10">
        <v>0</v>
      </c>
      <c r="AW565" s="8"/>
      <c r="AX565" s="10" t="s">
        <v>169</v>
      </c>
      <c r="AY565" s="10"/>
      <c r="AZ565" s="10"/>
      <c r="BA565" s="10"/>
      <c r="BB565" s="8"/>
      <c r="BC565" s="8"/>
      <c r="BD565" s="8"/>
      <c r="BE565" s="8"/>
      <c r="BF565" s="12">
        <v>0.46</v>
      </c>
      <c r="BG565" s="13">
        <v>354.62407949010498</v>
      </c>
      <c r="BH565" s="96" t="str">
        <f>+VLOOKUP(G565,Liste!$A$7:$G$50,3,FALSE)</f>
        <v>Pin Maritime</v>
      </c>
      <c r="BI565" s="96" t="str">
        <f>+VLOOKUP(H565,Liste!$B$7:$G$50,5,FALSE)</f>
        <v>GS Pineraies des plaines du Centre et du Nord Ouest</v>
      </c>
      <c r="BJ565" s="135">
        <f t="shared" si="167"/>
        <v>41</v>
      </c>
      <c r="BK565" s="135" t="str">
        <f t="shared" si="169"/>
        <v>Pin Maritime_F1_Classique_GS Pineraies des plaines du Centre et du Nord Ouest_41_</v>
      </c>
      <c r="BL565" s="322"/>
      <c r="BM565" s="13">
        <v>87.930160573138906</v>
      </c>
      <c r="BN565" s="13">
        <v>442.55424006324398</v>
      </c>
      <c r="BO565" s="13" t="s">
        <v>169</v>
      </c>
      <c r="BP565" s="13">
        <v>298.10759386198703</v>
      </c>
      <c r="BQ565" s="13" t="s">
        <v>169</v>
      </c>
      <c r="BT565" s="298" t="str">
        <f>+VLOOKUP(G565,Liste!$A$7:$H$50,8,FALSE)</f>
        <v>Résineux</v>
      </c>
      <c r="BU565" s="298">
        <f t="shared" si="170"/>
        <v>0</v>
      </c>
      <c r="BV565" s="300">
        <f t="shared" si="171"/>
        <v>1</v>
      </c>
      <c r="BW565" s="321">
        <v>0</v>
      </c>
      <c r="BX565" s="298">
        <f t="shared" si="172"/>
        <v>0.43</v>
      </c>
      <c r="BY565">
        <f t="shared" si="173"/>
        <v>0</v>
      </c>
      <c r="BZ565" s="304">
        <f t="shared" si="174"/>
        <v>0</v>
      </c>
      <c r="CB565" s="299">
        <v>0.6</v>
      </c>
      <c r="CC565" s="299">
        <v>0.4</v>
      </c>
      <c r="CD565">
        <f t="shared" si="175"/>
        <v>0</v>
      </c>
      <c r="CE565">
        <f t="shared" si="176"/>
        <v>0</v>
      </c>
      <c r="CF565">
        <f t="shared" si="177"/>
        <v>0</v>
      </c>
      <c r="CG565">
        <f t="shared" si="178"/>
        <v>0</v>
      </c>
      <c r="CH565">
        <f t="shared" si="179"/>
        <v>0</v>
      </c>
      <c r="CI565">
        <f t="shared" si="180"/>
        <v>0</v>
      </c>
      <c r="CJ565">
        <f t="shared" si="181"/>
        <v>0</v>
      </c>
      <c r="CK565">
        <f t="shared" si="182"/>
        <v>0</v>
      </c>
      <c r="CL565">
        <f t="shared" si="183"/>
        <v>0</v>
      </c>
      <c r="CM565">
        <f t="shared" si="185"/>
        <v>0</v>
      </c>
      <c r="CN565">
        <f t="shared" si="184"/>
        <v>0</v>
      </c>
      <c r="CO565">
        <f t="shared" si="168"/>
        <v>0</v>
      </c>
    </row>
    <row r="566" spans="1:93" s="12" customFormat="1" ht="14.65" customHeight="1" x14ac:dyDescent="0.25">
      <c r="A566" s="4">
        <v>2021</v>
      </c>
      <c r="B566" s="4"/>
      <c r="C566" s="4" t="s">
        <v>418</v>
      </c>
      <c r="D566" s="4" t="s">
        <v>65</v>
      </c>
      <c r="E566" s="4"/>
      <c r="F566" s="4" t="s">
        <v>90</v>
      </c>
      <c r="G566" s="5" t="s">
        <v>419</v>
      </c>
      <c r="H566" s="5" t="s">
        <v>21</v>
      </c>
      <c r="I566" s="5" t="s">
        <v>18</v>
      </c>
      <c r="J566" s="5" t="s">
        <v>9</v>
      </c>
      <c r="K566" s="5">
        <v>27.5</v>
      </c>
      <c r="L566" s="5">
        <v>55</v>
      </c>
      <c r="M566" s="5">
        <v>1250</v>
      </c>
      <c r="N566" s="5" t="s">
        <v>171</v>
      </c>
      <c r="O566" s="6" t="s">
        <v>81</v>
      </c>
      <c r="P566" s="6" t="s">
        <v>420</v>
      </c>
      <c r="Q566" s="6"/>
      <c r="R566" s="6"/>
      <c r="S566" s="6">
        <v>14</v>
      </c>
      <c r="T566" s="6">
        <v>11</v>
      </c>
      <c r="U566" s="6">
        <v>1251</v>
      </c>
      <c r="V566" s="6">
        <v>25.56</v>
      </c>
      <c r="W566" s="6">
        <v>13</v>
      </c>
      <c r="X566" s="6">
        <v>239</v>
      </c>
      <c r="Y566" s="6">
        <v>629</v>
      </c>
      <c r="Z566" s="6">
        <v>324</v>
      </c>
      <c r="AA566" s="6">
        <v>46</v>
      </c>
      <c r="AB566" s="6">
        <v>0</v>
      </c>
      <c r="AC566" s="7">
        <v>42</v>
      </c>
      <c r="AD566" s="7" t="s">
        <v>52</v>
      </c>
      <c r="AE566" s="7">
        <v>25.82</v>
      </c>
      <c r="AF566" s="7">
        <v>286.2</v>
      </c>
      <c r="AG566" s="7">
        <v>37.619999999999997</v>
      </c>
      <c r="AH566" s="7">
        <v>40.909999999999997</v>
      </c>
      <c r="AI566" s="7">
        <v>46.53</v>
      </c>
      <c r="AJ566" s="9">
        <v>370.253860681834</v>
      </c>
      <c r="AK566" s="9">
        <v>378.45122684073601</v>
      </c>
      <c r="AL566" s="9">
        <v>462.66844386705299</v>
      </c>
      <c r="AM566" s="9" t="s">
        <v>169</v>
      </c>
      <c r="AN566" s="9" t="s">
        <v>169</v>
      </c>
      <c r="AO566" s="9" t="s">
        <v>169</v>
      </c>
      <c r="AP566" s="9" t="s">
        <v>169</v>
      </c>
      <c r="AQ566" s="9" t="s">
        <v>169</v>
      </c>
      <c r="AR566" s="9" t="s">
        <v>169</v>
      </c>
      <c r="AS566" s="8" t="s">
        <v>169</v>
      </c>
      <c r="AT566" s="8" t="s">
        <v>169</v>
      </c>
      <c r="AU566" s="10" t="s">
        <v>169</v>
      </c>
      <c r="AV566" s="10">
        <v>0</v>
      </c>
      <c r="AW566" s="8"/>
      <c r="AX566" s="10" t="s">
        <v>169</v>
      </c>
      <c r="AY566" s="10"/>
      <c r="AZ566" s="10"/>
      <c r="BA566" s="10"/>
      <c r="BB566" s="8"/>
      <c r="BC566" s="8"/>
      <c r="BD566" s="8"/>
      <c r="BE566" s="8"/>
      <c r="BF566" s="12">
        <v>0.46</v>
      </c>
      <c r="BG566" s="13">
        <v>370.674534944821</v>
      </c>
      <c r="BH566" s="96" t="str">
        <f>+VLOOKUP(G566,Liste!$A$7:$G$50,3,FALSE)</f>
        <v>Pin Maritime</v>
      </c>
      <c r="BI566" s="96" t="str">
        <f>+VLOOKUP(H566,Liste!$B$7:$G$50,5,FALSE)</f>
        <v>GS Pineraies des plaines du Centre et du Nord Ouest</v>
      </c>
      <c r="BJ566" s="135">
        <f t="shared" si="167"/>
        <v>42</v>
      </c>
      <c r="BK566" s="135" t="str">
        <f t="shared" si="169"/>
        <v>Pin Maritime_F1_Classique_GS Pineraies des plaines du Centre et du Nord Ouest_42_</v>
      </c>
      <c r="BL566" s="322"/>
      <c r="BM566" s="13">
        <v>91.425089670058</v>
      </c>
      <c r="BN566" s="13">
        <v>462.09962461487902</v>
      </c>
      <c r="BO566" s="13" t="s">
        <v>169</v>
      </c>
      <c r="BP566" s="13">
        <v>298.10759386198703</v>
      </c>
      <c r="BQ566" s="13" t="s">
        <v>169</v>
      </c>
      <c r="BT566" s="298" t="str">
        <f>+VLOOKUP(G566,Liste!$A$7:$H$50,8,FALSE)</f>
        <v>Résineux</v>
      </c>
      <c r="BU566" s="298">
        <f t="shared" si="170"/>
        <v>0</v>
      </c>
      <c r="BV566" s="300">
        <f t="shared" si="171"/>
        <v>1</v>
      </c>
      <c r="BW566" s="321">
        <v>0</v>
      </c>
      <c r="BX566" s="298">
        <f t="shared" si="172"/>
        <v>0.43</v>
      </c>
      <c r="BY566">
        <f t="shared" si="173"/>
        <v>0</v>
      </c>
      <c r="BZ566" s="304">
        <f t="shared" si="174"/>
        <v>0</v>
      </c>
      <c r="CB566" s="299">
        <v>0.6</v>
      </c>
      <c r="CC566" s="299">
        <v>0.4</v>
      </c>
      <c r="CD566">
        <f t="shared" si="175"/>
        <v>0</v>
      </c>
      <c r="CE566">
        <f t="shared" si="176"/>
        <v>0</v>
      </c>
      <c r="CF566">
        <f t="shared" si="177"/>
        <v>0</v>
      </c>
      <c r="CG566">
        <f t="shared" si="178"/>
        <v>0</v>
      </c>
      <c r="CH566">
        <f t="shared" si="179"/>
        <v>0</v>
      </c>
      <c r="CI566">
        <f t="shared" si="180"/>
        <v>0</v>
      </c>
      <c r="CJ566">
        <f t="shared" si="181"/>
        <v>0</v>
      </c>
      <c r="CK566">
        <f t="shared" si="182"/>
        <v>0</v>
      </c>
      <c r="CL566">
        <f t="shared" si="183"/>
        <v>0</v>
      </c>
      <c r="CM566">
        <f t="shared" si="185"/>
        <v>0</v>
      </c>
      <c r="CN566">
        <f t="shared" si="184"/>
        <v>0</v>
      </c>
      <c r="CO566">
        <f t="shared" si="168"/>
        <v>0</v>
      </c>
    </row>
    <row r="567" spans="1:93" s="12" customFormat="1" ht="14.65" customHeight="1" x14ac:dyDescent="0.25">
      <c r="A567" s="4">
        <v>2021</v>
      </c>
      <c r="B567" s="4"/>
      <c r="C567" s="4" t="s">
        <v>418</v>
      </c>
      <c r="D567" s="4" t="s">
        <v>65</v>
      </c>
      <c r="E567" s="4"/>
      <c r="F567" s="4" t="s">
        <v>90</v>
      </c>
      <c r="G567" s="5" t="s">
        <v>419</v>
      </c>
      <c r="H567" s="5" t="s">
        <v>21</v>
      </c>
      <c r="I567" s="5" t="s">
        <v>18</v>
      </c>
      <c r="J567" s="5" t="s">
        <v>9</v>
      </c>
      <c r="K567" s="5">
        <v>27.5</v>
      </c>
      <c r="L567" s="5">
        <v>55</v>
      </c>
      <c r="M567" s="5">
        <v>1250</v>
      </c>
      <c r="N567" s="5" t="s">
        <v>171</v>
      </c>
      <c r="O567" s="6" t="s">
        <v>81</v>
      </c>
      <c r="P567" s="6" t="s">
        <v>420</v>
      </c>
      <c r="Q567" s="6"/>
      <c r="R567" s="6"/>
      <c r="S567" s="6">
        <v>14</v>
      </c>
      <c r="T567" s="6">
        <v>11</v>
      </c>
      <c r="U567" s="6">
        <v>1251</v>
      </c>
      <c r="V567" s="6">
        <v>25.56</v>
      </c>
      <c r="W567" s="6">
        <v>13</v>
      </c>
      <c r="X567" s="6">
        <v>239</v>
      </c>
      <c r="Y567" s="6">
        <v>629</v>
      </c>
      <c r="Z567" s="6">
        <v>324</v>
      </c>
      <c r="AA567" s="6">
        <v>46</v>
      </c>
      <c r="AB567" s="6">
        <v>0</v>
      </c>
      <c r="AC567" s="7">
        <v>43</v>
      </c>
      <c r="AD567" s="7" t="s">
        <v>52</v>
      </c>
      <c r="AE567" s="7">
        <v>26.12</v>
      </c>
      <c r="AF567" s="7">
        <v>286.2</v>
      </c>
      <c r="AG567" s="7">
        <v>38.85</v>
      </c>
      <c r="AH567" s="7">
        <v>41.58</v>
      </c>
      <c r="AI567" s="7">
        <v>47.37</v>
      </c>
      <c r="AJ567" s="9">
        <v>385.886562372193</v>
      </c>
      <c r="AK567" s="9">
        <v>394.60065814845802</v>
      </c>
      <c r="AL567" s="9">
        <v>482.70229714941098</v>
      </c>
      <c r="AM567" s="9" t="s">
        <v>169</v>
      </c>
      <c r="AN567" s="9" t="s">
        <v>169</v>
      </c>
      <c r="AO567" s="9" t="s">
        <v>169</v>
      </c>
      <c r="AP567" s="9" t="s">
        <v>169</v>
      </c>
      <c r="AQ567" s="9" t="s">
        <v>169</v>
      </c>
      <c r="AR567" s="9" t="s">
        <v>169</v>
      </c>
      <c r="AS567" s="8" t="s">
        <v>169</v>
      </c>
      <c r="AT567" s="8" t="s">
        <v>169</v>
      </c>
      <c r="AU567" s="10" t="s">
        <v>169</v>
      </c>
      <c r="AV567" s="10">
        <v>0</v>
      </c>
      <c r="AW567" s="8"/>
      <c r="AX567" s="10" t="s">
        <v>169</v>
      </c>
      <c r="AY567" s="10"/>
      <c r="AZ567" s="10"/>
      <c r="BA567" s="10"/>
      <c r="BB567" s="8"/>
      <c r="BC567" s="8"/>
      <c r="BD567" s="8"/>
      <c r="BE567" s="8"/>
      <c r="BF567" s="12">
        <v>0.46</v>
      </c>
      <c r="BG567" s="13">
        <v>386.72499039953698</v>
      </c>
      <c r="BH567" s="96" t="str">
        <f>+VLOOKUP(G567,Liste!$A$7:$G$50,3,FALSE)</f>
        <v>Pin Maritime</v>
      </c>
      <c r="BI567" s="96" t="str">
        <f>+VLOOKUP(H567,Liste!$B$7:$G$50,5,FALSE)</f>
        <v>GS Pineraies des plaines du Centre et du Nord Ouest</v>
      </c>
      <c r="BJ567" s="135">
        <f t="shared" si="167"/>
        <v>43</v>
      </c>
      <c r="BK567" s="135" t="str">
        <f t="shared" si="169"/>
        <v>Pin Maritime_F1_Classique_GS Pineraies des plaines du Centre et du Nord Ouest_43_</v>
      </c>
      <c r="BL567" s="322"/>
      <c r="BM567" s="13">
        <v>94.920018766977194</v>
      </c>
      <c r="BN567" s="13">
        <v>481.645009166514</v>
      </c>
      <c r="BO567" s="13" t="s">
        <v>169</v>
      </c>
      <c r="BP567" s="13">
        <v>298.10759386198703</v>
      </c>
      <c r="BQ567" s="13" t="s">
        <v>169</v>
      </c>
      <c r="BT567" s="298" t="str">
        <f>+VLOOKUP(G567,Liste!$A$7:$H$50,8,FALSE)</f>
        <v>Résineux</v>
      </c>
      <c r="BU567" s="298">
        <f t="shared" si="170"/>
        <v>0</v>
      </c>
      <c r="BV567" s="300">
        <f t="shared" si="171"/>
        <v>1</v>
      </c>
      <c r="BW567" s="321">
        <v>0</v>
      </c>
      <c r="BX567" s="298">
        <f t="shared" si="172"/>
        <v>0.43</v>
      </c>
      <c r="BY567">
        <f t="shared" si="173"/>
        <v>0</v>
      </c>
      <c r="BZ567" s="304">
        <f t="shared" si="174"/>
        <v>0</v>
      </c>
      <c r="CB567" s="299">
        <v>0.6</v>
      </c>
      <c r="CC567" s="299">
        <v>0.4</v>
      </c>
      <c r="CD567">
        <f t="shared" si="175"/>
        <v>0</v>
      </c>
      <c r="CE567">
        <f t="shared" si="176"/>
        <v>0</v>
      </c>
      <c r="CF567">
        <f t="shared" si="177"/>
        <v>0</v>
      </c>
      <c r="CG567">
        <f t="shared" si="178"/>
        <v>0</v>
      </c>
      <c r="CH567">
        <f t="shared" si="179"/>
        <v>0</v>
      </c>
      <c r="CI567">
        <f t="shared" si="180"/>
        <v>0</v>
      </c>
      <c r="CJ567">
        <f t="shared" si="181"/>
        <v>0</v>
      </c>
      <c r="CK567">
        <f t="shared" si="182"/>
        <v>0</v>
      </c>
      <c r="CL567">
        <f t="shared" si="183"/>
        <v>0</v>
      </c>
      <c r="CM567">
        <f t="shared" si="185"/>
        <v>0</v>
      </c>
      <c r="CN567">
        <f t="shared" si="184"/>
        <v>0</v>
      </c>
      <c r="CO567">
        <f t="shared" si="168"/>
        <v>0</v>
      </c>
    </row>
    <row r="568" spans="1:93" s="12" customFormat="1" ht="14.65" customHeight="1" x14ac:dyDescent="0.25">
      <c r="A568" s="4">
        <v>2021</v>
      </c>
      <c r="B568" s="4"/>
      <c r="C568" s="4" t="s">
        <v>418</v>
      </c>
      <c r="D568" s="4" t="s">
        <v>65</v>
      </c>
      <c r="E568" s="4"/>
      <c r="F568" s="4" t="s">
        <v>90</v>
      </c>
      <c r="G568" s="5" t="s">
        <v>419</v>
      </c>
      <c r="H568" s="5" t="s">
        <v>21</v>
      </c>
      <c r="I568" s="5" t="s">
        <v>18</v>
      </c>
      <c r="J568" s="5" t="s">
        <v>9</v>
      </c>
      <c r="K568" s="5">
        <v>27.5</v>
      </c>
      <c r="L568" s="5">
        <v>55</v>
      </c>
      <c r="M568" s="5">
        <v>1250</v>
      </c>
      <c r="N568" s="5" t="s">
        <v>171</v>
      </c>
      <c r="O568" s="6" t="s">
        <v>81</v>
      </c>
      <c r="P568" s="6" t="s">
        <v>420</v>
      </c>
      <c r="Q568" s="6"/>
      <c r="R568" s="6"/>
      <c r="S568" s="6">
        <v>14</v>
      </c>
      <c r="T568" s="6">
        <v>11</v>
      </c>
      <c r="U568" s="6">
        <v>1251</v>
      </c>
      <c r="V568" s="6">
        <v>25.56</v>
      </c>
      <c r="W568" s="6">
        <v>13</v>
      </c>
      <c r="X568" s="6">
        <v>239</v>
      </c>
      <c r="Y568" s="6">
        <v>629</v>
      </c>
      <c r="Z568" s="6">
        <v>324</v>
      </c>
      <c r="AA568" s="6">
        <v>46</v>
      </c>
      <c r="AB568" s="6">
        <v>0</v>
      </c>
      <c r="AC568" s="7">
        <v>44</v>
      </c>
      <c r="AD568" s="7" t="s">
        <v>52</v>
      </c>
      <c r="AE568" s="7">
        <v>26.42</v>
      </c>
      <c r="AF568" s="7">
        <v>286.2</v>
      </c>
      <c r="AG568" s="7">
        <v>40.08</v>
      </c>
      <c r="AH568" s="7">
        <v>42.22</v>
      </c>
      <c r="AI568" s="7">
        <v>48.2</v>
      </c>
      <c r="AJ568" s="9">
        <v>401.519264062552</v>
      </c>
      <c r="AK568" s="9">
        <v>410.75008945617901</v>
      </c>
      <c r="AL568" s="9">
        <v>502.73615043176898</v>
      </c>
      <c r="AM568" s="9" t="s">
        <v>169</v>
      </c>
      <c r="AN568" s="9" t="s">
        <v>169</v>
      </c>
      <c r="AO568" s="9" t="s">
        <v>169</v>
      </c>
      <c r="AP568" s="9" t="s">
        <v>169</v>
      </c>
      <c r="AQ568" s="9" t="s">
        <v>169</v>
      </c>
      <c r="AR568" s="9" t="s">
        <v>169</v>
      </c>
      <c r="AS568" s="8" t="s">
        <v>169</v>
      </c>
      <c r="AT568" s="8" t="s">
        <v>169</v>
      </c>
      <c r="AU568" s="10" t="s">
        <v>169</v>
      </c>
      <c r="AV568" s="10">
        <v>0</v>
      </c>
      <c r="AW568" s="8"/>
      <c r="AX568" s="10" t="s">
        <v>169</v>
      </c>
      <c r="AY568" s="10"/>
      <c r="AZ568" s="10"/>
      <c r="BA568" s="10"/>
      <c r="BB568" s="8"/>
      <c r="BC568" s="8"/>
      <c r="BD568" s="8"/>
      <c r="BE568" s="8"/>
      <c r="BF568" s="12">
        <v>0.46</v>
      </c>
      <c r="BG568" s="13">
        <v>402.77544585425301</v>
      </c>
      <c r="BH568" s="96" t="str">
        <f>+VLOOKUP(G568,Liste!$A$7:$G$50,3,FALSE)</f>
        <v>Pin Maritime</v>
      </c>
      <c r="BI568" s="96" t="str">
        <f>+VLOOKUP(H568,Liste!$B$7:$G$50,5,FALSE)</f>
        <v>GS Pineraies des plaines du Centre et du Nord Ouest</v>
      </c>
      <c r="BJ568" s="135">
        <f t="shared" si="167"/>
        <v>44</v>
      </c>
      <c r="BK568" s="135" t="str">
        <f t="shared" si="169"/>
        <v>Pin Maritime_F1_Classique_GS Pineraies des plaines du Centre et du Nord Ouest_44_</v>
      </c>
      <c r="BL568" s="322"/>
      <c r="BM568" s="13">
        <v>98.414947863896302</v>
      </c>
      <c r="BN568" s="13">
        <v>501.19039371814898</v>
      </c>
      <c r="BO568" s="13" t="s">
        <v>169</v>
      </c>
      <c r="BP568" s="13">
        <v>298.10759386198703</v>
      </c>
      <c r="BQ568" s="13" t="s">
        <v>169</v>
      </c>
      <c r="BT568" s="298" t="str">
        <f>+VLOOKUP(G568,Liste!$A$7:$H$50,8,FALSE)</f>
        <v>Résineux</v>
      </c>
      <c r="BU568" s="298">
        <f t="shared" si="170"/>
        <v>0</v>
      </c>
      <c r="BV568" s="300">
        <f t="shared" si="171"/>
        <v>1</v>
      </c>
      <c r="BW568" s="321">
        <v>0</v>
      </c>
      <c r="BX568" s="298">
        <f t="shared" si="172"/>
        <v>0.43</v>
      </c>
      <c r="BY568">
        <f t="shared" si="173"/>
        <v>0</v>
      </c>
      <c r="BZ568" s="304">
        <f t="shared" si="174"/>
        <v>0</v>
      </c>
      <c r="CB568" s="299">
        <v>0.6</v>
      </c>
      <c r="CC568" s="299">
        <v>0.4</v>
      </c>
      <c r="CD568">
        <f t="shared" si="175"/>
        <v>0</v>
      </c>
      <c r="CE568">
        <f t="shared" si="176"/>
        <v>0</v>
      </c>
      <c r="CF568">
        <f t="shared" si="177"/>
        <v>0</v>
      </c>
      <c r="CG568">
        <f t="shared" si="178"/>
        <v>0</v>
      </c>
      <c r="CH568">
        <f t="shared" si="179"/>
        <v>0</v>
      </c>
      <c r="CI568">
        <f t="shared" si="180"/>
        <v>0</v>
      </c>
      <c r="CJ568">
        <f t="shared" si="181"/>
        <v>0</v>
      </c>
      <c r="CK568">
        <f t="shared" si="182"/>
        <v>0</v>
      </c>
      <c r="CL568">
        <f t="shared" si="183"/>
        <v>0</v>
      </c>
      <c r="CM568">
        <f t="shared" si="185"/>
        <v>0</v>
      </c>
      <c r="CN568">
        <f t="shared" si="184"/>
        <v>0</v>
      </c>
      <c r="CO568">
        <f t="shared" si="168"/>
        <v>0</v>
      </c>
    </row>
    <row r="569" spans="1:93" s="12" customFormat="1" ht="14.65" customHeight="1" x14ac:dyDescent="0.25">
      <c r="A569" s="4">
        <v>2021</v>
      </c>
      <c r="B569" s="4"/>
      <c r="C569" s="4" t="s">
        <v>418</v>
      </c>
      <c r="D569" s="4" t="s">
        <v>65</v>
      </c>
      <c r="E569" s="4"/>
      <c r="F569" s="4" t="s">
        <v>90</v>
      </c>
      <c r="G569" s="5" t="s">
        <v>419</v>
      </c>
      <c r="H569" s="5" t="s">
        <v>21</v>
      </c>
      <c r="I569" s="5" t="s">
        <v>18</v>
      </c>
      <c r="J569" s="5" t="s">
        <v>9</v>
      </c>
      <c r="K569" s="5">
        <v>27.5</v>
      </c>
      <c r="L569" s="5">
        <v>55</v>
      </c>
      <c r="M569" s="5">
        <v>1250</v>
      </c>
      <c r="N569" s="5" t="s">
        <v>171</v>
      </c>
      <c r="O569" s="6" t="s">
        <v>81</v>
      </c>
      <c r="P569" s="6" t="s">
        <v>420</v>
      </c>
      <c r="Q569" s="6"/>
      <c r="R569" s="6"/>
      <c r="S569" s="6">
        <v>14</v>
      </c>
      <c r="T569" s="6">
        <v>11</v>
      </c>
      <c r="U569" s="6">
        <v>1251</v>
      </c>
      <c r="V569" s="6">
        <v>25.56</v>
      </c>
      <c r="W569" s="6">
        <v>13</v>
      </c>
      <c r="X569" s="6">
        <v>239</v>
      </c>
      <c r="Y569" s="6">
        <v>629</v>
      </c>
      <c r="Z569" s="6">
        <v>324</v>
      </c>
      <c r="AA569" s="6">
        <v>46</v>
      </c>
      <c r="AB569" s="6">
        <v>0</v>
      </c>
      <c r="AC569" s="7">
        <v>45</v>
      </c>
      <c r="AD569" s="7" t="s">
        <v>52</v>
      </c>
      <c r="AE569" s="7">
        <v>26.72</v>
      </c>
      <c r="AF569" s="7">
        <v>286.2</v>
      </c>
      <c r="AG569" s="7">
        <v>41.29</v>
      </c>
      <c r="AH569" s="7">
        <v>42.86</v>
      </c>
      <c r="AI569" s="7">
        <v>49.01</v>
      </c>
      <c r="AJ569" s="9">
        <v>417.15196575291202</v>
      </c>
      <c r="AK569" s="9">
        <v>426.89952076390102</v>
      </c>
      <c r="AL569" s="9">
        <v>522.77000371412703</v>
      </c>
      <c r="AM569" s="9" t="s">
        <v>169</v>
      </c>
      <c r="AN569" s="9" t="s">
        <v>169</v>
      </c>
      <c r="AO569" s="9" t="s">
        <v>169</v>
      </c>
      <c r="AP569" s="9" t="s">
        <v>169</v>
      </c>
      <c r="AQ569" s="9" t="s">
        <v>169</v>
      </c>
      <c r="AR569" s="9" t="s">
        <v>169</v>
      </c>
      <c r="AS569" s="8" t="s">
        <v>169</v>
      </c>
      <c r="AT569" s="8" t="s">
        <v>169</v>
      </c>
      <c r="AU569" s="10" t="s">
        <v>169</v>
      </c>
      <c r="AV569" s="10">
        <v>0</v>
      </c>
      <c r="AW569" s="8"/>
      <c r="AX569" s="10" t="s">
        <v>169</v>
      </c>
      <c r="AY569" s="10"/>
      <c r="AZ569" s="10"/>
      <c r="BA569" s="10"/>
      <c r="BB569" s="8"/>
      <c r="BC569" s="8"/>
      <c r="BD569" s="8"/>
      <c r="BE569" s="8"/>
      <c r="BF569" s="12">
        <v>0.46</v>
      </c>
      <c r="BG569" s="13">
        <v>418.82590130896801</v>
      </c>
      <c r="BH569" s="96" t="str">
        <f>+VLOOKUP(G569,Liste!$A$7:$G$50,3,FALSE)</f>
        <v>Pin Maritime</v>
      </c>
      <c r="BI569" s="96" t="str">
        <f>+VLOOKUP(H569,Liste!$B$7:$G$50,5,FALSE)</f>
        <v>GS Pineraies des plaines du Centre et du Nord Ouest</v>
      </c>
      <c r="BJ569" s="135">
        <f t="shared" si="167"/>
        <v>45</v>
      </c>
      <c r="BK569" s="135" t="str">
        <f t="shared" si="169"/>
        <v>Pin Maritime_F1_Classique_GS Pineraies des plaines du Centre et du Nord Ouest_45_</v>
      </c>
      <c r="BL569" s="322"/>
      <c r="BM569" s="13">
        <v>101.90987696081601</v>
      </c>
      <c r="BN569" s="13">
        <v>520.73577826978396</v>
      </c>
      <c r="BO569" s="13" t="s">
        <v>169</v>
      </c>
      <c r="BP569" s="13">
        <v>298.10759386198703</v>
      </c>
      <c r="BQ569" s="13" t="s">
        <v>169</v>
      </c>
      <c r="BT569" s="298" t="str">
        <f>+VLOOKUP(G569,Liste!$A$7:$H$50,8,FALSE)</f>
        <v>Résineux</v>
      </c>
      <c r="BU569" s="298">
        <f t="shared" si="170"/>
        <v>0</v>
      </c>
      <c r="BV569" s="300">
        <f t="shared" si="171"/>
        <v>1</v>
      </c>
      <c r="BW569" s="321">
        <v>0</v>
      </c>
      <c r="BX569" s="298">
        <f t="shared" si="172"/>
        <v>0.43</v>
      </c>
      <c r="BY569">
        <f t="shared" si="173"/>
        <v>0</v>
      </c>
      <c r="BZ569" s="304">
        <f t="shared" si="174"/>
        <v>0</v>
      </c>
      <c r="CB569" s="299">
        <v>0.6</v>
      </c>
      <c r="CC569" s="299">
        <v>0.4</v>
      </c>
      <c r="CD569">
        <f t="shared" si="175"/>
        <v>0</v>
      </c>
      <c r="CE569">
        <f t="shared" si="176"/>
        <v>0</v>
      </c>
      <c r="CF569">
        <f t="shared" si="177"/>
        <v>0</v>
      </c>
      <c r="CG569">
        <f t="shared" si="178"/>
        <v>0</v>
      </c>
      <c r="CH569">
        <f t="shared" si="179"/>
        <v>0</v>
      </c>
      <c r="CI569">
        <f t="shared" si="180"/>
        <v>0</v>
      </c>
      <c r="CJ569">
        <f t="shared" si="181"/>
        <v>0</v>
      </c>
      <c r="CK569">
        <f t="shared" si="182"/>
        <v>0</v>
      </c>
      <c r="CL569">
        <f t="shared" si="183"/>
        <v>0</v>
      </c>
      <c r="CM569">
        <f t="shared" si="185"/>
        <v>0</v>
      </c>
      <c r="CN569">
        <f t="shared" si="184"/>
        <v>0</v>
      </c>
      <c r="CO569">
        <f t="shared" si="168"/>
        <v>0</v>
      </c>
    </row>
    <row r="570" spans="1:93" s="12" customFormat="1" ht="14.65" customHeight="1" x14ac:dyDescent="0.25">
      <c r="A570" s="4">
        <v>2021</v>
      </c>
      <c r="B570" s="4"/>
      <c r="C570" s="4" t="s">
        <v>418</v>
      </c>
      <c r="D570" s="4" t="s">
        <v>65</v>
      </c>
      <c r="E570" s="4"/>
      <c r="F570" s="4" t="s">
        <v>90</v>
      </c>
      <c r="G570" s="5" t="s">
        <v>419</v>
      </c>
      <c r="H570" s="5" t="s">
        <v>21</v>
      </c>
      <c r="I570" s="5" t="s">
        <v>18</v>
      </c>
      <c r="J570" s="5" t="s">
        <v>9</v>
      </c>
      <c r="K570" s="5">
        <v>27.5</v>
      </c>
      <c r="L570" s="5">
        <v>55</v>
      </c>
      <c r="M570" s="5">
        <v>1250</v>
      </c>
      <c r="N570" s="5" t="s">
        <v>171</v>
      </c>
      <c r="O570" s="6" t="s">
        <v>81</v>
      </c>
      <c r="P570" s="6" t="s">
        <v>420</v>
      </c>
      <c r="Q570" s="6"/>
      <c r="R570" s="6"/>
      <c r="S570" s="6">
        <v>14</v>
      </c>
      <c r="T570" s="6">
        <v>11</v>
      </c>
      <c r="U570" s="6">
        <v>1251</v>
      </c>
      <c r="V570" s="6">
        <v>25.56</v>
      </c>
      <c r="W570" s="6">
        <v>13</v>
      </c>
      <c r="X570" s="6">
        <v>239</v>
      </c>
      <c r="Y570" s="6">
        <v>629</v>
      </c>
      <c r="Z570" s="6">
        <v>324</v>
      </c>
      <c r="AA570" s="6">
        <v>46</v>
      </c>
      <c r="AB570" s="6">
        <v>0</v>
      </c>
      <c r="AC570" s="7">
        <v>46</v>
      </c>
      <c r="AD570" s="7" t="s">
        <v>52</v>
      </c>
      <c r="AE570" s="7">
        <v>26.99</v>
      </c>
      <c r="AF570" s="7">
        <v>286.2</v>
      </c>
      <c r="AG570" s="7">
        <v>42.49</v>
      </c>
      <c r="AH570" s="7">
        <v>43.48</v>
      </c>
      <c r="AI570" s="7">
        <v>49.81</v>
      </c>
      <c r="AJ570" s="9">
        <v>432.78466744327102</v>
      </c>
      <c r="AK570" s="9">
        <v>443.04895207162201</v>
      </c>
      <c r="AL570" s="9">
        <v>542.80385699648502</v>
      </c>
      <c r="AM570" s="9">
        <v>79.944678522637105</v>
      </c>
      <c r="AN570" s="9">
        <v>1.7379277939703699</v>
      </c>
      <c r="AO570" s="9">
        <v>1.0421893019272701</v>
      </c>
      <c r="AP570" s="9">
        <v>885.02715362927802</v>
      </c>
      <c r="AQ570" s="9">
        <v>19.239720731071301</v>
      </c>
      <c r="AR570" s="9">
        <v>18.867793960000899</v>
      </c>
      <c r="AS570" s="8" t="s">
        <v>169</v>
      </c>
      <c r="AT570" s="8" t="s">
        <v>169</v>
      </c>
      <c r="AU570" s="10" t="s">
        <v>169</v>
      </c>
      <c r="AV570" s="10">
        <v>0</v>
      </c>
      <c r="AW570" s="8"/>
      <c r="AX570" s="10" t="s">
        <v>169</v>
      </c>
      <c r="AY570" s="10"/>
      <c r="AZ570" s="10"/>
      <c r="BA570" s="10"/>
      <c r="BB570" s="8"/>
      <c r="BC570" s="8"/>
      <c r="BD570" s="8"/>
      <c r="BE570" s="8"/>
      <c r="BF570" s="12">
        <v>0.46</v>
      </c>
      <c r="BG570" s="13">
        <v>434.87635676368399</v>
      </c>
      <c r="BH570" s="96" t="str">
        <f>+VLOOKUP(G570,Liste!$A$7:$G$50,3,FALSE)</f>
        <v>Pin Maritime</v>
      </c>
      <c r="BI570" s="96" t="str">
        <f>+VLOOKUP(H570,Liste!$B$7:$G$50,5,FALSE)</f>
        <v>GS Pineraies des plaines du Centre et du Nord Ouest</v>
      </c>
      <c r="BJ570" s="135">
        <f t="shared" si="167"/>
        <v>46</v>
      </c>
      <c r="BK570" s="135" t="str">
        <f t="shared" si="169"/>
        <v>Pin Maritime_F1_Classique_GS Pineraies des plaines du Centre et du Nord Ouest_46_</v>
      </c>
      <c r="BL570" s="322"/>
      <c r="BM570" s="13">
        <v>105.404806057735</v>
      </c>
      <c r="BN570" s="13">
        <v>540.281162821419</v>
      </c>
      <c r="BO570" s="13" t="s">
        <v>169</v>
      </c>
      <c r="BP570" s="13">
        <v>298.10759386198703</v>
      </c>
      <c r="BQ570" s="13">
        <v>18.167082634146201</v>
      </c>
      <c r="BT570" s="298" t="str">
        <f>+VLOOKUP(G570,Liste!$A$7:$H$50,8,FALSE)</f>
        <v>Résineux</v>
      </c>
      <c r="BU570" s="298">
        <f t="shared" si="170"/>
        <v>0</v>
      </c>
      <c r="BV570" s="300">
        <f t="shared" si="171"/>
        <v>1</v>
      </c>
      <c r="BW570" s="321">
        <v>0</v>
      </c>
      <c r="BX570" s="298">
        <f t="shared" si="172"/>
        <v>0.43</v>
      </c>
      <c r="BY570">
        <f t="shared" si="173"/>
        <v>0</v>
      </c>
      <c r="BZ570" s="304">
        <f t="shared" si="174"/>
        <v>0</v>
      </c>
      <c r="CB570" s="299">
        <v>0.6</v>
      </c>
      <c r="CC570" s="299">
        <v>0.4</v>
      </c>
      <c r="CD570">
        <f t="shared" si="175"/>
        <v>0</v>
      </c>
      <c r="CE570">
        <f t="shared" si="176"/>
        <v>0</v>
      </c>
      <c r="CF570">
        <f t="shared" si="177"/>
        <v>0</v>
      </c>
      <c r="CG570">
        <f t="shared" si="178"/>
        <v>0</v>
      </c>
      <c r="CH570">
        <f t="shared" si="179"/>
        <v>0</v>
      </c>
      <c r="CI570">
        <f t="shared" si="180"/>
        <v>0</v>
      </c>
      <c r="CJ570">
        <f t="shared" si="181"/>
        <v>0</v>
      </c>
      <c r="CK570">
        <f t="shared" si="182"/>
        <v>0</v>
      </c>
      <c r="CL570">
        <f t="shared" si="183"/>
        <v>0</v>
      </c>
      <c r="CM570">
        <f t="shared" si="185"/>
        <v>0</v>
      </c>
      <c r="CN570">
        <f t="shared" si="184"/>
        <v>0</v>
      </c>
      <c r="CO570">
        <f t="shared" si="168"/>
        <v>0</v>
      </c>
    </row>
    <row r="571" spans="1:93" s="12" customFormat="1" ht="14.65" customHeight="1" x14ac:dyDescent="0.25">
      <c r="A571" s="4">
        <v>2021</v>
      </c>
      <c r="B571" s="4"/>
      <c r="C571" s="4" t="s">
        <v>418</v>
      </c>
      <c r="D571" s="4" t="s">
        <v>65</v>
      </c>
      <c r="E571" s="4"/>
      <c r="F571" s="4" t="s">
        <v>90</v>
      </c>
      <c r="G571" s="5" t="s">
        <v>419</v>
      </c>
      <c r="H571" s="5" t="s">
        <v>21</v>
      </c>
      <c r="I571" s="5" t="s">
        <v>18</v>
      </c>
      <c r="J571" s="5" t="s">
        <v>9</v>
      </c>
      <c r="K571" s="5">
        <v>27.5</v>
      </c>
      <c r="L571" s="5">
        <v>55</v>
      </c>
      <c r="M571" s="5">
        <v>1250</v>
      </c>
      <c r="N571" s="5" t="s">
        <v>171</v>
      </c>
      <c r="O571" s="6" t="s">
        <v>81</v>
      </c>
      <c r="P571" s="6" t="s">
        <v>420</v>
      </c>
      <c r="Q571" s="6"/>
      <c r="R571" s="6"/>
      <c r="S571" s="6">
        <v>14</v>
      </c>
      <c r="T571" s="6">
        <v>11</v>
      </c>
      <c r="U571" s="6">
        <v>1251</v>
      </c>
      <c r="V571" s="6">
        <v>25.56</v>
      </c>
      <c r="W571" s="6">
        <v>13</v>
      </c>
      <c r="X571" s="6">
        <v>239</v>
      </c>
      <c r="Y571" s="6">
        <v>629</v>
      </c>
      <c r="Z571" s="6">
        <v>324</v>
      </c>
      <c r="AA571" s="6">
        <v>46</v>
      </c>
      <c r="AB571" s="6">
        <v>0</v>
      </c>
      <c r="AC571" s="7">
        <v>46</v>
      </c>
      <c r="AD571" s="7" t="s">
        <v>53</v>
      </c>
      <c r="AE571" s="7">
        <v>26.71</v>
      </c>
      <c r="AF571" s="7">
        <v>230.4</v>
      </c>
      <c r="AG571" s="7">
        <v>33.880000000000003</v>
      </c>
      <c r="AH571" s="7">
        <v>43.27</v>
      </c>
      <c r="AI571" s="7">
        <v>47.84</v>
      </c>
      <c r="AJ571" s="9">
        <v>343.65629264615399</v>
      </c>
      <c r="AK571" s="9">
        <v>351.724974961876</v>
      </c>
      <c r="AL571" s="9">
        <v>431.00397670078002</v>
      </c>
      <c r="AM571" s="9">
        <v>79.944678522637105</v>
      </c>
      <c r="AN571" s="9">
        <v>1.7379277939703699</v>
      </c>
      <c r="AO571" s="9">
        <v>1.0421893019272701</v>
      </c>
      <c r="AP571" s="9">
        <v>885.02715362927802</v>
      </c>
      <c r="AQ571" s="9">
        <v>19.239720731071301</v>
      </c>
      <c r="AR571" s="9">
        <v>18.867793960000899</v>
      </c>
      <c r="AS571" s="8">
        <v>55.799999999999983</v>
      </c>
      <c r="AT571" s="8">
        <v>8.61</v>
      </c>
      <c r="AU571" s="10">
        <v>44.324060151052834</v>
      </c>
      <c r="AV571" s="10">
        <v>89.128374797117033</v>
      </c>
      <c r="AW571" s="8">
        <v>1.04</v>
      </c>
      <c r="AX571" s="10">
        <v>1.5972827024572951</v>
      </c>
      <c r="AY571" s="10"/>
      <c r="AZ571" s="10"/>
      <c r="BA571" s="10"/>
      <c r="BB571" s="8"/>
      <c r="BC571" s="8"/>
      <c r="BD571" s="8"/>
      <c r="BE571" s="8"/>
      <c r="BF571" s="12">
        <v>0.46</v>
      </c>
      <c r="BG571" s="13">
        <v>345.30601933344099</v>
      </c>
      <c r="BH571" s="96" t="str">
        <f>+VLOOKUP(G571,Liste!$A$7:$G$50,3,FALSE)</f>
        <v>Pin Maritime</v>
      </c>
      <c r="BI571" s="96" t="str">
        <f>+VLOOKUP(H571,Liste!$B$7:$G$50,5,FALSE)</f>
        <v>GS Pineraies des plaines du Centre et du Nord Ouest</v>
      </c>
      <c r="BJ571" s="135">
        <f t="shared" si="167"/>
        <v>46</v>
      </c>
      <c r="BK571" s="135" t="str">
        <f t="shared" si="169"/>
        <v>Pin Maritime_F1_Classique_GS Pineraies des plaines du Centre et du Nord Ouest_46_</v>
      </c>
      <c r="BL571" s="322"/>
      <c r="BM571" s="13">
        <v>85.972109185576798</v>
      </c>
      <c r="BN571" s="13">
        <v>431.27812851901803</v>
      </c>
      <c r="BO571" s="13">
        <v>109.00303430240098</v>
      </c>
      <c r="BP571" s="13">
        <v>298.10759386198703</v>
      </c>
      <c r="BQ571" s="13">
        <v>18.167082634146201</v>
      </c>
      <c r="BT571" s="298" t="str">
        <f>+VLOOKUP(G571,Liste!$A$7:$H$50,8,FALSE)</f>
        <v>Résineux</v>
      </c>
      <c r="BU571" s="298">
        <f t="shared" si="170"/>
        <v>0</v>
      </c>
      <c r="BV571" s="300">
        <f t="shared" si="171"/>
        <v>1</v>
      </c>
      <c r="BW571" s="321">
        <v>0</v>
      </c>
      <c r="BX571" s="298">
        <f t="shared" si="172"/>
        <v>0.43</v>
      </c>
      <c r="BY571">
        <f t="shared" si="173"/>
        <v>0</v>
      </c>
      <c r="BZ571" s="304">
        <f t="shared" si="174"/>
        <v>0</v>
      </c>
      <c r="CB571" s="299">
        <v>0.6</v>
      </c>
      <c r="CC571" s="299">
        <v>0.4</v>
      </c>
      <c r="CD571">
        <f t="shared" si="175"/>
        <v>0</v>
      </c>
      <c r="CE571">
        <f t="shared" si="176"/>
        <v>0</v>
      </c>
      <c r="CF571">
        <f t="shared" si="177"/>
        <v>0</v>
      </c>
      <c r="CG571">
        <f t="shared" si="178"/>
        <v>0</v>
      </c>
      <c r="CH571">
        <f t="shared" si="179"/>
        <v>0</v>
      </c>
      <c r="CI571">
        <f t="shared" si="180"/>
        <v>0</v>
      </c>
      <c r="CJ571">
        <f t="shared" si="181"/>
        <v>0</v>
      </c>
      <c r="CK571">
        <f t="shared" si="182"/>
        <v>0</v>
      </c>
      <c r="CL571">
        <f t="shared" si="183"/>
        <v>0</v>
      </c>
      <c r="CM571">
        <f t="shared" si="185"/>
        <v>0</v>
      </c>
      <c r="CN571">
        <f t="shared" si="184"/>
        <v>0</v>
      </c>
      <c r="CO571">
        <f t="shared" si="168"/>
        <v>0</v>
      </c>
    </row>
    <row r="572" spans="1:93" s="12" customFormat="1" ht="14.65" customHeight="1" x14ac:dyDescent="0.25">
      <c r="A572" s="4">
        <v>2021</v>
      </c>
      <c r="B572" s="4"/>
      <c r="C572" s="4" t="s">
        <v>418</v>
      </c>
      <c r="D572" s="4" t="s">
        <v>65</v>
      </c>
      <c r="E572" s="4"/>
      <c r="F572" s="4" t="s">
        <v>90</v>
      </c>
      <c r="G572" s="5" t="s">
        <v>419</v>
      </c>
      <c r="H572" s="5" t="s">
        <v>21</v>
      </c>
      <c r="I572" s="5" t="s">
        <v>18</v>
      </c>
      <c r="J572" s="5" t="s">
        <v>9</v>
      </c>
      <c r="K572" s="5">
        <v>27.5</v>
      </c>
      <c r="L572" s="5">
        <v>55</v>
      </c>
      <c r="M572" s="5">
        <v>1250</v>
      </c>
      <c r="N572" s="5" t="s">
        <v>171</v>
      </c>
      <c r="O572" s="6" t="s">
        <v>81</v>
      </c>
      <c r="P572" s="6" t="s">
        <v>420</v>
      </c>
      <c r="Q572" s="6"/>
      <c r="R572" s="6"/>
      <c r="S572" s="6">
        <v>14</v>
      </c>
      <c r="T572" s="6">
        <v>11</v>
      </c>
      <c r="U572" s="6">
        <v>1251</v>
      </c>
      <c r="V572" s="6">
        <v>25.56</v>
      </c>
      <c r="W572" s="6">
        <v>13</v>
      </c>
      <c r="X572" s="6">
        <v>239</v>
      </c>
      <c r="Y572" s="6">
        <v>629</v>
      </c>
      <c r="Z572" s="6">
        <v>324</v>
      </c>
      <c r="AA572" s="6">
        <v>46</v>
      </c>
      <c r="AB572" s="6">
        <v>0</v>
      </c>
      <c r="AC572" s="7">
        <v>47</v>
      </c>
      <c r="AD572" s="7" t="s">
        <v>52</v>
      </c>
      <c r="AE572" s="7">
        <v>27.26</v>
      </c>
      <c r="AF572" s="7">
        <v>230.4</v>
      </c>
      <c r="AG572" s="7">
        <v>34.92</v>
      </c>
      <c r="AH572" s="7">
        <v>43.93</v>
      </c>
      <c r="AI572" s="7">
        <v>48.64</v>
      </c>
      <c r="AJ572" s="9">
        <v>358.75883466664902</v>
      </c>
      <c r="AK572" s="9">
        <v>367.27677255655601</v>
      </c>
      <c r="AL572" s="9">
        <v>449.87177066077999</v>
      </c>
      <c r="AM572" s="9" t="s">
        <v>169</v>
      </c>
      <c r="AN572" s="9" t="s">
        <v>169</v>
      </c>
      <c r="AO572" s="9" t="s">
        <v>169</v>
      </c>
      <c r="AP572" s="9" t="s">
        <v>169</v>
      </c>
      <c r="AQ572" s="9" t="s">
        <v>169</v>
      </c>
      <c r="AR572" s="9" t="s">
        <v>169</v>
      </c>
      <c r="AS572" s="8" t="s">
        <v>169</v>
      </c>
      <c r="AT572" s="8" t="s">
        <v>169</v>
      </c>
      <c r="AU572" s="10" t="s">
        <v>169</v>
      </c>
      <c r="AV572" s="10">
        <v>0</v>
      </c>
      <c r="AW572" s="8"/>
      <c r="AX572" s="10" t="s">
        <v>169</v>
      </c>
      <c r="AY572" s="10"/>
      <c r="AZ572" s="10"/>
      <c r="BA572" s="10"/>
      <c r="BB572" s="8"/>
      <c r="BC572" s="8"/>
      <c r="BD572" s="8"/>
      <c r="BE572" s="8"/>
      <c r="BF572" s="12">
        <v>0.46</v>
      </c>
      <c r="BG572" s="13">
        <v>360.42226692772903</v>
      </c>
      <c r="BH572" s="96" t="str">
        <f>+VLOOKUP(G572,Liste!$A$7:$G$50,3,FALSE)</f>
        <v>Pin Maritime</v>
      </c>
      <c r="BI572" s="96" t="str">
        <f>+VLOOKUP(H572,Liste!$B$7:$G$50,5,FALSE)</f>
        <v>GS Pineraies des plaines du Centre et du Nord Ouest</v>
      </c>
      <c r="BJ572" s="135">
        <f t="shared" si="167"/>
        <v>47</v>
      </c>
      <c r="BK572" s="135" t="str">
        <f t="shared" si="169"/>
        <v>Pin Maritime_F1_Classique_GS Pineraies des plaines du Centre et du Nord Ouest_47_</v>
      </c>
      <c r="BL572" s="322"/>
      <c r="BM572" s="13">
        <v>89.281162634438303</v>
      </c>
      <c r="BN572" s="13">
        <v>449.703429562167</v>
      </c>
      <c r="BO572" s="13" t="s">
        <v>169</v>
      </c>
      <c r="BP572" s="13">
        <v>298.10759386198703</v>
      </c>
      <c r="BQ572" s="13" t="s">
        <v>169</v>
      </c>
      <c r="BT572" s="298" t="str">
        <f>+VLOOKUP(G572,Liste!$A$7:$H$50,8,FALSE)</f>
        <v>Résineux</v>
      </c>
      <c r="BU572" s="298">
        <f t="shared" si="170"/>
        <v>0</v>
      </c>
      <c r="BV572" s="300">
        <f t="shared" si="171"/>
        <v>1</v>
      </c>
      <c r="BW572" s="321">
        <v>0</v>
      </c>
      <c r="BX572" s="298">
        <f t="shared" si="172"/>
        <v>0.43</v>
      </c>
      <c r="BY572">
        <f t="shared" si="173"/>
        <v>0</v>
      </c>
      <c r="BZ572" s="304">
        <f t="shared" si="174"/>
        <v>0</v>
      </c>
      <c r="CB572" s="299">
        <v>0.6</v>
      </c>
      <c r="CC572" s="299">
        <v>0.4</v>
      </c>
      <c r="CD572">
        <f t="shared" si="175"/>
        <v>0</v>
      </c>
      <c r="CE572">
        <f t="shared" si="176"/>
        <v>0</v>
      </c>
      <c r="CF572">
        <f t="shared" si="177"/>
        <v>0</v>
      </c>
      <c r="CG572">
        <f t="shared" si="178"/>
        <v>0</v>
      </c>
      <c r="CH572">
        <f t="shared" si="179"/>
        <v>0</v>
      </c>
      <c r="CI572">
        <f t="shared" si="180"/>
        <v>0</v>
      </c>
      <c r="CJ572">
        <f t="shared" si="181"/>
        <v>0</v>
      </c>
      <c r="CK572">
        <f t="shared" si="182"/>
        <v>0</v>
      </c>
      <c r="CL572">
        <f t="shared" si="183"/>
        <v>0</v>
      </c>
      <c r="CM572">
        <f t="shared" si="185"/>
        <v>0</v>
      </c>
      <c r="CN572">
        <f t="shared" si="184"/>
        <v>0</v>
      </c>
      <c r="CO572">
        <f t="shared" si="168"/>
        <v>0</v>
      </c>
    </row>
    <row r="573" spans="1:93" s="12" customFormat="1" ht="14.65" customHeight="1" x14ac:dyDescent="0.25">
      <c r="A573" s="4">
        <v>2021</v>
      </c>
      <c r="B573" s="4"/>
      <c r="C573" s="4" t="s">
        <v>418</v>
      </c>
      <c r="D573" s="4" t="s">
        <v>65</v>
      </c>
      <c r="E573" s="4"/>
      <c r="F573" s="4" t="s">
        <v>90</v>
      </c>
      <c r="G573" s="5" t="s">
        <v>419</v>
      </c>
      <c r="H573" s="5" t="s">
        <v>21</v>
      </c>
      <c r="I573" s="5" t="s">
        <v>18</v>
      </c>
      <c r="J573" s="5" t="s">
        <v>9</v>
      </c>
      <c r="K573" s="5">
        <v>27.5</v>
      </c>
      <c r="L573" s="5">
        <v>55</v>
      </c>
      <c r="M573" s="5">
        <v>1250</v>
      </c>
      <c r="N573" s="5" t="s">
        <v>171</v>
      </c>
      <c r="O573" s="6" t="s">
        <v>81</v>
      </c>
      <c r="P573" s="6" t="s">
        <v>420</v>
      </c>
      <c r="Q573" s="6"/>
      <c r="R573" s="6"/>
      <c r="S573" s="6">
        <v>14</v>
      </c>
      <c r="T573" s="6">
        <v>11</v>
      </c>
      <c r="U573" s="6">
        <v>1251</v>
      </c>
      <c r="V573" s="6">
        <v>25.56</v>
      </c>
      <c r="W573" s="6">
        <v>13</v>
      </c>
      <c r="X573" s="6">
        <v>239</v>
      </c>
      <c r="Y573" s="6">
        <v>629</v>
      </c>
      <c r="Z573" s="6">
        <v>324</v>
      </c>
      <c r="AA573" s="6">
        <v>46</v>
      </c>
      <c r="AB573" s="6">
        <v>0</v>
      </c>
      <c r="AC573" s="7">
        <v>48</v>
      </c>
      <c r="AD573" s="7" t="s">
        <v>52</v>
      </c>
      <c r="AE573" s="7">
        <v>27.52</v>
      </c>
      <c r="AF573" s="7">
        <v>230.4</v>
      </c>
      <c r="AG573" s="7">
        <v>35.96</v>
      </c>
      <c r="AH573" s="7">
        <v>44.58</v>
      </c>
      <c r="AI573" s="7">
        <v>49.43</v>
      </c>
      <c r="AJ573" s="9">
        <v>373.861376687144</v>
      </c>
      <c r="AK573" s="9">
        <v>382.82857015123602</v>
      </c>
      <c r="AL573" s="9">
        <v>468.73956462078098</v>
      </c>
      <c r="AM573" s="9">
        <v>82.029057126491693</v>
      </c>
      <c r="AN573" s="9">
        <v>1.7089386901352399</v>
      </c>
      <c r="AO573" s="9">
        <v>1.00885693863884</v>
      </c>
      <c r="AP573" s="9">
        <v>922.76274154928001</v>
      </c>
      <c r="AQ573" s="9">
        <v>19.224223782276699</v>
      </c>
      <c r="AR573" s="9">
        <v>17.280634269024102</v>
      </c>
      <c r="AS573" s="8" t="s">
        <v>169</v>
      </c>
      <c r="AT573" s="8" t="s">
        <v>169</v>
      </c>
      <c r="AU573" s="10" t="s">
        <v>169</v>
      </c>
      <c r="AV573" s="10">
        <v>0</v>
      </c>
      <c r="AW573" s="8"/>
      <c r="AX573" s="10" t="s">
        <v>169</v>
      </c>
      <c r="AY573" s="10"/>
      <c r="AZ573" s="10"/>
      <c r="BA573" s="10"/>
      <c r="BB573" s="8"/>
      <c r="BC573" s="8"/>
      <c r="BD573" s="8"/>
      <c r="BE573" s="8"/>
      <c r="BF573" s="12">
        <v>0.46</v>
      </c>
      <c r="BG573" s="13">
        <v>375.53851452201599</v>
      </c>
      <c r="BH573" s="96" t="str">
        <f>+VLOOKUP(G573,Liste!$A$7:$G$50,3,FALSE)</f>
        <v>Pin Maritime</v>
      </c>
      <c r="BI573" s="96" t="str">
        <f>+VLOOKUP(H573,Liste!$B$7:$G$50,5,FALSE)</f>
        <v>GS Pineraies des plaines du Centre et du Nord Ouest</v>
      </c>
      <c r="BJ573" s="135">
        <f t="shared" si="167"/>
        <v>48</v>
      </c>
      <c r="BK573" s="135" t="str">
        <f t="shared" si="169"/>
        <v>Pin Maritime_F1_Classique_GS Pineraies des plaines du Centre et du Nord Ouest_48_</v>
      </c>
      <c r="BL573" s="322"/>
      <c r="BM573" s="13">
        <v>92.590216083299893</v>
      </c>
      <c r="BN573" s="13">
        <v>468.12873060531598</v>
      </c>
      <c r="BO573" s="13" t="s">
        <v>169</v>
      </c>
      <c r="BP573" s="13">
        <v>298.10759386198703</v>
      </c>
      <c r="BQ573" s="13">
        <v>16.614620608643499</v>
      </c>
      <c r="BT573" s="298" t="str">
        <f>+VLOOKUP(G573,Liste!$A$7:$H$50,8,FALSE)</f>
        <v>Résineux</v>
      </c>
      <c r="BU573" s="298">
        <f t="shared" si="170"/>
        <v>0</v>
      </c>
      <c r="BV573" s="300">
        <f t="shared" si="171"/>
        <v>1</v>
      </c>
      <c r="BW573" s="321">
        <v>0</v>
      </c>
      <c r="BX573" s="298">
        <f t="shared" si="172"/>
        <v>0.43</v>
      </c>
      <c r="BY573">
        <f t="shared" si="173"/>
        <v>0</v>
      </c>
      <c r="BZ573" s="304">
        <f t="shared" si="174"/>
        <v>0</v>
      </c>
      <c r="CB573" s="299">
        <v>0.6</v>
      </c>
      <c r="CC573" s="299">
        <v>0.4</v>
      </c>
      <c r="CD573">
        <f t="shared" si="175"/>
        <v>0</v>
      </c>
      <c r="CE573">
        <f t="shared" si="176"/>
        <v>0</v>
      </c>
      <c r="CF573">
        <f t="shared" si="177"/>
        <v>0</v>
      </c>
      <c r="CG573">
        <f t="shared" si="178"/>
        <v>0</v>
      </c>
      <c r="CH573">
        <f t="shared" si="179"/>
        <v>0</v>
      </c>
      <c r="CI573">
        <f t="shared" si="180"/>
        <v>0</v>
      </c>
      <c r="CJ573">
        <f t="shared" si="181"/>
        <v>0</v>
      </c>
      <c r="CK573">
        <f t="shared" si="182"/>
        <v>0</v>
      </c>
      <c r="CL573">
        <f t="shared" si="183"/>
        <v>0</v>
      </c>
      <c r="CM573">
        <f t="shared" si="185"/>
        <v>0</v>
      </c>
      <c r="CN573">
        <f t="shared" si="184"/>
        <v>0</v>
      </c>
      <c r="CO573">
        <f t="shared" si="168"/>
        <v>0</v>
      </c>
    </row>
    <row r="574" spans="1:93" s="12" customFormat="1" ht="14.65" customHeight="1" x14ac:dyDescent="0.25">
      <c r="A574" s="4">
        <v>2021</v>
      </c>
      <c r="B574" s="4"/>
      <c r="C574" s="4" t="s">
        <v>418</v>
      </c>
      <c r="D574" s="4" t="s">
        <v>65</v>
      </c>
      <c r="E574" s="4"/>
      <c r="F574" s="4" t="s">
        <v>90</v>
      </c>
      <c r="G574" s="5" t="s">
        <v>419</v>
      </c>
      <c r="H574" s="5" t="s">
        <v>21</v>
      </c>
      <c r="I574" s="5" t="s">
        <v>18</v>
      </c>
      <c r="J574" s="5" t="s">
        <v>9</v>
      </c>
      <c r="K574" s="5">
        <v>27.5</v>
      </c>
      <c r="L574" s="5">
        <v>55</v>
      </c>
      <c r="M574" s="5">
        <v>1250</v>
      </c>
      <c r="N574" s="5" t="s">
        <v>171</v>
      </c>
      <c r="O574" s="6" t="s">
        <v>81</v>
      </c>
      <c r="P574" s="6" t="s">
        <v>420</v>
      </c>
      <c r="Q574" s="6"/>
      <c r="R574" s="6"/>
      <c r="S574" s="6">
        <v>14</v>
      </c>
      <c r="T574" s="6">
        <v>11</v>
      </c>
      <c r="U574" s="6">
        <v>1251</v>
      </c>
      <c r="V574" s="6">
        <v>25.56</v>
      </c>
      <c r="W574" s="6">
        <v>13</v>
      </c>
      <c r="X574" s="6">
        <v>239</v>
      </c>
      <c r="Y574" s="6">
        <v>629</v>
      </c>
      <c r="Z574" s="6">
        <v>324</v>
      </c>
      <c r="AA574" s="6">
        <v>46</v>
      </c>
      <c r="AB574" s="6">
        <v>0</v>
      </c>
      <c r="AC574" s="7">
        <v>49</v>
      </c>
      <c r="AD574" s="7" t="s">
        <v>52</v>
      </c>
      <c r="AE574" s="7">
        <v>27.76</v>
      </c>
      <c r="AF574" s="7">
        <v>230.4</v>
      </c>
      <c r="AG574" s="7">
        <v>36.99</v>
      </c>
      <c r="AH574" s="7">
        <v>45.21</v>
      </c>
      <c r="AI574" s="7">
        <v>50.21</v>
      </c>
      <c r="AJ574" s="9">
        <v>387.69738136218501</v>
      </c>
      <c r="AK574" s="9">
        <v>397.10003484963602</v>
      </c>
      <c r="AL574" s="9">
        <v>486.02019888980499</v>
      </c>
      <c r="AM574" s="9" t="s">
        <v>169</v>
      </c>
      <c r="AN574" s="9" t="s">
        <v>169</v>
      </c>
      <c r="AO574" s="9" t="s">
        <v>169</v>
      </c>
      <c r="AP574" s="9" t="s">
        <v>169</v>
      </c>
      <c r="AQ574" s="9" t="s">
        <v>169</v>
      </c>
      <c r="AR574" s="9" t="s">
        <v>169</v>
      </c>
      <c r="AS574" s="8" t="s">
        <v>169</v>
      </c>
      <c r="AT574" s="8" t="s">
        <v>169</v>
      </c>
      <c r="AU574" s="10" t="s">
        <v>169</v>
      </c>
      <c r="AV574" s="10">
        <v>0</v>
      </c>
      <c r="AW574" s="8"/>
      <c r="AX574" s="10" t="s">
        <v>169</v>
      </c>
      <c r="AY574" s="10"/>
      <c r="AZ574" s="10"/>
      <c r="BA574" s="10"/>
      <c r="BB574" s="8"/>
      <c r="BC574" s="8"/>
      <c r="BD574" s="8"/>
      <c r="BE574" s="8"/>
      <c r="BF574" s="12">
        <v>0.46</v>
      </c>
      <c r="BG574" s="13">
        <v>389.38318267721598</v>
      </c>
      <c r="BH574" s="96" t="str">
        <f>+VLOOKUP(G574,Liste!$A$7:$G$50,3,FALSE)</f>
        <v>Pin Maritime</v>
      </c>
      <c r="BI574" s="96" t="str">
        <f>+VLOOKUP(H574,Liste!$B$7:$G$50,5,FALSE)</f>
        <v>GS Pineraies des plaines du Centre et du Nord Ouest</v>
      </c>
      <c r="BJ574" s="135">
        <f t="shared" si="167"/>
        <v>49</v>
      </c>
      <c r="BK574" s="135" t="str">
        <f t="shared" si="169"/>
        <v>Pin Maritime_F1_Classique_GS Pineraies des plaines du Centre et du Nord Ouest_49_</v>
      </c>
      <c r="BL574" s="322"/>
      <c r="BM574" s="13">
        <v>95.570376231264603</v>
      </c>
      <c r="BN574" s="13">
        <v>484.95355890847998</v>
      </c>
      <c r="BO574" s="13" t="s">
        <v>169</v>
      </c>
      <c r="BP574" s="13">
        <v>298.10759386198703</v>
      </c>
      <c r="BQ574" s="13" t="s">
        <v>169</v>
      </c>
      <c r="BT574" s="298" t="str">
        <f>+VLOOKUP(G574,Liste!$A$7:$H$50,8,FALSE)</f>
        <v>Résineux</v>
      </c>
      <c r="BU574" s="298">
        <f t="shared" si="170"/>
        <v>0</v>
      </c>
      <c r="BV574" s="300">
        <f t="shared" si="171"/>
        <v>1</v>
      </c>
      <c r="BW574" s="321">
        <v>0</v>
      </c>
      <c r="BX574" s="298">
        <f t="shared" si="172"/>
        <v>0.43</v>
      </c>
      <c r="BY574">
        <f t="shared" si="173"/>
        <v>0</v>
      </c>
      <c r="BZ574" s="304">
        <f t="shared" si="174"/>
        <v>0</v>
      </c>
      <c r="CB574" s="299">
        <v>0.6</v>
      </c>
      <c r="CC574" s="299">
        <v>0.4</v>
      </c>
      <c r="CD574">
        <f t="shared" si="175"/>
        <v>0</v>
      </c>
      <c r="CE574">
        <f t="shared" si="176"/>
        <v>0</v>
      </c>
      <c r="CF574">
        <f t="shared" si="177"/>
        <v>0</v>
      </c>
      <c r="CG574">
        <f t="shared" si="178"/>
        <v>0</v>
      </c>
      <c r="CH574">
        <f t="shared" si="179"/>
        <v>0</v>
      </c>
      <c r="CI574">
        <f t="shared" si="180"/>
        <v>0</v>
      </c>
      <c r="CJ574">
        <f t="shared" si="181"/>
        <v>0</v>
      </c>
      <c r="CK574">
        <f t="shared" si="182"/>
        <v>0</v>
      </c>
      <c r="CL574">
        <f t="shared" si="183"/>
        <v>0</v>
      </c>
      <c r="CM574">
        <f t="shared" si="185"/>
        <v>0</v>
      </c>
      <c r="CN574">
        <f t="shared" si="184"/>
        <v>0</v>
      </c>
      <c r="CO574">
        <f t="shared" si="168"/>
        <v>0</v>
      </c>
    </row>
    <row r="575" spans="1:93" s="12" customFormat="1" ht="14.65" customHeight="1" x14ac:dyDescent="0.25">
      <c r="A575" s="4">
        <v>2021</v>
      </c>
      <c r="B575" s="4"/>
      <c r="C575" s="4" t="s">
        <v>418</v>
      </c>
      <c r="D575" s="4" t="s">
        <v>65</v>
      </c>
      <c r="E575" s="4"/>
      <c r="F575" s="4" t="s">
        <v>90</v>
      </c>
      <c r="G575" s="5" t="s">
        <v>419</v>
      </c>
      <c r="H575" s="5" t="s">
        <v>21</v>
      </c>
      <c r="I575" s="5" t="s">
        <v>18</v>
      </c>
      <c r="J575" s="5" t="s">
        <v>9</v>
      </c>
      <c r="K575" s="5">
        <v>27.5</v>
      </c>
      <c r="L575" s="5">
        <v>55</v>
      </c>
      <c r="M575" s="5">
        <v>1250</v>
      </c>
      <c r="N575" s="5" t="s">
        <v>171</v>
      </c>
      <c r="O575" s="6" t="s">
        <v>81</v>
      </c>
      <c r="P575" s="6" t="s">
        <v>420</v>
      </c>
      <c r="Q575" s="6"/>
      <c r="R575" s="6"/>
      <c r="S575" s="6">
        <v>14</v>
      </c>
      <c r="T575" s="6">
        <v>11</v>
      </c>
      <c r="U575" s="6">
        <v>1251</v>
      </c>
      <c r="V575" s="6">
        <v>25.56</v>
      </c>
      <c r="W575" s="6">
        <v>13</v>
      </c>
      <c r="X575" s="6">
        <v>239</v>
      </c>
      <c r="Y575" s="6">
        <v>629</v>
      </c>
      <c r="Z575" s="6">
        <v>324</v>
      </c>
      <c r="AA575" s="6">
        <v>46</v>
      </c>
      <c r="AB575" s="6">
        <v>0</v>
      </c>
      <c r="AC575" s="7">
        <v>50</v>
      </c>
      <c r="AD575" s="7" t="s">
        <v>52</v>
      </c>
      <c r="AE575" s="7">
        <v>28.01</v>
      </c>
      <c r="AF575" s="7">
        <v>230.4</v>
      </c>
      <c r="AG575" s="7">
        <v>38.01</v>
      </c>
      <c r="AH575" s="7">
        <v>45.83</v>
      </c>
      <c r="AI575" s="7">
        <v>50.97</v>
      </c>
      <c r="AJ575" s="9">
        <v>401.53338603722602</v>
      </c>
      <c r="AK575" s="9">
        <v>411.37149954803499</v>
      </c>
      <c r="AL575" s="9">
        <v>503.30083315883002</v>
      </c>
      <c r="AM575" s="9" t="s">
        <v>169</v>
      </c>
      <c r="AN575" s="9" t="s">
        <v>169</v>
      </c>
      <c r="AO575" s="9" t="s">
        <v>169</v>
      </c>
      <c r="AP575" s="9" t="s">
        <v>169</v>
      </c>
      <c r="AQ575" s="9" t="s">
        <v>169</v>
      </c>
      <c r="AR575" s="9" t="s">
        <v>169</v>
      </c>
      <c r="AS575" s="8" t="s">
        <v>169</v>
      </c>
      <c r="AT575" s="8" t="s">
        <v>169</v>
      </c>
      <c r="AU575" s="10" t="s">
        <v>169</v>
      </c>
      <c r="AV575" s="10">
        <v>0</v>
      </c>
      <c r="AW575" s="8"/>
      <c r="AX575" s="10" t="s">
        <v>169</v>
      </c>
      <c r="AY575" s="10"/>
      <c r="AZ575" s="10"/>
      <c r="BA575" s="10"/>
      <c r="BB575" s="8"/>
      <c r="BC575" s="8"/>
      <c r="BD575" s="8"/>
      <c r="BE575" s="8"/>
      <c r="BF575" s="12">
        <v>0.46</v>
      </c>
      <c r="BG575" s="13">
        <v>403.22785083241598</v>
      </c>
      <c r="BH575" s="96" t="str">
        <f>+VLOOKUP(G575,Liste!$A$7:$G$50,3,FALSE)</f>
        <v>Pin Maritime</v>
      </c>
      <c r="BI575" s="96" t="str">
        <f>+VLOOKUP(H575,Liste!$B$7:$G$50,5,FALSE)</f>
        <v>GS Pineraies des plaines du Centre et du Nord Ouest</v>
      </c>
      <c r="BJ575" s="135">
        <f t="shared" si="167"/>
        <v>50</v>
      </c>
      <c r="BK575" s="135" t="str">
        <f t="shared" si="169"/>
        <v>Pin Maritime_F1_Classique_GS Pineraies des plaines du Centre et du Nord Ouest_50_</v>
      </c>
      <c r="BL575" s="322"/>
      <c r="BM575" s="13">
        <v>98.5505363792293</v>
      </c>
      <c r="BN575" s="13">
        <v>501.778387211645</v>
      </c>
      <c r="BO575" s="13" t="s">
        <v>169</v>
      </c>
      <c r="BP575" s="13">
        <v>298.10759386198703</v>
      </c>
      <c r="BQ575" s="13" t="s">
        <v>169</v>
      </c>
      <c r="BT575" s="298" t="str">
        <f>+VLOOKUP(G575,Liste!$A$7:$H$50,8,FALSE)</f>
        <v>Résineux</v>
      </c>
      <c r="BU575" s="298">
        <f t="shared" si="170"/>
        <v>0</v>
      </c>
      <c r="BV575" s="300">
        <f t="shared" si="171"/>
        <v>1</v>
      </c>
      <c r="BW575" s="321">
        <v>0</v>
      </c>
      <c r="BX575" s="298">
        <f t="shared" si="172"/>
        <v>0.43</v>
      </c>
      <c r="BY575">
        <f t="shared" si="173"/>
        <v>0</v>
      </c>
      <c r="BZ575" s="304">
        <f t="shared" si="174"/>
        <v>0</v>
      </c>
      <c r="CB575" s="299">
        <v>0.6</v>
      </c>
      <c r="CC575" s="299">
        <v>0.4</v>
      </c>
      <c r="CD575">
        <f t="shared" si="175"/>
        <v>0</v>
      </c>
      <c r="CE575">
        <f t="shared" si="176"/>
        <v>0</v>
      </c>
      <c r="CF575">
        <f t="shared" si="177"/>
        <v>0</v>
      </c>
      <c r="CG575">
        <f t="shared" si="178"/>
        <v>0</v>
      </c>
      <c r="CH575">
        <f t="shared" si="179"/>
        <v>0</v>
      </c>
      <c r="CI575">
        <f t="shared" si="180"/>
        <v>0</v>
      </c>
      <c r="CJ575">
        <f t="shared" si="181"/>
        <v>0</v>
      </c>
      <c r="CK575">
        <f t="shared" si="182"/>
        <v>0</v>
      </c>
      <c r="CL575">
        <f t="shared" si="183"/>
        <v>0</v>
      </c>
      <c r="CM575">
        <f t="shared" si="185"/>
        <v>0</v>
      </c>
      <c r="CN575">
        <f t="shared" si="184"/>
        <v>0</v>
      </c>
      <c r="CO575">
        <f t="shared" si="168"/>
        <v>0</v>
      </c>
    </row>
    <row r="576" spans="1:93" s="12" customFormat="1" ht="14.65" customHeight="1" x14ac:dyDescent="0.25">
      <c r="A576" s="4">
        <v>2021</v>
      </c>
      <c r="B576" s="4"/>
      <c r="C576" s="4" t="s">
        <v>418</v>
      </c>
      <c r="D576" s="4" t="s">
        <v>65</v>
      </c>
      <c r="E576" s="4"/>
      <c r="F576" s="4" t="s">
        <v>90</v>
      </c>
      <c r="G576" s="5" t="s">
        <v>419</v>
      </c>
      <c r="H576" s="5" t="s">
        <v>21</v>
      </c>
      <c r="I576" s="5" t="s">
        <v>18</v>
      </c>
      <c r="J576" s="5" t="s">
        <v>9</v>
      </c>
      <c r="K576" s="5">
        <v>27.5</v>
      </c>
      <c r="L576" s="5">
        <v>55</v>
      </c>
      <c r="M576" s="5">
        <v>1250</v>
      </c>
      <c r="N576" s="5" t="s">
        <v>171</v>
      </c>
      <c r="O576" s="6" t="s">
        <v>81</v>
      </c>
      <c r="P576" s="6" t="s">
        <v>420</v>
      </c>
      <c r="Q576" s="6"/>
      <c r="R576" s="6"/>
      <c r="S576" s="6">
        <v>14</v>
      </c>
      <c r="T576" s="6">
        <v>11</v>
      </c>
      <c r="U576" s="6">
        <v>1251</v>
      </c>
      <c r="V576" s="6">
        <v>25.56</v>
      </c>
      <c r="W576" s="6">
        <v>13</v>
      </c>
      <c r="X576" s="6">
        <v>239</v>
      </c>
      <c r="Y576" s="6">
        <v>629</v>
      </c>
      <c r="Z576" s="6">
        <v>324</v>
      </c>
      <c r="AA576" s="6">
        <v>46</v>
      </c>
      <c r="AB576" s="6">
        <v>0</v>
      </c>
      <c r="AC576" s="7">
        <v>51</v>
      </c>
      <c r="AD576" s="7" t="s">
        <v>52</v>
      </c>
      <c r="AE576" s="7">
        <v>28.25</v>
      </c>
      <c r="AF576" s="7">
        <v>230.4</v>
      </c>
      <c r="AG576" s="7">
        <v>39.020000000000003</v>
      </c>
      <c r="AH576" s="7">
        <v>46.44</v>
      </c>
      <c r="AI576" s="7">
        <v>51.73</v>
      </c>
      <c r="AJ576" s="9">
        <v>415.36939071226698</v>
      </c>
      <c r="AK576" s="9">
        <v>425.64296424643499</v>
      </c>
      <c r="AL576" s="9">
        <v>520.58146742785402</v>
      </c>
      <c r="AM576" s="9" t="s">
        <v>169</v>
      </c>
      <c r="AN576" s="9" t="s">
        <v>169</v>
      </c>
      <c r="AO576" s="9" t="s">
        <v>169</v>
      </c>
      <c r="AP576" s="9" t="s">
        <v>169</v>
      </c>
      <c r="AQ576" s="9" t="s">
        <v>169</v>
      </c>
      <c r="AR576" s="9" t="s">
        <v>169</v>
      </c>
      <c r="AS576" s="8" t="s">
        <v>169</v>
      </c>
      <c r="AT576" s="8" t="s">
        <v>169</v>
      </c>
      <c r="AU576" s="10" t="s">
        <v>169</v>
      </c>
      <c r="AV576" s="10">
        <v>0</v>
      </c>
      <c r="AW576" s="8"/>
      <c r="AX576" s="10" t="s">
        <v>169</v>
      </c>
      <c r="AY576" s="10"/>
      <c r="AZ576" s="10"/>
      <c r="BA576" s="10"/>
      <c r="BB576" s="8"/>
      <c r="BC576" s="8"/>
      <c r="BD576" s="8"/>
      <c r="BE576" s="8"/>
      <c r="BF576" s="12">
        <v>0.46</v>
      </c>
      <c r="BG576" s="13">
        <v>417.07251898761501</v>
      </c>
      <c r="BH576" s="96" t="str">
        <f>+VLOOKUP(G576,Liste!$A$7:$G$50,3,FALSE)</f>
        <v>Pin Maritime</v>
      </c>
      <c r="BI576" s="96" t="str">
        <f>+VLOOKUP(H576,Liste!$B$7:$G$50,5,FALSE)</f>
        <v>GS Pineraies des plaines du Centre et du Nord Ouest</v>
      </c>
      <c r="BJ576" s="135">
        <f t="shared" si="167"/>
        <v>51</v>
      </c>
      <c r="BK576" s="135" t="str">
        <f t="shared" si="169"/>
        <v>Pin Maritime_F1_Classique_GS Pineraies des plaines du Centre et du Nord Ouest_51_</v>
      </c>
      <c r="BL576" s="322"/>
      <c r="BM576" s="13">
        <v>101.530696527194</v>
      </c>
      <c r="BN576" s="13">
        <v>518.60321551480899</v>
      </c>
      <c r="BO576" s="13" t="s">
        <v>169</v>
      </c>
      <c r="BP576" s="13">
        <v>298.10759386198703</v>
      </c>
      <c r="BQ576" s="13" t="s">
        <v>169</v>
      </c>
      <c r="BT576" s="298" t="str">
        <f>+VLOOKUP(G576,Liste!$A$7:$H$50,8,FALSE)</f>
        <v>Résineux</v>
      </c>
      <c r="BU576" s="298">
        <f t="shared" si="170"/>
        <v>0</v>
      </c>
      <c r="BV576" s="300">
        <f t="shared" si="171"/>
        <v>1</v>
      </c>
      <c r="BW576" s="321">
        <v>0</v>
      </c>
      <c r="BX576" s="298">
        <f t="shared" si="172"/>
        <v>0.43</v>
      </c>
      <c r="BY576">
        <f t="shared" si="173"/>
        <v>0</v>
      </c>
      <c r="BZ576" s="304">
        <f t="shared" si="174"/>
        <v>0</v>
      </c>
      <c r="CB576" s="299">
        <v>0.6</v>
      </c>
      <c r="CC576" s="299">
        <v>0.4</v>
      </c>
      <c r="CD576">
        <f t="shared" si="175"/>
        <v>0</v>
      </c>
      <c r="CE576">
        <f t="shared" si="176"/>
        <v>0</v>
      </c>
      <c r="CF576">
        <f t="shared" si="177"/>
        <v>0</v>
      </c>
      <c r="CG576">
        <f t="shared" si="178"/>
        <v>0</v>
      </c>
      <c r="CH576">
        <f t="shared" si="179"/>
        <v>0</v>
      </c>
      <c r="CI576">
        <f t="shared" si="180"/>
        <v>0</v>
      </c>
      <c r="CJ576">
        <f t="shared" si="181"/>
        <v>0</v>
      </c>
      <c r="CK576">
        <f t="shared" si="182"/>
        <v>0</v>
      </c>
      <c r="CL576">
        <f t="shared" si="183"/>
        <v>0</v>
      </c>
      <c r="CM576">
        <f t="shared" si="185"/>
        <v>0</v>
      </c>
      <c r="CN576">
        <f t="shared" si="184"/>
        <v>0</v>
      </c>
      <c r="CO576">
        <f t="shared" si="168"/>
        <v>0</v>
      </c>
    </row>
    <row r="577" spans="1:93" s="12" customFormat="1" ht="14.65" customHeight="1" x14ac:dyDescent="0.25">
      <c r="A577" s="4">
        <v>2021</v>
      </c>
      <c r="B577" s="4"/>
      <c r="C577" s="4" t="s">
        <v>418</v>
      </c>
      <c r="D577" s="4" t="s">
        <v>65</v>
      </c>
      <c r="E577" s="4"/>
      <c r="F577" s="4" t="s">
        <v>90</v>
      </c>
      <c r="G577" s="5" t="s">
        <v>419</v>
      </c>
      <c r="H577" s="5" t="s">
        <v>21</v>
      </c>
      <c r="I577" s="5" t="s">
        <v>18</v>
      </c>
      <c r="J577" s="5" t="s">
        <v>9</v>
      </c>
      <c r="K577" s="5">
        <v>27.5</v>
      </c>
      <c r="L577" s="5">
        <v>55</v>
      </c>
      <c r="M577" s="5">
        <v>1250</v>
      </c>
      <c r="N577" s="5" t="s">
        <v>171</v>
      </c>
      <c r="O577" s="6" t="s">
        <v>81</v>
      </c>
      <c r="P577" s="6" t="s">
        <v>420</v>
      </c>
      <c r="Q577" s="6"/>
      <c r="R577" s="6"/>
      <c r="S577" s="6">
        <v>14</v>
      </c>
      <c r="T577" s="6">
        <v>11</v>
      </c>
      <c r="U577" s="6">
        <v>1251</v>
      </c>
      <c r="V577" s="6">
        <v>25.56</v>
      </c>
      <c r="W577" s="6">
        <v>13</v>
      </c>
      <c r="X577" s="6">
        <v>239</v>
      </c>
      <c r="Y577" s="6">
        <v>629</v>
      </c>
      <c r="Z577" s="6">
        <v>324</v>
      </c>
      <c r="AA577" s="6">
        <v>46</v>
      </c>
      <c r="AB577" s="6">
        <v>0</v>
      </c>
      <c r="AC577" s="7">
        <v>52</v>
      </c>
      <c r="AD577" s="7" t="s">
        <v>52</v>
      </c>
      <c r="AE577" s="7">
        <v>28.46</v>
      </c>
      <c r="AF577" s="7">
        <v>230.4</v>
      </c>
      <c r="AG577" s="7">
        <v>40.03</v>
      </c>
      <c r="AH577" s="7">
        <v>47.04</v>
      </c>
      <c r="AI577" s="7">
        <v>52.47</v>
      </c>
      <c r="AJ577" s="9">
        <v>429.20539538730799</v>
      </c>
      <c r="AK577" s="9">
        <v>439.91442894483498</v>
      </c>
      <c r="AL577" s="9">
        <v>537.86210169687797</v>
      </c>
      <c r="AM577" s="9" t="s">
        <v>169</v>
      </c>
      <c r="AN577" s="9" t="s">
        <v>169</v>
      </c>
      <c r="AO577" s="9" t="s">
        <v>169</v>
      </c>
      <c r="AP577" s="9" t="s">
        <v>169</v>
      </c>
      <c r="AQ577" s="9" t="s">
        <v>169</v>
      </c>
      <c r="AR577" s="9" t="s">
        <v>169</v>
      </c>
      <c r="AS577" s="8" t="s">
        <v>169</v>
      </c>
      <c r="AT577" s="8" t="s">
        <v>169</v>
      </c>
      <c r="AU577" s="10" t="s">
        <v>169</v>
      </c>
      <c r="AV577" s="10">
        <v>0</v>
      </c>
      <c r="AW577" s="8"/>
      <c r="AX577" s="10" t="s">
        <v>169</v>
      </c>
      <c r="AY577" s="10"/>
      <c r="AZ577" s="10"/>
      <c r="BA577" s="10"/>
      <c r="BB577" s="8"/>
      <c r="BC577" s="8"/>
      <c r="BD577" s="8"/>
      <c r="BE577" s="8"/>
      <c r="BF577" s="12">
        <v>0.46</v>
      </c>
      <c r="BG577" s="13">
        <v>430.91718714281501</v>
      </c>
      <c r="BH577" s="96" t="str">
        <f>+VLOOKUP(G577,Liste!$A$7:$G$50,3,FALSE)</f>
        <v>Pin Maritime</v>
      </c>
      <c r="BI577" s="96" t="str">
        <f>+VLOOKUP(H577,Liste!$B$7:$G$50,5,FALSE)</f>
        <v>GS Pineraies des plaines du Centre et du Nord Ouest</v>
      </c>
      <c r="BJ577" s="135">
        <f t="shared" si="167"/>
        <v>52</v>
      </c>
      <c r="BK577" s="135" t="str">
        <f t="shared" si="169"/>
        <v>Pin Maritime_F1_Classique_GS Pineraies des plaines du Centre et du Nord Ouest_52_</v>
      </c>
      <c r="BL577" s="322"/>
      <c r="BM577" s="13">
        <v>104.510856675159</v>
      </c>
      <c r="BN577" s="13">
        <v>535.42804381797396</v>
      </c>
      <c r="BO577" s="13" t="s">
        <v>169</v>
      </c>
      <c r="BP577" s="13">
        <v>298.10759386198703</v>
      </c>
      <c r="BQ577" s="13" t="s">
        <v>169</v>
      </c>
      <c r="BT577" s="298" t="str">
        <f>+VLOOKUP(G577,Liste!$A$7:$H$50,8,FALSE)</f>
        <v>Résineux</v>
      </c>
      <c r="BU577" s="298">
        <f t="shared" si="170"/>
        <v>0</v>
      </c>
      <c r="BV577" s="300">
        <f t="shared" si="171"/>
        <v>1</v>
      </c>
      <c r="BW577" s="321">
        <v>0</v>
      </c>
      <c r="BX577" s="298">
        <f t="shared" si="172"/>
        <v>0.43</v>
      </c>
      <c r="BY577">
        <f t="shared" si="173"/>
        <v>0</v>
      </c>
      <c r="BZ577" s="304">
        <f t="shared" si="174"/>
        <v>0</v>
      </c>
      <c r="CB577" s="299">
        <v>0.6</v>
      </c>
      <c r="CC577" s="299">
        <v>0.4</v>
      </c>
      <c r="CD577">
        <f t="shared" si="175"/>
        <v>0</v>
      </c>
      <c r="CE577">
        <f t="shared" si="176"/>
        <v>0</v>
      </c>
      <c r="CF577">
        <f t="shared" si="177"/>
        <v>0</v>
      </c>
      <c r="CG577">
        <f t="shared" si="178"/>
        <v>0</v>
      </c>
      <c r="CH577">
        <f t="shared" si="179"/>
        <v>0</v>
      </c>
      <c r="CI577">
        <f t="shared" si="180"/>
        <v>0</v>
      </c>
      <c r="CJ577">
        <f t="shared" si="181"/>
        <v>0</v>
      </c>
      <c r="CK577">
        <f t="shared" si="182"/>
        <v>0</v>
      </c>
      <c r="CL577">
        <f t="shared" si="183"/>
        <v>0</v>
      </c>
      <c r="CM577">
        <f t="shared" si="185"/>
        <v>0</v>
      </c>
      <c r="CN577">
        <f t="shared" si="184"/>
        <v>0</v>
      </c>
      <c r="CO577">
        <f t="shared" si="168"/>
        <v>0</v>
      </c>
    </row>
    <row r="578" spans="1:93" s="12" customFormat="1" ht="14.65" customHeight="1" x14ac:dyDescent="0.25">
      <c r="A578" s="4">
        <v>2021</v>
      </c>
      <c r="B578" s="4"/>
      <c r="C578" s="4" t="s">
        <v>418</v>
      </c>
      <c r="D578" s="4" t="s">
        <v>65</v>
      </c>
      <c r="E578" s="4"/>
      <c r="F578" s="4" t="s">
        <v>90</v>
      </c>
      <c r="G578" s="5" t="s">
        <v>419</v>
      </c>
      <c r="H578" s="5" t="s">
        <v>21</v>
      </c>
      <c r="I578" s="5" t="s">
        <v>18</v>
      </c>
      <c r="J578" s="5" t="s">
        <v>9</v>
      </c>
      <c r="K578" s="5">
        <v>27.5</v>
      </c>
      <c r="L578" s="5">
        <v>55</v>
      </c>
      <c r="M578" s="5">
        <v>1250</v>
      </c>
      <c r="N578" s="5" t="s">
        <v>171</v>
      </c>
      <c r="O578" s="6" t="s">
        <v>81</v>
      </c>
      <c r="P578" s="6" t="s">
        <v>420</v>
      </c>
      <c r="Q578" s="6"/>
      <c r="R578" s="6"/>
      <c r="S578" s="6">
        <v>14</v>
      </c>
      <c r="T578" s="6">
        <v>11</v>
      </c>
      <c r="U578" s="6">
        <v>1251</v>
      </c>
      <c r="V578" s="6">
        <v>25.56</v>
      </c>
      <c r="W578" s="6">
        <v>13</v>
      </c>
      <c r="X578" s="6">
        <v>239</v>
      </c>
      <c r="Y578" s="6">
        <v>629</v>
      </c>
      <c r="Z578" s="6">
        <v>324</v>
      </c>
      <c r="AA578" s="6">
        <v>46</v>
      </c>
      <c r="AB578" s="6">
        <v>0</v>
      </c>
      <c r="AC578" s="7">
        <v>53</v>
      </c>
      <c r="AD578" s="7" t="s">
        <v>52</v>
      </c>
      <c r="AE578" s="7">
        <v>28.67</v>
      </c>
      <c r="AF578" s="7">
        <v>230.4</v>
      </c>
      <c r="AG578" s="7">
        <v>41.03</v>
      </c>
      <c r="AH578" s="7">
        <v>47.62</v>
      </c>
      <c r="AI578" s="7">
        <v>53.19</v>
      </c>
      <c r="AJ578" s="9">
        <v>443.041400062349</v>
      </c>
      <c r="AK578" s="9">
        <v>454.18589364323498</v>
      </c>
      <c r="AL578" s="9">
        <v>555.14273596590203</v>
      </c>
      <c r="AM578" s="9" t="s">
        <v>169</v>
      </c>
      <c r="AN578" s="9" t="s">
        <v>169</v>
      </c>
      <c r="AO578" s="9" t="s">
        <v>169</v>
      </c>
      <c r="AP578" s="9" t="s">
        <v>169</v>
      </c>
      <c r="AQ578" s="9" t="s">
        <v>169</v>
      </c>
      <c r="AR578" s="9" t="s">
        <v>169</v>
      </c>
      <c r="AS578" s="8" t="s">
        <v>169</v>
      </c>
      <c r="AT578" s="8" t="s">
        <v>169</v>
      </c>
      <c r="AU578" s="10" t="s">
        <v>169</v>
      </c>
      <c r="AV578" s="10">
        <v>0</v>
      </c>
      <c r="AW578" s="8"/>
      <c r="AX578" s="10" t="s">
        <v>169</v>
      </c>
      <c r="AY578" s="10"/>
      <c r="AZ578" s="10"/>
      <c r="BA578" s="10"/>
      <c r="BB578" s="8"/>
      <c r="BC578" s="8"/>
      <c r="BD578" s="8"/>
      <c r="BE578" s="8"/>
      <c r="BF578" s="12">
        <v>0.46</v>
      </c>
      <c r="BG578" s="13">
        <v>444.76185529801501</v>
      </c>
      <c r="BH578" s="96" t="str">
        <f>+VLOOKUP(G578,Liste!$A$7:$G$50,3,FALSE)</f>
        <v>Pin Maritime</v>
      </c>
      <c r="BI578" s="96" t="str">
        <f>+VLOOKUP(H578,Liste!$B$7:$G$50,5,FALSE)</f>
        <v>GS Pineraies des plaines du Centre et du Nord Ouest</v>
      </c>
      <c r="BJ578" s="135">
        <f t="shared" si="167"/>
        <v>53</v>
      </c>
      <c r="BK578" s="135" t="str">
        <f t="shared" si="169"/>
        <v>Pin Maritime_F1_Classique_GS Pineraies des plaines du Centre et du Nord Ouest_53_</v>
      </c>
      <c r="BL578" s="322"/>
      <c r="BM578" s="13">
        <v>107.491016823123</v>
      </c>
      <c r="BN578" s="13">
        <v>552.25287212113903</v>
      </c>
      <c r="BO578" s="13" t="s">
        <v>169</v>
      </c>
      <c r="BP578" s="13">
        <v>298.10759386198703</v>
      </c>
      <c r="BQ578" s="13" t="s">
        <v>169</v>
      </c>
      <c r="BT578" s="298" t="str">
        <f>+VLOOKUP(G578,Liste!$A$7:$H$50,8,FALSE)</f>
        <v>Résineux</v>
      </c>
      <c r="BU578" s="298">
        <f t="shared" si="170"/>
        <v>0</v>
      </c>
      <c r="BV578" s="300">
        <f t="shared" si="171"/>
        <v>1</v>
      </c>
      <c r="BW578" s="321">
        <v>0</v>
      </c>
      <c r="BX578" s="298">
        <f t="shared" si="172"/>
        <v>0.43</v>
      </c>
      <c r="BY578">
        <f t="shared" si="173"/>
        <v>0</v>
      </c>
      <c r="BZ578" s="304">
        <f t="shared" si="174"/>
        <v>0</v>
      </c>
      <c r="CB578" s="299">
        <v>0.6</v>
      </c>
      <c r="CC578" s="299">
        <v>0.4</v>
      </c>
      <c r="CD578">
        <f t="shared" si="175"/>
        <v>0</v>
      </c>
      <c r="CE578">
        <f t="shared" si="176"/>
        <v>0</v>
      </c>
      <c r="CF578">
        <f t="shared" si="177"/>
        <v>0</v>
      </c>
      <c r="CG578">
        <f t="shared" si="178"/>
        <v>0</v>
      </c>
      <c r="CH578">
        <f t="shared" si="179"/>
        <v>0</v>
      </c>
      <c r="CI578">
        <f t="shared" si="180"/>
        <v>0</v>
      </c>
      <c r="CJ578">
        <f t="shared" si="181"/>
        <v>0</v>
      </c>
      <c r="CK578">
        <f t="shared" si="182"/>
        <v>0</v>
      </c>
      <c r="CL578">
        <f t="shared" si="183"/>
        <v>0</v>
      </c>
      <c r="CM578">
        <f t="shared" si="185"/>
        <v>0</v>
      </c>
      <c r="CN578">
        <f t="shared" si="184"/>
        <v>0</v>
      </c>
      <c r="CO578">
        <f t="shared" si="168"/>
        <v>0</v>
      </c>
    </row>
    <row r="579" spans="1:93" s="12" customFormat="1" ht="14.65" customHeight="1" x14ac:dyDescent="0.25">
      <c r="A579" s="4">
        <v>2021</v>
      </c>
      <c r="B579" s="4"/>
      <c r="C579" s="4" t="s">
        <v>418</v>
      </c>
      <c r="D579" s="4" t="s">
        <v>65</v>
      </c>
      <c r="E579" s="4"/>
      <c r="F579" s="4" t="s">
        <v>90</v>
      </c>
      <c r="G579" s="5" t="s">
        <v>419</v>
      </c>
      <c r="H579" s="5" t="s">
        <v>21</v>
      </c>
      <c r="I579" s="5" t="s">
        <v>18</v>
      </c>
      <c r="J579" s="5" t="s">
        <v>9</v>
      </c>
      <c r="K579" s="5">
        <v>27.5</v>
      </c>
      <c r="L579" s="5">
        <v>55</v>
      </c>
      <c r="M579" s="5">
        <v>1250</v>
      </c>
      <c r="N579" s="5" t="s">
        <v>171</v>
      </c>
      <c r="O579" s="6" t="s">
        <v>81</v>
      </c>
      <c r="P579" s="6" t="s">
        <v>420</v>
      </c>
      <c r="Q579" s="6"/>
      <c r="R579" s="6"/>
      <c r="S579" s="6">
        <v>14</v>
      </c>
      <c r="T579" s="6">
        <v>11</v>
      </c>
      <c r="U579" s="6">
        <v>1251</v>
      </c>
      <c r="V579" s="6">
        <v>25.56</v>
      </c>
      <c r="W579" s="6">
        <v>13</v>
      </c>
      <c r="X579" s="6">
        <v>239</v>
      </c>
      <c r="Y579" s="6">
        <v>629</v>
      </c>
      <c r="Z579" s="6">
        <v>324</v>
      </c>
      <c r="AA579" s="6">
        <v>46</v>
      </c>
      <c r="AB579" s="6">
        <v>0</v>
      </c>
      <c r="AC579" s="7">
        <v>54</v>
      </c>
      <c r="AD579" s="7" t="s">
        <v>52</v>
      </c>
      <c r="AE579" s="7">
        <v>28.88</v>
      </c>
      <c r="AF579" s="7">
        <v>230.4</v>
      </c>
      <c r="AG579" s="7">
        <v>42.02</v>
      </c>
      <c r="AH579" s="7">
        <v>48.19</v>
      </c>
      <c r="AI579" s="7">
        <v>53.91</v>
      </c>
      <c r="AJ579" s="9">
        <v>456.87740473739001</v>
      </c>
      <c r="AK579" s="9">
        <v>468.45735834163401</v>
      </c>
      <c r="AL579" s="9">
        <v>572.42337023492598</v>
      </c>
      <c r="AM579" s="9">
        <v>88.082198758324694</v>
      </c>
      <c r="AN579" s="9">
        <v>1.6311518288578599</v>
      </c>
      <c r="AO579" s="9" t="s">
        <v>169</v>
      </c>
      <c r="AP579" s="9">
        <v>1026.4465471634201</v>
      </c>
      <c r="AQ579" s="9">
        <v>19.008269391915299</v>
      </c>
      <c r="AR579" s="9" t="s">
        <v>169</v>
      </c>
      <c r="AS579" s="8" t="s">
        <v>169</v>
      </c>
      <c r="AT579" s="8" t="s">
        <v>169</v>
      </c>
      <c r="AU579" s="10" t="s">
        <v>169</v>
      </c>
      <c r="AV579" s="10">
        <v>0</v>
      </c>
      <c r="AW579" s="8"/>
      <c r="AX579" s="10" t="s">
        <v>169</v>
      </c>
      <c r="AY579" s="10"/>
      <c r="AZ579" s="10"/>
      <c r="BA579" s="10"/>
      <c r="BB579" s="8"/>
      <c r="BC579" s="8"/>
      <c r="BD579" s="8"/>
      <c r="BE579" s="8"/>
      <c r="BF579" s="12">
        <v>0.46</v>
      </c>
      <c r="BG579" s="13">
        <v>458.606523453215</v>
      </c>
      <c r="BH579" s="96" t="str">
        <f>+VLOOKUP(G579,Liste!$A$7:$G$50,3,FALSE)</f>
        <v>Pin Maritime</v>
      </c>
      <c r="BI579" s="96" t="str">
        <f>+VLOOKUP(H579,Liste!$B$7:$G$50,5,FALSE)</f>
        <v>GS Pineraies des plaines du Centre et du Nord Ouest</v>
      </c>
      <c r="BJ579" s="135">
        <f t="shared" ref="BJ579:BJ642" si="186">+AC579</f>
        <v>54</v>
      </c>
      <c r="BK579" s="135" t="str">
        <f t="shared" si="169"/>
        <v>Pin Maritime_F1_Classique_GS Pineraies des plaines du Centre et du Nord Ouest_54_</v>
      </c>
      <c r="BL579" s="322"/>
      <c r="BM579" s="13">
        <v>110.471176971088</v>
      </c>
      <c r="BN579" s="13">
        <v>569.07770042430298</v>
      </c>
      <c r="BO579" s="13" t="s">
        <v>169</v>
      </c>
      <c r="BP579" s="13">
        <v>298.10759386198703</v>
      </c>
      <c r="BQ579" s="13" t="s">
        <v>169</v>
      </c>
      <c r="BT579" s="298" t="str">
        <f>+VLOOKUP(G579,Liste!$A$7:$H$50,8,FALSE)</f>
        <v>Résineux</v>
      </c>
      <c r="BU579" s="298">
        <f t="shared" si="170"/>
        <v>0</v>
      </c>
      <c r="BV579" s="300">
        <f t="shared" si="171"/>
        <v>1</v>
      </c>
      <c r="BW579" s="321">
        <v>0</v>
      </c>
      <c r="BX579" s="298">
        <f t="shared" si="172"/>
        <v>0.43</v>
      </c>
      <c r="BY579">
        <f t="shared" si="173"/>
        <v>0</v>
      </c>
      <c r="BZ579" s="304">
        <f t="shared" si="174"/>
        <v>0</v>
      </c>
      <c r="CB579" s="299">
        <v>0.6</v>
      </c>
      <c r="CC579" s="299">
        <v>0.4</v>
      </c>
      <c r="CD579">
        <f t="shared" si="175"/>
        <v>0</v>
      </c>
      <c r="CE579">
        <f t="shared" si="176"/>
        <v>0</v>
      </c>
      <c r="CF579">
        <f t="shared" si="177"/>
        <v>0</v>
      </c>
      <c r="CG579">
        <f t="shared" si="178"/>
        <v>0</v>
      </c>
      <c r="CH579">
        <f t="shared" si="179"/>
        <v>0</v>
      </c>
      <c r="CI579">
        <f t="shared" si="180"/>
        <v>0</v>
      </c>
      <c r="CJ579">
        <f t="shared" si="181"/>
        <v>0</v>
      </c>
      <c r="CK579">
        <f t="shared" si="182"/>
        <v>0</v>
      </c>
      <c r="CL579">
        <f t="shared" si="183"/>
        <v>0</v>
      </c>
      <c r="CM579">
        <f t="shared" si="185"/>
        <v>0</v>
      </c>
      <c r="CN579">
        <f t="shared" si="184"/>
        <v>0</v>
      </c>
      <c r="CO579">
        <f t="shared" ref="CO579:CO642" si="187">+IF(BJ579=30,CN579/30,0)</f>
        <v>0</v>
      </c>
    </row>
    <row r="580" spans="1:93" s="12" customFormat="1" ht="14.65" customHeight="1" x14ac:dyDescent="0.25">
      <c r="A580" s="4">
        <v>2021</v>
      </c>
      <c r="B580" s="4"/>
      <c r="C580" s="4" t="s">
        <v>418</v>
      </c>
      <c r="D580" s="4" t="s">
        <v>65</v>
      </c>
      <c r="E580" s="4"/>
      <c r="F580" s="4" t="s">
        <v>90</v>
      </c>
      <c r="G580" s="5" t="s">
        <v>419</v>
      </c>
      <c r="H580" s="5" t="s">
        <v>21</v>
      </c>
      <c r="I580" s="5" t="s">
        <v>18</v>
      </c>
      <c r="J580" s="5" t="s">
        <v>9</v>
      </c>
      <c r="K580" s="5">
        <v>27.5</v>
      </c>
      <c r="L580" s="5">
        <v>55</v>
      </c>
      <c r="M580" s="5">
        <v>1250</v>
      </c>
      <c r="N580" s="5" t="s">
        <v>171</v>
      </c>
      <c r="O580" s="6" t="s">
        <v>81</v>
      </c>
      <c r="P580" s="6" t="s">
        <v>420</v>
      </c>
      <c r="Q580" s="6"/>
      <c r="R580" s="6"/>
      <c r="S580" s="6">
        <v>14</v>
      </c>
      <c r="T580" s="6">
        <v>11</v>
      </c>
      <c r="U580" s="6">
        <v>1251</v>
      </c>
      <c r="V580" s="6">
        <v>25.56</v>
      </c>
      <c r="W580" s="6">
        <v>13</v>
      </c>
      <c r="X580" s="6">
        <v>239</v>
      </c>
      <c r="Y580" s="6">
        <v>629</v>
      </c>
      <c r="Z580" s="6">
        <v>324</v>
      </c>
      <c r="AA580" s="6">
        <v>46</v>
      </c>
      <c r="AB580" s="6">
        <v>0</v>
      </c>
      <c r="AC580" s="7">
        <v>54</v>
      </c>
      <c r="AD580" s="7" t="s">
        <v>53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9">
        <v>0</v>
      </c>
      <c r="AK580" s="9">
        <v>0</v>
      </c>
      <c r="AL580" s="9">
        <v>0</v>
      </c>
      <c r="AM580" s="9">
        <v>88.082198758324694</v>
      </c>
      <c r="AN580" s="9">
        <v>1.6311518288578599</v>
      </c>
      <c r="AO580" s="9" t="s">
        <v>169</v>
      </c>
      <c r="AP580" s="9">
        <v>1026.4465471634201</v>
      </c>
      <c r="AQ580" s="9">
        <v>19.008269391915299</v>
      </c>
      <c r="AR580" s="9" t="s">
        <v>169</v>
      </c>
      <c r="AS580" s="8">
        <v>230.4</v>
      </c>
      <c r="AT580" s="8">
        <v>42.02</v>
      </c>
      <c r="AU580" s="10">
        <v>48.188326692438359</v>
      </c>
      <c r="AV580" s="10">
        <v>456.87740473739001</v>
      </c>
      <c r="AW580" s="8">
        <v>1</v>
      </c>
      <c r="AX580" s="10">
        <v>1.9829748469504773</v>
      </c>
      <c r="AY580" s="10"/>
      <c r="AZ580" s="10"/>
      <c r="BA580" s="10"/>
      <c r="BB580" s="8"/>
      <c r="BC580" s="8"/>
      <c r="BD580" s="8"/>
      <c r="BE580" s="8"/>
      <c r="BF580" s="12">
        <v>0.46</v>
      </c>
      <c r="BG580" s="13">
        <v>0</v>
      </c>
      <c r="BH580" s="96" t="str">
        <f>+VLOOKUP(G580,Liste!$A$7:$G$50,3,FALSE)</f>
        <v>Pin Maritime</v>
      </c>
      <c r="BI580" s="96" t="str">
        <f>+VLOOKUP(H580,Liste!$B$7:$G$50,5,FALSE)</f>
        <v>GS Pineraies des plaines du Centre et du Nord Ouest</v>
      </c>
      <c r="BJ580" s="135">
        <f t="shared" si="186"/>
        <v>54</v>
      </c>
      <c r="BK580" s="135" t="str">
        <f t="shared" ref="BK580:BK643" si="188">+_xlfn.CONCAT(BH580,"_",J580,"_",I580,"_",BI580,"_",BJ580,"_")</f>
        <v>Pin Maritime_F1_Classique_GS Pineraies des plaines du Centre et du Nord Ouest_54_</v>
      </c>
      <c r="BL580" s="322"/>
      <c r="BM580" s="13">
        <v>0</v>
      </c>
      <c r="BN580" s="13">
        <v>0</v>
      </c>
      <c r="BO580" s="13">
        <v>569.07770042430298</v>
      </c>
      <c r="BP580" s="13">
        <v>298.10759386198703</v>
      </c>
      <c r="BQ580" s="13" t="s">
        <v>169</v>
      </c>
      <c r="BT580" s="298" t="str">
        <f>+VLOOKUP(G580,Liste!$A$7:$H$50,8,FALSE)</f>
        <v>Résineux</v>
      </c>
      <c r="BU580" s="298">
        <f t="shared" ref="BU580:BU643" si="189">IF(BT580="Résineux",0%,100%)</f>
        <v>0</v>
      </c>
      <c r="BV580" s="300">
        <f t="shared" ref="BV580:BV643" si="190">+IF(BT580="Résineux",100%,0%)</f>
        <v>1</v>
      </c>
      <c r="BW580" s="321">
        <v>0</v>
      </c>
      <c r="BX580" s="298">
        <f t="shared" ref="BX580:BX643" si="191">+IF(BV580&lt;&gt;0,0.43,0.25)</f>
        <v>0.43</v>
      </c>
      <c r="BY580">
        <f t="shared" ref="BY580:BY643" si="192">+IF(BJ580&lt;=30,AV580*BX580,0)</f>
        <v>0</v>
      </c>
      <c r="BZ580" s="304">
        <f t="shared" ref="BZ580:BZ643" si="193">+IF(BJ580&gt;=31,0,BY580+BZ579)</f>
        <v>0</v>
      </c>
      <c r="CB580" s="299">
        <v>0.6</v>
      </c>
      <c r="CC580" s="299">
        <v>0.4</v>
      </c>
      <c r="CD580">
        <f t="shared" ref="CD580:CD643" si="194">+IF(BJ580&lt;=31,AV580*CA580*0.5,0)</f>
        <v>0</v>
      </c>
      <c r="CE580">
        <f t="shared" ref="CE580:CE643" si="195">IF(BJ580&lt;=31,AV580*CB580,0)</f>
        <v>0</v>
      </c>
      <c r="CF580">
        <f t="shared" ref="CF580:CF643" si="196">IF(BJ580&lt;=31,AV580*CC580,0)</f>
        <v>0</v>
      </c>
      <c r="CG580">
        <f t="shared" ref="CG580:CG643" si="197">CD580*44/12*0.475*BF580</f>
        <v>0</v>
      </c>
      <c r="CH580">
        <f t="shared" ref="CH580:CH643" si="198">CE580*44/12*0.475*BF580</f>
        <v>0</v>
      </c>
      <c r="CI580">
        <f t="shared" ref="CI580:CI643" si="199">CF580*44/12*0.475*BF580</f>
        <v>0</v>
      </c>
      <c r="CJ580">
        <f t="shared" ref="CJ580:CJ643" si="200">+IF(BJ580&lt;=31,CJ579*EXP(-$CJ$1)+CG579*(1-EXP(-$CJ$1))/$CJ$1,0)</f>
        <v>0</v>
      </c>
      <c r="CK580">
        <f t="shared" ref="CK580:CK643" si="201">+IF(BJ580&lt;=31,CK579*EXP(-$CK$1)+CH579*(1-EXP(-$CK$1))/$CK$1,0)</f>
        <v>0</v>
      </c>
      <c r="CL580">
        <f t="shared" ref="CL580:CL643" si="202">+IF(BJ580&lt;=31,CL579*EXP(-$CL$1)+CI579*(1-EXP(-$CL$1))/$CL$1,0)</f>
        <v>0</v>
      </c>
      <c r="CM580">
        <f t="shared" si="185"/>
        <v>0</v>
      </c>
      <c r="CN580">
        <f t="shared" ref="CN580:CN643" si="203">+IF(BJ580&lt;=31,CM580+CN579,0)</f>
        <v>0</v>
      </c>
      <c r="CO580">
        <f t="shared" si="187"/>
        <v>0</v>
      </c>
    </row>
    <row r="581" spans="1:93" s="12" customFormat="1" ht="14.65" customHeight="1" x14ac:dyDescent="0.25">
      <c r="A581" s="4">
        <v>2021</v>
      </c>
      <c r="B581" s="4"/>
      <c r="C581" s="4" t="s">
        <v>179</v>
      </c>
      <c r="D581" s="4" t="s">
        <v>65</v>
      </c>
      <c r="E581" s="4"/>
      <c r="F581" s="4" t="s">
        <v>90</v>
      </c>
      <c r="G581" s="5" t="s">
        <v>180</v>
      </c>
      <c r="H581" s="5" t="s">
        <v>21</v>
      </c>
      <c r="I581" s="5" t="s">
        <v>18</v>
      </c>
      <c r="J581" s="5" t="s">
        <v>9</v>
      </c>
      <c r="K581" s="5">
        <v>26</v>
      </c>
      <c r="L581" s="5" t="s">
        <v>190</v>
      </c>
      <c r="M581" s="5">
        <v>1600</v>
      </c>
      <c r="N581" s="5" t="s">
        <v>171</v>
      </c>
      <c r="O581" s="6" t="s">
        <v>81</v>
      </c>
      <c r="P581" s="6" t="s">
        <v>181</v>
      </c>
      <c r="Q581" s="6"/>
      <c r="R581" s="6"/>
      <c r="S581" s="6">
        <v>15</v>
      </c>
      <c r="T581" s="6">
        <v>8.23</v>
      </c>
      <c r="U581" s="6">
        <v>1600</v>
      </c>
      <c r="V581" s="6">
        <v>14.07</v>
      </c>
      <c r="W581" s="6">
        <v>109</v>
      </c>
      <c r="X581" s="6">
        <v>1278</v>
      </c>
      <c r="Y581" s="6">
        <v>213</v>
      </c>
      <c r="Z581" s="6">
        <v>0</v>
      </c>
      <c r="AA581" s="6">
        <v>0</v>
      </c>
      <c r="AB581" s="6">
        <v>0</v>
      </c>
      <c r="AC581" s="7">
        <v>15</v>
      </c>
      <c r="AD581" s="7" t="s">
        <v>52</v>
      </c>
      <c r="AE581" s="7">
        <v>8.23</v>
      </c>
      <c r="AF581" s="76">
        <v>1600.8</v>
      </c>
      <c r="AG581" s="7">
        <v>14.07</v>
      </c>
      <c r="AH581" s="7">
        <v>10.58</v>
      </c>
      <c r="AI581" s="7">
        <v>13.45</v>
      </c>
      <c r="AJ581" s="9">
        <v>48.557627563441002</v>
      </c>
      <c r="AK581" s="9">
        <v>48.7543787249652</v>
      </c>
      <c r="AL581" s="9">
        <v>77.854836773365804</v>
      </c>
      <c r="AM581" s="9">
        <v>14.0655950231983</v>
      </c>
      <c r="AN581" s="9">
        <v>0.93770633487988897</v>
      </c>
      <c r="AO581" s="9">
        <v>2.78846977675718</v>
      </c>
      <c r="AP581" s="9">
        <v>77.854836773365804</v>
      </c>
      <c r="AQ581" s="9">
        <v>5.1903224515577202</v>
      </c>
      <c r="AR581" s="9">
        <v>22.131463415994499</v>
      </c>
      <c r="AS581" s="8"/>
      <c r="AT581" s="8"/>
      <c r="AU581" s="10" t="s">
        <v>169</v>
      </c>
      <c r="AV581" s="10">
        <v>0</v>
      </c>
      <c r="AW581" s="8"/>
      <c r="AX581" s="8"/>
      <c r="AY581" s="8"/>
      <c r="AZ581" s="8"/>
      <c r="BA581" s="8"/>
      <c r="BB581" s="8"/>
      <c r="BC581" s="8"/>
      <c r="BD581" s="8"/>
      <c r="BE581" s="8"/>
      <c r="BF581" s="12">
        <v>0.45</v>
      </c>
      <c r="BG581" s="13">
        <v>61.063927379141099</v>
      </c>
      <c r="BH581" s="96" t="str">
        <f>+VLOOKUP(G581,Liste!$A$7:$G$50,3,FALSE)</f>
        <v>Pin Laricio</v>
      </c>
      <c r="BI581" s="96" t="str">
        <f>+VLOOKUP(H581,Liste!$B$7:$G$50,5,FALSE)</f>
        <v>GS Pineraies des plaines du Centre et du Nord Ouest</v>
      </c>
      <c r="BJ581" s="135">
        <f t="shared" si="186"/>
        <v>15</v>
      </c>
      <c r="BK581" s="135" t="str">
        <f t="shared" si="188"/>
        <v>Pin Laricio_F1_Classique_GS Pineraies des plaines du Centre et du Nord Ouest_15_</v>
      </c>
      <c r="BL581" s="322"/>
      <c r="BM581" s="13">
        <v>18.6002930017357</v>
      </c>
      <c r="BN581" s="13">
        <v>79.664220380876799</v>
      </c>
      <c r="BP581" s="13">
        <v>279.01190783056597</v>
      </c>
      <c r="BQ581" s="13">
        <v>21.805062299644302</v>
      </c>
      <c r="BT581" s="298" t="str">
        <f>+VLOOKUP(G581,Liste!$A$7:$H$50,8,FALSE)</f>
        <v>Résineux</v>
      </c>
      <c r="BU581" s="298">
        <f t="shared" si="189"/>
        <v>0</v>
      </c>
      <c r="BV581" s="300">
        <f t="shared" si="190"/>
        <v>1</v>
      </c>
      <c r="BW581" s="321">
        <v>0</v>
      </c>
      <c r="BX581" s="298">
        <f t="shared" si="191"/>
        <v>0.43</v>
      </c>
      <c r="BY581">
        <f t="shared" si="192"/>
        <v>0</v>
      </c>
      <c r="BZ581" s="304">
        <f t="shared" si="193"/>
        <v>0</v>
      </c>
      <c r="CB581" s="299">
        <v>0.6</v>
      </c>
      <c r="CC581" s="299">
        <v>0.4</v>
      </c>
      <c r="CD581">
        <f t="shared" si="194"/>
        <v>0</v>
      </c>
      <c r="CE581">
        <f t="shared" si="195"/>
        <v>0</v>
      </c>
      <c r="CF581">
        <f t="shared" si="196"/>
        <v>0</v>
      </c>
      <c r="CG581">
        <f t="shared" si="197"/>
        <v>0</v>
      </c>
      <c r="CH581">
        <f t="shared" si="198"/>
        <v>0</v>
      </c>
      <c r="CI581">
        <f t="shared" si="199"/>
        <v>0</v>
      </c>
      <c r="CJ581">
        <f t="shared" si="200"/>
        <v>0</v>
      </c>
      <c r="CK581">
        <f t="shared" si="201"/>
        <v>0</v>
      </c>
      <c r="CL581">
        <f t="shared" si="202"/>
        <v>0</v>
      </c>
      <c r="CM581">
        <f t="shared" ref="CM581:CM644" si="204">+CJ581+CK581+CL581</f>
        <v>0</v>
      </c>
      <c r="CN581">
        <f t="shared" si="203"/>
        <v>0</v>
      </c>
      <c r="CO581">
        <f t="shared" si="187"/>
        <v>0</v>
      </c>
    </row>
    <row r="582" spans="1:93" s="12" customFormat="1" ht="14.65" customHeight="1" x14ac:dyDescent="0.25">
      <c r="A582" s="4">
        <v>2021</v>
      </c>
      <c r="B582" s="4"/>
      <c r="C582" s="4" t="s">
        <v>179</v>
      </c>
      <c r="D582" s="4" t="s">
        <v>65</v>
      </c>
      <c r="E582" s="4"/>
      <c r="F582" s="4" t="s">
        <v>90</v>
      </c>
      <c r="G582" s="5" t="s">
        <v>180</v>
      </c>
      <c r="H582" s="5" t="s">
        <v>21</v>
      </c>
      <c r="I582" s="5" t="s">
        <v>18</v>
      </c>
      <c r="J582" s="5" t="s">
        <v>9</v>
      </c>
      <c r="K582" s="5">
        <v>26</v>
      </c>
      <c r="L582" s="5" t="s">
        <v>190</v>
      </c>
      <c r="M582" s="5">
        <v>1600</v>
      </c>
      <c r="N582" s="5" t="s">
        <v>171</v>
      </c>
      <c r="O582" s="6" t="s">
        <v>81</v>
      </c>
      <c r="P582" s="6" t="s">
        <v>181</v>
      </c>
      <c r="Q582" s="6"/>
      <c r="R582" s="6"/>
      <c r="S582" s="6">
        <v>15</v>
      </c>
      <c r="T582" s="6">
        <v>8.23</v>
      </c>
      <c r="U582" s="6">
        <v>1600</v>
      </c>
      <c r="V582" s="6">
        <v>14.07</v>
      </c>
      <c r="W582" s="6">
        <v>109</v>
      </c>
      <c r="X582" s="6">
        <v>1278</v>
      </c>
      <c r="Y582" s="6">
        <v>213</v>
      </c>
      <c r="Z582" s="6">
        <v>0</v>
      </c>
      <c r="AA582" s="6">
        <v>0</v>
      </c>
      <c r="AB582" s="6">
        <v>0</v>
      </c>
      <c r="AC582" s="7">
        <v>16</v>
      </c>
      <c r="AD582" s="7" t="s">
        <v>52</v>
      </c>
      <c r="AE582" s="7">
        <v>9.02</v>
      </c>
      <c r="AF582" s="76">
        <v>1599.4</v>
      </c>
      <c r="AG582" s="7">
        <v>16.87</v>
      </c>
      <c r="AH582" s="7">
        <v>11.59</v>
      </c>
      <c r="AI582" s="7">
        <v>14.69</v>
      </c>
      <c r="AJ582" s="9">
        <v>68.372902879678094</v>
      </c>
      <c r="AK582" s="9">
        <v>68.612851680602503</v>
      </c>
      <c r="AL582" s="9">
        <v>99.986300189360307</v>
      </c>
      <c r="AM582" s="9" t="s">
        <v>169</v>
      </c>
      <c r="AN582" s="9" t="s">
        <v>169</v>
      </c>
      <c r="AO582" s="9" t="s">
        <v>169</v>
      </c>
      <c r="AP582" s="9" t="s">
        <v>169</v>
      </c>
      <c r="AQ582" s="9" t="s">
        <v>169</v>
      </c>
      <c r="AR582" s="9" t="s">
        <v>169</v>
      </c>
      <c r="AS582" s="8" t="s">
        <v>169</v>
      </c>
      <c r="AT582" s="8" t="s">
        <v>169</v>
      </c>
      <c r="AU582" s="10" t="s">
        <v>169</v>
      </c>
      <c r="AV582" s="10">
        <v>0</v>
      </c>
      <c r="AW582" s="8"/>
      <c r="AX582" s="8"/>
      <c r="AY582" s="8"/>
      <c r="AZ582" s="8"/>
      <c r="BA582" s="8"/>
      <c r="BB582" s="8"/>
      <c r="BC582" s="8"/>
      <c r="BD582" s="8"/>
      <c r="BE582" s="8"/>
      <c r="BF582" s="12">
        <v>0.45</v>
      </c>
      <c r="BG582" s="13">
        <v>78.4223103754655</v>
      </c>
      <c r="BH582" s="96" t="str">
        <f>+VLOOKUP(G582,Liste!$A$7:$G$50,3,FALSE)</f>
        <v>Pin Laricio</v>
      </c>
      <c r="BI582" s="96" t="str">
        <f>+VLOOKUP(H582,Liste!$B$7:$G$50,5,FALSE)</f>
        <v>GS Pineraies des plaines du Centre et du Nord Ouest</v>
      </c>
      <c r="BJ582" s="135">
        <f t="shared" si="186"/>
        <v>16</v>
      </c>
      <c r="BK582" s="135" t="str">
        <f t="shared" si="188"/>
        <v>Pin Laricio_F1_Classique_GS Pineraies des plaines du Centre et du Nord Ouest_16_</v>
      </c>
      <c r="BL582" s="322"/>
      <c r="BM582" s="13">
        <v>23.046972305055601</v>
      </c>
      <c r="BN582" s="13">
        <v>101.469282680521</v>
      </c>
      <c r="BO582" s="12" t="s">
        <v>169</v>
      </c>
      <c r="BP582" s="13">
        <v>279.01190783056597</v>
      </c>
      <c r="BQ582" s="13" t="s">
        <v>169</v>
      </c>
      <c r="BT582" s="298" t="str">
        <f>+VLOOKUP(G582,Liste!$A$7:$H$50,8,FALSE)</f>
        <v>Résineux</v>
      </c>
      <c r="BU582" s="298">
        <f t="shared" si="189"/>
        <v>0</v>
      </c>
      <c r="BV582" s="300">
        <f t="shared" si="190"/>
        <v>1</v>
      </c>
      <c r="BW582" s="321">
        <v>0</v>
      </c>
      <c r="BX582" s="298">
        <f t="shared" si="191"/>
        <v>0.43</v>
      </c>
      <c r="BY582">
        <f t="shared" si="192"/>
        <v>0</v>
      </c>
      <c r="BZ582" s="304">
        <f t="shared" si="193"/>
        <v>0</v>
      </c>
      <c r="CB582" s="299">
        <v>0.6</v>
      </c>
      <c r="CC582" s="299">
        <v>0.4</v>
      </c>
      <c r="CD582">
        <f t="shared" si="194"/>
        <v>0</v>
      </c>
      <c r="CE582">
        <f t="shared" si="195"/>
        <v>0</v>
      </c>
      <c r="CF582">
        <f t="shared" si="196"/>
        <v>0</v>
      </c>
      <c r="CG582">
        <f t="shared" si="197"/>
        <v>0</v>
      </c>
      <c r="CH582">
        <f t="shared" si="198"/>
        <v>0</v>
      </c>
      <c r="CI582">
        <f t="shared" si="199"/>
        <v>0</v>
      </c>
      <c r="CJ582">
        <f t="shared" si="200"/>
        <v>0</v>
      </c>
      <c r="CK582">
        <f t="shared" si="201"/>
        <v>0</v>
      </c>
      <c r="CL582">
        <f t="shared" si="202"/>
        <v>0</v>
      </c>
      <c r="CM582">
        <f t="shared" si="204"/>
        <v>0</v>
      </c>
      <c r="CN582">
        <f t="shared" si="203"/>
        <v>0</v>
      </c>
      <c r="CO582">
        <f t="shared" si="187"/>
        <v>0</v>
      </c>
    </row>
    <row r="583" spans="1:93" s="12" customFormat="1" ht="14.65" customHeight="1" x14ac:dyDescent="0.25">
      <c r="A583" s="4">
        <v>2021</v>
      </c>
      <c r="B583" s="4"/>
      <c r="C583" s="4" t="s">
        <v>179</v>
      </c>
      <c r="D583" s="4" t="s">
        <v>65</v>
      </c>
      <c r="E583" s="4"/>
      <c r="F583" s="4" t="s">
        <v>90</v>
      </c>
      <c r="G583" s="5" t="s">
        <v>180</v>
      </c>
      <c r="H583" s="5" t="s">
        <v>21</v>
      </c>
      <c r="I583" s="5" t="s">
        <v>18</v>
      </c>
      <c r="J583" s="5" t="s">
        <v>9</v>
      </c>
      <c r="K583" s="5">
        <v>26</v>
      </c>
      <c r="L583" s="5" t="s">
        <v>190</v>
      </c>
      <c r="M583" s="5">
        <v>1600</v>
      </c>
      <c r="N583" s="5" t="s">
        <v>171</v>
      </c>
      <c r="O583" s="6" t="s">
        <v>81</v>
      </c>
      <c r="P583" s="6" t="s">
        <v>181</v>
      </c>
      <c r="Q583" s="6"/>
      <c r="R583" s="6"/>
      <c r="S583" s="6">
        <v>15</v>
      </c>
      <c r="T583" s="6">
        <v>8.23</v>
      </c>
      <c r="U583" s="6">
        <v>1600</v>
      </c>
      <c r="V583" s="6">
        <v>14.07</v>
      </c>
      <c r="W583" s="6">
        <v>109</v>
      </c>
      <c r="X583" s="6">
        <v>1278</v>
      </c>
      <c r="Y583" s="6">
        <v>213</v>
      </c>
      <c r="Z583" s="6">
        <v>0</v>
      </c>
      <c r="AA583" s="6">
        <v>0</v>
      </c>
      <c r="AB583" s="6">
        <v>0</v>
      </c>
      <c r="AC583" s="7">
        <v>17</v>
      </c>
      <c r="AD583" s="7" t="s">
        <v>52</v>
      </c>
      <c r="AE583" s="7">
        <v>9.8000000000000007</v>
      </c>
      <c r="AF583" s="76">
        <v>1598.4</v>
      </c>
      <c r="AG583" s="7">
        <v>19.7</v>
      </c>
      <c r="AH583" s="7">
        <v>12.53</v>
      </c>
      <c r="AI583" s="7">
        <v>15.85</v>
      </c>
      <c r="AJ583" s="9">
        <v>88.188178195915199</v>
      </c>
      <c r="AK583" s="9">
        <v>88.4713246362397</v>
      </c>
      <c r="AL583" s="9">
        <v>122.11776360535499</v>
      </c>
      <c r="AM583" s="9" t="s">
        <v>169</v>
      </c>
      <c r="AN583" s="9" t="s">
        <v>169</v>
      </c>
      <c r="AO583" s="9" t="s">
        <v>169</v>
      </c>
      <c r="AP583" s="9" t="s">
        <v>169</v>
      </c>
      <c r="AQ583" s="9" t="s">
        <v>169</v>
      </c>
      <c r="AR583" s="9" t="s">
        <v>169</v>
      </c>
      <c r="AS583" s="8" t="s">
        <v>169</v>
      </c>
      <c r="AT583" s="8" t="s">
        <v>169</v>
      </c>
      <c r="AU583" s="10" t="s">
        <v>169</v>
      </c>
      <c r="AV583" s="10">
        <v>0</v>
      </c>
      <c r="AW583" s="8"/>
      <c r="AX583" s="8"/>
      <c r="AY583" s="8"/>
      <c r="AZ583" s="8"/>
      <c r="BA583" s="8"/>
      <c r="BB583" s="8"/>
      <c r="BC583" s="8"/>
      <c r="BD583" s="8"/>
      <c r="BE583" s="8"/>
      <c r="BF583" s="12">
        <v>0.45</v>
      </c>
      <c r="BG583" s="13">
        <v>95.780693371789994</v>
      </c>
      <c r="BH583" s="96" t="str">
        <f>+VLOOKUP(G583,Liste!$A$7:$G$50,3,FALSE)</f>
        <v>Pin Laricio</v>
      </c>
      <c r="BI583" s="96" t="str">
        <f>+VLOOKUP(H583,Liste!$B$7:$G$50,5,FALSE)</f>
        <v>GS Pineraies des plaines du Centre et du Nord Ouest</v>
      </c>
      <c r="BJ583" s="135">
        <f t="shared" si="186"/>
        <v>17</v>
      </c>
      <c r="BK583" s="135" t="str">
        <f t="shared" si="188"/>
        <v>Pin Laricio_F1_Classique_GS Pineraies des plaines du Centre et du Nord Ouest_17_</v>
      </c>
      <c r="BL583" s="322"/>
      <c r="BM583" s="13">
        <v>27.493651608375501</v>
      </c>
      <c r="BN583" s="13">
        <v>123.274344980165</v>
      </c>
      <c r="BO583" s="12" t="s">
        <v>169</v>
      </c>
      <c r="BP583" s="13">
        <v>279.01190783056597</v>
      </c>
      <c r="BQ583" s="13" t="s">
        <v>169</v>
      </c>
      <c r="BT583" s="298" t="str">
        <f>+VLOOKUP(G583,Liste!$A$7:$H$50,8,FALSE)</f>
        <v>Résineux</v>
      </c>
      <c r="BU583" s="298">
        <f t="shared" si="189"/>
        <v>0</v>
      </c>
      <c r="BV583" s="300">
        <f t="shared" si="190"/>
        <v>1</v>
      </c>
      <c r="BW583" s="321">
        <v>0</v>
      </c>
      <c r="BX583" s="298">
        <f t="shared" si="191"/>
        <v>0.43</v>
      </c>
      <c r="BY583">
        <f t="shared" si="192"/>
        <v>0</v>
      </c>
      <c r="BZ583" s="304">
        <f t="shared" si="193"/>
        <v>0</v>
      </c>
      <c r="CB583" s="299">
        <v>0.6</v>
      </c>
      <c r="CC583" s="299">
        <v>0.4</v>
      </c>
      <c r="CD583">
        <f t="shared" si="194"/>
        <v>0</v>
      </c>
      <c r="CE583">
        <f t="shared" si="195"/>
        <v>0</v>
      </c>
      <c r="CF583">
        <f t="shared" si="196"/>
        <v>0</v>
      </c>
      <c r="CG583">
        <f t="shared" si="197"/>
        <v>0</v>
      </c>
      <c r="CH583">
        <f t="shared" si="198"/>
        <v>0</v>
      </c>
      <c r="CI583">
        <f t="shared" si="199"/>
        <v>0</v>
      </c>
      <c r="CJ583">
        <f t="shared" si="200"/>
        <v>0</v>
      </c>
      <c r="CK583">
        <f t="shared" si="201"/>
        <v>0</v>
      </c>
      <c r="CL583">
        <f t="shared" si="202"/>
        <v>0</v>
      </c>
      <c r="CM583">
        <f t="shared" si="204"/>
        <v>0</v>
      </c>
      <c r="CN583">
        <f t="shared" si="203"/>
        <v>0</v>
      </c>
      <c r="CO583">
        <f t="shared" si="187"/>
        <v>0</v>
      </c>
    </row>
    <row r="584" spans="1:93" s="12" customFormat="1" ht="14.65" customHeight="1" x14ac:dyDescent="0.25">
      <c r="A584" s="4">
        <v>2021</v>
      </c>
      <c r="B584" s="4"/>
      <c r="C584" s="4" t="s">
        <v>179</v>
      </c>
      <c r="D584" s="4" t="s">
        <v>65</v>
      </c>
      <c r="E584" s="4"/>
      <c r="F584" s="4" t="s">
        <v>90</v>
      </c>
      <c r="G584" s="5" t="s">
        <v>180</v>
      </c>
      <c r="H584" s="5" t="s">
        <v>21</v>
      </c>
      <c r="I584" s="5" t="s">
        <v>18</v>
      </c>
      <c r="J584" s="5" t="s">
        <v>9</v>
      </c>
      <c r="K584" s="5">
        <v>26</v>
      </c>
      <c r="L584" s="5" t="s">
        <v>190</v>
      </c>
      <c r="M584" s="5">
        <v>1600</v>
      </c>
      <c r="N584" s="5" t="s">
        <v>171</v>
      </c>
      <c r="O584" s="6" t="s">
        <v>81</v>
      </c>
      <c r="P584" s="6" t="s">
        <v>181</v>
      </c>
      <c r="Q584" s="6"/>
      <c r="R584" s="6"/>
      <c r="S584" s="6">
        <v>15</v>
      </c>
      <c r="T584" s="6">
        <v>8.23</v>
      </c>
      <c r="U584" s="6">
        <v>1600</v>
      </c>
      <c r="V584" s="6">
        <v>14.07</v>
      </c>
      <c r="W584" s="6">
        <v>109</v>
      </c>
      <c r="X584" s="6">
        <v>1278</v>
      </c>
      <c r="Y584" s="6">
        <v>213</v>
      </c>
      <c r="Z584" s="6">
        <v>0</v>
      </c>
      <c r="AA584" s="6">
        <v>0</v>
      </c>
      <c r="AB584" s="6">
        <v>0</v>
      </c>
      <c r="AC584" s="7">
        <v>18</v>
      </c>
      <c r="AD584" s="7" t="s">
        <v>52</v>
      </c>
      <c r="AE584" s="7">
        <v>10.56</v>
      </c>
      <c r="AF584" s="76">
        <v>1597</v>
      </c>
      <c r="AG584" s="7">
        <v>22.5</v>
      </c>
      <c r="AH584" s="7">
        <v>13.39</v>
      </c>
      <c r="AI584" s="7">
        <v>16.93</v>
      </c>
      <c r="AJ584" s="9">
        <v>108.00345351215201</v>
      </c>
      <c r="AK584" s="9">
        <v>108.329797591877</v>
      </c>
      <c r="AL584" s="9">
        <v>144.24922702134899</v>
      </c>
      <c r="AM584" s="9" t="s">
        <v>169</v>
      </c>
      <c r="AN584" s="9" t="s">
        <v>169</v>
      </c>
      <c r="AO584" s="9" t="s">
        <v>169</v>
      </c>
      <c r="AP584" s="9" t="s">
        <v>169</v>
      </c>
      <c r="AQ584" s="9" t="s">
        <v>169</v>
      </c>
      <c r="AR584" s="9" t="s">
        <v>169</v>
      </c>
      <c r="AS584" s="8" t="s">
        <v>169</v>
      </c>
      <c r="AT584" s="8" t="s">
        <v>169</v>
      </c>
      <c r="AU584" s="10" t="s">
        <v>169</v>
      </c>
      <c r="AV584" s="10">
        <v>0</v>
      </c>
      <c r="AW584" s="8"/>
      <c r="AX584" s="8"/>
      <c r="AY584" s="8"/>
      <c r="AZ584" s="8"/>
      <c r="BA584" s="8"/>
      <c r="BB584" s="8"/>
      <c r="BC584" s="8"/>
      <c r="BD584" s="8"/>
      <c r="BE584" s="8"/>
      <c r="BF584" s="12">
        <v>0.45</v>
      </c>
      <c r="BG584" s="13">
        <v>113.139076368114</v>
      </c>
      <c r="BH584" s="96" t="str">
        <f>+VLOOKUP(G584,Liste!$A$7:$G$50,3,FALSE)</f>
        <v>Pin Laricio</v>
      </c>
      <c r="BI584" s="96" t="str">
        <f>+VLOOKUP(H584,Liste!$B$7:$G$50,5,FALSE)</f>
        <v>GS Pineraies des plaines du Centre et du Nord Ouest</v>
      </c>
      <c r="BJ584" s="135">
        <f t="shared" si="186"/>
        <v>18</v>
      </c>
      <c r="BK584" s="135" t="str">
        <f t="shared" si="188"/>
        <v>Pin Laricio_F1_Classique_GS Pineraies des plaines du Centre et du Nord Ouest_18_</v>
      </c>
      <c r="BL584" s="322"/>
      <c r="BM584" s="13">
        <v>31.940330911695298</v>
      </c>
      <c r="BN584" s="13">
        <v>145.07940727981</v>
      </c>
      <c r="BO584" s="12" t="s">
        <v>169</v>
      </c>
      <c r="BP584" s="13">
        <v>279.01190783056597</v>
      </c>
      <c r="BQ584" s="13" t="s">
        <v>169</v>
      </c>
      <c r="BT584" s="298" t="str">
        <f>+VLOOKUP(G584,Liste!$A$7:$H$50,8,FALSE)</f>
        <v>Résineux</v>
      </c>
      <c r="BU584" s="298">
        <f t="shared" si="189"/>
        <v>0</v>
      </c>
      <c r="BV584" s="300">
        <f t="shared" si="190"/>
        <v>1</v>
      </c>
      <c r="BW584" s="321">
        <v>0</v>
      </c>
      <c r="BX584" s="298">
        <f t="shared" si="191"/>
        <v>0.43</v>
      </c>
      <c r="BY584">
        <f t="shared" si="192"/>
        <v>0</v>
      </c>
      <c r="BZ584" s="304">
        <f t="shared" si="193"/>
        <v>0</v>
      </c>
      <c r="CB584" s="299">
        <v>0.6</v>
      </c>
      <c r="CC584" s="299">
        <v>0.4</v>
      </c>
      <c r="CD584">
        <f t="shared" si="194"/>
        <v>0</v>
      </c>
      <c r="CE584">
        <f t="shared" si="195"/>
        <v>0</v>
      </c>
      <c r="CF584">
        <f t="shared" si="196"/>
        <v>0</v>
      </c>
      <c r="CG584">
        <f t="shared" si="197"/>
        <v>0</v>
      </c>
      <c r="CH584">
        <f t="shared" si="198"/>
        <v>0</v>
      </c>
      <c r="CI584">
        <f t="shared" si="199"/>
        <v>0</v>
      </c>
      <c r="CJ584">
        <f t="shared" si="200"/>
        <v>0</v>
      </c>
      <c r="CK584">
        <f t="shared" si="201"/>
        <v>0</v>
      </c>
      <c r="CL584">
        <f t="shared" si="202"/>
        <v>0</v>
      </c>
      <c r="CM584">
        <f t="shared" si="204"/>
        <v>0</v>
      </c>
      <c r="CN584">
        <f t="shared" si="203"/>
        <v>0</v>
      </c>
      <c r="CO584">
        <f t="shared" si="187"/>
        <v>0</v>
      </c>
    </row>
    <row r="585" spans="1:93" s="12" customFormat="1" ht="14.65" customHeight="1" x14ac:dyDescent="0.25">
      <c r="A585" s="4">
        <v>2021</v>
      </c>
      <c r="B585" s="4"/>
      <c r="C585" s="4" t="s">
        <v>179</v>
      </c>
      <c r="D585" s="4" t="s">
        <v>65</v>
      </c>
      <c r="E585" s="4"/>
      <c r="F585" s="4" t="s">
        <v>90</v>
      </c>
      <c r="G585" s="5" t="s">
        <v>180</v>
      </c>
      <c r="H585" s="5" t="s">
        <v>21</v>
      </c>
      <c r="I585" s="5" t="s">
        <v>18</v>
      </c>
      <c r="J585" s="5" t="s">
        <v>9</v>
      </c>
      <c r="K585" s="5">
        <v>26</v>
      </c>
      <c r="L585" s="5" t="s">
        <v>190</v>
      </c>
      <c r="M585" s="5">
        <v>1600</v>
      </c>
      <c r="N585" s="5" t="s">
        <v>171</v>
      </c>
      <c r="O585" s="6" t="s">
        <v>81</v>
      </c>
      <c r="P585" s="6" t="s">
        <v>181</v>
      </c>
      <c r="Q585" s="6"/>
      <c r="R585" s="6"/>
      <c r="S585" s="6">
        <v>15</v>
      </c>
      <c r="T585" s="6">
        <v>8.23</v>
      </c>
      <c r="U585" s="6">
        <v>1600</v>
      </c>
      <c r="V585" s="6">
        <v>14.07</v>
      </c>
      <c r="W585" s="6">
        <v>109</v>
      </c>
      <c r="X585" s="6">
        <v>1278</v>
      </c>
      <c r="Y585" s="6">
        <v>213</v>
      </c>
      <c r="Z585" s="6">
        <v>0</v>
      </c>
      <c r="AA585" s="6">
        <v>0</v>
      </c>
      <c r="AB585" s="6">
        <v>0</v>
      </c>
      <c r="AC585" s="7">
        <v>19</v>
      </c>
      <c r="AD585" s="7" t="s">
        <v>52</v>
      </c>
      <c r="AE585" s="7">
        <v>11.3</v>
      </c>
      <c r="AF585" s="76">
        <v>1594.4</v>
      </c>
      <c r="AG585" s="7">
        <v>25.22</v>
      </c>
      <c r="AH585" s="7">
        <v>14.19</v>
      </c>
      <c r="AI585" s="7">
        <v>17.920000000000002</v>
      </c>
      <c r="AJ585" s="9">
        <v>127.818728828389</v>
      </c>
      <c r="AK585" s="9">
        <v>128.18827054751401</v>
      </c>
      <c r="AL585" s="9">
        <v>166.38069043734399</v>
      </c>
      <c r="AM585" s="9">
        <v>25.219474130227098</v>
      </c>
      <c r="AN585" s="9">
        <v>1.32734074369616</v>
      </c>
      <c r="AO585" s="9">
        <v>2.0237384463613899</v>
      </c>
      <c r="AP585" s="9">
        <v>166.38069043734399</v>
      </c>
      <c r="AQ585" s="9">
        <v>8.7568784440707308</v>
      </c>
      <c r="AR585" s="9">
        <v>20.410214595247801</v>
      </c>
      <c r="AS585" s="8" t="s">
        <v>169</v>
      </c>
      <c r="AT585" s="8" t="s">
        <v>169</v>
      </c>
      <c r="AU585" s="10" t="s">
        <v>169</v>
      </c>
      <c r="AV585" s="10">
        <v>0</v>
      </c>
      <c r="AW585" s="8"/>
      <c r="AX585" s="8"/>
      <c r="AY585" s="8"/>
      <c r="AZ585" s="8"/>
      <c r="BA585" s="8"/>
      <c r="BB585" s="8"/>
      <c r="BC585" s="8"/>
      <c r="BD585" s="8"/>
      <c r="BE585" s="8"/>
      <c r="BF585" s="12">
        <v>0.45</v>
      </c>
      <c r="BG585" s="13">
        <v>130.49745936443901</v>
      </c>
      <c r="BH585" s="96" t="str">
        <f>+VLOOKUP(G585,Liste!$A$7:$G$50,3,FALSE)</f>
        <v>Pin Laricio</v>
      </c>
      <c r="BI585" s="96" t="str">
        <f>+VLOOKUP(H585,Liste!$B$7:$G$50,5,FALSE)</f>
        <v>GS Pineraies des plaines du Centre et du Nord Ouest</v>
      </c>
      <c r="BJ585" s="135">
        <f t="shared" si="186"/>
        <v>19</v>
      </c>
      <c r="BK585" s="135" t="str">
        <f t="shared" si="188"/>
        <v>Pin Laricio_F1_Classique_GS Pineraies des plaines du Centre et du Nord Ouest_19_</v>
      </c>
      <c r="BL585" s="322"/>
      <c r="BM585" s="13">
        <v>36.387010215015202</v>
      </c>
      <c r="BN585" s="13">
        <v>166.88446957945399</v>
      </c>
      <c r="BO585" s="12" t="s">
        <v>169</v>
      </c>
      <c r="BP585" s="13">
        <v>279.01190783056597</v>
      </c>
      <c r="BQ585" s="13">
        <v>19.836180521927002</v>
      </c>
      <c r="BT585" s="298" t="str">
        <f>+VLOOKUP(G585,Liste!$A$7:$H$50,8,FALSE)</f>
        <v>Résineux</v>
      </c>
      <c r="BU585" s="298">
        <f t="shared" si="189"/>
        <v>0</v>
      </c>
      <c r="BV585" s="300">
        <f t="shared" si="190"/>
        <v>1</v>
      </c>
      <c r="BW585" s="321">
        <v>0</v>
      </c>
      <c r="BX585" s="298">
        <f t="shared" si="191"/>
        <v>0.43</v>
      </c>
      <c r="BY585">
        <f t="shared" si="192"/>
        <v>0</v>
      </c>
      <c r="BZ585" s="304">
        <f t="shared" si="193"/>
        <v>0</v>
      </c>
      <c r="CB585" s="299">
        <v>0.6</v>
      </c>
      <c r="CC585" s="299">
        <v>0.4</v>
      </c>
      <c r="CD585">
        <f t="shared" si="194"/>
        <v>0</v>
      </c>
      <c r="CE585">
        <f t="shared" si="195"/>
        <v>0</v>
      </c>
      <c r="CF585">
        <f t="shared" si="196"/>
        <v>0</v>
      </c>
      <c r="CG585">
        <f t="shared" si="197"/>
        <v>0</v>
      </c>
      <c r="CH585">
        <f t="shared" si="198"/>
        <v>0</v>
      </c>
      <c r="CI585">
        <f t="shared" si="199"/>
        <v>0</v>
      </c>
      <c r="CJ585">
        <f t="shared" si="200"/>
        <v>0</v>
      </c>
      <c r="CK585">
        <f t="shared" si="201"/>
        <v>0</v>
      </c>
      <c r="CL585">
        <f t="shared" si="202"/>
        <v>0</v>
      </c>
      <c r="CM585">
        <f t="shared" si="204"/>
        <v>0</v>
      </c>
      <c r="CN585">
        <f t="shared" si="203"/>
        <v>0</v>
      </c>
      <c r="CO585">
        <f t="shared" si="187"/>
        <v>0</v>
      </c>
    </row>
    <row r="586" spans="1:93" s="12" customFormat="1" ht="14.65" customHeight="1" x14ac:dyDescent="0.25">
      <c r="A586" s="4">
        <v>2021</v>
      </c>
      <c r="B586" s="4"/>
      <c r="C586" s="4" t="s">
        <v>179</v>
      </c>
      <c r="D586" s="4" t="s">
        <v>65</v>
      </c>
      <c r="E586" s="4"/>
      <c r="F586" s="4" t="s">
        <v>90</v>
      </c>
      <c r="G586" s="5" t="s">
        <v>180</v>
      </c>
      <c r="H586" s="5" t="s">
        <v>21</v>
      </c>
      <c r="I586" s="5" t="s">
        <v>18</v>
      </c>
      <c r="J586" s="5" t="s">
        <v>9</v>
      </c>
      <c r="K586" s="5">
        <v>26</v>
      </c>
      <c r="L586" s="5" t="s">
        <v>190</v>
      </c>
      <c r="M586" s="5">
        <v>1600</v>
      </c>
      <c r="N586" s="5" t="s">
        <v>171</v>
      </c>
      <c r="O586" s="6" t="s">
        <v>81</v>
      </c>
      <c r="P586" s="6" t="s">
        <v>181</v>
      </c>
      <c r="Q586" s="6"/>
      <c r="R586" s="6"/>
      <c r="S586" s="6">
        <v>15</v>
      </c>
      <c r="T586" s="6">
        <v>8.23</v>
      </c>
      <c r="U586" s="6">
        <v>1600</v>
      </c>
      <c r="V586" s="6">
        <v>14.07</v>
      </c>
      <c r="W586" s="6">
        <v>109</v>
      </c>
      <c r="X586" s="6">
        <v>1278</v>
      </c>
      <c r="Y586" s="6">
        <v>213</v>
      </c>
      <c r="Z586" s="6">
        <v>0</v>
      </c>
      <c r="AA586" s="6">
        <v>0</v>
      </c>
      <c r="AB586" s="6">
        <v>0</v>
      </c>
      <c r="AC586" s="7">
        <v>19</v>
      </c>
      <c r="AD586" s="7" t="s">
        <v>53</v>
      </c>
      <c r="AE586" s="7">
        <v>11.3</v>
      </c>
      <c r="AF586" s="76">
        <v>1000.2</v>
      </c>
      <c r="AG586" s="7">
        <v>16.05</v>
      </c>
      <c r="AH586" s="7">
        <v>14.29</v>
      </c>
      <c r="AI586" s="7">
        <v>17.920000000000002</v>
      </c>
      <c r="AJ586" s="9">
        <v>81.519581123689093</v>
      </c>
      <c r="AK586" s="9">
        <v>81.747656675597597</v>
      </c>
      <c r="AL586" s="9">
        <v>105.877112071748</v>
      </c>
      <c r="AM586" s="9">
        <v>25.219474130227098</v>
      </c>
      <c r="AN586" s="9">
        <v>1.32734074369616</v>
      </c>
      <c r="AO586" s="9">
        <v>2.0237384463613899</v>
      </c>
      <c r="AP586" s="9">
        <v>166.38069043734399</v>
      </c>
      <c r="AQ586" s="9">
        <v>8.7568784440707308</v>
      </c>
      <c r="AR586" s="9">
        <v>20.410214595247801</v>
      </c>
      <c r="AS586" s="73">
        <v>594.20000000000005</v>
      </c>
      <c r="AT586" s="8">
        <v>9.1699999999999982</v>
      </c>
      <c r="AU586" s="10">
        <v>14.017591621869519</v>
      </c>
      <c r="AV586" s="10">
        <v>46.299147704699905</v>
      </c>
      <c r="AW586" s="10">
        <v>0.97617620769689639</v>
      </c>
      <c r="AX586" s="10">
        <v>7.7918457934533655E-2</v>
      </c>
      <c r="AY586" s="10"/>
      <c r="AZ586" s="10"/>
      <c r="BA586" s="10"/>
      <c r="BB586" s="8"/>
      <c r="BC586" s="8"/>
      <c r="BD586" s="8"/>
      <c r="BE586" s="8"/>
      <c r="BF586" s="12">
        <v>0.45</v>
      </c>
      <c r="BG586" s="13">
        <v>83.042654131851805</v>
      </c>
      <c r="BH586" s="96" t="str">
        <f>+VLOOKUP(G586,Liste!$A$7:$G$50,3,FALSE)</f>
        <v>Pin Laricio</v>
      </c>
      <c r="BI586" s="96" t="str">
        <f>+VLOOKUP(H586,Liste!$B$7:$G$50,5,FALSE)</f>
        <v>GS Pineraies des plaines du Centre et du Nord Ouest</v>
      </c>
      <c r="BJ586" s="135">
        <f t="shared" si="186"/>
        <v>19</v>
      </c>
      <c r="BK586" s="135" t="str">
        <f t="shared" si="188"/>
        <v>Pin Laricio_F1_Classique_GS Pineraies des plaines du Centre et du Nord Ouest_19_</v>
      </c>
      <c r="BL586" s="322"/>
      <c r="BM586" s="13">
        <v>24.405907145277901</v>
      </c>
      <c r="BN586" s="13">
        <v>107.44856127713</v>
      </c>
      <c r="BO586" s="13">
        <v>59.435908302323995</v>
      </c>
      <c r="BP586" s="13">
        <v>279.01190783056597</v>
      </c>
      <c r="BQ586" s="13">
        <v>19.836180521927002</v>
      </c>
      <c r="BT586" s="298" t="str">
        <f>+VLOOKUP(G586,Liste!$A$7:$H$50,8,FALSE)</f>
        <v>Résineux</v>
      </c>
      <c r="BU586" s="298">
        <f t="shared" si="189"/>
        <v>0</v>
      </c>
      <c r="BV586" s="300">
        <f t="shared" si="190"/>
        <v>1</v>
      </c>
      <c r="BW586" s="321">
        <v>0</v>
      </c>
      <c r="BX586" s="298">
        <f t="shared" si="191"/>
        <v>0.43</v>
      </c>
      <c r="BY586">
        <f t="shared" si="192"/>
        <v>19.908633513020959</v>
      </c>
      <c r="BZ586" s="304">
        <f t="shared" si="193"/>
        <v>19.908633513020959</v>
      </c>
      <c r="CB586" s="299">
        <v>0.6</v>
      </c>
      <c r="CC586" s="299">
        <v>0.4</v>
      </c>
      <c r="CD586">
        <f t="shared" si="194"/>
        <v>0</v>
      </c>
      <c r="CE586">
        <f t="shared" si="195"/>
        <v>27.779488622819944</v>
      </c>
      <c r="CF586">
        <f t="shared" si="196"/>
        <v>18.519659081879961</v>
      </c>
      <c r="CG586">
        <f t="shared" si="197"/>
        <v>0</v>
      </c>
      <c r="CH586">
        <f t="shared" si="198"/>
        <v>21.772174208135134</v>
      </c>
      <c r="CI586">
        <f t="shared" si="199"/>
        <v>14.514782805423419</v>
      </c>
      <c r="CJ586">
        <f t="shared" si="200"/>
        <v>0</v>
      </c>
      <c r="CK586">
        <f t="shared" si="201"/>
        <v>0</v>
      </c>
      <c r="CL586">
        <f t="shared" si="202"/>
        <v>0</v>
      </c>
      <c r="CM586">
        <f t="shared" si="204"/>
        <v>0</v>
      </c>
      <c r="CN586">
        <f t="shared" si="203"/>
        <v>0</v>
      </c>
      <c r="CO586">
        <f t="shared" si="187"/>
        <v>0</v>
      </c>
    </row>
    <row r="587" spans="1:93" s="12" customFormat="1" ht="14.65" customHeight="1" x14ac:dyDescent="0.25">
      <c r="A587" s="4">
        <v>2021</v>
      </c>
      <c r="B587" s="4"/>
      <c r="C587" s="4" t="s">
        <v>179</v>
      </c>
      <c r="D587" s="4" t="s">
        <v>65</v>
      </c>
      <c r="E587" s="4"/>
      <c r="F587" s="4" t="s">
        <v>90</v>
      </c>
      <c r="G587" s="5" t="s">
        <v>180</v>
      </c>
      <c r="H587" s="5" t="s">
        <v>21</v>
      </c>
      <c r="I587" s="5" t="s">
        <v>18</v>
      </c>
      <c r="J587" s="5" t="s">
        <v>9</v>
      </c>
      <c r="K587" s="5">
        <v>26</v>
      </c>
      <c r="L587" s="5" t="s">
        <v>190</v>
      </c>
      <c r="M587" s="5">
        <v>1600</v>
      </c>
      <c r="N587" s="5" t="s">
        <v>171</v>
      </c>
      <c r="O587" s="6" t="s">
        <v>81</v>
      </c>
      <c r="P587" s="6" t="s">
        <v>181</v>
      </c>
      <c r="Q587" s="6"/>
      <c r="R587" s="6"/>
      <c r="S587" s="6">
        <v>15</v>
      </c>
      <c r="T587" s="6">
        <v>8.23</v>
      </c>
      <c r="U587" s="6">
        <v>1600</v>
      </c>
      <c r="V587" s="6">
        <v>14.07</v>
      </c>
      <c r="W587" s="6">
        <v>109</v>
      </c>
      <c r="X587" s="6">
        <v>1278</v>
      </c>
      <c r="Y587" s="6">
        <v>213</v>
      </c>
      <c r="Z587" s="6">
        <v>0</v>
      </c>
      <c r="AA587" s="6">
        <v>0</v>
      </c>
      <c r="AB587" s="6">
        <v>0</v>
      </c>
      <c r="AC587" s="7">
        <v>20</v>
      </c>
      <c r="AD587" s="7" t="s">
        <v>52</v>
      </c>
      <c r="AE587" s="7">
        <v>12.03</v>
      </c>
      <c r="AF587" s="76">
        <v>998.8</v>
      </c>
      <c r="AG587" s="7">
        <v>17.72</v>
      </c>
      <c r="AH587" s="7">
        <v>15.03</v>
      </c>
      <c r="AI587" s="7">
        <v>18.34</v>
      </c>
      <c r="AJ587" s="9">
        <v>101.19960606836599</v>
      </c>
      <c r="AK587" s="9">
        <v>101.43807691991</v>
      </c>
      <c r="AL587" s="9">
        <v>126.28732666699599</v>
      </c>
      <c r="AM587" s="9" t="s">
        <v>169</v>
      </c>
      <c r="AN587" s="9" t="s">
        <v>169</v>
      </c>
      <c r="AO587" s="9" t="s">
        <v>169</v>
      </c>
      <c r="AP587" s="9" t="s">
        <v>169</v>
      </c>
      <c r="AQ587" s="9" t="s">
        <v>169</v>
      </c>
      <c r="AR587" s="9" t="s">
        <v>169</v>
      </c>
      <c r="AS587" s="8" t="s">
        <v>169</v>
      </c>
      <c r="AT587" s="8" t="s">
        <v>169</v>
      </c>
      <c r="AU587" s="10" t="s">
        <v>169</v>
      </c>
      <c r="AV587" s="10">
        <v>0</v>
      </c>
      <c r="AW587" s="8"/>
      <c r="AX587" s="10" t="s">
        <v>169</v>
      </c>
      <c r="AY587" s="10"/>
      <c r="AZ587" s="10"/>
      <c r="BA587" s="10"/>
      <c r="BB587" s="8"/>
      <c r="BC587" s="8"/>
      <c r="BD587" s="8"/>
      <c r="BE587" s="8"/>
      <c r="BF587" s="12">
        <v>0.45</v>
      </c>
      <c r="BG587" s="13">
        <v>99.051009084350596</v>
      </c>
      <c r="BH587" s="96" t="str">
        <f>+VLOOKUP(G587,Liste!$A$7:$G$50,3,FALSE)</f>
        <v>Pin Laricio</v>
      </c>
      <c r="BI587" s="96" t="str">
        <f>+VLOOKUP(H587,Liste!$B$7:$G$50,5,FALSE)</f>
        <v>GS Pineraies des plaines du Centre et du Nord Ouest</v>
      </c>
      <c r="BJ587" s="135">
        <f t="shared" si="186"/>
        <v>20</v>
      </c>
      <c r="BK587" s="135" t="str">
        <f t="shared" si="188"/>
        <v>Pin Laricio_F1_Classique_GS Pineraies des plaines du Centre et du Nord Ouest_20_</v>
      </c>
      <c r="BL587" s="322"/>
      <c r="BM587" s="13">
        <v>28.386446735309299</v>
      </c>
      <c r="BN587" s="13">
        <v>127.43745581966</v>
      </c>
      <c r="BO587" s="13" t="s">
        <v>169</v>
      </c>
      <c r="BP587" s="13">
        <v>279.01190783056597</v>
      </c>
      <c r="BQ587" s="13" t="s">
        <v>169</v>
      </c>
      <c r="BT587" s="298" t="str">
        <f>+VLOOKUP(G587,Liste!$A$7:$H$50,8,FALSE)</f>
        <v>Résineux</v>
      </c>
      <c r="BU587" s="298">
        <f t="shared" si="189"/>
        <v>0</v>
      </c>
      <c r="BV587" s="300">
        <f t="shared" si="190"/>
        <v>1</v>
      </c>
      <c r="BW587" s="321">
        <v>0</v>
      </c>
      <c r="BX587" s="298">
        <f t="shared" si="191"/>
        <v>0.43</v>
      </c>
      <c r="BY587">
        <f t="shared" si="192"/>
        <v>0</v>
      </c>
      <c r="BZ587" s="304">
        <f t="shared" si="193"/>
        <v>19.908633513020959</v>
      </c>
      <c r="CB587" s="299">
        <v>0.6</v>
      </c>
      <c r="CC587" s="299">
        <v>0.4</v>
      </c>
      <c r="CD587">
        <f t="shared" si="194"/>
        <v>0</v>
      </c>
      <c r="CE587">
        <f t="shared" si="195"/>
        <v>0</v>
      </c>
      <c r="CF587">
        <f t="shared" si="196"/>
        <v>0</v>
      </c>
      <c r="CG587">
        <f t="shared" si="197"/>
        <v>0</v>
      </c>
      <c r="CH587">
        <f t="shared" si="198"/>
        <v>0</v>
      </c>
      <c r="CI587">
        <f t="shared" si="199"/>
        <v>0</v>
      </c>
      <c r="CJ587">
        <f t="shared" si="200"/>
        <v>0</v>
      </c>
      <c r="CK587">
        <f t="shared" si="201"/>
        <v>21.473118024853864</v>
      </c>
      <c r="CL587">
        <f t="shared" si="202"/>
        <v>12.266605348735037</v>
      </c>
      <c r="CM587">
        <f t="shared" si="204"/>
        <v>33.739723373588902</v>
      </c>
      <c r="CN587">
        <f t="shared" si="203"/>
        <v>33.739723373588902</v>
      </c>
      <c r="CO587">
        <f t="shared" si="187"/>
        <v>0</v>
      </c>
    </row>
    <row r="588" spans="1:93" s="12" customFormat="1" ht="14.65" customHeight="1" x14ac:dyDescent="0.25">
      <c r="A588" s="4">
        <v>2021</v>
      </c>
      <c r="B588" s="4"/>
      <c r="C588" s="4" t="s">
        <v>179</v>
      </c>
      <c r="D588" s="4" t="s">
        <v>65</v>
      </c>
      <c r="E588" s="4"/>
      <c r="F588" s="4" t="s">
        <v>90</v>
      </c>
      <c r="G588" s="5" t="s">
        <v>180</v>
      </c>
      <c r="H588" s="5" t="s">
        <v>21</v>
      </c>
      <c r="I588" s="5" t="s">
        <v>18</v>
      </c>
      <c r="J588" s="5" t="s">
        <v>9</v>
      </c>
      <c r="K588" s="5">
        <v>26</v>
      </c>
      <c r="L588" s="5" t="s">
        <v>190</v>
      </c>
      <c r="M588" s="5">
        <v>1600</v>
      </c>
      <c r="N588" s="5" t="s">
        <v>171</v>
      </c>
      <c r="O588" s="6" t="s">
        <v>81</v>
      </c>
      <c r="P588" s="6" t="s">
        <v>181</v>
      </c>
      <c r="Q588" s="6"/>
      <c r="R588" s="6"/>
      <c r="S588" s="6">
        <v>15</v>
      </c>
      <c r="T588" s="6">
        <v>8.23</v>
      </c>
      <c r="U588" s="6">
        <v>1600</v>
      </c>
      <c r="V588" s="6">
        <v>14.07</v>
      </c>
      <c r="W588" s="6">
        <v>109</v>
      </c>
      <c r="X588" s="6">
        <v>1278</v>
      </c>
      <c r="Y588" s="6">
        <v>213</v>
      </c>
      <c r="Z588" s="6">
        <v>0</v>
      </c>
      <c r="AA588" s="6">
        <v>0</v>
      </c>
      <c r="AB588" s="6">
        <v>0</v>
      </c>
      <c r="AC588" s="7">
        <v>21</v>
      </c>
      <c r="AD588" s="7" t="s">
        <v>52</v>
      </c>
      <c r="AE588" s="7">
        <v>12.75</v>
      </c>
      <c r="AF588" s="76">
        <v>998</v>
      </c>
      <c r="AG588" s="7">
        <v>19.850000000000001</v>
      </c>
      <c r="AH588" s="7">
        <v>15.92</v>
      </c>
      <c r="AI588" s="7">
        <v>19.39</v>
      </c>
      <c r="AJ588" s="9">
        <v>120.879631013042</v>
      </c>
      <c r="AK588" s="9">
        <v>121.128497164222</v>
      </c>
      <c r="AL588" s="9">
        <v>146.69754126224299</v>
      </c>
      <c r="AM588" s="9" t="s">
        <v>169</v>
      </c>
      <c r="AN588" s="9" t="s">
        <v>169</v>
      </c>
      <c r="AO588" s="9" t="s">
        <v>169</v>
      </c>
      <c r="AP588" s="9" t="s">
        <v>169</v>
      </c>
      <c r="AQ588" s="9" t="s">
        <v>169</v>
      </c>
      <c r="AR588" s="9" t="s">
        <v>169</v>
      </c>
      <c r="AS588" s="8" t="s">
        <v>169</v>
      </c>
      <c r="AT588" s="8" t="s">
        <v>169</v>
      </c>
      <c r="AU588" s="10" t="s">
        <v>169</v>
      </c>
      <c r="AV588" s="10">
        <v>0</v>
      </c>
      <c r="AW588" s="8"/>
      <c r="AX588" s="10" t="s">
        <v>169</v>
      </c>
      <c r="AY588" s="10"/>
      <c r="AZ588" s="10"/>
      <c r="BA588" s="10"/>
      <c r="BB588" s="8"/>
      <c r="BC588" s="8"/>
      <c r="BD588" s="8"/>
      <c r="BE588" s="8"/>
      <c r="BF588" s="12">
        <v>0.45</v>
      </c>
      <c r="BG588" s="13">
        <v>115.059364036849</v>
      </c>
      <c r="BH588" s="96" t="str">
        <f>+VLOOKUP(G588,Liste!$A$7:$G$50,3,FALSE)</f>
        <v>Pin Laricio</v>
      </c>
      <c r="BI588" s="96" t="str">
        <f>+VLOOKUP(H588,Liste!$B$7:$G$50,5,FALSE)</f>
        <v>GS Pineraies des plaines du Centre et du Nord Ouest</v>
      </c>
      <c r="BJ588" s="135">
        <f t="shared" si="186"/>
        <v>21</v>
      </c>
      <c r="BK588" s="135" t="str">
        <f t="shared" si="188"/>
        <v>Pin Laricio_F1_Classique_GS Pineraies des plaines du Centre et du Nord Ouest_21_</v>
      </c>
      <c r="BL588" s="322"/>
      <c r="BM588" s="13">
        <v>32.366986325340797</v>
      </c>
      <c r="BN588" s="13">
        <v>147.42635036218999</v>
      </c>
      <c r="BO588" s="13" t="s">
        <v>169</v>
      </c>
      <c r="BP588" s="13">
        <v>279.01190783056597</v>
      </c>
      <c r="BQ588" s="13" t="s">
        <v>169</v>
      </c>
      <c r="BT588" s="298" t="str">
        <f>+VLOOKUP(G588,Liste!$A$7:$H$50,8,FALSE)</f>
        <v>Résineux</v>
      </c>
      <c r="BU588" s="298">
        <f t="shared" si="189"/>
        <v>0</v>
      </c>
      <c r="BV588" s="300">
        <f t="shared" si="190"/>
        <v>1</v>
      </c>
      <c r="BW588" s="321">
        <v>0</v>
      </c>
      <c r="BX588" s="298">
        <f t="shared" si="191"/>
        <v>0.43</v>
      </c>
      <c r="BY588">
        <f t="shared" si="192"/>
        <v>0</v>
      </c>
      <c r="BZ588" s="304">
        <f t="shared" si="193"/>
        <v>19.908633513020959</v>
      </c>
      <c r="CB588" s="299">
        <v>0.6</v>
      </c>
      <c r="CC588" s="299">
        <v>0.4</v>
      </c>
      <c r="CD588">
        <f t="shared" si="194"/>
        <v>0</v>
      </c>
      <c r="CE588">
        <f t="shared" si="195"/>
        <v>0</v>
      </c>
      <c r="CF588">
        <f t="shared" si="196"/>
        <v>0</v>
      </c>
      <c r="CG588">
        <f t="shared" si="197"/>
        <v>0</v>
      </c>
      <c r="CH588">
        <f t="shared" si="198"/>
        <v>0</v>
      </c>
      <c r="CI588">
        <f t="shared" si="199"/>
        <v>0</v>
      </c>
      <c r="CJ588">
        <f t="shared" si="200"/>
        <v>0</v>
      </c>
      <c r="CK588">
        <f t="shared" si="201"/>
        <v>20.885934483242035</v>
      </c>
      <c r="CL588">
        <f t="shared" si="202"/>
        <v>8.6737998242297198</v>
      </c>
      <c r="CM588">
        <f t="shared" si="204"/>
        <v>29.559734307471757</v>
      </c>
      <c r="CN588">
        <f t="shared" si="203"/>
        <v>63.299457681060659</v>
      </c>
      <c r="CO588">
        <f t="shared" si="187"/>
        <v>0</v>
      </c>
    </row>
    <row r="589" spans="1:93" s="12" customFormat="1" ht="14.65" customHeight="1" x14ac:dyDescent="0.25">
      <c r="A589" s="4">
        <v>2021</v>
      </c>
      <c r="B589" s="4"/>
      <c r="C589" s="4" t="s">
        <v>179</v>
      </c>
      <c r="D589" s="4" t="s">
        <v>65</v>
      </c>
      <c r="E589" s="4"/>
      <c r="F589" s="4" t="s">
        <v>90</v>
      </c>
      <c r="G589" s="5" t="s">
        <v>180</v>
      </c>
      <c r="H589" s="5" t="s">
        <v>21</v>
      </c>
      <c r="I589" s="5" t="s">
        <v>18</v>
      </c>
      <c r="J589" s="5" t="s">
        <v>9</v>
      </c>
      <c r="K589" s="5">
        <v>26</v>
      </c>
      <c r="L589" s="5" t="s">
        <v>190</v>
      </c>
      <c r="M589" s="5">
        <v>1600</v>
      </c>
      <c r="N589" s="5" t="s">
        <v>171</v>
      </c>
      <c r="O589" s="6" t="s">
        <v>81</v>
      </c>
      <c r="P589" s="6" t="s">
        <v>181</v>
      </c>
      <c r="Q589" s="6"/>
      <c r="R589" s="6"/>
      <c r="S589" s="6">
        <v>15</v>
      </c>
      <c r="T589" s="6">
        <v>8.23</v>
      </c>
      <c r="U589" s="6">
        <v>1600</v>
      </c>
      <c r="V589" s="6">
        <v>14.07</v>
      </c>
      <c r="W589" s="6">
        <v>109</v>
      </c>
      <c r="X589" s="6">
        <v>1278</v>
      </c>
      <c r="Y589" s="6">
        <v>213</v>
      </c>
      <c r="Z589" s="6">
        <v>0</v>
      </c>
      <c r="AA589" s="6">
        <v>0</v>
      </c>
      <c r="AB589" s="6">
        <v>0</v>
      </c>
      <c r="AC589" s="7">
        <v>22</v>
      </c>
      <c r="AD589" s="7" t="s">
        <v>52</v>
      </c>
      <c r="AE589" s="7">
        <v>13.45</v>
      </c>
      <c r="AF589" s="76">
        <v>997</v>
      </c>
      <c r="AG589" s="7">
        <v>21.98</v>
      </c>
      <c r="AH589" s="7">
        <v>16.760000000000002</v>
      </c>
      <c r="AI589" s="7">
        <v>20.399999999999999</v>
      </c>
      <c r="AJ589" s="9">
        <v>140.559655957719</v>
      </c>
      <c r="AK589" s="9">
        <v>140.81891740853399</v>
      </c>
      <c r="AL589" s="9">
        <v>167.10775585749099</v>
      </c>
      <c r="AM589" s="9" t="s">
        <v>169</v>
      </c>
      <c r="AN589" s="9" t="s">
        <v>169</v>
      </c>
      <c r="AO589" s="9" t="s">
        <v>169</v>
      </c>
      <c r="AP589" s="9" t="s">
        <v>169</v>
      </c>
      <c r="AQ589" s="9" t="s">
        <v>169</v>
      </c>
      <c r="AR589" s="9" t="s">
        <v>169</v>
      </c>
      <c r="AS589" s="8" t="s">
        <v>169</v>
      </c>
      <c r="AT589" s="8" t="s">
        <v>169</v>
      </c>
      <c r="AU589" s="10" t="s">
        <v>169</v>
      </c>
      <c r="AV589" s="10">
        <v>0</v>
      </c>
      <c r="AW589" s="8"/>
      <c r="AX589" s="10" t="s">
        <v>169</v>
      </c>
      <c r="AY589" s="10"/>
      <c r="AZ589" s="10"/>
      <c r="BA589" s="10"/>
      <c r="BB589" s="8"/>
      <c r="BC589" s="8"/>
      <c r="BD589" s="8"/>
      <c r="BE589" s="8"/>
      <c r="BF589" s="12">
        <v>0.45</v>
      </c>
      <c r="BG589" s="13">
        <v>131.06771898934801</v>
      </c>
      <c r="BH589" s="96" t="str">
        <f>+VLOOKUP(G589,Liste!$A$7:$G$50,3,FALSE)</f>
        <v>Pin Laricio</v>
      </c>
      <c r="BI589" s="96" t="str">
        <f>+VLOOKUP(H589,Liste!$B$7:$G$50,5,FALSE)</f>
        <v>GS Pineraies des plaines du Centre et du Nord Ouest</v>
      </c>
      <c r="BJ589" s="135">
        <f t="shared" si="186"/>
        <v>22</v>
      </c>
      <c r="BK589" s="135" t="str">
        <f t="shared" si="188"/>
        <v>Pin Laricio_F1_Classique_GS Pineraies des plaines du Centre et du Nord Ouest_22_</v>
      </c>
      <c r="BL589" s="322"/>
      <c r="BM589" s="13">
        <v>36.347525915372302</v>
      </c>
      <c r="BN589" s="13">
        <v>167.41524490472099</v>
      </c>
      <c r="BO589" s="13" t="s">
        <v>169</v>
      </c>
      <c r="BP589" s="13">
        <v>279.01190783056597</v>
      </c>
      <c r="BQ589" s="13" t="s">
        <v>169</v>
      </c>
      <c r="BT589" s="298" t="str">
        <f>+VLOOKUP(G589,Liste!$A$7:$H$50,8,FALSE)</f>
        <v>Résineux</v>
      </c>
      <c r="BU589" s="298">
        <f t="shared" si="189"/>
        <v>0</v>
      </c>
      <c r="BV589" s="300">
        <f t="shared" si="190"/>
        <v>1</v>
      </c>
      <c r="BW589" s="321">
        <v>0</v>
      </c>
      <c r="BX589" s="298">
        <f t="shared" si="191"/>
        <v>0.43</v>
      </c>
      <c r="BY589">
        <f t="shared" si="192"/>
        <v>0</v>
      </c>
      <c r="BZ589" s="304">
        <f t="shared" si="193"/>
        <v>19.908633513020959</v>
      </c>
      <c r="CB589" s="299">
        <v>0.6</v>
      </c>
      <c r="CC589" s="299">
        <v>0.4</v>
      </c>
      <c r="CD589">
        <f t="shared" si="194"/>
        <v>0</v>
      </c>
      <c r="CE589">
        <f t="shared" si="195"/>
        <v>0</v>
      </c>
      <c r="CF589">
        <f t="shared" si="196"/>
        <v>0</v>
      </c>
      <c r="CG589">
        <f t="shared" si="197"/>
        <v>0</v>
      </c>
      <c r="CH589">
        <f t="shared" si="198"/>
        <v>0</v>
      </c>
      <c r="CI589">
        <f t="shared" si="199"/>
        <v>0</v>
      </c>
      <c r="CJ589">
        <f t="shared" si="200"/>
        <v>0</v>
      </c>
      <c r="CK589">
        <f t="shared" si="201"/>
        <v>20.314807506454223</v>
      </c>
      <c r="CL589">
        <f t="shared" si="202"/>
        <v>6.1333026743675196</v>
      </c>
      <c r="CM589">
        <f t="shared" si="204"/>
        <v>26.448110180821743</v>
      </c>
      <c r="CN589">
        <f t="shared" si="203"/>
        <v>89.747567861882402</v>
      </c>
      <c r="CO589">
        <f t="shared" si="187"/>
        <v>0</v>
      </c>
    </row>
    <row r="590" spans="1:93" s="12" customFormat="1" ht="14.65" customHeight="1" x14ac:dyDescent="0.25">
      <c r="A590" s="4">
        <v>2021</v>
      </c>
      <c r="B590" s="4"/>
      <c r="C590" s="4" t="s">
        <v>179</v>
      </c>
      <c r="D590" s="4" t="s">
        <v>65</v>
      </c>
      <c r="E590" s="4"/>
      <c r="F590" s="4" t="s">
        <v>90</v>
      </c>
      <c r="G590" s="5" t="s">
        <v>180</v>
      </c>
      <c r="H590" s="5" t="s">
        <v>21</v>
      </c>
      <c r="I590" s="5" t="s">
        <v>18</v>
      </c>
      <c r="J590" s="5" t="s">
        <v>9</v>
      </c>
      <c r="K590" s="5">
        <v>26</v>
      </c>
      <c r="L590" s="5" t="s">
        <v>190</v>
      </c>
      <c r="M590" s="5">
        <v>1600</v>
      </c>
      <c r="N590" s="5" t="s">
        <v>171</v>
      </c>
      <c r="O590" s="6" t="s">
        <v>81</v>
      </c>
      <c r="P590" s="6" t="s">
        <v>181</v>
      </c>
      <c r="Q590" s="6"/>
      <c r="R590" s="6"/>
      <c r="S590" s="6">
        <v>15</v>
      </c>
      <c r="T590" s="6">
        <v>8.23</v>
      </c>
      <c r="U590" s="6">
        <v>1600</v>
      </c>
      <c r="V590" s="6">
        <v>14.07</v>
      </c>
      <c r="W590" s="6">
        <v>109</v>
      </c>
      <c r="X590" s="6">
        <v>1278</v>
      </c>
      <c r="Y590" s="6">
        <v>213</v>
      </c>
      <c r="Z590" s="6">
        <v>0</v>
      </c>
      <c r="AA590" s="6">
        <v>0</v>
      </c>
      <c r="AB590" s="6">
        <v>0</v>
      </c>
      <c r="AC590" s="7">
        <v>23</v>
      </c>
      <c r="AD590" s="7" t="s">
        <v>52</v>
      </c>
      <c r="AE590" s="7">
        <v>14.13</v>
      </c>
      <c r="AF590" s="76">
        <v>996.4</v>
      </c>
      <c r="AG590" s="7">
        <v>24.1</v>
      </c>
      <c r="AH590" s="7">
        <v>17.55</v>
      </c>
      <c r="AI590" s="7">
        <v>21.35</v>
      </c>
      <c r="AJ590" s="9">
        <v>160.23968090239501</v>
      </c>
      <c r="AK590" s="9">
        <v>160.509337652846</v>
      </c>
      <c r="AL590" s="9">
        <v>187.51797045273901</v>
      </c>
      <c r="AM590" s="9" t="s">
        <v>169</v>
      </c>
      <c r="AN590" s="9" t="s">
        <v>169</v>
      </c>
      <c r="AO590" s="9" t="s">
        <v>169</v>
      </c>
      <c r="AP590" s="9" t="s">
        <v>169</v>
      </c>
      <c r="AQ590" s="9" t="s">
        <v>169</v>
      </c>
      <c r="AR590" s="9" t="s">
        <v>169</v>
      </c>
      <c r="AS590" s="8" t="s">
        <v>169</v>
      </c>
      <c r="AT590" s="8" t="s">
        <v>169</v>
      </c>
      <c r="AU590" s="10" t="s">
        <v>169</v>
      </c>
      <c r="AV590" s="10">
        <v>0</v>
      </c>
      <c r="AW590" s="8"/>
      <c r="AX590" s="10" t="s">
        <v>169</v>
      </c>
      <c r="AY590" s="10"/>
      <c r="AZ590" s="10"/>
      <c r="BA590" s="10"/>
      <c r="BB590" s="8"/>
      <c r="BC590" s="8"/>
      <c r="BD590" s="8"/>
      <c r="BE590" s="8"/>
      <c r="BF590" s="12">
        <v>0.45</v>
      </c>
      <c r="BG590" s="13">
        <v>147.076073941847</v>
      </c>
      <c r="BH590" s="96" t="str">
        <f>+VLOOKUP(G590,Liste!$A$7:$G$50,3,FALSE)</f>
        <v>Pin Laricio</v>
      </c>
      <c r="BI590" s="96" t="str">
        <f>+VLOOKUP(H590,Liste!$B$7:$G$50,5,FALSE)</f>
        <v>GS Pineraies des plaines du Centre et du Nord Ouest</v>
      </c>
      <c r="BJ590" s="135">
        <f t="shared" si="186"/>
        <v>23</v>
      </c>
      <c r="BK590" s="135" t="str">
        <f t="shared" si="188"/>
        <v>Pin Laricio_F1_Classique_GS Pineraies des plaines du Centre et du Nord Ouest_23_</v>
      </c>
      <c r="BL590" s="322"/>
      <c r="BM590" s="13">
        <v>40.3280655054037</v>
      </c>
      <c r="BN590" s="13">
        <v>187.404139447251</v>
      </c>
      <c r="BO590" s="13" t="s">
        <v>169</v>
      </c>
      <c r="BP590" s="13">
        <v>279.01190783056597</v>
      </c>
      <c r="BQ590" s="13" t="s">
        <v>169</v>
      </c>
      <c r="BT590" s="298" t="str">
        <f>+VLOOKUP(G590,Liste!$A$7:$H$50,8,FALSE)</f>
        <v>Résineux</v>
      </c>
      <c r="BU590" s="298">
        <f t="shared" si="189"/>
        <v>0</v>
      </c>
      <c r="BV590" s="300">
        <f t="shared" si="190"/>
        <v>1</v>
      </c>
      <c r="BW590" s="321">
        <v>0</v>
      </c>
      <c r="BX590" s="298">
        <f t="shared" si="191"/>
        <v>0.43</v>
      </c>
      <c r="BY590">
        <f t="shared" si="192"/>
        <v>0</v>
      </c>
      <c r="BZ590" s="304">
        <f t="shared" si="193"/>
        <v>19.908633513020959</v>
      </c>
      <c r="CB590" s="299">
        <v>0.6</v>
      </c>
      <c r="CC590" s="299">
        <v>0.4</v>
      </c>
      <c r="CD590">
        <f t="shared" si="194"/>
        <v>0</v>
      </c>
      <c r="CE590">
        <f t="shared" si="195"/>
        <v>0</v>
      </c>
      <c r="CF590">
        <f t="shared" si="196"/>
        <v>0</v>
      </c>
      <c r="CG590">
        <f t="shared" si="197"/>
        <v>0</v>
      </c>
      <c r="CH590">
        <f t="shared" si="198"/>
        <v>0</v>
      </c>
      <c r="CI590">
        <f t="shared" si="199"/>
        <v>0</v>
      </c>
      <c r="CJ590">
        <f t="shared" si="200"/>
        <v>0</v>
      </c>
      <c r="CK590">
        <f t="shared" si="201"/>
        <v>19.759298026880934</v>
      </c>
      <c r="CL590">
        <f t="shared" si="202"/>
        <v>4.3368999121148608</v>
      </c>
      <c r="CM590">
        <f t="shared" si="204"/>
        <v>24.096197938995793</v>
      </c>
      <c r="CN590">
        <f t="shared" si="203"/>
        <v>113.8437658008782</v>
      </c>
      <c r="CO590">
        <f t="shared" si="187"/>
        <v>0</v>
      </c>
    </row>
    <row r="591" spans="1:93" s="12" customFormat="1" ht="14.65" customHeight="1" x14ac:dyDescent="0.25">
      <c r="A591" s="4">
        <v>2021</v>
      </c>
      <c r="B591" s="4"/>
      <c r="C591" s="4" t="s">
        <v>179</v>
      </c>
      <c r="D591" s="4" t="s">
        <v>65</v>
      </c>
      <c r="E591" s="4"/>
      <c r="F591" s="4" t="s">
        <v>90</v>
      </c>
      <c r="G591" s="5" t="s">
        <v>180</v>
      </c>
      <c r="H591" s="5" t="s">
        <v>21</v>
      </c>
      <c r="I591" s="5" t="s">
        <v>18</v>
      </c>
      <c r="J591" s="5" t="s">
        <v>9</v>
      </c>
      <c r="K591" s="5">
        <v>26</v>
      </c>
      <c r="L591" s="5" t="s">
        <v>190</v>
      </c>
      <c r="M591" s="5">
        <v>1600</v>
      </c>
      <c r="N591" s="5" t="s">
        <v>171</v>
      </c>
      <c r="O591" s="6" t="s">
        <v>81</v>
      </c>
      <c r="P591" s="6" t="s">
        <v>181</v>
      </c>
      <c r="Q591" s="6"/>
      <c r="R591" s="6"/>
      <c r="S591" s="6">
        <v>15</v>
      </c>
      <c r="T591" s="6">
        <v>8.23</v>
      </c>
      <c r="U591" s="6">
        <v>1600</v>
      </c>
      <c r="V591" s="6">
        <v>14.07</v>
      </c>
      <c r="W591" s="6">
        <v>109</v>
      </c>
      <c r="X591" s="6">
        <v>1278</v>
      </c>
      <c r="Y591" s="6">
        <v>213</v>
      </c>
      <c r="Z591" s="6">
        <v>0</v>
      </c>
      <c r="AA591" s="6">
        <v>0</v>
      </c>
      <c r="AB591" s="6">
        <v>0</v>
      </c>
      <c r="AC591" s="7">
        <v>24</v>
      </c>
      <c r="AD591" s="7" t="s">
        <v>52</v>
      </c>
      <c r="AE591" s="7">
        <v>14.79</v>
      </c>
      <c r="AF591" s="76">
        <v>995</v>
      </c>
      <c r="AG591" s="7">
        <v>26.17</v>
      </c>
      <c r="AH591" s="7">
        <v>18.3</v>
      </c>
      <c r="AI591" s="7">
        <v>22.26</v>
      </c>
      <c r="AJ591" s="9">
        <v>179.91970584707201</v>
      </c>
      <c r="AK591" s="9">
        <v>180.199757897159</v>
      </c>
      <c r="AL591" s="9">
        <v>207.928185047987</v>
      </c>
      <c r="AM591" s="9">
        <v>35.338166362034002</v>
      </c>
      <c r="AN591" s="9">
        <v>1.47242359841808</v>
      </c>
      <c r="AO591" s="9">
        <v>1.7283310357989199</v>
      </c>
      <c r="AP591" s="9">
        <v>268.43176341358298</v>
      </c>
      <c r="AQ591" s="9">
        <v>11.1846568088993</v>
      </c>
      <c r="AR591" s="9">
        <v>20.825809516455902</v>
      </c>
      <c r="AS591" s="8" t="s">
        <v>169</v>
      </c>
      <c r="AT591" s="8" t="s">
        <v>169</v>
      </c>
      <c r="AU591" s="10" t="s">
        <v>169</v>
      </c>
      <c r="AV591" s="10">
        <v>0</v>
      </c>
      <c r="AW591" s="8"/>
      <c r="AX591" s="10" t="s">
        <v>169</v>
      </c>
      <c r="AY591" s="10"/>
      <c r="AZ591" s="10"/>
      <c r="BA591" s="10"/>
      <c r="BB591" s="8"/>
      <c r="BC591" s="8"/>
      <c r="BD591" s="8"/>
      <c r="BE591" s="8"/>
      <c r="BF591" s="12">
        <v>0.45</v>
      </c>
      <c r="BG591" s="13">
        <v>163.08442889434599</v>
      </c>
      <c r="BH591" s="96" t="str">
        <f>+VLOOKUP(G591,Liste!$A$7:$G$50,3,FALSE)</f>
        <v>Pin Laricio</v>
      </c>
      <c r="BI591" s="96" t="str">
        <f>+VLOOKUP(H591,Liste!$B$7:$G$50,5,FALSE)</f>
        <v>GS Pineraies des plaines du Centre et du Nord Ouest</v>
      </c>
      <c r="BJ591" s="135">
        <f t="shared" si="186"/>
        <v>24</v>
      </c>
      <c r="BK591" s="135" t="str">
        <f t="shared" si="188"/>
        <v>Pin Laricio_F1_Classique_GS Pineraies des plaines du Centre et du Nord Ouest_24_</v>
      </c>
      <c r="BL591" s="322"/>
      <c r="BM591" s="13">
        <v>44.308605095435198</v>
      </c>
      <c r="BN591" s="13">
        <v>207.393033989781</v>
      </c>
      <c r="BO591" s="13" t="s">
        <v>169</v>
      </c>
      <c r="BP591" s="13">
        <v>279.01190783056597</v>
      </c>
      <c r="BQ591" s="13">
        <v>20.052088620008799</v>
      </c>
      <c r="BT591" s="298" t="str">
        <f>+VLOOKUP(G591,Liste!$A$7:$H$50,8,FALSE)</f>
        <v>Résineux</v>
      </c>
      <c r="BU591" s="298">
        <f t="shared" si="189"/>
        <v>0</v>
      </c>
      <c r="BV591" s="300">
        <f t="shared" si="190"/>
        <v>1</v>
      </c>
      <c r="BW591" s="321">
        <v>0</v>
      </c>
      <c r="BX591" s="298">
        <f t="shared" si="191"/>
        <v>0.43</v>
      </c>
      <c r="BY591">
        <f t="shared" si="192"/>
        <v>0</v>
      </c>
      <c r="BZ591" s="304">
        <f t="shared" si="193"/>
        <v>19.908633513020959</v>
      </c>
      <c r="CB591" s="299">
        <v>0.6</v>
      </c>
      <c r="CC591" s="299">
        <v>0.4</v>
      </c>
      <c r="CD591">
        <f t="shared" si="194"/>
        <v>0</v>
      </c>
      <c r="CE591">
        <f t="shared" si="195"/>
        <v>0</v>
      </c>
      <c r="CF591">
        <f t="shared" si="196"/>
        <v>0</v>
      </c>
      <c r="CG591">
        <f t="shared" si="197"/>
        <v>0</v>
      </c>
      <c r="CH591">
        <f t="shared" si="198"/>
        <v>0</v>
      </c>
      <c r="CI591">
        <f t="shared" si="199"/>
        <v>0</v>
      </c>
      <c r="CJ591">
        <f t="shared" si="200"/>
        <v>0</v>
      </c>
      <c r="CK591">
        <f t="shared" si="201"/>
        <v>19.218978983239552</v>
      </c>
      <c r="CL591">
        <f t="shared" si="202"/>
        <v>3.0666513371837603</v>
      </c>
      <c r="CM591">
        <f t="shared" si="204"/>
        <v>22.285630320423312</v>
      </c>
      <c r="CN591">
        <f t="shared" si="203"/>
        <v>136.12939612130151</v>
      </c>
      <c r="CO591">
        <f t="shared" si="187"/>
        <v>0</v>
      </c>
    </row>
    <row r="592" spans="1:93" s="12" customFormat="1" ht="14.65" customHeight="1" x14ac:dyDescent="0.25">
      <c r="A592" s="4">
        <v>2021</v>
      </c>
      <c r="B592" s="4"/>
      <c r="C592" s="4" t="s">
        <v>179</v>
      </c>
      <c r="D592" s="4" t="s">
        <v>65</v>
      </c>
      <c r="E592" s="4"/>
      <c r="F592" s="4" t="s">
        <v>90</v>
      </c>
      <c r="G592" s="5" t="s">
        <v>180</v>
      </c>
      <c r="H592" s="5" t="s">
        <v>21</v>
      </c>
      <c r="I592" s="5" t="s">
        <v>18</v>
      </c>
      <c r="J592" s="5" t="s">
        <v>9</v>
      </c>
      <c r="K592" s="5">
        <v>26</v>
      </c>
      <c r="L592" s="5" t="s">
        <v>190</v>
      </c>
      <c r="M592" s="5">
        <v>1600</v>
      </c>
      <c r="N592" s="5" t="s">
        <v>171</v>
      </c>
      <c r="O592" s="6" t="s">
        <v>81</v>
      </c>
      <c r="P592" s="6" t="s">
        <v>181</v>
      </c>
      <c r="Q592" s="6"/>
      <c r="R592" s="6"/>
      <c r="S592" s="6">
        <v>15</v>
      </c>
      <c r="T592" s="6">
        <v>8.23</v>
      </c>
      <c r="U592" s="6">
        <v>1600</v>
      </c>
      <c r="V592" s="6">
        <v>14.07</v>
      </c>
      <c r="W592" s="6">
        <v>109</v>
      </c>
      <c r="X592" s="6">
        <v>1278</v>
      </c>
      <c r="Y592" s="6">
        <v>213</v>
      </c>
      <c r="Z592" s="6">
        <v>0</v>
      </c>
      <c r="AA592" s="6">
        <v>0</v>
      </c>
      <c r="AB592" s="6">
        <v>0</v>
      </c>
      <c r="AC592" s="7">
        <v>24</v>
      </c>
      <c r="AD592" s="7" t="s">
        <v>53</v>
      </c>
      <c r="AE592" s="7">
        <v>14.79</v>
      </c>
      <c r="AF592" s="76">
        <v>700</v>
      </c>
      <c r="AG592" s="7">
        <v>19.46</v>
      </c>
      <c r="AH592" s="7">
        <v>18.809999999999999</v>
      </c>
      <c r="AI592" s="7">
        <v>22.26</v>
      </c>
      <c r="AJ592" s="9">
        <v>135.083312632927</v>
      </c>
      <c r="AK592" s="9">
        <v>135.30856567463599</v>
      </c>
      <c r="AL592" s="9">
        <v>155.393691572482</v>
      </c>
      <c r="AM592" s="9">
        <v>35.338166362034002</v>
      </c>
      <c r="AN592" s="9">
        <v>1.47242359841808</v>
      </c>
      <c r="AO592" s="9">
        <v>1.7283310357989199</v>
      </c>
      <c r="AP592" s="9">
        <v>268.43176341358298</v>
      </c>
      <c r="AQ592" s="9">
        <v>11.1846568088993</v>
      </c>
      <c r="AR592" s="9">
        <v>20.825809516455902</v>
      </c>
      <c r="AS592" s="8">
        <v>295</v>
      </c>
      <c r="AT592" s="8">
        <v>6.7100000000000009</v>
      </c>
      <c r="AU592" s="10">
        <v>17.017874297311131</v>
      </c>
      <c r="AV592" s="10">
        <v>44.836393214145005</v>
      </c>
      <c r="AW592" s="10">
        <v>0.86478558810081751</v>
      </c>
      <c r="AX592" s="10">
        <v>0.1519877736072712</v>
      </c>
      <c r="AY592" s="10"/>
      <c r="AZ592" s="10"/>
      <c r="BA592" s="10"/>
      <c r="BB592" s="8"/>
      <c r="BC592" s="8"/>
      <c r="BD592" s="8"/>
      <c r="BE592" s="8"/>
      <c r="BF592" s="12">
        <v>0.45</v>
      </c>
      <c r="BG592" s="13">
        <v>121.880020440873</v>
      </c>
      <c r="BH592" s="96" t="str">
        <f>+VLOOKUP(G592,Liste!$A$7:$G$50,3,FALSE)</f>
        <v>Pin Laricio</v>
      </c>
      <c r="BI592" s="96" t="str">
        <f>+VLOOKUP(H592,Liste!$B$7:$G$50,5,FALSE)</f>
        <v>GS Pineraies des plaines du Centre et du Nord Ouest</v>
      </c>
      <c r="BJ592" s="135">
        <f t="shared" si="186"/>
        <v>24</v>
      </c>
      <c r="BK592" s="135" t="str">
        <f t="shared" si="188"/>
        <v>Pin Laricio_F1_Classique_GS Pineraies des plaines du Centre et du Nord Ouest_24_</v>
      </c>
      <c r="BL592" s="322"/>
      <c r="BM592" s="13">
        <v>34.255504561489097</v>
      </c>
      <c r="BN592" s="13">
        <v>156.13552500236199</v>
      </c>
      <c r="BO592" s="13">
        <v>51.257508987419016</v>
      </c>
      <c r="BP592" s="13">
        <v>279.01190783056597</v>
      </c>
      <c r="BQ592" s="13">
        <v>20.052088620008799</v>
      </c>
      <c r="BT592" s="298" t="str">
        <f>+VLOOKUP(G592,Liste!$A$7:$H$50,8,FALSE)</f>
        <v>Résineux</v>
      </c>
      <c r="BU592" s="298">
        <f t="shared" si="189"/>
        <v>0</v>
      </c>
      <c r="BV592" s="300">
        <f t="shared" si="190"/>
        <v>1</v>
      </c>
      <c r="BW592" s="321">
        <v>0</v>
      </c>
      <c r="BX592" s="298">
        <f t="shared" si="191"/>
        <v>0.43</v>
      </c>
      <c r="BY592">
        <f t="shared" si="192"/>
        <v>19.279649082082351</v>
      </c>
      <c r="BZ592" s="304">
        <f t="shared" si="193"/>
        <v>39.18828259510331</v>
      </c>
      <c r="CB592" s="299">
        <v>0.6</v>
      </c>
      <c r="CC592" s="299">
        <v>0.4</v>
      </c>
      <c r="CD592">
        <f t="shared" si="194"/>
        <v>0</v>
      </c>
      <c r="CE592">
        <f t="shared" si="195"/>
        <v>26.901835928487003</v>
      </c>
      <c r="CF592">
        <f t="shared" si="196"/>
        <v>17.934557285658002</v>
      </c>
      <c r="CG592">
        <f t="shared" si="197"/>
        <v>0</v>
      </c>
      <c r="CH592">
        <f t="shared" si="198"/>
        <v>21.084313908951685</v>
      </c>
      <c r="CI592">
        <f t="shared" si="199"/>
        <v>14.05620927263446</v>
      </c>
      <c r="CJ592">
        <f t="shared" si="200"/>
        <v>0</v>
      </c>
      <c r="CK592">
        <f t="shared" si="201"/>
        <v>18.693434992260688</v>
      </c>
      <c r="CL592">
        <f t="shared" si="202"/>
        <v>2.1684499560574308</v>
      </c>
      <c r="CM592">
        <f t="shared" si="204"/>
        <v>20.861884948318117</v>
      </c>
      <c r="CN592">
        <f t="shared" si="203"/>
        <v>156.99128106961962</v>
      </c>
      <c r="CO592">
        <f t="shared" si="187"/>
        <v>0</v>
      </c>
    </row>
    <row r="593" spans="1:93" s="12" customFormat="1" ht="14.65" customHeight="1" x14ac:dyDescent="0.25">
      <c r="A593" s="4">
        <v>2021</v>
      </c>
      <c r="B593" s="4"/>
      <c r="C593" s="4" t="s">
        <v>179</v>
      </c>
      <c r="D593" s="4" t="s">
        <v>65</v>
      </c>
      <c r="E593" s="4"/>
      <c r="F593" s="4" t="s">
        <v>90</v>
      </c>
      <c r="G593" s="5" t="s">
        <v>180</v>
      </c>
      <c r="H593" s="5" t="s">
        <v>21</v>
      </c>
      <c r="I593" s="5" t="s">
        <v>18</v>
      </c>
      <c r="J593" s="5" t="s">
        <v>9</v>
      </c>
      <c r="K593" s="5">
        <v>26</v>
      </c>
      <c r="L593" s="5" t="s">
        <v>190</v>
      </c>
      <c r="M593" s="5">
        <v>1600</v>
      </c>
      <c r="N593" s="5" t="s">
        <v>171</v>
      </c>
      <c r="O593" s="6" t="s">
        <v>81</v>
      </c>
      <c r="P593" s="6" t="s">
        <v>181</v>
      </c>
      <c r="Q593" s="6"/>
      <c r="R593" s="6"/>
      <c r="S593" s="6">
        <v>15</v>
      </c>
      <c r="T593" s="6">
        <v>8.23</v>
      </c>
      <c r="U593" s="6">
        <v>1600</v>
      </c>
      <c r="V593" s="6">
        <v>14.07</v>
      </c>
      <c r="W593" s="6">
        <v>109</v>
      </c>
      <c r="X593" s="6">
        <v>1278</v>
      </c>
      <c r="Y593" s="6">
        <v>213</v>
      </c>
      <c r="Z593" s="6">
        <v>0</v>
      </c>
      <c r="AA593" s="6">
        <v>0</v>
      </c>
      <c r="AB593" s="6">
        <v>0</v>
      </c>
      <c r="AC593" s="7">
        <v>25</v>
      </c>
      <c r="AD593" s="7" t="s">
        <v>52</v>
      </c>
      <c r="AE593" s="7">
        <v>15.43</v>
      </c>
      <c r="AF593" s="76">
        <v>699.2</v>
      </c>
      <c r="AG593" s="7">
        <v>20.97</v>
      </c>
      <c r="AH593" s="7">
        <v>19.54</v>
      </c>
      <c r="AI593" s="7">
        <v>22.91</v>
      </c>
      <c r="AJ593" s="9">
        <v>155.28680863671099</v>
      </c>
      <c r="AK593" s="9">
        <v>155.55475632957399</v>
      </c>
      <c r="AL593" s="9">
        <v>176.21950108893799</v>
      </c>
      <c r="AM593" s="9" t="s">
        <v>169</v>
      </c>
      <c r="AN593" s="9" t="s">
        <v>169</v>
      </c>
      <c r="AO593" s="9" t="s">
        <v>169</v>
      </c>
      <c r="AP593" s="9" t="s">
        <v>169</v>
      </c>
      <c r="AQ593" s="9" t="s">
        <v>169</v>
      </c>
      <c r="AR593" s="9" t="s">
        <v>169</v>
      </c>
      <c r="AS593" s="8" t="s">
        <v>169</v>
      </c>
      <c r="AT593" s="8" t="s">
        <v>169</v>
      </c>
      <c r="AU593" s="10" t="s">
        <v>169</v>
      </c>
      <c r="AV593" s="10">
        <v>0</v>
      </c>
      <c r="AW593" s="8"/>
      <c r="AX593" s="10" t="s">
        <v>169</v>
      </c>
      <c r="AY593" s="10"/>
      <c r="AZ593" s="10"/>
      <c r="BA593" s="10"/>
      <c r="BB593" s="8"/>
      <c r="BC593" s="8"/>
      <c r="BD593" s="8"/>
      <c r="BE593" s="8"/>
      <c r="BF593" s="12">
        <v>0.45</v>
      </c>
      <c r="BG593" s="13">
        <v>138.21433918880899</v>
      </c>
      <c r="BH593" s="96" t="str">
        <f>+VLOOKUP(G593,Liste!$A$7:$G$50,3,FALSE)</f>
        <v>Pin Laricio</v>
      </c>
      <c r="BI593" s="96" t="str">
        <f>+VLOOKUP(H593,Liste!$B$7:$G$50,5,FALSE)</f>
        <v>GS Pineraies des plaines du Centre et du Nord Ouest</v>
      </c>
      <c r="BJ593" s="135">
        <f t="shared" si="186"/>
        <v>25</v>
      </c>
      <c r="BK593" s="135" t="str">
        <f t="shared" si="188"/>
        <v>Pin Laricio_F1_Classique_GS Pineraies des plaines du Centre et du Nord Ouest_25_</v>
      </c>
      <c r="BL593" s="322"/>
      <c r="BM593" s="13">
        <v>38.162704488309998</v>
      </c>
      <c r="BN593" s="13">
        <v>176.37704367711899</v>
      </c>
      <c r="BO593" s="13" t="s">
        <v>169</v>
      </c>
      <c r="BP593" s="13">
        <v>279.01190783056597</v>
      </c>
      <c r="BQ593" s="13" t="s">
        <v>169</v>
      </c>
      <c r="BT593" s="298" t="str">
        <f>+VLOOKUP(G593,Liste!$A$7:$H$50,8,FALSE)</f>
        <v>Résineux</v>
      </c>
      <c r="BU593" s="298">
        <f t="shared" si="189"/>
        <v>0</v>
      </c>
      <c r="BV593" s="300">
        <f t="shared" si="190"/>
        <v>1</v>
      </c>
      <c r="BW593" s="321">
        <v>0</v>
      </c>
      <c r="BX593" s="298">
        <f t="shared" si="191"/>
        <v>0.43</v>
      </c>
      <c r="BY593">
        <f t="shared" si="192"/>
        <v>0</v>
      </c>
      <c r="BZ593" s="304">
        <f t="shared" si="193"/>
        <v>39.18828259510331</v>
      </c>
      <c r="CB593" s="299">
        <v>0.6</v>
      </c>
      <c r="CC593" s="299">
        <v>0.4</v>
      </c>
      <c r="CD593">
        <f t="shared" si="194"/>
        <v>0</v>
      </c>
      <c r="CE593">
        <f t="shared" si="195"/>
        <v>0</v>
      </c>
      <c r="CF593">
        <f t="shared" si="196"/>
        <v>0</v>
      </c>
      <c r="CG593">
        <f t="shared" si="197"/>
        <v>0</v>
      </c>
      <c r="CH593">
        <f t="shared" si="198"/>
        <v>0</v>
      </c>
      <c r="CI593">
        <f t="shared" si="199"/>
        <v>0</v>
      </c>
      <c r="CJ593">
        <f t="shared" si="200"/>
        <v>0</v>
      </c>
      <c r="CK593">
        <f t="shared" si="201"/>
        <v>38.976968001841698</v>
      </c>
      <c r="CL593">
        <f t="shared" si="202"/>
        <v>13.412385393978319</v>
      </c>
      <c r="CM593">
        <f t="shared" si="204"/>
        <v>52.389353395820017</v>
      </c>
      <c r="CN593">
        <f t="shared" si="203"/>
        <v>209.38063446543964</v>
      </c>
      <c r="CO593">
        <f t="shared" si="187"/>
        <v>0</v>
      </c>
    </row>
    <row r="594" spans="1:93" s="12" customFormat="1" ht="14.65" customHeight="1" x14ac:dyDescent="0.25">
      <c r="A594" s="4">
        <v>2021</v>
      </c>
      <c r="B594" s="4"/>
      <c r="C594" s="4" t="s">
        <v>179</v>
      </c>
      <c r="D594" s="4" t="s">
        <v>65</v>
      </c>
      <c r="E594" s="4"/>
      <c r="F594" s="4" t="s">
        <v>90</v>
      </c>
      <c r="G594" s="5" t="s">
        <v>180</v>
      </c>
      <c r="H594" s="5" t="s">
        <v>21</v>
      </c>
      <c r="I594" s="5" t="s">
        <v>18</v>
      </c>
      <c r="J594" s="5" t="s">
        <v>9</v>
      </c>
      <c r="K594" s="5">
        <v>26</v>
      </c>
      <c r="L594" s="5" t="s">
        <v>190</v>
      </c>
      <c r="M594" s="5">
        <v>1600</v>
      </c>
      <c r="N594" s="5" t="s">
        <v>171</v>
      </c>
      <c r="O594" s="6" t="s">
        <v>81</v>
      </c>
      <c r="P594" s="6" t="s">
        <v>181</v>
      </c>
      <c r="Q594" s="6"/>
      <c r="R594" s="6"/>
      <c r="S594" s="6">
        <v>15</v>
      </c>
      <c r="T594" s="6">
        <v>8.23</v>
      </c>
      <c r="U594" s="6">
        <v>1600</v>
      </c>
      <c r="V594" s="6">
        <v>14.07</v>
      </c>
      <c r="W594" s="6">
        <v>109</v>
      </c>
      <c r="X594" s="6">
        <v>1278</v>
      </c>
      <c r="Y594" s="6">
        <v>213</v>
      </c>
      <c r="Z594" s="6">
        <v>0</v>
      </c>
      <c r="AA594" s="6">
        <v>0</v>
      </c>
      <c r="AB594" s="6">
        <v>0</v>
      </c>
      <c r="AC594" s="7">
        <v>26</v>
      </c>
      <c r="AD594" s="7" t="s">
        <v>52</v>
      </c>
      <c r="AE594" s="7">
        <v>16.05</v>
      </c>
      <c r="AF594" s="76">
        <v>698.8</v>
      </c>
      <c r="AG594" s="7">
        <v>22.77</v>
      </c>
      <c r="AH594" s="7">
        <v>20.37</v>
      </c>
      <c r="AI594" s="7">
        <v>23.87</v>
      </c>
      <c r="AJ594" s="9">
        <v>175.490304640495</v>
      </c>
      <c r="AK594" s="9">
        <v>175.80094698451299</v>
      </c>
      <c r="AL594" s="9">
        <v>197.04531060539401</v>
      </c>
      <c r="AM594" s="9" t="s">
        <v>169</v>
      </c>
      <c r="AN594" s="9" t="s">
        <v>169</v>
      </c>
      <c r="AO594" s="9" t="s">
        <v>169</v>
      </c>
      <c r="AP594" s="9" t="s">
        <v>169</v>
      </c>
      <c r="AQ594" s="9" t="s">
        <v>169</v>
      </c>
      <c r="AR594" s="9" t="s">
        <v>169</v>
      </c>
      <c r="AS594" s="8" t="s">
        <v>169</v>
      </c>
      <c r="AT594" s="8" t="s">
        <v>169</v>
      </c>
      <c r="AU594" s="10" t="s">
        <v>169</v>
      </c>
      <c r="AV594" s="10">
        <v>0</v>
      </c>
      <c r="AW594" s="8"/>
      <c r="AX594" s="10" t="s">
        <v>169</v>
      </c>
      <c r="AY594" s="10"/>
      <c r="AZ594" s="10"/>
      <c r="BA594" s="10"/>
      <c r="BB594" s="8"/>
      <c r="BC594" s="8"/>
      <c r="BD594" s="8"/>
      <c r="BE594" s="8"/>
      <c r="BF594" s="12">
        <v>0.45</v>
      </c>
      <c r="BG594" s="13">
        <v>154.548657936745</v>
      </c>
      <c r="BH594" s="96" t="str">
        <f>+VLOOKUP(G594,Liste!$A$7:$G$50,3,FALSE)</f>
        <v>Pin Laricio</v>
      </c>
      <c r="BI594" s="96" t="str">
        <f>+VLOOKUP(H594,Liste!$B$7:$G$50,5,FALSE)</f>
        <v>GS Pineraies des plaines du Centre et du Nord Ouest</v>
      </c>
      <c r="BJ594" s="135">
        <f t="shared" si="186"/>
        <v>26</v>
      </c>
      <c r="BK594" s="135" t="str">
        <f t="shared" si="188"/>
        <v>Pin Laricio_F1_Classique_GS Pineraies des plaines du Centre et du Nord Ouest_26_</v>
      </c>
      <c r="BL594" s="322"/>
      <c r="BM594" s="13">
        <v>42.069904415130999</v>
      </c>
      <c r="BN594" s="13">
        <v>196.61856235187599</v>
      </c>
      <c r="BO594" s="13" t="s">
        <v>169</v>
      </c>
      <c r="BP594" s="13">
        <v>279.01190783056597</v>
      </c>
      <c r="BQ594" s="13" t="s">
        <v>169</v>
      </c>
      <c r="BT594" s="298" t="str">
        <f>+VLOOKUP(G594,Liste!$A$7:$H$50,8,FALSE)</f>
        <v>Résineux</v>
      </c>
      <c r="BU594" s="298">
        <f t="shared" si="189"/>
        <v>0</v>
      </c>
      <c r="BV594" s="300">
        <f t="shared" si="190"/>
        <v>1</v>
      </c>
      <c r="BW594" s="321">
        <v>0</v>
      </c>
      <c r="BX594" s="298">
        <f t="shared" si="191"/>
        <v>0.43</v>
      </c>
      <c r="BY594">
        <f t="shared" si="192"/>
        <v>0</v>
      </c>
      <c r="BZ594" s="304">
        <f t="shared" si="193"/>
        <v>39.18828259510331</v>
      </c>
      <c r="CB594" s="299">
        <v>0.6</v>
      </c>
      <c r="CC594" s="299">
        <v>0.4</v>
      </c>
      <c r="CD594">
        <f t="shared" si="194"/>
        <v>0</v>
      </c>
      <c r="CE594">
        <f t="shared" si="195"/>
        <v>0</v>
      </c>
      <c r="CF594">
        <f t="shared" si="196"/>
        <v>0</v>
      </c>
      <c r="CG594">
        <f t="shared" si="197"/>
        <v>0</v>
      </c>
      <c r="CH594">
        <f t="shared" si="198"/>
        <v>0</v>
      </c>
      <c r="CI594">
        <f t="shared" si="199"/>
        <v>0</v>
      </c>
      <c r="CJ594">
        <f t="shared" si="200"/>
        <v>0</v>
      </c>
      <c r="CK594">
        <f t="shared" si="201"/>
        <v>37.911140762121676</v>
      </c>
      <c r="CL594">
        <f t="shared" si="202"/>
        <v>9.4839886639694733</v>
      </c>
      <c r="CM594">
        <f t="shared" si="204"/>
        <v>47.395129426091145</v>
      </c>
      <c r="CN594">
        <f t="shared" si="203"/>
        <v>256.7757638915308</v>
      </c>
      <c r="CO594">
        <f t="shared" si="187"/>
        <v>0</v>
      </c>
    </row>
    <row r="595" spans="1:93" s="12" customFormat="1" ht="14.65" customHeight="1" x14ac:dyDescent="0.25">
      <c r="A595" s="4">
        <v>2021</v>
      </c>
      <c r="B595" s="4"/>
      <c r="C595" s="4" t="s">
        <v>179</v>
      </c>
      <c r="D595" s="4" t="s">
        <v>65</v>
      </c>
      <c r="E595" s="4"/>
      <c r="F595" s="4" t="s">
        <v>90</v>
      </c>
      <c r="G595" s="5" t="s">
        <v>180</v>
      </c>
      <c r="H595" s="5" t="s">
        <v>21</v>
      </c>
      <c r="I595" s="5" t="s">
        <v>18</v>
      </c>
      <c r="J595" s="5" t="s">
        <v>9</v>
      </c>
      <c r="K595" s="5">
        <v>26</v>
      </c>
      <c r="L595" s="5" t="s">
        <v>190</v>
      </c>
      <c r="M595" s="5">
        <v>1600</v>
      </c>
      <c r="N595" s="5" t="s">
        <v>171</v>
      </c>
      <c r="O595" s="6" t="s">
        <v>81</v>
      </c>
      <c r="P595" s="6" t="s">
        <v>181</v>
      </c>
      <c r="Q595" s="6"/>
      <c r="R595" s="6"/>
      <c r="S595" s="6">
        <v>15</v>
      </c>
      <c r="T595" s="6">
        <v>8.23</v>
      </c>
      <c r="U595" s="6">
        <v>1600</v>
      </c>
      <c r="V595" s="6">
        <v>14.07</v>
      </c>
      <c r="W595" s="6">
        <v>109</v>
      </c>
      <c r="X595" s="6">
        <v>1278</v>
      </c>
      <c r="Y595" s="6">
        <v>213</v>
      </c>
      <c r="Z595" s="6">
        <v>0</v>
      </c>
      <c r="AA595" s="6">
        <v>0</v>
      </c>
      <c r="AB595" s="6">
        <v>0</v>
      </c>
      <c r="AC595" s="7">
        <v>27</v>
      </c>
      <c r="AD595" s="7" t="s">
        <v>52</v>
      </c>
      <c r="AE595" s="7">
        <v>16.649999999999999</v>
      </c>
      <c r="AF595" s="76">
        <v>698.4</v>
      </c>
      <c r="AG595" s="7">
        <v>24.57</v>
      </c>
      <c r="AH595" s="7">
        <v>21.16</v>
      </c>
      <c r="AI595" s="7">
        <v>24.79</v>
      </c>
      <c r="AJ595" s="9">
        <v>195.69380064427901</v>
      </c>
      <c r="AK595" s="9">
        <v>196.04713763945099</v>
      </c>
      <c r="AL595" s="9">
        <v>217.871120121849</v>
      </c>
      <c r="AM595" s="9" t="s">
        <v>169</v>
      </c>
      <c r="AN595" s="9" t="s">
        <v>169</v>
      </c>
      <c r="AO595" s="9" t="s">
        <v>169</v>
      </c>
      <c r="AP595" s="9" t="s">
        <v>169</v>
      </c>
      <c r="AQ595" s="9" t="s">
        <v>169</v>
      </c>
      <c r="AR595" s="9" t="s">
        <v>169</v>
      </c>
      <c r="AS595" s="8" t="s">
        <v>169</v>
      </c>
      <c r="AT595" s="8" t="s">
        <v>169</v>
      </c>
      <c r="AU595" s="10" t="s">
        <v>169</v>
      </c>
      <c r="AV595" s="10">
        <v>0</v>
      </c>
      <c r="AW595" s="8"/>
      <c r="AX595" s="10" t="s">
        <v>169</v>
      </c>
      <c r="AY595" s="10"/>
      <c r="AZ595" s="10"/>
      <c r="BA595" s="10"/>
      <c r="BB595" s="8"/>
      <c r="BC595" s="8"/>
      <c r="BD595" s="8"/>
      <c r="BE595" s="8"/>
      <c r="BF595" s="12">
        <v>0.45</v>
      </c>
      <c r="BG595" s="13">
        <v>170.88297668468101</v>
      </c>
      <c r="BH595" s="96" t="str">
        <f>+VLOOKUP(G595,Liste!$A$7:$G$50,3,FALSE)</f>
        <v>Pin Laricio</v>
      </c>
      <c r="BI595" s="96" t="str">
        <f>+VLOOKUP(H595,Liste!$B$7:$G$50,5,FALSE)</f>
        <v>GS Pineraies des plaines du Centre et du Nord Ouest</v>
      </c>
      <c r="BJ595" s="135">
        <f t="shared" si="186"/>
        <v>27</v>
      </c>
      <c r="BK595" s="135" t="str">
        <f t="shared" si="188"/>
        <v>Pin Laricio_F1_Classique_GS Pineraies des plaines du Centre et du Nord Ouest_27_</v>
      </c>
      <c r="BL595" s="322"/>
      <c r="BM595" s="13">
        <v>45.9771043419519</v>
      </c>
      <c r="BN595" s="13">
        <v>216.860081026633</v>
      </c>
      <c r="BO595" s="13" t="s">
        <v>169</v>
      </c>
      <c r="BP595" s="13">
        <v>279.01190783056597</v>
      </c>
      <c r="BQ595" s="13" t="s">
        <v>169</v>
      </c>
      <c r="BT595" s="298" t="str">
        <f>+VLOOKUP(G595,Liste!$A$7:$H$50,8,FALSE)</f>
        <v>Résineux</v>
      </c>
      <c r="BU595" s="298">
        <f t="shared" si="189"/>
        <v>0</v>
      </c>
      <c r="BV595" s="300">
        <f t="shared" si="190"/>
        <v>1</v>
      </c>
      <c r="BW595" s="321">
        <v>0</v>
      </c>
      <c r="BX595" s="298">
        <f t="shared" si="191"/>
        <v>0.43</v>
      </c>
      <c r="BY595">
        <f t="shared" si="192"/>
        <v>0</v>
      </c>
      <c r="BZ595" s="304">
        <f t="shared" si="193"/>
        <v>39.18828259510331</v>
      </c>
      <c r="CB595" s="299">
        <v>0.6</v>
      </c>
      <c r="CC595" s="299">
        <v>0.4</v>
      </c>
      <c r="CD595">
        <f t="shared" si="194"/>
        <v>0</v>
      </c>
      <c r="CE595">
        <f t="shared" si="195"/>
        <v>0</v>
      </c>
      <c r="CF595">
        <f t="shared" si="196"/>
        <v>0</v>
      </c>
      <c r="CG595">
        <f t="shared" si="197"/>
        <v>0</v>
      </c>
      <c r="CH595">
        <f t="shared" si="198"/>
        <v>0</v>
      </c>
      <c r="CI595">
        <f t="shared" si="199"/>
        <v>0</v>
      </c>
      <c r="CJ595">
        <f t="shared" si="200"/>
        <v>0</v>
      </c>
      <c r="CK595">
        <f t="shared" si="201"/>
        <v>36.874458624321214</v>
      </c>
      <c r="CL595">
        <f t="shared" si="202"/>
        <v>6.7061926969891603</v>
      </c>
      <c r="CM595">
        <f t="shared" si="204"/>
        <v>43.580651321310377</v>
      </c>
      <c r="CN595">
        <f t="shared" si="203"/>
        <v>300.35641521284117</v>
      </c>
      <c r="CO595">
        <f t="shared" si="187"/>
        <v>0</v>
      </c>
    </row>
    <row r="596" spans="1:93" s="12" customFormat="1" ht="14.65" customHeight="1" x14ac:dyDescent="0.25">
      <c r="A596" s="4">
        <v>2021</v>
      </c>
      <c r="B596" s="4"/>
      <c r="C596" s="4" t="s">
        <v>179</v>
      </c>
      <c r="D596" s="4" t="s">
        <v>65</v>
      </c>
      <c r="E596" s="4"/>
      <c r="F596" s="4" t="s">
        <v>90</v>
      </c>
      <c r="G596" s="5" t="s">
        <v>180</v>
      </c>
      <c r="H596" s="5" t="s">
        <v>21</v>
      </c>
      <c r="I596" s="5" t="s">
        <v>18</v>
      </c>
      <c r="J596" s="5" t="s">
        <v>9</v>
      </c>
      <c r="K596" s="5">
        <v>26</v>
      </c>
      <c r="L596" s="5" t="s">
        <v>190</v>
      </c>
      <c r="M596" s="5">
        <v>1600</v>
      </c>
      <c r="N596" s="5" t="s">
        <v>171</v>
      </c>
      <c r="O596" s="6" t="s">
        <v>81</v>
      </c>
      <c r="P596" s="6" t="s">
        <v>181</v>
      </c>
      <c r="Q596" s="6"/>
      <c r="R596" s="6"/>
      <c r="S596" s="6">
        <v>15</v>
      </c>
      <c r="T596" s="6">
        <v>8.23</v>
      </c>
      <c r="U596" s="6">
        <v>1600</v>
      </c>
      <c r="V596" s="6">
        <v>14.07</v>
      </c>
      <c r="W596" s="6">
        <v>109</v>
      </c>
      <c r="X596" s="6">
        <v>1278</v>
      </c>
      <c r="Y596" s="6">
        <v>213</v>
      </c>
      <c r="Z596" s="6">
        <v>0</v>
      </c>
      <c r="AA596" s="6">
        <v>0</v>
      </c>
      <c r="AB596" s="6">
        <v>0</v>
      </c>
      <c r="AC596" s="7">
        <v>28</v>
      </c>
      <c r="AD596" s="7" t="s">
        <v>52</v>
      </c>
      <c r="AE596" s="7">
        <v>17.23</v>
      </c>
      <c r="AF596" s="76">
        <v>697.6</v>
      </c>
      <c r="AG596" s="7">
        <v>26.34</v>
      </c>
      <c r="AH596" s="7">
        <v>21.93</v>
      </c>
      <c r="AI596" s="7">
        <v>25.67</v>
      </c>
      <c r="AJ596" s="9">
        <v>215.89729664806299</v>
      </c>
      <c r="AK596" s="9">
        <v>216.293328294389</v>
      </c>
      <c r="AL596" s="9">
        <v>238.69692963830499</v>
      </c>
      <c r="AM596" s="9" t="s">
        <v>169</v>
      </c>
      <c r="AN596" s="9" t="s">
        <v>169</v>
      </c>
      <c r="AO596" s="9" t="s">
        <v>169</v>
      </c>
      <c r="AP596" s="9" t="s">
        <v>169</v>
      </c>
      <c r="AQ596" s="9" t="s">
        <v>169</v>
      </c>
      <c r="AR596" s="9" t="s">
        <v>169</v>
      </c>
      <c r="AS596" s="8" t="s">
        <v>169</v>
      </c>
      <c r="AT596" s="8" t="s">
        <v>169</v>
      </c>
      <c r="AU596" s="10" t="s">
        <v>169</v>
      </c>
      <c r="AV596" s="10">
        <v>0</v>
      </c>
      <c r="AW596" s="8"/>
      <c r="AX596" s="10" t="s">
        <v>169</v>
      </c>
      <c r="AY596" s="10"/>
      <c r="AZ596" s="10"/>
      <c r="BA596" s="10"/>
      <c r="BB596" s="8"/>
      <c r="BC596" s="8"/>
      <c r="BD596" s="8"/>
      <c r="BE596" s="8"/>
      <c r="BF596" s="12">
        <v>0.45</v>
      </c>
      <c r="BG596" s="13">
        <v>187.21729543261699</v>
      </c>
      <c r="BH596" s="96" t="str">
        <f>+VLOOKUP(G596,Liste!$A$7:$G$50,3,FALSE)</f>
        <v>Pin Laricio</v>
      </c>
      <c r="BI596" s="96" t="str">
        <f>+VLOOKUP(H596,Liste!$B$7:$G$50,5,FALSE)</f>
        <v>GS Pineraies des plaines du Centre et du Nord Ouest</v>
      </c>
      <c r="BJ596" s="135">
        <f t="shared" si="186"/>
        <v>28</v>
      </c>
      <c r="BK596" s="135" t="str">
        <f t="shared" si="188"/>
        <v>Pin Laricio_F1_Classique_GS Pineraies des plaines du Centre et du Nord Ouest_28_</v>
      </c>
      <c r="BL596" s="322"/>
      <c r="BM596" s="13">
        <v>49.884304268772802</v>
      </c>
      <c r="BN596" s="13">
        <v>237.10159970139</v>
      </c>
      <c r="BO596" s="13" t="s">
        <v>169</v>
      </c>
      <c r="BP596" s="13">
        <v>279.01190783056597</v>
      </c>
      <c r="BQ596" s="13" t="s">
        <v>169</v>
      </c>
      <c r="BT596" s="298" t="str">
        <f>+VLOOKUP(G596,Liste!$A$7:$H$50,8,FALSE)</f>
        <v>Résineux</v>
      </c>
      <c r="BU596" s="298">
        <f t="shared" si="189"/>
        <v>0</v>
      </c>
      <c r="BV596" s="300">
        <f t="shared" si="190"/>
        <v>1</v>
      </c>
      <c r="BW596" s="321">
        <v>0</v>
      </c>
      <c r="BX596" s="298">
        <f t="shared" si="191"/>
        <v>0.43</v>
      </c>
      <c r="BY596">
        <f t="shared" si="192"/>
        <v>0</v>
      </c>
      <c r="BZ596" s="304">
        <f t="shared" si="193"/>
        <v>39.18828259510331</v>
      </c>
      <c r="CB596" s="299">
        <v>0.6</v>
      </c>
      <c r="CC596" s="299">
        <v>0.4</v>
      </c>
      <c r="CD596">
        <f t="shared" si="194"/>
        <v>0</v>
      </c>
      <c r="CE596">
        <f t="shared" si="195"/>
        <v>0</v>
      </c>
      <c r="CF596">
        <f t="shared" si="196"/>
        <v>0</v>
      </c>
      <c r="CG596">
        <f t="shared" si="197"/>
        <v>0</v>
      </c>
      <c r="CH596">
        <f t="shared" si="198"/>
        <v>0</v>
      </c>
      <c r="CI596">
        <f t="shared" si="199"/>
        <v>0</v>
      </c>
      <c r="CJ596">
        <f t="shared" si="200"/>
        <v>0</v>
      </c>
      <c r="CK596">
        <f t="shared" si="201"/>
        <v>35.866124614095646</v>
      </c>
      <c r="CL596">
        <f t="shared" si="202"/>
        <v>4.7419943319847375</v>
      </c>
      <c r="CM596">
        <f t="shared" si="204"/>
        <v>40.608118946080381</v>
      </c>
      <c r="CN596">
        <f t="shared" si="203"/>
        <v>340.96453415892154</v>
      </c>
      <c r="CO596">
        <f t="shared" si="187"/>
        <v>0</v>
      </c>
    </row>
    <row r="597" spans="1:93" s="12" customFormat="1" ht="14.65" customHeight="1" x14ac:dyDescent="0.25">
      <c r="A597" s="4">
        <v>2021</v>
      </c>
      <c r="B597" s="4"/>
      <c r="C597" s="4" t="s">
        <v>179</v>
      </c>
      <c r="D597" s="4" t="s">
        <v>65</v>
      </c>
      <c r="E597" s="4"/>
      <c r="F597" s="4" t="s">
        <v>90</v>
      </c>
      <c r="G597" s="5" t="s">
        <v>180</v>
      </c>
      <c r="H597" s="5" t="s">
        <v>21</v>
      </c>
      <c r="I597" s="5" t="s">
        <v>18</v>
      </c>
      <c r="J597" s="5" t="s">
        <v>9</v>
      </c>
      <c r="K597" s="5">
        <v>26</v>
      </c>
      <c r="L597" s="5" t="s">
        <v>190</v>
      </c>
      <c r="M597" s="5">
        <v>1600</v>
      </c>
      <c r="N597" s="5" t="s">
        <v>171</v>
      </c>
      <c r="O597" s="6" t="s">
        <v>81</v>
      </c>
      <c r="P597" s="6" t="s">
        <v>181</v>
      </c>
      <c r="Q597" s="6"/>
      <c r="R597" s="6"/>
      <c r="S597" s="6">
        <v>15</v>
      </c>
      <c r="T597" s="6">
        <v>8.23</v>
      </c>
      <c r="U597" s="6">
        <v>1600</v>
      </c>
      <c r="V597" s="6">
        <v>14.07</v>
      </c>
      <c r="W597" s="6">
        <v>109</v>
      </c>
      <c r="X597" s="6">
        <v>1278</v>
      </c>
      <c r="Y597" s="6">
        <v>213</v>
      </c>
      <c r="Z597" s="6">
        <v>0</v>
      </c>
      <c r="AA597" s="6">
        <v>0</v>
      </c>
      <c r="AB597" s="6">
        <v>0</v>
      </c>
      <c r="AC597" s="7">
        <v>29</v>
      </c>
      <c r="AD597" s="7" t="s">
        <v>52</v>
      </c>
      <c r="AE597" s="7">
        <v>17.8</v>
      </c>
      <c r="AF597" s="76">
        <v>697.2</v>
      </c>
      <c r="AG597" s="7">
        <v>28.11</v>
      </c>
      <c r="AH597" s="7">
        <v>22.66</v>
      </c>
      <c r="AI597" s="7">
        <v>26.52</v>
      </c>
      <c r="AJ597" s="9">
        <v>236.100792651847</v>
      </c>
      <c r="AK597" s="9">
        <v>236.539518949327</v>
      </c>
      <c r="AL597" s="9">
        <v>259.52273915476098</v>
      </c>
      <c r="AM597" s="9" t="s">
        <v>169</v>
      </c>
      <c r="AN597" s="9" t="s">
        <v>169</v>
      </c>
      <c r="AO597" s="9" t="s">
        <v>169</v>
      </c>
      <c r="AP597" s="9" t="s">
        <v>169</v>
      </c>
      <c r="AQ597" s="9" t="s">
        <v>169</v>
      </c>
      <c r="AR597" s="9" t="s">
        <v>169</v>
      </c>
      <c r="AS597" s="8" t="s">
        <v>169</v>
      </c>
      <c r="AT597" s="8" t="s">
        <v>169</v>
      </c>
      <c r="AU597" s="10" t="s">
        <v>169</v>
      </c>
      <c r="AV597" s="10">
        <v>0</v>
      </c>
      <c r="AW597" s="8"/>
      <c r="AX597" s="10" t="s">
        <v>169</v>
      </c>
      <c r="AY597" s="10"/>
      <c r="AZ597" s="10"/>
      <c r="BA597" s="10"/>
      <c r="BB597" s="8"/>
      <c r="BC597" s="8"/>
      <c r="BD597" s="8"/>
      <c r="BE597" s="8"/>
      <c r="BF597" s="12">
        <v>0.45</v>
      </c>
      <c r="BG597" s="13">
        <v>203.551614180553</v>
      </c>
      <c r="BH597" s="96" t="str">
        <f>+VLOOKUP(G597,Liste!$A$7:$G$50,3,FALSE)</f>
        <v>Pin Laricio</v>
      </c>
      <c r="BI597" s="96" t="str">
        <f>+VLOOKUP(H597,Liste!$B$7:$G$50,5,FALSE)</f>
        <v>GS Pineraies des plaines du Centre et du Nord Ouest</v>
      </c>
      <c r="BJ597" s="135">
        <f t="shared" si="186"/>
        <v>29</v>
      </c>
      <c r="BK597" s="135" t="str">
        <f t="shared" si="188"/>
        <v>Pin Laricio_F1_Classique_GS Pineraies des plaines du Centre et du Nord Ouest_29_</v>
      </c>
      <c r="BL597" s="322"/>
      <c r="BM597" s="13">
        <v>53.791504195593802</v>
      </c>
      <c r="BN597" s="13">
        <v>257.343118376147</v>
      </c>
      <c r="BO597" s="13" t="s">
        <v>169</v>
      </c>
      <c r="BP597" s="13">
        <v>279.01190783056597</v>
      </c>
      <c r="BQ597" s="13" t="s">
        <v>169</v>
      </c>
      <c r="BT597" s="298" t="str">
        <f>+VLOOKUP(G597,Liste!$A$7:$H$50,8,FALSE)</f>
        <v>Résineux</v>
      </c>
      <c r="BU597" s="298">
        <f t="shared" si="189"/>
        <v>0</v>
      </c>
      <c r="BV597" s="300">
        <f t="shared" si="190"/>
        <v>1</v>
      </c>
      <c r="BW597" s="321">
        <v>0</v>
      </c>
      <c r="BX597" s="298">
        <f t="shared" si="191"/>
        <v>0.43</v>
      </c>
      <c r="BY597">
        <f t="shared" si="192"/>
        <v>0</v>
      </c>
      <c r="BZ597" s="304">
        <f t="shared" si="193"/>
        <v>39.18828259510331</v>
      </c>
      <c r="CB597" s="299">
        <v>0.6</v>
      </c>
      <c r="CC597" s="299">
        <v>0.4</v>
      </c>
      <c r="CD597">
        <f t="shared" si="194"/>
        <v>0</v>
      </c>
      <c r="CE597">
        <f t="shared" si="195"/>
        <v>0</v>
      </c>
      <c r="CF597">
        <f t="shared" si="196"/>
        <v>0</v>
      </c>
      <c r="CG597">
        <f t="shared" si="197"/>
        <v>0</v>
      </c>
      <c r="CH597">
        <f t="shared" si="198"/>
        <v>0</v>
      </c>
      <c r="CI597">
        <f t="shared" si="199"/>
        <v>0</v>
      </c>
      <c r="CJ597">
        <f t="shared" si="200"/>
        <v>0</v>
      </c>
      <c r="CK597">
        <f t="shared" si="201"/>
        <v>34.885363550405678</v>
      </c>
      <c r="CL597">
        <f t="shared" si="202"/>
        <v>3.3530963484945806</v>
      </c>
      <c r="CM597">
        <f t="shared" si="204"/>
        <v>38.23845989890026</v>
      </c>
      <c r="CN597">
        <f t="shared" si="203"/>
        <v>379.2029940578218</v>
      </c>
      <c r="CO597">
        <f t="shared" si="187"/>
        <v>0</v>
      </c>
    </row>
    <row r="598" spans="1:93" s="12" customFormat="1" ht="14.65" customHeight="1" x14ac:dyDescent="0.25">
      <c r="A598" s="4">
        <v>2021</v>
      </c>
      <c r="B598" s="4"/>
      <c r="C598" s="4" t="s">
        <v>179</v>
      </c>
      <c r="D598" s="4" t="s">
        <v>65</v>
      </c>
      <c r="E598" s="4"/>
      <c r="F598" s="4" t="s">
        <v>90</v>
      </c>
      <c r="G598" s="5" t="s">
        <v>180</v>
      </c>
      <c r="H598" s="5" t="s">
        <v>21</v>
      </c>
      <c r="I598" s="5" t="s">
        <v>18</v>
      </c>
      <c r="J598" s="5" t="s">
        <v>9</v>
      </c>
      <c r="K598" s="5">
        <v>26</v>
      </c>
      <c r="L598" s="5" t="s">
        <v>190</v>
      </c>
      <c r="M598" s="5">
        <v>1600</v>
      </c>
      <c r="N598" s="5" t="s">
        <v>171</v>
      </c>
      <c r="O598" s="6" t="s">
        <v>81</v>
      </c>
      <c r="P598" s="6" t="s">
        <v>181</v>
      </c>
      <c r="Q598" s="6"/>
      <c r="R598" s="6"/>
      <c r="S598" s="6">
        <v>15</v>
      </c>
      <c r="T598" s="6">
        <v>8.23</v>
      </c>
      <c r="U598" s="6">
        <v>1600</v>
      </c>
      <c r="V598" s="6">
        <v>14.07</v>
      </c>
      <c r="W598" s="6">
        <v>109</v>
      </c>
      <c r="X598" s="6">
        <v>1278</v>
      </c>
      <c r="Y598" s="6">
        <v>213</v>
      </c>
      <c r="Z598" s="6">
        <v>0</v>
      </c>
      <c r="AA598" s="6">
        <v>0</v>
      </c>
      <c r="AB598" s="6">
        <v>0</v>
      </c>
      <c r="AC598" s="7">
        <v>30</v>
      </c>
      <c r="AD598" s="7" t="s">
        <v>52</v>
      </c>
      <c r="AE598" s="7">
        <v>18.350000000000001</v>
      </c>
      <c r="AF598" s="76">
        <v>696.2</v>
      </c>
      <c r="AG598" s="7">
        <v>29.83</v>
      </c>
      <c r="AH598" s="7">
        <v>23.36</v>
      </c>
      <c r="AI598" s="7">
        <v>27.34</v>
      </c>
      <c r="AJ598" s="9">
        <v>256.30428865563101</v>
      </c>
      <c r="AK598" s="9">
        <v>256.78570960426498</v>
      </c>
      <c r="AL598" s="9">
        <v>280.34854867121697</v>
      </c>
      <c r="AM598" s="9">
        <v>45.708152576827601</v>
      </c>
      <c r="AN598" s="9">
        <v>1.52360508589425</v>
      </c>
      <c r="AO598" s="9">
        <v>1.38861529765069</v>
      </c>
      <c r="AP598" s="9">
        <v>393.38662051231898</v>
      </c>
      <c r="AQ598" s="9">
        <v>13.112887350410601</v>
      </c>
      <c r="AR598" s="9">
        <v>18.313334921691101</v>
      </c>
      <c r="AS598" s="8" t="s">
        <v>169</v>
      </c>
      <c r="AT598" s="8" t="s">
        <v>169</v>
      </c>
      <c r="AU598" s="10" t="s">
        <v>169</v>
      </c>
      <c r="AV598" s="10">
        <v>0</v>
      </c>
      <c r="AW598" s="8"/>
      <c r="AX598" s="10" t="s">
        <v>169</v>
      </c>
      <c r="AY598" s="10"/>
      <c r="AZ598" s="10"/>
      <c r="BA598" s="10"/>
      <c r="BB598" s="8"/>
      <c r="BC598" s="8"/>
      <c r="BD598" s="8"/>
      <c r="BE598" s="8"/>
      <c r="BF598" s="12">
        <v>0.45</v>
      </c>
      <c r="BG598" s="13">
        <v>219.88593292848901</v>
      </c>
      <c r="BH598" s="96" t="str">
        <f>+VLOOKUP(G598,Liste!$A$7:$G$50,3,FALSE)</f>
        <v>Pin Laricio</v>
      </c>
      <c r="BI598" s="96" t="str">
        <f>+VLOOKUP(H598,Liste!$B$7:$G$50,5,FALSE)</f>
        <v>GS Pineraies des plaines du Centre et du Nord Ouest</v>
      </c>
      <c r="BJ598" s="135">
        <f t="shared" si="186"/>
        <v>30</v>
      </c>
      <c r="BK598" s="135" t="str">
        <f t="shared" si="188"/>
        <v>Pin Laricio_F1_Classique_GS Pineraies des plaines du Centre et du Nord Ouest_30_</v>
      </c>
      <c r="BL598" s="322"/>
      <c r="BM598" s="13">
        <v>57.698704122414703</v>
      </c>
      <c r="BN598" s="13">
        <v>277.58463705090401</v>
      </c>
      <c r="BO598" s="13" t="s">
        <v>169</v>
      </c>
      <c r="BP598" s="13">
        <v>279.01190783056597</v>
      </c>
      <c r="BQ598" s="13">
        <v>17.548524484647899</v>
      </c>
      <c r="BT598" s="298" t="str">
        <f>+VLOOKUP(G598,Liste!$A$7:$H$50,8,FALSE)</f>
        <v>Résineux</v>
      </c>
      <c r="BU598" s="298">
        <f t="shared" si="189"/>
        <v>0</v>
      </c>
      <c r="BV598" s="300">
        <f t="shared" si="190"/>
        <v>1</v>
      </c>
      <c r="BW598" s="321">
        <v>0</v>
      </c>
      <c r="BX598" s="298">
        <f t="shared" si="191"/>
        <v>0.43</v>
      </c>
      <c r="BY598">
        <f t="shared" si="192"/>
        <v>0</v>
      </c>
      <c r="BZ598" s="304">
        <f t="shared" si="193"/>
        <v>39.18828259510331</v>
      </c>
      <c r="CB598" s="299">
        <v>0.6</v>
      </c>
      <c r="CC598" s="299">
        <v>0.4</v>
      </c>
      <c r="CD598">
        <f t="shared" si="194"/>
        <v>0</v>
      </c>
      <c r="CE598">
        <f t="shared" si="195"/>
        <v>0</v>
      </c>
      <c r="CF598">
        <f t="shared" si="196"/>
        <v>0</v>
      </c>
      <c r="CG598">
        <f t="shared" si="197"/>
        <v>0</v>
      </c>
      <c r="CH598">
        <f t="shared" si="198"/>
        <v>0</v>
      </c>
      <c r="CI598">
        <f t="shared" si="199"/>
        <v>0</v>
      </c>
      <c r="CJ598">
        <f t="shared" si="200"/>
        <v>0</v>
      </c>
      <c r="CK598">
        <f t="shared" si="201"/>
        <v>33.931421449578295</v>
      </c>
      <c r="CL598">
        <f t="shared" si="202"/>
        <v>2.3709971659923692</v>
      </c>
      <c r="CM598">
        <f t="shared" si="204"/>
        <v>36.302418615570666</v>
      </c>
      <c r="CN598">
        <f t="shared" si="203"/>
        <v>415.50541267339247</v>
      </c>
      <c r="CO598">
        <f t="shared" si="187"/>
        <v>13.850180422446416</v>
      </c>
    </row>
    <row r="599" spans="1:93" s="12" customFormat="1" ht="14.65" customHeight="1" x14ac:dyDescent="0.25">
      <c r="A599" s="4">
        <v>2021</v>
      </c>
      <c r="B599" s="4"/>
      <c r="C599" s="4" t="s">
        <v>179</v>
      </c>
      <c r="D599" s="4" t="s">
        <v>65</v>
      </c>
      <c r="E599" s="4"/>
      <c r="F599" s="4" t="s">
        <v>90</v>
      </c>
      <c r="G599" s="5" t="s">
        <v>180</v>
      </c>
      <c r="H599" s="5" t="s">
        <v>21</v>
      </c>
      <c r="I599" s="5" t="s">
        <v>18</v>
      </c>
      <c r="J599" s="5" t="s">
        <v>9</v>
      </c>
      <c r="K599" s="5">
        <v>26</v>
      </c>
      <c r="L599" s="5" t="s">
        <v>190</v>
      </c>
      <c r="M599" s="5">
        <v>1600</v>
      </c>
      <c r="N599" s="5" t="s">
        <v>171</v>
      </c>
      <c r="O599" s="6" t="s">
        <v>81</v>
      </c>
      <c r="P599" s="6" t="s">
        <v>181</v>
      </c>
      <c r="Q599" s="6"/>
      <c r="R599" s="6"/>
      <c r="S599" s="6">
        <v>15</v>
      </c>
      <c r="T599" s="6">
        <v>8.23</v>
      </c>
      <c r="U599" s="6">
        <v>1600</v>
      </c>
      <c r="V599" s="6">
        <v>14.07</v>
      </c>
      <c r="W599" s="6">
        <v>109</v>
      </c>
      <c r="X599" s="6">
        <v>1278</v>
      </c>
      <c r="Y599" s="6">
        <v>213</v>
      </c>
      <c r="Z599" s="6">
        <v>0</v>
      </c>
      <c r="AA599" s="6">
        <v>0</v>
      </c>
      <c r="AB599" s="6">
        <v>0</v>
      </c>
      <c r="AC599" s="7">
        <v>30</v>
      </c>
      <c r="AD599" s="7" t="s">
        <v>53</v>
      </c>
      <c r="AE599" s="7">
        <v>18.350000000000001</v>
      </c>
      <c r="AF599" s="76">
        <v>490.2</v>
      </c>
      <c r="AG599" s="7">
        <v>22.02</v>
      </c>
      <c r="AH599" s="7">
        <v>23.91</v>
      </c>
      <c r="AI599" s="7">
        <v>27.34</v>
      </c>
      <c r="AJ599" s="9">
        <v>190.31301116157999</v>
      </c>
      <c r="AK599" s="9">
        <v>190.6813663973</v>
      </c>
      <c r="AL599" s="9">
        <v>207.72443969540501</v>
      </c>
      <c r="AM599" s="9">
        <v>45.708152576827601</v>
      </c>
      <c r="AN599" s="9">
        <v>1.52360508589425</v>
      </c>
      <c r="AO599" s="9">
        <v>1.38861529765069</v>
      </c>
      <c r="AP599" s="9">
        <v>393.38662051231898</v>
      </c>
      <c r="AQ599" s="9">
        <v>13.112887350410601</v>
      </c>
      <c r="AR599" s="9">
        <v>18.313334921691101</v>
      </c>
      <c r="AS599" s="8">
        <v>206.00000000000006</v>
      </c>
      <c r="AT599" s="8">
        <v>7.8099999999999987</v>
      </c>
      <c r="AU599" s="10">
        <v>21.970855413281946</v>
      </c>
      <c r="AV599" s="10">
        <v>65.991277494051019</v>
      </c>
      <c r="AW599" s="10">
        <v>0.88460268913195494</v>
      </c>
      <c r="AX599" s="10">
        <v>0.32034600725267476</v>
      </c>
      <c r="AY599" s="10"/>
      <c r="AZ599" s="10"/>
      <c r="BA599" s="10"/>
      <c r="BB599" s="8"/>
      <c r="BC599" s="8"/>
      <c r="BD599" s="8"/>
      <c r="BE599" s="8"/>
      <c r="BF599" s="12">
        <v>0.45</v>
      </c>
      <c r="BG599" s="13">
        <v>162.924625188763</v>
      </c>
      <c r="BH599" s="96" t="str">
        <f>+VLOOKUP(G599,Liste!$A$7:$G$50,3,FALSE)</f>
        <v>Pin Laricio</v>
      </c>
      <c r="BI599" s="96" t="str">
        <f>+VLOOKUP(H599,Liste!$B$7:$G$50,5,FALSE)</f>
        <v>GS Pineraies des plaines du Centre et du Nord Ouest</v>
      </c>
      <c r="BJ599" s="135">
        <f t="shared" si="186"/>
        <v>30</v>
      </c>
      <c r="BK599" s="135" t="str">
        <f t="shared" si="188"/>
        <v>Pin Laricio_F1_Classique_GS Pineraies des plaines du Centre et du Nord Ouest_30_</v>
      </c>
      <c r="BL599" s="322"/>
      <c r="BM599" s="13">
        <v>44.270239414603402</v>
      </c>
      <c r="BN599" s="13">
        <v>207.19486460336699</v>
      </c>
      <c r="BO599" s="13">
        <v>70.389772447537013</v>
      </c>
      <c r="BP599" s="13">
        <v>279.01190783056597</v>
      </c>
      <c r="BQ599" s="13">
        <v>17.548524484647899</v>
      </c>
      <c r="BT599" s="298" t="str">
        <f>+VLOOKUP(G599,Liste!$A$7:$H$50,8,FALSE)</f>
        <v>Résineux</v>
      </c>
      <c r="BU599" s="298">
        <f t="shared" si="189"/>
        <v>0</v>
      </c>
      <c r="BV599" s="300">
        <f t="shared" si="190"/>
        <v>1</v>
      </c>
      <c r="BW599" s="321">
        <v>0</v>
      </c>
      <c r="BX599" s="298">
        <f t="shared" si="191"/>
        <v>0.43</v>
      </c>
      <c r="BY599">
        <f t="shared" si="192"/>
        <v>28.376249322441939</v>
      </c>
      <c r="BZ599" s="304">
        <f t="shared" si="193"/>
        <v>67.564531917545253</v>
      </c>
      <c r="CB599" s="299">
        <v>0.6</v>
      </c>
      <c r="CC599" s="299">
        <v>0.4</v>
      </c>
      <c r="CD599">
        <f t="shared" si="194"/>
        <v>0</v>
      </c>
      <c r="CE599">
        <f t="shared" si="195"/>
        <v>39.594766496430609</v>
      </c>
      <c r="CF599">
        <f t="shared" si="196"/>
        <v>26.39651099762041</v>
      </c>
      <c r="CG599">
        <f t="shared" si="197"/>
        <v>0</v>
      </c>
      <c r="CH599">
        <f t="shared" si="198"/>
        <v>31.032398241577493</v>
      </c>
      <c r="CI599">
        <f t="shared" si="199"/>
        <v>20.688265494384996</v>
      </c>
      <c r="CJ599">
        <f t="shared" si="200"/>
        <v>0</v>
      </c>
      <c r="CK599">
        <f t="shared" si="201"/>
        <v>33.003564945663676</v>
      </c>
      <c r="CL599">
        <f t="shared" si="202"/>
        <v>1.6765481742472905</v>
      </c>
      <c r="CM599">
        <f t="shared" si="204"/>
        <v>34.680113119910963</v>
      </c>
      <c r="CN599">
        <f t="shared" si="203"/>
        <v>450.18552579330344</v>
      </c>
      <c r="CO599">
        <f t="shared" si="187"/>
        <v>15.006184193110114</v>
      </c>
    </row>
    <row r="600" spans="1:93" s="12" customFormat="1" ht="14.65" customHeight="1" x14ac:dyDescent="0.25">
      <c r="A600" s="4">
        <v>2021</v>
      </c>
      <c r="B600" s="4"/>
      <c r="C600" s="4" t="s">
        <v>179</v>
      </c>
      <c r="D600" s="4" t="s">
        <v>65</v>
      </c>
      <c r="E600" s="4"/>
      <c r="F600" s="4" t="s">
        <v>90</v>
      </c>
      <c r="G600" s="5" t="s">
        <v>180</v>
      </c>
      <c r="H600" s="5" t="s">
        <v>21</v>
      </c>
      <c r="I600" s="5" t="s">
        <v>18</v>
      </c>
      <c r="J600" s="5" t="s">
        <v>9</v>
      </c>
      <c r="K600" s="5">
        <v>26</v>
      </c>
      <c r="L600" s="5" t="s">
        <v>190</v>
      </c>
      <c r="M600" s="5">
        <v>1600</v>
      </c>
      <c r="N600" s="5" t="s">
        <v>171</v>
      </c>
      <c r="O600" s="6" t="s">
        <v>81</v>
      </c>
      <c r="P600" s="6" t="s">
        <v>181</v>
      </c>
      <c r="Q600" s="6"/>
      <c r="R600" s="6"/>
      <c r="S600" s="6">
        <v>15</v>
      </c>
      <c r="T600" s="6">
        <v>8.23</v>
      </c>
      <c r="U600" s="6">
        <v>1600</v>
      </c>
      <c r="V600" s="6">
        <v>14.07</v>
      </c>
      <c r="W600" s="6">
        <v>109</v>
      </c>
      <c r="X600" s="6">
        <v>1278</v>
      </c>
      <c r="Y600" s="6">
        <v>213</v>
      </c>
      <c r="Z600" s="6">
        <v>0</v>
      </c>
      <c r="AA600" s="6">
        <v>0</v>
      </c>
      <c r="AB600" s="6">
        <v>0</v>
      </c>
      <c r="AC600" s="7">
        <v>31</v>
      </c>
      <c r="AD600" s="7" t="s">
        <v>52</v>
      </c>
      <c r="AE600" s="7">
        <v>18.88</v>
      </c>
      <c r="AF600" s="76">
        <v>489.6</v>
      </c>
      <c r="AG600" s="7">
        <v>23.27</v>
      </c>
      <c r="AH600" s="7">
        <v>24.6</v>
      </c>
      <c r="AI600" s="7">
        <v>27.83</v>
      </c>
      <c r="AJ600" s="9">
        <v>191.23707540131099</v>
      </c>
      <c r="AK600" s="9">
        <v>192.80682850379199</v>
      </c>
      <c r="AL600" s="9">
        <v>226.03777461709601</v>
      </c>
      <c r="AM600" s="9" t="s">
        <v>169</v>
      </c>
      <c r="AN600" s="9" t="s">
        <v>169</v>
      </c>
      <c r="AO600" s="9" t="s">
        <v>169</v>
      </c>
      <c r="AP600" s="9" t="s">
        <v>169</v>
      </c>
      <c r="AQ600" s="9" t="s">
        <v>169</v>
      </c>
      <c r="AR600" s="9" t="s">
        <v>169</v>
      </c>
      <c r="AS600" s="8" t="s">
        <v>169</v>
      </c>
      <c r="AT600" s="8" t="s">
        <v>169</v>
      </c>
      <c r="AU600" s="10" t="s">
        <v>169</v>
      </c>
      <c r="AV600" s="10">
        <v>0</v>
      </c>
      <c r="AW600" s="8"/>
      <c r="AX600" s="10" t="s">
        <v>169</v>
      </c>
      <c r="AY600" s="10"/>
      <c r="AZ600" s="10"/>
      <c r="BA600" s="10"/>
      <c r="BB600" s="8"/>
      <c r="BC600" s="8"/>
      <c r="BD600" s="8"/>
      <c r="BE600" s="8"/>
      <c r="BF600" s="12">
        <v>0.45</v>
      </c>
      <c r="BG600" s="13">
        <v>177.28833334196801</v>
      </c>
      <c r="BH600" s="96" t="str">
        <f>+VLOOKUP(G600,Liste!$A$7:$G$50,3,FALSE)</f>
        <v>Pin Laricio</v>
      </c>
      <c r="BI600" s="96" t="str">
        <f>+VLOOKUP(H600,Liste!$B$7:$G$50,5,FALSE)</f>
        <v>GS Pineraies des plaines du Centre et du Nord Ouest</v>
      </c>
      <c r="BJ600" s="135">
        <f t="shared" si="186"/>
        <v>31</v>
      </c>
      <c r="BK600" s="135" t="str">
        <f t="shared" si="188"/>
        <v>Pin Laricio_F1_Classique_GS Pineraies des plaines du Centre et du Nord Ouest_31_</v>
      </c>
      <c r="BL600" s="322"/>
      <c r="BM600" s="13">
        <v>47.685612693067498</v>
      </c>
      <c r="BN600" s="13">
        <v>224.97394603503599</v>
      </c>
      <c r="BO600" s="13" t="s">
        <v>169</v>
      </c>
      <c r="BP600" s="13">
        <v>279.01190783056597</v>
      </c>
      <c r="BQ600" s="13" t="s">
        <v>169</v>
      </c>
      <c r="BT600" s="298" t="str">
        <f>+VLOOKUP(G600,Liste!$A$7:$H$50,8,FALSE)</f>
        <v>Résineux</v>
      </c>
      <c r="BU600" s="298">
        <f t="shared" si="189"/>
        <v>0</v>
      </c>
      <c r="BV600" s="300">
        <f t="shared" si="190"/>
        <v>1</v>
      </c>
      <c r="BW600" s="321">
        <v>0</v>
      </c>
      <c r="BX600" s="298">
        <f t="shared" si="191"/>
        <v>0.43</v>
      </c>
      <c r="BY600">
        <f t="shared" si="192"/>
        <v>0</v>
      </c>
      <c r="BZ600" s="304">
        <f t="shared" si="193"/>
        <v>0</v>
      </c>
      <c r="CB600" s="299">
        <v>0.6</v>
      </c>
      <c r="CC600" s="299">
        <v>0.4</v>
      </c>
      <c r="CD600">
        <f t="shared" si="194"/>
        <v>0</v>
      </c>
      <c r="CE600">
        <f t="shared" si="195"/>
        <v>0</v>
      </c>
      <c r="CF600">
        <f t="shared" si="196"/>
        <v>0</v>
      </c>
      <c r="CG600">
        <f t="shared" si="197"/>
        <v>0</v>
      </c>
      <c r="CH600">
        <f t="shared" si="198"/>
        <v>0</v>
      </c>
      <c r="CI600">
        <f t="shared" si="199"/>
        <v>0</v>
      </c>
      <c r="CJ600">
        <f t="shared" si="200"/>
        <v>0</v>
      </c>
      <c r="CK600">
        <f t="shared" si="201"/>
        <v>62.707227070385912</v>
      </c>
      <c r="CL600">
        <f t="shared" si="202"/>
        <v>18.66938322470444</v>
      </c>
      <c r="CM600">
        <f t="shared" si="204"/>
        <v>81.376610295090359</v>
      </c>
      <c r="CN600">
        <f t="shared" si="203"/>
        <v>531.5621360883938</v>
      </c>
      <c r="CO600">
        <f t="shared" si="187"/>
        <v>0</v>
      </c>
    </row>
    <row r="601" spans="1:93" s="12" customFormat="1" ht="14.65" customHeight="1" x14ac:dyDescent="0.25">
      <c r="A601" s="4">
        <v>2021</v>
      </c>
      <c r="B601" s="4"/>
      <c r="C601" s="4" t="s">
        <v>179</v>
      </c>
      <c r="D601" s="4" t="s">
        <v>65</v>
      </c>
      <c r="E601" s="4"/>
      <c r="F601" s="4" t="s">
        <v>90</v>
      </c>
      <c r="G601" s="5" t="s">
        <v>180</v>
      </c>
      <c r="H601" s="5" t="s">
        <v>21</v>
      </c>
      <c r="I601" s="5" t="s">
        <v>18</v>
      </c>
      <c r="J601" s="5" t="s">
        <v>9</v>
      </c>
      <c r="K601" s="5">
        <v>26</v>
      </c>
      <c r="L601" s="5" t="s">
        <v>190</v>
      </c>
      <c r="M601" s="5">
        <v>1600</v>
      </c>
      <c r="N601" s="5" t="s">
        <v>171</v>
      </c>
      <c r="O601" s="6" t="s">
        <v>81</v>
      </c>
      <c r="P601" s="6" t="s">
        <v>181</v>
      </c>
      <c r="Q601" s="6"/>
      <c r="R601" s="6"/>
      <c r="S601" s="6">
        <v>15</v>
      </c>
      <c r="T601" s="6">
        <v>8.23</v>
      </c>
      <c r="U601" s="6">
        <v>1600</v>
      </c>
      <c r="V601" s="6">
        <v>14.07</v>
      </c>
      <c r="W601" s="6">
        <v>109</v>
      </c>
      <c r="X601" s="6">
        <v>1278</v>
      </c>
      <c r="Y601" s="6">
        <v>213</v>
      </c>
      <c r="Z601" s="6">
        <v>0</v>
      </c>
      <c r="AA601" s="6">
        <v>0</v>
      </c>
      <c r="AB601" s="6">
        <v>0</v>
      </c>
      <c r="AC601" s="7">
        <v>32</v>
      </c>
      <c r="AD601" s="7" t="s">
        <v>52</v>
      </c>
      <c r="AE601" s="7">
        <v>19.39</v>
      </c>
      <c r="AF601" s="76">
        <v>489.2</v>
      </c>
      <c r="AG601" s="7">
        <v>24.8</v>
      </c>
      <c r="AH601" s="7">
        <v>25.4</v>
      </c>
      <c r="AI601" s="7">
        <v>28.73</v>
      </c>
      <c r="AJ601" s="9">
        <v>192.16113964104201</v>
      </c>
      <c r="AK601" s="9">
        <v>194.93229061028401</v>
      </c>
      <c r="AL601" s="9">
        <v>244.351109538787</v>
      </c>
      <c r="AM601" s="9">
        <v>48.485383172128898</v>
      </c>
      <c r="AN601" s="9">
        <v>1.5151682241290301</v>
      </c>
      <c r="AO601" s="9">
        <v>1.5062528290097901</v>
      </c>
      <c r="AP601" s="9">
        <v>430.01329035570097</v>
      </c>
      <c r="AQ601" s="9">
        <v>13.4379153236156</v>
      </c>
      <c r="AR601" s="9">
        <v>20.854230085467901</v>
      </c>
      <c r="AS601" s="8" t="s">
        <v>169</v>
      </c>
      <c r="AT601" s="8" t="s">
        <v>169</v>
      </c>
      <c r="AU601" s="10" t="s">
        <v>169</v>
      </c>
      <c r="AV601" s="10">
        <v>0</v>
      </c>
      <c r="AW601" s="8"/>
      <c r="AX601" s="10" t="s">
        <v>169</v>
      </c>
      <c r="AY601" s="10"/>
      <c r="AZ601" s="10"/>
      <c r="BA601" s="10"/>
      <c r="BB601" s="8"/>
      <c r="BC601" s="8"/>
      <c r="BD601" s="8"/>
      <c r="BE601" s="8"/>
      <c r="BF601" s="12">
        <v>0.45</v>
      </c>
      <c r="BG601" s="13">
        <v>191.65204149517299</v>
      </c>
      <c r="BH601" s="96" t="str">
        <f>+VLOOKUP(G601,Liste!$A$7:$G$50,3,FALSE)</f>
        <v>Pin Laricio</v>
      </c>
      <c r="BI601" s="96" t="str">
        <f>+VLOOKUP(H601,Liste!$B$7:$G$50,5,FALSE)</f>
        <v>GS Pineraies des plaines du Centre et du Nord Ouest</v>
      </c>
      <c r="BJ601" s="135">
        <f t="shared" si="186"/>
        <v>32</v>
      </c>
      <c r="BK601" s="135" t="str">
        <f t="shared" si="188"/>
        <v>Pin Laricio_F1_Classique_GS Pineraies des plaines du Centre et du Nord Ouest_32_</v>
      </c>
      <c r="BL601" s="322"/>
      <c r="BM601" s="13">
        <v>51.1009859715316</v>
      </c>
      <c r="BN601" s="13">
        <v>242.75302746670499</v>
      </c>
      <c r="BO601" s="13" t="s">
        <v>169</v>
      </c>
      <c r="BP601" s="13">
        <v>279.01190783056597</v>
      </c>
      <c r="BQ601" s="13">
        <v>19.917985682562001</v>
      </c>
      <c r="BT601" s="298" t="str">
        <f>+VLOOKUP(G601,Liste!$A$7:$H$50,8,FALSE)</f>
        <v>Résineux</v>
      </c>
      <c r="BU601" s="298">
        <f t="shared" si="189"/>
        <v>0</v>
      </c>
      <c r="BV601" s="300">
        <f t="shared" si="190"/>
        <v>1</v>
      </c>
      <c r="BW601" s="321">
        <v>0</v>
      </c>
      <c r="BX601" s="298">
        <f t="shared" si="191"/>
        <v>0.43</v>
      </c>
      <c r="BY601">
        <f t="shared" si="192"/>
        <v>0</v>
      </c>
      <c r="BZ601" s="304">
        <f t="shared" si="193"/>
        <v>0</v>
      </c>
      <c r="CB601" s="299">
        <v>0.6</v>
      </c>
      <c r="CC601" s="299">
        <v>0.4</v>
      </c>
      <c r="CD601">
        <f t="shared" si="194"/>
        <v>0</v>
      </c>
      <c r="CE601">
        <f t="shared" si="195"/>
        <v>0</v>
      </c>
      <c r="CF601">
        <f t="shared" si="196"/>
        <v>0</v>
      </c>
      <c r="CG601">
        <f t="shared" si="197"/>
        <v>0</v>
      </c>
      <c r="CH601">
        <f t="shared" si="198"/>
        <v>0</v>
      </c>
      <c r="CI601">
        <f t="shared" si="199"/>
        <v>0</v>
      </c>
      <c r="CJ601">
        <f t="shared" si="200"/>
        <v>0</v>
      </c>
      <c r="CK601">
        <f t="shared" si="201"/>
        <v>0</v>
      </c>
      <c r="CL601">
        <f t="shared" si="202"/>
        <v>0</v>
      </c>
      <c r="CM601">
        <f t="shared" si="204"/>
        <v>0</v>
      </c>
      <c r="CN601">
        <f t="shared" si="203"/>
        <v>0</v>
      </c>
      <c r="CO601">
        <f t="shared" si="187"/>
        <v>0</v>
      </c>
    </row>
    <row r="602" spans="1:93" s="12" customFormat="1" ht="14.65" customHeight="1" x14ac:dyDescent="0.25">
      <c r="A602" s="4">
        <v>2021</v>
      </c>
      <c r="B602" s="4"/>
      <c r="C602" s="4" t="s">
        <v>179</v>
      </c>
      <c r="D602" s="4" t="s">
        <v>65</v>
      </c>
      <c r="E602" s="4"/>
      <c r="F602" s="4" t="s">
        <v>90</v>
      </c>
      <c r="G602" s="5" t="s">
        <v>180</v>
      </c>
      <c r="H602" s="5" t="s">
        <v>21</v>
      </c>
      <c r="I602" s="5" t="s">
        <v>18</v>
      </c>
      <c r="J602" s="5" t="s">
        <v>9</v>
      </c>
      <c r="K602" s="5">
        <v>26</v>
      </c>
      <c r="L602" s="5" t="s">
        <v>190</v>
      </c>
      <c r="M602" s="5">
        <v>1600</v>
      </c>
      <c r="N602" s="5" t="s">
        <v>171</v>
      </c>
      <c r="O602" s="6" t="s">
        <v>81</v>
      </c>
      <c r="P602" s="6" t="s">
        <v>181</v>
      </c>
      <c r="Q602" s="6"/>
      <c r="R602" s="6"/>
      <c r="S602" s="6">
        <v>15</v>
      </c>
      <c r="T602" s="6">
        <v>8.23</v>
      </c>
      <c r="U602" s="6">
        <v>1600</v>
      </c>
      <c r="V602" s="6">
        <v>14.07</v>
      </c>
      <c r="W602" s="6">
        <v>109</v>
      </c>
      <c r="X602" s="6">
        <v>1278</v>
      </c>
      <c r="Y602" s="6">
        <v>213</v>
      </c>
      <c r="Z602" s="6">
        <v>0</v>
      </c>
      <c r="AA602" s="6">
        <v>0</v>
      </c>
      <c r="AB602" s="6">
        <v>0</v>
      </c>
      <c r="AC602" s="7">
        <v>33</v>
      </c>
      <c r="AD602" s="7" t="s">
        <v>52</v>
      </c>
      <c r="AE602" s="7">
        <v>19.89</v>
      </c>
      <c r="AF602" s="76">
        <v>488.8</v>
      </c>
      <c r="AG602" s="7">
        <v>26.32</v>
      </c>
      <c r="AH602" s="7">
        <v>26.18</v>
      </c>
      <c r="AI602" s="7">
        <v>29.61</v>
      </c>
      <c r="AJ602" s="9">
        <v>208.858598272812</v>
      </c>
      <c r="AK602" s="9">
        <v>211.99276862643799</v>
      </c>
      <c r="AL602" s="9">
        <v>265.20533962425498</v>
      </c>
      <c r="AM602" s="9" t="s">
        <v>169</v>
      </c>
      <c r="AN602" s="9" t="s">
        <v>169</v>
      </c>
      <c r="AO602" s="9" t="s">
        <v>169</v>
      </c>
      <c r="AP602" s="9" t="s">
        <v>169</v>
      </c>
      <c r="AQ602" s="9" t="s">
        <v>169</v>
      </c>
      <c r="AR602" s="9" t="s">
        <v>169</v>
      </c>
      <c r="AS602" s="8" t="s">
        <v>169</v>
      </c>
      <c r="AT602" s="8" t="s">
        <v>169</v>
      </c>
      <c r="AU602" s="10" t="s">
        <v>169</v>
      </c>
      <c r="AV602" s="10">
        <v>0</v>
      </c>
      <c r="AW602" s="8"/>
      <c r="AX602" s="10" t="s">
        <v>169</v>
      </c>
      <c r="AY602" s="10"/>
      <c r="AZ602" s="10"/>
      <c r="BA602" s="10"/>
      <c r="BB602" s="8"/>
      <c r="BC602" s="8"/>
      <c r="BD602" s="8"/>
      <c r="BE602" s="8"/>
      <c r="BF602" s="12">
        <v>0.45</v>
      </c>
      <c r="BG602" s="13">
        <v>208.00865136379099</v>
      </c>
      <c r="BH602" s="96" t="str">
        <f>+VLOOKUP(G602,Liste!$A$7:$G$50,3,FALSE)</f>
        <v>Pin Laricio</v>
      </c>
      <c r="BI602" s="96" t="str">
        <f>+VLOOKUP(H602,Liste!$B$7:$G$50,5,FALSE)</f>
        <v>GS Pineraies des plaines du Centre et du Nord Ouest</v>
      </c>
      <c r="BJ602" s="135">
        <f t="shared" si="186"/>
        <v>33</v>
      </c>
      <c r="BK602" s="135" t="str">
        <f t="shared" si="188"/>
        <v>Pin Laricio_F1_Classique_GS Pineraies des plaines du Centre et du Nord Ouest_33_</v>
      </c>
      <c r="BL602" s="322"/>
      <c r="BM602" s="13">
        <v>54.8713393263886</v>
      </c>
      <c r="BN602" s="13">
        <v>262.87999069018002</v>
      </c>
      <c r="BO602" s="13" t="s">
        <v>169</v>
      </c>
      <c r="BP602" s="13">
        <v>279.01190783056597</v>
      </c>
      <c r="BQ602" s="13" t="s">
        <v>169</v>
      </c>
      <c r="BT602" s="298" t="str">
        <f>+VLOOKUP(G602,Liste!$A$7:$H$50,8,FALSE)</f>
        <v>Résineux</v>
      </c>
      <c r="BU602" s="298">
        <f t="shared" si="189"/>
        <v>0</v>
      </c>
      <c r="BV602" s="300">
        <f t="shared" si="190"/>
        <v>1</v>
      </c>
      <c r="BW602" s="321">
        <v>0</v>
      </c>
      <c r="BX602" s="298">
        <f t="shared" si="191"/>
        <v>0.43</v>
      </c>
      <c r="BY602">
        <f t="shared" si="192"/>
        <v>0</v>
      </c>
      <c r="BZ602" s="304">
        <f t="shared" si="193"/>
        <v>0</v>
      </c>
      <c r="CB602" s="299">
        <v>0.6</v>
      </c>
      <c r="CC602" s="299">
        <v>0.4</v>
      </c>
      <c r="CD602">
        <f t="shared" si="194"/>
        <v>0</v>
      </c>
      <c r="CE602">
        <f t="shared" si="195"/>
        <v>0</v>
      </c>
      <c r="CF602">
        <f t="shared" si="196"/>
        <v>0</v>
      </c>
      <c r="CG602">
        <f t="shared" si="197"/>
        <v>0</v>
      </c>
      <c r="CH602">
        <f t="shared" si="198"/>
        <v>0</v>
      </c>
      <c r="CI602">
        <f t="shared" si="199"/>
        <v>0</v>
      </c>
      <c r="CJ602">
        <f t="shared" si="200"/>
        <v>0</v>
      </c>
      <c r="CK602">
        <f t="shared" si="201"/>
        <v>0</v>
      </c>
      <c r="CL602">
        <f t="shared" si="202"/>
        <v>0</v>
      </c>
      <c r="CM602">
        <f t="shared" si="204"/>
        <v>0</v>
      </c>
      <c r="CN602">
        <f t="shared" si="203"/>
        <v>0</v>
      </c>
      <c r="CO602">
        <f t="shared" si="187"/>
        <v>0</v>
      </c>
    </row>
    <row r="603" spans="1:93" s="12" customFormat="1" ht="14.65" customHeight="1" x14ac:dyDescent="0.25">
      <c r="A603" s="4">
        <v>2021</v>
      </c>
      <c r="B603" s="4"/>
      <c r="C603" s="4" t="s">
        <v>179</v>
      </c>
      <c r="D603" s="4" t="s">
        <v>65</v>
      </c>
      <c r="E603" s="4"/>
      <c r="F603" s="4" t="s">
        <v>90</v>
      </c>
      <c r="G603" s="5" t="s">
        <v>180</v>
      </c>
      <c r="H603" s="5" t="s">
        <v>21</v>
      </c>
      <c r="I603" s="5" t="s">
        <v>18</v>
      </c>
      <c r="J603" s="5" t="s">
        <v>9</v>
      </c>
      <c r="K603" s="5">
        <v>26</v>
      </c>
      <c r="L603" s="5" t="s">
        <v>190</v>
      </c>
      <c r="M603" s="5">
        <v>1600</v>
      </c>
      <c r="N603" s="5" t="s">
        <v>171</v>
      </c>
      <c r="O603" s="6" t="s">
        <v>81</v>
      </c>
      <c r="P603" s="6" t="s">
        <v>181</v>
      </c>
      <c r="Q603" s="6"/>
      <c r="R603" s="6"/>
      <c r="S603" s="6">
        <v>15</v>
      </c>
      <c r="T603" s="6">
        <v>8.23</v>
      </c>
      <c r="U603" s="6">
        <v>1600</v>
      </c>
      <c r="V603" s="6">
        <v>14.07</v>
      </c>
      <c r="W603" s="6">
        <v>109</v>
      </c>
      <c r="X603" s="6">
        <v>1278</v>
      </c>
      <c r="Y603" s="6">
        <v>213</v>
      </c>
      <c r="Z603" s="6">
        <v>0</v>
      </c>
      <c r="AA603" s="6">
        <v>0</v>
      </c>
      <c r="AB603" s="6">
        <v>0</v>
      </c>
      <c r="AC603" s="7">
        <v>34</v>
      </c>
      <c r="AD603" s="7" t="s">
        <v>52</v>
      </c>
      <c r="AE603" s="7">
        <v>20.37</v>
      </c>
      <c r="AF603" s="76">
        <v>488.4</v>
      </c>
      <c r="AG603" s="7">
        <v>27.83</v>
      </c>
      <c r="AH603" s="7">
        <v>26.94</v>
      </c>
      <c r="AI603" s="7">
        <v>30.45</v>
      </c>
      <c r="AJ603" s="9">
        <v>225.556056904581</v>
      </c>
      <c r="AK603" s="9">
        <v>229.053246642592</v>
      </c>
      <c r="AL603" s="9">
        <v>286.05956970972301</v>
      </c>
      <c r="AM603" s="9" t="s">
        <v>169</v>
      </c>
      <c r="AN603" s="9" t="s">
        <v>169</v>
      </c>
      <c r="AO603" s="9" t="s">
        <v>169</v>
      </c>
      <c r="AP603" s="9" t="s">
        <v>169</v>
      </c>
      <c r="AQ603" s="9" t="s">
        <v>169</v>
      </c>
      <c r="AR603" s="9" t="s">
        <v>169</v>
      </c>
      <c r="AS603" s="8" t="s">
        <v>169</v>
      </c>
      <c r="AT603" s="8" t="s">
        <v>169</v>
      </c>
      <c r="AU603" s="10" t="s">
        <v>169</v>
      </c>
      <c r="AV603" s="10">
        <v>0</v>
      </c>
      <c r="AW603" s="8"/>
      <c r="AX603" s="10" t="s">
        <v>169</v>
      </c>
      <c r="AY603" s="10"/>
      <c r="AZ603" s="10"/>
      <c r="BA603" s="10"/>
      <c r="BB603" s="8"/>
      <c r="BC603" s="8"/>
      <c r="BD603" s="8"/>
      <c r="BE603" s="8"/>
      <c r="BF603" s="12">
        <v>0.45</v>
      </c>
      <c r="BG603" s="13">
        <v>224.36526123241001</v>
      </c>
      <c r="BH603" s="96" t="str">
        <f>+VLOOKUP(G603,Liste!$A$7:$G$50,3,FALSE)</f>
        <v>Pin Laricio</v>
      </c>
      <c r="BI603" s="96" t="str">
        <f>+VLOOKUP(H603,Liste!$B$7:$G$50,5,FALSE)</f>
        <v>GS Pineraies des plaines du Centre et du Nord Ouest</v>
      </c>
      <c r="BJ603" s="135">
        <f t="shared" si="186"/>
        <v>34</v>
      </c>
      <c r="BK603" s="135" t="str">
        <f t="shared" si="188"/>
        <v>Pin Laricio_F1_Classique_GS Pineraies des plaines du Centre et du Nord Ouest_34_</v>
      </c>
      <c r="BL603" s="322"/>
      <c r="BM603" s="13">
        <v>58.641692681245601</v>
      </c>
      <c r="BN603" s="13">
        <v>283.00695391365502</v>
      </c>
      <c r="BO603" s="13" t="s">
        <v>169</v>
      </c>
      <c r="BP603" s="13">
        <v>279.01190783056597</v>
      </c>
      <c r="BQ603" s="13" t="s">
        <v>169</v>
      </c>
      <c r="BT603" s="298" t="str">
        <f>+VLOOKUP(G603,Liste!$A$7:$H$50,8,FALSE)</f>
        <v>Résineux</v>
      </c>
      <c r="BU603" s="298">
        <f t="shared" si="189"/>
        <v>0</v>
      </c>
      <c r="BV603" s="300">
        <f t="shared" si="190"/>
        <v>1</v>
      </c>
      <c r="BW603" s="321">
        <v>0</v>
      </c>
      <c r="BX603" s="298">
        <f t="shared" si="191"/>
        <v>0.43</v>
      </c>
      <c r="BY603">
        <f t="shared" si="192"/>
        <v>0</v>
      </c>
      <c r="BZ603" s="304">
        <f t="shared" si="193"/>
        <v>0</v>
      </c>
      <c r="CB603" s="299">
        <v>0.6</v>
      </c>
      <c r="CC603" s="299">
        <v>0.4</v>
      </c>
      <c r="CD603">
        <f t="shared" si="194"/>
        <v>0</v>
      </c>
      <c r="CE603">
        <f t="shared" si="195"/>
        <v>0</v>
      </c>
      <c r="CF603">
        <f t="shared" si="196"/>
        <v>0</v>
      </c>
      <c r="CG603">
        <f t="shared" si="197"/>
        <v>0</v>
      </c>
      <c r="CH603">
        <f t="shared" si="198"/>
        <v>0</v>
      </c>
      <c r="CI603">
        <f t="shared" si="199"/>
        <v>0</v>
      </c>
      <c r="CJ603">
        <f t="shared" si="200"/>
        <v>0</v>
      </c>
      <c r="CK603">
        <f t="shared" si="201"/>
        <v>0</v>
      </c>
      <c r="CL603">
        <f t="shared" si="202"/>
        <v>0</v>
      </c>
      <c r="CM603">
        <f t="shared" si="204"/>
        <v>0</v>
      </c>
      <c r="CN603">
        <f t="shared" si="203"/>
        <v>0</v>
      </c>
      <c r="CO603">
        <f t="shared" si="187"/>
        <v>0</v>
      </c>
    </row>
    <row r="604" spans="1:93" s="12" customFormat="1" ht="14.65" customHeight="1" x14ac:dyDescent="0.25">
      <c r="A604" s="4">
        <v>2021</v>
      </c>
      <c r="B604" s="4"/>
      <c r="C604" s="4" t="s">
        <v>179</v>
      </c>
      <c r="D604" s="4" t="s">
        <v>65</v>
      </c>
      <c r="E604" s="4"/>
      <c r="F604" s="4" t="s">
        <v>90</v>
      </c>
      <c r="G604" s="5" t="s">
        <v>180</v>
      </c>
      <c r="H604" s="5" t="s">
        <v>21</v>
      </c>
      <c r="I604" s="5" t="s">
        <v>18</v>
      </c>
      <c r="J604" s="5" t="s">
        <v>9</v>
      </c>
      <c r="K604" s="5">
        <v>26</v>
      </c>
      <c r="L604" s="5" t="s">
        <v>190</v>
      </c>
      <c r="M604" s="5">
        <v>1600</v>
      </c>
      <c r="N604" s="5" t="s">
        <v>171</v>
      </c>
      <c r="O604" s="6" t="s">
        <v>81</v>
      </c>
      <c r="P604" s="6" t="s">
        <v>181</v>
      </c>
      <c r="Q604" s="6"/>
      <c r="R604" s="6"/>
      <c r="S604" s="6">
        <v>15</v>
      </c>
      <c r="T604" s="6">
        <v>8.23</v>
      </c>
      <c r="U604" s="6">
        <v>1600</v>
      </c>
      <c r="V604" s="6">
        <v>14.07</v>
      </c>
      <c r="W604" s="6">
        <v>109</v>
      </c>
      <c r="X604" s="6">
        <v>1278</v>
      </c>
      <c r="Y604" s="6">
        <v>213</v>
      </c>
      <c r="Z604" s="6">
        <v>0</v>
      </c>
      <c r="AA604" s="6">
        <v>0</v>
      </c>
      <c r="AB604" s="6">
        <v>0</v>
      </c>
      <c r="AC604" s="7">
        <v>35</v>
      </c>
      <c r="AD604" s="7" t="s">
        <v>52</v>
      </c>
      <c r="AE604" s="7">
        <v>20.84</v>
      </c>
      <c r="AF604" s="76">
        <v>488.4</v>
      </c>
      <c r="AG604" s="7">
        <v>29.36</v>
      </c>
      <c r="AH604" s="7">
        <v>27.67</v>
      </c>
      <c r="AI604" s="7">
        <v>31.28</v>
      </c>
      <c r="AJ604" s="9">
        <v>242.25351553635099</v>
      </c>
      <c r="AK604" s="9">
        <v>246.11372465874601</v>
      </c>
      <c r="AL604" s="9">
        <v>306.91379979519002</v>
      </c>
      <c r="AM604" s="9" t="s">
        <v>169</v>
      </c>
      <c r="AN604" s="9" t="s">
        <v>169</v>
      </c>
      <c r="AO604" s="9" t="s">
        <v>169</v>
      </c>
      <c r="AP604" s="9" t="s">
        <v>169</v>
      </c>
      <c r="AQ604" s="9" t="s">
        <v>169</v>
      </c>
      <c r="AR604" s="9" t="s">
        <v>169</v>
      </c>
      <c r="AS604" s="8" t="s">
        <v>169</v>
      </c>
      <c r="AT604" s="8" t="s">
        <v>169</v>
      </c>
      <c r="AU604" s="10" t="s">
        <v>169</v>
      </c>
      <c r="AV604" s="10">
        <v>0</v>
      </c>
      <c r="AW604" s="8"/>
      <c r="AX604" s="10" t="s">
        <v>169</v>
      </c>
      <c r="AY604" s="10"/>
      <c r="AZ604" s="10"/>
      <c r="BA604" s="10"/>
      <c r="BB604" s="8"/>
      <c r="BC604" s="8"/>
      <c r="BD604" s="8"/>
      <c r="BE604" s="8"/>
      <c r="BF604" s="12">
        <v>0.45</v>
      </c>
      <c r="BG604" s="13">
        <v>240.721871101028</v>
      </c>
      <c r="BH604" s="96" t="str">
        <f>+VLOOKUP(G604,Liste!$A$7:$G$50,3,FALSE)</f>
        <v>Pin Laricio</v>
      </c>
      <c r="BI604" s="96" t="str">
        <f>+VLOOKUP(H604,Liste!$B$7:$G$50,5,FALSE)</f>
        <v>GS Pineraies des plaines du Centre et du Nord Ouest</v>
      </c>
      <c r="BJ604" s="135">
        <f t="shared" si="186"/>
        <v>35</v>
      </c>
      <c r="BK604" s="135" t="str">
        <f t="shared" si="188"/>
        <v>Pin Laricio_F1_Classique_GS Pineraies des plaines du Centre et du Nord Ouest_35_</v>
      </c>
      <c r="BL604" s="322"/>
      <c r="BM604" s="13">
        <v>62.412046036102502</v>
      </c>
      <c r="BN604" s="13">
        <v>303.13391713713099</v>
      </c>
      <c r="BO604" s="13" t="s">
        <v>169</v>
      </c>
      <c r="BP604" s="13">
        <v>279.01190783056597</v>
      </c>
      <c r="BQ604" s="13" t="s">
        <v>169</v>
      </c>
      <c r="BT604" s="298" t="str">
        <f>+VLOOKUP(G604,Liste!$A$7:$H$50,8,FALSE)</f>
        <v>Résineux</v>
      </c>
      <c r="BU604" s="298">
        <f t="shared" si="189"/>
        <v>0</v>
      </c>
      <c r="BV604" s="300">
        <f t="shared" si="190"/>
        <v>1</v>
      </c>
      <c r="BW604" s="321">
        <v>0</v>
      </c>
      <c r="BX604" s="298">
        <f t="shared" si="191"/>
        <v>0.43</v>
      </c>
      <c r="BY604">
        <f t="shared" si="192"/>
        <v>0</v>
      </c>
      <c r="BZ604" s="304">
        <f t="shared" si="193"/>
        <v>0</v>
      </c>
      <c r="CB604" s="299">
        <v>0.6</v>
      </c>
      <c r="CC604" s="299">
        <v>0.4</v>
      </c>
      <c r="CD604">
        <f t="shared" si="194"/>
        <v>0</v>
      </c>
      <c r="CE604">
        <f t="shared" si="195"/>
        <v>0</v>
      </c>
      <c r="CF604">
        <f t="shared" si="196"/>
        <v>0</v>
      </c>
      <c r="CG604">
        <f t="shared" si="197"/>
        <v>0</v>
      </c>
      <c r="CH604">
        <f t="shared" si="198"/>
        <v>0</v>
      </c>
      <c r="CI604">
        <f t="shared" si="199"/>
        <v>0</v>
      </c>
      <c r="CJ604">
        <f t="shared" si="200"/>
        <v>0</v>
      </c>
      <c r="CK604">
        <f t="shared" si="201"/>
        <v>0</v>
      </c>
      <c r="CL604">
        <f t="shared" si="202"/>
        <v>0</v>
      </c>
      <c r="CM604">
        <f t="shared" si="204"/>
        <v>0</v>
      </c>
      <c r="CN604">
        <f t="shared" si="203"/>
        <v>0</v>
      </c>
      <c r="CO604">
        <f t="shared" si="187"/>
        <v>0</v>
      </c>
    </row>
    <row r="605" spans="1:93" s="12" customFormat="1" ht="14.65" customHeight="1" x14ac:dyDescent="0.25">
      <c r="A605" s="4">
        <v>2021</v>
      </c>
      <c r="B605" s="4"/>
      <c r="C605" s="4" t="s">
        <v>179</v>
      </c>
      <c r="D605" s="4" t="s">
        <v>65</v>
      </c>
      <c r="E605" s="4"/>
      <c r="F605" s="4" t="s">
        <v>90</v>
      </c>
      <c r="G605" s="5" t="s">
        <v>180</v>
      </c>
      <c r="H605" s="5" t="s">
        <v>21</v>
      </c>
      <c r="I605" s="5" t="s">
        <v>18</v>
      </c>
      <c r="J605" s="5" t="s">
        <v>9</v>
      </c>
      <c r="K605" s="5">
        <v>26</v>
      </c>
      <c r="L605" s="5" t="s">
        <v>190</v>
      </c>
      <c r="M605" s="5">
        <v>1600</v>
      </c>
      <c r="N605" s="5" t="s">
        <v>171</v>
      </c>
      <c r="O605" s="6" t="s">
        <v>81</v>
      </c>
      <c r="P605" s="6" t="s">
        <v>181</v>
      </c>
      <c r="Q605" s="6"/>
      <c r="R605" s="6"/>
      <c r="S605" s="6">
        <v>15</v>
      </c>
      <c r="T605" s="6">
        <v>8.23</v>
      </c>
      <c r="U605" s="6">
        <v>1600</v>
      </c>
      <c r="V605" s="6">
        <v>14.07</v>
      </c>
      <c r="W605" s="6">
        <v>109</v>
      </c>
      <c r="X605" s="6">
        <v>1278</v>
      </c>
      <c r="Y605" s="6">
        <v>213</v>
      </c>
      <c r="Z605" s="6">
        <v>0</v>
      </c>
      <c r="AA605" s="6">
        <v>0</v>
      </c>
      <c r="AB605" s="6">
        <v>0</v>
      </c>
      <c r="AC605" s="7">
        <v>36</v>
      </c>
      <c r="AD605" s="7" t="s">
        <v>52</v>
      </c>
      <c r="AE605" s="7">
        <v>21.29</v>
      </c>
      <c r="AF605" s="76">
        <v>488</v>
      </c>
      <c r="AG605" s="7">
        <v>30.85</v>
      </c>
      <c r="AH605" s="7">
        <v>28.37</v>
      </c>
      <c r="AI605" s="7">
        <v>32.07</v>
      </c>
      <c r="AJ605" s="9">
        <v>258.95097416812001</v>
      </c>
      <c r="AK605" s="9">
        <v>263.17420267490002</v>
      </c>
      <c r="AL605" s="9">
        <v>327.76802988065799</v>
      </c>
      <c r="AM605" s="9" t="s">
        <v>169</v>
      </c>
      <c r="AN605" s="9" t="s">
        <v>169</v>
      </c>
      <c r="AO605" s="9" t="s">
        <v>169</v>
      </c>
      <c r="AP605" s="9" t="s">
        <v>169</v>
      </c>
      <c r="AQ605" s="9" t="s">
        <v>169</v>
      </c>
      <c r="AR605" s="9" t="s">
        <v>169</v>
      </c>
      <c r="AS605" s="8" t="s">
        <v>169</v>
      </c>
      <c r="AT605" s="8" t="s">
        <v>169</v>
      </c>
      <c r="AU605" s="10" t="s">
        <v>169</v>
      </c>
      <c r="AV605" s="10">
        <v>0</v>
      </c>
      <c r="AW605" s="8"/>
      <c r="AX605" s="10" t="s">
        <v>169</v>
      </c>
      <c r="AY605" s="10"/>
      <c r="AZ605" s="10"/>
      <c r="BA605" s="10"/>
      <c r="BB605" s="8"/>
      <c r="BC605" s="8"/>
      <c r="BD605" s="8"/>
      <c r="BE605" s="8"/>
      <c r="BF605" s="12">
        <v>0.45</v>
      </c>
      <c r="BG605" s="13">
        <v>257.07848096964699</v>
      </c>
      <c r="BH605" s="96" t="str">
        <f>+VLOOKUP(G605,Liste!$A$7:$G$50,3,FALSE)</f>
        <v>Pin Laricio</v>
      </c>
      <c r="BI605" s="96" t="str">
        <f>+VLOOKUP(H605,Liste!$B$7:$G$50,5,FALSE)</f>
        <v>GS Pineraies des plaines du Centre et du Nord Ouest</v>
      </c>
      <c r="BJ605" s="135">
        <f t="shared" si="186"/>
        <v>36</v>
      </c>
      <c r="BK605" s="135" t="str">
        <f t="shared" si="188"/>
        <v>Pin Laricio_F1_Classique_GS Pineraies des plaines du Centre et du Nord Ouest_36_</v>
      </c>
      <c r="BL605" s="322"/>
      <c r="BM605" s="13">
        <v>66.182399390959503</v>
      </c>
      <c r="BN605" s="13">
        <v>323.260880360606</v>
      </c>
      <c r="BO605" s="13" t="s">
        <v>169</v>
      </c>
      <c r="BP605" s="13">
        <v>279.01190783056597</v>
      </c>
      <c r="BQ605" s="13" t="s">
        <v>169</v>
      </c>
      <c r="BT605" s="298" t="str">
        <f>+VLOOKUP(G605,Liste!$A$7:$H$50,8,FALSE)</f>
        <v>Résineux</v>
      </c>
      <c r="BU605" s="298">
        <f t="shared" si="189"/>
        <v>0</v>
      </c>
      <c r="BV605" s="300">
        <f t="shared" si="190"/>
        <v>1</v>
      </c>
      <c r="BW605" s="321">
        <v>0</v>
      </c>
      <c r="BX605" s="298">
        <f t="shared" si="191"/>
        <v>0.43</v>
      </c>
      <c r="BY605">
        <f t="shared" si="192"/>
        <v>0</v>
      </c>
      <c r="BZ605" s="304">
        <f t="shared" si="193"/>
        <v>0</v>
      </c>
      <c r="CB605" s="299">
        <v>0.6</v>
      </c>
      <c r="CC605" s="299">
        <v>0.4</v>
      </c>
      <c r="CD605">
        <f t="shared" si="194"/>
        <v>0</v>
      </c>
      <c r="CE605">
        <f t="shared" si="195"/>
        <v>0</v>
      </c>
      <c r="CF605">
        <f t="shared" si="196"/>
        <v>0</v>
      </c>
      <c r="CG605">
        <f t="shared" si="197"/>
        <v>0</v>
      </c>
      <c r="CH605">
        <f t="shared" si="198"/>
        <v>0</v>
      </c>
      <c r="CI605">
        <f t="shared" si="199"/>
        <v>0</v>
      </c>
      <c r="CJ605">
        <f t="shared" si="200"/>
        <v>0</v>
      </c>
      <c r="CK605">
        <f t="shared" si="201"/>
        <v>0</v>
      </c>
      <c r="CL605">
        <f t="shared" si="202"/>
        <v>0</v>
      </c>
      <c r="CM605">
        <f t="shared" si="204"/>
        <v>0</v>
      </c>
      <c r="CN605">
        <f t="shared" si="203"/>
        <v>0</v>
      </c>
      <c r="CO605">
        <f t="shared" si="187"/>
        <v>0</v>
      </c>
    </row>
    <row r="606" spans="1:93" s="12" customFormat="1" ht="14.65" customHeight="1" x14ac:dyDescent="0.25">
      <c r="A606" s="4">
        <v>2021</v>
      </c>
      <c r="B606" s="4"/>
      <c r="C606" s="4" t="s">
        <v>179</v>
      </c>
      <c r="D606" s="4" t="s">
        <v>65</v>
      </c>
      <c r="E606" s="4"/>
      <c r="F606" s="4" t="s">
        <v>90</v>
      </c>
      <c r="G606" s="5" t="s">
        <v>180</v>
      </c>
      <c r="H606" s="5" t="s">
        <v>21</v>
      </c>
      <c r="I606" s="5" t="s">
        <v>18</v>
      </c>
      <c r="J606" s="5" t="s">
        <v>9</v>
      </c>
      <c r="K606" s="5">
        <v>26</v>
      </c>
      <c r="L606" s="5" t="s">
        <v>190</v>
      </c>
      <c r="M606" s="5">
        <v>1600</v>
      </c>
      <c r="N606" s="5" t="s">
        <v>171</v>
      </c>
      <c r="O606" s="6" t="s">
        <v>81</v>
      </c>
      <c r="P606" s="6" t="s">
        <v>181</v>
      </c>
      <c r="Q606" s="6"/>
      <c r="R606" s="6"/>
      <c r="S606" s="6">
        <v>15</v>
      </c>
      <c r="T606" s="6">
        <v>8.23</v>
      </c>
      <c r="U606" s="6">
        <v>1600</v>
      </c>
      <c r="V606" s="6">
        <v>14.07</v>
      </c>
      <c r="W606" s="6">
        <v>109</v>
      </c>
      <c r="X606" s="6">
        <v>1278</v>
      </c>
      <c r="Y606" s="6">
        <v>213</v>
      </c>
      <c r="Z606" s="6">
        <v>0</v>
      </c>
      <c r="AA606" s="6">
        <v>0</v>
      </c>
      <c r="AB606" s="6">
        <v>0</v>
      </c>
      <c r="AC606" s="7">
        <v>37</v>
      </c>
      <c r="AD606" s="7" t="s">
        <v>52</v>
      </c>
      <c r="AE606" s="7">
        <v>21.73</v>
      </c>
      <c r="AF606" s="76">
        <v>487.6</v>
      </c>
      <c r="AG606" s="7">
        <v>32.33</v>
      </c>
      <c r="AH606" s="7">
        <v>29.05</v>
      </c>
      <c r="AI606" s="7">
        <v>32.85</v>
      </c>
      <c r="AJ606" s="9">
        <v>275.64843279988997</v>
      </c>
      <c r="AK606" s="9">
        <v>280.234680691054</v>
      </c>
      <c r="AL606" s="9">
        <v>348.62225996612602</v>
      </c>
      <c r="AM606" s="9">
        <v>56.016647317177899</v>
      </c>
      <c r="AN606" s="9">
        <v>1.51396344100481</v>
      </c>
      <c r="AO606" s="9">
        <v>1.3338612061310999</v>
      </c>
      <c r="AP606" s="9">
        <v>534.28444078304005</v>
      </c>
      <c r="AQ606" s="9">
        <v>14.440120021163199</v>
      </c>
      <c r="AR606" s="9">
        <v>19.523238201404499</v>
      </c>
      <c r="AS606" s="8" t="s">
        <v>169</v>
      </c>
      <c r="AT606" s="8" t="s">
        <v>169</v>
      </c>
      <c r="AU606" s="10" t="s">
        <v>169</v>
      </c>
      <c r="AV606" s="10">
        <v>0</v>
      </c>
      <c r="AW606" s="8"/>
      <c r="AX606" s="10" t="s">
        <v>169</v>
      </c>
      <c r="AY606" s="10"/>
      <c r="AZ606" s="10"/>
      <c r="BA606" s="10"/>
      <c r="BB606" s="8"/>
      <c r="BC606" s="8"/>
      <c r="BD606" s="8"/>
      <c r="BE606" s="8"/>
      <c r="BF606" s="12">
        <v>0.45</v>
      </c>
      <c r="BG606" s="13">
        <v>273.43509083826501</v>
      </c>
      <c r="BH606" s="96" t="str">
        <f>+VLOOKUP(G606,Liste!$A$7:$G$50,3,FALSE)</f>
        <v>Pin Laricio</v>
      </c>
      <c r="BI606" s="96" t="str">
        <f>+VLOOKUP(H606,Liste!$B$7:$G$50,5,FALSE)</f>
        <v>GS Pineraies des plaines du Centre et du Nord Ouest</v>
      </c>
      <c r="BJ606" s="135">
        <f t="shared" si="186"/>
        <v>37</v>
      </c>
      <c r="BK606" s="135" t="str">
        <f t="shared" si="188"/>
        <v>Pin Laricio_F1_Classique_GS Pineraies des plaines du Centre et du Nord Ouest_37_</v>
      </c>
      <c r="BL606" s="322"/>
      <c r="BM606" s="13">
        <v>69.952752745816497</v>
      </c>
      <c r="BN606" s="13">
        <v>343.38784358408202</v>
      </c>
      <c r="BO606" s="13" t="s">
        <v>169</v>
      </c>
      <c r="BP606" s="13">
        <v>279.01190783056597</v>
      </c>
      <c r="BQ606" s="13">
        <v>18.579699078165401</v>
      </c>
      <c r="BT606" s="298" t="str">
        <f>+VLOOKUP(G606,Liste!$A$7:$H$50,8,FALSE)</f>
        <v>Résineux</v>
      </c>
      <c r="BU606" s="298">
        <f t="shared" si="189"/>
        <v>0</v>
      </c>
      <c r="BV606" s="300">
        <f t="shared" si="190"/>
        <v>1</v>
      </c>
      <c r="BW606" s="321">
        <v>0</v>
      </c>
      <c r="BX606" s="298">
        <f t="shared" si="191"/>
        <v>0.43</v>
      </c>
      <c r="BY606">
        <f t="shared" si="192"/>
        <v>0</v>
      </c>
      <c r="BZ606" s="304">
        <f t="shared" si="193"/>
        <v>0</v>
      </c>
      <c r="CB606" s="299">
        <v>0.6</v>
      </c>
      <c r="CC606" s="299">
        <v>0.4</v>
      </c>
      <c r="CD606">
        <f t="shared" si="194"/>
        <v>0</v>
      </c>
      <c r="CE606">
        <f t="shared" si="195"/>
        <v>0</v>
      </c>
      <c r="CF606">
        <f t="shared" si="196"/>
        <v>0</v>
      </c>
      <c r="CG606">
        <f t="shared" si="197"/>
        <v>0</v>
      </c>
      <c r="CH606">
        <f t="shared" si="198"/>
        <v>0</v>
      </c>
      <c r="CI606">
        <f t="shared" si="199"/>
        <v>0</v>
      </c>
      <c r="CJ606">
        <f t="shared" si="200"/>
        <v>0</v>
      </c>
      <c r="CK606">
        <f t="shared" si="201"/>
        <v>0</v>
      </c>
      <c r="CL606">
        <f t="shared" si="202"/>
        <v>0</v>
      </c>
      <c r="CM606">
        <f t="shared" si="204"/>
        <v>0</v>
      </c>
      <c r="CN606">
        <f t="shared" si="203"/>
        <v>0</v>
      </c>
      <c r="CO606">
        <f t="shared" si="187"/>
        <v>0</v>
      </c>
    </row>
    <row r="607" spans="1:93" s="12" customFormat="1" ht="14.65" customHeight="1" x14ac:dyDescent="0.25">
      <c r="A607" s="4">
        <v>2021</v>
      </c>
      <c r="B607" s="4"/>
      <c r="C607" s="4" t="s">
        <v>179</v>
      </c>
      <c r="D607" s="4" t="s">
        <v>65</v>
      </c>
      <c r="E607" s="4"/>
      <c r="F607" s="4" t="s">
        <v>90</v>
      </c>
      <c r="G607" s="5" t="s">
        <v>180</v>
      </c>
      <c r="H607" s="5" t="s">
        <v>21</v>
      </c>
      <c r="I607" s="5" t="s">
        <v>18</v>
      </c>
      <c r="J607" s="5" t="s">
        <v>9</v>
      </c>
      <c r="K607" s="5">
        <v>26</v>
      </c>
      <c r="L607" s="5" t="s">
        <v>190</v>
      </c>
      <c r="M607" s="5">
        <v>1600</v>
      </c>
      <c r="N607" s="5" t="s">
        <v>171</v>
      </c>
      <c r="O607" s="6" t="s">
        <v>81</v>
      </c>
      <c r="P607" s="6" t="s">
        <v>181</v>
      </c>
      <c r="Q607" s="6"/>
      <c r="R607" s="6"/>
      <c r="S607" s="6">
        <v>15</v>
      </c>
      <c r="T607" s="6">
        <v>8.23</v>
      </c>
      <c r="U607" s="6">
        <v>1600</v>
      </c>
      <c r="V607" s="6">
        <v>14.07</v>
      </c>
      <c r="W607" s="6">
        <v>109</v>
      </c>
      <c r="X607" s="6">
        <v>1278</v>
      </c>
      <c r="Y607" s="6">
        <v>213</v>
      </c>
      <c r="Z607" s="6">
        <v>0</v>
      </c>
      <c r="AA607" s="6">
        <v>0</v>
      </c>
      <c r="AB607" s="6">
        <v>0</v>
      </c>
      <c r="AC607" s="7">
        <v>37</v>
      </c>
      <c r="AD607" s="7" t="s">
        <v>53</v>
      </c>
      <c r="AE607" s="7">
        <v>21.73</v>
      </c>
      <c r="AF607" s="76">
        <v>384.6</v>
      </c>
      <c r="AG607" s="7">
        <v>27</v>
      </c>
      <c r="AH607" s="7">
        <v>29.9</v>
      </c>
      <c r="AI607" s="7">
        <v>32.85</v>
      </c>
      <c r="AJ607" s="9">
        <v>231.37144147207599</v>
      </c>
      <c r="AK607" s="9">
        <v>235.321332002167</v>
      </c>
      <c r="AL607" s="9">
        <v>292.33664048944701</v>
      </c>
      <c r="AM607" s="9">
        <v>56.016647317177899</v>
      </c>
      <c r="AN607" s="9">
        <v>1.51396344100481</v>
      </c>
      <c r="AO607" s="9">
        <v>1.3338612061310999</v>
      </c>
      <c r="AP607" s="9">
        <v>534.28444078304005</v>
      </c>
      <c r="AQ607" s="9">
        <v>14.440120021163199</v>
      </c>
      <c r="AR607" s="9">
        <v>19.523238201404499</v>
      </c>
      <c r="AS607" s="8">
        <v>103</v>
      </c>
      <c r="AT607" s="8">
        <v>5.3299999999999983</v>
      </c>
      <c r="AU607" s="10">
        <v>25.668474059203472</v>
      </c>
      <c r="AV607" s="10">
        <v>44.276991327813988</v>
      </c>
      <c r="AW607" s="10">
        <v>0.78074251531190098</v>
      </c>
      <c r="AX607" s="10">
        <v>0.42987370221178628</v>
      </c>
      <c r="AY607" s="10"/>
      <c r="AZ607" s="10"/>
      <c r="BA607" s="10"/>
      <c r="BB607" s="8"/>
      <c r="BC607" s="8"/>
      <c r="BD607" s="8"/>
      <c r="BE607" s="8"/>
      <c r="BF607" s="12">
        <v>0.45</v>
      </c>
      <c r="BG607" s="13">
        <v>229.28855964433299</v>
      </c>
      <c r="BH607" s="96" t="str">
        <f>+VLOOKUP(G607,Liste!$A$7:$G$50,3,FALSE)</f>
        <v>Pin Laricio</v>
      </c>
      <c r="BI607" s="96" t="str">
        <f>+VLOOKUP(H607,Liste!$B$7:$G$50,5,FALSE)</f>
        <v>GS Pineraies des plaines du Centre et du Nord Ouest</v>
      </c>
      <c r="BJ607" s="135">
        <f t="shared" si="186"/>
        <v>37</v>
      </c>
      <c r="BK607" s="135" t="str">
        <f t="shared" si="188"/>
        <v>Pin Laricio_F1_Classique_GS Pineraies des plaines du Centre et du Nord Ouest_37_</v>
      </c>
      <c r="BL607" s="322"/>
      <c r="BM607" s="13">
        <v>59.873448393478597</v>
      </c>
      <c r="BN607" s="13">
        <v>289.16200803781197</v>
      </c>
      <c r="BO607" s="13">
        <v>54.225835546270048</v>
      </c>
      <c r="BP607" s="13">
        <v>279.01190783056597</v>
      </c>
      <c r="BQ607" s="13">
        <v>18.579699078165401</v>
      </c>
      <c r="BT607" s="298" t="str">
        <f>+VLOOKUP(G607,Liste!$A$7:$H$50,8,FALSE)</f>
        <v>Résineux</v>
      </c>
      <c r="BU607" s="298">
        <f t="shared" si="189"/>
        <v>0</v>
      </c>
      <c r="BV607" s="300">
        <f t="shared" si="190"/>
        <v>1</v>
      </c>
      <c r="BW607" s="321">
        <v>0</v>
      </c>
      <c r="BX607" s="298">
        <f t="shared" si="191"/>
        <v>0.43</v>
      </c>
      <c r="BY607">
        <f t="shared" si="192"/>
        <v>0</v>
      </c>
      <c r="BZ607" s="304">
        <f t="shared" si="193"/>
        <v>0</v>
      </c>
      <c r="CB607" s="299">
        <v>0.6</v>
      </c>
      <c r="CC607" s="299">
        <v>0.4</v>
      </c>
      <c r="CD607">
        <f t="shared" si="194"/>
        <v>0</v>
      </c>
      <c r="CE607">
        <f t="shared" si="195"/>
        <v>0</v>
      </c>
      <c r="CF607">
        <f t="shared" si="196"/>
        <v>0</v>
      </c>
      <c r="CG607">
        <f t="shared" si="197"/>
        <v>0</v>
      </c>
      <c r="CH607">
        <f t="shared" si="198"/>
        <v>0</v>
      </c>
      <c r="CI607">
        <f t="shared" si="199"/>
        <v>0</v>
      </c>
      <c r="CJ607">
        <f t="shared" si="200"/>
        <v>0</v>
      </c>
      <c r="CK607">
        <f t="shared" si="201"/>
        <v>0</v>
      </c>
      <c r="CL607">
        <f t="shared" si="202"/>
        <v>0</v>
      </c>
      <c r="CM607">
        <f t="shared" si="204"/>
        <v>0</v>
      </c>
      <c r="CN607">
        <f t="shared" si="203"/>
        <v>0</v>
      </c>
      <c r="CO607">
        <f t="shared" si="187"/>
        <v>0</v>
      </c>
    </row>
    <row r="608" spans="1:93" s="12" customFormat="1" ht="14.65" customHeight="1" x14ac:dyDescent="0.25">
      <c r="A608" s="4">
        <v>2021</v>
      </c>
      <c r="B608" s="4"/>
      <c r="C608" s="4" t="s">
        <v>179</v>
      </c>
      <c r="D608" s="4" t="s">
        <v>65</v>
      </c>
      <c r="E608" s="4"/>
      <c r="F608" s="4" t="s">
        <v>90</v>
      </c>
      <c r="G608" s="5" t="s">
        <v>180</v>
      </c>
      <c r="H608" s="5" t="s">
        <v>21</v>
      </c>
      <c r="I608" s="5" t="s">
        <v>18</v>
      </c>
      <c r="J608" s="5" t="s">
        <v>9</v>
      </c>
      <c r="K608" s="5">
        <v>26</v>
      </c>
      <c r="L608" s="5" t="s">
        <v>190</v>
      </c>
      <c r="M608" s="5">
        <v>1600</v>
      </c>
      <c r="N608" s="5" t="s">
        <v>171</v>
      </c>
      <c r="O608" s="6" t="s">
        <v>81</v>
      </c>
      <c r="P608" s="6" t="s">
        <v>181</v>
      </c>
      <c r="Q608" s="6"/>
      <c r="R608" s="6"/>
      <c r="S608" s="6">
        <v>15</v>
      </c>
      <c r="T608" s="6">
        <v>8.23</v>
      </c>
      <c r="U608" s="6">
        <v>1600</v>
      </c>
      <c r="V608" s="6">
        <v>14.07</v>
      </c>
      <c r="W608" s="6">
        <v>109</v>
      </c>
      <c r="X608" s="6">
        <v>1278</v>
      </c>
      <c r="Y608" s="6">
        <v>213</v>
      </c>
      <c r="Z608" s="6">
        <v>0</v>
      </c>
      <c r="AA608" s="6">
        <v>0</v>
      </c>
      <c r="AB608" s="6">
        <v>0</v>
      </c>
      <c r="AC608" s="7">
        <v>38</v>
      </c>
      <c r="AD608" s="7" t="s">
        <v>52</v>
      </c>
      <c r="AE608" s="7">
        <v>22.15</v>
      </c>
      <c r="AF608" s="76">
        <v>384.4</v>
      </c>
      <c r="AG608" s="7">
        <v>28.22</v>
      </c>
      <c r="AH608" s="7">
        <v>30.57</v>
      </c>
      <c r="AI608" s="7">
        <v>33.590000000000003</v>
      </c>
      <c r="AJ608" s="9">
        <v>247.00465682624099</v>
      </c>
      <c r="AK608" s="9">
        <v>251.33326270224799</v>
      </c>
      <c r="AL608" s="9">
        <v>311.85987869085199</v>
      </c>
      <c r="AM608" s="9" t="s">
        <v>169</v>
      </c>
      <c r="AN608" s="9" t="s">
        <v>169</v>
      </c>
      <c r="AO608" s="9" t="s">
        <v>169</v>
      </c>
      <c r="AP608" s="9" t="s">
        <v>169</v>
      </c>
      <c r="AQ608" s="9" t="s">
        <v>169</v>
      </c>
      <c r="AR608" s="9" t="s">
        <v>169</v>
      </c>
      <c r="AS608" s="8" t="s">
        <v>169</v>
      </c>
      <c r="AT608" s="8" t="s">
        <v>169</v>
      </c>
      <c r="AU608" s="10" t="s">
        <v>169</v>
      </c>
      <c r="AV608" s="10">
        <v>0</v>
      </c>
      <c r="AW608" s="8"/>
      <c r="AX608" s="10" t="s">
        <v>169</v>
      </c>
      <c r="AY608" s="10"/>
      <c r="AZ608" s="10"/>
      <c r="BA608" s="10"/>
      <c r="BB608" s="8"/>
      <c r="BC608" s="8"/>
      <c r="BD608" s="8"/>
      <c r="BE608" s="8"/>
      <c r="BF608" s="12">
        <v>0.45</v>
      </c>
      <c r="BG608" s="13">
        <v>244.60123190908399</v>
      </c>
      <c r="BH608" s="96" t="str">
        <f>+VLOOKUP(G608,Liste!$A$7:$G$50,3,FALSE)</f>
        <v>Pin Laricio</v>
      </c>
      <c r="BI608" s="96" t="str">
        <f>+VLOOKUP(H608,Liste!$B$7:$G$50,5,FALSE)</f>
        <v>GS Pineraies des plaines du Centre et du Nord Ouest</v>
      </c>
      <c r="BJ608" s="135">
        <f t="shared" si="186"/>
        <v>38</v>
      </c>
      <c r="BK608" s="135" t="str">
        <f t="shared" si="188"/>
        <v>Pin Laricio_F1_Classique_GS Pineraies des plaines du Centre et du Nord Ouest_38_</v>
      </c>
      <c r="BL608" s="322"/>
      <c r="BM608" s="13">
        <v>63.356437425530501</v>
      </c>
      <c r="BN608" s="13">
        <v>307.95766933461402</v>
      </c>
      <c r="BO608" s="13" t="s">
        <v>169</v>
      </c>
      <c r="BP608" s="13">
        <v>279.01190783056597</v>
      </c>
      <c r="BQ608" s="13" t="s">
        <v>169</v>
      </c>
      <c r="BT608" s="298" t="str">
        <f>+VLOOKUP(G608,Liste!$A$7:$H$50,8,FALSE)</f>
        <v>Résineux</v>
      </c>
      <c r="BU608" s="298">
        <f t="shared" si="189"/>
        <v>0</v>
      </c>
      <c r="BV608" s="300">
        <f t="shared" si="190"/>
        <v>1</v>
      </c>
      <c r="BW608" s="321">
        <v>0</v>
      </c>
      <c r="BX608" s="298">
        <f t="shared" si="191"/>
        <v>0.43</v>
      </c>
      <c r="BY608">
        <f t="shared" si="192"/>
        <v>0</v>
      </c>
      <c r="BZ608" s="304">
        <f t="shared" si="193"/>
        <v>0</v>
      </c>
      <c r="CB608" s="299">
        <v>0.6</v>
      </c>
      <c r="CC608" s="299">
        <v>0.4</v>
      </c>
      <c r="CD608">
        <f t="shared" si="194"/>
        <v>0</v>
      </c>
      <c r="CE608">
        <f t="shared" si="195"/>
        <v>0</v>
      </c>
      <c r="CF608">
        <f t="shared" si="196"/>
        <v>0</v>
      </c>
      <c r="CG608">
        <f t="shared" si="197"/>
        <v>0</v>
      </c>
      <c r="CH608">
        <f t="shared" si="198"/>
        <v>0</v>
      </c>
      <c r="CI608">
        <f t="shared" si="199"/>
        <v>0</v>
      </c>
      <c r="CJ608">
        <f t="shared" si="200"/>
        <v>0</v>
      </c>
      <c r="CK608">
        <f t="shared" si="201"/>
        <v>0</v>
      </c>
      <c r="CL608">
        <f t="shared" si="202"/>
        <v>0</v>
      </c>
      <c r="CM608">
        <f t="shared" si="204"/>
        <v>0</v>
      </c>
      <c r="CN608">
        <f t="shared" si="203"/>
        <v>0</v>
      </c>
      <c r="CO608">
        <f t="shared" si="187"/>
        <v>0</v>
      </c>
    </row>
    <row r="609" spans="1:93" s="12" customFormat="1" ht="14.65" customHeight="1" x14ac:dyDescent="0.25">
      <c r="A609" s="4">
        <v>2021</v>
      </c>
      <c r="B609" s="4"/>
      <c r="C609" s="4" t="s">
        <v>179</v>
      </c>
      <c r="D609" s="4" t="s">
        <v>65</v>
      </c>
      <c r="E609" s="4"/>
      <c r="F609" s="4" t="s">
        <v>90</v>
      </c>
      <c r="G609" s="5" t="s">
        <v>180</v>
      </c>
      <c r="H609" s="5" t="s">
        <v>21</v>
      </c>
      <c r="I609" s="5" t="s">
        <v>18</v>
      </c>
      <c r="J609" s="5" t="s">
        <v>9</v>
      </c>
      <c r="K609" s="5">
        <v>26</v>
      </c>
      <c r="L609" s="5" t="s">
        <v>190</v>
      </c>
      <c r="M609" s="5">
        <v>1600</v>
      </c>
      <c r="N609" s="5" t="s">
        <v>171</v>
      </c>
      <c r="O609" s="6" t="s">
        <v>81</v>
      </c>
      <c r="P609" s="6" t="s">
        <v>181</v>
      </c>
      <c r="Q609" s="6"/>
      <c r="R609" s="6"/>
      <c r="S609" s="6">
        <v>15</v>
      </c>
      <c r="T609" s="6">
        <v>8.23</v>
      </c>
      <c r="U609" s="6">
        <v>1600</v>
      </c>
      <c r="V609" s="6">
        <v>14.07</v>
      </c>
      <c r="W609" s="6">
        <v>109</v>
      </c>
      <c r="X609" s="6">
        <v>1278</v>
      </c>
      <c r="Y609" s="6">
        <v>213</v>
      </c>
      <c r="Z609" s="6">
        <v>0</v>
      </c>
      <c r="AA609" s="6">
        <v>0</v>
      </c>
      <c r="AB609" s="6">
        <v>0</v>
      </c>
      <c r="AC609" s="7">
        <v>39</v>
      </c>
      <c r="AD609" s="7" t="s">
        <v>52</v>
      </c>
      <c r="AE609" s="7">
        <v>22.56</v>
      </c>
      <c r="AF609" s="76">
        <v>384.2</v>
      </c>
      <c r="AG609" s="7">
        <v>29.6</v>
      </c>
      <c r="AH609" s="7">
        <v>31.32</v>
      </c>
      <c r="AI609" s="7">
        <v>34.409999999999997</v>
      </c>
      <c r="AJ609" s="9">
        <v>262.637872180405</v>
      </c>
      <c r="AK609" s="9">
        <v>267.34519340232902</v>
      </c>
      <c r="AL609" s="9">
        <v>331.383116892256</v>
      </c>
      <c r="AM609" s="9" t="s">
        <v>169</v>
      </c>
      <c r="AN609" s="9" t="s">
        <v>169</v>
      </c>
      <c r="AO609" s="9" t="s">
        <v>169</v>
      </c>
      <c r="AP609" s="9" t="s">
        <v>169</v>
      </c>
      <c r="AQ609" s="9" t="s">
        <v>169</v>
      </c>
      <c r="AR609" s="9" t="s">
        <v>169</v>
      </c>
      <c r="AS609" s="8" t="s">
        <v>169</v>
      </c>
      <c r="AT609" s="8" t="s">
        <v>169</v>
      </c>
      <c r="AU609" s="10" t="s">
        <v>169</v>
      </c>
      <c r="AV609" s="10">
        <v>0</v>
      </c>
      <c r="AW609" s="8"/>
      <c r="AX609" s="10" t="s">
        <v>169</v>
      </c>
      <c r="AY609" s="10"/>
      <c r="AZ609" s="10"/>
      <c r="BA609" s="10"/>
      <c r="BB609" s="8"/>
      <c r="BC609" s="8"/>
      <c r="BD609" s="8"/>
      <c r="BE609" s="8"/>
      <c r="BF609" s="12">
        <v>0.45</v>
      </c>
      <c r="BG609" s="13">
        <v>259.91390417383502</v>
      </c>
      <c r="BH609" s="96" t="str">
        <f>+VLOOKUP(G609,Liste!$A$7:$G$50,3,FALSE)</f>
        <v>Pin Laricio</v>
      </c>
      <c r="BI609" s="96" t="str">
        <f>+VLOOKUP(H609,Liste!$B$7:$G$50,5,FALSE)</f>
        <v>GS Pineraies des plaines du Centre et du Nord Ouest</v>
      </c>
      <c r="BJ609" s="135">
        <f t="shared" si="186"/>
        <v>39</v>
      </c>
      <c r="BK609" s="135" t="str">
        <f t="shared" si="188"/>
        <v>Pin Laricio_F1_Classique_GS Pineraies des plaines du Centre et du Nord Ouest_39_</v>
      </c>
      <c r="BL609" s="322"/>
      <c r="BM609" s="13">
        <v>66.839426457582306</v>
      </c>
      <c r="BN609" s="13">
        <v>326.75333063141699</v>
      </c>
      <c r="BO609" s="13" t="s">
        <v>169</v>
      </c>
      <c r="BP609" s="13">
        <v>279.01190783056597</v>
      </c>
      <c r="BQ609" s="13" t="s">
        <v>169</v>
      </c>
      <c r="BT609" s="298" t="str">
        <f>+VLOOKUP(G609,Liste!$A$7:$H$50,8,FALSE)</f>
        <v>Résineux</v>
      </c>
      <c r="BU609" s="298">
        <f t="shared" si="189"/>
        <v>0</v>
      </c>
      <c r="BV609" s="300">
        <f t="shared" si="190"/>
        <v>1</v>
      </c>
      <c r="BW609" s="321">
        <v>0</v>
      </c>
      <c r="BX609" s="298">
        <f t="shared" si="191"/>
        <v>0.43</v>
      </c>
      <c r="BY609">
        <f t="shared" si="192"/>
        <v>0</v>
      </c>
      <c r="BZ609" s="304">
        <f t="shared" si="193"/>
        <v>0</v>
      </c>
      <c r="CB609" s="299">
        <v>0.6</v>
      </c>
      <c r="CC609" s="299">
        <v>0.4</v>
      </c>
      <c r="CD609">
        <f t="shared" si="194"/>
        <v>0</v>
      </c>
      <c r="CE609">
        <f t="shared" si="195"/>
        <v>0</v>
      </c>
      <c r="CF609">
        <f t="shared" si="196"/>
        <v>0</v>
      </c>
      <c r="CG609">
        <f t="shared" si="197"/>
        <v>0</v>
      </c>
      <c r="CH609">
        <f t="shared" si="198"/>
        <v>0</v>
      </c>
      <c r="CI609">
        <f t="shared" si="199"/>
        <v>0</v>
      </c>
      <c r="CJ609">
        <f t="shared" si="200"/>
        <v>0</v>
      </c>
      <c r="CK609">
        <f t="shared" si="201"/>
        <v>0</v>
      </c>
      <c r="CL609">
        <f t="shared" si="202"/>
        <v>0</v>
      </c>
      <c r="CM609">
        <f t="shared" si="204"/>
        <v>0</v>
      </c>
      <c r="CN609">
        <f t="shared" si="203"/>
        <v>0</v>
      </c>
      <c r="CO609">
        <f t="shared" si="187"/>
        <v>0</v>
      </c>
    </row>
    <row r="610" spans="1:93" s="12" customFormat="1" ht="14.65" customHeight="1" x14ac:dyDescent="0.25">
      <c r="A610" s="4">
        <v>2021</v>
      </c>
      <c r="B610" s="4"/>
      <c r="C610" s="4" t="s">
        <v>179</v>
      </c>
      <c r="D610" s="4" t="s">
        <v>65</v>
      </c>
      <c r="E610" s="4"/>
      <c r="F610" s="4" t="s">
        <v>90</v>
      </c>
      <c r="G610" s="5" t="s">
        <v>180</v>
      </c>
      <c r="H610" s="5" t="s">
        <v>21</v>
      </c>
      <c r="I610" s="5" t="s">
        <v>18</v>
      </c>
      <c r="J610" s="5" t="s">
        <v>9</v>
      </c>
      <c r="K610" s="5">
        <v>26</v>
      </c>
      <c r="L610" s="5" t="s">
        <v>190</v>
      </c>
      <c r="M610" s="5">
        <v>1600</v>
      </c>
      <c r="N610" s="5" t="s">
        <v>171</v>
      </c>
      <c r="O610" s="6" t="s">
        <v>81</v>
      </c>
      <c r="P610" s="6" t="s">
        <v>181</v>
      </c>
      <c r="Q610" s="6"/>
      <c r="R610" s="6"/>
      <c r="S610" s="6">
        <v>15</v>
      </c>
      <c r="T610" s="6">
        <v>8.23</v>
      </c>
      <c r="U610" s="6">
        <v>1600</v>
      </c>
      <c r="V610" s="6">
        <v>14.07</v>
      </c>
      <c r="W610" s="6">
        <v>109</v>
      </c>
      <c r="X610" s="6">
        <v>1278</v>
      </c>
      <c r="Y610" s="6">
        <v>213</v>
      </c>
      <c r="Z610" s="6">
        <v>0</v>
      </c>
      <c r="AA610" s="6">
        <v>0</v>
      </c>
      <c r="AB610" s="6">
        <v>0</v>
      </c>
      <c r="AC610" s="7">
        <v>40</v>
      </c>
      <c r="AD610" s="7" t="s">
        <v>52</v>
      </c>
      <c r="AE610" s="7">
        <v>22.96</v>
      </c>
      <c r="AF610" s="76">
        <v>383.8</v>
      </c>
      <c r="AG610" s="7">
        <v>30.97</v>
      </c>
      <c r="AH610" s="7">
        <v>32.049999999999997</v>
      </c>
      <c r="AI610" s="7">
        <v>35.21</v>
      </c>
      <c r="AJ610" s="9">
        <v>278.27108753456901</v>
      </c>
      <c r="AK610" s="9">
        <v>283.35712410241001</v>
      </c>
      <c r="AL610" s="9">
        <v>350.90635509366098</v>
      </c>
      <c r="AM610" s="9" t="s">
        <v>169</v>
      </c>
      <c r="AN610" s="9" t="s">
        <v>169</v>
      </c>
      <c r="AO610" s="9" t="s">
        <v>169</v>
      </c>
      <c r="AP610" s="9" t="s">
        <v>169</v>
      </c>
      <c r="AQ610" s="9" t="s">
        <v>169</v>
      </c>
      <c r="AR610" s="9" t="s">
        <v>169</v>
      </c>
      <c r="AS610" s="8" t="s">
        <v>169</v>
      </c>
      <c r="AT610" s="8" t="s">
        <v>169</v>
      </c>
      <c r="AU610" s="10" t="s">
        <v>169</v>
      </c>
      <c r="AV610" s="10">
        <v>0</v>
      </c>
      <c r="AW610" s="8"/>
      <c r="AX610" s="10" t="s">
        <v>169</v>
      </c>
      <c r="AY610" s="10"/>
      <c r="AZ610" s="10"/>
      <c r="BA610" s="10"/>
      <c r="BB610" s="8"/>
      <c r="BC610" s="8"/>
      <c r="BD610" s="8"/>
      <c r="BE610" s="8"/>
      <c r="BF610" s="12">
        <v>0.45</v>
      </c>
      <c r="BG610" s="13">
        <v>275.22657643858599</v>
      </c>
      <c r="BH610" s="96" t="str">
        <f>+VLOOKUP(G610,Liste!$A$7:$G$50,3,FALSE)</f>
        <v>Pin Laricio</v>
      </c>
      <c r="BI610" s="96" t="str">
        <f>+VLOOKUP(H610,Liste!$B$7:$G$50,5,FALSE)</f>
        <v>GS Pineraies des plaines du Centre et du Nord Ouest</v>
      </c>
      <c r="BJ610" s="135">
        <f t="shared" si="186"/>
        <v>40</v>
      </c>
      <c r="BK610" s="135" t="str">
        <f t="shared" si="188"/>
        <v>Pin Laricio_F1_Classique_GS Pineraies des plaines du Centre et du Nord Ouest_40_</v>
      </c>
      <c r="BL610" s="322"/>
      <c r="BM610" s="13">
        <v>70.322415489634196</v>
      </c>
      <c r="BN610" s="13">
        <v>345.54899192822</v>
      </c>
      <c r="BO610" s="13" t="s">
        <v>169</v>
      </c>
      <c r="BP610" s="13">
        <v>279.01190783056597</v>
      </c>
      <c r="BQ610" s="13" t="s">
        <v>169</v>
      </c>
      <c r="BT610" s="298" t="str">
        <f>+VLOOKUP(G610,Liste!$A$7:$H$50,8,FALSE)</f>
        <v>Résineux</v>
      </c>
      <c r="BU610" s="298">
        <f t="shared" si="189"/>
        <v>0</v>
      </c>
      <c r="BV610" s="300">
        <f t="shared" si="190"/>
        <v>1</v>
      </c>
      <c r="BW610" s="321">
        <v>0</v>
      </c>
      <c r="BX610" s="298">
        <f t="shared" si="191"/>
        <v>0.43</v>
      </c>
      <c r="BY610">
        <f t="shared" si="192"/>
        <v>0</v>
      </c>
      <c r="BZ610" s="304">
        <f t="shared" si="193"/>
        <v>0</v>
      </c>
      <c r="CB610" s="299">
        <v>0.6</v>
      </c>
      <c r="CC610" s="299">
        <v>0.4</v>
      </c>
      <c r="CD610">
        <f t="shared" si="194"/>
        <v>0</v>
      </c>
      <c r="CE610">
        <f t="shared" si="195"/>
        <v>0</v>
      </c>
      <c r="CF610">
        <f t="shared" si="196"/>
        <v>0</v>
      </c>
      <c r="CG610">
        <f t="shared" si="197"/>
        <v>0</v>
      </c>
      <c r="CH610">
        <f t="shared" si="198"/>
        <v>0</v>
      </c>
      <c r="CI610">
        <f t="shared" si="199"/>
        <v>0</v>
      </c>
      <c r="CJ610">
        <f t="shared" si="200"/>
        <v>0</v>
      </c>
      <c r="CK610">
        <f t="shared" si="201"/>
        <v>0</v>
      </c>
      <c r="CL610">
        <f t="shared" si="202"/>
        <v>0</v>
      </c>
      <c r="CM610">
        <f t="shared" si="204"/>
        <v>0</v>
      </c>
      <c r="CN610">
        <f t="shared" si="203"/>
        <v>0</v>
      </c>
      <c r="CO610">
        <f t="shared" si="187"/>
        <v>0</v>
      </c>
    </row>
    <row r="611" spans="1:93" s="12" customFormat="1" ht="14.65" customHeight="1" x14ac:dyDescent="0.25">
      <c r="A611" s="4">
        <v>2021</v>
      </c>
      <c r="B611" s="4"/>
      <c r="C611" s="4" t="s">
        <v>179</v>
      </c>
      <c r="D611" s="4" t="s">
        <v>65</v>
      </c>
      <c r="E611" s="4"/>
      <c r="F611" s="4" t="s">
        <v>90</v>
      </c>
      <c r="G611" s="5" t="s">
        <v>180</v>
      </c>
      <c r="H611" s="5" t="s">
        <v>21</v>
      </c>
      <c r="I611" s="5" t="s">
        <v>18</v>
      </c>
      <c r="J611" s="5" t="s">
        <v>9</v>
      </c>
      <c r="K611" s="5">
        <v>26</v>
      </c>
      <c r="L611" s="5" t="s">
        <v>190</v>
      </c>
      <c r="M611" s="5">
        <v>1600</v>
      </c>
      <c r="N611" s="5" t="s">
        <v>171</v>
      </c>
      <c r="O611" s="6" t="s">
        <v>81</v>
      </c>
      <c r="P611" s="6" t="s">
        <v>181</v>
      </c>
      <c r="Q611" s="6"/>
      <c r="R611" s="6"/>
      <c r="S611" s="6">
        <v>15</v>
      </c>
      <c r="T611" s="6">
        <v>8.23</v>
      </c>
      <c r="U611" s="6">
        <v>1600</v>
      </c>
      <c r="V611" s="6">
        <v>14.07</v>
      </c>
      <c r="W611" s="6">
        <v>109</v>
      </c>
      <c r="X611" s="6">
        <v>1278</v>
      </c>
      <c r="Y611" s="6">
        <v>213</v>
      </c>
      <c r="Z611" s="6">
        <v>0</v>
      </c>
      <c r="AA611" s="6">
        <v>0</v>
      </c>
      <c r="AB611" s="6">
        <v>0</v>
      </c>
      <c r="AC611" s="7">
        <v>41</v>
      </c>
      <c r="AD611" s="7" t="s">
        <v>52</v>
      </c>
      <c r="AE611" s="7">
        <v>23.34</v>
      </c>
      <c r="AF611" s="76">
        <v>383.6</v>
      </c>
      <c r="AG611" s="7">
        <v>32.33</v>
      </c>
      <c r="AH611" s="7">
        <v>32.76</v>
      </c>
      <c r="AI611" s="7">
        <v>35.979999999999997</v>
      </c>
      <c r="AJ611" s="9">
        <v>293.90430288873398</v>
      </c>
      <c r="AK611" s="9">
        <v>299.36905480249101</v>
      </c>
      <c r="AL611" s="9">
        <v>370.42959329506499</v>
      </c>
      <c r="AM611" s="9">
        <v>61.3520921417023</v>
      </c>
      <c r="AN611" s="9">
        <v>1.49639249126103</v>
      </c>
      <c r="AO611" s="9">
        <v>1.31466954482589</v>
      </c>
      <c r="AP611" s="9">
        <v>612.37739358865804</v>
      </c>
      <c r="AQ611" s="9">
        <v>14.936033989967299</v>
      </c>
      <c r="AR611" s="9">
        <v>20.386273857069799</v>
      </c>
      <c r="AS611" s="8" t="s">
        <v>169</v>
      </c>
      <c r="AT611" s="8" t="s">
        <v>169</v>
      </c>
      <c r="AU611" s="10" t="s">
        <v>169</v>
      </c>
      <c r="AV611" s="10">
        <v>0</v>
      </c>
      <c r="AW611" s="8"/>
      <c r="AX611" s="10" t="s">
        <v>169</v>
      </c>
      <c r="AY611" s="10"/>
      <c r="AZ611" s="10"/>
      <c r="BA611" s="10"/>
      <c r="BB611" s="8"/>
      <c r="BC611" s="8"/>
      <c r="BD611" s="8"/>
      <c r="BE611" s="8"/>
      <c r="BF611" s="12">
        <v>0.45</v>
      </c>
      <c r="BG611" s="13">
        <v>290.53924870333702</v>
      </c>
      <c r="BH611" s="96" t="str">
        <f>+VLOOKUP(G611,Liste!$A$7:$G$50,3,FALSE)</f>
        <v>Pin Laricio</v>
      </c>
      <c r="BI611" s="96" t="str">
        <f>+VLOOKUP(H611,Liste!$B$7:$G$50,5,FALSE)</f>
        <v>GS Pineraies des plaines du Centre et du Nord Ouest</v>
      </c>
      <c r="BJ611" s="135">
        <f t="shared" si="186"/>
        <v>41</v>
      </c>
      <c r="BK611" s="135" t="str">
        <f t="shared" si="188"/>
        <v>Pin Laricio_F1_Classique_GS Pineraies des plaines du Centre et du Nord Ouest_41_</v>
      </c>
      <c r="BL611" s="322"/>
      <c r="BM611" s="13">
        <v>73.8054045216861</v>
      </c>
      <c r="BN611" s="13">
        <v>364.34465322502302</v>
      </c>
      <c r="BO611" s="13" t="s">
        <v>169</v>
      </c>
      <c r="BP611" s="13">
        <v>279.01190783056597</v>
      </c>
      <c r="BQ611" s="13">
        <v>19.343698259209301</v>
      </c>
      <c r="BT611" s="298" t="str">
        <f>+VLOOKUP(G611,Liste!$A$7:$H$50,8,FALSE)</f>
        <v>Résineux</v>
      </c>
      <c r="BU611" s="298">
        <f t="shared" si="189"/>
        <v>0</v>
      </c>
      <c r="BV611" s="300">
        <f t="shared" si="190"/>
        <v>1</v>
      </c>
      <c r="BW611" s="321">
        <v>0</v>
      </c>
      <c r="BX611" s="298">
        <f t="shared" si="191"/>
        <v>0.43</v>
      </c>
      <c r="BY611">
        <f t="shared" si="192"/>
        <v>0</v>
      </c>
      <c r="BZ611" s="304">
        <f t="shared" si="193"/>
        <v>0</v>
      </c>
      <c r="CB611" s="299">
        <v>0.6</v>
      </c>
      <c r="CC611" s="299">
        <v>0.4</v>
      </c>
      <c r="CD611">
        <f t="shared" si="194"/>
        <v>0</v>
      </c>
      <c r="CE611">
        <f t="shared" si="195"/>
        <v>0</v>
      </c>
      <c r="CF611">
        <f t="shared" si="196"/>
        <v>0</v>
      </c>
      <c r="CG611">
        <f t="shared" si="197"/>
        <v>0</v>
      </c>
      <c r="CH611">
        <f t="shared" si="198"/>
        <v>0</v>
      </c>
      <c r="CI611">
        <f t="shared" si="199"/>
        <v>0</v>
      </c>
      <c r="CJ611">
        <f t="shared" si="200"/>
        <v>0</v>
      </c>
      <c r="CK611">
        <f t="shared" si="201"/>
        <v>0</v>
      </c>
      <c r="CL611">
        <f t="shared" si="202"/>
        <v>0</v>
      </c>
      <c r="CM611">
        <f t="shared" si="204"/>
        <v>0</v>
      </c>
      <c r="CN611">
        <f t="shared" si="203"/>
        <v>0</v>
      </c>
      <c r="CO611">
        <f t="shared" si="187"/>
        <v>0</v>
      </c>
    </row>
    <row r="612" spans="1:93" s="12" customFormat="1" ht="14.65" customHeight="1" x14ac:dyDescent="0.25">
      <c r="A612" s="4">
        <v>2021</v>
      </c>
      <c r="B612" s="4"/>
      <c r="C612" s="4" t="s">
        <v>179</v>
      </c>
      <c r="D612" s="4" t="s">
        <v>65</v>
      </c>
      <c r="E612" s="4"/>
      <c r="F612" s="4" t="s">
        <v>90</v>
      </c>
      <c r="G612" s="5" t="s">
        <v>180</v>
      </c>
      <c r="H612" s="5" t="s">
        <v>21</v>
      </c>
      <c r="I612" s="5" t="s">
        <v>18</v>
      </c>
      <c r="J612" s="5" t="s">
        <v>9</v>
      </c>
      <c r="K612" s="5">
        <v>26</v>
      </c>
      <c r="L612" s="5" t="s">
        <v>190</v>
      </c>
      <c r="M612" s="5">
        <v>1600</v>
      </c>
      <c r="N612" s="5" t="s">
        <v>171</v>
      </c>
      <c r="O612" s="6" t="s">
        <v>81</v>
      </c>
      <c r="P612" s="6" t="s">
        <v>181</v>
      </c>
      <c r="Q612" s="6"/>
      <c r="R612" s="6"/>
      <c r="S612" s="6">
        <v>15</v>
      </c>
      <c r="T612" s="6">
        <v>8.23</v>
      </c>
      <c r="U612" s="6">
        <v>1600</v>
      </c>
      <c r="V612" s="6">
        <v>14.07</v>
      </c>
      <c r="W612" s="6">
        <v>109</v>
      </c>
      <c r="X612" s="6">
        <v>1278</v>
      </c>
      <c r="Y612" s="6">
        <v>213</v>
      </c>
      <c r="Z612" s="6">
        <v>0</v>
      </c>
      <c r="AA612" s="6">
        <v>0</v>
      </c>
      <c r="AB612" s="6">
        <v>0</v>
      </c>
      <c r="AC612" s="7">
        <v>42</v>
      </c>
      <c r="AD612" s="7" t="s">
        <v>52</v>
      </c>
      <c r="AE612" s="7">
        <v>23.71</v>
      </c>
      <c r="AF612" s="76">
        <v>383.6</v>
      </c>
      <c r="AG612" s="7">
        <v>33.700000000000003</v>
      </c>
      <c r="AH612" s="7">
        <v>33.44</v>
      </c>
      <c r="AI612" s="7">
        <v>36.729999999999997</v>
      </c>
      <c r="AJ612" s="9">
        <v>310.22577292160599</v>
      </c>
      <c r="AK612" s="9">
        <v>316.111591708628</v>
      </c>
      <c r="AL612" s="9">
        <v>390.81586715213501</v>
      </c>
      <c r="AM612" s="9" t="s">
        <v>169</v>
      </c>
      <c r="AN612" s="9" t="s">
        <v>169</v>
      </c>
      <c r="AO612" s="9" t="s">
        <v>169</v>
      </c>
      <c r="AP612" s="9" t="s">
        <v>169</v>
      </c>
      <c r="AQ612" s="9" t="s">
        <v>169</v>
      </c>
      <c r="AR612" s="9" t="s">
        <v>169</v>
      </c>
      <c r="AS612" s="8" t="s">
        <v>169</v>
      </c>
      <c r="AT612" s="8" t="s">
        <v>169</v>
      </c>
      <c r="AU612" s="10" t="s">
        <v>169</v>
      </c>
      <c r="AV612" s="10">
        <v>0</v>
      </c>
      <c r="AW612" s="8"/>
      <c r="AX612" s="10" t="s">
        <v>169</v>
      </c>
      <c r="AY612" s="10"/>
      <c r="AZ612" s="10"/>
      <c r="BA612" s="10"/>
      <c r="BB612" s="8"/>
      <c r="BC612" s="8"/>
      <c r="BD612" s="8"/>
      <c r="BE612" s="8"/>
      <c r="BF612" s="12">
        <v>0.45</v>
      </c>
      <c r="BG612" s="13">
        <v>306.52882620335998</v>
      </c>
      <c r="BH612" s="96" t="str">
        <f>+VLOOKUP(G612,Liste!$A$7:$G$50,3,FALSE)</f>
        <v>Pin Laricio</v>
      </c>
      <c r="BI612" s="96" t="str">
        <f>+VLOOKUP(H612,Liste!$B$7:$G$50,5,FALSE)</f>
        <v>GS Pineraies des plaines du Centre et du Nord Ouest</v>
      </c>
      <c r="BJ612" s="135">
        <f t="shared" si="186"/>
        <v>42</v>
      </c>
      <c r="BK612" s="135" t="str">
        <f t="shared" si="188"/>
        <v>Pin Laricio_F1_Classique_GS Pineraies des plaines du Centre et du Nord Ouest_42_</v>
      </c>
      <c r="BL612" s="322"/>
      <c r="BM612" s="13">
        <v>77.342100674677098</v>
      </c>
      <c r="BN612" s="13">
        <v>383.87092687803698</v>
      </c>
      <c r="BO612" s="13" t="s">
        <v>169</v>
      </c>
      <c r="BP612" s="13">
        <v>279.01190783056597</v>
      </c>
      <c r="BQ612" s="13" t="s">
        <v>169</v>
      </c>
      <c r="BT612" s="298" t="str">
        <f>+VLOOKUP(G612,Liste!$A$7:$H$50,8,FALSE)</f>
        <v>Résineux</v>
      </c>
      <c r="BU612" s="298">
        <f t="shared" si="189"/>
        <v>0</v>
      </c>
      <c r="BV612" s="300">
        <f t="shared" si="190"/>
        <v>1</v>
      </c>
      <c r="BW612" s="321">
        <v>0</v>
      </c>
      <c r="BX612" s="298">
        <f t="shared" si="191"/>
        <v>0.43</v>
      </c>
      <c r="BY612">
        <f t="shared" si="192"/>
        <v>0</v>
      </c>
      <c r="BZ612" s="304">
        <f t="shared" si="193"/>
        <v>0</v>
      </c>
      <c r="CB612" s="299">
        <v>0.6</v>
      </c>
      <c r="CC612" s="299">
        <v>0.4</v>
      </c>
      <c r="CD612">
        <f t="shared" si="194"/>
        <v>0</v>
      </c>
      <c r="CE612">
        <f t="shared" si="195"/>
        <v>0</v>
      </c>
      <c r="CF612">
        <f t="shared" si="196"/>
        <v>0</v>
      </c>
      <c r="CG612">
        <f t="shared" si="197"/>
        <v>0</v>
      </c>
      <c r="CH612">
        <f t="shared" si="198"/>
        <v>0</v>
      </c>
      <c r="CI612">
        <f t="shared" si="199"/>
        <v>0</v>
      </c>
      <c r="CJ612">
        <f t="shared" si="200"/>
        <v>0</v>
      </c>
      <c r="CK612">
        <f t="shared" si="201"/>
        <v>0</v>
      </c>
      <c r="CL612">
        <f t="shared" si="202"/>
        <v>0</v>
      </c>
      <c r="CM612">
        <f t="shared" si="204"/>
        <v>0</v>
      </c>
      <c r="CN612">
        <f t="shared" si="203"/>
        <v>0</v>
      </c>
      <c r="CO612">
        <f t="shared" si="187"/>
        <v>0</v>
      </c>
    </row>
    <row r="613" spans="1:93" s="12" customFormat="1" ht="14.65" customHeight="1" x14ac:dyDescent="0.25">
      <c r="A613" s="4">
        <v>2021</v>
      </c>
      <c r="B613" s="4"/>
      <c r="C613" s="4" t="s">
        <v>179</v>
      </c>
      <c r="D613" s="4" t="s">
        <v>65</v>
      </c>
      <c r="E613" s="4"/>
      <c r="F613" s="4" t="s">
        <v>90</v>
      </c>
      <c r="G613" s="5" t="s">
        <v>180</v>
      </c>
      <c r="H613" s="5" t="s">
        <v>21</v>
      </c>
      <c r="I613" s="5" t="s">
        <v>18</v>
      </c>
      <c r="J613" s="5" t="s">
        <v>9</v>
      </c>
      <c r="K613" s="5">
        <v>26</v>
      </c>
      <c r="L613" s="5" t="s">
        <v>190</v>
      </c>
      <c r="M613" s="5">
        <v>1600</v>
      </c>
      <c r="N613" s="5" t="s">
        <v>171</v>
      </c>
      <c r="O613" s="6" t="s">
        <v>81</v>
      </c>
      <c r="P613" s="6" t="s">
        <v>181</v>
      </c>
      <c r="Q613" s="6"/>
      <c r="R613" s="6"/>
      <c r="S613" s="6">
        <v>15</v>
      </c>
      <c r="T613" s="6">
        <v>8.23</v>
      </c>
      <c r="U613" s="6">
        <v>1600</v>
      </c>
      <c r="V613" s="6">
        <v>14.07</v>
      </c>
      <c r="W613" s="6">
        <v>109</v>
      </c>
      <c r="X613" s="6">
        <v>1278</v>
      </c>
      <c r="Y613" s="6">
        <v>213</v>
      </c>
      <c r="Z613" s="6">
        <v>0</v>
      </c>
      <c r="AA613" s="6">
        <v>0</v>
      </c>
      <c r="AB613" s="6">
        <v>0</v>
      </c>
      <c r="AC613" s="7">
        <v>43</v>
      </c>
      <c r="AD613" s="7" t="s">
        <v>52</v>
      </c>
      <c r="AE613" s="7">
        <v>24.07</v>
      </c>
      <c r="AF613" s="76">
        <v>383.6</v>
      </c>
      <c r="AG613" s="7">
        <v>35.049999999999997</v>
      </c>
      <c r="AH613" s="7">
        <v>34.11</v>
      </c>
      <c r="AI613" s="7">
        <v>37.46</v>
      </c>
      <c r="AJ613" s="9">
        <v>326.54724295447897</v>
      </c>
      <c r="AK613" s="9">
        <v>332.85412861476402</v>
      </c>
      <c r="AL613" s="9">
        <v>411.20214100920498</v>
      </c>
      <c r="AM613" s="9" t="s">
        <v>169</v>
      </c>
      <c r="AN613" s="9" t="s">
        <v>169</v>
      </c>
      <c r="AO613" s="9" t="s">
        <v>169</v>
      </c>
      <c r="AP613" s="9" t="s">
        <v>169</v>
      </c>
      <c r="AQ613" s="9" t="s">
        <v>169</v>
      </c>
      <c r="AR613" s="9" t="s">
        <v>169</v>
      </c>
      <c r="AS613" s="8" t="s">
        <v>169</v>
      </c>
      <c r="AT613" s="8" t="s">
        <v>169</v>
      </c>
      <c r="AU613" s="10" t="s">
        <v>169</v>
      </c>
      <c r="AV613" s="10">
        <v>0</v>
      </c>
      <c r="AW613" s="8"/>
      <c r="AX613" s="10" t="s">
        <v>169</v>
      </c>
      <c r="AY613" s="10"/>
      <c r="AZ613" s="10"/>
      <c r="BA613" s="10"/>
      <c r="BB613" s="8"/>
      <c r="BC613" s="8"/>
      <c r="BD613" s="8"/>
      <c r="BE613" s="8"/>
      <c r="BF613" s="12">
        <v>0.45</v>
      </c>
      <c r="BG613" s="13">
        <v>322.51840370338402</v>
      </c>
      <c r="BH613" s="96" t="str">
        <f>+VLOOKUP(G613,Liste!$A$7:$G$50,3,FALSE)</f>
        <v>Pin Laricio</v>
      </c>
      <c r="BI613" s="96" t="str">
        <f>+VLOOKUP(H613,Liste!$B$7:$G$50,5,FALSE)</f>
        <v>GS Pineraies des plaines du Centre et du Nord Ouest</v>
      </c>
      <c r="BJ613" s="135">
        <f t="shared" si="186"/>
        <v>43</v>
      </c>
      <c r="BK613" s="135" t="str">
        <f t="shared" si="188"/>
        <v>Pin Laricio_F1_Classique_GS Pineraies des plaines du Centre et du Nord Ouest_43_</v>
      </c>
      <c r="BL613" s="322"/>
      <c r="BM613" s="13">
        <v>80.878796827667998</v>
      </c>
      <c r="BN613" s="13">
        <v>403.39720053105202</v>
      </c>
      <c r="BO613" s="13" t="s">
        <v>169</v>
      </c>
      <c r="BP613" s="13">
        <v>279.01190783056597</v>
      </c>
      <c r="BQ613" s="13" t="s">
        <v>169</v>
      </c>
      <c r="BT613" s="298" t="str">
        <f>+VLOOKUP(G613,Liste!$A$7:$H$50,8,FALSE)</f>
        <v>Résineux</v>
      </c>
      <c r="BU613" s="298">
        <f t="shared" si="189"/>
        <v>0</v>
      </c>
      <c r="BV613" s="300">
        <f t="shared" si="190"/>
        <v>1</v>
      </c>
      <c r="BW613" s="321">
        <v>0</v>
      </c>
      <c r="BX613" s="298">
        <f t="shared" si="191"/>
        <v>0.43</v>
      </c>
      <c r="BY613">
        <f t="shared" si="192"/>
        <v>0</v>
      </c>
      <c r="BZ613" s="304">
        <f t="shared" si="193"/>
        <v>0</v>
      </c>
      <c r="CB613" s="299">
        <v>0.6</v>
      </c>
      <c r="CC613" s="299">
        <v>0.4</v>
      </c>
      <c r="CD613">
        <f t="shared" si="194"/>
        <v>0</v>
      </c>
      <c r="CE613">
        <f t="shared" si="195"/>
        <v>0</v>
      </c>
      <c r="CF613">
        <f t="shared" si="196"/>
        <v>0</v>
      </c>
      <c r="CG613">
        <f t="shared" si="197"/>
        <v>0</v>
      </c>
      <c r="CH613">
        <f t="shared" si="198"/>
        <v>0</v>
      </c>
      <c r="CI613">
        <f t="shared" si="199"/>
        <v>0</v>
      </c>
      <c r="CJ613">
        <f t="shared" si="200"/>
        <v>0</v>
      </c>
      <c r="CK613">
        <f t="shared" si="201"/>
        <v>0</v>
      </c>
      <c r="CL613">
        <f t="shared" si="202"/>
        <v>0</v>
      </c>
      <c r="CM613">
        <f t="shared" si="204"/>
        <v>0</v>
      </c>
      <c r="CN613">
        <f t="shared" si="203"/>
        <v>0</v>
      </c>
      <c r="CO613">
        <f t="shared" si="187"/>
        <v>0</v>
      </c>
    </row>
    <row r="614" spans="1:93" s="12" customFormat="1" ht="14.65" customHeight="1" x14ac:dyDescent="0.25">
      <c r="A614" s="4">
        <v>2021</v>
      </c>
      <c r="B614" s="4"/>
      <c r="C614" s="4" t="s">
        <v>179</v>
      </c>
      <c r="D614" s="4" t="s">
        <v>65</v>
      </c>
      <c r="E614" s="4"/>
      <c r="F614" s="4" t="s">
        <v>90</v>
      </c>
      <c r="G614" s="5" t="s">
        <v>180</v>
      </c>
      <c r="H614" s="5" t="s">
        <v>21</v>
      </c>
      <c r="I614" s="5" t="s">
        <v>18</v>
      </c>
      <c r="J614" s="5" t="s">
        <v>9</v>
      </c>
      <c r="K614" s="5">
        <v>26</v>
      </c>
      <c r="L614" s="5" t="s">
        <v>190</v>
      </c>
      <c r="M614" s="5">
        <v>1600</v>
      </c>
      <c r="N614" s="5" t="s">
        <v>171</v>
      </c>
      <c r="O614" s="6" t="s">
        <v>81</v>
      </c>
      <c r="P614" s="6" t="s">
        <v>181</v>
      </c>
      <c r="Q614" s="6"/>
      <c r="R614" s="6"/>
      <c r="S614" s="6">
        <v>15</v>
      </c>
      <c r="T614" s="6">
        <v>8.23</v>
      </c>
      <c r="U614" s="6">
        <v>1600</v>
      </c>
      <c r="V614" s="6">
        <v>14.07</v>
      </c>
      <c r="W614" s="6">
        <v>109</v>
      </c>
      <c r="X614" s="6">
        <v>1278</v>
      </c>
      <c r="Y614" s="6">
        <v>213</v>
      </c>
      <c r="Z614" s="6">
        <v>0</v>
      </c>
      <c r="AA614" s="6">
        <v>0</v>
      </c>
      <c r="AB614" s="6">
        <v>0</v>
      </c>
      <c r="AC614" s="7">
        <v>44</v>
      </c>
      <c r="AD614" s="7" t="s">
        <v>52</v>
      </c>
      <c r="AE614" s="7">
        <v>24.42</v>
      </c>
      <c r="AF614" s="76">
        <v>383.2</v>
      </c>
      <c r="AG614" s="7">
        <v>36.35</v>
      </c>
      <c r="AH614" s="7">
        <v>34.75</v>
      </c>
      <c r="AI614" s="7">
        <v>38.17</v>
      </c>
      <c r="AJ614" s="9">
        <v>342.86871298735099</v>
      </c>
      <c r="AK614" s="9">
        <v>349.59666552090101</v>
      </c>
      <c r="AL614" s="9">
        <v>431.588414866275</v>
      </c>
      <c r="AM614" s="9" t="s">
        <v>169</v>
      </c>
      <c r="AN614" s="9" t="s">
        <v>169</v>
      </c>
      <c r="AO614" s="9" t="s">
        <v>169</v>
      </c>
      <c r="AP614" s="9" t="s">
        <v>169</v>
      </c>
      <c r="AQ614" s="9" t="s">
        <v>169</v>
      </c>
      <c r="AR614" s="9" t="s">
        <v>169</v>
      </c>
      <c r="AS614" s="8" t="s">
        <v>169</v>
      </c>
      <c r="AT614" s="8" t="s">
        <v>169</v>
      </c>
      <c r="AU614" s="10" t="s">
        <v>169</v>
      </c>
      <c r="AV614" s="10">
        <v>0</v>
      </c>
      <c r="AW614" s="8"/>
      <c r="AX614" s="10" t="s">
        <v>169</v>
      </c>
      <c r="AY614" s="10"/>
      <c r="AZ614" s="10"/>
      <c r="BA614" s="10"/>
      <c r="BB614" s="8"/>
      <c r="BC614" s="8"/>
      <c r="BD614" s="8"/>
      <c r="BE614" s="8"/>
      <c r="BF614" s="12">
        <v>0.45</v>
      </c>
      <c r="BG614" s="13">
        <v>338.50798120340698</v>
      </c>
      <c r="BH614" s="96" t="str">
        <f>+VLOOKUP(G614,Liste!$A$7:$G$50,3,FALSE)</f>
        <v>Pin Laricio</v>
      </c>
      <c r="BI614" s="96" t="str">
        <f>+VLOOKUP(H614,Liste!$B$7:$G$50,5,FALSE)</f>
        <v>GS Pineraies des plaines du Centre et du Nord Ouest</v>
      </c>
      <c r="BJ614" s="135">
        <f t="shared" si="186"/>
        <v>44</v>
      </c>
      <c r="BK614" s="135" t="str">
        <f t="shared" si="188"/>
        <v>Pin Laricio_F1_Classique_GS Pineraies des plaines du Centre et du Nord Ouest_44_</v>
      </c>
      <c r="BL614" s="322"/>
      <c r="BM614" s="13">
        <v>84.415492980658996</v>
      </c>
      <c r="BN614" s="13">
        <v>422.92347418406598</v>
      </c>
      <c r="BO614" s="13" t="s">
        <v>169</v>
      </c>
      <c r="BP614" s="13">
        <v>279.01190783056597</v>
      </c>
      <c r="BQ614" s="13" t="s">
        <v>169</v>
      </c>
      <c r="BT614" s="298" t="str">
        <f>+VLOOKUP(G614,Liste!$A$7:$H$50,8,FALSE)</f>
        <v>Résineux</v>
      </c>
      <c r="BU614" s="298">
        <f t="shared" si="189"/>
        <v>0</v>
      </c>
      <c r="BV614" s="300">
        <f t="shared" si="190"/>
        <v>1</v>
      </c>
      <c r="BW614" s="321">
        <v>0</v>
      </c>
      <c r="BX614" s="298">
        <f t="shared" si="191"/>
        <v>0.43</v>
      </c>
      <c r="BY614">
        <f t="shared" si="192"/>
        <v>0</v>
      </c>
      <c r="BZ614" s="304">
        <f t="shared" si="193"/>
        <v>0</v>
      </c>
      <c r="CB614" s="299">
        <v>0.6</v>
      </c>
      <c r="CC614" s="299">
        <v>0.4</v>
      </c>
      <c r="CD614">
        <f t="shared" si="194"/>
        <v>0</v>
      </c>
      <c r="CE614">
        <f t="shared" si="195"/>
        <v>0</v>
      </c>
      <c r="CF614">
        <f t="shared" si="196"/>
        <v>0</v>
      </c>
      <c r="CG614">
        <f t="shared" si="197"/>
        <v>0</v>
      </c>
      <c r="CH614">
        <f t="shared" si="198"/>
        <v>0</v>
      </c>
      <c r="CI614">
        <f t="shared" si="199"/>
        <v>0</v>
      </c>
      <c r="CJ614">
        <f t="shared" si="200"/>
        <v>0</v>
      </c>
      <c r="CK614">
        <f t="shared" si="201"/>
        <v>0</v>
      </c>
      <c r="CL614">
        <f t="shared" si="202"/>
        <v>0</v>
      </c>
      <c r="CM614">
        <f t="shared" si="204"/>
        <v>0</v>
      </c>
      <c r="CN614">
        <f t="shared" si="203"/>
        <v>0</v>
      </c>
      <c r="CO614">
        <f t="shared" si="187"/>
        <v>0</v>
      </c>
    </row>
    <row r="615" spans="1:93" s="12" customFormat="1" ht="14.65" customHeight="1" x14ac:dyDescent="0.25">
      <c r="A615" s="4">
        <v>2021</v>
      </c>
      <c r="B615" s="4"/>
      <c r="C615" s="4" t="s">
        <v>179</v>
      </c>
      <c r="D615" s="4" t="s">
        <v>65</v>
      </c>
      <c r="E615" s="4"/>
      <c r="F615" s="4" t="s">
        <v>90</v>
      </c>
      <c r="G615" s="5" t="s">
        <v>180</v>
      </c>
      <c r="H615" s="5" t="s">
        <v>21</v>
      </c>
      <c r="I615" s="5" t="s">
        <v>18</v>
      </c>
      <c r="J615" s="5" t="s">
        <v>9</v>
      </c>
      <c r="K615" s="5">
        <v>26</v>
      </c>
      <c r="L615" s="5" t="s">
        <v>190</v>
      </c>
      <c r="M615" s="5">
        <v>1600</v>
      </c>
      <c r="N615" s="5" t="s">
        <v>171</v>
      </c>
      <c r="O615" s="6" t="s">
        <v>81</v>
      </c>
      <c r="P615" s="6" t="s">
        <v>181</v>
      </c>
      <c r="Q615" s="6"/>
      <c r="R615" s="6"/>
      <c r="S615" s="6">
        <v>15</v>
      </c>
      <c r="T615" s="6">
        <v>8.23</v>
      </c>
      <c r="U615" s="6">
        <v>1600</v>
      </c>
      <c r="V615" s="6">
        <v>14.07</v>
      </c>
      <c r="W615" s="6">
        <v>109</v>
      </c>
      <c r="X615" s="6">
        <v>1278</v>
      </c>
      <c r="Y615" s="6">
        <v>213</v>
      </c>
      <c r="Z615" s="6">
        <v>0</v>
      </c>
      <c r="AA615" s="6">
        <v>0</v>
      </c>
      <c r="AB615" s="6">
        <v>0</v>
      </c>
      <c r="AC615" s="7">
        <v>45</v>
      </c>
      <c r="AD615" s="7" t="s">
        <v>52</v>
      </c>
      <c r="AE615" s="7">
        <v>24.75</v>
      </c>
      <c r="AF615" s="76">
        <v>382.8</v>
      </c>
      <c r="AG615" s="7">
        <v>37.64</v>
      </c>
      <c r="AH615" s="7">
        <v>35.380000000000003</v>
      </c>
      <c r="AI615" s="7">
        <v>38.86</v>
      </c>
      <c r="AJ615" s="9">
        <v>359.19018302022403</v>
      </c>
      <c r="AK615" s="9">
        <v>366.33920242703698</v>
      </c>
      <c r="AL615" s="9">
        <v>451.97468872334503</v>
      </c>
      <c r="AM615" s="9" t="s">
        <v>169</v>
      </c>
      <c r="AN615" s="9" t="s">
        <v>169</v>
      </c>
      <c r="AO615" s="9" t="s">
        <v>169</v>
      </c>
      <c r="AP615" s="9" t="s">
        <v>169</v>
      </c>
      <c r="AQ615" s="9" t="s">
        <v>169</v>
      </c>
      <c r="AR615" s="9" t="s">
        <v>169</v>
      </c>
      <c r="AS615" s="8" t="s">
        <v>169</v>
      </c>
      <c r="AT615" s="8" t="s">
        <v>169</v>
      </c>
      <c r="AU615" s="10" t="s">
        <v>169</v>
      </c>
      <c r="AV615" s="10">
        <v>0</v>
      </c>
      <c r="AW615" s="8"/>
      <c r="AX615" s="10" t="s">
        <v>169</v>
      </c>
      <c r="AY615" s="10"/>
      <c r="AZ615" s="10"/>
      <c r="BA615" s="10"/>
      <c r="BB615" s="8"/>
      <c r="BC615" s="8"/>
      <c r="BD615" s="8"/>
      <c r="BE615" s="8"/>
      <c r="BF615" s="12">
        <v>0.45</v>
      </c>
      <c r="BG615" s="13">
        <v>354.49755870343</v>
      </c>
      <c r="BH615" s="96" t="str">
        <f>+VLOOKUP(G615,Liste!$A$7:$G$50,3,FALSE)</f>
        <v>Pin Laricio</v>
      </c>
      <c r="BI615" s="96" t="str">
        <f>+VLOOKUP(H615,Liste!$B$7:$G$50,5,FALSE)</f>
        <v>GS Pineraies des plaines du Centre et du Nord Ouest</v>
      </c>
      <c r="BJ615" s="135">
        <f t="shared" si="186"/>
        <v>45</v>
      </c>
      <c r="BK615" s="135" t="str">
        <f t="shared" si="188"/>
        <v>Pin Laricio_F1_Classique_GS Pineraies des plaines du Centre et du Nord Ouest_45_</v>
      </c>
      <c r="BL615" s="322"/>
      <c r="BM615" s="13">
        <v>87.952189133649995</v>
      </c>
      <c r="BN615" s="13">
        <v>442.44974783708</v>
      </c>
      <c r="BO615" s="13" t="s">
        <v>169</v>
      </c>
      <c r="BP615" s="13">
        <v>279.01190783056597</v>
      </c>
      <c r="BQ615" s="13" t="s">
        <v>169</v>
      </c>
      <c r="BT615" s="298" t="str">
        <f>+VLOOKUP(G615,Liste!$A$7:$H$50,8,FALSE)</f>
        <v>Résineux</v>
      </c>
      <c r="BU615" s="298">
        <f t="shared" si="189"/>
        <v>0</v>
      </c>
      <c r="BV615" s="300">
        <f t="shared" si="190"/>
        <v>1</v>
      </c>
      <c r="BW615" s="321">
        <v>0</v>
      </c>
      <c r="BX615" s="298">
        <f t="shared" si="191"/>
        <v>0.43</v>
      </c>
      <c r="BY615">
        <f t="shared" si="192"/>
        <v>0</v>
      </c>
      <c r="BZ615" s="304">
        <f t="shared" si="193"/>
        <v>0</v>
      </c>
      <c r="CB615" s="299">
        <v>0.6</v>
      </c>
      <c r="CC615" s="299">
        <v>0.4</v>
      </c>
      <c r="CD615">
        <f t="shared" si="194"/>
        <v>0</v>
      </c>
      <c r="CE615">
        <f t="shared" si="195"/>
        <v>0</v>
      </c>
      <c r="CF615">
        <f t="shared" si="196"/>
        <v>0</v>
      </c>
      <c r="CG615">
        <f t="shared" si="197"/>
        <v>0</v>
      </c>
      <c r="CH615">
        <f t="shared" si="198"/>
        <v>0</v>
      </c>
      <c r="CI615">
        <f t="shared" si="199"/>
        <v>0</v>
      </c>
      <c r="CJ615">
        <f t="shared" si="200"/>
        <v>0</v>
      </c>
      <c r="CK615">
        <f t="shared" si="201"/>
        <v>0</v>
      </c>
      <c r="CL615">
        <f t="shared" si="202"/>
        <v>0</v>
      </c>
      <c r="CM615">
        <f t="shared" si="204"/>
        <v>0</v>
      </c>
      <c r="CN615">
        <f t="shared" si="203"/>
        <v>0</v>
      </c>
      <c r="CO615">
        <f t="shared" si="187"/>
        <v>0</v>
      </c>
    </row>
    <row r="616" spans="1:93" s="12" customFormat="1" ht="14.65" customHeight="1" x14ac:dyDescent="0.25">
      <c r="A616" s="4">
        <v>2021</v>
      </c>
      <c r="B616" s="4"/>
      <c r="C616" s="4" t="s">
        <v>179</v>
      </c>
      <c r="D616" s="4" t="s">
        <v>65</v>
      </c>
      <c r="E616" s="4"/>
      <c r="F616" s="4" t="s">
        <v>90</v>
      </c>
      <c r="G616" s="5" t="s">
        <v>180</v>
      </c>
      <c r="H616" s="5" t="s">
        <v>21</v>
      </c>
      <c r="I616" s="5" t="s">
        <v>18</v>
      </c>
      <c r="J616" s="5" t="s">
        <v>9</v>
      </c>
      <c r="K616" s="5">
        <v>26</v>
      </c>
      <c r="L616" s="5" t="s">
        <v>190</v>
      </c>
      <c r="M616" s="5">
        <v>1600</v>
      </c>
      <c r="N616" s="5" t="s">
        <v>171</v>
      </c>
      <c r="O616" s="6" t="s">
        <v>81</v>
      </c>
      <c r="P616" s="6" t="s">
        <v>181</v>
      </c>
      <c r="Q616" s="6"/>
      <c r="R616" s="6"/>
      <c r="S616" s="6">
        <v>15</v>
      </c>
      <c r="T616" s="6">
        <v>8.23</v>
      </c>
      <c r="U616" s="6">
        <v>1600</v>
      </c>
      <c r="V616" s="6">
        <v>14.07</v>
      </c>
      <c r="W616" s="6">
        <v>109</v>
      </c>
      <c r="X616" s="6">
        <v>1278</v>
      </c>
      <c r="Y616" s="6">
        <v>213</v>
      </c>
      <c r="Z616" s="6">
        <v>0</v>
      </c>
      <c r="AA616" s="6">
        <v>0</v>
      </c>
      <c r="AB616" s="6">
        <v>0</v>
      </c>
      <c r="AC616" s="7">
        <v>46</v>
      </c>
      <c r="AD616" s="7" t="s">
        <v>52</v>
      </c>
      <c r="AE616" s="7">
        <v>25.07</v>
      </c>
      <c r="AF616" s="76">
        <v>382.4</v>
      </c>
      <c r="AG616" s="7">
        <v>38.909999999999997</v>
      </c>
      <c r="AH616" s="7">
        <v>35.99</v>
      </c>
      <c r="AI616" s="7">
        <v>39.53</v>
      </c>
      <c r="AJ616" s="9">
        <v>375.51165305309598</v>
      </c>
      <c r="AK616" s="9">
        <v>383.08173933317403</v>
      </c>
      <c r="AL616" s="9">
        <v>472.36096258041403</v>
      </c>
      <c r="AM616" s="9">
        <v>67.925439865831706</v>
      </c>
      <c r="AN616" s="9">
        <v>1.4766399970833</v>
      </c>
      <c r="AO616" s="9">
        <v>1.12303940502231</v>
      </c>
      <c r="AP616" s="9">
        <v>714.30876287400702</v>
      </c>
      <c r="AQ616" s="9">
        <v>15.5284513668262</v>
      </c>
      <c r="AR616" s="9">
        <v>17.646896805569199</v>
      </c>
      <c r="AS616" s="8" t="s">
        <v>169</v>
      </c>
      <c r="AT616" s="8" t="s">
        <v>169</v>
      </c>
      <c r="AU616" s="10" t="s">
        <v>169</v>
      </c>
      <c r="AV616" s="10">
        <v>0</v>
      </c>
      <c r="AW616" s="8"/>
      <c r="AX616" s="10" t="s">
        <v>169</v>
      </c>
      <c r="AY616" s="10"/>
      <c r="AZ616" s="10"/>
      <c r="BA616" s="10"/>
      <c r="BB616" s="8"/>
      <c r="BC616" s="8"/>
      <c r="BD616" s="8"/>
      <c r="BE616" s="8"/>
      <c r="BF616" s="12">
        <v>0.45</v>
      </c>
      <c r="BG616" s="13">
        <v>370.48713620345302</v>
      </c>
      <c r="BH616" s="96" t="str">
        <f>+VLOOKUP(G616,Liste!$A$7:$G$50,3,FALSE)</f>
        <v>Pin Laricio</v>
      </c>
      <c r="BI616" s="96" t="str">
        <f>+VLOOKUP(H616,Liste!$B$7:$G$50,5,FALSE)</f>
        <v>GS Pineraies des plaines du Centre et du Nord Ouest</v>
      </c>
      <c r="BJ616" s="135">
        <f t="shared" si="186"/>
        <v>46</v>
      </c>
      <c r="BK616" s="135" t="str">
        <f t="shared" si="188"/>
        <v>Pin Laricio_F1_Classique_GS Pineraies des plaines du Centre et du Nord Ouest_46_</v>
      </c>
      <c r="BL616" s="322"/>
      <c r="BM616" s="13">
        <v>91.488885286640894</v>
      </c>
      <c r="BN616" s="13">
        <v>461.97602149009401</v>
      </c>
      <c r="BO616" s="13" t="s">
        <v>169</v>
      </c>
      <c r="BP616" s="13">
        <v>279.01190783056597</v>
      </c>
      <c r="BQ616" s="13">
        <v>16.703163717280201</v>
      </c>
      <c r="BT616" s="298" t="str">
        <f>+VLOOKUP(G616,Liste!$A$7:$H$50,8,FALSE)</f>
        <v>Résineux</v>
      </c>
      <c r="BU616" s="298">
        <f t="shared" si="189"/>
        <v>0</v>
      </c>
      <c r="BV616" s="300">
        <f t="shared" si="190"/>
        <v>1</v>
      </c>
      <c r="BW616" s="321">
        <v>0</v>
      </c>
      <c r="BX616" s="298">
        <f t="shared" si="191"/>
        <v>0.43</v>
      </c>
      <c r="BY616">
        <f t="shared" si="192"/>
        <v>0</v>
      </c>
      <c r="BZ616" s="304">
        <f t="shared" si="193"/>
        <v>0</v>
      </c>
      <c r="CB616" s="299">
        <v>0.6</v>
      </c>
      <c r="CC616" s="299">
        <v>0.4</v>
      </c>
      <c r="CD616">
        <f t="shared" si="194"/>
        <v>0</v>
      </c>
      <c r="CE616">
        <f t="shared" si="195"/>
        <v>0</v>
      </c>
      <c r="CF616">
        <f t="shared" si="196"/>
        <v>0</v>
      </c>
      <c r="CG616">
        <f t="shared" si="197"/>
        <v>0</v>
      </c>
      <c r="CH616">
        <f t="shared" si="198"/>
        <v>0</v>
      </c>
      <c r="CI616">
        <f t="shared" si="199"/>
        <v>0</v>
      </c>
      <c r="CJ616">
        <f t="shared" si="200"/>
        <v>0</v>
      </c>
      <c r="CK616">
        <f t="shared" si="201"/>
        <v>0</v>
      </c>
      <c r="CL616">
        <f t="shared" si="202"/>
        <v>0</v>
      </c>
      <c r="CM616">
        <f t="shared" si="204"/>
        <v>0</v>
      </c>
      <c r="CN616">
        <f t="shared" si="203"/>
        <v>0</v>
      </c>
      <c r="CO616">
        <f t="shared" si="187"/>
        <v>0</v>
      </c>
    </row>
    <row r="617" spans="1:93" s="12" customFormat="1" ht="14.65" customHeight="1" x14ac:dyDescent="0.25">
      <c r="A617" s="4">
        <v>2021</v>
      </c>
      <c r="B617" s="4"/>
      <c r="C617" s="4" t="s">
        <v>179</v>
      </c>
      <c r="D617" s="4" t="s">
        <v>65</v>
      </c>
      <c r="E617" s="4"/>
      <c r="F617" s="4" t="s">
        <v>90</v>
      </c>
      <c r="G617" s="5" t="s">
        <v>180</v>
      </c>
      <c r="H617" s="5" t="s">
        <v>21</v>
      </c>
      <c r="I617" s="5" t="s">
        <v>18</v>
      </c>
      <c r="J617" s="5" t="s">
        <v>9</v>
      </c>
      <c r="K617" s="5">
        <v>26</v>
      </c>
      <c r="L617" s="5" t="s">
        <v>190</v>
      </c>
      <c r="M617" s="5">
        <v>1600</v>
      </c>
      <c r="N617" s="5" t="s">
        <v>171</v>
      </c>
      <c r="O617" s="6" t="s">
        <v>81</v>
      </c>
      <c r="P617" s="6" t="s">
        <v>181</v>
      </c>
      <c r="Q617" s="6"/>
      <c r="R617" s="6"/>
      <c r="S617" s="6">
        <v>15</v>
      </c>
      <c r="T617" s="6">
        <v>8.23</v>
      </c>
      <c r="U617" s="6">
        <v>1600</v>
      </c>
      <c r="V617" s="6">
        <v>14.07</v>
      </c>
      <c r="W617" s="6">
        <v>109</v>
      </c>
      <c r="X617" s="6">
        <v>1278</v>
      </c>
      <c r="Y617" s="6">
        <v>213</v>
      </c>
      <c r="Z617" s="6">
        <v>0</v>
      </c>
      <c r="AA617" s="6">
        <v>0</v>
      </c>
      <c r="AB617" s="6">
        <v>0</v>
      </c>
      <c r="AC617" s="7">
        <v>46</v>
      </c>
      <c r="AD617" s="7" t="s">
        <v>53</v>
      </c>
      <c r="AE617" s="7">
        <v>25.07</v>
      </c>
      <c r="AF617" s="76">
        <v>296.39999999999998</v>
      </c>
      <c r="AG617" s="7">
        <v>30.87</v>
      </c>
      <c r="AH617" s="7">
        <v>36.409999999999997</v>
      </c>
      <c r="AI617" s="7">
        <v>39.53</v>
      </c>
      <c r="AJ617" s="9">
        <v>298.436558594254</v>
      </c>
      <c r="AK617" s="9">
        <v>304.51188529018202</v>
      </c>
      <c r="AL617" s="9">
        <v>375.32574281883501</v>
      </c>
      <c r="AM617" s="9">
        <v>67.925439865831706</v>
      </c>
      <c r="AN617" s="9">
        <v>1.4766399970833</v>
      </c>
      <c r="AO617" s="9">
        <v>1.12303940502231</v>
      </c>
      <c r="AP617" s="9">
        <v>714.30876287400702</v>
      </c>
      <c r="AQ617" s="9">
        <v>15.5284513668262</v>
      </c>
      <c r="AR617" s="9">
        <v>17.646896805569199</v>
      </c>
      <c r="AS617" s="8">
        <v>86</v>
      </c>
      <c r="AT617" s="8">
        <v>8.0399999999999956</v>
      </c>
      <c r="AU617" s="10">
        <v>34.501172780320431</v>
      </c>
      <c r="AV617" s="10">
        <v>77.075094458841988</v>
      </c>
      <c r="AW617" s="10">
        <v>0.91897568967323995</v>
      </c>
      <c r="AX617" s="10">
        <v>0.89622202859118594</v>
      </c>
      <c r="AY617" s="10"/>
      <c r="AZ617" s="10"/>
      <c r="BA617" s="10"/>
      <c r="BB617" s="8"/>
      <c r="BC617" s="8"/>
      <c r="BD617" s="8"/>
      <c r="BE617" s="8"/>
      <c r="BF617" s="12">
        <v>0.45</v>
      </c>
      <c r="BG617" s="13">
        <v>294.37944837939898</v>
      </c>
      <c r="BH617" s="96" t="str">
        <f>+VLOOKUP(G617,Liste!$A$7:$G$50,3,FALSE)</f>
        <v>Pin Laricio</v>
      </c>
      <c r="BI617" s="96" t="str">
        <f>+VLOOKUP(H617,Liste!$B$7:$G$50,5,FALSE)</f>
        <v>GS Pineraies des plaines du Centre et du Nord Ouest</v>
      </c>
      <c r="BJ617" s="135">
        <f t="shared" si="186"/>
        <v>46</v>
      </c>
      <c r="BK617" s="135" t="str">
        <f t="shared" si="188"/>
        <v>Pin Laricio_F1_Classique_GS Pineraies des plaines du Centre et du Nord Ouest_46_</v>
      </c>
      <c r="BL617" s="322"/>
      <c r="BM617" s="13">
        <v>74.666716108596404</v>
      </c>
      <c r="BN617" s="13">
        <v>369.04616448799499</v>
      </c>
      <c r="BO617" s="13">
        <v>92.929857002099027</v>
      </c>
      <c r="BP617" s="13">
        <v>279.01190783056597</v>
      </c>
      <c r="BQ617" s="13">
        <v>16.703163717280201</v>
      </c>
      <c r="BT617" s="298" t="str">
        <f>+VLOOKUP(G617,Liste!$A$7:$H$50,8,FALSE)</f>
        <v>Résineux</v>
      </c>
      <c r="BU617" s="298">
        <f t="shared" si="189"/>
        <v>0</v>
      </c>
      <c r="BV617" s="300">
        <f t="shared" si="190"/>
        <v>1</v>
      </c>
      <c r="BW617" s="321">
        <v>0</v>
      </c>
      <c r="BX617" s="298">
        <f t="shared" si="191"/>
        <v>0.43</v>
      </c>
      <c r="BY617">
        <f t="shared" si="192"/>
        <v>0</v>
      </c>
      <c r="BZ617" s="304">
        <f t="shared" si="193"/>
        <v>0</v>
      </c>
      <c r="CB617" s="299">
        <v>0.6</v>
      </c>
      <c r="CC617" s="299">
        <v>0.4</v>
      </c>
      <c r="CD617">
        <f t="shared" si="194"/>
        <v>0</v>
      </c>
      <c r="CE617">
        <f t="shared" si="195"/>
        <v>0</v>
      </c>
      <c r="CF617">
        <f t="shared" si="196"/>
        <v>0</v>
      </c>
      <c r="CG617">
        <f t="shared" si="197"/>
        <v>0</v>
      </c>
      <c r="CH617">
        <f t="shared" si="198"/>
        <v>0</v>
      </c>
      <c r="CI617">
        <f t="shared" si="199"/>
        <v>0</v>
      </c>
      <c r="CJ617">
        <f t="shared" si="200"/>
        <v>0</v>
      </c>
      <c r="CK617">
        <f t="shared" si="201"/>
        <v>0</v>
      </c>
      <c r="CL617">
        <f t="shared" si="202"/>
        <v>0</v>
      </c>
      <c r="CM617">
        <f t="shared" si="204"/>
        <v>0</v>
      </c>
      <c r="CN617">
        <f t="shared" si="203"/>
        <v>0</v>
      </c>
      <c r="CO617">
        <f t="shared" si="187"/>
        <v>0</v>
      </c>
    </row>
    <row r="618" spans="1:93" s="12" customFormat="1" ht="14.65" customHeight="1" x14ac:dyDescent="0.25">
      <c r="A618" s="4">
        <v>2021</v>
      </c>
      <c r="B618" s="4"/>
      <c r="C618" s="4" t="s">
        <v>179</v>
      </c>
      <c r="D618" s="4" t="s">
        <v>65</v>
      </c>
      <c r="E618" s="4"/>
      <c r="F618" s="4" t="s">
        <v>90</v>
      </c>
      <c r="G618" s="5" t="s">
        <v>180</v>
      </c>
      <c r="H618" s="5" t="s">
        <v>21</v>
      </c>
      <c r="I618" s="5" t="s">
        <v>18</v>
      </c>
      <c r="J618" s="5" t="s">
        <v>9</v>
      </c>
      <c r="K618" s="5">
        <v>26</v>
      </c>
      <c r="L618" s="5" t="s">
        <v>190</v>
      </c>
      <c r="M618" s="5">
        <v>1600</v>
      </c>
      <c r="N618" s="5" t="s">
        <v>171</v>
      </c>
      <c r="O618" s="6" t="s">
        <v>81</v>
      </c>
      <c r="P618" s="6" t="s">
        <v>181</v>
      </c>
      <c r="Q618" s="6"/>
      <c r="R618" s="6"/>
      <c r="S618" s="6">
        <v>15</v>
      </c>
      <c r="T618" s="6">
        <v>8.23</v>
      </c>
      <c r="U618" s="6">
        <v>1600</v>
      </c>
      <c r="V618" s="6">
        <v>14.07</v>
      </c>
      <c r="W618" s="6">
        <v>109</v>
      </c>
      <c r="X618" s="6">
        <v>1278</v>
      </c>
      <c r="Y618" s="6">
        <v>213</v>
      </c>
      <c r="Z618" s="6">
        <v>0</v>
      </c>
      <c r="AA618" s="6">
        <v>0</v>
      </c>
      <c r="AB618" s="6">
        <v>0</v>
      </c>
      <c r="AC618" s="7">
        <v>47</v>
      </c>
      <c r="AD618" s="7" t="s">
        <v>52</v>
      </c>
      <c r="AE618" s="7">
        <v>25.39</v>
      </c>
      <c r="AF618" s="76">
        <v>296.2</v>
      </c>
      <c r="AG618" s="7">
        <v>31.86</v>
      </c>
      <c r="AH618" s="7">
        <v>37.01</v>
      </c>
      <c r="AI618" s="7">
        <v>40.18</v>
      </c>
      <c r="AJ618" s="9">
        <v>312.56660792743997</v>
      </c>
      <c r="AK618" s="9">
        <v>319.03252184998303</v>
      </c>
      <c r="AL618" s="9">
        <v>392.97263962440502</v>
      </c>
      <c r="AM618" s="9" t="s">
        <v>169</v>
      </c>
      <c r="AN618" s="9" t="s">
        <v>169</v>
      </c>
      <c r="AO618" s="9" t="s">
        <v>169</v>
      </c>
      <c r="AP618" s="9" t="s">
        <v>169</v>
      </c>
      <c r="AQ618" s="9" t="s">
        <v>169</v>
      </c>
      <c r="AR618" s="9" t="s">
        <v>169</v>
      </c>
      <c r="AS618" s="8" t="s">
        <v>169</v>
      </c>
      <c r="AT618" s="8" t="s">
        <v>169</v>
      </c>
      <c r="AU618" s="10" t="s">
        <v>169</v>
      </c>
      <c r="AV618" s="10">
        <v>0</v>
      </c>
      <c r="AW618" s="8"/>
      <c r="AX618" s="10" t="s">
        <v>169</v>
      </c>
      <c r="AY618" s="10"/>
      <c r="AZ618" s="10"/>
      <c r="BA618" s="10"/>
      <c r="BB618" s="8"/>
      <c r="BC618" s="8"/>
      <c r="BD618" s="8"/>
      <c r="BE618" s="8"/>
      <c r="BF618" s="12">
        <v>0.45</v>
      </c>
      <c r="BG618" s="13">
        <v>308.22044875474199</v>
      </c>
      <c r="BH618" s="96" t="str">
        <f>+VLOOKUP(G618,Liste!$A$7:$G$50,3,FALSE)</f>
        <v>Pin Laricio</v>
      </c>
      <c r="BI618" s="96" t="str">
        <f>+VLOOKUP(H618,Liste!$B$7:$G$50,5,FALSE)</f>
        <v>GS Pineraies des plaines du Centre et du Nord Ouest</v>
      </c>
      <c r="BJ618" s="135">
        <f t="shared" si="186"/>
        <v>47</v>
      </c>
      <c r="BK618" s="135" t="str">
        <f t="shared" si="188"/>
        <v>Pin Laricio_F1_Classique_GS Pineraies des plaines du Centre et du Nord Ouest_47_</v>
      </c>
      <c r="BL618" s="322"/>
      <c r="BM618" s="13">
        <v>77.736933786779304</v>
      </c>
      <c r="BN618" s="13">
        <v>385.95738254152201</v>
      </c>
      <c r="BO618" s="13" t="s">
        <v>169</v>
      </c>
      <c r="BP618" s="13">
        <v>279.01190783056597</v>
      </c>
      <c r="BQ618" s="13" t="s">
        <v>169</v>
      </c>
      <c r="BT618" s="298" t="str">
        <f>+VLOOKUP(G618,Liste!$A$7:$H$50,8,FALSE)</f>
        <v>Résineux</v>
      </c>
      <c r="BU618" s="298">
        <f t="shared" si="189"/>
        <v>0</v>
      </c>
      <c r="BV618" s="300">
        <f t="shared" si="190"/>
        <v>1</v>
      </c>
      <c r="BW618" s="321">
        <v>0</v>
      </c>
      <c r="BX618" s="298">
        <f t="shared" si="191"/>
        <v>0.43</v>
      </c>
      <c r="BY618">
        <f t="shared" si="192"/>
        <v>0</v>
      </c>
      <c r="BZ618" s="304">
        <f t="shared" si="193"/>
        <v>0</v>
      </c>
      <c r="CB618" s="299">
        <v>0.6</v>
      </c>
      <c r="CC618" s="299">
        <v>0.4</v>
      </c>
      <c r="CD618">
        <f t="shared" si="194"/>
        <v>0</v>
      </c>
      <c r="CE618">
        <f t="shared" si="195"/>
        <v>0</v>
      </c>
      <c r="CF618">
        <f t="shared" si="196"/>
        <v>0</v>
      </c>
      <c r="CG618">
        <f t="shared" si="197"/>
        <v>0</v>
      </c>
      <c r="CH618">
        <f t="shared" si="198"/>
        <v>0</v>
      </c>
      <c r="CI618">
        <f t="shared" si="199"/>
        <v>0</v>
      </c>
      <c r="CJ618">
        <f t="shared" si="200"/>
        <v>0</v>
      </c>
      <c r="CK618">
        <f t="shared" si="201"/>
        <v>0</v>
      </c>
      <c r="CL618">
        <f t="shared" si="202"/>
        <v>0</v>
      </c>
      <c r="CM618">
        <f t="shared" si="204"/>
        <v>0</v>
      </c>
      <c r="CN618">
        <f t="shared" si="203"/>
        <v>0</v>
      </c>
      <c r="CO618">
        <f t="shared" si="187"/>
        <v>0</v>
      </c>
    </row>
    <row r="619" spans="1:93" s="12" customFormat="1" ht="14.65" customHeight="1" x14ac:dyDescent="0.25">
      <c r="A619" s="4">
        <v>2021</v>
      </c>
      <c r="B619" s="4"/>
      <c r="C619" s="4" t="s">
        <v>179</v>
      </c>
      <c r="D619" s="4" t="s">
        <v>65</v>
      </c>
      <c r="E619" s="4"/>
      <c r="F619" s="4" t="s">
        <v>90</v>
      </c>
      <c r="G619" s="5" t="s">
        <v>180</v>
      </c>
      <c r="H619" s="5" t="s">
        <v>21</v>
      </c>
      <c r="I619" s="5" t="s">
        <v>18</v>
      </c>
      <c r="J619" s="5" t="s">
        <v>9</v>
      </c>
      <c r="K619" s="5">
        <v>26</v>
      </c>
      <c r="L619" s="5" t="s">
        <v>190</v>
      </c>
      <c r="M619" s="5">
        <v>1600</v>
      </c>
      <c r="N619" s="5" t="s">
        <v>171</v>
      </c>
      <c r="O619" s="6" t="s">
        <v>81</v>
      </c>
      <c r="P619" s="6" t="s">
        <v>181</v>
      </c>
      <c r="Q619" s="6"/>
      <c r="R619" s="6"/>
      <c r="S619" s="6">
        <v>15</v>
      </c>
      <c r="T619" s="6">
        <v>8.23</v>
      </c>
      <c r="U619" s="6">
        <v>1600</v>
      </c>
      <c r="V619" s="6">
        <v>14.07</v>
      </c>
      <c r="W619" s="6">
        <v>109</v>
      </c>
      <c r="X619" s="6">
        <v>1278</v>
      </c>
      <c r="Y619" s="6">
        <v>213</v>
      </c>
      <c r="Z619" s="6">
        <v>0</v>
      </c>
      <c r="AA619" s="6">
        <v>0</v>
      </c>
      <c r="AB619" s="6">
        <v>0</v>
      </c>
      <c r="AC619" s="7">
        <v>48</v>
      </c>
      <c r="AD619" s="7" t="s">
        <v>52</v>
      </c>
      <c r="AE619" s="7">
        <v>25.69</v>
      </c>
      <c r="AF619" s="76">
        <v>296</v>
      </c>
      <c r="AG619" s="7">
        <v>33.04</v>
      </c>
      <c r="AH619" s="7">
        <v>37.700000000000003</v>
      </c>
      <c r="AI619" s="7">
        <v>40.93</v>
      </c>
      <c r="AJ619" s="9">
        <v>326.69665726062601</v>
      </c>
      <c r="AK619" s="9">
        <v>333.55315840978398</v>
      </c>
      <c r="AL619" s="9">
        <v>410.619536429974</v>
      </c>
      <c r="AM619" s="9" t="s">
        <v>169</v>
      </c>
      <c r="AN619" s="9" t="s">
        <v>169</v>
      </c>
      <c r="AO619" s="9" t="s">
        <v>169</v>
      </c>
      <c r="AP619" s="9" t="s">
        <v>169</v>
      </c>
      <c r="AQ619" s="9" t="s">
        <v>169</v>
      </c>
      <c r="AR619" s="9" t="s">
        <v>169</v>
      </c>
      <c r="AS619" s="8" t="s">
        <v>169</v>
      </c>
      <c r="AT619" s="8" t="s">
        <v>169</v>
      </c>
      <c r="AU619" s="10" t="s">
        <v>169</v>
      </c>
      <c r="AV619" s="10">
        <v>0</v>
      </c>
      <c r="AW619" s="8"/>
      <c r="AX619" s="10" t="s">
        <v>169</v>
      </c>
      <c r="AY619" s="10"/>
      <c r="AZ619" s="10"/>
      <c r="BA619" s="10"/>
      <c r="BB619" s="8"/>
      <c r="BC619" s="8"/>
      <c r="BD619" s="8"/>
      <c r="BE619" s="8"/>
      <c r="BF619" s="12">
        <v>0.45</v>
      </c>
      <c r="BG619" s="13">
        <v>322.06144913008598</v>
      </c>
      <c r="BH619" s="96" t="str">
        <f>+VLOOKUP(G619,Liste!$A$7:$G$50,3,FALSE)</f>
        <v>Pin Laricio</v>
      </c>
      <c r="BI619" s="96" t="str">
        <f>+VLOOKUP(H619,Liste!$B$7:$G$50,5,FALSE)</f>
        <v>GS Pineraies des plaines du Centre et du Nord Ouest</v>
      </c>
      <c r="BJ619" s="135">
        <f t="shared" si="186"/>
        <v>48</v>
      </c>
      <c r="BK619" s="135" t="str">
        <f t="shared" si="188"/>
        <v>Pin Laricio_F1_Classique_GS Pineraies des plaines du Centre et du Nord Ouest_48_</v>
      </c>
      <c r="BL619" s="322"/>
      <c r="BM619" s="13">
        <v>80.807151464962104</v>
      </c>
      <c r="BN619" s="13">
        <v>402.86860059504801</v>
      </c>
      <c r="BO619" s="13" t="s">
        <v>169</v>
      </c>
      <c r="BP619" s="13">
        <v>279.01190783056597</v>
      </c>
      <c r="BQ619" s="13" t="s">
        <v>169</v>
      </c>
      <c r="BT619" s="298" t="str">
        <f>+VLOOKUP(G619,Liste!$A$7:$H$50,8,FALSE)</f>
        <v>Résineux</v>
      </c>
      <c r="BU619" s="298">
        <f t="shared" si="189"/>
        <v>0</v>
      </c>
      <c r="BV619" s="300">
        <f t="shared" si="190"/>
        <v>1</v>
      </c>
      <c r="BW619" s="321">
        <v>0</v>
      </c>
      <c r="BX619" s="298">
        <f t="shared" si="191"/>
        <v>0.43</v>
      </c>
      <c r="BY619">
        <f t="shared" si="192"/>
        <v>0</v>
      </c>
      <c r="BZ619" s="304">
        <f t="shared" si="193"/>
        <v>0</v>
      </c>
      <c r="CB619" s="299">
        <v>0.6</v>
      </c>
      <c r="CC619" s="299">
        <v>0.4</v>
      </c>
      <c r="CD619">
        <f t="shared" si="194"/>
        <v>0</v>
      </c>
      <c r="CE619">
        <f t="shared" si="195"/>
        <v>0</v>
      </c>
      <c r="CF619">
        <f t="shared" si="196"/>
        <v>0</v>
      </c>
      <c r="CG619">
        <f t="shared" si="197"/>
        <v>0</v>
      </c>
      <c r="CH619">
        <f t="shared" si="198"/>
        <v>0</v>
      </c>
      <c r="CI619">
        <f t="shared" si="199"/>
        <v>0</v>
      </c>
      <c r="CJ619">
        <f t="shared" si="200"/>
        <v>0</v>
      </c>
      <c r="CK619">
        <f t="shared" si="201"/>
        <v>0</v>
      </c>
      <c r="CL619">
        <f t="shared" si="202"/>
        <v>0</v>
      </c>
      <c r="CM619">
        <f t="shared" si="204"/>
        <v>0</v>
      </c>
      <c r="CN619">
        <f t="shared" si="203"/>
        <v>0</v>
      </c>
      <c r="CO619">
        <f t="shared" si="187"/>
        <v>0</v>
      </c>
    </row>
    <row r="620" spans="1:93" s="12" customFormat="1" ht="14.65" customHeight="1" x14ac:dyDescent="0.25">
      <c r="A620" s="4">
        <v>2021</v>
      </c>
      <c r="B620" s="4"/>
      <c r="C620" s="4" t="s">
        <v>179</v>
      </c>
      <c r="D620" s="4" t="s">
        <v>65</v>
      </c>
      <c r="E620" s="4"/>
      <c r="F620" s="4" t="s">
        <v>90</v>
      </c>
      <c r="G620" s="5" t="s">
        <v>180</v>
      </c>
      <c r="H620" s="5" t="s">
        <v>21</v>
      </c>
      <c r="I620" s="5" t="s">
        <v>18</v>
      </c>
      <c r="J620" s="5" t="s">
        <v>9</v>
      </c>
      <c r="K620" s="5">
        <v>26</v>
      </c>
      <c r="L620" s="5" t="s">
        <v>190</v>
      </c>
      <c r="M620" s="5">
        <v>1600</v>
      </c>
      <c r="N620" s="5" t="s">
        <v>171</v>
      </c>
      <c r="O620" s="6" t="s">
        <v>81</v>
      </c>
      <c r="P620" s="6" t="s">
        <v>181</v>
      </c>
      <c r="Q620" s="6"/>
      <c r="R620" s="6"/>
      <c r="S620" s="6">
        <v>15</v>
      </c>
      <c r="T620" s="6">
        <v>8.23</v>
      </c>
      <c r="U620" s="6">
        <v>1600</v>
      </c>
      <c r="V620" s="6">
        <v>14.07</v>
      </c>
      <c r="W620" s="6">
        <v>109</v>
      </c>
      <c r="X620" s="6">
        <v>1278</v>
      </c>
      <c r="Y620" s="6">
        <v>213</v>
      </c>
      <c r="Z620" s="6">
        <v>0</v>
      </c>
      <c r="AA620" s="6">
        <v>0</v>
      </c>
      <c r="AB620" s="6">
        <v>0</v>
      </c>
      <c r="AC620" s="7">
        <v>49</v>
      </c>
      <c r="AD620" s="7" t="s">
        <v>52</v>
      </c>
      <c r="AE620" s="7">
        <v>25.98</v>
      </c>
      <c r="AF620" s="76">
        <v>295.8</v>
      </c>
      <c r="AG620" s="7">
        <v>34.21</v>
      </c>
      <c r="AH620" s="7">
        <v>38.369999999999997</v>
      </c>
      <c r="AI620" s="7">
        <v>41.66</v>
      </c>
      <c r="AJ620" s="9">
        <v>340.82670659381199</v>
      </c>
      <c r="AK620" s="9">
        <v>348.07379496958401</v>
      </c>
      <c r="AL620" s="9">
        <v>428.26643323554299</v>
      </c>
      <c r="AM620" s="9" t="s">
        <v>169</v>
      </c>
      <c r="AN620" s="9" t="s">
        <v>169</v>
      </c>
      <c r="AO620" s="9" t="s">
        <v>169</v>
      </c>
      <c r="AP620" s="9" t="s">
        <v>169</v>
      </c>
      <c r="AQ620" s="9" t="s">
        <v>169</v>
      </c>
      <c r="AR620" s="9" t="s">
        <v>169</v>
      </c>
      <c r="AS620" s="8" t="s">
        <v>169</v>
      </c>
      <c r="AT620" s="8" t="s">
        <v>169</v>
      </c>
      <c r="AU620" s="10" t="s">
        <v>169</v>
      </c>
      <c r="AV620" s="10">
        <v>0</v>
      </c>
      <c r="AW620" s="8"/>
      <c r="AX620" s="10" t="s">
        <v>169</v>
      </c>
      <c r="AY620" s="10"/>
      <c r="AZ620" s="10"/>
      <c r="BA620" s="10"/>
      <c r="BB620" s="8"/>
      <c r="BC620" s="8"/>
      <c r="BD620" s="8"/>
      <c r="BE620" s="8"/>
      <c r="BF620" s="12">
        <v>0.45</v>
      </c>
      <c r="BG620" s="13">
        <v>335.90244950543001</v>
      </c>
      <c r="BH620" s="96" t="str">
        <f>+VLOOKUP(G620,Liste!$A$7:$G$50,3,FALSE)</f>
        <v>Pin Laricio</v>
      </c>
      <c r="BI620" s="96" t="str">
        <f>+VLOOKUP(H620,Liste!$B$7:$G$50,5,FALSE)</f>
        <v>GS Pineraies des plaines du Centre et du Nord Ouest</v>
      </c>
      <c r="BJ620" s="135">
        <f t="shared" si="186"/>
        <v>49</v>
      </c>
      <c r="BK620" s="135" t="str">
        <f t="shared" si="188"/>
        <v>Pin Laricio_F1_Classique_GS Pineraies des plaines du Centre et du Nord Ouest_49_</v>
      </c>
      <c r="BL620" s="322"/>
      <c r="BM620" s="13">
        <v>83.877369143145003</v>
      </c>
      <c r="BN620" s="13">
        <v>419.77981864857497</v>
      </c>
      <c r="BO620" s="13" t="s">
        <v>169</v>
      </c>
      <c r="BP620" s="13">
        <v>279.01190783056597</v>
      </c>
      <c r="BQ620" s="13" t="s">
        <v>169</v>
      </c>
      <c r="BT620" s="298" t="str">
        <f>+VLOOKUP(G620,Liste!$A$7:$H$50,8,FALSE)</f>
        <v>Résineux</v>
      </c>
      <c r="BU620" s="298">
        <f t="shared" si="189"/>
        <v>0</v>
      </c>
      <c r="BV620" s="300">
        <f t="shared" si="190"/>
        <v>1</v>
      </c>
      <c r="BW620" s="321">
        <v>0</v>
      </c>
      <c r="BX620" s="298">
        <f t="shared" si="191"/>
        <v>0.43</v>
      </c>
      <c r="BY620">
        <f t="shared" si="192"/>
        <v>0</v>
      </c>
      <c r="BZ620" s="304">
        <f t="shared" si="193"/>
        <v>0</v>
      </c>
      <c r="CB620" s="299">
        <v>0.6</v>
      </c>
      <c r="CC620" s="299">
        <v>0.4</v>
      </c>
      <c r="CD620">
        <f t="shared" si="194"/>
        <v>0</v>
      </c>
      <c r="CE620">
        <f t="shared" si="195"/>
        <v>0</v>
      </c>
      <c r="CF620">
        <f t="shared" si="196"/>
        <v>0</v>
      </c>
      <c r="CG620">
        <f t="shared" si="197"/>
        <v>0</v>
      </c>
      <c r="CH620">
        <f t="shared" si="198"/>
        <v>0</v>
      </c>
      <c r="CI620">
        <f t="shared" si="199"/>
        <v>0</v>
      </c>
      <c r="CJ620">
        <f t="shared" si="200"/>
        <v>0</v>
      </c>
      <c r="CK620">
        <f t="shared" si="201"/>
        <v>0</v>
      </c>
      <c r="CL620">
        <f t="shared" si="202"/>
        <v>0</v>
      </c>
      <c r="CM620">
        <f t="shared" si="204"/>
        <v>0</v>
      </c>
      <c r="CN620">
        <f t="shared" si="203"/>
        <v>0</v>
      </c>
      <c r="CO620">
        <f t="shared" si="187"/>
        <v>0</v>
      </c>
    </row>
    <row r="621" spans="1:93" s="12" customFormat="1" ht="14.65" customHeight="1" x14ac:dyDescent="0.25">
      <c r="A621" s="4">
        <v>2021</v>
      </c>
      <c r="B621" s="4"/>
      <c r="C621" s="4" t="s">
        <v>179</v>
      </c>
      <c r="D621" s="4" t="s">
        <v>65</v>
      </c>
      <c r="E621" s="4"/>
      <c r="F621" s="4" t="s">
        <v>90</v>
      </c>
      <c r="G621" s="5" t="s">
        <v>180</v>
      </c>
      <c r="H621" s="5" t="s">
        <v>21</v>
      </c>
      <c r="I621" s="5" t="s">
        <v>18</v>
      </c>
      <c r="J621" s="5" t="s">
        <v>9</v>
      </c>
      <c r="K621" s="5">
        <v>26</v>
      </c>
      <c r="L621" s="5" t="s">
        <v>190</v>
      </c>
      <c r="M621" s="5">
        <v>1600</v>
      </c>
      <c r="N621" s="5" t="s">
        <v>171</v>
      </c>
      <c r="O621" s="6" t="s">
        <v>81</v>
      </c>
      <c r="P621" s="6" t="s">
        <v>181</v>
      </c>
      <c r="Q621" s="6"/>
      <c r="R621" s="6"/>
      <c r="S621" s="6">
        <v>15</v>
      </c>
      <c r="T621" s="6">
        <v>8.23</v>
      </c>
      <c r="U621" s="6">
        <v>1600</v>
      </c>
      <c r="V621" s="6">
        <v>14.07</v>
      </c>
      <c r="W621" s="6">
        <v>109</v>
      </c>
      <c r="X621" s="6">
        <v>1278</v>
      </c>
      <c r="Y621" s="6">
        <v>213</v>
      </c>
      <c r="Z621" s="6">
        <v>0</v>
      </c>
      <c r="AA621" s="6">
        <v>0</v>
      </c>
      <c r="AB621" s="6">
        <v>0</v>
      </c>
      <c r="AC621" s="7">
        <v>50</v>
      </c>
      <c r="AD621" s="7" t="s">
        <v>52</v>
      </c>
      <c r="AE621" s="7">
        <v>26.26</v>
      </c>
      <c r="AF621" s="76">
        <v>295.60000000000002</v>
      </c>
      <c r="AG621" s="7">
        <v>35.36</v>
      </c>
      <c r="AH621" s="7">
        <v>39.03</v>
      </c>
      <c r="AI621" s="7">
        <v>42.37</v>
      </c>
      <c r="AJ621" s="9">
        <v>354.95675592699803</v>
      </c>
      <c r="AK621" s="9">
        <v>362.59443152938502</v>
      </c>
      <c r="AL621" s="9">
        <v>445.91333004111198</v>
      </c>
      <c r="AM621" s="9">
        <v>72.417597485920993</v>
      </c>
      <c r="AN621" s="9">
        <v>1.4483519497184201</v>
      </c>
      <c r="AO621" s="9">
        <v>1.1152242997425901</v>
      </c>
      <c r="AP621" s="9">
        <v>784.89635009628398</v>
      </c>
      <c r="AQ621" s="9">
        <v>15.6979270019257</v>
      </c>
      <c r="AR621" s="9">
        <v>18.147810920915699</v>
      </c>
      <c r="AS621" s="8" t="s">
        <v>169</v>
      </c>
      <c r="AT621" s="8" t="s">
        <v>169</v>
      </c>
      <c r="AU621" s="10" t="s">
        <v>169</v>
      </c>
      <c r="AV621" s="10">
        <v>0</v>
      </c>
      <c r="AW621" s="8"/>
      <c r="AX621" s="10" t="s">
        <v>169</v>
      </c>
      <c r="AY621" s="10"/>
      <c r="AZ621" s="10"/>
      <c r="BA621" s="10"/>
      <c r="BB621" s="8"/>
      <c r="BC621" s="8"/>
      <c r="BD621" s="8"/>
      <c r="BE621" s="8"/>
      <c r="BF621" s="12">
        <v>0.45</v>
      </c>
      <c r="BG621" s="13">
        <v>349.74344988077303</v>
      </c>
      <c r="BH621" s="96" t="str">
        <f>+VLOOKUP(G621,Liste!$A$7:$G$50,3,FALSE)</f>
        <v>Pin Laricio</v>
      </c>
      <c r="BI621" s="96" t="str">
        <f>+VLOOKUP(H621,Liste!$B$7:$G$50,5,FALSE)</f>
        <v>GS Pineraies des plaines du Centre et du Nord Ouest</v>
      </c>
      <c r="BJ621" s="135">
        <f t="shared" si="186"/>
        <v>50</v>
      </c>
      <c r="BK621" s="135" t="str">
        <f t="shared" si="188"/>
        <v>Pin Laricio_F1_Classique_GS Pineraies des plaines du Centre et du Nord Ouest_50_</v>
      </c>
      <c r="BL621" s="322"/>
      <c r="BM621" s="13">
        <v>86.947586821327803</v>
      </c>
      <c r="BN621" s="13">
        <v>436.69103670210097</v>
      </c>
      <c r="BO621" s="13" t="s">
        <v>169</v>
      </c>
      <c r="BP621" s="13">
        <v>279.01190783056597</v>
      </c>
      <c r="BQ621" s="13">
        <v>17.138928871771501</v>
      </c>
      <c r="BT621" s="298" t="str">
        <f>+VLOOKUP(G621,Liste!$A$7:$H$50,8,FALSE)</f>
        <v>Résineux</v>
      </c>
      <c r="BU621" s="298">
        <f t="shared" si="189"/>
        <v>0</v>
      </c>
      <c r="BV621" s="300">
        <f t="shared" si="190"/>
        <v>1</v>
      </c>
      <c r="BW621" s="321">
        <v>0</v>
      </c>
      <c r="BX621" s="298">
        <f t="shared" si="191"/>
        <v>0.43</v>
      </c>
      <c r="BY621">
        <f t="shared" si="192"/>
        <v>0</v>
      </c>
      <c r="BZ621" s="304">
        <f t="shared" si="193"/>
        <v>0</v>
      </c>
      <c r="CB621" s="299">
        <v>0.6</v>
      </c>
      <c r="CC621" s="299">
        <v>0.4</v>
      </c>
      <c r="CD621">
        <f t="shared" si="194"/>
        <v>0</v>
      </c>
      <c r="CE621">
        <f t="shared" si="195"/>
        <v>0</v>
      </c>
      <c r="CF621">
        <f t="shared" si="196"/>
        <v>0</v>
      </c>
      <c r="CG621">
        <f t="shared" si="197"/>
        <v>0</v>
      </c>
      <c r="CH621">
        <f t="shared" si="198"/>
        <v>0</v>
      </c>
      <c r="CI621">
        <f t="shared" si="199"/>
        <v>0</v>
      </c>
      <c r="CJ621">
        <f t="shared" si="200"/>
        <v>0</v>
      </c>
      <c r="CK621">
        <f t="shared" si="201"/>
        <v>0</v>
      </c>
      <c r="CL621">
        <f t="shared" si="202"/>
        <v>0</v>
      </c>
      <c r="CM621">
        <f t="shared" si="204"/>
        <v>0</v>
      </c>
      <c r="CN621">
        <f t="shared" si="203"/>
        <v>0</v>
      </c>
      <c r="CO621">
        <f t="shared" si="187"/>
        <v>0</v>
      </c>
    </row>
    <row r="622" spans="1:93" s="12" customFormat="1" ht="14.65" customHeight="1" x14ac:dyDescent="0.25">
      <c r="A622" s="4">
        <v>2021</v>
      </c>
      <c r="B622" s="4"/>
      <c r="C622" s="4" t="s">
        <v>179</v>
      </c>
      <c r="D622" s="4" t="s">
        <v>65</v>
      </c>
      <c r="E622" s="4"/>
      <c r="F622" s="4" t="s">
        <v>90</v>
      </c>
      <c r="G622" s="5" t="s">
        <v>180</v>
      </c>
      <c r="H622" s="5" t="s">
        <v>21</v>
      </c>
      <c r="I622" s="5" t="s">
        <v>18</v>
      </c>
      <c r="J622" s="5" t="s">
        <v>9</v>
      </c>
      <c r="K622" s="5">
        <v>26</v>
      </c>
      <c r="L622" s="5" t="s">
        <v>190</v>
      </c>
      <c r="M622" s="5">
        <v>1600</v>
      </c>
      <c r="N622" s="5" t="s">
        <v>171</v>
      </c>
      <c r="O622" s="6" t="s">
        <v>81</v>
      </c>
      <c r="P622" s="6" t="s">
        <v>181</v>
      </c>
      <c r="Q622" s="6"/>
      <c r="R622" s="6"/>
      <c r="S622" s="6">
        <v>15</v>
      </c>
      <c r="T622" s="6">
        <v>8.23</v>
      </c>
      <c r="U622" s="6">
        <v>1600</v>
      </c>
      <c r="V622" s="6">
        <v>14.07</v>
      </c>
      <c r="W622" s="6">
        <v>109</v>
      </c>
      <c r="X622" s="6">
        <v>1278</v>
      </c>
      <c r="Y622" s="6">
        <v>213</v>
      </c>
      <c r="Z622" s="6">
        <v>0</v>
      </c>
      <c r="AA622" s="6">
        <v>0</v>
      </c>
      <c r="AB622" s="6">
        <v>0</v>
      </c>
      <c r="AC622" s="7">
        <v>51</v>
      </c>
      <c r="AD622" s="7" t="s">
        <v>52</v>
      </c>
      <c r="AE622" s="7">
        <v>26.54</v>
      </c>
      <c r="AF622" s="76">
        <v>295.60000000000002</v>
      </c>
      <c r="AG622" s="7">
        <v>36.520000000000003</v>
      </c>
      <c r="AH622" s="7">
        <v>39.659999999999997</v>
      </c>
      <c r="AI622" s="7">
        <v>43.06</v>
      </c>
      <c r="AJ622" s="9">
        <v>369.48496135095598</v>
      </c>
      <c r="AK622" s="9">
        <v>377.54277279280598</v>
      </c>
      <c r="AL622" s="9">
        <v>464.06114096202799</v>
      </c>
      <c r="AM622" s="9" t="s">
        <v>169</v>
      </c>
      <c r="AN622" s="9" t="s">
        <v>169</v>
      </c>
      <c r="AO622" s="9" t="s">
        <v>169</v>
      </c>
      <c r="AP622" s="9" t="s">
        <v>169</v>
      </c>
      <c r="AQ622" s="9" t="s">
        <v>169</v>
      </c>
      <c r="AR622" s="9" t="s">
        <v>169</v>
      </c>
      <c r="AS622" s="8" t="s">
        <v>169</v>
      </c>
      <c r="AT622" s="8" t="s">
        <v>169</v>
      </c>
      <c r="AU622" s="10" t="s">
        <v>169</v>
      </c>
      <c r="AV622" s="10">
        <v>0</v>
      </c>
      <c r="AW622" s="8"/>
      <c r="AX622" s="10" t="s">
        <v>169</v>
      </c>
      <c r="AY622" s="10"/>
      <c r="AZ622" s="10"/>
      <c r="BA622" s="10"/>
      <c r="BB622" s="8"/>
      <c r="BC622" s="8"/>
      <c r="BD622" s="8"/>
      <c r="BE622" s="8"/>
      <c r="BF622" s="12">
        <v>0.45</v>
      </c>
      <c r="BG622" s="13">
        <v>363.977332502492</v>
      </c>
      <c r="BH622" s="96" t="str">
        <f>+VLOOKUP(G622,Liste!$A$7:$G$50,3,FALSE)</f>
        <v>Pin Laricio</v>
      </c>
      <c r="BI622" s="96" t="str">
        <f>+VLOOKUP(H622,Liste!$B$7:$G$50,5,FALSE)</f>
        <v>GS Pineraies des plaines du Centre et du Nord Ouest</v>
      </c>
      <c r="BJ622" s="135">
        <f t="shared" si="186"/>
        <v>51</v>
      </c>
      <c r="BK622" s="135" t="str">
        <f t="shared" si="188"/>
        <v>Pin Laricio_F1_Classique_GS Pineraies des plaines du Centre et du Nord Ouest_51_</v>
      </c>
      <c r="BL622" s="322"/>
      <c r="BM622" s="13">
        <v>90.033441023401707</v>
      </c>
      <c r="BN622" s="13">
        <v>454.01077352589402</v>
      </c>
      <c r="BO622" s="13" t="s">
        <v>169</v>
      </c>
      <c r="BP622" s="13">
        <v>279.01190783056597</v>
      </c>
      <c r="BQ622" s="13" t="s">
        <v>169</v>
      </c>
      <c r="BT622" s="298" t="str">
        <f>+VLOOKUP(G622,Liste!$A$7:$H$50,8,FALSE)</f>
        <v>Résineux</v>
      </c>
      <c r="BU622" s="298">
        <f t="shared" si="189"/>
        <v>0</v>
      </c>
      <c r="BV622" s="300">
        <f t="shared" si="190"/>
        <v>1</v>
      </c>
      <c r="BW622" s="321">
        <v>0</v>
      </c>
      <c r="BX622" s="298">
        <f t="shared" si="191"/>
        <v>0.43</v>
      </c>
      <c r="BY622">
        <f t="shared" si="192"/>
        <v>0</v>
      </c>
      <c r="BZ622" s="304">
        <f t="shared" si="193"/>
        <v>0</v>
      </c>
      <c r="CB622" s="299">
        <v>0.6</v>
      </c>
      <c r="CC622" s="299">
        <v>0.4</v>
      </c>
      <c r="CD622">
        <f t="shared" si="194"/>
        <v>0</v>
      </c>
      <c r="CE622">
        <f t="shared" si="195"/>
        <v>0</v>
      </c>
      <c r="CF622">
        <f t="shared" si="196"/>
        <v>0</v>
      </c>
      <c r="CG622">
        <f t="shared" si="197"/>
        <v>0</v>
      </c>
      <c r="CH622">
        <f t="shared" si="198"/>
        <v>0</v>
      </c>
      <c r="CI622">
        <f t="shared" si="199"/>
        <v>0</v>
      </c>
      <c r="CJ622">
        <f t="shared" si="200"/>
        <v>0</v>
      </c>
      <c r="CK622">
        <f t="shared" si="201"/>
        <v>0</v>
      </c>
      <c r="CL622">
        <f t="shared" si="202"/>
        <v>0</v>
      </c>
      <c r="CM622">
        <f t="shared" si="204"/>
        <v>0</v>
      </c>
      <c r="CN622">
        <f t="shared" si="203"/>
        <v>0</v>
      </c>
      <c r="CO622">
        <f t="shared" si="187"/>
        <v>0</v>
      </c>
    </row>
    <row r="623" spans="1:93" s="12" customFormat="1" ht="14.65" customHeight="1" x14ac:dyDescent="0.25">
      <c r="A623" s="4">
        <v>2021</v>
      </c>
      <c r="B623" s="4"/>
      <c r="C623" s="4" t="s">
        <v>179</v>
      </c>
      <c r="D623" s="4" t="s">
        <v>65</v>
      </c>
      <c r="E623" s="4"/>
      <c r="F623" s="4" t="s">
        <v>90</v>
      </c>
      <c r="G623" s="5" t="s">
        <v>180</v>
      </c>
      <c r="H623" s="5" t="s">
        <v>21</v>
      </c>
      <c r="I623" s="5" t="s">
        <v>18</v>
      </c>
      <c r="J623" s="5" t="s">
        <v>9</v>
      </c>
      <c r="K623" s="5">
        <v>26</v>
      </c>
      <c r="L623" s="5" t="s">
        <v>190</v>
      </c>
      <c r="M623" s="5">
        <v>1600</v>
      </c>
      <c r="N623" s="5" t="s">
        <v>171</v>
      </c>
      <c r="O623" s="6" t="s">
        <v>81</v>
      </c>
      <c r="P623" s="6" t="s">
        <v>181</v>
      </c>
      <c r="Q623" s="6"/>
      <c r="R623" s="6"/>
      <c r="S623" s="6">
        <v>15</v>
      </c>
      <c r="T623" s="6">
        <v>8.23</v>
      </c>
      <c r="U623" s="6">
        <v>1600</v>
      </c>
      <c r="V623" s="6">
        <v>14.07</v>
      </c>
      <c r="W623" s="6">
        <v>109</v>
      </c>
      <c r="X623" s="6">
        <v>1278</v>
      </c>
      <c r="Y623" s="6">
        <v>213</v>
      </c>
      <c r="Z623" s="6">
        <v>0</v>
      </c>
      <c r="AA623" s="6">
        <v>0</v>
      </c>
      <c r="AB623" s="6">
        <v>0</v>
      </c>
      <c r="AC623" s="7">
        <v>52</v>
      </c>
      <c r="AD623" s="7" t="s">
        <v>52</v>
      </c>
      <c r="AE623" s="7">
        <v>26.8</v>
      </c>
      <c r="AF623" s="76">
        <v>295.60000000000002</v>
      </c>
      <c r="AG623" s="7">
        <v>37.67</v>
      </c>
      <c r="AH623" s="7">
        <v>40.28</v>
      </c>
      <c r="AI623" s="7">
        <v>43.73</v>
      </c>
      <c r="AJ623" s="9">
        <v>384.013166774914</v>
      </c>
      <c r="AK623" s="9">
        <v>392.49111405622699</v>
      </c>
      <c r="AL623" s="9">
        <v>482.20895188294401</v>
      </c>
      <c r="AM623" s="9" t="s">
        <v>169</v>
      </c>
      <c r="AN623" s="9" t="s">
        <v>169</v>
      </c>
      <c r="AO623" s="9" t="s">
        <v>169</v>
      </c>
      <c r="AP623" s="9" t="s">
        <v>169</v>
      </c>
      <c r="AQ623" s="9" t="s">
        <v>169</v>
      </c>
      <c r="AR623" s="9" t="s">
        <v>169</v>
      </c>
      <c r="AS623" s="8" t="s">
        <v>169</v>
      </c>
      <c r="AT623" s="8" t="s">
        <v>169</v>
      </c>
      <c r="AU623" s="10" t="s">
        <v>169</v>
      </c>
      <c r="AV623" s="10">
        <v>0</v>
      </c>
      <c r="AW623" s="8"/>
      <c r="AX623" s="10" t="s">
        <v>169</v>
      </c>
      <c r="AY623" s="10"/>
      <c r="AZ623" s="10"/>
      <c r="BA623" s="10"/>
      <c r="BB623" s="8"/>
      <c r="BC623" s="8"/>
      <c r="BD623" s="8"/>
      <c r="BE623" s="8"/>
      <c r="BF623" s="12">
        <v>0.45</v>
      </c>
      <c r="BG623" s="13">
        <v>378.21121512421098</v>
      </c>
      <c r="BH623" s="96" t="str">
        <f>+VLOOKUP(G623,Liste!$A$7:$G$50,3,FALSE)</f>
        <v>Pin Laricio</v>
      </c>
      <c r="BI623" s="96" t="str">
        <f>+VLOOKUP(H623,Liste!$B$7:$G$50,5,FALSE)</f>
        <v>GS Pineraies des plaines du Centre et du Nord Ouest</v>
      </c>
      <c r="BJ623" s="135">
        <f t="shared" si="186"/>
        <v>52</v>
      </c>
      <c r="BK623" s="135" t="str">
        <f t="shared" si="188"/>
        <v>Pin Laricio_F1_Classique_GS Pineraies des plaines du Centre et du Nord Ouest_52_</v>
      </c>
      <c r="BL623" s="322"/>
      <c r="BM623" s="13">
        <v>93.119295225475597</v>
      </c>
      <c r="BN623" s="13">
        <v>471.33051034968702</v>
      </c>
      <c r="BO623" s="13" t="s">
        <v>169</v>
      </c>
      <c r="BP623" s="13">
        <v>279.01190783056597</v>
      </c>
      <c r="BQ623" s="13" t="s">
        <v>169</v>
      </c>
      <c r="BT623" s="298" t="str">
        <f>+VLOOKUP(G623,Liste!$A$7:$H$50,8,FALSE)</f>
        <v>Résineux</v>
      </c>
      <c r="BU623" s="298">
        <f t="shared" si="189"/>
        <v>0</v>
      </c>
      <c r="BV623" s="300">
        <f t="shared" si="190"/>
        <v>1</v>
      </c>
      <c r="BW623" s="321">
        <v>0</v>
      </c>
      <c r="BX623" s="298">
        <f t="shared" si="191"/>
        <v>0.43</v>
      </c>
      <c r="BY623">
        <f t="shared" si="192"/>
        <v>0</v>
      </c>
      <c r="BZ623" s="304">
        <f t="shared" si="193"/>
        <v>0</v>
      </c>
      <c r="CB623" s="299">
        <v>0.6</v>
      </c>
      <c r="CC623" s="299">
        <v>0.4</v>
      </c>
      <c r="CD623">
        <f t="shared" si="194"/>
        <v>0</v>
      </c>
      <c r="CE623">
        <f t="shared" si="195"/>
        <v>0</v>
      </c>
      <c r="CF623">
        <f t="shared" si="196"/>
        <v>0</v>
      </c>
      <c r="CG623">
        <f t="shared" si="197"/>
        <v>0</v>
      </c>
      <c r="CH623">
        <f t="shared" si="198"/>
        <v>0</v>
      </c>
      <c r="CI623">
        <f t="shared" si="199"/>
        <v>0</v>
      </c>
      <c r="CJ623">
        <f t="shared" si="200"/>
        <v>0</v>
      </c>
      <c r="CK623">
        <f t="shared" si="201"/>
        <v>0</v>
      </c>
      <c r="CL623">
        <f t="shared" si="202"/>
        <v>0</v>
      </c>
      <c r="CM623">
        <f t="shared" si="204"/>
        <v>0</v>
      </c>
      <c r="CN623">
        <f t="shared" si="203"/>
        <v>0</v>
      </c>
      <c r="CO623">
        <f t="shared" si="187"/>
        <v>0</v>
      </c>
    </row>
    <row r="624" spans="1:93" s="12" customFormat="1" ht="14.65" customHeight="1" x14ac:dyDescent="0.25">
      <c r="A624" s="4">
        <v>2021</v>
      </c>
      <c r="B624" s="4"/>
      <c r="C624" s="4" t="s">
        <v>179</v>
      </c>
      <c r="D624" s="4" t="s">
        <v>65</v>
      </c>
      <c r="E624" s="4"/>
      <c r="F624" s="4" t="s">
        <v>90</v>
      </c>
      <c r="G624" s="5" t="s">
        <v>180</v>
      </c>
      <c r="H624" s="5" t="s">
        <v>21</v>
      </c>
      <c r="I624" s="5" t="s">
        <v>18</v>
      </c>
      <c r="J624" s="5" t="s">
        <v>9</v>
      </c>
      <c r="K624" s="5">
        <v>26</v>
      </c>
      <c r="L624" s="5" t="s">
        <v>190</v>
      </c>
      <c r="M624" s="5">
        <v>1600</v>
      </c>
      <c r="N624" s="5" t="s">
        <v>171</v>
      </c>
      <c r="O624" s="6" t="s">
        <v>81</v>
      </c>
      <c r="P624" s="6" t="s">
        <v>181</v>
      </c>
      <c r="Q624" s="6"/>
      <c r="R624" s="6"/>
      <c r="S624" s="6">
        <v>15</v>
      </c>
      <c r="T624" s="6">
        <v>8.23</v>
      </c>
      <c r="U624" s="6">
        <v>1600</v>
      </c>
      <c r="V624" s="6">
        <v>14.07</v>
      </c>
      <c r="W624" s="6">
        <v>109</v>
      </c>
      <c r="X624" s="6">
        <v>1278</v>
      </c>
      <c r="Y624" s="6">
        <v>213</v>
      </c>
      <c r="Z624" s="6">
        <v>0</v>
      </c>
      <c r="AA624" s="6">
        <v>0</v>
      </c>
      <c r="AB624" s="6">
        <v>0</v>
      </c>
      <c r="AC624" s="7">
        <v>53</v>
      </c>
      <c r="AD624" s="7" t="s">
        <v>52</v>
      </c>
      <c r="AE624" s="7">
        <v>27.05</v>
      </c>
      <c r="AF624" s="76">
        <v>295.39999999999998</v>
      </c>
      <c r="AG624" s="7">
        <v>38.78</v>
      </c>
      <c r="AH624" s="7">
        <v>40.880000000000003</v>
      </c>
      <c r="AI624" s="7">
        <v>44.38</v>
      </c>
      <c r="AJ624" s="9">
        <v>398.54137219887201</v>
      </c>
      <c r="AK624" s="9">
        <v>407.43945531964903</v>
      </c>
      <c r="AL624" s="9">
        <v>500.35676280386002</v>
      </c>
      <c r="AM624" s="9" t="s">
        <v>169</v>
      </c>
      <c r="AN624" s="9" t="s">
        <v>169</v>
      </c>
      <c r="AO624" s="9" t="s">
        <v>169</v>
      </c>
      <c r="AP624" s="9" t="s">
        <v>169</v>
      </c>
      <c r="AQ624" s="9" t="s">
        <v>169</v>
      </c>
      <c r="AR624" s="9" t="s">
        <v>169</v>
      </c>
      <c r="AS624" s="8" t="s">
        <v>169</v>
      </c>
      <c r="AT624" s="8" t="s">
        <v>169</v>
      </c>
      <c r="AU624" s="10" t="s">
        <v>169</v>
      </c>
      <c r="AV624" s="10">
        <v>0</v>
      </c>
      <c r="AW624" s="8"/>
      <c r="AX624" s="10" t="s">
        <v>169</v>
      </c>
      <c r="AY624" s="10"/>
      <c r="AZ624" s="10"/>
      <c r="BA624" s="10"/>
      <c r="BB624" s="8"/>
      <c r="BC624" s="8"/>
      <c r="BD624" s="8"/>
      <c r="BE624" s="8"/>
      <c r="BF624" s="12">
        <v>0.45</v>
      </c>
      <c r="BG624" s="13">
        <v>392.44509774593001</v>
      </c>
      <c r="BH624" s="96" t="str">
        <f>+VLOOKUP(G624,Liste!$A$7:$G$50,3,FALSE)</f>
        <v>Pin Laricio</v>
      </c>
      <c r="BI624" s="96" t="str">
        <f>+VLOOKUP(H624,Liste!$B$7:$G$50,5,FALSE)</f>
        <v>GS Pineraies des plaines du Centre et du Nord Ouest</v>
      </c>
      <c r="BJ624" s="135">
        <f t="shared" si="186"/>
        <v>53</v>
      </c>
      <c r="BK624" s="135" t="str">
        <f t="shared" si="188"/>
        <v>Pin Laricio_F1_Classique_GS Pineraies des plaines du Centre et du Nord Ouest_53_</v>
      </c>
      <c r="BL624" s="322"/>
      <c r="BM624" s="13">
        <v>96.205149427549401</v>
      </c>
      <c r="BN624" s="13">
        <v>488.65024717348001</v>
      </c>
      <c r="BO624" s="13" t="s">
        <v>169</v>
      </c>
      <c r="BP624" s="13">
        <v>279.01190783056597</v>
      </c>
      <c r="BQ624" s="13" t="s">
        <v>169</v>
      </c>
      <c r="BT624" s="298" t="str">
        <f>+VLOOKUP(G624,Liste!$A$7:$H$50,8,FALSE)</f>
        <v>Résineux</v>
      </c>
      <c r="BU624" s="298">
        <f t="shared" si="189"/>
        <v>0</v>
      </c>
      <c r="BV624" s="300">
        <f t="shared" si="190"/>
        <v>1</v>
      </c>
      <c r="BW624" s="321">
        <v>0</v>
      </c>
      <c r="BX624" s="298">
        <f t="shared" si="191"/>
        <v>0.43</v>
      </c>
      <c r="BY624">
        <f t="shared" si="192"/>
        <v>0</v>
      </c>
      <c r="BZ624" s="304">
        <f t="shared" si="193"/>
        <v>0</v>
      </c>
      <c r="CB624" s="299">
        <v>0.6</v>
      </c>
      <c r="CC624" s="299">
        <v>0.4</v>
      </c>
      <c r="CD624">
        <f t="shared" si="194"/>
        <v>0</v>
      </c>
      <c r="CE624">
        <f t="shared" si="195"/>
        <v>0</v>
      </c>
      <c r="CF624">
        <f t="shared" si="196"/>
        <v>0</v>
      </c>
      <c r="CG624">
        <f t="shared" si="197"/>
        <v>0</v>
      </c>
      <c r="CH624">
        <f t="shared" si="198"/>
        <v>0</v>
      </c>
      <c r="CI624">
        <f t="shared" si="199"/>
        <v>0</v>
      </c>
      <c r="CJ624">
        <f t="shared" si="200"/>
        <v>0</v>
      </c>
      <c r="CK624">
        <f t="shared" si="201"/>
        <v>0</v>
      </c>
      <c r="CL624">
        <f t="shared" si="202"/>
        <v>0</v>
      </c>
      <c r="CM624">
        <f t="shared" si="204"/>
        <v>0</v>
      </c>
      <c r="CN624">
        <f t="shared" si="203"/>
        <v>0</v>
      </c>
      <c r="CO624">
        <f t="shared" si="187"/>
        <v>0</v>
      </c>
    </row>
    <row r="625" spans="1:93" s="12" customFormat="1" ht="14.65" customHeight="1" x14ac:dyDescent="0.25">
      <c r="A625" s="4">
        <v>2021</v>
      </c>
      <c r="B625" s="4"/>
      <c r="C625" s="4" t="s">
        <v>179</v>
      </c>
      <c r="D625" s="4" t="s">
        <v>65</v>
      </c>
      <c r="E625" s="4"/>
      <c r="F625" s="4" t="s">
        <v>90</v>
      </c>
      <c r="G625" s="5" t="s">
        <v>180</v>
      </c>
      <c r="H625" s="5" t="s">
        <v>21</v>
      </c>
      <c r="I625" s="5" t="s">
        <v>18</v>
      </c>
      <c r="J625" s="5" t="s">
        <v>9</v>
      </c>
      <c r="K625" s="5">
        <v>26</v>
      </c>
      <c r="L625" s="5" t="s">
        <v>190</v>
      </c>
      <c r="M625" s="5">
        <v>1600</v>
      </c>
      <c r="N625" s="5" t="s">
        <v>171</v>
      </c>
      <c r="O625" s="6" t="s">
        <v>81</v>
      </c>
      <c r="P625" s="6" t="s">
        <v>181</v>
      </c>
      <c r="Q625" s="6"/>
      <c r="R625" s="6"/>
      <c r="S625" s="6">
        <v>15</v>
      </c>
      <c r="T625" s="6">
        <v>8.23</v>
      </c>
      <c r="U625" s="6">
        <v>1600</v>
      </c>
      <c r="V625" s="6">
        <v>14.07</v>
      </c>
      <c r="W625" s="6">
        <v>109</v>
      </c>
      <c r="X625" s="6">
        <v>1278</v>
      </c>
      <c r="Y625" s="6">
        <v>213</v>
      </c>
      <c r="Z625" s="6">
        <v>0</v>
      </c>
      <c r="AA625" s="6">
        <v>0</v>
      </c>
      <c r="AB625" s="6">
        <v>0</v>
      </c>
      <c r="AC625" s="7">
        <v>54</v>
      </c>
      <c r="AD625" s="7" t="s">
        <v>52</v>
      </c>
      <c r="AE625" s="7">
        <v>27.3</v>
      </c>
      <c r="AF625" s="76">
        <v>295.39999999999998</v>
      </c>
      <c r="AG625" s="7">
        <v>39.9</v>
      </c>
      <c r="AH625" s="7">
        <v>41.47</v>
      </c>
      <c r="AI625" s="7">
        <v>45.02</v>
      </c>
      <c r="AJ625" s="9">
        <v>413.06957762283002</v>
      </c>
      <c r="AK625" s="9">
        <v>422.38779658306998</v>
      </c>
      <c r="AL625" s="9">
        <v>518.50457372477501</v>
      </c>
      <c r="AM625" s="9" t="s">
        <v>169</v>
      </c>
      <c r="AN625" s="9" t="s">
        <v>169</v>
      </c>
      <c r="AO625" s="9" t="s">
        <v>169</v>
      </c>
      <c r="AP625" s="9" t="s">
        <v>169</v>
      </c>
      <c r="AQ625" s="9" t="s">
        <v>169</v>
      </c>
      <c r="AR625" s="9" t="s">
        <v>169</v>
      </c>
      <c r="AS625" s="8" t="s">
        <v>169</v>
      </c>
      <c r="AT625" s="8" t="s">
        <v>169</v>
      </c>
      <c r="AU625" s="10" t="s">
        <v>169</v>
      </c>
      <c r="AV625" s="10">
        <v>0</v>
      </c>
      <c r="AW625" s="8"/>
      <c r="AX625" s="10" t="s">
        <v>169</v>
      </c>
      <c r="AY625" s="10"/>
      <c r="AZ625" s="10"/>
      <c r="BA625" s="10"/>
      <c r="BB625" s="8"/>
      <c r="BC625" s="8"/>
      <c r="BD625" s="8"/>
      <c r="BE625" s="8"/>
      <c r="BF625" s="12">
        <v>0.45</v>
      </c>
      <c r="BG625" s="13">
        <v>406.67898036764899</v>
      </c>
      <c r="BH625" s="96" t="str">
        <f>+VLOOKUP(G625,Liste!$A$7:$G$50,3,FALSE)</f>
        <v>Pin Laricio</v>
      </c>
      <c r="BI625" s="96" t="str">
        <f>+VLOOKUP(H625,Liste!$B$7:$G$50,5,FALSE)</f>
        <v>GS Pineraies des plaines du Centre et du Nord Ouest</v>
      </c>
      <c r="BJ625" s="135">
        <f t="shared" si="186"/>
        <v>54</v>
      </c>
      <c r="BK625" s="135" t="str">
        <f t="shared" si="188"/>
        <v>Pin Laricio_F1_Classique_GS Pineraies des plaines du Centre et du Nord Ouest_54_</v>
      </c>
      <c r="BL625" s="322"/>
      <c r="BM625" s="13">
        <v>99.291003629623305</v>
      </c>
      <c r="BN625" s="13">
        <v>505.969983997273</v>
      </c>
      <c r="BO625" s="13" t="s">
        <v>169</v>
      </c>
      <c r="BP625" s="13">
        <v>279.01190783056597</v>
      </c>
      <c r="BQ625" s="13" t="s">
        <v>169</v>
      </c>
      <c r="BT625" s="298" t="str">
        <f>+VLOOKUP(G625,Liste!$A$7:$H$50,8,FALSE)</f>
        <v>Résineux</v>
      </c>
      <c r="BU625" s="298">
        <f t="shared" si="189"/>
        <v>0</v>
      </c>
      <c r="BV625" s="300">
        <f t="shared" si="190"/>
        <v>1</v>
      </c>
      <c r="BW625" s="321">
        <v>0</v>
      </c>
      <c r="BX625" s="298">
        <f t="shared" si="191"/>
        <v>0.43</v>
      </c>
      <c r="BY625">
        <f t="shared" si="192"/>
        <v>0</v>
      </c>
      <c r="BZ625" s="304">
        <f t="shared" si="193"/>
        <v>0</v>
      </c>
      <c r="CB625" s="299">
        <v>0.6</v>
      </c>
      <c r="CC625" s="299">
        <v>0.4</v>
      </c>
      <c r="CD625">
        <f t="shared" si="194"/>
        <v>0</v>
      </c>
      <c r="CE625">
        <f t="shared" si="195"/>
        <v>0</v>
      </c>
      <c r="CF625">
        <f t="shared" si="196"/>
        <v>0</v>
      </c>
      <c r="CG625">
        <f t="shared" si="197"/>
        <v>0</v>
      </c>
      <c r="CH625">
        <f t="shared" si="198"/>
        <v>0</v>
      </c>
      <c r="CI625">
        <f t="shared" si="199"/>
        <v>0</v>
      </c>
      <c r="CJ625">
        <f t="shared" si="200"/>
        <v>0</v>
      </c>
      <c r="CK625">
        <f t="shared" si="201"/>
        <v>0</v>
      </c>
      <c r="CL625">
        <f t="shared" si="202"/>
        <v>0</v>
      </c>
      <c r="CM625">
        <f t="shared" si="204"/>
        <v>0</v>
      </c>
      <c r="CN625">
        <f t="shared" si="203"/>
        <v>0</v>
      </c>
      <c r="CO625">
        <f t="shared" si="187"/>
        <v>0</v>
      </c>
    </row>
    <row r="626" spans="1:93" s="12" customFormat="1" ht="14.65" customHeight="1" x14ac:dyDescent="0.25">
      <c r="A626" s="4">
        <v>2021</v>
      </c>
      <c r="B626" s="4"/>
      <c r="C626" s="4" t="s">
        <v>179</v>
      </c>
      <c r="D626" s="4" t="s">
        <v>65</v>
      </c>
      <c r="E626" s="4"/>
      <c r="F626" s="4" t="s">
        <v>90</v>
      </c>
      <c r="G626" s="5" t="s">
        <v>180</v>
      </c>
      <c r="H626" s="5" t="s">
        <v>21</v>
      </c>
      <c r="I626" s="5" t="s">
        <v>18</v>
      </c>
      <c r="J626" s="5" t="s">
        <v>9</v>
      </c>
      <c r="K626" s="5">
        <v>26</v>
      </c>
      <c r="L626" s="5" t="s">
        <v>190</v>
      </c>
      <c r="M626" s="5">
        <v>1600</v>
      </c>
      <c r="N626" s="5" t="s">
        <v>171</v>
      </c>
      <c r="O626" s="6" t="s">
        <v>81</v>
      </c>
      <c r="P626" s="6" t="s">
        <v>181</v>
      </c>
      <c r="Q626" s="6"/>
      <c r="R626" s="6"/>
      <c r="S626" s="6">
        <v>15</v>
      </c>
      <c r="T626" s="6">
        <v>8.23</v>
      </c>
      <c r="U626" s="6">
        <v>1600</v>
      </c>
      <c r="V626" s="6">
        <v>14.07</v>
      </c>
      <c r="W626" s="6">
        <v>109</v>
      </c>
      <c r="X626" s="6">
        <v>1278</v>
      </c>
      <c r="Y626" s="6">
        <v>213</v>
      </c>
      <c r="Z626" s="6">
        <v>0</v>
      </c>
      <c r="AA626" s="6">
        <v>0</v>
      </c>
      <c r="AB626" s="6">
        <v>0</v>
      </c>
      <c r="AC626" s="7">
        <v>55</v>
      </c>
      <c r="AD626" s="7" t="s">
        <v>52</v>
      </c>
      <c r="AE626" s="7">
        <v>27.54</v>
      </c>
      <c r="AF626" s="76">
        <v>295.39999999999998</v>
      </c>
      <c r="AG626" s="7">
        <v>41</v>
      </c>
      <c r="AH626" s="7">
        <v>42.04</v>
      </c>
      <c r="AI626" s="7">
        <v>45.64</v>
      </c>
      <c r="AJ626" s="9">
        <v>427.597783046789</v>
      </c>
      <c r="AK626" s="9">
        <v>437.336137846491</v>
      </c>
      <c r="AL626" s="9">
        <v>536.65238464569097</v>
      </c>
      <c r="AM626" s="9" t="s">
        <v>169</v>
      </c>
      <c r="AN626" s="9" t="s">
        <v>169</v>
      </c>
      <c r="AO626" s="9" t="s">
        <v>169</v>
      </c>
      <c r="AP626" s="9" t="s">
        <v>169</v>
      </c>
      <c r="AQ626" s="9" t="s">
        <v>169</v>
      </c>
      <c r="AR626" s="9" t="s">
        <v>169</v>
      </c>
      <c r="AS626" s="8" t="s">
        <v>169</v>
      </c>
      <c r="AT626" s="8" t="s">
        <v>169</v>
      </c>
      <c r="AU626" s="10" t="s">
        <v>169</v>
      </c>
      <c r="AV626" s="10">
        <v>0</v>
      </c>
      <c r="AW626" s="8"/>
      <c r="AX626" s="10" t="s">
        <v>169</v>
      </c>
      <c r="AY626" s="10"/>
      <c r="AZ626" s="10"/>
      <c r="BA626" s="10"/>
      <c r="BB626" s="8"/>
      <c r="BC626" s="8"/>
      <c r="BD626" s="8"/>
      <c r="BE626" s="8"/>
      <c r="BF626" s="12">
        <v>0.45</v>
      </c>
      <c r="BG626" s="13">
        <v>420.91286298936802</v>
      </c>
      <c r="BH626" s="96" t="str">
        <f>+VLOOKUP(G626,Liste!$A$7:$G$50,3,FALSE)</f>
        <v>Pin Laricio</v>
      </c>
      <c r="BI626" s="96" t="str">
        <f>+VLOOKUP(H626,Liste!$B$7:$G$50,5,FALSE)</f>
        <v>GS Pineraies des plaines du Centre et du Nord Ouest</v>
      </c>
      <c r="BJ626" s="135">
        <f t="shared" si="186"/>
        <v>55</v>
      </c>
      <c r="BK626" s="135" t="str">
        <f t="shared" si="188"/>
        <v>Pin Laricio_F1_Classique_GS Pineraies des plaines du Centre et du Nord Ouest_55_</v>
      </c>
      <c r="BL626" s="322"/>
      <c r="BM626" s="13">
        <v>102.376857831697</v>
      </c>
      <c r="BN626" s="13">
        <v>523.289720821066</v>
      </c>
      <c r="BO626" s="13" t="s">
        <v>169</v>
      </c>
      <c r="BP626" s="13">
        <v>279.01190783056597</v>
      </c>
      <c r="BQ626" s="13" t="s">
        <v>169</v>
      </c>
      <c r="BT626" s="298" t="str">
        <f>+VLOOKUP(G626,Liste!$A$7:$H$50,8,FALSE)</f>
        <v>Résineux</v>
      </c>
      <c r="BU626" s="298">
        <f t="shared" si="189"/>
        <v>0</v>
      </c>
      <c r="BV626" s="300">
        <f t="shared" si="190"/>
        <v>1</v>
      </c>
      <c r="BW626" s="321">
        <v>0</v>
      </c>
      <c r="BX626" s="298">
        <f t="shared" si="191"/>
        <v>0.43</v>
      </c>
      <c r="BY626">
        <f t="shared" si="192"/>
        <v>0</v>
      </c>
      <c r="BZ626" s="304">
        <f t="shared" si="193"/>
        <v>0</v>
      </c>
      <c r="CB626" s="299">
        <v>0.6</v>
      </c>
      <c r="CC626" s="299">
        <v>0.4</v>
      </c>
      <c r="CD626">
        <f t="shared" si="194"/>
        <v>0</v>
      </c>
      <c r="CE626">
        <f t="shared" si="195"/>
        <v>0</v>
      </c>
      <c r="CF626">
        <f t="shared" si="196"/>
        <v>0</v>
      </c>
      <c r="CG626">
        <f t="shared" si="197"/>
        <v>0</v>
      </c>
      <c r="CH626">
        <f t="shared" si="198"/>
        <v>0</v>
      </c>
      <c r="CI626">
        <f t="shared" si="199"/>
        <v>0</v>
      </c>
      <c r="CJ626">
        <f t="shared" si="200"/>
        <v>0</v>
      </c>
      <c r="CK626">
        <f t="shared" si="201"/>
        <v>0</v>
      </c>
      <c r="CL626">
        <f t="shared" si="202"/>
        <v>0</v>
      </c>
      <c r="CM626">
        <f t="shared" si="204"/>
        <v>0</v>
      </c>
      <c r="CN626">
        <f t="shared" si="203"/>
        <v>0</v>
      </c>
      <c r="CO626">
        <f t="shared" si="187"/>
        <v>0</v>
      </c>
    </row>
    <row r="627" spans="1:93" s="12" customFormat="1" ht="14.65" customHeight="1" x14ac:dyDescent="0.25">
      <c r="A627" s="4">
        <v>2021</v>
      </c>
      <c r="B627" s="4"/>
      <c r="C627" s="4" t="s">
        <v>179</v>
      </c>
      <c r="D627" s="4" t="s">
        <v>65</v>
      </c>
      <c r="E627" s="4"/>
      <c r="F627" s="4" t="s">
        <v>90</v>
      </c>
      <c r="G627" s="5" t="s">
        <v>180</v>
      </c>
      <c r="H627" s="5" t="s">
        <v>21</v>
      </c>
      <c r="I627" s="5" t="s">
        <v>18</v>
      </c>
      <c r="J627" s="5" t="s">
        <v>9</v>
      </c>
      <c r="K627" s="5">
        <v>26</v>
      </c>
      <c r="L627" s="5" t="s">
        <v>190</v>
      </c>
      <c r="M627" s="5">
        <v>1600</v>
      </c>
      <c r="N627" s="5" t="s">
        <v>171</v>
      </c>
      <c r="O627" s="6" t="s">
        <v>81</v>
      </c>
      <c r="P627" s="6" t="s">
        <v>181</v>
      </c>
      <c r="Q627" s="6"/>
      <c r="R627" s="6"/>
      <c r="S627" s="6">
        <v>15</v>
      </c>
      <c r="T627" s="6">
        <v>8.23</v>
      </c>
      <c r="U627" s="6">
        <v>1600</v>
      </c>
      <c r="V627" s="6">
        <v>14.07</v>
      </c>
      <c r="W627" s="6">
        <v>109</v>
      </c>
      <c r="X627" s="6">
        <v>1278</v>
      </c>
      <c r="Y627" s="6">
        <v>213</v>
      </c>
      <c r="Z627" s="6">
        <v>0</v>
      </c>
      <c r="AA627" s="6">
        <v>0</v>
      </c>
      <c r="AB627" s="6">
        <v>0</v>
      </c>
      <c r="AC627" s="7">
        <v>56</v>
      </c>
      <c r="AD627" s="7" t="s">
        <v>52</v>
      </c>
      <c r="AE627" s="7">
        <v>27.77</v>
      </c>
      <c r="AF627" s="76">
        <v>295.2</v>
      </c>
      <c r="AG627" s="7">
        <v>42.05</v>
      </c>
      <c r="AH627" s="7">
        <v>42.59</v>
      </c>
      <c r="AI627" s="7">
        <v>46.24</v>
      </c>
      <c r="AJ627" s="9">
        <v>442.12598847074702</v>
      </c>
      <c r="AK627" s="9">
        <v>452.28447910991201</v>
      </c>
      <c r="AL627" s="9">
        <v>554.80019556660704</v>
      </c>
      <c r="AM627" s="9">
        <v>79.108943284376494</v>
      </c>
      <c r="AN627" s="9">
        <v>1.4126597015067199</v>
      </c>
      <c r="AO627" s="9">
        <v>0.95880029308939596</v>
      </c>
      <c r="AP627" s="9">
        <v>893.78321562177803</v>
      </c>
      <c r="AQ627" s="9">
        <v>15.960414564674601</v>
      </c>
      <c r="AR627" s="9">
        <v>15.7583773668185</v>
      </c>
      <c r="AS627" s="8" t="s">
        <v>169</v>
      </c>
      <c r="AT627" s="8" t="s">
        <v>169</v>
      </c>
      <c r="AU627" s="10" t="s">
        <v>169</v>
      </c>
      <c r="AV627" s="10">
        <v>0</v>
      </c>
      <c r="AW627" s="8"/>
      <c r="AX627" s="10" t="s">
        <v>169</v>
      </c>
      <c r="AY627" s="10"/>
      <c r="AZ627" s="10"/>
      <c r="BA627" s="10"/>
      <c r="BB627" s="8"/>
      <c r="BC627" s="8"/>
      <c r="BD627" s="8"/>
      <c r="BE627" s="8"/>
      <c r="BF627" s="12">
        <v>0.45</v>
      </c>
      <c r="BG627" s="13">
        <v>435.146745611087</v>
      </c>
      <c r="BH627" s="96" t="str">
        <f>+VLOOKUP(G627,Liste!$A$7:$G$50,3,FALSE)</f>
        <v>Pin Laricio</v>
      </c>
      <c r="BI627" s="96" t="str">
        <f>+VLOOKUP(H627,Liste!$B$7:$G$50,5,FALSE)</f>
        <v>GS Pineraies des plaines du Centre et du Nord Ouest</v>
      </c>
      <c r="BJ627" s="135">
        <f t="shared" si="186"/>
        <v>56</v>
      </c>
      <c r="BK627" s="135" t="str">
        <f t="shared" si="188"/>
        <v>Pin Laricio_F1_Classique_GS Pineraies des plaines du Centre et du Nord Ouest_56_</v>
      </c>
      <c r="BL627" s="322"/>
      <c r="BM627" s="13">
        <v>105.462712033771</v>
      </c>
      <c r="BN627" s="13">
        <v>540.60945764485803</v>
      </c>
      <c r="BO627" s="13" t="s">
        <v>169</v>
      </c>
      <c r="BP627" s="13">
        <v>279.01190783056597</v>
      </c>
      <c r="BQ627" s="13">
        <v>14.856154593822501</v>
      </c>
      <c r="BT627" s="298" t="str">
        <f>+VLOOKUP(G627,Liste!$A$7:$H$50,8,FALSE)</f>
        <v>Résineux</v>
      </c>
      <c r="BU627" s="298">
        <f t="shared" si="189"/>
        <v>0</v>
      </c>
      <c r="BV627" s="300">
        <f t="shared" si="190"/>
        <v>1</v>
      </c>
      <c r="BW627" s="321">
        <v>0</v>
      </c>
      <c r="BX627" s="298">
        <f t="shared" si="191"/>
        <v>0.43</v>
      </c>
      <c r="BY627">
        <f t="shared" si="192"/>
        <v>0</v>
      </c>
      <c r="BZ627" s="304">
        <f t="shared" si="193"/>
        <v>0</v>
      </c>
      <c r="CB627" s="299">
        <v>0.6</v>
      </c>
      <c r="CC627" s="299">
        <v>0.4</v>
      </c>
      <c r="CD627">
        <f t="shared" si="194"/>
        <v>0</v>
      </c>
      <c r="CE627">
        <f t="shared" si="195"/>
        <v>0</v>
      </c>
      <c r="CF627">
        <f t="shared" si="196"/>
        <v>0</v>
      </c>
      <c r="CG627">
        <f t="shared" si="197"/>
        <v>0</v>
      </c>
      <c r="CH627">
        <f t="shared" si="198"/>
        <v>0</v>
      </c>
      <c r="CI627">
        <f t="shared" si="199"/>
        <v>0</v>
      </c>
      <c r="CJ627">
        <f t="shared" si="200"/>
        <v>0</v>
      </c>
      <c r="CK627">
        <f t="shared" si="201"/>
        <v>0</v>
      </c>
      <c r="CL627">
        <f t="shared" si="202"/>
        <v>0</v>
      </c>
      <c r="CM627">
        <f t="shared" si="204"/>
        <v>0</v>
      </c>
      <c r="CN627">
        <f t="shared" si="203"/>
        <v>0</v>
      </c>
      <c r="CO627">
        <f t="shared" si="187"/>
        <v>0</v>
      </c>
    </row>
    <row r="628" spans="1:93" s="12" customFormat="1" ht="14.65" customHeight="1" x14ac:dyDescent="0.25">
      <c r="A628" s="4">
        <v>2021</v>
      </c>
      <c r="B628" s="4"/>
      <c r="C628" s="4" t="s">
        <v>179</v>
      </c>
      <c r="D628" s="4" t="s">
        <v>65</v>
      </c>
      <c r="E628" s="4"/>
      <c r="F628" s="4" t="s">
        <v>90</v>
      </c>
      <c r="G628" s="5" t="s">
        <v>180</v>
      </c>
      <c r="H628" s="5" t="s">
        <v>21</v>
      </c>
      <c r="I628" s="5" t="s">
        <v>18</v>
      </c>
      <c r="J628" s="5" t="s">
        <v>9</v>
      </c>
      <c r="K628" s="5">
        <v>26</v>
      </c>
      <c r="L628" s="5" t="s">
        <v>190</v>
      </c>
      <c r="M628" s="5">
        <v>1600</v>
      </c>
      <c r="N628" s="5" t="s">
        <v>171</v>
      </c>
      <c r="O628" s="6" t="s">
        <v>81</v>
      </c>
      <c r="P628" s="6" t="s">
        <v>181</v>
      </c>
      <c r="Q628" s="6"/>
      <c r="R628" s="6"/>
      <c r="S628" s="6">
        <v>15</v>
      </c>
      <c r="T628" s="6">
        <v>8.23</v>
      </c>
      <c r="U628" s="6">
        <v>1600</v>
      </c>
      <c r="V628" s="6">
        <v>14.07</v>
      </c>
      <c r="W628" s="6">
        <v>109</v>
      </c>
      <c r="X628" s="6">
        <v>1278</v>
      </c>
      <c r="Y628" s="6">
        <v>213</v>
      </c>
      <c r="Z628" s="6">
        <v>0</v>
      </c>
      <c r="AA628" s="6">
        <v>0</v>
      </c>
      <c r="AB628" s="6">
        <v>0</v>
      </c>
      <c r="AC628" s="7">
        <v>56</v>
      </c>
      <c r="AD628" s="7" t="s">
        <v>53</v>
      </c>
      <c r="AE628" s="7">
        <v>27.77</v>
      </c>
      <c r="AF628" s="76">
        <v>247.2</v>
      </c>
      <c r="AG628" s="7">
        <v>36.020000000000003</v>
      </c>
      <c r="AH628" s="7">
        <v>43.07</v>
      </c>
      <c r="AI628" s="7">
        <v>46.24</v>
      </c>
      <c r="AJ628" s="9">
        <v>379.19212339763101</v>
      </c>
      <c r="AK628" s="9">
        <v>387.97736570669201</v>
      </c>
      <c r="AL628" s="9">
        <v>475.767032239993</v>
      </c>
      <c r="AM628" s="9">
        <v>79.108943284376494</v>
      </c>
      <c r="AN628" s="9">
        <v>1.4126597015067199</v>
      </c>
      <c r="AO628" s="9">
        <v>0.95880029308939596</v>
      </c>
      <c r="AP628" s="9">
        <v>893.78321562177803</v>
      </c>
      <c r="AQ628" s="9">
        <v>15.960414564674601</v>
      </c>
      <c r="AR628" s="9">
        <v>15.7583773668185</v>
      </c>
      <c r="AS628" s="8">
        <v>48</v>
      </c>
      <c r="AT628" s="8">
        <v>6.029999999999994</v>
      </c>
      <c r="AU628" s="10">
        <v>39.993839251484054</v>
      </c>
      <c r="AV628" s="10">
        <v>62.93386507311601</v>
      </c>
      <c r="AW628" s="10">
        <v>0.88180166242906477</v>
      </c>
      <c r="AX628" s="10">
        <v>1.3111221890232503</v>
      </c>
      <c r="AY628" s="10"/>
      <c r="AZ628" s="10"/>
      <c r="BA628" s="10"/>
      <c r="BB628" s="8"/>
      <c r="BC628" s="8"/>
      <c r="BD628" s="8"/>
      <c r="BE628" s="8"/>
      <c r="BF628" s="12">
        <v>0.45</v>
      </c>
      <c r="BG628" s="13">
        <v>373.15862071181101</v>
      </c>
      <c r="BH628" s="96" t="str">
        <f>+VLOOKUP(G628,Liste!$A$7:$G$50,3,FALSE)</f>
        <v>Pin Laricio</v>
      </c>
      <c r="BI628" s="96" t="str">
        <f>+VLOOKUP(H628,Liste!$B$7:$G$50,5,FALSE)</f>
        <v>GS Pineraies des plaines du Centre et du Nord Ouest</v>
      </c>
      <c r="BJ628" s="135">
        <f t="shared" si="186"/>
        <v>56</v>
      </c>
      <c r="BK628" s="135" t="str">
        <f t="shared" si="188"/>
        <v>Pin Laricio_F1_Classique_GS Pineraies des plaines du Centre et du Nord Ouest_56_</v>
      </c>
      <c r="BL628" s="322"/>
      <c r="BM628" s="13">
        <v>92.071554083298096</v>
      </c>
      <c r="BN628" s="13">
        <v>465.23017479510901</v>
      </c>
      <c r="BO628" s="13">
        <v>75.379282849749018</v>
      </c>
      <c r="BP628" s="13">
        <v>279.01190783056597</v>
      </c>
      <c r="BQ628" s="13">
        <v>14.856154593822501</v>
      </c>
      <c r="BT628" s="298" t="str">
        <f>+VLOOKUP(G628,Liste!$A$7:$H$50,8,FALSE)</f>
        <v>Résineux</v>
      </c>
      <c r="BU628" s="298">
        <f t="shared" si="189"/>
        <v>0</v>
      </c>
      <c r="BV628" s="300">
        <f t="shared" si="190"/>
        <v>1</v>
      </c>
      <c r="BW628" s="321">
        <v>0</v>
      </c>
      <c r="BX628" s="298">
        <f t="shared" si="191"/>
        <v>0.43</v>
      </c>
      <c r="BY628">
        <f t="shared" si="192"/>
        <v>0</v>
      </c>
      <c r="BZ628" s="304">
        <f t="shared" si="193"/>
        <v>0</v>
      </c>
      <c r="CB628" s="299">
        <v>0.6</v>
      </c>
      <c r="CC628" s="299">
        <v>0.4</v>
      </c>
      <c r="CD628">
        <f t="shared" si="194"/>
        <v>0</v>
      </c>
      <c r="CE628">
        <f t="shared" si="195"/>
        <v>0</v>
      </c>
      <c r="CF628">
        <f t="shared" si="196"/>
        <v>0</v>
      </c>
      <c r="CG628">
        <f t="shared" si="197"/>
        <v>0</v>
      </c>
      <c r="CH628">
        <f t="shared" si="198"/>
        <v>0</v>
      </c>
      <c r="CI628">
        <f t="shared" si="199"/>
        <v>0</v>
      </c>
      <c r="CJ628">
        <f t="shared" si="200"/>
        <v>0</v>
      </c>
      <c r="CK628">
        <f t="shared" si="201"/>
        <v>0</v>
      </c>
      <c r="CL628">
        <f t="shared" si="202"/>
        <v>0</v>
      </c>
      <c r="CM628">
        <f t="shared" si="204"/>
        <v>0</v>
      </c>
      <c r="CN628">
        <f t="shared" si="203"/>
        <v>0</v>
      </c>
      <c r="CO628">
        <f t="shared" si="187"/>
        <v>0</v>
      </c>
    </row>
    <row r="629" spans="1:93" s="12" customFormat="1" ht="14.65" customHeight="1" x14ac:dyDescent="0.25">
      <c r="A629" s="4">
        <v>2021</v>
      </c>
      <c r="B629" s="4"/>
      <c r="C629" s="4" t="s">
        <v>179</v>
      </c>
      <c r="D629" s="4" t="s">
        <v>65</v>
      </c>
      <c r="E629" s="4"/>
      <c r="F629" s="4" t="s">
        <v>90</v>
      </c>
      <c r="G629" s="5" t="s">
        <v>180</v>
      </c>
      <c r="H629" s="5" t="s">
        <v>21</v>
      </c>
      <c r="I629" s="5" t="s">
        <v>18</v>
      </c>
      <c r="J629" s="5" t="s">
        <v>9</v>
      </c>
      <c r="K629" s="5">
        <v>26</v>
      </c>
      <c r="L629" s="5" t="s">
        <v>190</v>
      </c>
      <c r="M629" s="5">
        <v>1600</v>
      </c>
      <c r="N629" s="5" t="s">
        <v>171</v>
      </c>
      <c r="O629" s="6" t="s">
        <v>81</v>
      </c>
      <c r="P629" s="6" t="s">
        <v>181</v>
      </c>
      <c r="Q629" s="6"/>
      <c r="R629" s="6"/>
      <c r="S629" s="6">
        <v>15</v>
      </c>
      <c r="T629" s="6">
        <v>8.23</v>
      </c>
      <c r="U629" s="6">
        <v>1600</v>
      </c>
      <c r="V629" s="6">
        <v>14.07</v>
      </c>
      <c r="W629" s="6">
        <v>109</v>
      </c>
      <c r="X629" s="6">
        <v>1278</v>
      </c>
      <c r="Y629" s="6">
        <v>213</v>
      </c>
      <c r="Z629" s="6">
        <v>0</v>
      </c>
      <c r="AA629" s="6">
        <v>0</v>
      </c>
      <c r="AB629" s="6">
        <v>0</v>
      </c>
      <c r="AC629" s="7">
        <v>57</v>
      </c>
      <c r="AD629" s="7" t="s">
        <v>52</v>
      </c>
      <c r="AE629" s="7">
        <v>27.99</v>
      </c>
      <c r="AF629" s="76">
        <v>247</v>
      </c>
      <c r="AG629" s="7">
        <v>36.9</v>
      </c>
      <c r="AH629" s="7">
        <v>43.61</v>
      </c>
      <c r="AI629" s="7">
        <v>46.82</v>
      </c>
      <c r="AJ629" s="9">
        <v>391.8080155358</v>
      </c>
      <c r="AK629" s="9">
        <v>400.97690519369598</v>
      </c>
      <c r="AL629" s="9">
        <v>491.52540960681102</v>
      </c>
      <c r="AM629" s="9" t="s">
        <v>169</v>
      </c>
      <c r="AN629" s="9" t="s">
        <v>169</v>
      </c>
      <c r="AO629" s="9" t="s">
        <v>169</v>
      </c>
      <c r="AP629" s="9" t="s">
        <v>169</v>
      </c>
      <c r="AQ629" s="9" t="s">
        <v>169</v>
      </c>
      <c r="AR629" s="9" t="s">
        <v>169</v>
      </c>
      <c r="AS629" s="8" t="s">
        <v>169</v>
      </c>
      <c r="AT629" s="8" t="s">
        <v>169</v>
      </c>
      <c r="AU629" s="10" t="s">
        <v>169</v>
      </c>
      <c r="AV629" s="10">
        <v>0</v>
      </c>
      <c r="AW629" s="8"/>
      <c r="AX629" s="10" t="s">
        <v>169</v>
      </c>
      <c r="AY629" s="10"/>
      <c r="AZ629" s="10"/>
      <c r="BA629" s="10"/>
      <c r="BB629" s="8"/>
      <c r="BC629" s="8"/>
      <c r="BD629" s="8"/>
      <c r="BE629" s="8"/>
      <c r="BF629" s="12">
        <v>0.45</v>
      </c>
      <c r="BG629" s="13">
        <v>385.51839758658201</v>
      </c>
      <c r="BH629" s="96" t="str">
        <f>+VLOOKUP(G629,Liste!$A$7:$G$50,3,FALSE)</f>
        <v>Pin Laricio</v>
      </c>
      <c r="BI629" s="96" t="str">
        <f>+VLOOKUP(H629,Liste!$B$7:$G$50,5,FALSE)</f>
        <v>GS Pineraies des plaines du Centre et du Nord Ouest</v>
      </c>
      <c r="BJ629" s="135">
        <f t="shared" si="186"/>
        <v>57</v>
      </c>
      <c r="BK629" s="135" t="str">
        <f t="shared" si="188"/>
        <v>Pin Laricio_F1_Classique_GS Pineraies des plaines du Centre et du Nord Ouest_57_</v>
      </c>
      <c r="BL629" s="322"/>
      <c r="BM629" s="13">
        <v>94.751143451762601</v>
      </c>
      <c r="BN629" s="13">
        <v>480.26954103834498</v>
      </c>
      <c r="BO629" s="13" t="s">
        <v>169</v>
      </c>
      <c r="BP629" s="13">
        <v>279.01190783056597</v>
      </c>
      <c r="BQ629" s="13" t="s">
        <v>169</v>
      </c>
      <c r="BT629" s="298" t="str">
        <f>+VLOOKUP(G629,Liste!$A$7:$H$50,8,FALSE)</f>
        <v>Résineux</v>
      </c>
      <c r="BU629" s="298">
        <f t="shared" si="189"/>
        <v>0</v>
      </c>
      <c r="BV629" s="300">
        <f t="shared" si="190"/>
        <v>1</v>
      </c>
      <c r="BW629" s="321">
        <v>0</v>
      </c>
      <c r="BX629" s="298">
        <f t="shared" si="191"/>
        <v>0.43</v>
      </c>
      <c r="BY629">
        <f t="shared" si="192"/>
        <v>0</v>
      </c>
      <c r="BZ629" s="304">
        <f t="shared" si="193"/>
        <v>0</v>
      </c>
      <c r="CB629" s="299">
        <v>0.6</v>
      </c>
      <c r="CC629" s="299">
        <v>0.4</v>
      </c>
      <c r="CD629">
        <f t="shared" si="194"/>
        <v>0</v>
      </c>
      <c r="CE629">
        <f t="shared" si="195"/>
        <v>0</v>
      </c>
      <c r="CF629">
        <f t="shared" si="196"/>
        <v>0</v>
      </c>
      <c r="CG629">
        <f t="shared" si="197"/>
        <v>0</v>
      </c>
      <c r="CH629">
        <f t="shared" si="198"/>
        <v>0</v>
      </c>
      <c r="CI629">
        <f t="shared" si="199"/>
        <v>0</v>
      </c>
      <c r="CJ629">
        <f t="shared" si="200"/>
        <v>0</v>
      </c>
      <c r="CK629">
        <f t="shared" si="201"/>
        <v>0</v>
      </c>
      <c r="CL629">
        <f t="shared" si="202"/>
        <v>0</v>
      </c>
      <c r="CM629">
        <f t="shared" si="204"/>
        <v>0</v>
      </c>
      <c r="CN629">
        <f t="shared" si="203"/>
        <v>0</v>
      </c>
      <c r="CO629">
        <f t="shared" si="187"/>
        <v>0</v>
      </c>
    </row>
    <row r="630" spans="1:93" s="12" customFormat="1" ht="14.65" customHeight="1" x14ac:dyDescent="0.25">
      <c r="A630" s="4">
        <v>2021</v>
      </c>
      <c r="B630" s="4"/>
      <c r="C630" s="4" t="s">
        <v>179</v>
      </c>
      <c r="D630" s="4" t="s">
        <v>65</v>
      </c>
      <c r="E630" s="4"/>
      <c r="F630" s="4" t="s">
        <v>90</v>
      </c>
      <c r="G630" s="5" t="s">
        <v>180</v>
      </c>
      <c r="H630" s="5" t="s">
        <v>21</v>
      </c>
      <c r="I630" s="5" t="s">
        <v>18</v>
      </c>
      <c r="J630" s="5" t="s">
        <v>9</v>
      </c>
      <c r="K630" s="5">
        <v>26</v>
      </c>
      <c r="L630" s="5" t="s">
        <v>190</v>
      </c>
      <c r="M630" s="5">
        <v>1600</v>
      </c>
      <c r="N630" s="5" t="s">
        <v>171</v>
      </c>
      <c r="O630" s="6" t="s">
        <v>81</v>
      </c>
      <c r="P630" s="6" t="s">
        <v>181</v>
      </c>
      <c r="Q630" s="6"/>
      <c r="R630" s="6"/>
      <c r="S630" s="6">
        <v>15</v>
      </c>
      <c r="T630" s="6">
        <v>8.23</v>
      </c>
      <c r="U630" s="6">
        <v>1600</v>
      </c>
      <c r="V630" s="6">
        <v>14.07</v>
      </c>
      <c r="W630" s="6">
        <v>109</v>
      </c>
      <c r="X630" s="6">
        <v>1278</v>
      </c>
      <c r="Y630" s="6">
        <v>213</v>
      </c>
      <c r="Z630" s="6">
        <v>0</v>
      </c>
      <c r="AA630" s="6">
        <v>0</v>
      </c>
      <c r="AB630" s="6">
        <v>0</v>
      </c>
      <c r="AC630" s="7">
        <v>58</v>
      </c>
      <c r="AD630" s="7" t="s">
        <v>52</v>
      </c>
      <c r="AE630" s="7">
        <v>28.2</v>
      </c>
      <c r="AF630" s="76">
        <v>246.8</v>
      </c>
      <c r="AG630" s="7">
        <v>37.89</v>
      </c>
      <c r="AH630" s="7">
        <v>44.21</v>
      </c>
      <c r="AI630" s="7">
        <v>47.46</v>
      </c>
      <c r="AJ630" s="9">
        <v>404.42390767396898</v>
      </c>
      <c r="AK630" s="9">
        <v>413.97644468069899</v>
      </c>
      <c r="AL630" s="9">
        <v>507.28378697363001</v>
      </c>
      <c r="AM630" s="9" t="s">
        <v>169</v>
      </c>
      <c r="AN630" s="9" t="s">
        <v>169</v>
      </c>
      <c r="AO630" s="9" t="s">
        <v>169</v>
      </c>
      <c r="AP630" s="9" t="s">
        <v>169</v>
      </c>
      <c r="AQ630" s="9" t="s">
        <v>169</v>
      </c>
      <c r="AR630" s="9" t="s">
        <v>169</v>
      </c>
      <c r="AS630" s="8" t="s">
        <v>169</v>
      </c>
      <c r="AT630" s="8" t="s">
        <v>169</v>
      </c>
      <c r="AU630" s="10" t="s">
        <v>169</v>
      </c>
      <c r="AV630" s="10">
        <v>0</v>
      </c>
      <c r="AW630" s="8"/>
      <c r="AX630" s="10" t="s">
        <v>169</v>
      </c>
      <c r="AY630" s="10"/>
      <c r="AZ630" s="10"/>
      <c r="BA630" s="10"/>
      <c r="BB630" s="8"/>
      <c r="BC630" s="8"/>
      <c r="BD630" s="8"/>
      <c r="BE630" s="8"/>
      <c r="BF630" s="12">
        <v>0.45</v>
      </c>
      <c r="BG630" s="13">
        <v>397.87817446135301</v>
      </c>
      <c r="BH630" s="96" t="str">
        <f>+VLOOKUP(G630,Liste!$A$7:$G$50,3,FALSE)</f>
        <v>Pin Laricio</v>
      </c>
      <c r="BI630" s="96" t="str">
        <f>+VLOOKUP(H630,Liste!$B$7:$G$50,5,FALSE)</f>
        <v>GS Pineraies des plaines du Centre et du Nord Ouest</v>
      </c>
      <c r="BJ630" s="135">
        <f t="shared" si="186"/>
        <v>58</v>
      </c>
      <c r="BK630" s="135" t="str">
        <f t="shared" si="188"/>
        <v>Pin Laricio_F1_Classique_GS Pineraies des plaines du Centre et du Nord Ouest_58_</v>
      </c>
      <c r="BL630" s="322"/>
      <c r="BM630" s="13">
        <v>97.430732820227007</v>
      </c>
      <c r="BN630" s="13">
        <v>495.30890728157999</v>
      </c>
      <c r="BO630" s="13" t="s">
        <v>169</v>
      </c>
      <c r="BP630" s="13">
        <v>279.01190783056597</v>
      </c>
      <c r="BQ630" s="13" t="s">
        <v>169</v>
      </c>
      <c r="BT630" s="298" t="str">
        <f>+VLOOKUP(G630,Liste!$A$7:$H$50,8,FALSE)</f>
        <v>Résineux</v>
      </c>
      <c r="BU630" s="298">
        <f t="shared" si="189"/>
        <v>0</v>
      </c>
      <c r="BV630" s="300">
        <f t="shared" si="190"/>
        <v>1</v>
      </c>
      <c r="BW630" s="321">
        <v>0</v>
      </c>
      <c r="BX630" s="298">
        <f t="shared" si="191"/>
        <v>0.43</v>
      </c>
      <c r="BY630">
        <f t="shared" si="192"/>
        <v>0</v>
      </c>
      <c r="BZ630" s="304">
        <f t="shared" si="193"/>
        <v>0</v>
      </c>
      <c r="CB630" s="299">
        <v>0.6</v>
      </c>
      <c r="CC630" s="299">
        <v>0.4</v>
      </c>
      <c r="CD630">
        <f t="shared" si="194"/>
        <v>0</v>
      </c>
      <c r="CE630">
        <f t="shared" si="195"/>
        <v>0</v>
      </c>
      <c r="CF630">
        <f t="shared" si="196"/>
        <v>0</v>
      </c>
      <c r="CG630">
        <f t="shared" si="197"/>
        <v>0</v>
      </c>
      <c r="CH630">
        <f t="shared" si="198"/>
        <v>0</v>
      </c>
      <c r="CI630">
        <f t="shared" si="199"/>
        <v>0</v>
      </c>
      <c r="CJ630">
        <f t="shared" si="200"/>
        <v>0</v>
      </c>
      <c r="CK630">
        <f t="shared" si="201"/>
        <v>0</v>
      </c>
      <c r="CL630">
        <f t="shared" si="202"/>
        <v>0</v>
      </c>
      <c r="CM630">
        <f t="shared" si="204"/>
        <v>0</v>
      </c>
      <c r="CN630">
        <f t="shared" si="203"/>
        <v>0</v>
      </c>
      <c r="CO630">
        <f t="shared" si="187"/>
        <v>0</v>
      </c>
    </row>
    <row r="631" spans="1:93" s="12" customFormat="1" ht="14.65" customHeight="1" x14ac:dyDescent="0.25">
      <c r="A631" s="4">
        <v>2021</v>
      </c>
      <c r="B631" s="4"/>
      <c r="C631" s="4" t="s">
        <v>179</v>
      </c>
      <c r="D631" s="4" t="s">
        <v>65</v>
      </c>
      <c r="E631" s="4"/>
      <c r="F631" s="4" t="s">
        <v>90</v>
      </c>
      <c r="G631" s="5" t="s">
        <v>180</v>
      </c>
      <c r="H631" s="5" t="s">
        <v>21</v>
      </c>
      <c r="I631" s="5" t="s">
        <v>18</v>
      </c>
      <c r="J631" s="5" t="s">
        <v>9</v>
      </c>
      <c r="K631" s="5">
        <v>26</v>
      </c>
      <c r="L631" s="5" t="s">
        <v>190</v>
      </c>
      <c r="M631" s="5">
        <v>1600</v>
      </c>
      <c r="N631" s="5" t="s">
        <v>171</v>
      </c>
      <c r="O631" s="6" t="s">
        <v>81</v>
      </c>
      <c r="P631" s="6" t="s">
        <v>181</v>
      </c>
      <c r="Q631" s="6"/>
      <c r="R631" s="6"/>
      <c r="S631" s="6">
        <v>15</v>
      </c>
      <c r="T631" s="6">
        <v>8.23</v>
      </c>
      <c r="U631" s="6">
        <v>1600</v>
      </c>
      <c r="V631" s="6">
        <v>14.07</v>
      </c>
      <c r="W631" s="6">
        <v>109</v>
      </c>
      <c r="X631" s="6">
        <v>1278</v>
      </c>
      <c r="Y631" s="6">
        <v>213</v>
      </c>
      <c r="Z631" s="6">
        <v>0</v>
      </c>
      <c r="AA631" s="6">
        <v>0</v>
      </c>
      <c r="AB631" s="6">
        <v>0</v>
      </c>
      <c r="AC631" s="7">
        <v>59</v>
      </c>
      <c r="AD631" s="7" t="s">
        <v>52</v>
      </c>
      <c r="AE631" s="7">
        <v>28.4</v>
      </c>
      <c r="AF631" s="76">
        <v>246.8</v>
      </c>
      <c r="AG631" s="7">
        <v>38.89</v>
      </c>
      <c r="AH631" s="7">
        <v>44.79</v>
      </c>
      <c r="AI631" s="7">
        <v>48.09</v>
      </c>
      <c r="AJ631" s="9">
        <v>417.03979981213803</v>
      </c>
      <c r="AK631" s="9">
        <v>426.97598416770302</v>
      </c>
      <c r="AL631" s="9">
        <v>523.04216434044804</v>
      </c>
      <c r="AM631" s="9">
        <v>81.985344163644697</v>
      </c>
      <c r="AN631" s="9">
        <v>1.3895821044685499</v>
      </c>
      <c r="AO631" s="9">
        <v>0.91735552516777796</v>
      </c>
      <c r="AP631" s="9">
        <v>941.05834772223398</v>
      </c>
      <c r="AQ631" s="9">
        <v>15.9501414868175</v>
      </c>
      <c r="AR631" s="9">
        <v>15.446680922976901</v>
      </c>
      <c r="AS631" s="8" t="s">
        <v>169</v>
      </c>
      <c r="AT631" s="8" t="s">
        <v>169</v>
      </c>
      <c r="AU631" s="10" t="s">
        <v>169</v>
      </c>
      <c r="AV631" s="10">
        <v>0</v>
      </c>
      <c r="AW631" s="8"/>
      <c r="AX631" s="10" t="s">
        <v>169</v>
      </c>
      <c r="AY631" s="10"/>
      <c r="AZ631" s="10"/>
      <c r="BA631" s="10"/>
      <c r="BB631" s="8"/>
      <c r="BC631" s="8"/>
      <c r="BD631" s="8"/>
      <c r="BE631" s="8"/>
      <c r="BF631" s="12">
        <v>0.45</v>
      </c>
      <c r="BG631" s="13">
        <v>410.23795133612401</v>
      </c>
      <c r="BH631" s="96" t="str">
        <f>+VLOOKUP(G631,Liste!$A$7:$G$50,3,FALSE)</f>
        <v>Pin Laricio</v>
      </c>
      <c r="BI631" s="96" t="str">
        <f>+VLOOKUP(H631,Liste!$B$7:$G$50,5,FALSE)</f>
        <v>GS Pineraies des plaines du Centre et du Nord Ouest</v>
      </c>
      <c r="BJ631" s="135">
        <f t="shared" si="186"/>
        <v>59</v>
      </c>
      <c r="BK631" s="135" t="str">
        <f t="shared" si="188"/>
        <v>Pin Laricio_F1_Classique_GS Pineraies des plaines du Centre et du Nord Ouest_59_</v>
      </c>
      <c r="BL631" s="322"/>
      <c r="BM631" s="13">
        <v>100.110322188691</v>
      </c>
      <c r="BN631" s="13">
        <v>510.348273524815</v>
      </c>
      <c r="BO631" s="13" t="s">
        <v>169</v>
      </c>
      <c r="BP631" s="13">
        <v>279.01190783056597</v>
      </c>
      <c r="BQ631" s="13">
        <v>14.539376924736199</v>
      </c>
      <c r="BT631" s="298" t="str">
        <f>+VLOOKUP(G631,Liste!$A$7:$H$50,8,FALSE)</f>
        <v>Résineux</v>
      </c>
      <c r="BU631" s="298">
        <f t="shared" si="189"/>
        <v>0</v>
      </c>
      <c r="BV631" s="300">
        <f t="shared" si="190"/>
        <v>1</v>
      </c>
      <c r="BW631" s="321">
        <v>0</v>
      </c>
      <c r="BX631" s="298">
        <f t="shared" si="191"/>
        <v>0.43</v>
      </c>
      <c r="BY631">
        <f t="shared" si="192"/>
        <v>0</v>
      </c>
      <c r="BZ631" s="304">
        <f t="shared" si="193"/>
        <v>0</v>
      </c>
      <c r="CB631" s="299">
        <v>0.6</v>
      </c>
      <c r="CC631" s="299">
        <v>0.4</v>
      </c>
      <c r="CD631">
        <f t="shared" si="194"/>
        <v>0</v>
      </c>
      <c r="CE631">
        <f t="shared" si="195"/>
        <v>0</v>
      </c>
      <c r="CF631">
        <f t="shared" si="196"/>
        <v>0</v>
      </c>
      <c r="CG631">
        <f t="shared" si="197"/>
        <v>0</v>
      </c>
      <c r="CH631">
        <f t="shared" si="198"/>
        <v>0</v>
      </c>
      <c r="CI631">
        <f t="shared" si="199"/>
        <v>0</v>
      </c>
      <c r="CJ631">
        <f t="shared" si="200"/>
        <v>0</v>
      </c>
      <c r="CK631">
        <f t="shared" si="201"/>
        <v>0</v>
      </c>
      <c r="CL631">
        <f t="shared" si="202"/>
        <v>0</v>
      </c>
      <c r="CM631">
        <f t="shared" si="204"/>
        <v>0</v>
      </c>
      <c r="CN631">
        <f t="shared" si="203"/>
        <v>0</v>
      </c>
      <c r="CO631">
        <f t="shared" si="187"/>
        <v>0</v>
      </c>
    </row>
    <row r="632" spans="1:93" s="12" customFormat="1" ht="14.65" customHeight="1" x14ac:dyDescent="0.25">
      <c r="A632" s="4">
        <v>2021</v>
      </c>
      <c r="B632" s="4"/>
      <c r="C632" s="4" t="s">
        <v>179</v>
      </c>
      <c r="D632" s="4" t="s">
        <v>65</v>
      </c>
      <c r="E632" s="4"/>
      <c r="F632" s="4" t="s">
        <v>90</v>
      </c>
      <c r="G632" s="5" t="s">
        <v>180</v>
      </c>
      <c r="H632" s="5" t="s">
        <v>21</v>
      </c>
      <c r="I632" s="5" t="s">
        <v>18</v>
      </c>
      <c r="J632" s="5" t="s">
        <v>9</v>
      </c>
      <c r="K632" s="5">
        <v>26</v>
      </c>
      <c r="L632" s="5" t="s">
        <v>190</v>
      </c>
      <c r="M632" s="5">
        <v>1600</v>
      </c>
      <c r="N632" s="5" t="s">
        <v>171</v>
      </c>
      <c r="O632" s="6" t="s">
        <v>81</v>
      </c>
      <c r="P632" s="6" t="s">
        <v>181</v>
      </c>
      <c r="Q632" s="6"/>
      <c r="R632" s="6"/>
      <c r="S632" s="6">
        <v>15</v>
      </c>
      <c r="T632" s="6">
        <v>8.23</v>
      </c>
      <c r="U632" s="6">
        <v>1600</v>
      </c>
      <c r="V632" s="6">
        <v>14.07</v>
      </c>
      <c r="W632" s="6">
        <v>109</v>
      </c>
      <c r="X632" s="6">
        <v>1278</v>
      </c>
      <c r="Y632" s="6">
        <v>213</v>
      </c>
      <c r="Z632" s="6">
        <v>0</v>
      </c>
      <c r="AA632" s="6">
        <v>0</v>
      </c>
      <c r="AB632" s="6">
        <v>0</v>
      </c>
      <c r="AC632" s="7">
        <v>60</v>
      </c>
      <c r="AD632" s="7" t="s">
        <v>52</v>
      </c>
      <c r="AE632" s="7">
        <v>28.6</v>
      </c>
      <c r="AF632" s="76">
        <v>246.8</v>
      </c>
      <c r="AG632" s="7">
        <v>39.880000000000003</v>
      </c>
      <c r="AH632" s="7">
        <v>45.36</v>
      </c>
      <c r="AI632" s="7">
        <v>48.7</v>
      </c>
      <c r="AJ632" s="9">
        <v>429.40485949365001</v>
      </c>
      <c r="AK632" s="9">
        <v>439.72942407936102</v>
      </c>
      <c r="AL632" s="9">
        <v>538.48884526342499</v>
      </c>
      <c r="AM632" s="9" t="s">
        <v>169</v>
      </c>
      <c r="AN632" s="9" t="s">
        <v>169</v>
      </c>
      <c r="AO632" s="9" t="s">
        <v>169</v>
      </c>
      <c r="AP632" s="9" t="s">
        <v>169</v>
      </c>
      <c r="AQ632" s="9" t="s">
        <v>169</v>
      </c>
      <c r="AR632" s="9" t="s">
        <v>169</v>
      </c>
      <c r="AS632" s="8" t="s">
        <v>169</v>
      </c>
      <c r="AT632" s="8" t="s">
        <v>169</v>
      </c>
      <c r="AU632" s="10" t="s">
        <v>169</v>
      </c>
      <c r="AV632" s="10">
        <v>0</v>
      </c>
      <c r="AW632" s="8"/>
      <c r="AX632" s="10" t="s">
        <v>169</v>
      </c>
      <c r="AY632" s="10"/>
      <c r="AZ632" s="10"/>
      <c r="BA632" s="10"/>
      <c r="BB632" s="8"/>
      <c r="BC632" s="8"/>
      <c r="BD632" s="8"/>
      <c r="BE632" s="8"/>
      <c r="BF632" s="12">
        <v>0.45</v>
      </c>
      <c r="BG632" s="13">
        <v>422.35325516593201</v>
      </c>
      <c r="BH632" s="96" t="str">
        <f>+VLOOKUP(G632,Liste!$A$7:$G$50,3,FALSE)</f>
        <v>Pin Laricio</v>
      </c>
      <c r="BI632" s="96" t="str">
        <f>+VLOOKUP(H632,Liste!$B$7:$G$50,5,FALSE)</f>
        <v>GS Pineraies des plaines du Centre et du Nord Ouest</v>
      </c>
      <c r="BJ632" s="135">
        <f t="shared" si="186"/>
        <v>60</v>
      </c>
      <c r="BK632" s="135" t="str">
        <f t="shared" si="188"/>
        <v>Pin Laricio_F1_Classique_GS Pineraies des plaines du Centre et du Nord Ouest_60_</v>
      </c>
      <c r="BL632" s="322"/>
      <c r="BM632" s="13">
        <v>102.693435048922</v>
      </c>
      <c r="BN632" s="13">
        <v>525.04669021485404</v>
      </c>
      <c r="BO632" s="13" t="s">
        <v>169</v>
      </c>
      <c r="BP632" s="13">
        <v>279.01190783056597</v>
      </c>
      <c r="BQ632" s="13" t="s">
        <v>169</v>
      </c>
      <c r="BT632" s="298" t="str">
        <f>+VLOOKUP(G632,Liste!$A$7:$H$50,8,FALSE)</f>
        <v>Résineux</v>
      </c>
      <c r="BU632" s="298">
        <f t="shared" si="189"/>
        <v>0</v>
      </c>
      <c r="BV632" s="300">
        <f t="shared" si="190"/>
        <v>1</v>
      </c>
      <c r="BW632" s="321">
        <v>0</v>
      </c>
      <c r="BX632" s="298">
        <f t="shared" si="191"/>
        <v>0.43</v>
      </c>
      <c r="BY632">
        <f t="shared" si="192"/>
        <v>0</v>
      </c>
      <c r="BZ632" s="304">
        <f t="shared" si="193"/>
        <v>0</v>
      </c>
      <c r="CB632" s="299">
        <v>0.6</v>
      </c>
      <c r="CC632" s="299">
        <v>0.4</v>
      </c>
      <c r="CD632">
        <f t="shared" si="194"/>
        <v>0</v>
      </c>
      <c r="CE632">
        <f t="shared" si="195"/>
        <v>0</v>
      </c>
      <c r="CF632">
        <f t="shared" si="196"/>
        <v>0</v>
      </c>
      <c r="CG632">
        <f t="shared" si="197"/>
        <v>0</v>
      </c>
      <c r="CH632">
        <f t="shared" si="198"/>
        <v>0</v>
      </c>
      <c r="CI632">
        <f t="shared" si="199"/>
        <v>0</v>
      </c>
      <c r="CJ632">
        <f t="shared" si="200"/>
        <v>0</v>
      </c>
      <c r="CK632">
        <f t="shared" si="201"/>
        <v>0</v>
      </c>
      <c r="CL632">
        <f t="shared" si="202"/>
        <v>0</v>
      </c>
      <c r="CM632">
        <f t="shared" si="204"/>
        <v>0</v>
      </c>
      <c r="CN632">
        <f t="shared" si="203"/>
        <v>0</v>
      </c>
      <c r="CO632">
        <f t="shared" si="187"/>
        <v>0</v>
      </c>
    </row>
    <row r="633" spans="1:93" s="12" customFormat="1" ht="14.65" customHeight="1" x14ac:dyDescent="0.25">
      <c r="A633" s="4">
        <v>2021</v>
      </c>
      <c r="B633" s="4"/>
      <c r="C633" s="4" t="s">
        <v>179</v>
      </c>
      <c r="D633" s="4" t="s">
        <v>65</v>
      </c>
      <c r="E633" s="4"/>
      <c r="F633" s="4" t="s">
        <v>90</v>
      </c>
      <c r="G633" s="5" t="s">
        <v>180</v>
      </c>
      <c r="H633" s="5" t="s">
        <v>21</v>
      </c>
      <c r="I633" s="5" t="s">
        <v>18</v>
      </c>
      <c r="J633" s="5" t="s">
        <v>9</v>
      </c>
      <c r="K633" s="5">
        <v>26</v>
      </c>
      <c r="L633" s="5" t="s">
        <v>190</v>
      </c>
      <c r="M633" s="5">
        <v>1600</v>
      </c>
      <c r="N633" s="5" t="s">
        <v>171</v>
      </c>
      <c r="O633" s="6" t="s">
        <v>81</v>
      </c>
      <c r="P633" s="6" t="s">
        <v>181</v>
      </c>
      <c r="Q633" s="6"/>
      <c r="R633" s="6"/>
      <c r="S633" s="6">
        <v>15</v>
      </c>
      <c r="T633" s="6">
        <v>8.23</v>
      </c>
      <c r="U633" s="6">
        <v>1600</v>
      </c>
      <c r="V633" s="6">
        <v>14.07</v>
      </c>
      <c r="W633" s="6">
        <v>109</v>
      </c>
      <c r="X633" s="6">
        <v>1278</v>
      </c>
      <c r="Y633" s="6">
        <v>213</v>
      </c>
      <c r="Z633" s="6">
        <v>0</v>
      </c>
      <c r="AA633" s="6">
        <v>0</v>
      </c>
      <c r="AB633" s="6">
        <v>0</v>
      </c>
      <c r="AC633" s="7">
        <v>61</v>
      </c>
      <c r="AD633" s="7" t="s">
        <v>52</v>
      </c>
      <c r="AE633" s="7">
        <v>28.79</v>
      </c>
      <c r="AF633" s="76">
        <v>246.6</v>
      </c>
      <c r="AG633" s="7">
        <v>40.82</v>
      </c>
      <c r="AH633" s="7">
        <v>45.91</v>
      </c>
      <c r="AI633" s="7">
        <v>49.28</v>
      </c>
      <c r="AJ633" s="9">
        <v>441.76991917516199</v>
      </c>
      <c r="AK633" s="9">
        <v>452.48286399102</v>
      </c>
      <c r="AL633" s="9">
        <v>553.93552618640194</v>
      </c>
      <c r="AM633" s="9" t="s">
        <v>169</v>
      </c>
      <c r="AN633" s="9" t="s">
        <v>169</v>
      </c>
      <c r="AO633" s="9" t="s">
        <v>169</v>
      </c>
      <c r="AP633" s="9" t="s">
        <v>169</v>
      </c>
      <c r="AQ633" s="9" t="s">
        <v>169</v>
      </c>
      <c r="AR633" s="9" t="s">
        <v>169</v>
      </c>
      <c r="AS633" s="8" t="s">
        <v>169</v>
      </c>
      <c r="AT633" s="8" t="s">
        <v>169</v>
      </c>
      <c r="AU633" s="10" t="s">
        <v>169</v>
      </c>
      <c r="AV633" s="10">
        <v>0</v>
      </c>
      <c r="AW633" s="8"/>
      <c r="AX633" s="10" t="s">
        <v>169</v>
      </c>
      <c r="AY633" s="10"/>
      <c r="AZ633" s="10"/>
      <c r="BA633" s="10"/>
      <c r="BB633" s="8"/>
      <c r="BC633" s="8"/>
      <c r="BD633" s="8"/>
      <c r="BE633" s="8"/>
      <c r="BF633" s="12">
        <v>0.45</v>
      </c>
      <c r="BG633" s="13">
        <v>434.46855899573899</v>
      </c>
      <c r="BH633" s="96" t="str">
        <f>+VLOOKUP(G633,Liste!$A$7:$G$50,3,FALSE)</f>
        <v>Pin Laricio</v>
      </c>
      <c r="BI633" s="96" t="str">
        <f>+VLOOKUP(H633,Liste!$B$7:$G$50,5,FALSE)</f>
        <v>GS Pineraies des plaines du Centre et du Nord Ouest</v>
      </c>
      <c r="BJ633" s="135">
        <f t="shared" si="186"/>
        <v>61</v>
      </c>
      <c r="BK633" s="135" t="str">
        <f t="shared" si="188"/>
        <v>Pin Laricio_F1_Classique_GS Pineraies des plaines du Centre et du Nord Ouest_61_</v>
      </c>
      <c r="BL633" s="322"/>
      <c r="BM633" s="13">
        <v>105.276547909153</v>
      </c>
      <c r="BN633" s="13">
        <v>539.74510690489205</v>
      </c>
      <c r="BO633" s="13" t="s">
        <v>169</v>
      </c>
      <c r="BP633" s="13">
        <v>279.01190783056597</v>
      </c>
      <c r="BQ633" s="13" t="s">
        <v>169</v>
      </c>
      <c r="BT633" s="298" t="str">
        <f>+VLOOKUP(G633,Liste!$A$7:$H$50,8,FALSE)</f>
        <v>Résineux</v>
      </c>
      <c r="BU633" s="298">
        <f t="shared" si="189"/>
        <v>0</v>
      </c>
      <c r="BV633" s="300">
        <f t="shared" si="190"/>
        <v>1</v>
      </c>
      <c r="BW633" s="321">
        <v>0</v>
      </c>
      <c r="BX633" s="298">
        <f t="shared" si="191"/>
        <v>0.43</v>
      </c>
      <c r="BY633">
        <f t="shared" si="192"/>
        <v>0</v>
      </c>
      <c r="BZ633" s="304">
        <f t="shared" si="193"/>
        <v>0</v>
      </c>
      <c r="CB633" s="299">
        <v>0.6</v>
      </c>
      <c r="CC633" s="299">
        <v>0.4</v>
      </c>
      <c r="CD633">
        <f t="shared" si="194"/>
        <v>0</v>
      </c>
      <c r="CE633">
        <f t="shared" si="195"/>
        <v>0</v>
      </c>
      <c r="CF633">
        <f t="shared" si="196"/>
        <v>0</v>
      </c>
      <c r="CG633">
        <f t="shared" si="197"/>
        <v>0</v>
      </c>
      <c r="CH633">
        <f t="shared" si="198"/>
        <v>0</v>
      </c>
      <c r="CI633">
        <f t="shared" si="199"/>
        <v>0</v>
      </c>
      <c r="CJ633">
        <f t="shared" si="200"/>
        <v>0</v>
      </c>
      <c r="CK633">
        <f t="shared" si="201"/>
        <v>0</v>
      </c>
      <c r="CL633">
        <f t="shared" si="202"/>
        <v>0</v>
      </c>
      <c r="CM633">
        <f t="shared" si="204"/>
        <v>0</v>
      </c>
      <c r="CN633">
        <f t="shared" si="203"/>
        <v>0</v>
      </c>
      <c r="CO633">
        <f t="shared" si="187"/>
        <v>0</v>
      </c>
    </row>
    <row r="634" spans="1:93" s="12" customFormat="1" ht="14.65" customHeight="1" x14ac:dyDescent="0.25">
      <c r="A634" s="4">
        <v>2021</v>
      </c>
      <c r="B634" s="4"/>
      <c r="C634" s="4" t="s">
        <v>179</v>
      </c>
      <c r="D634" s="4" t="s">
        <v>65</v>
      </c>
      <c r="E634" s="4"/>
      <c r="F634" s="4" t="s">
        <v>90</v>
      </c>
      <c r="G634" s="5" t="s">
        <v>180</v>
      </c>
      <c r="H634" s="5" t="s">
        <v>21</v>
      </c>
      <c r="I634" s="5" t="s">
        <v>18</v>
      </c>
      <c r="J634" s="5" t="s">
        <v>9</v>
      </c>
      <c r="K634" s="5">
        <v>26</v>
      </c>
      <c r="L634" s="5" t="s">
        <v>190</v>
      </c>
      <c r="M634" s="5">
        <v>1600</v>
      </c>
      <c r="N634" s="5" t="s">
        <v>171</v>
      </c>
      <c r="O634" s="6" t="s">
        <v>81</v>
      </c>
      <c r="P634" s="6" t="s">
        <v>181</v>
      </c>
      <c r="Q634" s="6"/>
      <c r="R634" s="6"/>
      <c r="S634" s="6">
        <v>15</v>
      </c>
      <c r="T634" s="6">
        <v>8.23</v>
      </c>
      <c r="U634" s="6">
        <v>1600</v>
      </c>
      <c r="V634" s="6">
        <v>14.07</v>
      </c>
      <c r="W634" s="6">
        <v>109</v>
      </c>
      <c r="X634" s="6">
        <v>1278</v>
      </c>
      <c r="Y634" s="6">
        <v>213</v>
      </c>
      <c r="Z634" s="6">
        <v>0</v>
      </c>
      <c r="AA634" s="6">
        <v>0</v>
      </c>
      <c r="AB634" s="6">
        <v>0</v>
      </c>
      <c r="AC634" s="7">
        <v>62</v>
      </c>
      <c r="AD634" s="7" t="s">
        <v>52</v>
      </c>
      <c r="AE634" s="7">
        <v>28.98</v>
      </c>
      <c r="AF634" s="76">
        <v>246.4</v>
      </c>
      <c r="AG634" s="7">
        <v>41.74</v>
      </c>
      <c r="AH634" s="7">
        <v>46.44</v>
      </c>
      <c r="AI634" s="7">
        <v>49.86</v>
      </c>
      <c r="AJ634" s="9">
        <v>454.13497885667402</v>
      </c>
      <c r="AK634" s="9">
        <v>465.236303902678</v>
      </c>
      <c r="AL634" s="9">
        <v>569.38220710937901</v>
      </c>
      <c r="AM634" s="9" t="s">
        <v>169</v>
      </c>
      <c r="AN634" s="9" t="s">
        <v>169</v>
      </c>
      <c r="AO634" s="9" t="s">
        <v>169</v>
      </c>
      <c r="AP634" s="9" t="s">
        <v>169</v>
      </c>
      <c r="AQ634" s="9" t="s">
        <v>169</v>
      </c>
      <c r="AR634" s="9" t="s">
        <v>169</v>
      </c>
      <c r="AS634" s="8" t="s">
        <v>169</v>
      </c>
      <c r="AT634" s="8" t="s">
        <v>169</v>
      </c>
      <c r="AU634" s="10" t="s">
        <v>169</v>
      </c>
      <c r="AV634" s="10">
        <v>0</v>
      </c>
      <c r="AW634" s="8"/>
      <c r="AX634" s="10" t="s">
        <v>169</v>
      </c>
      <c r="AY634" s="10"/>
      <c r="AZ634" s="10"/>
      <c r="BA634" s="10"/>
      <c r="BB634" s="8"/>
      <c r="BC634" s="8"/>
      <c r="BD634" s="8"/>
      <c r="BE634" s="8"/>
      <c r="BF634" s="12">
        <v>0.45</v>
      </c>
      <c r="BG634" s="13">
        <v>446.58386282554699</v>
      </c>
      <c r="BH634" s="96" t="str">
        <f>+VLOOKUP(G634,Liste!$A$7:$G$50,3,FALSE)</f>
        <v>Pin Laricio</v>
      </c>
      <c r="BI634" s="96" t="str">
        <f>+VLOOKUP(H634,Liste!$B$7:$G$50,5,FALSE)</f>
        <v>GS Pineraies des plaines du Centre et du Nord Ouest</v>
      </c>
      <c r="BJ634" s="135">
        <f t="shared" si="186"/>
        <v>62</v>
      </c>
      <c r="BK634" s="135" t="str">
        <f t="shared" si="188"/>
        <v>Pin Laricio_F1_Classique_GS Pineraies des plaines du Centre et du Nord Ouest_62_</v>
      </c>
      <c r="BL634" s="322"/>
      <c r="BM634" s="13">
        <v>107.85966076938401</v>
      </c>
      <c r="BN634" s="13">
        <v>554.44352359493098</v>
      </c>
      <c r="BO634" s="13" t="s">
        <v>169</v>
      </c>
      <c r="BP634" s="13">
        <v>279.01190783056597</v>
      </c>
      <c r="BQ634" s="13" t="s">
        <v>169</v>
      </c>
      <c r="BT634" s="298" t="str">
        <f>+VLOOKUP(G634,Liste!$A$7:$H$50,8,FALSE)</f>
        <v>Résineux</v>
      </c>
      <c r="BU634" s="298">
        <f t="shared" si="189"/>
        <v>0</v>
      </c>
      <c r="BV634" s="300">
        <f t="shared" si="190"/>
        <v>1</v>
      </c>
      <c r="BW634" s="321">
        <v>0</v>
      </c>
      <c r="BX634" s="298">
        <f t="shared" si="191"/>
        <v>0.43</v>
      </c>
      <c r="BY634">
        <f t="shared" si="192"/>
        <v>0</v>
      </c>
      <c r="BZ634" s="304">
        <f t="shared" si="193"/>
        <v>0</v>
      </c>
      <c r="CB634" s="299">
        <v>0.6</v>
      </c>
      <c r="CC634" s="299">
        <v>0.4</v>
      </c>
      <c r="CD634">
        <f t="shared" si="194"/>
        <v>0</v>
      </c>
      <c r="CE634">
        <f t="shared" si="195"/>
        <v>0</v>
      </c>
      <c r="CF634">
        <f t="shared" si="196"/>
        <v>0</v>
      </c>
      <c r="CG634">
        <f t="shared" si="197"/>
        <v>0</v>
      </c>
      <c r="CH634">
        <f t="shared" si="198"/>
        <v>0</v>
      </c>
      <c r="CI634">
        <f t="shared" si="199"/>
        <v>0</v>
      </c>
      <c r="CJ634">
        <f t="shared" si="200"/>
        <v>0</v>
      </c>
      <c r="CK634">
        <f t="shared" si="201"/>
        <v>0</v>
      </c>
      <c r="CL634">
        <f t="shared" si="202"/>
        <v>0</v>
      </c>
      <c r="CM634">
        <f t="shared" si="204"/>
        <v>0</v>
      </c>
      <c r="CN634">
        <f t="shared" si="203"/>
        <v>0</v>
      </c>
      <c r="CO634">
        <f t="shared" si="187"/>
        <v>0</v>
      </c>
    </row>
    <row r="635" spans="1:93" s="12" customFormat="1" ht="14.65" customHeight="1" x14ac:dyDescent="0.25">
      <c r="A635" s="4">
        <v>2021</v>
      </c>
      <c r="B635" s="4"/>
      <c r="C635" s="4" t="s">
        <v>179</v>
      </c>
      <c r="D635" s="4" t="s">
        <v>65</v>
      </c>
      <c r="E635" s="4"/>
      <c r="F635" s="4" t="s">
        <v>90</v>
      </c>
      <c r="G635" s="5" t="s">
        <v>180</v>
      </c>
      <c r="H635" s="5" t="s">
        <v>21</v>
      </c>
      <c r="I635" s="5" t="s">
        <v>18</v>
      </c>
      <c r="J635" s="5" t="s">
        <v>9</v>
      </c>
      <c r="K635" s="5">
        <v>26</v>
      </c>
      <c r="L635" s="5" t="s">
        <v>190</v>
      </c>
      <c r="M635" s="5">
        <v>1600</v>
      </c>
      <c r="N635" s="5" t="s">
        <v>171</v>
      </c>
      <c r="O635" s="6" t="s">
        <v>81</v>
      </c>
      <c r="P635" s="6" t="s">
        <v>181</v>
      </c>
      <c r="Q635" s="6"/>
      <c r="R635" s="6"/>
      <c r="S635" s="6">
        <v>15</v>
      </c>
      <c r="T635" s="6">
        <v>8.23</v>
      </c>
      <c r="U635" s="6">
        <v>1600</v>
      </c>
      <c r="V635" s="6">
        <v>14.07</v>
      </c>
      <c r="W635" s="6">
        <v>109</v>
      </c>
      <c r="X635" s="6">
        <v>1278</v>
      </c>
      <c r="Y635" s="6">
        <v>213</v>
      </c>
      <c r="Z635" s="6">
        <v>0</v>
      </c>
      <c r="AA635" s="6">
        <v>0</v>
      </c>
      <c r="AB635" s="6">
        <v>0</v>
      </c>
      <c r="AC635" s="7">
        <v>63</v>
      </c>
      <c r="AD635" s="7" t="s">
        <v>52</v>
      </c>
      <c r="AE635" s="7">
        <v>29.16</v>
      </c>
      <c r="AF635" s="76">
        <v>246.4</v>
      </c>
      <c r="AG635" s="7">
        <v>42.68</v>
      </c>
      <c r="AH635" s="7">
        <v>46.96</v>
      </c>
      <c r="AI635" s="7">
        <v>50.42</v>
      </c>
      <c r="AJ635" s="9">
        <v>466.500038538186</v>
      </c>
      <c r="AK635" s="9">
        <v>477.98974381433698</v>
      </c>
      <c r="AL635" s="9">
        <v>584.82888803235596</v>
      </c>
      <c r="AM635" s="9" t="s">
        <v>169</v>
      </c>
      <c r="AN635" s="9" t="s">
        <v>169</v>
      </c>
      <c r="AO635" s="9" t="s">
        <v>169</v>
      </c>
      <c r="AP635" s="9" t="s">
        <v>169</v>
      </c>
      <c r="AQ635" s="9" t="s">
        <v>169</v>
      </c>
      <c r="AR635" s="9" t="s">
        <v>169</v>
      </c>
      <c r="AS635" s="8" t="s">
        <v>169</v>
      </c>
      <c r="AT635" s="8" t="s">
        <v>169</v>
      </c>
      <c r="AU635" s="10" t="s">
        <v>169</v>
      </c>
      <c r="AV635" s="10">
        <v>0</v>
      </c>
      <c r="AW635" s="8"/>
      <c r="AX635" s="10" t="s">
        <v>169</v>
      </c>
      <c r="AY635" s="10"/>
      <c r="AZ635" s="10"/>
      <c r="BA635" s="10"/>
      <c r="BB635" s="8"/>
      <c r="BC635" s="8"/>
      <c r="BD635" s="8"/>
      <c r="BE635" s="8"/>
      <c r="BF635" s="12">
        <v>0.45</v>
      </c>
      <c r="BG635" s="13">
        <v>458.69916665535499</v>
      </c>
      <c r="BH635" s="96" t="str">
        <f>+VLOOKUP(G635,Liste!$A$7:$G$50,3,FALSE)</f>
        <v>Pin Laricio</v>
      </c>
      <c r="BI635" s="96" t="str">
        <f>+VLOOKUP(H635,Liste!$B$7:$G$50,5,FALSE)</f>
        <v>GS Pineraies des plaines du Centre et du Nord Ouest</v>
      </c>
      <c r="BJ635" s="135">
        <f t="shared" si="186"/>
        <v>63</v>
      </c>
      <c r="BK635" s="135" t="str">
        <f t="shared" si="188"/>
        <v>Pin Laricio_F1_Classique_GS Pineraies des plaines du Centre et du Nord Ouest_63_</v>
      </c>
      <c r="BL635" s="322"/>
      <c r="BM635" s="13">
        <v>110.442773629614</v>
      </c>
      <c r="BN635" s="13">
        <v>569.14194028497002</v>
      </c>
      <c r="BO635" s="13" t="s">
        <v>169</v>
      </c>
      <c r="BP635" s="13">
        <v>279.01190783056597</v>
      </c>
      <c r="BQ635" s="13" t="s">
        <v>169</v>
      </c>
      <c r="BT635" s="298" t="str">
        <f>+VLOOKUP(G635,Liste!$A$7:$H$50,8,FALSE)</f>
        <v>Résineux</v>
      </c>
      <c r="BU635" s="298">
        <f t="shared" si="189"/>
        <v>0</v>
      </c>
      <c r="BV635" s="300">
        <f t="shared" si="190"/>
        <v>1</v>
      </c>
      <c r="BW635" s="321">
        <v>0</v>
      </c>
      <c r="BX635" s="298">
        <f t="shared" si="191"/>
        <v>0.43</v>
      </c>
      <c r="BY635">
        <f t="shared" si="192"/>
        <v>0</v>
      </c>
      <c r="BZ635" s="304">
        <f t="shared" si="193"/>
        <v>0</v>
      </c>
      <c r="CB635" s="299">
        <v>0.6</v>
      </c>
      <c r="CC635" s="299">
        <v>0.4</v>
      </c>
      <c r="CD635">
        <f t="shared" si="194"/>
        <v>0</v>
      </c>
      <c r="CE635">
        <f t="shared" si="195"/>
        <v>0</v>
      </c>
      <c r="CF635">
        <f t="shared" si="196"/>
        <v>0</v>
      </c>
      <c r="CG635">
        <f t="shared" si="197"/>
        <v>0</v>
      </c>
      <c r="CH635">
        <f t="shared" si="198"/>
        <v>0</v>
      </c>
      <c r="CI635">
        <f t="shared" si="199"/>
        <v>0</v>
      </c>
      <c r="CJ635">
        <f t="shared" si="200"/>
        <v>0</v>
      </c>
      <c r="CK635">
        <f t="shared" si="201"/>
        <v>0</v>
      </c>
      <c r="CL635">
        <f t="shared" si="202"/>
        <v>0</v>
      </c>
      <c r="CM635">
        <f t="shared" si="204"/>
        <v>0</v>
      </c>
      <c r="CN635">
        <f t="shared" si="203"/>
        <v>0</v>
      </c>
      <c r="CO635">
        <f t="shared" si="187"/>
        <v>0</v>
      </c>
    </row>
    <row r="636" spans="1:93" s="12" customFormat="1" ht="14.65" customHeight="1" x14ac:dyDescent="0.25">
      <c r="A636" s="4">
        <v>2021</v>
      </c>
      <c r="B636" s="4"/>
      <c r="C636" s="4" t="s">
        <v>179</v>
      </c>
      <c r="D636" s="4" t="s">
        <v>65</v>
      </c>
      <c r="E636" s="4"/>
      <c r="F636" s="4" t="s">
        <v>90</v>
      </c>
      <c r="G636" s="5" t="s">
        <v>180</v>
      </c>
      <c r="H636" s="5" t="s">
        <v>21</v>
      </c>
      <c r="I636" s="5" t="s">
        <v>18</v>
      </c>
      <c r="J636" s="5" t="s">
        <v>9</v>
      </c>
      <c r="K636" s="5">
        <v>26</v>
      </c>
      <c r="L636" s="5" t="s">
        <v>190</v>
      </c>
      <c r="M636" s="5">
        <v>1600</v>
      </c>
      <c r="N636" s="5" t="s">
        <v>171</v>
      </c>
      <c r="O636" s="6" t="s">
        <v>81</v>
      </c>
      <c r="P636" s="6" t="s">
        <v>181</v>
      </c>
      <c r="Q636" s="6"/>
      <c r="R636" s="6"/>
      <c r="S636" s="6">
        <v>15</v>
      </c>
      <c r="T636" s="6">
        <v>8.23</v>
      </c>
      <c r="U636" s="6">
        <v>1600</v>
      </c>
      <c r="V636" s="6">
        <v>14.07</v>
      </c>
      <c r="W636" s="6">
        <v>109</v>
      </c>
      <c r="X636" s="6">
        <v>1278</v>
      </c>
      <c r="Y636" s="6">
        <v>213</v>
      </c>
      <c r="Z636" s="6">
        <v>0</v>
      </c>
      <c r="AA636" s="6">
        <v>0</v>
      </c>
      <c r="AB636" s="6">
        <v>0</v>
      </c>
      <c r="AC636" s="7">
        <v>64</v>
      </c>
      <c r="AD636" s="7" t="s">
        <v>52</v>
      </c>
      <c r="AE636" s="7">
        <v>29.33</v>
      </c>
      <c r="AF636" s="76">
        <v>246.2</v>
      </c>
      <c r="AG636" s="7">
        <v>43.57</v>
      </c>
      <c r="AH636" s="7">
        <v>47.47</v>
      </c>
      <c r="AI636" s="7">
        <v>50.96</v>
      </c>
      <c r="AJ636" s="9">
        <v>478.86509821969798</v>
      </c>
      <c r="AK636" s="9">
        <v>490.74318372599498</v>
      </c>
      <c r="AL636" s="9">
        <v>600.27556895533201</v>
      </c>
      <c r="AM636" s="9" t="s">
        <v>169</v>
      </c>
      <c r="AN636" s="9" t="s">
        <v>169</v>
      </c>
      <c r="AO636" s="9" t="s">
        <v>169</v>
      </c>
      <c r="AP636" s="9" t="s">
        <v>169</v>
      </c>
      <c r="AQ636" s="9" t="s">
        <v>169</v>
      </c>
      <c r="AR636" s="9" t="s">
        <v>169</v>
      </c>
      <c r="AS636" s="8" t="s">
        <v>169</v>
      </c>
      <c r="AT636" s="8" t="s">
        <v>169</v>
      </c>
      <c r="AU636" s="10" t="s">
        <v>169</v>
      </c>
      <c r="AV636" s="10">
        <v>0</v>
      </c>
      <c r="AW636" s="8"/>
      <c r="AX636" s="10" t="s">
        <v>169</v>
      </c>
      <c r="AY636" s="10"/>
      <c r="AZ636" s="10"/>
      <c r="BA636" s="10"/>
      <c r="BB636" s="8"/>
      <c r="BC636" s="8"/>
      <c r="BD636" s="8"/>
      <c r="BE636" s="8"/>
      <c r="BF636" s="12">
        <v>0.45</v>
      </c>
      <c r="BG636" s="13">
        <v>470.81447048516299</v>
      </c>
      <c r="BH636" s="96" t="str">
        <f>+VLOOKUP(G636,Liste!$A$7:$G$50,3,FALSE)</f>
        <v>Pin Laricio</v>
      </c>
      <c r="BI636" s="96" t="str">
        <f>+VLOOKUP(H636,Liste!$B$7:$G$50,5,FALSE)</f>
        <v>GS Pineraies des plaines du Centre et du Nord Ouest</v>
      </c>
      <c r="BJ636" s="135">
        <f t="shared" si="186"/>
        <v>64</v>
      </c>
      <c r="BK636" s="135" t="str">
        <f t="shared" si="188"/>
        <v>Pin Laricio_F1_Classique_GS Pineraies des plaines du Centre et du Nord Ouest_64_</v>
      </c>
      <c r="BL636" s="322"/>
      <c r="BM636" s="13">
        <v>113.02588648984501</v>
      </c>
      <c r="BN636" s="13">
        <v>583.84035697500804</v>
      </c>
      <c r="BO636" s="13" t="s">
        <v>169</v>
      </c>
      <c r="BP636" s="13">
        <v>279.01190783056597</v>
      </c>
      <c r="BQ636" s="13" t="s">
        <v>169</v>
      </c>
      <c r="BT636" s="298" t="str">
        <f>+VLOOKUP(G636,Liste!$A$7:$H$50,8,FALSE)</f>
        <v>Résineux</v>
      </c>
      <c r="BU636" s="298">
        <f t="shared" si="189"/>
        <v>0</v>
      </c>
      <c r="BV636" s="300">
        <f t="shared" si="190"/>
        <v>1</v>
      </c>
      <c r="BW636" s="321">
        <v>0</v>
      </c>
      <c r="BX636" s="298">
        <f t="shared" si="191"/>
        <v>0.43</v>
      </c>
      <c r="BY636">
        <f t="shared" si="192"/>
        <v>0</v>
      </c>
      <c r="BZ636" s="304">
        <f t="shared" si="193"/>
        <v>0</v>
      </c>
      <c r="CB636" s="299">
        <v>0.6</v>
      </c>
      <c r="CC636" s="299">
        <v>0.4</v>
      </c>
      <c r="CD636">
        <f t="shared" si="194"/>
        <v>0</v>
      </c>
      <c r="CE636">
        <f t="shared" si="195"/>
        <v>0</v>
      </c>
      <c r="CF636">
        <f t="shared" si="196"/>
        <v>0</v>
      </c>
      <c r="CG636">
        <f t="shared" si="197"/>
        <v>0</v>
      </c>
      <c r="CH636">
        <f t="shared" si="198"/>
        <v>0</v>
      </c>
      <c r="CI636">
        <f t="shared" si="199"/>
        <v>0</v>
      </c>
      <c r="CJ636">
        <f t="shared" si="200"/>
        <v>0</v>
      </c>
      <c r="CK636">
        <f t="shared" si="201"/>
        <v>0</v>
      </c>
      <c r="CL636">
        <f t="shared" si="202"/>
        <v>0</v>
      </c>
      <c r="CM636">
        <f t="shared" si="204"/>
        <v>0</v>
      </c>
      <c r="CN636">
        <f t="shared" si="203"/>
        <v>0</v>
      </c>
      <c r="CO636">
        <f t="shared" si="187"/>
        <v>0</v>
      </c>
    </row>
    <row r="637" spans="1:93" s="12" customFormat="1" ht="14.65" customHeight="1" x14ac:dyDescent="0.25">
      <c r="A637" s="4">
        <v>2021</v>
      </c>
      <c r="B637" s="4"/>
      <c r="C637" s="4" t="s">
        <v>179</v>
      </c>
      <c r="D637" s="4" t="s">
        <v>65</v>
      </c>
      <c r="E637" s="4"/>
      <c r="F637" s="4" t="s">
        <v>90</v>
      </c>
      <c r="G637" s="5" t="s">
        <v>180</v>
      </c>
      <c r="H637" s="5" t="s">
        <v>21</v>
      </c>
      <c r="I637" s="5" t="s">
        <v>18</v>
      </c>
      <c r="J637" s="5" t="s">
        <v>9</v>
      </c>
      <c r="K637" s="5">
        <v>26</v>
      </c>
      <c r="L637" s="5" t="s">
        <v>190</v>
      </c>
      <c r="M637" s="5">
        <v>1600</v>
      </c>
      <c r="N637" s="5" t="s">
        <v>171</v>
      </c>
      <c r="O637" s="6" t="s">
        <v>81</v>
      </c>
      <c r="P637" s="6" t="s">
        <v>181</v>
      </c>
      <c r="Q637" s="6"/>
      <c r="R637" s="6"/>
      <c r="S637" s="6">
        <v>15</v>
      </c>
      <c r="T637" s="6">
        <v>8.23</v>
      </c>
      <c r="U637" s="6">
        <v>1600</v>
      </c>
      <c r="V637" s="6">
        <v>14.07</v>
      </c>
      <c r="W637" s="6">
        <v>109</v>
      </c>
      <c r="X637" s="6">
        <v>1278</v>
      </c>
      <c r="Y637" s="6">
        <v>213</v>
      </c>
      <c r="Z637" s="6">
        <v>0</v>
      </c>
      <c r="AA637" s="6">
        <v>0</v>
      </c>
      <c r="AB637" s="6">
        <v>0</v>
      </c>
      <c r="AC637" s="7">
        <v>65</v>
      </c>
      <c r="AD637" s="7" t="s">
        <v>52</v>
      </c>
      <c r="AE637" s="7">
        <v>29.5</v>
      </c>
      <c r="AF637" s="76">
        <v>246</v>
      </c>
      <c r="AG637" s="7">
        <v>44.43</v>
      </c>
      <c r="AH637" s="7">
        <v>47.95</v>
      </c>
      <c r="AI637" s="7">
        <v>51.48</v>
      </c>
      <c r="AJ637" s="9">
        <v>491.23015790121002</v>
      </c>
      <c r="AK637" s="9">
        <v>503.49662363765299</v>
      </c>
      <c r="AL637" s="9">
        <v>615.72224987830896</v>
      </c>
      <c r="AM637" s="9" t="s">
        <v>169</v>
      </c>
      <c r="AN637" s="9" t="s">
        <v>169</v>
      </c>
      <c r="AO637" s="9" t="s">
        <v>169</v>
      </c>
      <c r="AP637" s="9" t="s">
        <v>169</v>
      </c>
      <c r="AQ637" s="9" t="s">
        <v>169</v>
      </c>
      <c r="AR637" s="9" t="s">
        <v>169</v>
      </c>
      <c r="AS637" s="8" t="s">
        <v>169</v>
      </c>
      <c r="AT637" s="8" t="s">
        <v>169</v>
      </c>
      <c r="AU637" s="10" t="s">
        <v>169</v>
      </c>
      <c r="AV637" s="10">
        <v>0</v>
      </c>
      <c r="AW637" s="8"/>
      <c r="AX637" s="10" t="s">
        <v>169</v>
      </c>
      <c r="AY637" s="10"/>
      <c r="AZ637" s="10"/>
      <c r="BA637" s="10"/>
      <c r="BB637" s="8"/>
      <c r="BC637" s="8"/>
      <c r="BD637" s="8"/>
      <c r="BE637" s="8"/>
      <c r="BF637" s="12">
        <v>0.45</v>
      </c>
      <c r="BG637" s="13">
        <v>482.92977431497098</v>
      </c>
      <c r="BH637" s="96" t="str">
        <f>+VLOOKUP(G637,Liste!$A$7:$G$50,3,FALSE)</f>
        <v>Pin Laricio</v>
      </c>
      <c r="BI637" s="96" t="str">
        <f>+VLOOKUP(H637,Liste!$B$7:$G$50,5,FALSE)</f>
        <v>GS Pineraies des plaines du Centre et du Nord Ouest</v>
      </c>
      <c r="BJ637" s="135">
        <f t="shared" si="186"/>
        <v>65</v>
      </c>
      <c r="BK637" s="135" t="str">
        <f t="shared" si="188"/>
        <v>Pin Laricio_F1_Classique_GS Pineraies des plaines du Centre et du Nord Ouest_65_</v>
      </c>
      <c r="BL637" s="322"/>
      <c r="BM637" s="13">
        <v>115.608999350076</v>
      </c>
      <c r="BN637" s="13">
        <v>598.53877366504696</v>
      </c>
      <c r="BO637" s="13" t="s">
        <v>169</v>
      </c>
      <c r="BP637" s="13">
        <v>279.01190783056597</v>
      </c>
      <c r="BQ637" s="13" t="s">
        <v>169</v>
      </c>
      <c r="BT637" s="298" t="str">
        <f>+VLOOKUP(G637,Liste!$A$7:$H$50,8,FALSE)</f>
        <v>Résineux</v>
      </c>
      <c r="BU637" s="298">
        <f t="shared" si="189"/>
        <v>0</v>
      </c>
      <c r="BV637" s="300">
        <f t="shared" si="190"/>
        <v>1</v>
      </c>
      <c r="BW637" s="321">
        <v>0</v>
      </c>
      <c r="BX637" s="298">
        <f t="shared" si="191"/>
        <v>0.43</v>
      </c>
      <c r="BY637">
        <f t="shared" si="192"/>
        <v>0</v>
      </c>
      <c r="BZ637" s="304">
        <f t="shared" si="193"/>
        <v>0</v>
      </c>
      <c r="CB637" s="299">
        <v>0.6</v>
      </c>
      <c r="CC637" s="299">
        <v>0.4</v>
      </c>
      <c r="CD637">
        <f t="shared" si="194"/>
        <v>0</v>
      </c>
      <c r="CE637">
        <f t="shared" si="195"/>
        <v>0</v>
      </c>
      <c r="CF637">
        <f t="shared" si="196"/>
        <v>0</v>
      </c>
      <c r="CG637">
        <f t="shared" si="197"/>
        <v>0</v>
      </c>
      <c r="CH637">
        <f t="shared" si="198"/>
        <v>0</v>
      </c>
      <c r="CI637">
        <f t="shared" si="199"/>
        <v>0</v>
      </c>
      <c r="CJ637">
        <f t="shared" si="200"/>
        <v>0</v>
      </c>
      <c r="CK637">
        <f t="shared" si="201"/>
        <v>0</v>
      </c>
      <c r="CL637">
        <f t="shared" si="202"/>
        <v>0</v>
      </c>
      <c r="CM637">
        <f t="shared" si="204"/>
        <v>0</v>
      </c>
      <c r="CN637">
        <f t="shared" si="203"/>
        <v>0</v>
      </c>
      <c r="CO637">
        <f t="shared" si="187"/>
        <v>0</v>
      </c>
    </row>
    <row r="638" spans="1:93" s="12" customFormat="1" ht="14.65" customHeight="1" x14ac:dyDescent="0.25">
      <c r="A638" s="4">
        <v>2021</v>
      </c>
      <c r="B638" s="4"/>
      <c r="C638" s="4" t="s">
        <v>179</v>
      </c>
      <c r="D638" s="4" t="s">
        <v>65</v>
      </c>
      <c r="E638" s="4"/>
      <c r="F638" s="4" t="s">
        <v>90</v>
      </c>
      <c r="G638" s="5" t="s">
        <v>180</v>
      </c>
      <c r="H638" s="5" t="s">
        <v>21</v>
      </c>
      <c r="I638" s="5" t="s">
        <v>18</v>
      </c>
      <c r="J638" s="5" t="s">
        <v>9</v>
      </c>
      <c r="K638" s="5">
        <v>26</v>
      </c>
      <c r="L638" s="5" t="s">
        <v>190</v>
      </c>
      <c r="M638" s="5">
        <v>1600</v>
      </c>
      <c r="N638" s="5" t="s">
        <v>171</v>
      </c>
      <c r="O638" s="6" t="s">
        <v>81</v>
      </c>
      <c r="P638" s="6" t="s">
        <v>181</v>
      </c>
      <c r="Q638" s="6"/>
      <c r="R638" s="6"/>
      <c r="S638" s="6">
        <v>15</v>
      </c>
      <c r="T638" s="6">
        <v>8.23</v>
      </c>
      <c r="U638" s="6">
        <v>1600</v>
      </c>
      <c r="V638" s="6">
        <v>14.07</v>
      </c>
      <c r="W638" s="6">
        <v>109</v>
      </c>
      <c r="X638" s="6">
        <v>1278</v>
      </c>
      <c r="Y638" s="6">
        <v>213</v>
      </c>
      <c r="Z638" s="6">
        <v>0</v>
      </c>
      <c r="AA638" s="6">
        <v>0</v>
      </c>
      <c r="AB638" s="6">
        <v>0</v>
      </c>
      <c r="AC638" s="7">
        <v>66</v>
      </c>
      <c r="AD638" s="7" t="s">
        <v>52</v>
      </c>
      <c r="AE638" s="7">
        <v>29.66</v>
      </c>
      <c r="AF638" s="76">
        <v>246</v>
      </c>
      <c r="AG638" s="7">
        <v>45.32</v>
      </c>
      <c r="AH638" s="7">
        <v>48.43</v>
      </c>
      <c r="AI638" s="7">
        <v>51.99</v>
      </c>
      <c r="AJ638" s="9">
        <v>503.59521758272302</v>
      </c>
      <c r="AK638" s="9">
        <v>516.25006354931202</v>
      </c>
      <c r="AL638" s="9">
        <v>631.16893080128602</v>
      </c>
      <c r="AM638" s="9">
        <v>88.406832839819103</v>
      </c>
      <c r="AN638" s="9">
        <v>1.33949746726999</v>
      </c>
      <c r="AO638" s="9" t="s">
        <v>169</v>
      </c>
      <c r="AP638" s="9">
        <v>1049.18511418307</v>
      </c>
      <c r="AQ638" s="9">
        <v>15.896744154288999</v>
      </c>
      <c r="AR638" s="9" t="s">
        <v>169</v>
      </c>
      <c r="AS638" s="8" t="s">
        <v>169</v>
      </c>
      <c r="AT638" s="8" t="s">
        <v>169</v>
      </c>
      <c r="AU638" s="10" t="s">
        <v>169</v>
      </c>
      <c r="AV638" s="10">
        <v>0</v>
      </c>
      <c r="AW638" s="8"/>
      <c r="AX638" s="10" t="s">
        <v>169</v>
      </c>
      <c r="AY638" s="10"/>
      <c r="AZ638" s="10"/>
      <c r="BA638" s="10"/>
      <c r="BB638" s="8"/>
      <c r="BC638" s="8"/>
      <c r="BD638" s="8"/>
      <c r="BE638" s="8"/>
      <c r="BF638" s="12">
        <v>0.45</v>
      </c>
      <c r="BG638" s="13">
        <v>495.04507814477898</v>
      </c>
      <c r="BH638" s="96" t="str">
        <f>+VLOOKUP(G638,Liste!$A$7:$G$50,3,FALSE)</f>
        <v>Pin Laricio</v>
      </c>
      <c r="BI638" s="96" t="str">
        <f>+VLOOKUP(H638,Liste!$B$7:$G$50,5,FALSE)</f>
        <v>GS Pineraies des plaines du Centre et du Nord Ouest</v>
      </c>
      <c r="BJ638" s="135">
        <f t="shared" si="186"/>
        <v>66</v>
      </c>
      <c r="BK638" s="135" t="str">
        <f t="shared" si="188"/>
        <v>Pin Laricio_F1_Classique_GS Pineraies des plaines du Centre et du Nord Ouest_66_</v>
      </c>
      <c r="BL638" s="322"/>
      <c r="BM638" s="13">
        <v>118.192112210307</v>
      </c>
      <c r="BN638" s="13">
        <v>613.23719035508498</v>
      </c>
      <c r="BO638" s="13" t="s">
        <v>169</v>
      </c>
      <c r="BP638" s="13">
        <v>279.01190783056597</v>
      </c>
      <c r="BQ638" s="13" t="s">
        <v>169</v>
      </c>
      <c r="BT638" s="298" t="str">
        <f>+VLOOKUP(G638,Liste!$A$7:$H$50,8,FALSE)</f>
        <v>Résineux</v>
      </c>
      <c r="BU638" s="298">
        <f t="shared" si="189"/>
        <v>0</v>
      </c>
      <c r="BV638" s="300">
        <f t="shared" si="190"/>
        <v>1</v>
      </c>
      <c r="BW638" s="321">
        <v>0</v>
      </c>
      <c r="BX638" s="298">
        <f t="shared" si="191"/>
        <v>0.43</v>
      </c>
      <c r="BY638">
        <f t="shared" si="192"/>
        <v>0</v>
      </c>
      <c r="BZ638" s="304">
        <f t="shared" si="193"/>
        <v>0</v>
      </c>
      <c r="CB638" s="299">
        <v>0.6</v>
      </c>
      <c r="CC638" s="299">
        <v>0.4</v>
      </c>
      <c r="CD638">
        <f t="shared" si="194"/>
        <v>0</v>
      </c>
      <c r="CE638">
        <f t="shared" si="195"/>
        <v>0</v>
      </c>
      <c r="CF638">
        <f t="shared" si="196"/>
        <v>0</v>
      </c>
      <c r="CG638">
        <f t="shared" si="197"/>
        <v>0</v>
      </c>
      <c r="CH638">
        <f t="shared" si="198"/>
        <v>0</v>
      </c>
      <c r="CI638">
        <f t="shared" si="199"/>
        <v>0</v>
      </c>
      <c r="CJ638">
        <f t="shared" si="200"/>
        <v>0</v>
      </c>
      <c r="CK638">
        <f t="shared" si="201"/>
        <v>0</v>
      </c>
      <c r="CL638">
        <f t="shared" si="202"/>
        <v>0</v>
      </c>
      <c r="CM638">
        <f t="shared" si="204"/>
        <v>0</v>
      </c>
      <c r="CN638">
        <f t="shared" si="203"/>
        <v>0</v>
      </c>
      <c r="CO638">
        <f t="shared" si="187"/>
        <v>0</v>
      </c>
    </row>
    <row r="639" spans="1:93" s="12" customFormat="1" ht="14.65" customHeight="1" x14ac:dyDescent="0.25">
      <c r="A639" s="4">
        <v>2021</v>
      </c>
      <c r="B639" s="4"/>
      <c r="C639" s="4" t="s">
        <v>179</v>
      </c>
      <c r="D639" s="4" t="s">
        <v>65</v>
      </c>
      <c r="E639" s="4"/>
      <c r="F639" s="4" t="s">
        <v>90</v>
      </c>
      <c r="G639" s="5" t="s">
        <v>180</v>
      </c>
      <c r="H639" s="5" t="s">
        <v>21</v>
      </c>
      <c r="I639" s="5" t="s">
        <v>18</v>
      </c>
      <c r="J639" s="5" t="s">
        <v>9</v>
      </c>
      <c r="K639" s="5">
        <v>26</v>
      </c>
      <c r="L639" s="5" t="s">
        <v>190</v>
      </c>
      <c r="M639" s="5">
        <v>1600</v>
      </c>
      <c r="N639" s="5" t="s">
        <v>171</v>
      </c>
      <c r="O639" s="6" t="s">
        <v>81</v>
      </c>
      <c r="P639" s="6" t="s">
        <v>181</v>
      </c>
      <c r="Q639" s="6"/>
      <c r="R639" s="6"/>
      <c r="S639" s="6">
        <v>15</v>
      </c>
      <c r="T639" s="6">
        <v>8.23</v>
      </c>
      <c r="U639" s="6">
        <v>1600</v>
      </c>
      <c r="V639" s="6">
        <v>14.07</v>
      </c>
      <c r="W639" s="6">
        <v>109</v>
      </c>
      <c r="X639" s="6">
        <v>1278</v>
      </c>
      <c r="Y639" s="6">
        <v>213</v>
      </c>
      <c r="Z639" s="6">
        <v>0</v>
      </c>
      <c r="AA639" s="6">
        <v>0</v>
      </c>
      <c r="AB639" s="6">
        <v>0</v>
      </c>
      <c r="AC639" s="7">
        <v>66</v>
      </c>
      <c r="AD639" s="7" t="s">
        <v>53</v>
      </c>
      <c r="AE639" s="7">
        <v>29.66</v>
      </c>
      <c r="AF639" s="76">
        <v>0</v>
      </c>
      <c r="AG639" s="7">
        <v>0</v>
      </c>
      <c r="AH639" s="7">
        <v>0</v>
      </c>
      <c r="AI639" s="7">
        <v>51.99</v>
      </c>
      <c r="AJ639" s="9">
        <v>0</v>
      </c>
      <c r="AK639" s="9">
        <v>0</v>
      </c>
      <c r="AL639" s="9">
        <v>0</v>
      </c>
      <c r="AM639" s="9">
        <v>88.406832839819103</v>
      </c>
      <c r="AN639" s="9">
        <v>1.33949746726999</v>
      </c>
      <c r="AO639" s="9" t="s">
        <v>169</v>
      </c>
      <c r="AP639" s="9">
        <v>1049.18511418307</v>
      </c>
      <c r="AQ639" s="9">
        <v>15.896744154288999</v>
      </c>
      <c r="AR639" s="9" t="s">
        <v>169</v>
      </c>
      <c r="AS639" s="8">
        <v>246</v>
      </c>
      <c r="AT639" s="8">
        <v>45.32</v>
      </c>
      <c r="AU639" s="10">
        <v>48.432005882439448</v>
      </c>
      <c r="AV639" s="10">
        <v>503.59521758272302</v>
      </c>
      <c r="AW639" s="10">
        <v>1.0000828380747242</v>
      </c>
      <c r="AX639" s="10">
        <v>2.0471350308240774</v>
      </c>
      <c r="AY639" s="10"/>
      <c r="AZ639" s="10"/>
      <c r="BA639" s="10"/>
      <c r="BB639" s="8"/>
      <c r="BC639" s="8"/>
      <c r="BD639" s="8"/>
      <c r="BE639" s="8"/>
      <c r="BF639" s="12">
        <v>0.45</v>
      </c>
      <c r="BG639" s="13">
        <v>0</v>
      </c>
      <c r="BH639" s="96" t="str">
        <f>+VLOOKUP(G639,Liste!$A$7:$G$50,3,FALSE)</f>
        <v>Pin Laricio</v>
      </c>
      <c r="BI639" s="96" t="str">
        <f>+VLOOKUP(H639,Liste!$B$7:$G$50,5,FALSE)</f>
        <v>GS Pineraies des plaines du Centre et du Nord Ouest</v>
      </c>
      <c r="BJ639" s="135">
        <f t="shared" si="186"/>
        <v>66</v>
      </c>
      <c r="BK639" s="135" t="str">
        <f t="shared" si="188"/>
        <v>Pin Laricio_F1_Classique_GS Pineraies des plaines du Centre et du Nord Ouest_66_</v>
      </c>
      <c r="BL639" s="322"/>
      <c r="BM639" s="13">
        <v>0</v>
      </c>
      <c r="BN639" s="13">
        <v>0</v>
      </c>
      <c r="BO639" s="13">
        <v>613.23719035508498</v>
      </c>
      <c r="BP639" s="13">
        <v>279.01190783056597</v>
      </c>
      <c r="BQ639" s="13" t="s">
        <v>169</v>
      </c>
      <c r="BT639" s="298" t="str">
        <f>+VLOOKUP(G639,Liste!$A$7:$H$50,8,FALSE)</f>
        <v>Résineux</v>
      </c>
      <c r="BU639" s="298">
        <f t="shared" si="189"/>
        <v>0</v>
      </c>
      <c r="BV639" s="300">
        <f t="shared" si="190"/>
        <v>1</v>
      </c>
      <c r="BW639" s="321">
        <v>0</v>
      </c>
      <c r="BX639" s="298">
        <f t="shared" si="191"/>
        <v>0.43</v>
      </c>
      <c r="BY639">
        <f t="shared" si="192"/>
        <v>0</v>
      </c>
      <c r="BZ639" s="304">
        <f t="shared" si="193"/>
        <v>0</v>
      </c>
      <c r="CB639" s="299">
        <v>0.6</v>
      </c>
      <c r="CC639" s="299">
        <v>0.4</v>
      </c>
      <c r="CD639">
        <f t="shared" si="194"/>
        <v>0</v>
      </c>
      <c r="CE639">
        <f t="shared" si="195"/>
        <v>0</v>
      </c>
      <c r="CF639">
        <f t="shared" si="196"/>
        <v>0</v>
      </c>
      <c r="CG639">
        <f t="shared" si="197"/>
        <v>0</v>
      </c>
      <c r="CH639">
        <f t="shared" si="198"/>
        <v>0</v>
      </c>
      <c r="CI639">
        <f t="shared" si="199"/>
        <v>0</v>
      </c>
      <c r="CJ639">
        <f t="shared" si="200"/>
        <v>0</v>
      </c>
      <c r="CK639">
        <f t="shared" si="201"/>
        <v>0</v>
      </c>
      <c r="CL639">
        <f t="shared" si="202"/>
        <v>0</v>
      </c>
      <c r="CM639">
        <f t="shared" si="204"/>
        <v>0</v>
      </c>
      <c r="CN639">
        <f t="shared" si="203"/>
        <v>0</v>
      </c>
      <c r="CO639">
        <f t="shared" si="187"/>
        <v>0</v>
      </c>
    </row>
    <row r="640" spans="1:93" s="12" customFormat="1" ht="14.65" customHeight="1" x14ac:dyDescent="0.25">
      <c r="A640" s="4">
        <v>2021</v>
      </c>
      <c r="B640" s="318">
        <v>44264</v>
      </c>
      <c r="C640" s="4" t="s">
        <v>66</v>
      </c>
      <c r="D640" s="4" t="s">
        <v>65</v>
      </c>
      <c r="E640" s="4"/>
      <c r="F640" s="4" t="s">
        <v>90</v>
      </c>
      <c r="G640" s="5" t="s">
        <v>427</v>
      </c>
      <c r="H640" s="5" t="s">
        <v>428</v>
      </c>
      <c r="I640" s="5" t="s">
        <v>143</v>
      </c>
      <c r="J640" s="5" t="s">
        <v>10</v>
      </c>
      <c r="K640" s="5">
        <v>18</v>
      </c>
      <c r="L640" s="5">
        <v>55</v>
      </c>
      <c r="M640" s="5">
        <v>1666</v>
      </c>
      <c r="N640" s="5" t="s">
        <v>170</v>
      </c>
      <c r="O640" s="6" t="s">
        <v>81</v>
      </c>
      <c r="P640" s="6" t="s">
        <v>429</v>
      </c>
      <c r="Q640" s="6"/>
      <c r="R640" s="6"/>
      <c r="S640" s="6">
        <v>57</v>
      </c>
      <c r="T640" s="6">
        <v>19.899999999999999</v>
      </c>
      <c r="U640" s="6">
        <v>1402</v>
      </c>
      <c r="V640" s="6">
        <v>28.51</v>
      </c>
      <c r="W640" s="6">
        <v>50</v>
      </c>
      <c r="X640" s="6">
        <v>303</v>
      </c>
      <c r="Y640" s="6">
        <v>595</v>
      </c>
      <c r="Z640" s="6">
        <v>375</v>
      </c>
      <c r="AA640" s="6">
        <v>75</v>
      </c>
      <c r="AB640" s="6">
        <v>4</v>
      </c>
      <c r="AC640" s="7">
        <v>30</v>
      </c>
      <c r="AD640" s="7" t="s">
        <v>52</v>
      </c>
      <c r="AE640" s="7"/>
      <c r="AF640" s="7"/>
      <c r="AG640" s="7"/>
      <c r="AH640" s="7"/>
      <c r="AI640" s="7"/>
      <c r="AJ640" s="9">
        <v>123.91221900465899</v>
      </c>
      <c r="AK640" s="9">
        <v>130.563325609115</v>
      </c>
      <c r="AL640" s="9">
        <v>166.94708887457099</v>
      </c>
      <c r="AM640" s="7"/>
      <c r="AN640" s="7"/>
      <c r="AO640" s="7"/>
      <c r="AP640" s="7"/>
      <c r="AQ640" s="7"/>
      <c r="AR640" s="7"/>
      <c r="AS640" s="8"/>
      <c r="AT640" s="8"/>
      <c r="AU640" s="10"/>
      <c r="AV640" s="10">
        <v>0</v>
      </c>
      <c r="AW640" s="8"/>
      <c r="AX640" s="74"/>
      <c r="AY640" s="74"/>
      <c r="AZ640" s="74"/>
      <c r="BA640" s="74"/>
      <c r="BB640" s="8"/>
      <c r="BC640" s="8"/>
      <c r="BD640" s="8"/>
      <c r="BE640" s="8"/>
      <c r="BF640" s="12">
        <v>0.55000000000000004</v>
      </c>
      <c r="BG640" s="13">
        <v>159.92139888443299</v>
      </c>
      <c r="BH640" s="96" t="str">
        <f>+VLOOKUP(G640,Liste!$A$7:$G$50,3,FALSE)</f>
        <v>Hêtre commun</v>
      </c>
      <c r="BI640" s="96" t="str">
        <f>+VLOOKUP(H640,Liste!$B$7:$G$50,5,FALSE)</f>
        <v>GS Hêtraies et hêtraies sapinières des Pyrénées</v>
      </c>
      <c r="BJ640" s="135">
        <f t="shared" si="186"/>
        <v>30</v>
      </c>
      <c r="BK640" s="135" t="str">
        <f t="shared" si="188"/>
        <v>Hêtre commun_F2_Entree 19-20m_GS Hêtraies et hêtraies sapinières des Pyrénées_30_</v>
      </c>
      <c r="BL640" s="322"/>
      <c r="BM640" s="13">
        <v>43.548404644400001</v>
      </c>
      <c r="BN640" s="13">
        <v>203.46980352883301</v>
      </c>
      <c r="BP640" s="13">
        <v>300.22307244627501</v>
      </c>
      <c r="BQ640" s="13"/>
      <c r="BT640" s="298" t="str">
        <f>+VLOOKUP(G640,Liste!$A$7:$H$50,8,FALSE)</f>
        <v>Feuillus</v>
      </c>
      <c r="BU640" s="298">
        <f t="shared" si="189"/>
        <v>1</v>
      </c>
      <c r="BV640" s="300">
        <f t="shared" si="190"/>
        <v>0</v>
      </c>
      <c r="BW640" s="321">
        <v>0</v>
      </c>
      <c r="BX640" s="298">
        <f t="shared" si="191"/>
        <v>0.25</v>
      </c>
      <c r="BY640">
        <f t="shared" si="192"/>
        <v>0</v>
      </c>
      <c r="BZ640" s="304">
        <f t="shared" si="193"/>
        <v>0</v>
      </c>
      <c r="CB640" s="299">
        <v>0.6</v>
      </c>
      <c r="CC640" s="299">
        <v>0.4</v>
      </c>
      <c r="CD640">
        <f t="shared" si="194"/>
        <v>0</v>
      </c>
      <c r="CE640">
        <f t="shared" si="195"/>
        <v>0</v>
      </c>
      <c r="CF640">
        <f t="shared" si="196"/>
        <v>0</v>
      </c>
      <c r="CG640">
        <f t="shared" si="197"/>
        <v>0</v>
      </c>
      <c r="CH640">
        <f t="shared" si="198"/>
        <v>0</v>
      </c>
      <c r="CI640">
        <f t="shared" si="199"/>
        <v>0</v>
      </c>
      <c r="CJ640">
        <f t="shared" si="200"/>
        <v>0</v>
      </c>
      <c r="CK640">
        <f t="shared" si="201"/>
        <v>0</v>
      </c>
      <c r="CL640">
        <f t="shared" si="202"/>
        <v>0</v>
      </c>
      <c r="CM640">
        <f t="shared" si="204"/>
        <v>0</v>
      </c>
      <c r="CN640">
        <f t="shared" si="203"/>
        <v>0</v>
      </c>
      <c r="CO640">
        <f t="shared" si="187"/>
        <v>0</v>
      </c>
    </row>
    <row r="641" spans="1:93" s="12" customFormat="1" ht="14.65" customHeight="1" x14ac:dyDescent="0.25">
      <c r="A641" s="4">
        <v>2021</v>
      </c>
      <c r="B641" s="318">
        <v>44264</v>
      </c>
      <c r="C641" s="4" t="s">
        <v>66</v>
      </c>
      <c r="D641" s="4" t="s">
        <v>65</v>
      </c>
      <c r="E641" s="4"/>
      <c r="F641" s="4" t="s">
        <v>90</v>
      </c>
      <c r="G641" s="5" t="s">
        <v>427</v>
      </c>
      <c r="H641" s="5" t="s">
        <v>428</v>
      </c>
      <c r="I641" s="5" t="s">
        <v>143</v>
      </c>
      <c r="J641" s="5" t="s">
        <v>10</v>
      </c>
      <c r="K641" s="5">
        <v>18</v>
      </c>
      <c r="L641" s="5">
        <v>55</v>
      </c>
      <c r="M641" s="5">
        <v>1666</v>
      </c>
      <c r="N641" s="5" t="s">
        <v>170</v>
      </c>
      <c r="O641" s="6" t="s">
        <v>81</v>
      </c>
      <c r="P641" s="6" t="s">
        <v>429</v>
      </c>
      <c r="Q641" s="6"/>
      <c r="R641" s="6"/>
      <c r="S641" s="6">
        <v>57</v>
      </c>
      <c r="T641" s="6">
        <v>19.899999999999999</v>
      </c>
      <c r="U641" s="6">
        <v>1402</v>
      </c>
      <c r="V641" s="6">
        <v>28.51</v>
      </c>
      <c r="W641" s="6">
        <v>50</v>
      </c>
      <c r="X641" s="6">
        <v>303</v>
      </c>
      <c r="Y641" s="6">
        <v>595</v>
      </c>
      <c r="Z641" s="6">
        <v>375</v>
      </c>
      <c r="AA641" s="6">
        <v>75</v>
      </c>
      <c r="AB641" s="6">
        <v>4</v>
      </c>
      <c r="AC641" s="7">
        <v>57</v>
      </c>
      <c r="AD641" s="7" t="s">
        <v>52</v>
      </c>
      <c r="AE641" s="7">
        <v>19.899999999999999</v>
      </c>
      <c r="AF641" s="7">
        <v>1402</v>
      </c>
      <c r="AG641" s="7">
        <v>28.51</v>
      </c>
      <c r="AH641" s="7">
        <v>16.09</v>
      </c>
      <c r="AI641" s="7">
        <v>23.94</v>
      </c>
      <c r="AJ641" s="9">
        <v>235.433216108853</v>
      </c>
      <c r="AK641" s="9">
        <v>248.07031865731801</v>
      </c>
      <c r="AL641" s="9">
        <v>317.19946886168498</v>
      </c>
      <c r="AM641" s="9">
        <v>28.5147442601241</v>
      </c>
      <c r="AN641" s="9">
        <v>0.50025867123024703</v>
      </c>
      <c r="AO641" s="9">
        <v>0.78702663151138097</v>
      </c>
      <c r="AP641" s="9">
        <v>317.19946886168498</v>
      </c>
      <c r="AQ641" s="9">
        <v>5.5649029624857</v>
      </c>
      <c r="AR641" s="9">
        <v>12.064387564922001</v>
      </c>
      <c r="AS641" s="8" t="str">
        <f>IF($AD641="ap",AF640-AF641,"")</f>
        <v/>
      </c>
      <c r="AT641" s="8" t="str">
        <f t="shared" ref="AT641:AX641" si="205">IF($AD641="ap",AG640-AG641,"")</f>
        <v/>
      </c>
      <c r="AU641" s="8" t="str">
        <f t="shared" si="205"/>
        <v/>
      </c>
      <c r="AV641" s="10">
        <v>0</v>
      </c>
      <c r="AW641" s="8" t="str">
        <f t="shared" si="205"/>
        <v/>
      </c>
      <c r="AX641" s="8" t="str">
        <f t="shared" si="205"/>
        <v/>
      </c>
      <c r="AY641" s="8"/>
      <c r="AZ641" s="8"/>
      <c r="BA641" s="8"/>
      <c r="BB641" s="8"/>
      <c r="BC641" s="8"/>
      <c r="BD641" s="8"/>
      <c r="BE641" s="8"/>
      <c r="BF641" s="12">
        <v>0.55000000000000004</v>
      </c>
      <c r="BG641" s="13">
        <v>303.85065788042198</v>
      </c>
      <c r="BH641" s="96" t="str">
        <f>+VLOOKUP(G641,Liste!$A$7:$G$50,3,FALSE)</f>
        <v>Hêtre commun</v>
      </c>
      <c r="BI641" s="96" t="str">
        <f>+VLOOKUP(H641,Liste!$B$7:$G$50,5,FALSE)</f>
        <v>GS Hêtraies et hêtraies sapinières des Pyrénées</v>
      </c>
      <c r="BJ641" s="135">
        <f t="shared" si="186"/>
        <v>57</v>
      </c>
      <c r="BK641" s="135" t="str">
        <f t="shared" si="188"/>
        <v>Hêtre commun_F2_Entree 19-20m_GS Hêtraies et hêtraies sapinières des Pyrénées_57_</v>
      </c>
      <c r="BL641" s="322"/>
      <c r="BM641" s="13">
        <v>76.785449588011005</v>
      </c>
      <c r="BN641" s="13">
        <v>380.63610746843301</v>
      </c>
      <c r="BO641" s="12" t="s">
        <v>169</v>
      </c>
      <c r="BP641" s="13">
        <v>300.22307244627501</v>
      </c>
      <c r="BQ641" s="13">
        <v>14.120749352342299</v>
      </c>
      <c r="BT641" s="298" t="str">
        <f>+VLOOKUP(G641,Liste!$A$7:$H$50,8,FALSE)</f>
        <v>Feuillus</v>
      </c>
      <c r="BU641" s="298">
        <f t="shared" si="189"/>
        <v>1</v>
      </c>
      <c r="BV641" s="300">
        <f t="shared" si="190"/>
        <v>0</v>
      </c>
      <c r="BW641" s="321">
        <v>0</v>
      </c>
      <c r="BX641" s="298">
        <f t="shared" si="191"/>
        <v>0.25</v>
      </c>
      <c r="BY641">
        <f t="shared" si="192"/>
        <v>0</v>
      </c>
      <c r="BZ641" s="304">
        <f t="shared" si="193"/>
        <v>0</v>
      </c>
      <c r="CB641" s="299">
        <v>0.6</v>
      </c>
      <c r="CC641" s="299">
        <v>0.4</v>
      </c>
      <c r="CD641">
        <f t="shared" si="194"/>
        <v>0</v>
      </c>
      <c r="CE641">
        <f t="shared" si="195"/>
        <v>0</v>
      </c>
      <c r="CF641">
        <f t="shared" si="196"/>
        <v>0</v>
      </c>
      <c r="CG641">
        <f t="shared" si="197"/>
        <v>0</v>
      </c>
      <c r="CH641">
        <f t="shared" si="198"/>
        <v>0</v>
      </c>
      <c r="CI641">
        <f t="shared" si="199"/>
        <v>0</v>
      </c>
      <c r="CJ641">
        <f t="shared" si="200"/>
        <v>0</v>
      </c>
      <c r="CK641">
        <f t="shared" si="201"/>
        <v>0</v>
      </c>
      <c r="CL641">
        <f t="shared" si="202"/>
        <v>0</v>
      </c>
      <c r="CM641">
        <f t="shared" si="204"/>
        <v>0</v>
      </c>
      <c r="CN641">
        <f t="shared" si="203"/>
        <v>0</v>
      </c>
      <c r="CO641">
        <f t="shared" si="187"/>
        <v>0</v>
      </c>
    </row>
    <row r="642" spans="1:93" s="12" customFormat="1" ht="14.65" customHeight="1" x14ac:dyDescent="0.25">
      <c r="A642" s="4">
        <v>2021</v>
      </c>
      <c r="B642" s="318">
        <v>44264</v>
      </c>
      <c r="C642" s="4" t="s">
        <v>66</v>
      </c>
      <c r="D642" s="4" t="s">
        <v>65</v>
      </c>
      <c r="E642" s="4"/>
      <c r="F642" s="4" t="s">
        <v>90</v>
      </c>
      <c r="G642" s="5" t="s">
        <v>427</v>
      </c>
      <c r="H642" s="5" t="s">
        <v>428</v>
      </c>
      <c r="I642" s="5" t="s">
        <v>143</v>
      </c>
      <c r="J642" s="5" t="s">
        <v>10</v>
      </c>
      <c r="K642" s="5">
        <v>18</v>
      </c>
      <c r="L642" s="5">
        <v>55</v>
      </c>
      <c r="M642" s="5">
        <v>1666</v>
      </c>
      <c r="N642" s="5" t="s">
        <v>170</v>
      </c>
      <c r="O642" s="6" t="s">
        <v>81</v>
      </c>
      <c r="P642" s="6" t="s">
        <v>429</v>
      </c>
      <c r="Q642" s="6"/>
      <c r="R642" s="6"/>
      <c r="S642" s="6">
        <v>57</v>
      </c>
      <c r="T642" s="6">
        <v>19.899999999999999</v>
      </c>
      <c r="U642" s="6">
        <v>1402</v>
      </c>
      <c r="V642" s="6">
        <v>28.51</v>
      </c>
      <c r="W642" s="6">
        <v>50</v>
      </c>
      <c r="X642" s="6">
        <v>303</v>
      </c>
      <c r="Y642" s="6">
        <v>595</v>
      </c>
      <c r="Z642" s="6">
        <v>375</v>
      </c>
      <c r="AA642" s="6">
        <v>75</v>
      </c>
      <c r="AB642" s="6">
        <v>4</v>
      </c>
      <c r="AC642" s="7">
        <v>57</v>
      </c>
      <c r="AD642" s="7" t="s">
        <v>53</v>
      </c>
      <c r="AE642" s="7">
        <v>19.899999999999999</v>
      </c>
      <c r="AF642" s="7">
        <v>838</v>
      </c>
      <c r="AG642" s="7">
        <v>17.59</v>
      </c>
      <c r="AH642" s="7">
        <v>16.350000000000001</v>
      </c>
      <c r="AI642" s="7">
        <v>23.52</v>
      </c>
      <c r="AJ642" s="9">
        <v>145.98700543912599</v>
      </c>
      <c r="AK642" s="9">
        <v>153.929246023583</v>
      </c>
      <c r="AL642" s="9">
        <v>196.18460625957999</v>
      </c>
      <c r="AM642" s="9">
        <v>28.5147442601241</v>
      </c>
      <c r="AN642" s="9">
        <v>0.50025867123024703</v>
      </c>
      <c r="AO642" s="9">
        <v>0.78702663151138097</v>
      </c>
      <c r="AP642" s="9">
        <v>317.19946886168498</v>
      </c>
      <c r="AQ642" s="9">
        <v>5.5649029624857</v>
      </c>
      <c r="AR642" s="9">
        <v>12.064387564922001</v>
      </c>
      <c r="AS642" s="8">
        <v>564</v>
      </c>
      <c r="AT642" s="8">
        <v>10.920000000000002</v>
      </c>
      <c r="AU642" s="10">
        <v>15.700982390385358</v>
      </c>
      <c r="AV642" s="10">
        <v>89.446210669727009</v>
      </c>
      <c r="AW642" s="10">
        <v>0.95</v>
      </c>
      <c r="AX642" s="10">
        <v>0.15859257210944505</v>
      </c>
      <c r="AY642" s="10"/>
      <c r="AZ642" s="10"/>
      <c r="BA642" s="10"/>
      <c r="BB642" s="8"/>
      <c r="BC642" s="8"/>
      <c r="BD642" s="8"/>
      <c r="BE642" s="8"/>
      <c r="BF642" s="12">
        <v>0.55000000000000004</v>
      </c>
      <c r="BG642" s="13">
        <v>187.92850407949001</v>
      </c>
      <c r="BH642" s="96" t="str">
        <f>+VLOOKUP(G642,Liste!$A$7:$G$50,3,FALSE)</f>
        <v>Hêtre commun</v>
      </c>
      <c r="BI642" s="96" t="str">
        <f>+VLOOKUP(H642,Liste!$B$7:$G$50,5,FALSE)</f>
        <v>GS Hêtraies et hêtraies sapinières des Pyrénées</v>
      </c>
      <c r="BJ642" s="135">
        <f t="shared" si="186"/>
        <v>57</v>
      </c>
      <c r="BK642" s="135" t="str">
        <f t="shared" si="188"/>
        <v>Hêtre commun_F2_Entree 19-20m_GS Hêtraies et hêtraies sapinières des Pyrénées_57_</v>
      </c>
      <c r="BL642" s="322"/>
      <c r="BM642" s="13">
        <v>50.2227289263692</v>
      </c>
      <c r="BN642" s="13">
        <v>238.15123300585901</v>
      </c>
      <c r="BO642" s="13">
        <v>142.484874462574</v>
      </c>
      <c r="BP642" s="13">
        <v>300.22307244627501</v>
      </c>
      <c r="BQ642" s="13">
        <v>14.120749352342299</v>
      </c>
      <c r="BT642" s="298" t="str">
        <f>+VLOOKUP(G642,Liste!$A$7:$H$50,8,FALSE)</f>
        <v>Feuillus</v>
      </c>
      <c r="BU642" s="298">
        <f t="shared" si="189"/>
        <v>1</v>
      </c>
      <c r="BV642" s="300">
        <f t="shared" si="190"/>
        <v>0</v>
      </c>
      <c r="BW642" s="321">
        <v>0</v>
      </c>
      <c r="BX642" s="298">
        <f t="shared" si="191"/>
        <v>0.25</v>
      </c>
      <c r="BY642">
        <f t="shared" si="192"/>
        <v>0</v>
      </c>
      <c r="BZ642" s="304">
        <f t="shared" si="193"/>
        <v>0</v>
      </c>
      <c r="CB642" s="299">
        <v>0.6</v>
      </c>
      <c r="CC642" s="299">
        <v>0.4</v>
      </c>
      <c r="CD642">
        <f t="shared" si="194"/>
        <v>0</v>
      </c>
      <c r="CE642">
        <f t="shared" si="195"/>
        <v>0</v>
      </c>
      <c r="CF642">
        <f t="shared" si="196"/>
        <v>0</v>
      </c>
      <c r="CG642">
        <f t="shared" si="197"/>
        <v>0</v>
      </c>
      <c r="CH642">
        <f t="shared" si="198"/>
        <v>0</v>
      </c>
      <c r="CI642">
        <f t="shared" si="199"/>
        <v>0</v>
      </c>
      <c r="CJ642">
        <f t="shared" si="200"/>
        <v>0</v>
      </c>
      <c r="CK642">
        <f t="shared" si="201"/>
        <v>0</v>
      </c>
      <c r="CL642">
        <f t="shared" si="202"/>
        <v>0</v>
      </c>
      <c r="CM642">
        <f t="shared" si="204"/>
        <v>0</v>
      </c>
      <c r="CN642">
        <f t="shared" si="203"/>
        <v>0</v>
      </c>
      <c r="CO642">
        <f t="shared" si="187"/>
        <v>0</v>
      </c>
    </row>
    <row r="643" spans="1:93" s="12" customFormat="1" ht="14.65" customHeight="1" x14ac:dyDescent="0.25">
      <c r="A643" s="4">
        <v>2021</v>
      </c>
      <c r="B643" s="318">
        <v>44264</v>
      </c>
      <c r="C643" s="4" t="s">
        <v>66</v>
      </c>
      <c r="D643" s="4" t="s">
        <v>65</v>
      </c>
      <c r="E643" s="4"/>
      <c r="F643" s="4" t="s">
        <v>90</v>
      </c>
      <c r="G643" s="5" t="s">
        <v>427</v>
      </c>
      <c r="H643" s="5" t="s">
        <v>428</v>
      </c>
      <c r="I643" s="5" t="s">
        <v>143</v>
      </c>
      <c r="J643" s="5" t="s">
        <v>10</v>
      </c>
      <c r="K643" s="5">
        <v>18</v>
      </c>
      <c r="L643" s="5">
        <v>55</v>
      </c>
      <c r="M643" s="5">
        <v>1666</v>
      </c>
      <c r="N643" s="5" t="s">
        <v>170</v>
      </c>
      <c r="O643" s="6" t="s">
        <v>81</v>
      </c>
      <c r="P643" s="6" t="s">
        <v>429</v>
      </c>
      <c r="Q643" s="6"/>
      <c r="R643" s="6"/>
      <c r="S643" s="6">
        <v>57</v>
      </c>
      <c r="T643" s="6">
        <v>19.899999999999999</v>
      </c>
      <c r="U643" s="6">
        <v>1402</v>
      </c>
      <c r="V643" s="6">
        <v>28.51</v>
      </c>
      <c r="W643" s="6">
        <v>50</v>
      </c>
      <c r="X643" s="6">
        <v>303</v>
      </c>
      <c r="Y643" s="6">
        <v>595</v>
      </c>
      <c r="Z643" s="6">
        <v>375</v>
      </c>
      <c r="AA643" s="6">
        <v>75</v>
      </c>
      <c r="AB643" s="6">
        <v>4</v>
      </c>
      <c r="AC643" s="7">
        <v>60</v>
      </c>
      <c r="AD643" s="7" t="s">
        <v>52</v>
      </c>
      <c r="AE643" s="7">
        <v>20.85</v>
      </c>
      <c r="AF643" s="7">
        <v>838</v>
      </c>
      <c r="AG643" s="7">
        <v>19.95</v>
      </c>
      <c r="AH643" s="7">
        <v>17.41</v>
      </c>
      <c r="AI643" s="7">
        <v>25.14</v>
      </c>
      <c r="AJ643" s="9">
        <v>175.843049315526</v>
      </c>
      <c r="AK643" s="9">
        <v>185.96723263992899</v>
      </c>
      <c r="AL643" s="9">
        <v>232.37776895434601</v>
      </c>
      <c r="AM643" s="9">
        <v>30.875824154658201</v>
      </c>
      <c r="AN643" s="9">
        <v>0.51459706924430404</v>
      </c>
      <c r="AO643" s="9">
        <v>0.76620040643615495</v>
      </c>
      <c r="AP643" s="9">
        <v>353.39263155645102</v>
      </c>
      <c r="AQ643" s="9">
        <v>5.8898771926075097</v>
      </c>
      <c r="AR643" s="9">
        <v>12.326542108199799</v>
      </c>
      <c r="AS643" s="8" t="s">
        <v>169</v>
      </c>
      <c r="AT643" s="8" t="s">
        <v>169</v>
      </c>
      <c r="AU643" s="10" t="s">
        <v>169</v>
      </c>
      <c r="AV643" s="10">
        <v>0</v>
      </c>
      <c r="AW643" s="8"/>
      <c r="AX643" s="10" t="s">
        <v>169</v>
      </c>
      <c r="AY643" s="10"/>
      <c r="AZ643" s="10"/>
      <c r="BA643" s="10"/>
      <c r="BB643" s="8"/>
      <c r="BC643" s="8"/>
      <c r="BD643" s="8"/>
      <c r="BE643" s="8"/>
      <c r="BF643" s="12">
        <v>0.55000000000000004</v>
      </c>
      <c r="BG643" s="13">
        <v>222.59853784418399</v>
      </c>
      <c r="BH643" s="96" t="str">
        <f>+VLOOKUP(G643,Liste!$A$7:$G$50,3,FALSE)</f>
        <v>Hêtre commun</v>
      </c>
      <c r="BI643" s="96" t="str">
        <f>+VLOOKUP(H643,Liste!$B$7:$G$50,5,FALSE)</f>
        <v>GS Hêtraies et hêtraies sapinières des Pyrénées</v>
      </c>
      <c r="BJ643" s="135">
        <f t="shared" ref="BJ643:BJ706" si="206">+AC643</f>
        <v>60</v>
      </c>
      <c r="BK643" s="135" t="str">
        <f t="shared" si="188"/>
        <v>Hêtre commun_F2_Entree 19-20m_GS Hêtraies et hêtraies sapinières des Pyrénées_60_</v>
      </c>
      <c r="BL643" s="322"/>
      <c r="BM643" s="13">
        <v>58.327197000962499</v>
      </c>
      <c r="BN643" s="13">
        <v>280.92573484514702</v>
      </c>
      <c r="BO643" s="13" t="s">
        <v>169</v>
      </c>
      <c r="BP643" s="13">
        <v>300.22307244627501</v>
      </c>
      <c r="BQ643" s="13">
        <v>14.396171558774499</v>
      </c>
      <c r="BT643" s="298" t="str">
        <f>+VLOOKUP(G643,Liste!$A$7:$H$50,8,FALSE)</f>
        <v>Feuillus</v>
      </c>
      <c r="BU643" s="298">
        <f t="shared" si="189"/>
        <v>1</v>
      </c>
      <c r="BV643" s="300">
        <f t="shared" si="190"/>
        <v>0</v>
      </c>
      <c r="BW643" s="321">
        <v>0</v>
      </c>
      <c r="BX643" s="298">
        <f t="shared" si="191"/>
        <v>0.25</v>
      </c>
      <c r="BY643">
        <f t="shared" si="192"/>
        <v>0</v>
      </c>
      <c r="BZ643" s="304">
        <f t="shared" si="193"/>
        <v>0</v>
      </c>
      <c r="CB643" s="299">
        <v>0.6</v>
      </c>
      <c r="CC643" s="299">
        <v>0.4</v>
      </c>
      <c r="CD643">
        <f t="shared" si="194"/>
        <v>0</v>
      </c>
      <c r="CE643">
        <f t="shared" si="195"/>
        <v>0</v>
      </c>
      <c r="CF643">
        <f t="shared" si="196"/>
        <v>0</v>
      </c>
      <c r="CG643">
        <f t="shared" si="197"/>
        <v>0</v>
      </c>
      <c r="CH643">
        <f t="shared" si="198"/>
        <v>0</v>
      </c>
      <c r="CI643">
        <f t="shared" si="199"/>
        <v>0</v>
      </c>
      <c r="CJ643">
        <f t="shared" si="200"/>
        <v>0</v>
      </c>
      <c r="CK643">
        <f t="shared" si="201"/>
        <v>0</v>
      </c>
      <c r="CL643">
        <f t="shared" si="202"/>
        <v>0</v>
      </c>
      <c r="CM643">
        <f t="shared" si="204"/>
        <v>0</v>
      </c>
      <c r="CN643">
        <f t="shared" si="203"/>
        <v>0</v>
      </c>
      <c r="CO643">
        <f t="shared" ref="CO643:CO706" si="207">+IF(BJ643=30,CN643/30,0)</f>
        <v>0</v>
      </c>
    </row>
    <row r="644" spans="1:93" s="12" customFormat="1" ht="14.65" customHeight="1" x14ac:dyDescent="0.25">
      <c r="A644" s="4">
        <v>2021</v>
      </c>
      <c r="B644" s="318">
        <v>44264</v>
      </c>
      <c r="C644" s="4" t="s">
        <v>66</v>
      </c>
      <c r="D644" s="4" t="s">
        <v>65</v>
      </c>
      <c r="E644" s="4"/>
      <c r="F644" s="4" t="s">
        <v>90</v>
      </c>
      <c r="G644" s="5" t="s">
        <v>427</v>
      </c>
      <c r="H644" s="5" t="s">
        <v>428</v>
      </c>
      <c r="I644" s="5" t="s">
        <v>143</v>
      </c>
      <c r="J644" s="5" t="s">
        <v>10</v>
      </c>
      <c r="K644" s="5">
        <v>18</v>
      </c>
      <c r="L644" s="5">
        <v>55</v>
      </c>
      <c r="M644" s="5">
        <v>1666</v>
      </c>
      <c r="N644" s="5" t="s">
        <v>170</v>
      </c>
      <c r="O644" s="6" t="s">
        <v>81</v>
      </c>
      <c r="P644" s="6" t="s">
        <v>429</v>
      </c>
      <c r="Q644" s="6"/>
      <c r="R644" s="6"/>
      <c r="S644" s="6">
        <v>57</v>
      </c>
      <c r="T644" s="6">
        <v>19.899999999999999</v>
      </c>
      <c r="U644" s="6">
        <v>1402</v>
      </c>
      <c r="V644" s="6">
        <v>28.51</v>
      </c>
      <c r="W644" s="6">
        <v>50</v>
      </c>
      <c r="X644" s="6">
        <v>303</v>
      </c>
      <c r="Y644" s="6">
        <v>595</v>
      </c>
      <c r="Z644" s="6">
        <v>375</v>
      </c>
      <c r="AA644" s="6">
        <v>75</v>
      </c>
      <c r="AB644" s="6">
        <v>4</v>
      </c>
      <c r="AC644" s="7">
        <v>63</v>
      </c>
      <c r="AD644" s="7" t="s">
        <v>52</v>
      </c>
      <c r="AE644" s="7">
        <v>21.75</v>
      </c>
      <c r="AF644" s="7">
        <v>838</v>
      </c>
      <c r="AG644" s="7">
        <v>22.25</v>
      </c>
      <c r="AH644" s="7">
        <v>18.39</v>
      </c>
      <c r="AI644" s="7">
        <v>26.66</v>
      </c>
      <c r="AJ644" s="9">
        <v>206.51649042668001</v>
      </c>
      <c r="AK644" s="9">
        <v>218.92182269756299</v>
      </c>
      <c r="AL644" s="9">
        <v>269.357395278946</v>
      </c>
      <c r="AM644" s="9">
        <v>33.174425373966699</v>
      </c>
      <c r="AN644" s="9">
        <v>0.52657818053915395</v>
      </c>
      <c r="AO644" s="9">
        <v>0.742965035326561</v>
      </c>
      <c r="AP644" s="9">
        <v>390.37225788105002</v>
      </c>
      <c r="AQ644" s="9">
        <v>6.1963850457309597</v>
      </c>
      <c r="AR644" s="9">
        <v>12.4670293602898</v>
      </c>
      <c r="AS644" s="8" t="s">
        <v>169</v>
      </c>
      <c r="AT644" s="8" t="s">
        <v>169</v>
      </c>
      <c r="AU644" s="10" t="s">
        <v>169</v>
      </c>
      <c r="AV644" s="10">
        <v>0</v>
      </c>
      <c r="AW644" s="8"/>
      <c r="AX644" s="10" t="s">
        <v>169</v>
      </c>
      <c r="AY644" s="10"/>
      <c r="AZ644" s="10"/>
      <c r="BA644" s="10"/>
      <c r="BB644" s="8"/>
      <c r="BC644" s="8"/>
      <c r="BD644" s="8"/>
      <c r="BE644" s="8"/>
      <c r="BF644" s="12">
        <v>0.55000000000000004</v>
      </c>
      <c r="BG644" s="13">
        <v>258.02193822762399</v>
      </c>
      <c r="BH644" s="96" t="str">
        <f>+VLOOKUP(G644,Liste!$A$7:$G$50,3,FALSE)</f>
        <v>Hêtre commun</v>
      </c>
      <c r="BI644" s="96" t="str">
        <f>+VLOOKUP(H644,Liste!$B$7:$G$50,5,FALSE)</f>
        <v>GS Hêtraies et hêtraies sapinières des Pyrénées</v>
      </c>
      <c r="BJ644" s="135">
        <f t="shared" si="206"/>
        <v>63</v>
      </c>
      <c r="BK644" s="135" t="str">
        <f t="shared" ref="BK644:BK707" si="208">+_xlfn.CONCAT(BH644,"_",J644,"_",I644,"_",BI644,"_",BJ644,"_")</f>
        <v>Hêtre commun_F2_Entree 19-20m_GS Hêtraies et hêtraies sapinières des Pyrénées_63_</v>
      </c>
      <c r="BL644" s="322"/>
      <c r="BM644" s="13">
        <v>66.456918013086096</v>
      </c>
      <c r="BN644" s="13">
        <v>324.47885624071</v>
      </c>
      <c r="BO644" s="13" t="s">
        <v>169</v>
      </c>
      <c r="BP644" s="13">
        <v>300.22307244627501</v>
      </c>
      <c r="BQ644" s="13">
        <v>14.531341203567701</v>
      </c>
      <c r="BT644" s="298" t="str">
        <f>+VLOOKUP(G644,Liste!$A$7:$H$50,8,FALSE)</f>
        <v>Feuillus</v>
      </c>
      <c r="BU644" s="298">
        <f t="shared" ref="BU644:BU707" si="209">IF(BT644="Résineux",0%,100%)</f>
        <v>1</v>
      </c>
      <c r="BV644" s="300">
        <f t="shared" ref="BV644:BV707" si="210">+IF(BT644="Résineux",100%,0%)</f>
        <v>0</v>
      </c>
      <c r="BW644" s="321">
        <v>0</v>
      </c>
      <c r="BX644" s="298">
        <f t="shared" ref="BX644:BX707" si="211">+IF(BV644&lt;&gt;0,0.43,0.25)</f>
        <v>0.25</v>
      </c>
      <c r="BY644">
        <f t="shared" ref="BY644:BY707" si="212">+IF(BJ644&lt;=30,AV644*BX644,0)</f>
        <v>0</v>
      </c>
      <c r="BZ644" s="304">
        <f t="shared" ref="BZ644:BZ707" si="213">+IF(BJ644&gt;=31,0,BY644+BZ643)</f>
        <v>0</v>
      </c>
      <c r="CB644" s="299">
        <v>0.6</v>
      </c>
      <c r="CC644" s="299">
        <v>0.4</v>
      </c>
      <c r="CD644">
        <f t="shared" ref="CD644:CD707" si="214">+IF(BJ644&lt;=31,AV644*CA644*0.5,0)</f>
        <v>0</v>
      </c>
      <c r="CE644">
        <f t="shared" ref="CE644:CE707" si="215">IF(BJ644&lt;=31,AV644*CB644,0)</f>
        <v>0</v>
      </c>
      <c r="CF644">
        <f t="shared" ref="CF644:CF707" si="216">IF(BJ644&lt;=31,AV644*CC644,0)</f>
        <v>0</v>
      </c>
      <c r="CG644">
        <f t="shared" ref="CG644:CG707" si="217">CD644*44/12*0.475*BF644</f>
        <v>0</v>
      </c>
      <c r="CH644">
        <f t="shared" ref="CH644:CH707" si="218">CE644*44/12*0.475*BF644</f>
        <v>0</v>
      </c>
      <c r="CI644">
        <f t="shared" ref="CI644:CI707" si="219">CF644*44/12*0.475*BF644</f>
        <v>0</v>
      </c>
      <c r="CJ644">
        <f t="shared" ref="CJ644:CJ707" si="220">+IF(BJ644&lt;=31,CJ643*EXP(-$CJ$1)+CG643*(1-EXP(-$CJ$1))/$CJ$1,0)</f>
        <v>0</v>
      </c>
      <c r="CK644">
        <f t="shared" ref="CK644:CK707" si="221">+IF(BJ644&lt;=31,CK643*EXP(-$CK$1)+CH643*(1-EXP(-$CK$1))/$CK$1,0)</f>
        <v>0</v>
      </c>
      <c r="CL644">
        <f t="shared" ref="CL644:CL707" si="222">+IF(BJ644&lt;=31,CL643*EXP(-$CL$1)+CI643*(1-EXP(-$CL$1))/$CL$1,0)</f>
        <v>0</v>
      </c>
      <c r="CM644">
        <f t="shared" si="204"/>
        <v>0</v>
      </c>
      <c r="CN644">
        <f t="shared" ref="CN644:CN707" si="223">+IF(BJ644&lt;=31,CM644+CN643,0)</f>
        <v>0</v>
      </c>
      <c r="CO644">
        <f t="shared" si="207"/>
        <v>0</v>
      </c>
    </row>
    <row r="645" spans="1:93" s="12" customFormat="1" ht="14.65" customHeight="1" x14ac:dyDescent="0.25">
      <c r="A645" s="4">
        <v>2021</v>
      </c>
      <c r="B645" s="318">
        <v>44264</v>
      </c>
      <c r="C645" s="4" t="s">
        <v>66</v>
      </c>
      <c r="D645" s="4" t="s">
        <v>65</v>
      </c>
      <c r="E645" s="4"/>
      <c r="F645" s="4" t="s">
        <v>90</v>
      </c>
      <c r="G645" s="5" t="s">
        <v>427</v>
      </c>
      <c r="H645" s="5" t="s">
        <v>428</v>
      </c>
      <c r="I645" s="5" t="s">
        <v>143</v>
      </c>
      <c r="J645" s="5" t="s">
        <v>10</v>
      </c>
      <c r="K645" s="5">
        <v>18</v>
      </c>
      <c r="L645" s="5">
        <v>55</v>
      </c>
      <c r="M645" s="5">
        <v>1666</v>
      </c>
      <c r="N645" s="5" t="s">
        <v>170</v>
      </c>
      <c r="O645" s="6" t="s">
        <v>81</v>
      </c>
      <c r="P645" s="6" t="s">
        <v>429</v>
      </c>
      <c r="Q645" s="6"/>
      <c r="R645" s="6"/>
      <c r="S645" s="6">
        <v>57</v>
      </c>
      <c r="T645" s="6">
        <v>19.899999999999999</v>
      </c>
      <c r="U645" s="6">
        <v>1402</v>
      </c>
      <c r="V645" s="6">
        <v>28.51</v>
      </c>
      <c r="W645" s="6">
        <v>50</v>
      </c>
      <c r="X645" s="6">
        <v>303</v>
      </c>
      <c r="Y645" s="6">
        <v>595</v>
      </c>
      <c r="Z645" s="6">
        <v>375</v>
      </c>
      <c r="AA645" s="6">
        <v>75</v>
      </c>
      <c r="AB645" s="6">
        <v>4</v>
      </c>
      <c r="AC645" s="7">
        <v>66</v>
      </c>
      <c r="AD645" s="7" t="s">
        <v>52</v>
      </c>
      <c r="AE645" s="7">
        <v>22.61</v>
      </c>
      <c r="AF645" s="7">
        <v>838</v>
      </c>
      <c r="AG645" s="7">
        <v>24.48</v>
      </c>
      <c r="AH645" s="7">
        <v>19.28</v>
      </c>
      <c r="AI645" s="7">
        <v>28.09</v>
      </c>
      <c r="AJ645" s="9">
        <v>237.69954812147901</v>
      </c>
      <c r="AK645" s="9">
        <v>252.44565596215</v>
      </c>
      <c r="AL645" s="9">
        <v>306.75848335981499</v>
      </c>
      <c r="AM645" s="9">
        <v>35.403320479946402</v>
      </c>
      <c r="AN645" s="9">
        <v>0.53641394666585396</v>
      </c>
      <c r="AO645" s="9">
        <v>0.71020791052696597</v>
      </c>
      <c r="AP645" s="9">
        <v>427.77334596191997</v>
      </c>
      <c r="AQ645" s="9">
        <v>6.4814143327563603</v>
      </c>
      <c r="AR645" s="9">
        <v>12.1323212617118</v>
      </c>
      <c r="AS645" s="8" t="s">
        <v>169</v>
      </c>
      <c r="AT645" s="8" t="s">
        <v>169</v>
      </c>
      <c r="AU645" s="10" t="s">
        <v>169</v>
      </c>
      <c r="AV645" s="10">
        <v>0</v>
      </c>
      <c r="AW645" s="8"/>
      <c r="AX645" s="10" t="s">
        <v>169</v>
      </c>
      <c r="AY645" s="10"/>
      <c r="AZ645" s="10"/>
      <c r="BA645" s="10"/>
      <c r="BB645" s="8"/>
      <c r="BC645" s="8"/>
      <c r="BD645" s="8"/>
      <c r="BE645" s="8"/>
      <c r="BF645" s="12">
        <v>0.55000000000000004</v>
      </c>
      <c r="BG645" s="13">
        <v>293.84906385175702</v>
      </c>
      <c r="BH645" s="96" t="str">
        <f>+VLOOKUP(G645,Liste!$A$7:$G$50,3,FALSE)</f>
        <v>Hêtre commun</v>
      </c>
      <c r="BI645" s="96" t="str">
        <f>+VLOOKUP(H645,Liste!$B$7:$G$50,5,FALSE)</f>
        <v>GS Hêtraies et hêtraies sapinières des Pyrénées</v>
      </c>
      <c r="BJ645" s="135">
        <f t="shared" si="206"/>
        <v>66</v>
      </c>
      <c r="BK645" s="135" t="str">
        <f t="shared" si="208"/>
        <v>Hêtre commun_F2_Entree 19-20m_GS Hêtraies et hêtraies sapinières des Pyrénées_66_</v>
      </c>
      <c r="BL645" s="322"/>
      <c r="BM645" s="13">
        <v>74.547835317758796</v>
      </c>
      <c r="BN645" s="13">
        <v>368.396899169515</v>
      </c>
      <c r="BO645" s="13" t="s">
        <v>169</v>
      </c>
      <c r="BP645" s="13">
        <v>300.22307244627501</v>
      </c>
      <c r="BQ645" s="13">
        <v>14.1159883383562</v>
      </c>
      <c r="BT645" s="298" t="str">
        <f>+VLOOKUP(G645,Liste!$A$7:$H$50,8,FALSE)</f>
        <v>Feuillus</v>
      </c>
      <c r="BU645" s="298">
        <f t="shared" si="209"/>
        <v>1</v>
      </c>
      <c r="BV645" s="300">
        <f t="shared" si="210"/>
        <v>0</v>
      </c>
      <c r="BW645" s="321">
        <v>0</v>
      </c>
      <c r="BX645" s="298">
        <f t="shared" si="211"/>
        <v>0.25</v>
      </c>
      <c r="BY645">
        <f t="shared" si="212"/>
        <v>0</v>
      </c>
      <c r="BZ645" s="304">
        <f t="shared" si="213"/>
        <v>0</v>
      </c>
      <c r="CB645" s="299">
        <v>0.6</v>
      </c>
      <c r="CC645" s="299">
        <v>0.4</v>
      </c>
      <c r="CD645">
        <f t="shared" si="214"/>
        <v>0</v>
      </c>
      <c r="CE645">
        <f t="shared" si="215"/>
        <v>0</v>
      </c>
      <c r="CF645">
        <f t="shared" si="216"/>
        <v>0</v>
      </c>
      <c r="CG645">
        <f t="shared" si="217"/>
        <v>0</v>
      </c>
      <c r="CH645">
        <f t="shared" si="218"/>
        <v>0</v>
      </c>
      <c r="CI645">
        <f t="shared" si="219"/>
        <v>0</v>
      </c>
      <c r="CJ645">
        <f t="shared" si="220"/>
        <v>0</v>
      </c>
      <c r="CK645">
        <f t="shared" si="221"/>
        <v>0</v>
      </c>
      <c r="CL645">
        <f t="shared" si="222"/>
        <v>0</v>
      </c>
      <c r="CM645">
        <f t="shared" ref="CM645:CM708" si="224">+CJ645+CK645+CL645</f>
        <v>0</v>
      </c>
      <c r="CN645">
        <f t="shared" si="223"/>
        <v>0</v>
      </c>
      <c r="CO645">
        <f t="shared" si="207"/>
        <v>0</v>
      </c>
    </row>
    <row r="646" spans="1:93" s="12" customFormat="1" ht="14.65" customHeight="1" x14ac:dyDescent="0.25">
      <c r="A646" s="4">
        <v>2021</v>
      </c>
      <c r="B646" s="318">
        <v>44301</v>
      </c>
      <c r="C646" s="4" t="s">
        <v>66</v>
      </c>
      <c r="D646" s="4" t="s">
        <v>65</v>
      </c>
      <c r="E646" s="4"/>
      <c r="F646" s="4" t="s">
        <v>90</v>
      </c>
      <c r="G646" s="5" t="s">
        <v>427</v>
      </c>
      <c r="H646" s="5" t="s">
        <v>428</v>
      </c>
      <c r="I646" s="5" t="s">
        <v>143</v>
      </c>
      <c r="J646" s="5" t="s">
        <v>10</v>
      </c>
      <c r="K646" s="5">
        <v>18</v>
      </c>
      <c r="L646" s="5">
        <v>55</v>
      </c>
      <c r="M646" s="5">
        <v>1666</v>
      </c>
      <c r="N646" s="5" t="s">
        <v>170</v>
      </c>
      <c r="O646" s="6" t="s">
        <v>81</v>
      </c>
      <c r="P646" s="6" t="s">
        <v>429</v>
      </c>
      <c r="Q646" s="6"/>
      <c r="R646" s="6"/>
      <c r="S646" s="6">
        <v>57</v>
      </c>
      <c r="T646" s="6">
        <v>19.899999999999999</v>
      </c>
      <c r="U646" s="6">
        <v>1402</v>
      </c>
      <c r="V646" s="6">
        <v>28.51</v>
      </c>
      <c r="W646" s="6">
        <v>50</v>
      </c>
      <c r="X646" s="6">
        <v>303</v>
      </c>
      <c r="Y646" s="6">
        <v>595</v>
      </c>
      <c r="Z646" s="6">
        <v>375</v>
      </c>
      <c r="AA646" s="6">
        <v>75</v>
      </c>
      <c r="AB646" s="6">
        <v>4</v>
      </c>
      <c r="AC646" s="7">
        <v>66</v>
      </c>
      <c r="AD646" s="7" t="s">
        <v>53</v>
      </c>
      <c r="AE646" s="7">
        <v>22.61</v>
      </c>
      <c r="AF646" s="7">
        <v>600</v>
      </c>
      <c r="AG646" s="7">
        <v>17.420000000000002</v>
      </c>
      <c r="AH646" s="7">
        <v>19.23</v>
      </c>
      <c r="AI646" s="7">
        <v>26.63</v>
      </c>
      <c r="AJ646" s="9">
        <v>168.99943704851501</v>
      </c>
      <c r="AK646" s="9">
        <v>179.19233213966001</v>
      </c>
      <c r="AL646" s="9">
        <v>217.85932014056101</v>
      </c>
      <c r="AM646" s="9">
        <v>35.403320479946402</v>
      </c>
      <c r="AN646" s="9">
        <v>0.53641394666585396</v>
      </c>
      <c r="AO646" s="9">
        <v>0.71020791052696597</v>
      </c>
      <c r="AP646" s="9">
        <v>427.77334596191997</v>
      </c>
      <c r="AQ646" s="9">
        <v>6.4814143327563603</v>
      </c>
      <c r="AR646" s="9">
        <v>12.1323212617118</v>
      </c>
      <c r="AS646" s="8">
        <v>238</v>
      </c>
      <c r="AT646" s="8">
        <v>7.0599999999999987</v>
      </c>
      <c r="AU646" s="10">
        <v>19.434301290026433</v>
      </c>
      <c r="AV646" s="10">
        <v>68.700111072964006</v>
      </c>
      <c r="AW646" s="10">
        <v>1.01</v>
      </c>
      <c r="AX646" s="10">
        <v>0.28865592887800001</v>
      </c>
      <c r="AY646" s="10"/>
      <c r="AZ646" s="10"/>
      <c r="BA646" s="10"/>
      <c r="BB646" s="8"/>
      <c r="BC646" s="8"/>
      <c r="BD646" s="8"/>
      <c r="BE646" s="8"/>
      <c r="BF646" s="12">
        <v>0.55000000000000004</v>
      </c>
      <c r="BG646" s="13">
        <v>208.69107375131199</v>
      </c>
      <c r="BH646" s="96" t="str">
        <f>+VLOOKUP(G646,Liste!$A$7:$G$50,3,FALSE)</f>
        <v>Hêtre commun</v>
      </c>
      <c r="BI646" s="96" t="str">
        <f>+VLOOKUP(H646,Liste!$B$7:$G$50,5,FALSE)</f>
        <v>GS Hêtraies et hêtraies sapinières des Pyrénées</v>
      </c>
      <c r="BJ646" s="135">
        <f t="shared" si="206"/>
        <v>66</v>
      </c>
      <c r="BK646" s="135" t="str">
        <f t="shared" si="208"/>
        <v>Hêtre commun_F2_Entree 19-20m_GS Hêtraies et hêtraies sapinières des Pyrénées_66_</v>
      </c>
      <c r="BL646" s="322"/>
      <c r="BM646" s="13">
        <v>55.095232261122199</v>
      </c>
      <c r="BN646" s="13">
        <v>263.78630601243498</v>
      </c>
      <c r="BO646" s="13">
        <v>104.61059315708002</v>
      </c>
      <c r="BP646" s="13">
        <v>300.22307244627501</v>
      </c>
      <c r="BQ646" s="13">
        <v>14.1159883383562</v>
      </c>
      <c r="BT646" s="298" t="str">
        <f>+VLOOKUP(G646,Liste!$A$7:$H$50,8,FALSE)</f>
        <v>Feuillus</v>
      </c>
      <c r="BU646" s="298">
        <f t="shared" si="209"/>
        <v>1</v>
      </c>
      <c r="BV646" s="300">
        <f t="shared" si="210"/>
        <v>0</v>
      </c>
      <c r="BW646" s="321">
        <v>0</v>
      </c>
      <c r="BX646" s="298">
        <f t="shared" si="211"/>
        <v>0.25</v>
      </c>
      <c r="BY646">
        <f t="shared" si="212"/>
        <v>0</v>
      </c>
      <c r="BZ646" s="304">
        <f t="shared" si="213"/>
        <v>0</v>
      </c>
      <c r="CB646" s="299">
        <v>0.6</v>
      </c>
      <c r="CC646" s="299">
        <v>0.4</v>
      </c>
      <c r="CD646">
        <f t="shared" si="214"/>
        <v>0</v>
      </c>
      <c r="CE646">
        <f t="shared" si="215"/>
        <v>0</v>
      </c>
      <c r="CF646">
        <f t="shared" si="216"/>
        <v>0</v>
      </c>
      <c r="CG646">
        <f t="shared" si="217"/>
        <v>0</v>
      </c>
      <c r="CH646">
        <f t="shared" si="218"/>
        <v>0</v>
      </c>
      <c r="CI646">
        <f t="shared" si="219"/>
        <v>0</v>
      </c>
      <c r="CJ646">
        <f t="shared" si="220"/>
        <v>0</v>
      </c>
      <c r="CK646">
        <f t="shared" si="221"/>
        <v>0</v>
      </c>
      <c r="CL646">
        <f t="shared" si="222"/>
        <v>0</v>
      </c>
      <c r="CM646">
        <f t="shared" si="224"/>
        <v>0</v>
      </c>
      <c r="CN646">
        <f t="shared" si="223"/>
        <v>0</v>
      </c>
      <c r="CO646">
        <f t="shared" si="207"/>
        <v>0</v>
      </c>
    </row>
    <row r="647" spans="1:93" s="12" customFormat="1" ht="14.65" customHeight="1" x14ac:dyDescent="0.25">
      <c r="A647" s="4">
        <v>2021</v>
      </c>
      <c r="B647" s="318">
        <v>44301</v>
      </c>
      <c r="C647" s="4" t="s">
        <v>66</v>
      </c>
      <c r="D647" s="4" t="s">
        <v>65</v>
      </c>
      <c r="E647" s="4"/>
      <c r="F647" s="4" t="s">
        <v>90</v>
      </c>
      <c r="G647" s="5" t="s">
        <v>427</v>
      </c>
      <c r="H647" s="5" t="s">
        <v>428</v>
      </c>
      <c r="I647" s="5" t="s">
        <v>143</v>
      </c>
      <c r="J647" s="5" t="s">
        <v>10</v>
      </c>
      <c r="K647" s="5">
        <v>18</v>
      </c>
      <c r="L647" s="5">
        <v>55</v>
      </c>
      <c r="M647" s="5">
        <v>1666</v>
      </c>
      <c r="N647" s="5" t="s">
        <v>170</v>
      </c>
      <c r="O647" s="6" t="s">
        <v>81</v>
      </c>
      <c r="P647" s="6" t="s">
        <v>429</v>
      </c>
      <c r="Q647" s="6"/>
      <c r="R647" s="6"/>
      <c r="S647" s="6">
        <v>57</v>
      </c>
      <c r="T647" s="6">
        <v>19.899999999999999</v>
      </c>
      <c r="U647" s="6">
        <v>1402</v>
      </c>
      <c r="V647" s="6">
        <v>28.51</v>
      </c>
      <c r="W647" s="6">
        <v>50</v>
      </c>
      <c r="X647" s="6">
        <v>303</v>
      </c>
      <c r="Y647" s="6">
        <v>595</v>
      </c>
      <c r="Z647" s="6">
        <v>375</v>
      </c>
      <c r="AA647" s="6">
        <v>75</v>
      </c>
      <c r="AB647" s="6">
        <v>4</v>
      </c>
      <c r="AC647" s="7">
        <v>69</v>
      </c>
      <c r="AD647" s="7" t="s">
        <v>52</v>
      </c>
      <c r="AE647" s="7">
        <v>23.43</v>
      </c>
      <c r="AF647" s="7">
        <v>600</v>
      </c>
      <c r="AG647" s="7">
        <v>19.55</v>
      </c>
      <c r="AH647" s="7">
        <v>20.37</v>
      </c>
      <c r="AI647" s="7">
        <v>28.25</v>
      </c>
      <c r="AJ647" s="9">
        <v>199.42268209801901</v>
      </c>
      <c r="AK647" s="9">
        <v>211.905152547207</v>
      </c>
      <c r="AL647" s="9">
        <v>254.25628392569601</v>
      </c>
      <c r="AM647" s="9">
        <v>37.533944211527299</v>
      </c>
      <c r="AN647" s="9">
        <v>0.54397020596416401</v>
      </c>
      <c r="AO647" s="9">
        <v>0.68374866845218696</v>
      </c>
      <c r="AP647" s="9">
        <v>464.170309747055</v>
      </c>
      <c r="AQ647" s="9">
        <v>6.7271059383631204</v>
      </c>
      <c r="AR647" s="9">
        <v>11.900012841977301</v>
      </c>
      <c r="AS647" s="8" t="s">
        <v>169</v>
      </c>
      <c r="AT647" s="8" t="s">
        <v>169</v>
      </c>
      <c r="AU647" s="10" t="s">
        <v>169</v>
      </c>
      <c r="AV647" s="10">
        <v>0</v>
      </c>
      <c r="AW647" s="8"/>
      <c r="AX647" s="10" t="s">
        <v>169</v>
      </c>
      <c r="AY647" s="10"/>
      <c r="AZ647" s="10"/>
      <c r="BA647" s="10"/>
      <c r="BB647" s="8"/>
      <c r="BC647" s="8"/>
      <c r="BD647" s="8"/>
      <c r="BE647" s="8"/>
      <c r="BF647" s="12">
        <v>0.55000000000000004</v>
      </c>
      <c r="BG647" s="13">
        <v>243.55633197715699</v>
      </c>
      <c r="BH647" s="96" t="str">
        <f>+VLOOKUP(G647,Liste!$A$7:$G$50,3,FALSE)</f>
        <v>Hêtre commun</v>
      </c>
      <c r="BI647" s="96" t="str">
        <f>+VLOOKUP(H647,Liste!$B$7:$G$50,5,FALSE)</f>
        <v>GS Hêtraies et hêtraies sapinières des Pyrénées</v>
      </c>
      <c r="BJ647" s="135">
        <f t="shared" si="206"/>
        <v>69</v>
      </c>
      <c r="BK647" s="135" t="str">
        <f t="shared" si="208"/>
        <v>Hêtre commun_F2_Entree 19-20m_GS Hêtraies et hêtraies sapinières des Pyrénées_69_</v>
      </c>
      <c r="BL647" s="322"/>
      <c r="BM647" s="13">
        <v>63.153823252196702</v>
      </c>
      <c r="BN647" s="13">
        <v>306.71015522935397</v>
      </c>
      <c r="BO647" s="13" t="s">
        <v>169</v>
      </c>
      <c r="BP647" s="13">
        <v>300.22307244627501</v>
      </c>
      <c r="BQ647" s="13">
        <v>13.823645959715799</v>
      </c>
      <c r="BT647" s="298" t="str">
        <f>+VLOOKUP(G647,Liste!$A$7:$H$50,8,FALSE)</f>
        <v>Feuillus</v>
      </c>
      <c r="BU647" s="298">
        <f t="shared" si="209"/>
        <v>1</v>
      </c>
      <c r="BV647" s="300">
        <f t="shared" si="210"/>
        <v>0</v>
      </c>
      <c r="BW647" s="321">
        <v>0</v>
      </c>
      <c r="BX647" s="298">
        <f t="shared" si="211"/>
        <v>0.25</v>
      </c>
      <c r="BY647">
        <f t="shared" si="212"/>
        <v>0</v>
      </c>
      <c r="BZ647" s="304">
        <f t="shared" si="213"/>
        <v>0</v>
      </c>
      <c r="CB647" s="299">
        <v>0.6</v>
      </c>
      <c r="CC647" s="299">
        <v>0.4</v>
      </c>
      <c r="CD647">
        <f t="shared" si="214"/>
        <v>0</v>
      </c>
      <c r="CE647">
        <f t="shared" si="215"/>
        <v>0</v>
      </c>
      <c r="CF647">
        <f t="shared" si="216"/>
        <v>0</v>
      </c>
      <c r="CG647">
        <f t="shared" si="217"/>
        <v>0</v>
      </c>
      <c r="CH647">
        <f t="shared" si="218"/>
        <v>0</v>
      </c>
      <c r="CI647">
        <f t="shared" si="219"/>
        <v>0</v>
      </c>
      <c r="CJ647">
        <f t="shared" si="220"/>
        <v>0</v>
      </c>
      <c r="CK647">
        <f t="shared" si="221"/>
        <v>0</v>
      </c>
      <c r="CL647">
        <f t="shared" si="222"/>
        <v>0</v>
      </c>
      <c r="CM647">
        <f t="shared" si="224"/>
        <v>0</v>
      </c>
      <c r="CN647">
        <f t="shared" si="223"/>
        <v>0</v>
      </c>
      <c r="CO647">
        <f t="shared" si="207"/>
        <v>0</v>
      </c>
    </row>
    <row r="648" spans="1:93" s="12" customFormat="1" ht="14.65" customHeight="1" x14ac:dyDescent="0.25">
      <c r="A648" s="4">
        <v>2021</v>
      </c>
      <c r="B648" s="318">
        <v>44301</v>
      </c>
      <c r="C648" s="4" t="s">
        <v>66</v>
      </c>
      <c r="D648" s="4" t="s">
        <v>65</v>
      </c>
      <c r="E648" s="4"/>
      <c r="F648" s="4" t="s">
        <v>90</v>
      </c>
      <c r="G648" s="5" t="s">
        <v>427</v>
      </c>
      <c r="H648" s="5" t="s">
        <v>428</v>
      </c>
      <c r="I648" s="5" t="s">
        <v>143</v>
      </c>
      <c r="J648" s="5" t="s">
        <v>10</v>
      </c>
      <c r="K648" s="5">
        <v>18</v>
      </c>
      <c r="L648" s="5">
        <v>55</v>
      </c>
      <c r="M648" s="5">
        <v>1666</v>
      </c>
      <c r="N648" s="5" t="s">
        <v>170</v>
      </c>
      <c r="O648" s="6" t="s">
        <v>81</v>
      </c>
      <c r="P648" s="6" t="s">
        <v>429</v>
      </c>
      <c r="Q648" s="6"/>
      <c r="R648" s="6"/>
      <c r="S648" s="6">
        <v>57</v>
      </c>
      <c r="T648" s="6">
        <v>19.899999999999999</v>
      </c>
      <c r="U648" s="6">
        <v>1402</v>
      </c>
      <c r="V648" s="6">
        <v>28.51</v>
      </c>
      <c r="W648" s="6">
        <v>50</v>
      </c>
      <c r="X648" s="6">
        <v>303</v>
      </c>
      <c r="Y648" s="6">
        <v>595</v>
      </c>
      <c r="Z648" s="6">
        <v>375</v>
      </c>
      <c r="AA648" s="6">
        <v>75</v>
      </c>
      <c r="AB648" s="6">
        <v>4</v>
      </c>
      <c r="AC648" s="7">
        <v>72</v>
      </c>
      <c r="AD648" s="7" t="s">
        <v>52</v>
      </c>
      <c r="AE648" s="7">
        <v>24.22</v>
      </c>
      <c r="AF648" s="7">
        <v>600</v>
      </c>
      <c r="AG648" s="7">
        <v>21.61</v>
      </c>
      <c r="AH648" s="7">
        <v>21.41</v>
      </c>
      <c r="AI648" s="7">
        <v>29.76</v>
      </c>
      <c r="AJ648" s="9">
        <v>229.1894250249</v>
      </c>
      <c r="AK648" s="9">
        <v>244.068509370697</v>
      </c>
      <c r="AL648" s="9">
        <v>289.95632245162801</v>
      </c>
      <c r="AM648" s="9">
        <v>39.585190216883802</v>
      </c>
      <c r="AN648" s="9">
        <v>0.54979430856783096</v>
      </c>
      <c r="AO648" s="9">
        <v>0.66184155748053797</v>
      </c>
      <c r="AP648" s="9">
        <v>499.87034827298697</v>
      </c>
      <c r="AQ648" s="9">
        <v>6.9426437260137099</v>
      </c>
      <c r="AR648" s="9">
        <v>11.9387706454067</v>
      </c>
      <c r="AS648" s="8" t="s">
        <v>169</v>
      </c>
      <c r="AT648" s="8" t="s">
        <v>169</v>
      </c>
      <c r="AU648" s="10" t="s">
        <v>169</v>
      </c>
      <c r="AV648" s="10">
        <v>0</v>
      </c>
      <c r="AW648" s="8"/>
      <c r="AX648" s="10" t="s">
        <v>169</v>
      </c>
      <c r="AY648" s="10"/>
      <c r="AZ648" s="10"/>
      <c r="BA648" s="10"/>
      <c r="BB648" s="8"/>
      <c r="BC648" s="8"/>
      <c r="BD648" s="8"/>
      <c r="BE648" s="8"/>
      <c r="BF648" s="12">
        <v>0.55000000000000004</v>
      </c>
      <c r="BG648" s="13">
        <v>277.75399388178897</v>
      </c>
      <c r="BH648" s="96" t="str">
        <f>+VLOOKUP(G648,Liste!$A$7:$G$50,3,FALSE)</f>
        <v>Hêtre commun</v>
      </c>
      <c r="BI648" s="96" t="str">
        <f>+VLOOKUP(H648,Liste!$B$7:$G$50,5,FALSE)</f>
        <v>GS Hêtraies et hêtraies sapinières des Pyrénées</v>
      </c>
      <c r="BJ648" s="135">
        <f t="shared" si="206"/>
        <v>72</v>
      </c>
      <c r="BK648" s="135" t="str">
        <f t="shared" si="208"/>
        <v>Hêtre commun_F2_Entree 19-20m_GS Hêtraies et hêtraies sapinières des Pyrénées_72_</v>
      </c>
      <c r="BL648" s="322"/>
      <c r="BM648" s="13">
        <v>70.928152485693005</v>
      </c>
      <c r="BN648" s="13">
        <v>348.68214636748201</v>
      </c>
      <c r="BO648" s="13" t="s">
        <v>169</v>
      </c>
      <c r="BP648" s="13">
        <v>300.22307244627501</v>
      </c>
      <c r="BQ648" s="13">
        <v>13.8484833574131</v>
      </c>
      <c r="BT648" s="298" t="str">
        <f>+VLOOKUP(G648,Liste!$A$7:$H$50,8,FALSE)</f>
        <v>Feuillus</v>
      </c>
      <c r="BU648" s="298">
        <f t="shared" si="209"/>
        <v>1</v>
      </c>
      <c r="BV648" s="300">
        <f t="shared" si="210"/>
        <v>0</v>
      </c>
      <c r="BW648" s="321">
        <v>0</v>
      </c>
      <c r="BX648" s="298">
        <f t="shared" si="211"/>
        <v>0.25</v>
      </c>
      <c r="BY648">
        <f t="shared" si="212"/>
        <v>0</v>
      </c>
      <c r="BZ648" s="304">
        <f t="shared" si="213"/>
        <v>0</v>
      </c>
      <c r="CB648" s="299">
        <v>0.6</v>
      </c>
      <c r="CC648" s="299">
        <v>0.4</v>
      </c>
      <c r="CD648">
        <f t="shared" si="214"/>
        <v>0</v>
      </c>
      <c r="CE648">
        <f t="shared" si="215"/>
        <v>0</v>
      </c>
      <c r="CF648">
        <f t="shared" si="216"/>
        <v>0</v>
      </c>
      <c r="CG648">
        <f t="shared" si="217"/>
        <v>0</v>
      </c>
      <c r="CH648">
        <f t="shared" si="218"/>
        <v>0</v>
      </c>
      <c r="CI648">
        <f t="shared" si="219"/>
        <v>0</v>
      </c>
      <c r="CJ648">
        <f t="shared" si="220"/>
        <v>0</v>
      </c>
      <c r="CK648">
        <f t="shared" si="221"/>
        <v>0</v>
      </c>
      <c r="CL648">
        <f t="shared" si="222"/>
        <v>0</v>
      </c>
      <c r="CM648">
        <f t="shared" si="224"/>
        <v>0</v>
      </c>
      <c r="CN648">
        <f t="shared" si="223"/>
        <v>0</v>
      </c>
      <c r="CO648">
        <f t="shared" si="207"/>
        <v>0</v>
      </c>
    </row>
    <row r="649" spans="1:93" s="12" customFormat="1" ht="14.65" customHeight="1" x14ac:dyDescent="0.25">
      <c r="A649" s="4">
        <v>2021</v>
      </c>
      <c r="B649" s="318">
        <v>44301</v>
      </c>
      <c r="C649" s="4" t="s">
        <v>66</v>
      </c>
      <c r="D649" s="4" t="s">
        <v>65</v>
      </c>
      <c r="E649" s="4"/>
      <c r="F649" s="4" t="s">
        <v>90</v>
      </c>
      <c r="G649" s="5" t="s">
        <v>427</v>
      </c>
      <c r="H649" s="5" t="s">
        <v>428</v>
      </c>
      <c r="I649" s="5" t="s">
        <v>143</v>
      </c>
      <c r="J649" s="5" t="s">
        <v>10</v>
      </c>
      <c r="K649" s="5">
        <v>18</v>
      </c>
      <c r="L649" s="5">
        <v>55</v>
      </c>
      <c r="M649" s="5">
        <v>1666</v>
      </c>
      <c r="N649" s="5" t="s">
        <v>170</v>
      </c>
      <c r="O649" s="6" t="s">
        <v>81</v>
      </c>
      <c r="P649" s="6" t="s">
        <v>429</v>
      </c>
      <c r="Q649" s="6"/>
      <c r="R649" s="6"/>
      <c r="S649" s="6">
        <v>57</v>
      </c>
      <c r="T649" s="6">
        <v>19.899999999999999</v>
      </c>
      <c r="U649" s="6">
        <v>1402</v>
      </c>
      <c r="V649" s="6">
        <v>28.51</v>
      </c>
      <c r="W649" s="6">
        <v>50</v>
      </c>
      <c r="X649" s="6">
        <v>303</v>
      </c>
      <c r="Y649" s="6">
        <v>595</v>
      </c>
      <c r="Z649" s="6">
        <v>375</v>
      </c>
      <c r="AA649" s="6">
        <v>75</v>
      </c>
      <c r="AB649" s="6">
        <v>4</v>
      </c>
      <c r="AC649" s="7">
        <v>75</v>
      </c>
      <c r="AD649" s="7" t="s">
        <v>52</v>
      </c>
      <c r="AE649" s="7">
        <v>24.96</v>
      </c>
      <c r="AF649" s="7">
        <v>600</v>
      </c>
      <c r="AG649" s="7">
        <v>23.59</v>
      </c>
      <c r="AH649" s="7">
        <v>22.37</v>
      </c>
      <c r="AI649" s="7">
        <v>31.17</v>
      </c>
      <c r="AJ649" s="9">
        <v>259.161154596431</v>
      </c>
      <c r="AK649" s="9">
        <v>276.47172481544698</v>
      </c>
      <c r="AL649" s="9">
        <v>325.772634387849</v>
      </c>
      <c r="AM649" s="9">
        <v>41.570714889325501</v>
      </c>
      <c r="AN649" s="9">
        <v>0.55427619852433896</v>
      </c>
      <c r="AO649" s="9">
        <v>0.62837301117056199</v>
      </c>
      <c r="AP649" s="9">
        <v>535.68666020920705</v>
      </c>
      <c r="AQ649" s="9">
        <v>7.1424888027894298</v>
      </c>
      <c r="AR649" s="9">
        <v>11.446013323557301</v>
      </c>
      <c r="AS649" s="8" t="s">
        <v>169</v>
      </c>
      <c r="AT649" s="8" t="s">
        <v>169</v>
      </c>
      <c r="AU649" s="10" t="s">
        <v>169</v>
      </c>
      <c r="AV649" s="10">
        <v>0</v>
      </c>
      <c r="AW649" s="8"/>
      <c r="AX649" s="10" t="s">
        <v>169</v>
      </c>
      <c r="AY649" s="10"/>
      <c r="AZ649" s="10"/>
      <c r="BA649" s="10"/>
      <c r="BB649" s="8"/>
      <c r="BC649" s="8"/>
      <c r="BD649" s="8"/>
      <c r="BE649" s="8"/>
      <c r="BF649" s="12">
        <v>0.55000000000000004</v>
      </c>
      <c r="BG649" s="13">
        <v>312.06303602402699</v>
      </c>
      <c r="BH649" s="96" t="str">
        <f>+VLOOKUP(G649,Liste!$A$7:$G$50,3,FALSE)</f>
        <v>Hêtre commun</v>
      </c>
      <c r="BI649" s="96" t="str">
        <f>+VLOOKUP(H649,Liste!$B$7:$G$50,5,FALSE)</f>
        <v>GS Hêtraies et hêtraies sapinières des Pyrénées</v>
      </c>
      <c r="BJ649" s="135">
        <f t="shared" si="206"/>
        <v>75</v>
      </c>
      <c r="BK649" s="135" t="str">
        <f t="shared" si="208"/>
        <v>Hêtre commun_F2_Entree 19-20m_GS Hêtraies et hêtraies sapinières des Pyrénées_75_</v>
      </c>
      <c r="BL649" s="322"/>
      <c r="BM649" s="13">
        <v>78.616357466051596</v>
      </c>
      <c r="BN649" s="13">
        <v>390.67939349007798</v>
      </c>
      <c r="BO649" s="13" t="s">
        <v>169</v>
      </c>
      <c r="BP649" s="13">
        <v>300.22307244627501</v>
      </c>
      <c r="BQ649" s="13">
        <v>13.2593158599625</v>
      </c>
      <c r="BT649" s="298" t="str">
        <f>+VLOOKUP(G649,Liste!$A$7:$H$50,8,FALSE)</f>
        <v>Feuillus</v>
      </c>
      <c r="BU649" s="298">
        <f t="shared" si="209"/>
        <v>1</v>
      </c>
      <c r="BV649" s="300">
        <f t="shared" si="210"/>
        <v>0</v>
      </c>
      <c r="BW649" s="321">
        <v>0</v>
      </c>
      <c r="BX649" s="298">
        <f t="shared" si="211"/>
        <v>0.25</v>
      </c>
      <c r="BY649">
        <f t="shared" si="212"/>
        <v>0</v>
      </c>
      <c r="BZ649" s="304">
        <f t="shared" si="213"/>
        <v>0</v>
      </c>
      <c r="CB649" s="299">
        <v>0.6</v>
      </c>
      <c r="CC649" s="299">
        <v>0.4</v>
      </c>
      <c r="CD649">
        <f t="shared" si="214"/>
        <v>0</v>
      </c>
      <c r="CE649">
        <f t="shared" si="215"/>
        <v>0</v>
      </c>
      <c r="CF649">
        <f t="shared" si="216"/>
        <v>0</v>
      </c>
      <c r="CG649">
        <f t="shared" si="217"/>
        <v>0</v>
      </c>
      <c r="CH649">
        <f t="shared" si="218"/>
        <v>0</v>
      </c>
      <c r="CI649">
        <f t="shared" si="219"/>
        <v>0</v>
      </c>
      <c r="CJ649">
        <f t="shared" si="220"/>
        <v>0</v>
      </c>
      <c r="CK649">
        <f t="shared" si="221"/>
        <v>0</v>
      </c>
      <c r="CL649">
        <f t="shared" si="222"/>
        <v>0</v>
      </c>
      <c r="CM649">
        <f t="shared" si="224"/>
        <v>0</v>
      </c>
      <c r="CN649">
        <f t="shared" si="223"/>
        <v>0</v>
      </c>
      <c r="CO649">
        <f t="shared" si="207"/>
        <v>0</v>
      </c>
    </row>
    <row r="650" spans="1:93" s="12" customFormat="1" ht="14.65" customHeight="1" x14ac:dyDescent="0.25">
      <c r="A650" s="4">
        <v>2021</v>
      </c>
      <c r="B650" s="318">
        <v>44301</v>
      </c>
      <c r="C650" s="4" t="s">
        <v>66</v>
      </c>
      <c r="D650" s="4" t="s">
        <v>65</v>
      </c>
      <c r="E650" s="4"/>
      <c r="F650" s="4" t="s">
        <v>90</v>
      </c>
      <c r="G650" s="5" t="s">
        <v>427</v>
      </c>
      <c r="H650" s="5" t="s">
        <v>428</v>
      </c>
      <c r="I650" s="5" t="s">
        <v>143</v>
      </c>
      <c r="J650" s="5" t="s">
        <v>10</v>
      </c>
      <c r="K650" s="5">
        <v>18</v>
      </c>
      <c r="L650" s="5">
        <v>55</v>
      </c>
      <c r="M650" s="5">
        <v>1666</v>
      </c>
      <c r="N650" s="5" t="s">
        <v>170</v>
      </c>
      <c r="O650" s="6" t="s">
        <v>81</v>
      </c>
      <c r="P650" s="6" t="s">
        <v>429</v>
      </c>
      <c r="Q650" s="6"/>
      <c r="R650" s="6"/>
      <c r="S650" s="6">
        <v>57</v>
      </c>
      <c r="T650" s="6">
        <v>19.899999999999999</v>
      </c>
      <c r="U650" s="6">
        <v>1402</v>
      </c>
      <c r="V650" s="6">
        <v>28.51</v>
      </c>
      <c r="W650" s="6">
        <v>50</v>
      </c>
      <c r="X650" s="6">
        <v>303</v>
      </c>
      <c r="Y650" s="6">
        <v>595</v>
      </c>
      <c r="Z650" s="6">
        <v>375</v>
      </c>
      <c r="AA650" s="6">
        <v>75</v>
      </c>
      <c r="AB650" s="6">
        <v>4</v>
      </c>
      <c r="AC650" s="7">
        <v>75</v>
      </c>
      <c r="AD650" s="7" t="s">
        <v>53</v>
      </c>
      <c r="AE650" s="7">
        <v>24.96</v>
      </c>
      <c r="AF650" s="7">
        <v>371</v>
      </c>
      <c r="AG650" s="7">
        <v>16.809999999999999</v>
      </c>
      <c r="AH650" s="7">
        <v>24.02</v>
      </c>
      <c r="AI650" s="7">
        <v>30.85</v>
      </c>
      <c r="AJ650" s="9">
        <v>187.867987985616</v>
      </c>
      <c r="AK650" s="9">
        <v>201.31630124694701</v>
      </c>
      <c r="AL650" s="9">
        <v>235.70100143984499</v>
      </c>
      <c r="AM650" s="9">
        <v>41.570714889325501</v>
      </c>
      <c r="AN650" s="9">
        <v>0.55427619852433896</v>
      </c>
      <c r="AO650" s="9">
        <v>0.62837301117056199</v>
      </c>
      <c r="AP650" s="9">
        <v>535.68666020920705</v>
      </c>
      <c r="AQ650" s="9">
        <v>7.1424888027894298</v>
      </c>
      <c r="AR650" s="9">
        <v>11.446013323557301</v>
      </c>
      <c r="AS650" s="8">
        <v>229</v>
      </c>
      <c r="AT650" s="8">
        <v>6.7800000000000011</v>
      </c>
      <c r="AU650" s="10">
        <v>19.415660308364465</v>
      </c>
      <c r="AV650" s="10">
        <v>71.293166610815007</v>
      </c>
      <c r="AW650" s="10">
        <v>0.75</v>
      </c>
      <c r="AX650" s="10">
        <v>0.31132387166294762</v>
      </c>
      <c r="AY650" s="10"/>
      <c r="AZ650" s="10"/>
      <c r="BA650" s="10"/>
      <c r="BB650" s="8"/>
      <c r="BC650" s="8"/>
      <c r="BD650" s="8"/>
      <c r="BE650" s="8"/>
      <c r="BF650" s="12">
        <v>0.55000000000000004</v>
      </c>
      <c r="BG650" s="13">
        <v>225.78191762925201</v>
      </c>
      <c r="BH650" s="96" t="str">
        <f>+VLOOKUP(G650,Liste!$A$7:$G$50,3,FALSE)</f>
        <v>Hêtre commun</v>
      </c>
      <c r="BI650" s="96" t="str">
        <f>+VLOOKUP(H650,Liste!$B$7:$G$50,5,FALSE)</f>
        <v>GS Hêtraies et hêtraies sapinières des Pyrénées</v>
      </c>
      <c r="BJ650" s="135">
        <f t="shared" si="206"/>
        <v>75</v>
      </c>
      <c r="BK650" s="135" t="str">
        <f t="shared" si="208"/>
        <v>Hêtre commun_F2_Entree 19-20m_GS Hêtraies et hêtraies sapinières des Pyrénées_75_</v>
      </c>
      <c r="BL650" s="322"/>
      <c r="BM650" s="13">
        <v>59.063630015172201</v>
      </c>
      <c r="BN650" s="13">
        <v>284.84554764442402</v>
      </c>
      <c r="BO650" s="13">
        <v>105.83384584565397</v>
      </c>
      <c r="BP650" s="13">
        <v>300.22307244627501</v>
      </c>
      <c r="BQ650" s="13">
        <v>13.2593158599625</v>
      </c>
      <c r="BT650" s="298" t="str">
        <f>+VLOOKUP(G650,Liste!$A$7:$H$50,8,FALSE)</f>
        <v>Feuillus</v>
      </c>
      <c r="BU650" s="298">
        <f t="shared" si="209"/>
        <v>1</v>
      </c>
      <c r="BV650" s="300">
        <f t="shared" si="210"/>
        <v>0</v>
      </c>
      <c r="BW650" s="321">
        <v>0</v>
      </c>
      <c r="BX650" s="298">
        <f t="shared" si="211"/>
        <v>0.25</v>
      </c>
      <c r="BY650">
        <f t="shared" si="212"/>
        <v>0</v>
      </c>
      <c r="BZ650" s="304">
        <f t="shared" si="213"/>
        <v>0</v>
      </c>
      <c r="CB650" s="299">
        <v>0.6</v>
      </c>
      <c r="CC650" s="299">
        <v>0.4</v>
      </c>
      <c r="CD650">
        <f t="shared" si="214"/>
        <v>0</v>
      </c>
      <c r="CE650">
        <f t="shared" si="215"/>
        <v>0</v>
      </c>
      <c r="CF650">
        <f t="shared" si="216"/>
        <v>0</v>
      </c>
      <c r="CG650">
        <f t="shared" si="217"/>
        <v>0</v>
      </c>
      <c r="CH650">
        <f t="shared" si="218"/>
        <v>0</v>
      </c>
      <c r="CI650">
        <f t="shared" si="219"/>
        <v>0</v>
      </c>
      <c r="CJ650">
        <f t="shared" si="220"/>
        <v>0</v>
      </c>
      <c r="CK650">
        <f t="shared" si="221"/>
        <v>0</v>
      </c>
      <c r="CL650">
        <f t="shared" si="222"/>
        <v>0</v>
      </c>
      <c r="CM650">
        <f t="shared" si="224"/>
        <v>0</v>
      </c>
      <c r="CN650">
        <f t="shared" si="223"/>
        <v>0</v>
      </c>
      <c r="CO650">
        <f t="shared" si="207"/>
        <v>0</v>
      </c>
    </row>
    <row r="651" spans="1:93" s="12" customFormat="1" ht="14.65" customHeight="1" x14ac:dyDescent="0.25">
      <c r="A651" s="4">
        <v>2021</v>
      </c>
      <c r="B651" s="318">
        <v>44301</v>
      </c>
      <c r="C651" s="4" t="s">
        <v>66</v>
      </c>
      <c r="D651" s="4" t="s">
        <v>65</v>
      </c>
      <c r="E651" s="4"/>
      <c r="F651" s="4" t="s">
        <v>90</v>
      </c>
      <c r="G651" s="5" t="s">
        <v>427</v>
      </c>
      <c r="H651" s="5" t="s">
        <v>428</v>
      </c>
      <c r="I651" s="5" t="s">
        <v>143</v>
      </c>
      <c r="J651" s="5" t="s">
        <v>10</v>
      </c>
      <c r="K651" s="5">
        <v>18</v>
      </c>
      <c r="L651" s="5">
        <v>55</v>
      </c>
      <c r="M651" s="5">
        <v>1666</v>
      </c>
      <c r="N651" s="5" t="s">
        <v>170</v>
      </c>
      <c r="O651" s="6" t="s">
        <v>81</v>
      </c>
      <c r="P651" s="6" t="s">
        <v>429</v>
      </c>
      <c r="Q651" s="6"/>
      <c r="R651" s="6"/>
      <c r="S651" s="6">
        <v>57</v>
      </c>
      <c r="T651" s="6">
        <v>19.899999999999999</v>
      </c>
      <c r="U651" s="6">
        <v>1402</v>
      </c>
      <c r="V651" s="6">
        <v>28.51</v>
      </c>
      <c r="W651" s="6">
        <v>50</v>
      </c>
      <c r="X651" s="6">
        <v>303</v>
      </c>
      <c r="Y651" s="6">
        <v>595</v>
      </c>
      <c r="Z651" s="6">
        <v>375</v>
      </c>
      <c r="AA651" s="6">
        <v>75</v>
      </c>
      <c r="AB651" s="6">
        <v>4</v>
      </c>
      <c r="AC651" s="7">
        <v>78</v>
      </c>
      <c r="AD651" s="7" t="s">
        <v>52</v>
      </c>
      <c r="AE651" s="7">
        <v>25.67</v>
      </c>
      <c r="AF651" s="7">
        <v>371</v>
      </c>
      <c r="AG651" s="7">
        <v>18.7</v>
      </c>
      <c r="AH651" s="7">
        <v>25.33</v>
      </c>
      <c r="AI651" s="7">
        <v>32.53</v>
      </c>
      <c r="AJ651" s="9">
        <v>216.37422850906799</v>
      </c>
      <c r="AK651" s="9">
        <v>232.40272857389101</v>
      </c>
      <c r="AL651" s="9">
        <v>270.03904141051697</v>
      </c>
      <c r="AM651" s="9">
        <v>43.455833922837101</v>
      </c>
      <c r="AN651" s="9">
        <v>0.55712607593381003</v>
      </c>
      <c r="AO651" s="9">
        <v>0.60740547202178596</v>
      </c>
      <c r="AP651" s="9">
        <v>570.02470017987901</v>
      </c>
      <c r="AQ651" s="9">
        <v>7.3080089766651204</v>
      </c>
      <c r="AR651" s="9">
        <v>11.391157219913801</v>
      </c>
      <c r="AS651" s="8" t="s">
        <v>169</v>
      </c>
      <c r="AT651" s="8" t="s">
        <v>169</v>
      </c>
      <c r="AU651" s="10" t="s">
        <v>169</v>
      </c>
      <c r="AV651" s="10">
        <v>0</v>
      </c>
      <c r="AW651" s="8"/>
      <c r="AX651" s="10" t="s">
        <v>169</v>
      </c>
      <c r="AY651" s="10"/>
      <c r="AZ651" s="10"/>
      <c r="BA651" s="10"/>
      <c r="BB651" s="8"/>
      <c r="BC651" s="8"/>
      <c r="BD651" s="8"/>
      <c r="BE651" s="8"/>
      <c r="BF651" s="12">
        <v>0.55000000000000004</v>
      </c>
      <c r="BG651" s="13">
        <v>258.67489841782498</v>
      </c>
      <c r="BH651" s="96" t="str">
        <f>+VLOOKUP(G651,Liste!$A$7:$G$50,3,FALSE)</f>
        <v>Hêtre commun</v>
      </c>
      <c r="BI651" s="96" t="str">
        <f>+VLOOKUP(H651,Liste!$B$7:$G$50,5,FALSE)</f>
        <v>GS Hêtraies et hêtraies sapinières des Pyrénées</v>
      </c>
      <c r="BJ651" s="135">
        <f t="shared" si="206"/>
        <v>78</v>
      </c>
      <c r="BK651" s="135" t="str">
        <f t="shared" si="208"/>
        <v>Hêtre commun_F2_Entree 19-20m_GS Hêtraies et hêtraies sapinières des Pyrénées_78_</v>
      </c>
      <c r="BL651" s="322"/>
      <c r="BM651" s="13">
        <v>66.605498598704003</v>
      </c>
      <c r="BN651" s="13">
        <v>325.28039701652898</v>
      </c>
      <c r="BO651" s="13" t="s">
        <v>169</v>
      </c>
      <c r="BP651" s="13">
        <v>300.22307244627501</v>
      </c>
      <c r="BQ651" s="13">
        <v>13.1798366866504</v>
      </c>
      <c r="BT651" s="298" t="str">
        <f>+VLOOKUP(G651,Liste!$A$7:$H$50,8,FALSE)</f>
        <v>Feuillus</v>
      </c>
      <c r="BU651" s="298">
        <f t="shared" si="209"/>
        <v>1</v>
      </c>
      <c r="BV651" s="300">
        <f t="shared" si="210"/>
        <v>0</v>
      </c>
      <c r="BW651" s="321">
        <v>0</v>
      </c>
      <c r="BX651" s="298">
        <f t="shared" si="211"/>
        <v>0.25</v>
      </c>
      <c r="BY651">
        <f t="shared" si="212"/>
        <v>0</v>
      </c>
      <c r="BZ651" s="304">
        <f t="shared" si="213"/>
        <v>0</v>
      </c>
      <c r="CB651" s="299">
        <v>0.6</v>
      </c>
      <c r="CC651" s="299">
        <v>0.4</v>
      </c>
      <c r="CD651">
        <f t="shared" si="214"/>
        <v>0</v>
      </c>
      <c r="CE651">
        <f t="shared" si="215"/>
        <v>0</v>
      </c>
      <c r="CF651">
        <f t="shared" si="216"/>
        <v>0</v>
      </c>
      <c r="CG651">
        <f t="shared" si="217"/>
        <v>0</v>
      </c>
      <c r="CH651">
        <f t="shared" si="218"/>
        <v>0</v>
      </c>
      <c r="CI651">
        <f t="shared" si="219"/>
        <v>0</v>
      </c>
      <c r="CJ651">
        <f t="shared" si="220"/>
        <v>0</v>
      </c>
      <c r="CK651">
        <f t="shared" si="221"/>
        <v>0</v>
      </c>
      <c r="CL651">
        <f t="shared" si="222"/>
        <v>0</v>
      </c>
      <c r="CM651">
        <f t="shared" si="224"/>
        <v>0</v>
      </c>
      <c r="CN651">
        <f t="shared" si="223"/>
        <v>0</v>
      </c>
      <c r="CO651">
        <f t="shared" si="207"/>
        <v>0</v>
      </c>
    </row>
    <row r="652" spans="1:93" s="12" customFormat="1" ht="14.65" customHeight="1" x14ac:dyDescent="0.25">
      <c r="A652" s="4">
        <v>2021</v>
      </c>
      <c r="B652" s="318">
        <v>44301</v>
      </c>
      <c r="C652" s="4" t="s">
        <v>66</v>
      </c>
      <c r="D652" s="4" t="s">
        <v>65</v>
      </c>
      <c r="E652" s="4"/>
      <c r="F652" s="4" t="s">
        <v>90</v>
      </c>
      <c r="G652" s="5" t="s">
        <v>427</v>
      </c>
      <c r="H652" s="5" t="s">
        <v>428</v>
      </c>
      <c r="I652" s="5" t="s">
        <v>143</v>
      </c>
      <c r="J652" s="5" t="s">
        <v>10</v>
      </c>
      <c r="K652" s="5">
        <v>18</v>
      </c>
      <c r="L652" s="5">
        <v>55</v>
      </c>
      <c r="M652" s="5">
        <v>1666</v>
      </c>
      <c r="N652" s="5" t="s">
        <v>170</v>
      </c>
      <c r="O652" s="6" t="s">
        <v>81</v>
      </c>
      <c r="P652" s="6" t="s">
        <v>429</v>
      </c>
      <c r="Q652" s="6"/>
      <c r="R652" s="6"/>
      <c r="S652" s="6">
        <v>57</v>
      </c>
      <c r="T652" s="6">
        <v>19.899999999999999</v>
      </c>
      <c r="U652" s="6">
        <v>1402</v>
      </c>
      <c r="V652" s="6">
        <v>28.51</v>
      </c>
      <c r="W652" s="6">
        <v>50</v>
      </c>
      <c r="X652" s="6">
        <v>303</v>
      </c>
      <c r="Y652" s="6">
        <v>595</v>
      </c>
      <c r="Z652" s="6">
        <v>375</v>
      </c>
      <c r="AA652" s="6">
        <v>75</v>
      </c>
      <c r="AB652" s="6">
        <v>4</v>
      </c>
      <c r="AC652" s="7">
        <v>81</v>
      </c>
      <c r="AD652" s="7" t="s">
        <v>52</v>
      </c>
      <c r="AE652" s="7">
        <v>26.35</v>
      </c>
      <c r="AF652" s="7">
        <v>371</v>
      </c>
      <c r="AG652" s="7">
        <v>20.52</v>
      </c>
      <c r="AH652" s="7">
        <v>26.54</v>
      </c>
      <c r="AI652" s="7">
        <v>34.090000000000003</v>
      </c>
      <c r="AJ652" s="9">
        <v>244.79642301821301</v>
      </c>
      <c r="AK652" s="9">
        <v>263.43979643837201</v>
      </c>
      <c r="AL652" s="9">
        <v>304.21251307025801</v>
      </c>
      <c r="AM652" s="9">
        <v>45.278050338902503</v>
      </c>
      <c r="AN652" s="9">
        <v>0.55898827578891996</v>
      </c>
      <c r="AO652" s="9">
        <v>0.58637546492109005</v>
      </c>
      <c r="AP652" s="9">
        <v>604.19817183962004</v>
      </c>
      <c r="AQ652" s="9">
        <v>7.45923668937803</v>
      </c>
      <c r="AR652" s="9">
        <v>11.3881224082825</v>
      </c>
      <c r="AS652" s="8" t="s">
        <v>169</v>
      </c>
      <c r="AT652" s="8" t="s">
        <v>169</v>
      </c>
      <c r="AU652" s="10" t="s">
        <v>169</v>
      </c>
      <c r="AV652" s="10">
        <v>0</v>
      </c>
      <c r="AW652" s="8"/>
      <c r="AX652" s="10" t="s">
        <v>169</v>
      </c>
      <c r="AY652" s="10"/>
      <c r="AZ652" s="10"/>
      <c r="BA652" s="10"/>
      <c r="BB652" s="8"/>
      <c r="BC652" s="8"/>
      <c r="BD652" s="8"/>
      <c r="BE652" s="8"/>
      <c r="BF652" s="12">
        <v>0.55000000000000004</v>
      </c>
      <c r="BG652" s="13">
        <v>291.41023647855201</v>
      </c>
      <c r="BH652" s="96" t="str">
        <f>+VLOOKUP(G652,Liste!$A$7:$G$50,3,FALSE)</f>
        <v>Hêtre commun</v>
      </c>
      <c r="BI652" s="96" t="str">
        <f>+VLOOKUP(H652,Liste!$B$7:$G$50,5,FALSE)</f>
        <v>GS Hêtraies et hêtraies sapinières des Pyrénées</v>
      </c>
      <c r="BJ652" s="135">
        <f t="shared" si="206"/>
        <v>81</v>
      </c>
      <c r="BK652" s="135" t="str">
        <f t="shared" si="208"/>
        <v>Hêtre commun_F2_Entree 19-20m_GS Hêtraies et hêtraies sapinières des Pyrénées_81_</v>
      </c>
      <c r="BL652" s="322"/>
      <c r="BM652" s="13">
        <v>74.000872412712098</v>
      </c>
      <c r="BN652" s="13">
        <v>365.41110889126401</v>
      </c>
      <c r="BO652" s="13" t="s">
        <v>169</v>
      </c>
      <c r="BP652" s="13">
        <v>300.22307244627501</v>
      </c>
      <c r="BQ652" s="13">
        <v>13.161439916190901</v>
      </c>
      <c r="BT652" s="298" t="str">
        <f>+VLOOKUP(G652,Liste!$A$7:$H$50,8,FALSE)</f>
        <v>Feuillus</v>
      </c>
      <c r="BU652" s="298">
        <f t="shared" si="209"/>
        <v>1</v>
      </c>
      <c r="BV652" s="300">
        <f t="shared" si="210"/>
        <v>0</v>
      </c>
      <c r="BW652" s="321">
        <v>0</v>
      </c>
      <c r="BX652" s="298">
        <f t="shared" si="211"/>
        <v>0.25</v>
      </c>
      <c r="BY652">
        <f t="shared" si="212"/>
        <v>0</v>
      </c>
      <c r="BZ652" s="304">
        <f t="shared" si="213"/>
        <v>0</v>
      </c>
      <c r="CB652" s="299">
        <v>0.6</v>
      </c>
      <c r="CC652" s="299">
        <v>0.4</v>
      </c>
      <c r="CD652">
        <f t="shared" si="214"/>
        <v>0</v>
      </c>
      <c r="CE652">
        <f t="shared" si="215"/>
        <v>0</v>
      </c>
      <c r="CF652">
        <f t="shared" si="216"/>
        <v>0</v>
      </c>
      <c r="CG652">
        <f t="shared" si="217"/>
        <v>0</v>
      </c>
      <c r="CH652">
        <f t="shared" si="218"/>
        <v>0</v>
      </c>
      <c r="CI652">
        <f t="shared" si="219"/>
        <v>0</v>
      </c>
      <c r="CJ652">
        <f t="shared" si="220"/>
        <v>0</v>
      </c>
      <c r="CK652">
        <f t="shared" si="221"/>
        <v>0</v>
      </c>
      <c r="CL652">
        <f t="shared" si="222"/>
        <v>0</v>
      </c>
      <c r="CM652">
        <f t="shared" si="224"/>
        <v>0</v>
      </c>
      <c r="CN652">
        <f t="shared" si="223"/>
        <v>0</v>
      </c>
      <c r="CO652">
        <f t="shared" si="207"/>
        <v>0</v>
      </c>
    </row>
    <row r="653" spans="1:93" s="12" customFormat="1" ht="14.65" customHeight="1" x14ac:dyDescent="0.25">
      <c r="A653" s="4">
        <v>2021</v>
      </c>
      <c r="B653" s="318">
        <v>44301</v>
      </c>
      <c r="C653" s="4" t="s">
        <v>66</v>
      </c>
      <c r="D653" s="4" t="s">
        <v>65</v>
      </c>
      <c r="E653" s="4"/>
      <c r="F653" s="4" t="s">
        <v>90</v>
      </c>
      <c r="G653" s="5" t="s">
        <v>427</v>
      </c>
      <c r="H653" s="5" t="s">
        <v>428</v>
      </c>
      <c r="I653" s="5" t="s">
        <v>143</v>
      </c>
      <c r="J653" s="5" t="s">
        <v>10</v>
      </c>
      <c r="K653" s="5">
        <v>18</v>
      </c>
      <c r="L653" s="5">
        <v>55</v>
      </c>
      <c r="M653" s="5">
        <v>1666</v>
      </c>
      <c r="N653" s="5" t="s">
        <v>170</v>
      </c>
      <c r="O653" s="6" t="s">
        <v>81</v>
      </c>
      <c r="P653" s="6" t="s">
        <v>429</v>
      </c>
      <c r="Q653" s="6"/>
      <c r="R653" s="6"/>
      <c r="S653" s="6">
        <v>57</v>
      </c>
      <c r="T653" s="6">
        <v>19.899999999999999</v>
      </c>
      <c r="U653" s="6">
        <v>1402</v>
      </c>
      <c r="V653" s="6">
        <v>28.51</v>
      </c>
      <c r="W653" s="6">
        <v>50</v>
      </c>
      <c r="X653" s="6">
        <v>303</v>
      </c>
      <c r="Y653" s="6">
        <v>595</v>
      </c>
      <c r="Z653" s="6">
        <v>375</v>
      </c>
      <c r="AA653" s="6">
        <v>75</v>
      </c>
      <c r="AB653" s="6">
        <v>4</v>
      </c>
      <c r="AC653" s="7">
        <v>84</v>
      </c>
      <c r="AD653" s="7" t="s">
        <v>52</v>
      </c>
      <c r="AE653" s="7">
        <v>27</v>
      </c>
      <c r="AF653" s="7">
        <v>371</v>
      </c>
      <c r="AG653" s="7">
        <v>22.28</v>
      </c>
      <c r="AH653" s="7">
        <v>27.65</v>
      </c>
      <c r="AI653" s="7">
        <v>35.54</v>
      </c>
      <c r="AJ653" s="9">
        <v>273.34626072391598</v>
      </c>
      <c r="AK653" s="9">
        <v>294.59103030761003</v>
      </c>
      <c r="AL653" s="9">
        <v>338.37688029510599</v>
      </c>
      <c r="AM653" s="9">
        <v>47.037176733665802</v>
      </c>
      <c r="AN653" s="9">
        <v>0.55996638968649703</v>
      </c>
      <c r="AO653" s="9">
        <v>0.55981223351148202</v>
      </c>
      <c r="AP653" s="9">
        <v>638.36253906446802</v>
      </c>
      <c r="AQ653" s="9">
        <v>7.5995540364817602</v>
      </c>
      <c r="AR653" s="9">
        <v>11.005017454990901</v>
      </c>
      <c r="AS653" s="8" t="s">
        <v>169</v>
      </c>
      <c r="AT653" s="8" t="s">
        <v>169</v>
      </c>
      <c r="AU653" s="10" t="s">
        <v>169</v>
      </c>
      <c r="AV653" s="10">
        <v>0</v>
      </c>
      <c r="AW653" s="8"/>
      <c r="AX653" s="10" t="s">
        <v>169</v>
      </c>
      <c r="AY653" s="10"/>
      <c r="AZ653" s="10"/>
      <c r="BA653" s="10"/>
      <c r="BB653" s="8"/>
      <c r="BC653" s="8"/>
      <c r="BD653" s="8"/>
      <c r="BE653" s="8"/>
      <c r="BF653" s="12">
        <v>0.55000000000000004</v>
      </c>
      <c r="BG653" s="13">
        <v>324.13685324935398</v>
      </c>
      <c r="BH653" s="96" t="str">
        <f>+VLOOKUP(G653,Liste!$A$7:$G$50,3,FALSE)</f>
        <v>Hêtre commun</v>
      </c>
      <c r="BI653" s="96" t="str">
        <f>+VLOOKUP(H653,Liste!$B$7:$G$50,5,FALSE)</f>
        <v>GS Hêtraies et hêtraies sapinières des Pyrénées</v>
      </c>
      <c r="BJ653" s="135">
        <f t="shared" si="206"/>
        <v>84</v>
      </c>
      <c r="BK653" s="135" t="str">
        <f t="shared" si="208"/>
        <v>Hêtre commun_F2_Entree 19-20m_GS Hêtraies et hêtraies sapinières des Pyrénées_84_</v>
      </c>
      <c r="BL653" s="322"/>
      <c r="BM653" s="13">
        <v>81.298029640716294</v>
      </c>
      <c r="BN653" s="13">
        <v>405.43488289007001</v>
      </c>
      <c r="BO653" s="13" t="s">
        <v>169</v>
      </c>
      <c r="BP653" s="13">
        <v>300.22307244627501</v>
      </c>
      <c r="BQ653" s="13">
        <v>12.7053729012268</v>
      </c>
      <c r="BT653" s="298" t="str">
        <f>+VLOOKUP(G653,Liste!$A$7:$H$50,8,FALSE)</f>
        <v>Feuillus</v>
      </c>
      <c r="BU653" s="298">
        <f t="shared" si="209"/>
        <v>1</v>
      </c>
      <c r="BV653" s="300">
        <f t="shared" si="210"/>
        <v>0</v>
      </c>
      <c r="BW653" s="321">
        <v>0</v>
      </c>
      <c r="BX653" s="298">
        <f t="shared" si="211"/>
        <v>0.25</v>
      </c>
      <c r="BY653">
        <f t="shared" si="212"/>
        <v>0</v>
      </c>
      <c r="BZ653" s="304">
        <f t="shared" si="213"/>
        <v>0</v>
      </c>
      <c r="CB653" s="299">
        <v>0.6</v>
      </c>
      <c r="CC653" s="299">
        <v>0.4</v>
      </c>
      <c r="CD653">
        <f t="shared" si="214"/>
        <v>0</v>
      </c>
      <c r="CE653">
        <f t="shared" si="215"/>
        <v>0</v>
      </c>
      <c r="CF653">
        <f t="shared" si="216"/>
        <v>0</v>
      </c>
      <c r="CG653">
        <f t="shared" si="217"/>
        <v>0</v>
      </c>
      <c r="CH653">
        <f t="shared" si="218"/>
        <v>0</v>
      </c>
      <c r="CI653">
        <f t="shared" si="219"/>
        <v>0</v>
      </c>
      <c r="CJ653">
        <f t="shared" si="220"/>
        <v>0</v>
      </c>
      <c r="CK653">
        <f t="shared" si="221"/>
        <v>0</v>
      </c>
      <c r="CL653">
        <f t="shared" si="222"/>
        <v>0</v>
      </c>
      <c r="CM653">
        <f t="shared" si="224"/>
        <v>0</v>
      </c>
      <c r="CN653">
        <f t="shared" si="223"/>
        <v>0</v>
      </c>
      <c r="CO653">
        <f t="shared" si="207"/>
        <v>0</v>
      </c>
    </row>
    <row r="654" spans="1:93" s="12" customFormat="1" ht="14.65" customHeight="1" x14ac:dyDescent="0.25">
      <c r="A654" s="4">
        <v>2021</v>
      </c>
      <c r="B654" s="318">
        <v>44301</v>
      </c>
      <c r="C654" s="4" t="s">
        <v>66</v>
      </c>
      <c r="D654" s="4" t="s">
        <v>65</v>
      </c>
      <c r="E654" s="4"/>
      <c r="F654" s="4" t="s">
        <v>90</v>
      </c>
      <c r="G654" s="5" t="s">
        <v>427</v>
      </c>
      <c r="H654" s="5" t="s">
        <v>428</v>
      </c>
      <c r="I654" s="5" t="s">
        <v>143</v>
      </c>
      <c r="J654" s="5" t="s">
        <v>10</v>
      </c>
      <c r="K654" s="5">
        <v>18</v>
      </c>
      <c r="L654" s="5">
        <v>55</v>
      </c>
      <c r="M654" s="5">
        <v>1666</v>
      </c>
      <c r="N654" s="5" t="s">
        <v>170</v>
      </c>
      <c r="O654" s="6" t="s">
        <v>81</v>
      </c>
      <c r="P654" s="6" t="s">
        <v>429</v>
      </c>
      <c r="Q654" s="6"/>
      <c r="R654" s="6"/>
      <c r="S654" s="6">
        <v>57</v>
      </c>
      <c r="T654" s="6">
        <v>19.899999999999999</v>
      </c>
      <c r="U654" s="6">
        <v>1402</v>
      </c>
      <c r="V654" s="6">
        <v>28.51</v>
      </c>
      <c r="W654" s="6">
        <v>50</v>
      </c>
      <c r="X654" s="6">
        <v>303</v>
      </c>
      <c r="Y654" s="6">
        <v>595</v>
      </c>
      <c r="Z654" s="6">
        <v>375</v>
      </c>
      <c r="AA654" s="6">
        <v>75</v>
      </c>
      <c r="AB654" s="6">
        <v>4</v>
      </c>
      <c r="AC654" s="7">
        <v>84</v>
      </c>
      <c r="AD654" s="7" t="s">
        <v>53</v>
      </c>
      <c r="AE654" s="7">
        <v>27</v>
      </c>
      <c r="AF654" s="7">
        <v>279</v>
      </c>
      <c r="AG654" s="7">
        <v>17.260000000000002</v>
      </c>
      <c r="AH654" s="7">
        <v>28.07</v>
      </c>
      <c r="AI654" s="7">
        <v>33.659999999999997</v>
      </c>
      <c r="AJ654" s="9">
        <v>212.46102615409501</v>
      </c>
      <c r="AK654" s="9">
        <v>228.572824507359</v>
      </c>
      <c r="AL654" s="9">
        <v>262.336432684052</v>
      </c>
      <c r="AM654" s="9">
        <v>47.037176733665802</v>
      </c>
      <c r="AN654" s="9">
        <v>0.55996638968649703</v>
      </c>
      <c r="AO654" s="9">
        <v>0.55981223351148202</v>
      </c>
      <c r="AP654" s="9">
        <v>638.36253906446802</v>
      </c>
      <c r="AQ654" s="9">
        <v>7.5995540364817602</v>
      </c>
      <c r="AR654" s="9">
        <v>11.005017454990901</v>
      </c>
      <c r="AS654" s="8">
        <v>92</v>
      </c>
      <c r="AT654" s="8">
        <v>5.0199999999999996</v>
      </c>
      <c r="AU654" s="10">
        <v>26.358033414820525</v>
      </c>
      <c r="AV654" s="10">
        <v>60.885234569820966</v>
      </c>
      <c r="AW654" s="10">
        <v>0.91</v>
      </c>
      <c r="AX654" s="10">
        <v>0.66179602793283654</v>
      </c>
      <c r="AY654" s="10"/>
      <c r="AZ654" s="10"/>
      <c r="BA654" s="10"/>
      <c r="BB654" s="8"/>
      <c r="BC654" s="8"/>
      <c r="BD654" s="8"/>
      <c r="BE654" s="8"/>
      <c r="BF654" s="12">
        <v>0.55000000000000004</v>
      </c>
      <c r="BG654" s="13">
        <v>251.29644114193101</v>
      </c>
      <c r="BH654" s="96" t="str">
        <f>+VLOOKUP(G654,Liste!$A$7:$G$50,3,FALSE)</f>
        <v>Hêtre commun</v>
      </c>
      <c r="BI654" s="96" t="str">
        <f>+VLOOKUP(H654,Liste!$B$7:$G$50,5,FALSE)</f>
        <v>GS Hêtraies et hêtraies sapinières des Pyrénées</v>
      </c>
      <c r="BJ654" s="135">
        <f t="shared" si="206"/>
        <v>84</v>
      </c>
      <c r="BK654" s="135" t="str">
        <f t="shared" si="208"/>
        <v>Hêtre commun_F2_Entree 19-20m_GS Hêtraies et hêtraies sapinières des Pyrénées_84_</v>
      </c>
      <c r="BL654" s="322"/>
      <c r="BM654" s="13">
        <v>64.923966342298897</v>
      </c>
      <c r="BN654" s="13">
        <v>316.22040748423001</v>
      </c>
      <c r="BO654" s="13">
        <v>89.214475405840005</v>
      </c>
      <c r="BP654" s="13">
        <v>300.22307244627501</v>
      </c>
      <c r="BQ654" s="13">
        <v>12.7053729012268</v>
      </c>
      <c r="BT654" s="298" t="str">
        <f>+VLOOKUP(G654,Liste!$A$7:$H$50,8,FALSE)</f>
        <v>Feuillus</v>
      </c>
      <c r="BU654" s="298">
        <f t="shared" si="209"/>
        <v>1</v>
      </c>
      <c r="BV654" s="300">
        <f t="shared" si="210"/>
        <v>0</v>
      </c>
      <c r="BW654" s="321">
        <v>0</v>
      </c>
      <c r="BX654" s="298">
        <f t="shared" si="211"/>
        <v>0.25</v>
      </c>
      <c r="BY654">
        <f t="shared" si="212"/>
        <v>0</v>
      </c>
      <c r="BZ654" s="304">
        <f t="shared" si="213"/>
        <v>0</v>
      </c>
      <c r="CB654" s="299">
        <v>0.6</v>
      </c>
      <c r="CC654" s="299">
        <v>0.4</v>
      </c>
      <c r="CD654">
        <f t="shared" si="214"/>
        <v>0</v>
      </c>
      <c r="CE654">
        <f t="shared" si="215"/>
        <v>0</v>
      </c>
      <c r="CF654">
        <f t="shared" si="216"/>
        <v>0</v>
      </c>
      <c r="CG654">
        <f t="shared" si="217"/>
        <v>0</v>
      </c>
      <c r="CH654">
        <f t="shared" si="218"/>
        <v>0</v>
      </c>
      <c r="CI654">
        <f t="shared" si="219"/>
        <v>0</v>
      </c>
      <c r="CJ654">
        <f t="shared" si="220"/>
        <v>0</v>
      </c>
      <c r="CK654">
        <f t="shared" si="221"/>
        <v>0</v>
      </c>
      <c r="CL654">
        <f t="shared" si="222"/>
        <v>0</v>
      </c>
      <c r="CM654">
        <f t="shared" si="224"/>
        <v>0</v>
      </c>
      <c r="CN654">
        <f t="shared" si="223"/>
        <v>0</v>
      </c>
      <c r="CO654">
        <f t="shared" si="207"/>
        <v>0</v>
      </c>
    </row>
    <row r="655" spans="1:93" s="12" customFormat="1" ht="14.65" customHeight="1" x14ac:dyDescent="0.25">
      <c r="A655" s="4">
        <v>2021</v>
      </c>
      <c r="B655" s="318">
        <v>44301</v>
      </c>
      <c r="C655" s="4" t="s">
        <v>66</v>
      </c>
      <c r="D655" s="4" t="s">
        <v>65</v>
      </c>
      <c r="E655" s="4"/>
      <c r="F655" s="4" t="s">
        <v>90</v>
      </c>
      <c r="G655" s="5" t="s">
        <v>427</v>
      </c>
      <c r="H655" s="5" t="s">
        <v>428</v>
      </c>
      <c r="I655" s="5" t="s">
        <v>143</v>
      </c>
      <c r="J655" s="5" t="s">
        <v>10</v>
      </c>
      <c r="K655" s="5">
        <v>18</v>
      </c>
      <c r="L655" s="5">
        <v>55</v>
      </c>
      <c r="M655" s="5">
        <v>1666</v>
      </c>
      <c r="N655" s="5" t="s">
        <v>170</v>
      </c>
      <c r="O655" s="6" t="s">
        <v>81</v>
      </c>
      <c r="P655" s="6" t="s">
        <v>429</v>
      </c>
      <c r="Q655" s="6"/>
      <c r="R655" s="6"/>
      <c r="S655" s="6">
        <v>57</v>
      </c>
      <c r="T655" s="6">
        <v>19.899999999999999</v>
      </c>
      <c r="U655" s="6">
        <v>1402</v>
      </c>
      <c r="V655" s="6">
        <v>28.51</v>
      </c>
      <c r="W655" s="6">
        <v>50</v>
      </c>
      <c r="X655" s="6">
        <v>303</v>
      </c>
      <c r="Y655" s="6">
        <v>595</v>
      </c>
      <c r="Z655" s="6">
        <v>375</v>
      </c>
      <c r="AA655" s="6">
        <v>75</v>
      </c>
      <c r="AB655" s="6">
        <v>4</v>
      </c>
      <c r="AC655" s="7">
        <v>87</v>
      </c>
      <c r="AD655" s="7" t="s">
        <v>52</v>
      </c>
      <c r="AE655" s="7">
        <v>27.61</v>
      </c>
      <c r="AF655" s="7">
        <v>279</v>
      </c>
      <c r="AG655" s="7">
        <v>18.940000000000001</v>
      </c>
      <c r="AH655" s="7">
        <v>29.4</v>
      </c>
      <c r="AI655" s="7">
        <v>35.24</v>
      </c>
      <c r="AJ655" s="9">
        <v>240.079232225288</v>
      </c>
      <c r="AK655" s="9">
        <v>258.71485381778899</v>
      </c>
      <c r="AL655" s="9">
        <v>295.35148504902497</v>
      </c>
      <c r="AM655" s="9">
        <v>48.716613434200198</v>
      </c>
      <c r="AN655" s="9">
        <v>0.559961073956324</v>
      </c>
      <c r="AO655" s="9">
        <v>0.54221141616384905</v>
      </c>
      <c r="AP655" s="9">
        <v>671.37759142944105</v>
      </c>
      <c r="AQ655" s="9">
        <v>7.7169838095337999</v>
      </c>
      <c r="AR655" s="9">
        <v>10.7787581819978</v>
      </c>
      <c r="AS655" s="8" t="s">
        <v>169</v>
      </c>
      <c r="AT655" s="8" t="s">
        <v>169</v>
      </c>
      <c r="AU655" s="10" t="s">
        <v>169</v>
      </c>
      <c r="AV655" s="10">
        <v>0</v>
      </c>
      <c r="AW655" s="8"/>
      <c r="AX655" s="10" t="s">
        <v>169</v>
      </c>
      <c r="AY655" s="10"/>
      <c r="AZ655" s="10"/>
      <c r="BA655" s="10"/>
      <c r="BB655" s="8"/>
      <c r="BC655" s="8"/>
      <c r="BD655" s="8"/>
      <c r="BE655" s="8"/>
      <c r="BF655" s="12">
        <v>0.55000000000000004</v>
      </c>
      <c r="BG655" s="13">
        <v>282.92211005321201</v>
      </c>
      <c r="BH655" s="96" t="str">
        <f>+VLOOKUP(G655,Liste!$A$7:$G$50,3,FALSE)</f>
        <v>Hêtre commun</v>
      </c>
      <c r="BI655" s="96" t="str">
        <f>+VLOOKUP(H655,Liste!$B$7:$G$50,5,FALSE)</f>
        <v>GS Hêtraies et hêtraies sapinières des Pyrénées</v>
      </c>
      <c r="BJ655" s="135">
        <f t="shared" si="206"/>
        <v>87</v>
      </c>
      <c r="BK655" s="135" t="str">
        <f t="shared" si="208"/>
        <v>Hêtre commun_F2_Entree 19-20m_GS Hêtraies et hêtraies sapinières des Pyrénées_87_</v>
      </c>
      <c r="BL655" s="322"/>
      <c r="BM655" s="13">
        <v>72.093026557159305</v>
      </c>
      <c r="BN655" s="13">
        <v>355.01513661037097</v>
      </c>
      <c r="BO655" s="13" t="s">
        <v>169</v>
      </c>
      <c r="BP655" s="13">
        <v>300.22307244627501</v>
      </c>
      <c r="BQ655" s="13">
        <v>12.4321752757014</v>
      </c>
      <c r="BT655" s="298" t="str">
        <f>+VLOOKUP(G655,Liste!$A$7:$H$50,8,FALSE)</f>
        <v>Feuillus</v>
      </c>
      <c r="BU655" s="298">
        <f t="shared" si="209"/>
        <v>1</v>
      </c>
      <c r="BV655" s="300">
        <f t="shared" si="210"/>
        <v>0</v>
      </c>
      <c r="BW655" s="321">
        <v>0</v>
      </c>
      <c r="BX655" s="298">
        <f t="shared" si="211"/>
        <v>0.25</v>
      </c>
      <c r="BY655">
        <f t="shared" si="212"/>
        <v>0</v>
      </c>
      <c r="BZ655" s="304">
        <f t="shared" si="213"/>
        <v>0</v>
      </c>
      <c r="CB655" s="299">
        <v>0.6</v>
      </c>
      <c r="CC655" s="299">
        <v>0.4</v>
      </c>
      <c r="CD655">
        <f t="shared" si="214"/>
        <v>0</v>
      </c>
      <c r="CE655">
        <f t="shared" si="215"/>
        <v>0</v>
      </c>
      <c r="CF655">
        <f t="shared" si="216"/>
        <v>0</v>
      </c>
      <c r="CG655">
        <f t="shared" si="217"/>
        <v>0</v>
      </c>
      <c r="CH655">
        <f t="shared" si="218"/>
        <v>0</v>
      </c>
      <c r="CI655">
        <f t="shared" si="219"/>
        <v>0</v>
      </c>
      <c r="CJ655">
        <f t="shared" si="220"/>
        <v>0</v>
      </c>
      <c r="CK655">
        <f t="shared" si="221"/>
        <v>0</v>
      </c>
      <c r="CL655">
        <f t="shared" si="222"/>
        <v>0</v>
      </c>
      <c r="CM655">
        <f t="shared" si="224"/>
        <v>0</v>
      </c>
      <c r="CN655">
        <f t="shared" si="223"/>
        <v>0</v>
      </c>
      <c r="CO655">
        <f t="shared" si="207"/>
        <v>0</v>
      </c>
    </row>
    <row r="656" spans="1:93" s="12" customFormat="1" ht="14.65" customHeight="1" x14ac:dyDescent="0.25">
      <c r="A656" s="4">
        <v>2021</v>
      </c>
      <c r="B656" s="318">
        <v>44301</v>
      </c>
      <c r="C656" s="4" t="s">
        <v>66</v>
      </c>
      <c r="D656" s="4" t="s">
        <v>65</v>
      </c>
      <c r="E656" s="4"/>
      <c r="F656" s="4" t="s">
        <v>90</v>
      </c>
      <c r="G656" s="5" t="s">
        <v>427</v>
      </c>
      <c r="H656" s="5" t="s">
        <v>428</v>
      </c>
      <c r="I656" s="5" t="s">
        <v>143</v>
      </c>
      <c r="J656" s="5" t="s">
        <v>10</v>
      </c>
      <c r="K656" s="5">
        <v>18</v>
      </c>
      <c r="L656" s="5">
        <v>55</v>
      </c>
      <c r="M656" s="5">
        <v>1666</v>
      </c>
      <c r="N656" s="5" t="s">
        <v>170</v>
      </c>
      <c r="O656" s="6" t="s">
        <v>81</v>
      </c>
      <c r="P656" s="6" t="s">
        <v>429</v>
      </c>
      <c r="Q656" s="6"/>
      <c r="R656" s="6"/>
      <c r="S656" s="6">
        <v>57</v>
      </c>
      <c r="T656" s="6">
        <v>19.899999999999999</v>
      </c>
      <c r="U656" s="6">
        <v>1402</v>
      </c>
      <c r="V656" s="6">
        <v>28.51</v>
      </c>
      <c r="W656" s="6">
        <v>50</v>
      </c>
      <c r="X656" s="6">
        <v>303</v>
      </c>
      <c r="Y656" s="6">
        <v>595</v>
      </c>
      <c r="Z656" s="6">
        <v>375</v>
      </c>
      <c r="AA656" s="6">
        <v>75</v>
      </c>
      <c r="AB656" s="6">
        <v>4</v>
      </c>
      <c r="AC656" s="7">
        <v>90</v>
      </c>
      <c r="AD656" s="7" t="s">
        <v>52</v>
      </c>
      <c r="AE656" s="7">
        <v>28.19</v>
      </c>
      <c r="AF656" s="7">
        <v>279</v>
      </c>
      <c r="AG656" s="7">
        <v>20.57</v>
      </c>
      <c r="AH656" s="7">
        <v>30.64</v>
      </c>
      <c r="AI656" s="7">
        <v>36.71</v>
      </c>
      <c r="AJ656" s="9">
        <v>267.05577463259499</v>
      </c>
      <c r="AK656" s="9">
        <v>288.26516695537401</v>
      </c>
      <c r="AL656" s="9">
        <v>327.68775959501801</v>
      </c>
      <c r="AM656" s="9">
        <v>50.343247682691803</v>
      </c>
      <c r="AN656" s="9">
        <v>0.55936941869657497</v>
      </c>
      <c r="AO656" s="9">
        <v>0.52310261601653496</v>
      </c>
      <c r="AP656" s="9">
        <v>703.71386597543403</v>
      </c>
      <c r="AQ656" s="9">
        <v>7.8190429552826002</v>
      </c>
      <c r="AR656" s="9">
        <v>10.6881129665225</v>
      </c>
      <c r="AS656" s="8" t="s">
        <v>169</v>
      </c>
      <c r="AT656" s="8" t="s">
        <v>169</v>
      </c>
      <c r="AU656" s="10" t="s">
        <v>169</v>
      </c>
      <c r="AV656" s="10">
        <v>0</v>
      </c>
      <c r="AW656" s="8"/>
      <c r="AX656" s="10" t="s">
        <v>169</v>
      </c>
      <c r="AY656" s="10"/>
      <c r="AZ656" s="10"/>
      <c r="BA656" s="10"/>
      <c r="BB656" s="8"/>
      <c r="BC656" s="8"/>
      <c r="BD656" s="8"/>
      <c r="BE656" s="8"/>
      <c r="BF656" s="12">
        <v>0.55000000000000004</v>
      </c>
      <c r="BG656" s="13">
        <v>313.89756637872802</v>
      </c>
      <c r="BH656" s="96" t="str">
        <f>+VLOOKUP(G656,Liste!$A$7:$G$50,3,FALSE)</f>
        <v>Hêtre commun</v>
      </c>
      <c r="BI656" s="96" t="str">
        <f>+VLOOKUP(H656,Liste!$B$7:$G$50,5,FALSE)</f>
        <v>GS Hêtraies et hêtraies sapinières des Pyrénées</v>
      </c>
      <c r="BJ656" s="135">
        <f t="shared" si="206"/>
        <v>90</v>
      </c>
      <c r="BK656" s="135" t="str">
        <f t="shared" si="208"/>
        <v>Hêtre commun_F2_Entree 19-20m_GS Hêtraies et hêtraies sapinières des Pyrénées_90_</v>
      </c>
      <c r="BL656" s="322"/>
      <c r="BM656" s="13">
        <v>79.024585576105295</v>
      </c>
      <c r="BN656" s="13">
        <v>392.922151954833</v>
      </c>
      <c r="BO656" s="13" t="s">
        <v>169</v>
      </c>
      <c r="BP656" s="13">
        <v>300.22307244627501</v>
      </c>
      <c r="BQ656" s="13">
        <v>12.316521444315599</v>
      </c>
      <c r="BT656" s="298" t="str">
        <f>+VLOOKUP(G656,Liste!$A$7:$H$50,8,FALSE)</f>
        <v>Feuillus</v>
      </c>
      <c r="BU656" s="298">
        <f t="shared" si="209"/>
        <v>1</v>
      </c>
      <c r="BV656" s="300">
        <f t="shared" si="210"/>
        <v>0</v>
      </c>
      <c r="BW656" s="321">
        <v>0</v>
      </c>
      <c r="BX656" s="298">
        <f t="shared" si="211"/>
        <v>0.25</v>
      </c>
      <c r="BY656">
        <f t="shared" si="212"/>
        <v>0</v>
      </c>
      <c r="BZ656" s="304">
        <f t="shared" si="213"/>
        <v>0</v>
      </c>
      <c r="CB656" s="299">
        <v>0.6</v>
      </c>
      <c r="CC656" s="299">
        <v>0.4</v>
      </c>
      <c r="CD656">
        <f t="shared" si="214"/>
        <v>0</v>
      </c>
      <c r="CE656">
        <f t="shared" si="215"/>
        <v>0</v>
      </c>
      <c r="CF656">
        <f t="shared" si="216"/>
        <v>0</v>
      </c>
      <c r="CG656">
        <f t="shared" si="217"/>
        <v>0</v>
      </c>
      <c r="CH656">
        <f t="shared" si="218"/>
        <v>0</v>
      </c>
      <c r="CI656">
        <f t="shared" si="219"/>
        <v>0</v>
      </c>
      <c r="CJ656">
        <f t="shared" si="220"/>
        <v>0</v>
      </c>
      <c r="CK656">
        <f t="shared" si="221"/>
        <v>0</v>
      </c>
      <c r="CL656">
        <f t="shared" si="222"/>
        <v>0</v>
      </c>
      <c r="CM656">
        <f t="shared" si="224"/>
        <v>0</v>
      </c>
      <c r="CN656">
        <f t="shared" si="223"/>
        <v>0</v>
      </c>
      <c r="CO656">
        <f t="shared" si="207"/>
        <v>0</v>
      </c>
    </row>
    <row r="657" spans="1:93" s="12" customFormat="1" ht="14.65" customHeight="1" x14ac:dyDescent="0.25">
      <c r="A657" s="4">
        <v>2021</v>
      </c>
      <c r="B657" s="318">
        <v>44301</v>
      </c>
      <c r="C657" s="4" t="s">
        <v>66</v>
      </c>
      <c r="D657" s="4" t="s">
        <v>65</v>
      </c>
      <c r="E657" s="4"/>
      <c r="F657" s="4" t="s">
        <v>90</v>
      </c>
      <c r="G657" s="5" t="s">
        <v>427</v>
      </c>
      <c r="H657" s="5" t="s">
        <v>428</v>
      </c>
      <c r="I657" s="5" t="s">
        <v>143</v>
      </c>
      <c r="J657" s="5" t="s">
        <v>10</v>
      </c>
      <c r="K657" s="5">
        <v>18</v>
      </c>
      <c r="L657" s="5">
        <v>55</v>
      </c>
      <c r="M657" s="5">
        <v>1666</v>
      </c>
      <c r="N657" s="5" t="s">
        <v>170</v>
      </c>
      <c r="O657" s="6" t="s">
        <v>81</v>
      </c>
      <c r="P657" s="6" t="s">
        <v>429</v>
      </c>
      <c r="Q657" s="6"/>
      <c r="R657" s="6"/>
      <c r="S657" s="6">
        <v>57</v>
      </c>
      <c r="T657" s="6">
        <v>19.899999999999999</v>
      </c>
      <c r="U657" s="6">
        <v>1402</v>
      </c>
      <c r="V657" s="6">
        <v>28.51</v>
      </c>
      <c r="W657" s="6">
        <v>50</v>
      </c>
      <c r="X657" s="6">
        <v>303</v>
      </c>
      <c r="Y657" s="6">
        <v>595</v>
      </c>
      <c r="Z657" s="6">
        <v>375</v>
      </c>
      <c r="AA657" s="6">
        <v>75</v>
      </c>
      <c r="AB657" s="6">
        <v>4</v>
      </c>
      <c r="AC657" s="7">
        <v>93</v>
      </c>
      <c r="AD657" s="7" t="s">
        <v>52</v>
      </c>
      <c r="AE657" s="7">
        <v>28.75</v>
      </c>
      <c r="AF657" s="7">
        <v>279</v>
      </c>
      <c r="AG657" s="7">
        <v>22.14</v>
      </c>
      <c r="AH657" s="7">
        <v>31.79</v>
      </c>
      <c r="AI657" s="7">
        <v>38.090000000000003</v>
      </c>
      <c r="AJ657" s="9">
        <v>293.892301735589</v>
      </c>
      <c r="AK657" s="9">
        <v>317.65276270862802</v>
      </c>
      <c r="AL657" s="9">
        <v>359.75209849458599</v>
      </c>
      <c r="AM657" s="9">
        <v>51.9125555307414</v>
      </c>
      <c r="AN657" s="9">
        <v>0.55819952183592902</v>
      </c>
      <c r="AO657" s="9">
        <v>0.49746086085611302</v>
      </c>
      <c r="AP657" s="9">
        <v>735.77820487500196</v>
      </c>
      <c r="AQ657" s="9">
        <v>7.9115936008064702</v>
      </c>
      <c r="AR657" s="9">
        <v>10.2090234449846</v>
      </c>
      <c r="AS657" s="8" t="s">
        <v>169</v>
      </c>
      <c r="AT657" s="8" t="s">
        <v>169</v>
      </c>
      <c r="AU657" s="10" t="s">
        <v>169</v>
      </c>
      <c r="AV657" s="10">
        <v>0</v>
      </c>
      <c r="AW657" s="8"/>
      <c r="AX657" s="10" t="s">
        <v>169</v>
      </c>
      <c r="AY657" s="10"/>
      <c r="AZ657" s="10"/>
      <c r="BA657" s="10"/>
      <c r="BB657" s="8"/>
      <c r="BC657" s="8"/>
      <c r="BD657" s="8"/>
      <c r="BE657" s="8"/>
      <c r="BF657" s="12">
        <v>0.55000000000000004</v>
      </c>
      <c r="BG657" s="13">
        <v>344.61253101627199</v>
      </c>
      <c r="BH657" s="96" t="str">
        <f>+VLOOKUP(G657,Liste!$A$7:$G$50,3,FALSE)</f>
        <v>Hêtre commun</v>
      </c>
      <c r="BI657" s="96" t="str">
        <f>+VLOOKUP(H657,Liste!$B$7:$G$50,5,FALSE)</f>
        <v>GS Hêtraies et hêtraies sapinières des Pyrénées</v>
      </c>
      <c r="BJ657" s="135">
        <f t="shared" si="206"/>
        <v>93</v>
      </c>
      <c r="BK657" s="135" t="str">
        <f t="shared" si="208"/>
        <v>Hêtre commun_F2_Entree 19-20m_GS Hêtraies et hêtraies sapinières des Pyrénées_93_</v>
      </c>
      <c r="BL657" s="322"/>
      <c r="BM657" s="13">
        <v>85.819528667086104</v>
      </c>
      <c r="BN657" s="13">
        <v>430.43205968335798</v>
      </c>
      <c r="BO657" s="13" t="s">
        <v>169</v>
      </c>
      <c r="BP657" s="13">
        <v>300.22307244627501</v>
      </c>
      <c r="BQ657" s="13">
        <v>11.754610334858199</v>
      </c>
      <c r="BT657" s="298" t="str">
        <f>+VLOOKUP(G657,Liste!$A$7:$H$50,8,FALSE)</f>
        <v>Feuillus</v>
      </c>
      <c r="BU657" s="298">
        <f t="shared" si="209"/>
        <v>1</v>
      </c>
      <c r="BV657" s="300">
        <f t="shared" si="210"/>
        <v>0</v>
      </c>
      <c r="BW657" s="321">
        <v>0</v>
      </c>
      <c r="BX657" s="298">
        <f t="shared" si="211"/>
        <v>0.25</v>
      </c>
      <c r="BY657">
        <f t="shared" si="212"/>
        <v>0</v>
      </c>
      <c r="BZ657" s="304">
        <f t="shared" si="213"/>
        <v>0</v>
      </c>
      <c r="CB657" s="299">
        <v>0.6</v>
      </c>
      <c r="CC657" s="299">
        <v>0.4</v>
      </c>
      <c r="CD657">
        <f t="shared" si="214"/>
        <v>0</v>
      </c>
      <c r="CE657">
        <f t="shared" si="215"/>
        <v>0</v>
      </c>
      <c r="CF657">
        <f t="shared" si="216"/>
        <v>0</v>
      </c>
      <c r="CG657">
        <f t="shared" si="217"/>
        <v>0</v>
      </c>
      <c r="CH657">
        <f t="shared" si="218"/>
        <v>0</v>
      </c>
      <c r="CI657">
        <f t="shared" si="219"/>
        <v>0</v>
      </c>
      <c r="CJ657">
        <f t="shared" si="220"/>
        <v>0</v>
      </c>
      <c r="CK657">
        <f t="shared" si="221"/>
        <v>0</v>
      </c>
      <c r="CL657">
        <f t="shared" si="222"/>
        <v>0</v>
      </c>
      <c r="CM657">
        <f t="shared" si="224"/>
        <v>0</v>
      </c>
      <c r="CN657">
        <f t="shared" si="223"/>
        <v>0</v>
      </c>
      <c r="CO657">
        <f t="shared" si="207"/>
        <v>0</v>
      </c>
    </row>
    <row r="658" spans="1:93" s="12" customFormat="1" ht="14.65" customHeight="1" x14ac:dyDescent="0.25">
      <c r="A658" s="4">
        <v>2021</v>
      </c>
      <c r="B658" s="318">
        <v>44301</v>
      </c>
      <c r="C658" s="4" t="s">
        <v>66</v>
      </c>
      <c r="D658" s="4" t="s">
        <v>65</v>
      </c>
      <c r="E658" s="4"/>
      <c r="F658" s="4" t="s">
        <v>90</v>
      </c>
      <c r="G658" s="5" t="s">
        <v>427</v>
      </c>
      <c r="H658" s="5" t="s">
        <v>428</v>
      </c>
      <c r="I658" s="5" t="s">
        <v>143</v>
      </c>
      <c r="J658" s="5" t="s">
        <v>10</v>
      </c>
      <c r="K658" s="5">
        <v>18</v>
      </c>
      <c r="L658" s="5">
        <v>55</v>
      </c>
      <c r="M658" s="5">
        <v>1666</v>
      </c>
      <c r="N658" s="5" t="s">
        <v>170</v>
      </c>
      <c r="O658" s="6" t="s">
        <v>81</v>
      </c>
      <c r="P658" s="6" t="s">
        <v>429</v>
      </c>
      <c r="Q658" s="6"/>
      <c r="R658" s="6"/>
      <c r="S658" s="6">
        <v>57</v>
      </c>
      <c r="T658" s="6">
        <v>19.899999999999999</v>
      </c>
      <c r="U658" s="6">
        <v>1402</v>
      </c>
      <c r="V658" s="6">
        <v>28.51</v>
      </c>
      <c r="W658" s="6">
        <v>50</v>
      </c>
      <c r="X658" s="6">
        <v>303</v>
      </c>
      <c r="Y658" s="6">
        <v>595</v>
      </c>
      <c r="Z658" s="6">
        <v>375</v>
      </c>
      <c r="AA658" s="6">
        <v>75</v>
      </c>
      <c r="AB658" s="6">
        <v>4</v>
      </c>
      <c r="AC658" s="7">
        <v>93</v>
      </c>
      <c r="AD658" s="7" t="s">
        <v>53</v>
      </c>
      <c r="AE658" s="7">
        <v>28.75</v>
      </c>
      <c r="AF658" s="7">
        <v>212</v>
      </c>
      <c r="AG658" s="7">
        <v>17.579999999999998</v>
      </c>
      <c r="AH658" s="7">
        <v>32.49</v>
      </c>
      <c r="AI658" s="7">
        <v>37.630000000000003</v>
      </c>
      <c r="AJ658" s="9">
        <v>234.05783393949599</v>
      </c>
      <c r="AK658" s="9">
        <v>253.53348730111301</v>
      </c>
      <c r="AL658" s="9">
        <v>286.85338408562899</v>
      </c>
      <c r="AM658" s="9">
        <v>51.9125555307414</v>
      </c>
      <c r="AN658" s="9">
        <v>0.55819952183592902</v>
      </c>
      <c r="AO658" s="9">
        <v>0.49746086085611302</v>
      </c>
      <c r="AP658" s="9">
        <v>735.77820487500196</v>
      </c>
      <c r="AQ658" s="9">
        <v>7.9115936008064702</v>
      </c>
      <c r="AR658" s="9">
        <v>10.2090234449846</v>
      </c>
      <c r="AS658" s="8">
        <v>67</v>
      </c>
      <c r="AT658" s="8">
        <v>4.5600000000000023</v>
      </c>
      <c r="AU658" s="10">
        <v>29.437442712159854</v>
      </c>
      <c r="AV658" s="10">
        <v>59.834467796093008</v>
      </c>
      <c r="AW658" s="10">
        <v>0.86</v>
      </c>
      <c r="AX658" s="10">
        <v>0.89305175815064197</v>
      </c>
      <c r="AY658" s="10"/>
      <c r="AZ658" s="10"/>
      <c r="BA658" s="10"/>
      <c r="BB658" s="8"/>
      <c r="BC658" s="8"/>
      <c r="BD658" s="8"/>
      <c r="BE658" s="8"/>
      <c r="BF658" s="12">
        <v>0.55000000000000004</v>
      </c>
      <c r="BG658" s="13">
        <v>274.78163750535901</v>
      </c>
      <c r="BH658" s="96" t="str">
        <f>+VLOOKUP(G658,Liste!$A$7:$G$50,3,FALSE)</f>
        <v>Hêtre commun</v>
      </c>
      <c r="BI658" s="96" t="str">
        <f>+VLOOKUP(H658,Liste!$B$7:$G$50,5,FALSE)</f>
        <v>GS Hêtraies et hêtraies sapinières des Pyrénées</v>
      </c>
      <c r="BJ658" s="135">
        <f t="shared" si="206"/>
        <v>93</v>
      </c>
      <c r="BK658" s="135" t="str">
        <f t="shared" si="208"/>
        <v>Hêtre commun_F2_Entree 19-20m_GS Hêtraies et hêtraies sapinières des Pyrénées_93_</v>
      </c>
      <c r="BL658" s="322"/>
      <c r="BM658" s="13">
        <v>70.257053770285907</v>
      </c>
      <c r="BN658" s="13">
        <v>345.03869127564502</v>
      </c>
      <c r="BO658" s="13">
        <v>85.393368407712956</v>
      </c>
      <c r="BP658" s="13">
        <v>300.22307244627501</v>
      </c>
      <c r="BQ658" s="13">
        <v>11.754610334858199</v>
      </c>
      <c r="BT658" s="298" t="str">
        <f>+VLOOKUP(G658,Liste!$A$7:$H$50,8,FALSE)</f>
        <v>Feuillus</v>
      </c>
      <c r="BU658" s="298">
        <f t="shared" si="209"/>
        <v>1</v>
      </c>
      <c r="BV658" s="300">
        <f t="shared" si="210"/>
        <v>0</v>
      </c>
      <c r="BW658" s="321">
        <v>0</v>
      </c>
      <c r="BX658" s="298">
        <f t="shared" si="211"/>
        <v>0.25</v>
      </c>
      <c r="BY658">
        <f t="shared" si="212"/>
        <v>0</v>
      </c>
      <c r="BZ658" s="304">
        <f t="shared" si="213"/>
        <v>0</v>
      </c>
      <c r="CB658" s="299">
        <v>0.6</v>
      </c>
      <c r="CC658" s="299">
        <v>0.4</v>
      </c>
      <c r="CD658">
        <f t="shared" si="214"/>
        <v>0</v>
      </c>
      <c r="CE658">
        <f t="shared" si="215"/>
        <v>0</v>
      </c>
      <c r="CF658">
        <f t="shared" si="216"/>
        <v>0</v>
      </c>
      <c r="CG658">
        <f t="shared" si="217"/>
        <v>0</v>
      </c>
      <c r="CH658">
        <f t="shared" si="218"/>
        <v>0</v>
      </c>
      <c r="CI658">
        <f t="shared" si="219"/>
        <v>0</v>
      </c>
      <c r="CJ658">
        <f t="shared" si="220"/>
        <v>0</v>
      </c>
      <c r="CK658">
        <f t="shared" si="221"/>
        <v>0</v>
      </c>
      <c r="CL658">
        <f t="shared" si="222"/>
        <v>0</v>
      </c>
      <c r="CM658">
        <f t="shared" si="224"/>
        <v>0</v>
      </c>
      <c r="CN658">
        <f t="shared" si="223"/>
        <v>0</v>
      </c>
      <c r="CO658">
        <f t="shared" si="207"/>
        <v>0</v>
      </c>
    </row>
    <row r="659" spans="1:93" s="12" customFormat="1" ht="14.65" customHeight="1" x14ac:dyDescent="0.25">
      <c r="A659" s="4">
        <v>2021</v>
      </c>
      <c r="B659" s="318">
        <v>44301</v>
      </c>
      <c r="C659" s="4" t="s">
        <v>66</v>
      </c>
      <c r="D659" s="4" t="s">
        <v>65</v>
      </c>
      <c r="E659" s="4"/>
      <c r="F659" s="4" t="s">
        <v>90</v>
      </c>
      <c r="G659" s="5" t="s">
        <v>427</v>
      </c>
      <c r="H659" s="5" t="s">
        <v>428</v>
      </c>
      <c r="I659" s="5" t="s">
        <v>143</v>
      </c>
      <c r="J659" s="5" t="s">
        <v>10</v>
      </c>
      <c r="K659" s="5">
        <v>18</v>
      </c>
      <c r="L659" s="5">
        <v>55</v>
      </c>
      <c r="M659" s="5">
        <v>1666</v>
      </c>
      <c r="N659" s="5" t="s">
        <v>170</v>
      </c>
      <c r="O659" s="6" t="s">
        <v>81</v>
      </c>
      <c r="P659" s="6" t="s">
        <v>429</v>
      </c>
      <c r="Q659" s="6"/>
      <c r="R659" s="6"/>
      <c r="S659" s="6">
        <v>57</v>
      </c>
      <c r="T659" s="6">
        <v>19.899999999999999</v>
      </c>
      <c r="U659" s="6">
        <v>1402</v>
      </c>
      <c r="V659" s="6">
        <v>28.51</v>
      </c>
      <c r="W659" s="6">
        <v>50</v>
      </c>
      <c r="X659" s="6">
        <v>303</v>
      </c>
      <c r="Y659" s="6">
        <v>595</v>
      </c>
      <c r="Z659" s="6">
        <v>375</v>
      </c>
      <c r="AA659" s="6">
        <v>75</v>
      </c>
      <c r="AB659" s="6">
        <v>4</v>
      </c>
      <c r="AC659" s="7">
        <v>96</v>
      </c>
      <c r="AD659" s="7" t="s">
        <v>52</v>
      </c>
      <c r="AE659" s="7">
        <v>29.28</v>
      </c>
      <c r="AF659" s="7">
        <v>212</v>
      </c>
      <c r="AG659" s="7">
        <v>19.07</v>
      </c>
      <c r="AH659" s="7">
        <v>33.840000000000003</v>
      </c>
      <c r="AI659" s="7">
        <v>39.17</v>
      </c>
      <c r="AJ659" s="9">
        <v>259.53913277226002</v>
      </c>
      <c r="AK659" s="9">
        <v>281.60645259079502</v>
      </c>
      <c r="AL659" s="9">
        <v>317.48045442058299</v>
      </c>
      <c r="AM659" s="9">
        <v>53.404938113309697</v>
      </c>
      <c r="AN659" s="9">
        <v>0.55630143868030901</v>
      </c>
      <c r="AO659" s="9">
        <v>0.48348142019212997</v>
      </c>
      <c r="AP659" s="9">
        <v>766.40527520995602</v>
      </c>
      <c r="AQ659" s="9">
        <v>7.9833882834370398</v>
      </c>
      <c r="AR659" s="9">
        <v>10.073548711914601</v>
      </c>
      <c r="AS659" s="8" t="s">
        <v>169</v>
      </c>
      <c r="AT659" s="8" t="s">
        <v>169</v>
      </c>
      <c r="AU659" s="10" t="s">
        <v>169</v>
      </c>
      <c r="AV659" s="10">
        <v>0</v>
      </c>
      <c r="AW659" s="8"/>
      <c r="AX659" s="10" t="s">
        <v>169</v>
      </c>
      <c r="AY659" s="10"/>
      <c r="AZ659" s="10"/>
      <c r="BA659" s="10"/>
      <c r="BB659" s="8"/>
      <c r="BC659" s="8"/>
      <c r="BD659" s="8"/>
      <c r="BE659" s="8"/>
      <c r="BF659" s="12">
        <v>0.55000000000000004</v>
      </c>
      <c r="BG659" s="13">
        <v>304.11981863038397</v>
      </c>
      <c r="BH659" s="96" t="str">
        <f>+VLOOKUP(G659,Liste!$A$7:$G$50,3,FALSE)</f>
        <v>Hêtre commun</v>
      </c>
      <c r="BI659" s="96" t="str">
        <f>+VLOOKUP(H659,Liste!$B$7:$G$50,5,FALSE)</f>
        <v>GS Hêtraies et hêtraies sapinières des Pyrénées</v>
      </c>
      <c r="BJ659" s="135">
        <f t="shared" si="206"/>
        <v>96</v>
      </c>
      <c r="BK659" s="135" t="str">
        <f t="shared" si="208"/>
        <v>Hêtre commun_F2_Entree 19-20m_GS Hêtraies et hêtraies sapinières des Pyrénées_96_</v>
      </c>
      <c r="BL659" s="322"/>
      <c r="BM659" s="13">
        <v>76.845548111723204</v>
      </c>
      <c r="BN659" s="13">
        <v>380.96536674210699</v>
      </c>
      <c r="BO659" s="13" t="s">
        <v>169</v>
      </c>
      <c r="BP659" s="13">
        <v>300.22307244627501</v>
      </c>
      <c r="BQ659" s="13">
        <v>11.589636372654899</v>
      </c>
      <c r="BT659" s="298" t="str">
        <f>+VLOOKUP(G659,Liste!$A$7:$H$50,8,FALSE)</f>
        <v>Feuillus</v>
      </c>
      <c r="BU659" s="298">
        <f t="shared" si="209"/>
        <v>1</v>
      </c>
      <c r="BV659" s="300">
        <f t="shared" si="210"/>
        <v>0</v>
      </c>
      <c r="BW659" s="321">
        <v>0</v>
      </c>
      <c r="BX659" s="298">
        <f t="shared" si="211"/>
        <v>0.25</v>
      </c>
      <c r="BY659">
        <f t="shared" si="212"/>
        <v>0</v>
      </c>
      <c r="BZ659" s="304">
        <f t="shared" si="213"/>
        <v>0</v>
      </c>
      <c r="CB659" s="299">
        <v>0.6</v>
      </c>
      <c r="CC659" s="299">
        <v>0.4</v>
      </c>
      <c r="CD659">
        <f t="shared" si="214"/>
        <v>0</v>
      </c>
      <c r="CE659">
        <f t="shared" si="215"/>
        <v>0</v>
      </c>
      <c r="CF659">
        <f t="shared" si="216"/>
        <v>0</v>
      </c>
      <c r="CG659">
        <f t="shared" si="217"/>
        <v>0</v>
      </c>
      <c r="CH659">
        <f t="shared" si="218"/>
        <v>0</v>
      </c>
      <c r="CI659">
        <f t="shared" si="219"/>
        <v>0</v>
      </c>
      <c r="CJ659">
        <f t="shared" si="220"/>
        <v>0</v>
      </c>
      <c r="CK659">
        <f t="shared" si="221"/>
        <v>0</v>
      </c>
      <c r="CL659">
        <f t="shared" si="222"/>
        <v>0</v>
      </c>
      <c r="CM659">
        <f t="shared" si="224"/>
        <v>0</v>
      </c>
      <c r="CN659">
        <f t="shared" si="223"/>
        <v>0</v>
      </c>
      <c r="CO659">
        <f t="shared" si="207"/>
        <v>0</v>
      </c>
    </row>
    <row r="660" spans="1:93" s="12" customFormat="1" ht="14.65" customHeight="1" x14ac:dyDescent="0.25">
      <c r="A660" s="4">
        <v>2021</v>
      </c>
      <c r="B660" s="318">
        <v>44301</v>
      </c>
      <c r="C660" s="4" t="s">
        <v>66</v>
      </c>
      <c r="D660" s="4" t="s">
        <v>65</v>
      </c>
      <c r="E660" s="4"/>
      <c r="F660" s="4" t="s">
        <v>90</v>
      </c>
      <c r="G660" s="5" t="s">
        <v>427</v>
      </c>
      <c r="H660" s="5" t="s">
        <v>428</v>
      </c>
      <c r="I660" s="5" t="s">
        <v>143</v>
      </c>
      <c r="J660" s="5" t="s">
        <v>10</v>
      </c>
      <c r="K660" s="5">
        <v>18</v>
      </c>
      <c r="L660" s="5">
        <v>55</v>
      </c>
      <c r="M660" s="5">
        <v>1666</v>
      </c>
      <c r="N660" s="5" t="s">
        <v>170</v>
      </c>
      <c r="O660" s="6" t="s">
        <v>81</v>
      </c>
      <c r="P660" s="6" t="s">
        <v>429</v>
      </c>
      <c r="Q660" s="6"/>
      <c r="R660" s="6"/>
      <c r="S660" s="6">
        <v>57</v>
      </c>
      <c r="T660" s="6">
        <v>19.899999999999999</v>
      </c>
      <c r="U660" s="6">
        <v>1402</v>
      </c>
      <c r="V660" s="6">
        <v>28.51</v>
      </c>
      <c r="W660" s="6">
        <v>50</v>
      </c>
      <c r="X660" s="6">
        <v>303</v>
      </c>
      <c r="Y660" s="6">
        <v>595</v>
      </c>
      <c r="Z660" s="6">
        <v>375</v>
      </c>
      <c r="AA660" s="6">
        <v>75</v>
      </c>
      <c r="AB660" s="6">
        <v>4</v>
      </c>
      <c r="AC660" s="7">
        <v>99</v>
      </c>
      <c r="AD660" s="7" t="s">
        <v>52</v>
      </c>
      <c r="AE660" s="7">
        <v>29.78</v>
      </c>
      <c r="AF660" s="7">
        <v>212</v>
      </c>
      <c r="AG660" s="7">
        <v>20.52</v>
      </c>
      <c r="AH660" s="7">
        <v>35.1</v>
      </c>
      <c r="AI660" s="7">
        <v>40.619999999999997</v>
      </c>
      <c r="AJ660" s="9">
        <v>284.66936529019199</v>
      </c>
      <c r="AK660" s="9">
        <v>309.34579827183597</v>
      </c>
      <c r="AL660" s="9">
        <v>347.70110055632699</v>
      </c>
      <c r="AM660" s="9">
        <v>54.855382373886101</v>
      </c>
      <c r="AN660" s="9">
        <v>0.55409477145339503</v>
      </c>
      <c r="AO660" s="9">
        <v>0.46939085877798697</v>
      </c>
      <c r="AP660" s="9">
        <v>796.625921345699</v>
      </c>
      <c r="AQ660" s="9">
        <v>8.0467264782393908</v>
      </c>
      <c r="AR660" s="9">
        <v>10.011073805757</v>
      </c>
      <c r="AS660" s="8" t="s">
        <v>169</v>
      </c>
      <c r="AT660" s="8" t="s">
        <v>169</v>
      </c>
      <c r="AU660" s="10" t="s">
        <v>169</v>
      </c>
      <c r="AV660" s="10">
        <v>0</v>
      </c>
      <c r="AW660" s="8"/>
      <c r="AX660" s="10" t="s">
        <v>169</v>
      </c>
      <c r="AY660" s="10"/>
      <c r="AZ660" s="10"/>
      <c r="BA660" s="10"/>
      <c r="BB660" s="8"/>
      <c r="BC660" s="8"/>
      <c r="BD660" s="8"/>
      <c r="BE660" s="8"/>
      <c r="BF660" s="12">
        <v>0.55000000000000004</v>
      </c>
      <c r="BG660" s="13">
        <v>333.06867924124799</v>
      </c>
      <c r="BH660" s="96" t="str">
        <f>+VLOOKUP(G660,Liste!$A$7:$G$50,3,FALSE)</f>
        <v>Hêtre commun</v>
      </c>
      <c r="BI660" s="96" t="str">
        <f>+VLOOKUP(H660,Liste!$B$7:$G$50,5,FALSE)</f>
        <v>GS Hêtraies et hêtraies sapinières des Pyrénées</v>
      </c>
      <c r="BJ660" s="135">
        <f t="shared" si="206"/>
        <v>99</v>
      </c>
      <c r="BK660" s="135" t="str">
        <f t="shared" si="208"/>
        <v>Hêtre commun_F2_Entree 19-20m_GS Hêtraies et hêtraies sapinières des Pyrénées_99_</v>
      </c>
      <c r="BL660" s="322"/>
      <c r="BM660" s="13">
        <v>83.274351000119495</v>
      </c>
      <c r="BN660" s="13">
        <v>416.34303024136801</v>
      </c>
      <c r="BO660" s="13" t="s">
        <v>169</v>
      </c>
      <c r="BP660" s="13">
        <v>300.22307244627501</v>
      </c>
      <c r="BQ660" s="13">
        <v>11.5092876606718</v>
      </c>
      <c r="BT660" s="298" t="str">
        <f>+VLOOKUP(G660,Liste!$A$7:$H$50,8,FALSE)</f>
        <v>Feuillus</v>
      </c>
      <c r="BU660" s="298">
        <f t="shared" si="209"/>
        <v>1</v>
      </c>
      <c r="BV660" s="300">
        <f t="shared" si="210"/>
        <v>0</v>
      </c>
      <c r="BW660" s="321">
        <v>0</v>
      </c>
      <c r="BX660" s="298">
        <f t="shared" si="211"/>
        <v>0.25</v>
      </c>
      <c r="BY660">
        <f t="shared" si="212"/>
        <v>0</v>
      </c>
      <c r="BZ660" s="304">
        <f t="shared" si="213"/>
        <v>0</v>
      </c>
      <c r="CB660" s="299">
        <v>0.6</v>
      </c>
      <c r="CC660" s="299">
        <v>0.4</v>
      </c>
      <c r="CD660">
        <f t="shared" si="214"/>
        <v>0</v>
      </c>
      <c r="CE660">
        <f t="shared" si="215"/>
        <v>0</v>
      </c>
      <c r="CF660">
        <f t="shared" si="216"/>
        <v>0</v>
      </c>
      <c r="CG660">
        <f t="shared" si="217"/>
        <v>0</v>
      </c>
      <c r="CH660">
        <f t="shared" si="218"/>
        <v>0</v>
      </c>
      <c r="CI660">
        <f t="shared" si="219"/>
        <v>0</v>
      </c>
      <c r="CJ660">
        <f t="shared" si="220"/>
        <v>0</v>
      </c>
      <c r="CK660">
        <f t="shared" si="221"/>
        <v>0</v>
      </c>
      <c r="CL660">
        <f t="shared" si="222"/>
        <v>0</v>
      </c>
      <c r="CM660">
        <f t="shared" si="224"/>
        <v>0</v>
      </c>
      <c r="CN660">
        <f t="shared" si="223"/>
        <v>0</v>
      </c>
      <c r="CO660">
        <f t="shared" si="207"/>
        <v>0</v>
      </c>
    </row>
    <row r="661" spans="1:93" s="12" customFormat="1" ht="14.65" customHeight="1" x14ac:dyDescent="0.25">
      <c r="A661" s="4">
        <v>2021</v>
      </c>
      <c r="B661" s="318">
        <v>44301</v>
      </c>
      <c r="C661" s="4" t="s">
        <v>66</v>
      </c>
      <c r="D661" s="4" t="s">
        <v>65</v>
      </c>
      <c r="E661" s="4"/>
      <c r="F661" s="4" t="s">
        <v>90</v>
      </c>
      <c r="G661" s="5" t="s">
        <v>427</v>
      </c>
      <c r="H661" s="5" t="s">
        <v>428</v>
      </c>
      <c r="I661" s="5" t="s">
        <v>143</v>
      </c>
      <c r="J661" s="5" t="s">
        <v>10</v>
      </c>
      <c r="K661" s="5">
        <v>18</v>
      </c>
      <c r="L661" s="5">
        <v>55</v>
      </c>
      <c r="M661" s="5">
        <v>1666</v>
      </c>
      <c r="N661" s="5" t="s">
        <v>170</v>
      </c>
      <c r="O661" s="6" t="s">
        <v>81</v>
      </c>
      <c r="P661" s="6" t="s">
        <v>429</v>
      </c>
      <c r="Q661" s="6"/>
      <c r="R661" s="6"/>
      <c r="S661" s="6">
        <v>57</v>
      </c>
      <c r="T661" s="6">
        <v>19.899999999999999</v>
      </c>
      <c r="U661" s="6">
        <v>1402</v>
      </c>
      <c r="V661" s="6">
        <v>28.51</v>
      </c>
      <c r="W661" s="6">
        <v>50</v>
      </c>
      <c r="X661" s="6">
        <v>303</v>
      </c>
      <c r="Y661" s="6">
        <v>595</v>
      </c>
      <c r="Z661" s="6">
        <v>375</v>
      </c>
      <c r="AA661" s="6">
        <v>75</v>
      </c>
      <c r="AB661" s="6">
        <v>4</v>
      </c>
      <c r="AC661" s="7">
        <v>102</v>
      </c>
      <c r="AD661" s="7" t="s">
        <v>52</v>
      </c>
      <c r="AE661" s="7">
        <v>30.27</v>
      </c>
      <c r="AF661" s="7">
        <v>212</v>
      </c>
      <c r="AG661" s="7">
        <v>21.92</v>
      </c>
      <c r="AH661" s="7">
        <v>36.29</v>
      </c>
      <c r="AI661" s="7">
        <v>41.99</v>
      </c>
      <c r="AJ661" s="9">
        <v>309.71110713503202</v>
      </c>
      <c r="AK661" s="9">
        <v>336.980083405823</v>
      </c>
      <c r="AL661" s="9">
        <v>377.73432197359801</v>
      </c>
      <c r="AM661" s="9">
        <v>56.263554950220097</v>
      </c>
      <c r="AN661" s="9">
        <v>0.55160347990411795</v>
      </c>
      <c r="AO661" s="9">
        <v>0.454663509622937</v>
      </c>
      <c r="AP661" s="9">
        <v>826.65914276297099</v>
      </c>
      <c r="AQ661" s="9">
        <v>8.1045013996369697</v>
      </c>
      <c r="AR661" s="9">
        <v>9.8868356160670992</v>
      </c>
      <c r="AS661" s="8" t="s">
        <v>169</v>
      </c>
      <c r="AT661" s="8" t="s">
        <v>169</v>
      </c>
      <c r="AU661" s="10" t="s">
        <v>169</v>
      </c>
      <c r="AV661" s="10">
        <v>0</v>
      </c>
      <c r="AW661" s="8"/>
      <c r="AX661" s="10" t="s">
        <v>169</v>
      </c>
      <c r="AY661" s="10"/>
      <c r="AZ661" s="10"/>
      <c r="BA661" s="10"/>
      <c r="BB661" s="8"/>
      <c r="BC661" s="8"/>
      <c r="BD661" s="8"/>
      <c r="BE661" s="8"/>
      <c r="BF661" s="12">
        <v>0.55000000000000004</v>
      </c>
      <c r="BG661" s="13">
        <v>361.838002590543</v>
      </c>
      <c r="BH661" s="96" t="str">
        <f>+VLOOKUP(G661,Liste!$A$7:$G$50,3,FALSE)</f>
        <v>Hêtre commun</v>
      </c>
      <c r="BI661" s="96" t="str">
        <f>+VLOOKUP(H661,Liste!$B$7:$G$50,5,FALSE)</f>
        <v>GS Hêtraies et hêtraies sapinières des Pyrénées</v>
      </c>
      <c r="BJ661" s="135">
        <f t="shared" si="206"/>
        <v>102</v>
      </c>
      <c r="BK661" s="135" t="str">
        <f t="shared" si="208"/>
        <v>Hêtre commun_F2_Entree 19-20m_GS Hêtraies et hêtraies sapinières des Pyrénées_102_</v>
      </c>
      <c r="BL661" s="322"/>
      <c r="BM661" s="13">
        <v>89.599074282113506</v>
      </c>
      <c r="BN661" s="13">
        <v>451.43707687265601</v>
      </c>
      <c r="BO661" s="13" t="s">
        <v>169</v>
      </c>
      <c r="BP661" s="13">
        <v>300.22307244627501</v>
      </c>
      <c r="BQ661" s="13">
        <v>11.3585032211748</v>
      </c>
      <c r="BT661" s="298" t="str">
        <f>+VLOOKUP(G661,Liste!$A$7:$H$50,8,FALSE)</f>
        <v>Feuillus</v>
      </c>
      <c r="BU661" s="298">
        <f t="shared" si="209"/>
        <v>1</v>
      </c>
      <c r="BV661" s="300">
        <f t="shared" si="210"/>
        <v>0</v>
      </c>
      <c r="BW661" s="321">
        <v>0</v>
      </c>
      <c r="BX661" s="298">
        <f t="shared" si="211"/>
        <v>0.25</v>
      </c>
      <c r="BY661">
        <f t="shared" si="212"/>
        <v>0</v>
      </c>
      <c r="BZ661" s="304">
        <f t="shared" si="213"/>
        <v>0</v>
      </c>
      <c r="CB661" s="299">
        <v>0.6</v>
      </c>
      <c r="CC661" s="299">
        <v>0.4</v>
      </c>
      <c r="CD661">
        <f t="shared" si="214"/>
        <v>0</v>
      </c>
      <c r="CE661">
        <f t="shared" si="215"/>
        <v>0</v>
      </c>
      <c r="CF661">
        <f t="shared" si="216"/>
        <v>0</v>
      </c>
      <c r="CG661">
        <f t="shared" si="217"/>
        <v>0</v>
      </c>
      <c r="CH661">
        <f t="shared" si="218"/>
        <v>0</v>
      </c>
      <c r="CI661">
        <f t="shared" si="219"/>
        <v>0</v>
      </c>
      <c r="CJ661">
        <f t="shared" si="220"/>
        <v>0</v>
      </c>
      <c r="CK661">
        <f t="shared" si="221"/>
        <v>0</v>
      </c>
      <c r="CL661">
        <f t="shared" si="222"/>
        <v>0</v>
      </c>
      <c r="CM661">
        <f t="shared" si="224"/>
        <v>0</v>
      </c>
      <c r="CN661">
        <f t="shared" si="223"/>
        <v>0</v>
      </c>
      <c r="CO661">
        <f t="shared" si="207"/>
        <v>0</v>
      </c>
    </row>
    <row r="662" spans="1:93" s="12" customFormat="1" ht="14.65" customHeight="1" x14ac:dyDescent="0.25">
      <c r="A662" s="4">
        <v>2021</v>
      </c>
      <c r="B662" s="318">
        <v>44301</v>
      </c>
      <c r="C662" s="4" t="s">
        <v>66</v>
      </c>
      <c r="D662" s="4" t="s">
        <v>65</v>
      </c>
      <c r="E662" s="4"/>
      <c r="F662" s="4" t="s">
        <v>90</v>
      </c>
      <c r="G662" s="5" t="s">
        <v>427</v>
      </c>
      <c r="H662" s="5" t="s">
        <v>428</v>
      </c>
      <c r="I662" s="5" t="s">
        <v>143</v>
      </c>
      <c r="J662" s="5" t="s">
        <v>10</v>
      </c>
      <c r="K662" s="5">
        <v>18</v>
      </c>
      <c r="L662" s="5">
        <v>55</v>
      </c>
      <c r="M662" s="5">
        <v>1666</v>
      </c>
      <c r="N662" s="5" t="s">
        <v>170</v>
      </c>
      <c r="O662" s="6" t="s">
        <v>81</v>
      </c>
      <c r="P662" s="6" t="s">
        <v>429</v>
      </c>
      <c r="Q662" s="6"/>
      <c r="R662" s="6"/>
      <c r="S662" s="6">
        <v>57</v>
      </c>
      <c r="T662" s="6">
        <v>19.899999999999999</v>
      </c>
      <c r="U662" s="6">
        <v>1402</v>
      </c>
      <c r="V662" s="6">
        <v>28.51</v>
      </c>
      <c r="W662" s="6">
        <v>50</v>
      </c>
      <c r="X662" s="6">
        <v>303</v>
      </c>
      <c r="Y662" s="6">
        <v>595</v>
      </c>
      <c r="Z662" s="6">
        <v>375</v>
      </c>
      <c r="AA662" s="6">
        <v>75</v>
      </c>
      <c r="AB662" s="6">
        <v>4</v>
      </c>
      <c r="AC662" s="7">
        <v>105</v>
      </c>
      <c r="AD662" s="7" t="s">
        <v>52</v>
      </c>
      <c r="AE662" s="7">
        <v>30.73</v>
      </c>
      <c r="AF662" s="7">
        <v>212</v>
      </c>
      <c r="AG662" s="7">
        <v>23.29</v>
      </c>
      <c r="AH662" s="7">
        <v>37.4</v>
      </c>
      <c r="AI662" s="7">
        <v>43.27</v>
      </c>
      <c r="AJ662" s="9">
        <v>334.48391176851902</v>
      </c>
      <c r="AK662" s="9">
        <v>364.32254172602501</v>
      </c>
      <c r="AL662" s="9">
        <v>407.39482882179902</v>
      </c>
      <c r="AM662" s="9">
        <v>57.627545479088901</v>
      </c>
      <c r="AN662" s="9">
        <v>0.54883376646751303</v>
      </c>
      <c r="AO662" s="9">
        <v>0.428428998760637</v>
      </c>
      <c r="AP662" s="9">
        <v>856.31964961117205</v>
      </c>
      <c r="AQ662" s="9">
        <v>8.1554252343921103</v>
      </c>
      <c r="AR662" s="9">
        <v>9.4448413064245305</v>
      </c>
      <c r="AS662" s="8" t="s">
        <v>169</v>
      </c>
      <c r="AT662" s="8" t="s">
        <v>169</v>
      </c>
      <c r="AU662" s="10" t="s">
        <v>169</v>
      </c>
      <c r="AV662" s="10">
        <v>0</v>
      </c>
      <c r="AW662" s="8"/>
      <c r="AX662" s="10" t="s">
        <v>169</v>
      </c>
      <c r="AY662" s="10"/>
      <c r="AZ662" s="10"/>
      <c r="BA662" s="10"/>
      <c r="BB662" s="8"/>
      <c r="BC662" s="8"/>
      <c r="BD662" s="8"/>
      <c r="BE662" s="8"/>
      <c r="BF662" s="12">
        <v>0.55000000000000004</v>
      </c>
      <c r="BG662" s="13">
        <v>390.25029644221502</v>
      </c>
      <c r="BH662" s="96" t="str">
        <f>+VLOOKUP(G662,Liste!$A$7:$G$50,3,FALSE)</f>
        <v>Hêtre commun</v>
      </c>
      <c r="BI662" s="96" t="str">
        <f>+VLOOKUP(H662,Liste!$B$7:$G$50,5,FALSE)</f>
        <v>GS Hêtraies et hêtraies sapinières des Pyrénées</v>
      </c>
      <c r="BJ662" s="135">
        <f t="shared" si="206"/>
        <v>105</v>
      </c>
      <c r="BK662" s="135" t="str">
        <f t="shared" si="208"/>
        <v>Hêtre commun_F2_Entree 19-20m_GS Hêtraies et hêtraies sapinières des Pyrénées_105_</v>
      </c>
      <c r="BL662" s="322"/>
      <c r="BM662" s="13">
        <v>95.788039328763404</v>
      </c>
      <c r="BN662" s="13">
        <v>486.03833577097902</v>
      </c>
      <c r="BO662" s="13" t="s">
        <v>169</v>
      </c>
      <c r="BP662" s="13">
        <v>300.22307244627501</v>
      </c>
      <c r="BQ662" s="13">
        <v>10.843618150797401</v>
      </c>
      <c r="BT662" s="298" t="str">
        <f>+VLOOKUP(G662,Liste!$A$7:$H$50,8,FALSE)</f>
        <v>Feuillus</v>
      </c>
      <c r="BU662" s="298">
        <f t="shared" si="209"/>
        <v>1</v>
      </c>
      <c r="BV662" s="300">
        <f t="shared" si="210"/>
        <v>0</v>
      </c>
      <c r="BW662" s="321">
        <v>0</v>
      </c>
      <c r="BX662" s="298">
        <f t="shared" si="211"/>
        <v>0.25</v>
      </c>
      <c r="BY662">
        <f t="shared" si="212"/>
        <v>0</v>
      </c>
      <c r="BZ662" s="304">
        <f t="shared" si="213"/>
        <v>0</v>
      </c>
      <c r="CB662" s="299">
        <v>0.6</v>
      </c>
      <c r="CC662" s="299">
        <v>0.4</v>
      </c>
      <c r="CD662">
        <f t="shared" si="214"/>
        <v>0</v>
      </c>
      <c r="CE662">
        <f t="shared" si="215"/>
        <v>0</v>
      </c>
      <c r="CF662">
        <f t="shared" si="216"/>
        <v>0</v>
      </c>
      <c r="CG662">
        <f t="shared" si="217"/>
        <v>0</v>
      </c>
      <c r="CH662">
        <f t="shared" si="218"/>
        <v>0</v>
      </c>
      <c r="CI662">
        <f t="shared" si="219"/>
        <v>0</v>
      </c>
      <c r="CJ662">
        <f t="shared" si="220"/>
        <v>0</v>
      </c>
      <c r="CK662">
        <f t="shared" si="221"/>
        <v>0</v>
      </c>
      <c r="CL662">
        <f t="shared" si="222"/>
        <v>0</v>
      </c>
      <c r="CM662">
        <f t="shared" si="224"/>
        <v>0</v>
      </c>
      <c r="CN662">
        <f t="shared" si="223"/>
        <v>0</v>
      </c>
      <c r="CO662">
        <f t="shared" si="207"/>
        <v>0</v>
      </c>
    </row>
    <row r="663" spans="1:93" s="12" customFormat="1" ht="14.65" customHeight="1" x14ac:dyDescent="0.25">
      <c r="A663" s="4">
        <v>2021</v>
      </c>
      <c r="B663" s="318">
        <v>44301</v>
      </c>
      <c r="C663" s="4" t="s">
        <v>66</v>
      </c>
      <c r="D663" s="4" t="s">
        <v>65</v>
      </c>
      <c r="E663" s="4"/>
      <c r="F663" s="4" t="s">
        <v>90</v>
      </c>
      <c r="G663" s="5" t="s">
        <v>427</v>
      </c>
      <c r="H663" s="5" t="s">
        <v>428</v>
      </c>
      <c r="I663" s="5" t="s">
        <v>143</v>
      </c>
      <c r="J663" s="5" t="s">
        <v>10</v>
      </c>
      <c r="K663" s="5">
        <v>18</v>
      </c>
      <c r="L663" s="5">
        <v>55</v>
      </c>
      <c r="M663" s="5">
        <v>1666</v>
      </c>
      <c r="N663" s="5" t="s">
        <v>170</v>
      </c>
      <c r="O663" s="6" t="s">
        <v>81</v>
      </c>
      <c r="P663" s="6" t="s">
        <v>429</v>
      </c>
      <c r="Q663" s="6"/>
      <c r="R663" s="6"/>
      <c r="S663" s="6">
        <v>57</v>
      </c>
      <c r="T663" s="6">
        <v>19.899999999999999</v>
      </c>
      <c r="U663" s="6">
        <v>1402</v>
      </c>
      <c r="V663" s="6">
        <v>28.51</v>
      </c>
      <c r="W663" s="6">
        <v>50</v>
      </c>
      <c r="X663" s="6">
        <v>303</v>
      </c>
      <c r="Y663" s="6">
        <v>595</v>
      </c>
      <c r="Z663" s="6">
        <v>375</v>
      </c>
      <c r="AA663" s="6">
        <v>75</v>
      </c>
      <c r="AB663" s="6">
        <v>4</v>
      </c>
      <c r="AC663" s="7">
        <v>105</v>
      </c>
      <c r="AD663" s="7" t="s">
        <v>53</v>
      </c>
      <c r="AE663" s="7">
        <v>30.73</v>
      </c>
      <c r="AF663" s="7">
        <v>156</v>
      </c>
      <c r="AG663" s="7">
        <v>17.93</v>
      </c>
      <c r="AH663" s="7">
        <v>38.26</v>
      </c>
      <c r="AI663" s="7">
        <v>41.73</v>
      </c>
      <c r="AJ663" s="9">
        <v>258.496012468782</v>
      </c>
      <c r="AK663" s="9">
        <v>281.70370708568203</v>
      </c>
      <c r="AL663" s="9">
        <v>314.77615690724701</v>
      </c>
      <c r="AM663" s="9">
        <v>57.627545479088901</v>
      </c>
      <c r="AN663" s="9">
        <v>0.54883376646751303</v>
      </c>
      <c r="AO663" s="9">
        <v>0.428428998760637</v>
      </c>
      <c r="AP663" s="9">
        <v>856.31964961117205</v>
      </c>
      <c r="AQ663" s="9">
        <v>8.1554252343921103</v>
      </c>
      <c r="AR663" s="9">
        <v>9.4448413064245305</v>
      </c>
      <c r="AS663" s="8">
        <v>56</v>
      </c>
      <c r="AT663" s="8">
        <v>5.3599999999999994</v>
      </c>
      <c r="AU663" s="10">
        <v>34.909484895585095</v>
      </c>
      <c r="AV663" s="10">
        <v>75.987899299737023</v>
      </c>
      <c r="AW663" s="10">
        <v>0.87</v>
      </c>
      <c r="AX663" s="10">
        <v>1.3569267732095898</v>
      </c>
      <c r="AY663" s="10"/>
      <c r="AZ663" s="10"/>
      <c r="BA663" s="10"/>
      <c r="BB663" s="8"/>
      <c r="BC663" s="8"/>
      <c r="BD663" s="8"/>
      <c r="BE663" s="8"/>
      <c r="BF663" s="12">
        <v>0.55000000000000004</v>
      </c>
      <c r="BG663" s="13">
        <v>301.52932697073402</v>
      </c>
      <c r="BH663" s="96" t="str">
        <f>+VLOOKUP(G663,Liste!$A$7:$G$50,3,FALSE)</f>
        <v>Hêtre commun</v>
      </c>
      <c r="BI663" s="96" t="str">
        <f>+VLOOKUP(H663,Liste!$B$7:$G$50,5,FALSE)</f>
        <v>GS Hêtraies et hêtraies sapinières des Pyrénées</v>
      </c>
      <c r="BJ663" s="135">
        <f t="shared" si="206"/>
        <v>105</v>
      </c>
      <c r="BK663" s="135" t="str">
        <f t="shared" si="208"/>
        <v>Hêtre commun_F2_Entree 19-20m_GS Hêtraies et hêtraies sapinières des Pyrénées_105_</v>
      </c>
      <c r="BL663" s="322"/>
      <c r="BM663" s="13">
        <v>76.266882295835799</v>
      </c>
      <c r="BN663" s="13">
        <v>377.79620926656997</v>
      </c>
      <c r="BO663" s="13">
        <v>108.24212650440904</v>
      </c>
      <c r="BP663" s="13">
        <v>300.22307244627501</v>
      </c>
      <c r="BQ663" s="13">
        <v>10.843618150797401</v>
      </c>
      <c r="BT663" s="298" t="str">
        <f>+VLOOKUP(G663,Liste!$A$7:$H$50,8,FALSE)</f>
        <v>Feuillus</v>
      </c>
      <c r="BU663" s="298">
        <f t="shared" si="209"/>
        <v>1</v>
      </c>
      <c r="BV663" s="300">
        <f t="shared" si="210"/>
        <v>0</v>
      </c>
      <c r="BW663" s="321">
        <v>0</v>
      </c>
      <c r="BX663" s="298">
        <f t="shared" si="211"/>
        <v>0.25</v>
      </c>
      <c r="BY663">
        <f t="shared" si="212"/>
        <v>0</v>
      </c>
      <c r="BZ663" s="304">
        <f t="shared" si="213"/>
        <v>0</v>
      </c>
      <c r="CB663" s="299">
        <v>0.6</v>
      </c>
      <c r="CC663" s="299">
        <v>0.4</v>
      </c>
      <c r="CD663">
        <f t="shared" si="214"/>
        <v>0</v>
      </c>
      <c r="CE663">
        <f t="shared" si="215"/>
        <v>0</v>
      </c>
      <c r="CF663">
        <f t="shared" si="216"/>
        <v>0</v>
      </c>
      <c r="CG663">
        <f t="shared" si="217"/>
        <v>0</v>
      </c>
      <c r="CH663">
        <f t="shared" si="218"/>
        <v>0</v>
      </c>
      <c r="CI663">
        <f t="shared" si="219"/>
        <v>0</v>
      </c>
      <c r="CJ663">
        <f t="shared" si="220"/>
        <v>0</v>
      </c>
      <c r="CK663">
        <f t="shared" si="221"/>
        <v>0</v>
      </c>
      <c r="CL663">
        <f t="shared" si="222"/>
        <v>0</v>
      </c>
      <c r="CM663">
        <f t="shared" si="224"/>
        <v>0</v>
      </c>
      <c r="CN663">
        <f t="shared" si="223"/>
        <v>0</v>
      </c>
      <c r="CO663">
        <f t="shared" si="207"/>
        <v>0</v>
      </c>
    </row>
    <row r="664" spans="1:93" s="12" customFormat="1" ht="14.65" customHeight="1" x14ac:dyDescent="0.25">
      <c r="A664" s="4">
        <v>2021</v>
      </c>
      <c r="B664" s="318">
        <v>44301</v>
      </c>
      <c r="C664" s="4" t="s">
        <v>66</v>
      </c>
      <c r="D664" s="4" t="s">
        <v>65</v>
      </c>
      <c r="E664" s="4"/>
      <c r="F664" s="4" t="s">
        <v>90</v>
      </c>
      <c r="G664" s="5" t="s">
        <v>427</v>
      </c>
      <c r="H664" s="5" t="s">
        <v>428</v>
      </c>
      <c r="I664" s="5" t="s">
        <v>143</v>
      </c>
      <c r="J664" s="5" t="s">
        <v>10</v>
      </c>
      <c r="K664" s="5">
        <v>18</v>
      </c>
      <c r="L664" s="5">
        <v>55</v>
      </c>
      <c r="M664" s="5">
        <v>1666</v>
      </c>
      <c r="N664" s="5" t="s">
        <v>170</v>
      </c>
      <c r="O664" s="6" t="s">
        <v>81</v>
      </c>
      <c r="P664" s="6" t="s">
        <v>429</v>
      </c>
      <c r="Q664" s="6"/>
      <c r="R664" s="6"/>
      <c r="S664" s="6">
        <v>57</v>
      </c>
      <c r="T664" s="6">
        <v>19.899999999999999</v>
      </c>
      <c r="U664" s="6">
        <v>1402</v>
      </c>
      <c r="V664" s="6">
        <v>28.51</v>
      </c>
      <c r="W664" s="6">
        <v>50</v>
      </c>
      <c r="X664" s="6">
        <v>303</v>
      </c>
      <c r="Y664" s="6">
        <v>595</v>
      </c>
      <c r="Z664" s="6">
        <v>375</v>
      </c>
      <c r="AA664" s="6">
        <v>75</v>
      </c>
      <c r="AB664" s="6">
        <v>4</v>
      </c>
      <c r="AC664" s="7">
        <v>108</v>
      </c>
      <c r="AD664" s="7" t="s">
        <v>52</v>
      </c>
      <c r="AE664" s="7">
        <v>31.16</v>
      </c>
      <c r="AF664" s="7">
        <v>156</v>
      </c>
      <c r="AG664" s="7">
        <v>19.22</v>
      </c>
      <c r="AH664" s="7">
        <v>39.61</v>
      </c>
      <c r="AI664" s="7">
        <v>43.18</v>
      </c>
      <c r="AJ664" s="9">
        <v>282.16195941706098</v>
      </c>
      <c r="AK664" s="9">
        <v>307.85604750020798</v>
      </c>
      <c r="AL664" s="9">
        <v>343.11068082652099</v>
      </c>
      <c r="AM664" s="9">
        <v>58.912832475370799</v>
      </c>
      <c r="AN664" s="9">
        <v>0.54548918958676695</v>
      </c>
      <c r="AO664" s="9">
        <v>0.417413203088358</v>
      </c>
      <c r="AP664" s="9">
        <v>884.65417353044495</v>
      </c>
      <c r="AQ664" s="9">
        <v>8.1912423475041205</v>
      </c>
      <c r="AR664" s="9">
        <v>9.0989271006959207</v>
      </c>
      <c r="AS664" s="8" t="s">
        <v>169</v>
      </c>
      <c r="AT664" s="8" t="s">
        <v>169</v>
      </c>
      <c r="AU664" s="10" t="s">
        <v>169</v>
      </c>
      <c r="AV664" s="10">
        <v>0</v>
      </c>
      <c r="AW664" s="8"/>
      <c r="AX664" s="10" t="s">
        <v>169</v>
      </c>
      <c r="AY664" s="10"/>
      <c r="AZ664" s="10"/>
      <c r="BA664" s="10"/>
      <c r="BB664" s="8"/>
      <c r="BC664" s="8"/>
      <c r="BD664" s="8"/>
      <c r="BE664" s="8"/>
      <c r="BF664" s="12">
        <v>0.55000000000000004</v>
      </c>
      <c r="BG664" s="13">
        <v>328.67143967507201</v>
      </c>
      <c r="BH664" s="96" t="str">
        <f>+VLOOKUP(G664,Liste!$A$7:$G$50,3,FALSE)</f>
        <v>Hêtre commun</v>
      </c>
      <c r="BI664" s="96" t="str">
        <f>+VLOOKUP(H664,Liste!$B$7:$G$50,5,FALSE)</f>
        <v>GS Hêtraies et hêtraies sapinières des Pyrénées</v>
      </c>
      <c r="BJ664" s="135">
        <f t="shared" si="206"/>
        <v>108</v>
      </c>
      <c r="BK664" s="135" t="str">
        <f t="shared" si="208"/>
        <v>Hêtre commun_F2_Entree 19-20m_GS Hêtraies et hêtraies sapinières des Pyrénées_108_</v>
      </c>
      <c r="BL664" s="322"/>
      <c r="BM664" s="13">
        <v>82.302166896191906</v>
      </c>
      <c r="BN664" s="13">
        <v>410.97360657126399</v>
      </c>
      <c r="BO664" s="13" t="s">
        <v>169</v>
      </c>
      <c r="BP664" s="13">
        <v>300.22307244627501</v>
      </c>
      <c r="BQ664" s="13">
        <v>10.4401488321099</v>
      </c>
      <c r="BT664" s="298" t="str">
        <f>+VLOOKUP(G664,Liste!$A$7:$H$50,8,FALSE)</f>
        <v>Feuillus</v>
      </c>
      <c r="BU664" s="298">
        <f t="shared" si="209"/>
        <v>1</v>
      </c>
      <c r="BV664" s="300">
        <f t="shared" si="210"/>
        <v>0</v>
      </c>
      <c r="BW664" s="321">
        <v>0</v>
      </c>
      <c r="BX664" s="298">
        <f t="shared" si="211"/>
        <v>0.25</v>
      </c>
      <c r="BY664">
        <f t="shared" si="212"/>
        <v>0</v>
      </c>
      <c r="BZ664" s="304">
        <f t="shared" si="213"/>
        <v>0</v>
      </c>
      <c r="CB664" s="299">
        <v>0.6</v>
      </c>
      <c r="CC664" s="299">
        <v>0.4</v>
      </c>
      <c r="CD664">
        <f t="shared" si="214"/>
        <v>0</v>
      </c>
      <c r="CE664">
        <f t="shared" si="215"/>
        <v>0</v>
      </c>
      <c r="CF664">
        <f t="shared" si="216"/>
        <v>0</v>
      </c>
      <c r="CG664">
        <f t="shared" si="217"/>
        <v>0</v>
      </c>
      <c r="CH664">
        <f t="shared" si="218"/>
        <v>0</v>
      </c>
      <c r="CI664">
        <f t="shared" si="219"/>
        <v>0</v>
      </c>
      <c r="CJ664">
        <f t="shared" si="220"/>
        <v>0</v>
      </c>
      <c r="CK664">
        <f t="shared" si="221"/>
        <v>0</v>
      </c>
      <c r="CL664">
        <f t="shared" si="222"/>
        <v>0</v>
      </c>
      <c r="CM664">
        <f t="shared" si="224"/>
        <v>0</v>
      </c>
      <c r="CN664">
        <f t="shared" si="223"/>
        <v>0</v>
      </c>
      <c r="CO664">
        <f t="shared" si="207"/>
        <v>0</v>
      </c>
    </row>
    <row r="665" spans="1:93" s="12" customFormat="1" ht="14.65" customHeight="1" x14ac:dyDescent="0.25">
      <c r="A665" s="4">
        <v>2021</v>
      </c>
      <c r="B665" s="318">
        <v>44301</v>
      </c>
      <c r="C665" s="4" t="s">
        <v>66</v>
      </c>
      <c r="D665" s="4" t="s">
        <v>65</v>
      </c>
      <c r="E665" s="4"/>
      <c r="F665" s="4" t="s">
        <v>90</v>
      </c>
      <c r="G665" s="5" t="s">
        <v>427</v>
      </c>
      <c r="H665" s="5" t="s">
        <v>428</v>
      </c>
      <c r="I665" s="5" t="s">
        <v>143</v>
      </c>
      <c r="J665" s="5" t="s">
        <v>10</v>
      </c>
      <c r="K665" s="5">
        <v>18</v>
      </c>
      <c r="L665" s="5">
        <v>55</v>
      </c>
      <c r="M665" s="5">
        <v>1666</v>
      </c>
      <c r="N665" s="5" t="s">
        <v>170</v>
      </c>
      <c r="O665" s="6" t="s">
        <v>81</v>
      </c>
      <c r="P665" s="6" t="s">
        <v>429</v>
      </c>
      <c r="Q665" s="6"/>
      <c r="R665" s="6"/>
      <c r="S665" s="6">
        <v>57</v>
      </c>
      <c r="T665" s="6">
        <v>19.899999999999999</v>
      </c>
      <c r="U665" s="6">
        <v>1402</v>
      </c>
      <c r="V665" s="6">
        <v>28.51</v>
      </c>
      <c r="W665" s="6">
        <v>50</v>
      </c>
      <c r="X665" s="6">
        <v>303</v>
      </c>
      <c r="Y665" s="6">
        <v>595</v>
      </c>
      <c r="Z665" s="6">
        <v>375</v>
      </c>
      <c r="AA665" s="6">
        <v>75</v>
      </c>
      <c r="AB665" s="6">
        <v>4</v>
      </c>
      <c r="AC665" s="7">
        <v>111</v>
      </c>
      <c r="AD665" s="7" t="s">
        <v>52</v>
      </c>
      <c r="AE665" s="7">
        <v>31.58</v>
      </c>
      <c r="AF665" s="7">
        <v>156</v>
      </c>
      <c r="AG665" s="7">
        <v>20.47</v>
      </c>
      <c r="AH665" s="7">
        <v>40.880000000000003</v>
      </c>
      <c r="AI665" s="7">
        <v>44.55</v>
      </c>
      <c r="AJ665" s="9">
        <v>304.77395708190102</v>
      </c>
      <c r="AK665" s="9">
        <v>333.01321002208499</v>
      </c>
      <c r="AL665" s="9">
        <v>370.40746212860898</v>
      </c>
      <c r="AM665" s="9">
        <v>60.165072084635902</v>
      </c>
      <c r="AN665" s="9">
        <v>0.54202767643816097</v>
      </c>
      <c r="AO665" s="9">
        <v>0.40782428738340998</v>
      </c>
      <c r="AP665" s="9">
        <v>911.95095483253294</v>
      </c>
      <c r="AQ665" s="9">
        <v>8.2157743678606607</v>
      </c>
      <c r="AR665" s="9">
        <v>9.0737267488348898</v>
      </c>
      <c r="AS665" s="8" t="s">
        <v>169</v>
      </c>
      <c r="AT665" s="8" t="s">
        <v>169</v>
      </c>
      <c r="AU665" s="10" t="s">
        <v>169</v>
      </c>
      <c r="AV665" s="10">
        <v>0</v>
      </c>
      <c r="AW665" s="8"/>
      <c r="AX665" s="10" t="s">
        <v>169</v>
      </c>
      <c r="AY665" s="10"/>
      <c r="AZ665" s="10"/>
      <c r="BA665" s="10"/>
      <c r="BB665" s="8"/>
      <c r="BC665" s="8"/>
      <c r="BD665" s="8"/>
      <c r="BE665" s="8"/>
      <c r="BF665" s="12">
        <v>0.55000000000000004</v>
      </c>
      <c r="BG665" s="13">
        <v>354.81948143069599</v>
      </c>
      <c r="BH665" s="96" t="str">
        <f>+VLOOKUP(G665,Liste!$A$7:$G$50,3,FALSE)</f>
        <v>Hêtre commun</v>
      </c>
      <c r="BI665" s="96" t="str">
        <f>+VLOOKUP(H665,Liste!$B$7:$G$50,5,FALSE)</f>
        <v>GS Hêtraies et hêtraies sapinières des Pyrénées</v>
      </c>
      <c r="BJ665" s="135">
        <f t="shared" si="206"/>
        <v>111</v>
      </c>
      <c r="BK665" s="135" t="str">
        <f t="shared" si="208"/>
        <v>Hêtre commun_F2_Entree 19-20m_GS Hêtraies et hêtraies sapinières des Pyrénées_111_</v>
      </c>
      <c r="BL665" s="322"/>
      <c r="BM665" s="13">
        <v>88.061683633730297</v>
      </c>
      <c r="BN665" s="13">
        <v>442.88116506442702</v>
      </c>
      <c r="BO665" s="13" t="s">
        <v>169</v>
      </c>
      <c r="BP665" s="13">
        <v>300.22307244627501</v>
      </c>
      <c r="BQ665" s="13">
        <v>10.405260965517501</v>
      </c>
      <c r="BT665" s="298" t="str">
        <f>+VLOOKUP(G665,Liste!$A$7:$H$50,8,FALSE)</f>
        <v>Feuillus</v>
      </c>
      <c r="BU665" s="298">
        <f t="shared" si="209"/>
        <v>1</v>
      </c>
      <c r="BV665" s="300">
        <f t="shared" si="210"/>
        <v>0</v>
      </c>
      <c r="BW665" s="321">
        <v>0</v>
      </c>
      <c r="BX665" s="298">
        <f t="shared" si="211"/>
        <v>0.25</v>
      </c>
      <c r="BY665">
        <f t="shared" si="212"/>
        <v>0</v>
      </c>
      <c r="BZ665" s="304">
        <f t="shared" si="213"/>
        <v>0</v>
      </c>
      <c r="CB665" s="299">
        <v>0.6</v>
      </c>
      <c r="CC665" s="299">
        <v>0.4</v>
      </c>
      <c r="CD665">
        <f t="shared" si="214"/>
        <v>0</v>
      </c>
      <c r="CE665">
        <f t="shared" si="215"/>
        <v>0</v>
      </c>
      <c r="CF665">
        <f t="shared" si="216"/>
        <v>0</v>
      </c>
      <c r="CG665">
        <f t="shared" si="217"/>
        <v>0</v>
      </c>
      <c r="CH665">
        <f t="shared" si="218"/>
        <v>0</v>
      </c>
      <c r="CI665">
        <f t="shared" si="219"/>
        <v>0</v>
      </c>
      <c r="CJ665">
        <f t="shared" si="220"/>
        <v>0</v>
      </c>
      <c r="CK665">
        <f t="shared" si="221"/>
        <v>0</v>
      </c>
      <c r="CL665">
        <f t="shared" si="222"/>
        <v>0</v>
      </c>
      <c r="CM665">
        <f t="shared" si="224"/>
        <v>0</v>
      </c>
      <c r="CN665">
        <f t="shared" si="223"/>
        <v>0</v>
      </c>
      <c r="CO665">
        <f t="shared" si="207"/>
        <v>0</v>
      </c>
    </row>
    <row r="666" spans="1:93" s="12" customFormat="1" ht="14.65" customHeight="1" x14ac:dyDescent="0.25">
      <c r="A666" s="4">
        <v>2021</v>
      </c>
      <c r="B666" s="318">
        <v>44301</v>
      </c>
      <c r="C666" s="4" t="s">
        <v>66</v>
      </c>
      <c r="D666" s="4" t="s">
        <v>65</v>
      </c>
      <c r="E666" s="4"/>
      <c r="F666" s="4" t="s">
        <v>90</v>
      </c>
      <c r="G666" s="5" t="s">
        <v>427</v>
      </c>
      <c r="H666" s="5" t="s">
        <v>428</v>
      </c>
      <c r="I666" s="5" t="s">
        <v>143</v>
      </c>
      <c r="J666" s="5" t="s">
        <v>10</v>
      </c>
      <c r="K666" s="5">
        <v>18</v>
      </c>
      <c r="L666" s="5">
        <v>55</v>
      </c>
      <c r="M666" s="5">
        <v>1666</v>
      </c>
      <c r="N666" s="5" t="s">
        <v>170</v>
      </c>
      <c r="O666" s="6" t="s">
        <v>81</v>
      </c>
      <c r="P666" s="6" t="s">
        <v>429</v>
      </c>
      <c r="Q666" s="6"/>
      <c r="R666" s="6"/>
      <c r="S666" s="6">
        <v>57</v>
      </c>
      <c r="T666" s="6">
        <v>19.899999999999999</v>
      </c>
      <c r="U666" s="6">
        <v>1402</v>
      </c>
      <c r="V666" s="6">
        <v>28.51</v>
      </c>
      <c r="W666" s="6">
        <v>50</v>
      </c>
      <c r="X666" s="6">
        <v>303</v>
      </c>
      <c r="Y666" s="6">
        <v>595</v>
      </c>
      <c r="Z666" s="6">
        <v>375</v>
      </c>
      <c r="AA666" s="6">
        <v>75</v>
      </c>
      <c r="AB666" s="6">
        <v>4</v>
      </c>
      <c r="AC666" s="7">
        <v>114</v>
      </c>
      <c r="AD666" s="7" t="s">
        <v>52</v>
      </c>
      <c r="AE666" s="7">
        <v>31.98</v>
      </c>
      <c r="AF666" s="7">
        <v>156</v>
      </c>
      <c r="AG666" s="7">
        <v>21.69</v>
      </c>
      <c r="AH666" s="7">
        <v>42.08</v>
      </c>
      <c r="AI666" s="7">
        <v>45.85</v>
      </c>
      <c r="AJ666" s="9">
        <v>327.38403003399702</v>
      </c>
      <c r="AK666" s="9">
        <v>358.15157639119298</v>
      </c>
      <c r="AL666" s="9">
        <v>397.62864237511297</v>
      </c>
      <c r="AM666" s="9">
        <v>61.388544946786098</v>
      </c>
      <c r="AN666" s="9">
        <v>0.53849600830514099</v>
      </c>
      <c r="AO666" s="9">
        <v>0.39615313453965001</v>
      </c>
      <c r="AP666" s="9">
        <v>939.17213507903796</v>
      </c>
      <c r="AQ666" s="9">
        <v>8.2383520620968191</v>
      </c>
      <c r="AR666" s="9">
        <v>8.9682445573747192</v>
      </c>
      <c r="AS666" s="8" t="s">
        <v>169</v>
      </c>
      <c r="AT666" s="8" t="s">
        <v>169</v>
      </c>
      <c r="AU666" s="10" t="s">
        <v>169</v>
      </c>
      <c r="AV666" s="10">
        <v>0</v>
      </c>
      <c r="AW666" s="8"/>
      <c r="AX666" s="10" t="s">
        <v>169</v>
      </c>
      <c r="AY666" s="10"/>
      <c r="AZ666" s="10"/>
      <c r="BA666" s="10"/>
      <c r="BB666" s="8"/>
      <c r="BC666" s="8"/>
      <c r="BD666" s="8"/>
      <c r="BE666" s="8"/>
      <c r="BF666" s="12">
        <v>0.55000000000000004</v>
      </c>
      <c r="BG666" s="13">
        <v>380.89510367516101</v>
      </c>
      <c r="BH666" s="96" t="str">
        <f>+VLOOKUP(G666,Liste!$A$7:$G$50,3,FALSE)</f>
        <v>Hêtre commun</v>
      </c>
      <c r="BI666" s="96" t="str">
        <f>+VLOOKUP(H666,Liste!$B$7:$G$50,5,FALSE)</f>
        <v>GS Hêtraies et hêtraies sapinières des Pyrénées</v>
      </c>
      <c r="BJ666" s="135">
        <f t="shared" si="206"/>
        <v>114</v>
      </c>
      <c r="BK666" s="135" t="str">
        <f t="shared" si="208"/>
        <v>Hêtre commun_F2_Entree 19-20m_GS Hêtraies et hêtraies sapinières des Pyrénées_114_</v>
      </c>
      <c r="BL666" s="322"/>
      <c r="BM666" s="13">
        <v>93.756208913145898</v>
      </c>
      <c r="BN666" s="13">
        <v>474.65131258830701</v>
      </c>
      <c r="BO666" s="13" t="s">
        <v>169</v>
      </c>
      <c r="BP666" s="13">
        <v>300.22307244627501</v>
      </c>
      <c r="BQ666" s="13">
        <v>10.2786275474599</v>
      </c>
      <c r="BT666" s="298" t="str">
        <f>+VLOOKUP(G666,Liste!$A$7:$H$50,8,FALSE)</f>
        <v>Feuillus</v>
      </c>
      <c r="BU666" s="298">
        <f t="shared" si="209"/>
        <v>1</v>
      </c>
      <c r="BV666" s="300">
        <f t="shared" si="210"/>
        <v>0</v>
      </c>
      <c r="BW666" s="321">
        <v>0</v>
      </c>
      <c r="BX666" s="298">
        <f t="shared" si="211"/>
        <v>0.25</v>
      </c>
      <c r="BY666">
        <f t="shared" si="212"/>
        <v>0</v>
      </c>
      <c r="BZ666" s="304">
        <f t="shared" si="213"/>
        <v>0</v>
      </c>
      <c r="CB666" s="299">
        <v>0.6</v>
      </c>
      <c r="CC666" s="299">
        <v>0.4</v>
      </c>
      <c r="CD666">
        <f t="shared" si="214"/>
        <v>0</v>
      </c>
      <c r="CE666">
        <f t="shared" si="215"/>
        <v>0</v>
      </c>
      <c r="CF666">
        <f t="shared" si="216"/>
        <v>0</v>
      </c>
      <c r="CG666">
        <f t="shared" si="217"/>
        <v>0</v>
      </c>
      <c r="CH666">
        <f t="shared" si="218"/>
        <v>0</v>
      </c>
      <c r="CI666">
        <f t="shared" si="219"/>
        <v>0</v>
      </c>
      <c r="CJ666">
        <f t="shared" si="220"/>
        <v>0</v>
      </c>
      <c r="CK666">
        <f t="shared" si="221"/>
        <v>0</v>
      </c>
      <c r="CL666">
        <f t="shared" si="222"/>
        <v>0</v>
      </c>
      <c r="CM666">
        <f t="shared" si="224"/>
        <v>0</v>
      </c>
      <c r="CN666">
        <f t="shared" si="223"/>
        <v>0</v>
      </c>
      <c r="CO666">
        <f t="shared" si="207"/>
        <v>0</v>
      </c>
    </row>
    <row r="667" spans="1:93" s="12" customFormat="1" ht="14.65" customHeight="1" x14ac:dyDescent="0.25">
      <c r="A667" s="4">
        <v>2021</v>
      </c>
      <c r="B667" s="318">
        <v>44301</v>
      </c>
      <c r="C667" s="4" t="s">
        <v>66</v>
      </c>
      <c r="D667" s="4" t="s">
        <v>65</v>
      </c>
      <c r="E667" s="4"/>
      <c r="F667" s="4" t="s">
        <v>90</v>
      </c>
      <c r="G667" s="5" t="s">
        <v>427</v>
      </c>
      <c r="H667" s="5" t="s">
        <v>428</v>
      </c>
      <c r="I667" s="5" t="s">
        <v>143</v>
      </c>
      <c r="J667" s="5" t="s">
        <v>10</v>
      </c>
      <c r="K667" s="5">
        <v>18</v>
      </c>
      <c r="L667" s="5">
        <v>55</v>
      </c>
      <c r="M667" s="5">
        <v>1666</v>
      </c>
      <c r="N667" s="5" t="s">
        <v>170</v>
      </c>
      <c r="O667" s="6" t="s">
        <v>81</v>
      </c>
      <c r="P667" s="6" t="s">
        <v>429</v>
      </c>
      <c r="Q667" s="6"/>
      <c r="R667" s="6"/>
      <c r="S667" s="6">
        <v>57</v>
      </c>
      <c r="T667" s="6">
        <v>19.899999999999999</v>
      </c>
      <c r="U667" s="6">
        <v>1402</v>
      </c>
      <c r="V667" s="6">
        <v>28.51</v>
      </c>
      <c r="W667" s="6">
        <v>50</v>
      </c>
      <c r="X667" s="6">
        <v>303</v>
      </c>
      <c r="Y667" s="6">
        <v>595</v>
      </c>
      <c r="Z667" s="6">
        <v>375</v>
      </c>
      <c r="AA667" s="6">
        <v>75</v>
      </c>
      <c r="AB667" s="6">
        <v>4</v>
      </c>
      <c r="AC667" s="7">
        <v>117</v>
      </c>
      <c r="AD667" s="7" t="s">
        <v>52</v>
      </c>
      <c r="AE667" s="7">
        <v>32.36</v>
      </c>
      <c r="AF667" s="7">
        <v>156</v>
      </c>
      <c r="AG667" s="7">
        <v>22.88</v>
      </c>
      <c r="AH667" s="7">
        <v>43.22</v>
      </c>
      <c r="AI667" s="7">
        <v>47.08</v>
      </c>
      <c r="AJ667" s="9">
        <v>349.77293803270902</v>
      </c>
      <c r="AK667" s="9">
        <v>383.03962464636101</v>
      </c>
      <c r="AL667" s="9">
        <v>424.53337604723799</v>
      </c>
      <c r="AM667" s="9">
        <v>62.577004350404998</v>
      </c>
      <c r="AN667" s="9">
        <v>0.53484619102910302</v>
      </c>
      <c r="AO667" s="9">
        <v>0.37264092104942897</v>
      </c>
      <c r="AP667" s="9">
        <v>966.07686875116201</v>
      </c>
      <c r="AQ667" s="9">
        <v>8.2570672542834398</v>
      </c>
      <c r="AR667" s="9">
        <v>8.5016036499007104</v>
      </c>
      <c r="AS667" s="8" t="s">
        <v>169</v>
      </c>
      <c r="AT667" s="8" t="s">
        <v>169</v>
      </c>
      <c r="AU667" s="10" t="s">
        <v>169</v>
      </c>
      <c r="AV667" s="10">
        <v>0</v>
      </c>
      <c r="AW667" s="8"/>
      <c r="AX667" s="10" t="s">
        <v>169</v>
      </c>
      <c r="AY667" s="10"/>
      <c r="AZ667" s="10"/>
      <c r="BA667" s="10"/>
      <c r="BB667" s="8"/>
      <c r="BC667" s="8"/>
      <c r="BD667" s="8"/>
      <c r="BE667" s="8"/>
      <c r="BF667" s="12">
        <v>0.55000000000000004</v>
      </c>
      <c r="BG667" s="13">
        <v>406.667596471916</v>
      </c>
      <c r="BH667" s="96" t="str">
        <f>+VLOOKUP(G667,Liste!$A$7:$G$50,3,FALSE)</f>
        <v>Hêtre commun</v>
      </c>
      <c r="BI667" s="96" t="str">
        <f>+VLOOKUP(H667,Liste!$B$7:$G$50,5,FALSE)</f>
        <v>GS Hêtraies et hêtraies sapinières des Pyrénées</v>
      </c>
      <c r="BJ667" s="135">
        <f t="shared" si="206"/>
        <v>117</v>
      </c>
      <c r="BK667" s="135" t="str">
        <f t="shared" si="208"/>
        <v>Hêtre commun_F2_Entree 19-20m_GS Hêtraies et hêtraies sapinières des Pyrénées_117_</v>
      </c>
      <c r="BL667" s="322"/>
      <c r="BM667" s="13">
        <v>99.340073877667095</v>
      </c>
      <c r="BN667" s="13">
        <v>506.00767034958301</v>
      </c>
      <c r="BO667" s="13" t="s">
        <v>169</v>
      </c>
      <c r="BP667" s="13">
        <v>300.22307244627501</v>
      </c>
      <c r="BQ667" s="13">
        <v>9.7387571658550005</v>
      </c>
      <c r="BT667" s="298" t="str">
        <f>+VLOOKUP(G667,Liste!$A$7:$H$50,8,FALSE)</f>
        <v>Feuillus</v>
      </c>
      <c r="BU667" s="298">
        <f t="shared" si="209"/>
        <v>1</v>
      </c>
      <c r="BV667" s="300">
        <f t="shared" si="210"/>
        <v>0</v>
      </c>
      <c r="BW667" s="321">
        <v>0</v>
      </c>
      <c r="BX667" s="298">
        <f t="shared" si="211"/>
        <v>0.25</v>
      </c>
      <c r="BY667">
        <f t="shared" si="212"/>
        <v>0</v>
      </c>
      <c r="BZ667" s="304">
        <f t="shared" si="213"/>
        <v>0</v>
      </c>
      <c r="CB667" s="299">
        <v>0.6</v>
      </c>
      <c r="CC667" s="299">
        <v>0.4</v>
      </c>
      <c r="CD667">
        <f t="shared" si="214"/>
        <v>0</v>
      </c>
      <c r="CE667">
        <f t="shared" si="215"/>
        <v>0</v>
      </c>
      <c r="CF667">
        <f t="shared" si="216"/>
        <v>0</v>
      </c>
      <c r="CG667">
        <f t="shared" si="217"/>
        <v>0</v>
      </c>
      <c r="CH667">
        <f t="shared" si="218"/>
        <v>0</v>
      </c>
      <c r="CI667">
        <f t="shared" si="219"/>
        <v>0</v>
      </c>
      <c r="CJ667">
        <f t="shared" si="220"/>
        <v>0</v>
      </c>
      <c r="CK667">
        <f t="shared" si="221"/>
        <v>0</v>
      </c>
      <c r="CL667">
        <f t="shared" si="222"/>
        <v>0</v>
      </c>
      <c r="CM667">
        <f t="shared" si="224"/>
        <v>0</v>
      </c>
      <c r="CN667">
        <f t="shared" si="223"/>
        <v>0</v>
      </c>
      <c r="CO667">
        <f t="shared" si="207"/>
        <v>0</v>
      </c>
    </row>
    <row r="668" spans="1:93" s="12" customFormat="1" ht="14.65" customHeight="1" x14ac:dyDescent="0.25">
      <c r="A668" s="4">
        <v>2021</v>
      </c>
      <c r="B668" s="318">
        <v>44301</v>
      </c>
      <c r="C668" s="4" t="s">
        <v>66</v>
      </c>
      <c r="D668" s="4" t="s">
        <v>65</v>
      </c>
      <c r="E668" s="4"/>
      <c r="F668" s="4" t="s">
        <v>90</v>
      </c>
      <c r="G668" s="5" t="s">
        <v>427</v>
      </c>
      <c r="H668" s="5" t="s">
        <v>428</v>
      </c>
      <c r="I668" s="5" t="s">
        <v>143</v>
      </c>
      <c r="J668" s="5" t="s">
        <v>10</v>
      </c>
      <c r="K668" s="5">
        <v>18</v>
      </c>
      <c r="L668" s="5">
        <v>55</v>
      </c>
      <c r="M668" s="5">
        <v>1666</v>
      </c>
      <c r="N668" s="5" t="s">
        <v>170</v>
      </c>
      <c r="O668" s="6" t="s">
        <v>81</v>
      </c>
      <c r="P668" s="6" t="s">
        <v>429</v>
      </c>
      <c r="Q668" s="6"/>
      <c r="R668" s="6"/>
      <c r="S668" s="6">
        <v>57</v>
      </c>
      <c r="T668" s="6">
        <v>19.899999999999999</v>
      </c>
      <c r="U668" s="6">
        <v>1402</v>
      </c>
      <c r="V668" s="6">
        <v>28.51</v>
      </c>
      <c r="W668" s="6">
        <v>50</v>
      </c>
      <c r="X668" s="6">
        <v>303</v>
      </c>
      <c r="Y668" s="6">
        <v>595</v>
      </c>
      <c r="Z668" s="6">
        <v>375</v>
      </c>
      <c r="AA668" s="6">
        <v>75</v>
      </c>
      <c r="AB668" s="6">
        <v>4</v>
      </c>
      <c r="AC668" s="7">
        <v>117</v>
      </c>
      <c r="AD668" s="7" t="s">
        <v>53</v>
      </c>
      <c r="AE668" s="7">
        <v>32.36</v>
      </c>
      <c r="AF668" s="7">
        <v>119</v>
      </c>
      <c r="AG668" s="7">
        <v>18.420000000000002</v>
      </c>
      <c r="AH668" s="7">
        <v>44.4</v>
      </c>
      <c r="AI668" s="7">
        <v>46.22</v>
      </c>
      <c r="AJ668" s="9">
        <v>282.14216972569102</v>
      </c>
      <c r="AK668" s="9">
        <v>309.74028106164599</v>
      </c>
      <c r="AL668" s="9">
        <v>343.09131795554902</v>
      </c>
      <c r="AM668" s="9">
        <v>62.577004350404998</v>
      </c>
      <c r="AN668" s="9">
        <v>0.53484619102910302</v>
      </c>
      <c r="AO668" s="9">
        <v>0.37264092104942897</v>
      </c>
      <c r="AP668" s="9">
        <v>966.07686875116201</v>
      </c>
      <c r="AQ668" s="9">
        <v>8.2570672542834398</v>
      </c>
      <c r="AR668" s="9">
        <v>8.5016036499007104</v>
      </c>
      <c r="AS668" s="8">
        <v>37</v>
      </c>
      <c r="AT668" s="8">
        <v>4.4599999999999973</v>
      </c>
      <c r="AU668" s="10">
        <v>39.176138523336903</v>
      </c>
      <c r="AV668" s="10">
        <v>67.630768307018002</v>
      </c>
      <c r="AW668" s="10">
        <v>0.82</v>
      </c>
      <c r="AX668" s="10">
        <v>1.8278586028923784</v>
      </c>
      <c r="AY668" s="10"/>
      <c r="AZ668" s="10"/>
      <c r="BA668" s="10"/>
      <c r="BB668" s="8"/>
      <c r="BC668" s="8"/>
      <c r="BD668" s="8"/>
      <c r="BE668" s="8"/>
      <c r="BF668" s="12">
        <v>0.55000000000000004</v>
      </c>
      <c r="BG668" s="13">
        <v>328.652891658253</v>
      </c>
      <c r="BH668" s="96" t="str">
        <f>+VLOOKUP(G668,Liste!$A$7:$G$50,3,FALSE)</f>
        <v>Hêtre commun</v>
      </c>
      <c r="BI668" s="96" t="str">
        <f>+VLOOKUP(H668,Liste!$B$7:$G$50,5,FALSE)</f>
        <v>GS Hêtraies et hêtraies sapinières des Pyrénées</v>
      </c>
      <c r="BJ668" s="135">
        <f t="shared" si="206"/>
        <v>117</v>
      </c>
      <c r="BK668" s="135" t="str">
        <f t="shared" si="208"/>
        <v>Hêtre commun_F2_Entree 19-20m_GS Hêtraies et hêtraies sapinières des Pyrénées_117_</v>
      </c>
      <c r="BL668" s="322"/>
      <c r="BM668" s="13">
        <v>82.298062928650893</v>
      </c>
      <c r="BN668" s="13">
        <v>410.950954586904</v>
      </c>
      <c r="BO668" s="13">
        <v>95.056715762679005</v>
      </c>
      <c r="BP668" s="13">
        <v>300.22307244627501</v>
      </c>
      <c r="BQ668" s="13">
        <v>9.7387571658550005</v>
      </c>
      <c r="BT668" s="298" t="str">
        <f>+VLOOKUP(G668,Liste!$A$7:$H$50,8,FALSE)</f>
        <v>Feuillus</v>
      </c>
      <c r="BU668" s="298">
        <f t="shared" si="209"/>
        <v>1</v>
      </c>
      <c r="BV668" s="300">
        <f t="shared" si="210"/>
        <v>0</v>
      </c>
      <c r="BW668" s="321">
        <v>0</v>
      </c>
      <c r="BX668" s="298">
        <f t="shared" si="211"/>
        <v>0.25</v>
      </c>
      <c r="BY668">
        <f t="shared" si="212"/>
        <v>0</v>
      </c>
      <c r="BZ668" s="304">
        <f t="shared" si="213"/>
        <v>0</v>
      </c>
      <c r="CB668" s="299">
        <v>0.6</v>
      </c>
      <c r="CC668" s="299">
        <v>0.4</v>
      </c>
      <c r="CD668">
        <f t="shared" si="214"/>
        <v>0</v>
      </c>
      <c r="CE668">
        <f t="shared" si="215"/>
        <v>0</v>
      </c>
      <c r="CF668">
        <f t="shared" si="216"/>
        <v>0</v>
      </c>
      <c r="CG668">
        <f t="shared" si="217"/>
        <v>0</v>
      </c>
      <c r="CH668">
        <f t="shared" si="218"/>
        <v>0</v>
      </c>
      <c r="CI668">
        <f t="shared" si="219"/>
        <v>0</v>
      </c>
      <c r="CJ668">
        <f t="shared" si="220"/>
        <v>0</v>
      </c>
      <c r="CK668">
        <f t="shared" si="221"/>
        <v>0</v>
      </c>
      <c r="CL668">
        <f t="shared" si="222"/>
        <v>0</v>
      </c>
      <c r="CM668">
        <f t="shared" si="224"/>
        <v>0</v>
      </c>
      <c r="CN668">
        <f t="shared" si="223"/>
        <v>0</v>
      </c>
      <c r="CO668">
        <f t="shared" si="207"/>
        <v>0</v>
      </c>
    </row>
    <row r="669" spans="1:93" s="12" customFormat="1" ht="14.65" customHeight="1" x14ac:dyDescent="0.25">
      <c r="A669" s="4">
        <v>2021</v>
      </c>
      <c r="B669" s="318">
        <v>44301</v>
      </c>
      <c r="C669" s="4" t="s">
        <v>66</v>
      </c>
      <c r="D669" s="4" t="s">
        <v>65</v>
      </c>
      <c r="E669" s="4"/>
      <c r="F669" s="4" t="s">
        <v>90</v>
      </c>
      <c r="G669" s="5" t="s">
        <v>427</v>
      </c>
      <c r="H669" s="5" t="s">
        <v>428</v>
      </c>
      <c r="I669" s="5" t="s">
        <v>143</v>
      </c>
      <c r="J669" s="5" t="s">
        <v>10</v>
      </c>
      <c r="K669" s="5">
        <v>18</v>
      </c>
      <c r="L669" s="5">
        <v>55</v>
      </c>
      <c r="M669" s="5">
        <v>1666</v>
      </c>
      <c r="N669" s="5" t="s">
        <v>170</v>
      </c>
      <c r="O669" s="6" t="s">
        <v>81</v>
      </c>
      <c r="P669" s="6" t="s">
        <v>429</v>
      </c>
      <c r="Q669" s="6"/>
      <c r="R669" s="6"/>
      <c r="S669" s="6">
        <v>57</v>
      </c>
      <c r="T669" s="6">
        <v>19.899999999999999</v>
      </c>
      <c r="U669" s="6">
        <v>1402</v>
      </c>
      <c r="V669" s="6">
        <v>28.51</v>
      </c>
      <c r="W669" s="6">
        <v>50</v>
      </c>
      <c r="X669" s="6">
        <v>303</v>
      </c>
      <c r="Y669" s="6">
        <v>595</v>
      </c>
      <c r="Z669" s="6">
        <v>375</v>
      </c>
      <c r="AA669" s="6">
        <v>75</v>
      </c>
      <c r="AB669" s="6">
        <v>4</v>
      </c>
      <c r="AC669" s="7">
        <v>120</v>
      </c>
      <c r="AD669" s="7" t="s">
        <v>52</v>
      </c>
      <c r="AE669" s="7">
        <v>32.729999999999997</v>
      </c>
      <c r="AF669" s="7">
        <v>119</v>
      </c>
      <c r="AG669" s="7">
        <v>19.54</v>
      </c>
      <c r="AH669" s="7">
        <v>45.73</v>
      </c>
      <c r="AI669" s="7">
        <v>47.59</v>
      </c>
      <c r="AJ669" s="9">
        <v>303.28382223847802</v>
      </c>
      <c r="AK669" s="9">
        <v>333.34595376214799</v>
      </c>
      <c r="AL669" s="9">
        <v>368.59612890525102</v>
      </c>
      <c r="AM669" s="9">
        <v>63.694927113553298</v>
      </c>
      <c r="AN669" s="9">
        <v>0.53079105927961101</v>
      </c>
      <c r="AO669" s="9">
        <v>0.36494411329591497</v>
      </c>
      <c r="AP669" s="9">
        <v>991.58167970086402</v>
      </c>
      <c r="AQ669" s="9">
        <v>8.2631806641738699</v>
      </c>
      <c r="AR669" s="9">
        <v>8.3279022571876293</v>
      </c>
      <c r="AS669" s="8" t="s">
        <v>169</v>
      </c>
      <c r="AT669" s="8" t="s">
        <v>169</v>
      </c>
      <c r="AU669" s="10" t="s">
        <v>169</v>
      </c>
      <c r="AV669" s="10">
        <v>0</v>
      </c>
      <c r="AW669" s="8"/>
      <c r="AX669" s="10" t="s">
        <v>169</v>
      </c>
      <c r="AY669" s="10"/>
      <c r="AZ669" s="10"/>
      <c r="BA669" s="10"/>
      <c r="BB669" s="8"/>
      <c r="BC669" s="8"/>
      <c r="BD669" s="8"/>
      <c r="BE669" s="8"/>
      <c r="BF669" s="12">
        <v>0.55000000000000004</v>
      </c>
      <c r="BG669" s="13">
        <v>353.08437514715501</v>
      </c>
      <c r="BH669" s="96" t="str">
        <f>+VLOOKUP(G669,Liste!$A$7:$G$50,3,FALSE)</f>
        <v>Hêtre commun</v>
      </c>
      <c r="BI669" s="96" t="str">
        <f>+VLOOKUP(H669,Liste!$B$7:$G$50,5,FALSE)</f>
        <v>GS Hêtraies et hêtraies sapinières des Pyrénées</v>
      </c>
      <c r="BJ669" s="135">
        <f t="shared" si="206"/>
        <v>120</v>
      </c>
      <c r="BK669" s="135" t="str">
        <f t="shared" si="208"/>
        <v>Hêtre commun_F2_Entree 19-20m_GS Hêtraies et hêtraies sapinières des Pyrénées_120_</v>
      </c>
      <c r="BL669" s="322"/>
      <c r="BM669" s="13">
        <v>87.6810693107482</v>
      </c>
      <c r="BN669" s="13">
        <v>440.76544445790398</v>
      </c>
      <c r="BO669" s="13" t="s">
        <v>169</v>
      </c>
      <c r="BP669" s="13">
        <v>300.22307244627501</v>
      </c>
      <c r="BQ669" s="13">
        <v>9.5351544243971293</v>
      </c>
      <c r="BT669" s="298" t="str">
        <f>+VLOOKUP(G669,Liste!$A$7:$H$50,8,FALSE)</f>
        <v>Feuillus</v>
      </c>
      <c r="BU669" s="298">
        <f t="shared" si="209"/>
        <v>1</v>
      </c>
      <c r="BV669" s="300">
        <f t="shared" si="210"/>
        <v>0</v>
      </c>
      <c r="BW669" s="321">
        <v>0</v>
      </c>
      <c r="BX669" s="298">
        <f t="shared" si="211"/>
        <v>0.25</v>
      </c>
      <c r="BY669">
        <f t="shared" si="212"/>
        <v>0</v>
      </c>
      <c r="BZ669" s="304">
        <f t="shared" si="213"/>
        <v>0</v>
      </c>
      <c r="CB669" s="299">
        <v>0.6</v>
      </c>
      <c r="CC669" s="299">
        <v>0.4</v>
      </c>
      <c r="CD669">
        <f t="shared" si="214"/>
        <v>0</v>
      </c>
      <c r="CE669">
        <f t="shared" si="215"/>
        <v>0</v>
      </c>
      <c r="CF669">
        <f t="shared" si="216"/>
        <v>0</v>
      </c>
      <c r="CG669">
        <f t="shared" si="217"/>
        <v>0</v>
      </c>
      <c r="CH669">
        <f t="shared" si="218"/>
        <v>0</v>
      </c>
      <c r="CI669">
        <f t="shared" si="219"/>
        <v>0</v>
      </c>
      <c r="CJ669">
        <f t="shared" si="220"/>
        <v>0</v>
      </c>
      <c r="CK669">
        <f t="shared" si="221"/>
        <v>0</v>
      </c>
      <c r="CL669">
        <f t="shared" si="222"/>
        <v>0</v>
      </c>
      <c r="CM669">
        <f t="shared" si="224"/>
        <v>0</v>
      </c>
      <c r="CN669">
        <f t="shared" si="223"/>
        <v>0</v>
      </c>
      <c r="CO669">
        <f t="shared" si="207"/>
        <v>0</v>
      </c>
    </row>
    <row r="670" spans="1:93" s="12" customFormat="1" ht="14.65" customHeight="1" x14ac:dyDescent="0.25">
      <c r="A670" s="4">
        <v>2021</v>
      </c>
      <c r="B670" s="318">
        <v>44301</v>
      </c>
      <c r="C670" s="4" t="s">
        <v>66</v>
      </c>
      <c r="D670" s="4" t="s">
        <v>65</v>
      </c>
      <c r="E670" s="4"/>
      <c r="F670" s="4" t="s">
        <v>90</v>
      </c>
      <c r="G670" s="5" t="s">
        <v>427</v>
      </c>
      <c r="H670" s="5" t="s">
        <v>428</v>
      </c>
      <c r="I670" s="5" t="s">
        <v>143</v>
      </c>
      <c r="J670" s="5" t="s">
        <v>10</v>
      </c>
      <c r="K670" s="5">
        <v>18</v>
      </c>
      <c r="L670" s="5">
        <v>55</v>
      </c>
      <c r="M670" s="5">
        <v>1666</v>
      </c>
      <c r="N670" s="5" t="s">
        <v>170</v>
      </c>
      <c r="O670" s="6" t="s">
        <v>81</v>
      </c>
      <c r="P670" s="6" t="s">
        <v>429</v>
      </c>
      <c r="Q670" s="6"/>
      <c r="R670" s="6"/>
      <c r="S670" s="6">
        <v>57</v>
      </c>
      <c r="T670" s="6">
        <v>19.899999999999999</v>
      </c>
      <c r="U670" s="6">
        <v>1402</v>
      </c>
      <c r="V670" s="6">
        <v>28.51</v>
      </c>
      <c r="W670" s="6">
        <v>50</v>
      </c>
      <c r="X670" s="6">
        <v>303</v>
      </c>
      <c r="Y670" s="6">
        <v>595</v>
      </c>
      <c r="Z670" s="6">
        <v>375</v>
      </c>
      <c r="AA670" s="6">
        <v>75</v>
      </c>
      <c r="AB670" s="6">
        <v>4</v>
      </c>
      <c r="AC670" s="7">
        <v>123</v>
      </c>
      <c r="AD670" s="7" t="s">
        <v>52</v>
      </c>
      <c r="AE670" s="7">
        <v>33.08</v>
      </c>
      <c r="AF670" s="7">
        <v>119</v>
      </c>
      <c r="AG670" s="7">
        <v>20.63</v>
      </c>
      <c r="AH670" s="7">
        <v>46.99</v>
      </c>
      <c r="AI670" s="7">
        <v>48.9</v>
      </c>
      <c r="AJ670" s="9">
        <v>323.91664351010797</v>
      </c>
      <c r="AK670" s="9">
        <v>356.46594031415998</v>
      </c>
      <c r="AL670" s="9">
        <v>393.57983567681401</v>
      </c>
      <c r="AM670" s="9">
        <v>64.789759453441107</v>
      </c>
      <c r="AN670" s="9">
        <v>0.52674601181659397</v>
      </c>
      <c r="AO670" s="9">
        <v>0.35593115624412502</v>
      </c>
      <c r="AP670" s="9">
        <v>1016.56538647243</v>
      </c>
      <c r="AQ670" s="9">
        <v>8.2647592396132303</v>
      </c>
      <c r="AR670" s="9">
        <v>8.2060111438856094</v>
      </c>
      <c r="AS670" s="8" t="s">
        <v>169</v>
      </c>
      <c r="AT670" s="8" t="s">
        <v>169</v>
      </c>
      <c r="AU670" s="10" t="s">
        <v>169</v>
      </c>
      <c r="AV670" s="10">
        <v>0</v>
      </c>
      <c r="AW670" s="8"/>
      <c r="AX670" s="10" t="s">
        <v>169</v>
      </c>
      <c r="AY670" s="10"/>
      <c r="AZ670" s="10"/>
      <c r="BA670" s="10"/>
      <c r="BB670" s="8"/>
      <c r="BC670" s="8"/>
      <c r="BD670" s="8"/>
      <c r="BE670" s="8"/>
      <c r="BF670" s="12">
        <v>0.55000000000000004</v>
      </c>
      <c r="BG670" s="13">
        <v>377.016684258748</v>
      </c>
      <c r="BH670" s="96" t="str">
        <f>+VLOOKUP(G670,Liste!$A$7:$G$50,3,FALSE)</f>
        <v>Hêtre commun</v>
      </c>
      <c r="BI670" s="96" t="str">
        <f>+VLOOKUP(H670,Liste!$B$7:$G$50,5,FALSE)</f>
        <v>GS Hêtraies et hêtraies sapinières des Pyrénées</v>
      </c>
      <c r="BJ670" s="135">
        <f t="shared" si="206"/>
        <v>123</v>
      </c>
      <c r="BK670" s="135" t="str">
        <f t="shared" si="208"/>
        <v>Hêtre commun_F2_Entree 19-20m_GS Hêtraies et hêtraies sapinières des Pyrénées_123_</v>
      </c>
      <c r="BL670" s="322"/>
      <c r="BM670" s="13">
        <v>92.912168190478994</v>
      </c>
      <c r="BN670" s="13">
        <v>469.92885244922701</v>
      </c>
      <c r="BO670" s="13" t="s">
        <v>169</v>
      </c>
      <c r="BP670" s="13">
        <v>300.22307244627501</v>
      </c>
      <c r="BQ670" s="13">
        <v>9.3912397581844598</v>
      </c>
      <c r="BT670" s="298" t="str">
        <f>+VLOOKUP(G670,Liste!$A$7:$H$50,8,FALSE)</f>
        <v>Feuillus</v>
      </c>
      <c r="BU670" s="298">
        <f t="shared" si="209"/>
        <v>1</v>
      </c>
      <c r="BV670" s="300">
        <f t="shared" si="210"/>
        <v>0</v>
      </c>
      <c r="BW670" s="321">
        <v>0</v>
      </c>
      <c r="BX670" s="298">
        <f t="shared" si="211"/>
        <v>0.25</v>
      </c>
      <c r="BY670">
        <f t="shared" si="212"/>
        <v>0</v>
      </c>
      <c r="BZ670" s="304">
        <f t="shared" si="213"/>
        <v>0</v>
      </c>
      <c r="CB670" s="299">
        <v>0.6</v>
      </c>
      <c r="CC670" s="299">
        <v>0.4</v>
      </c>
      <c r="CD670">
        <f t="shared" si="214"/>
        <v>0</v>
      </c>
      <c r="CE670">
        <f t="shared" si="215"/>
        <v>0</v>
      </c>
      <c r="CF670">
        <f t="shared" si="216"/>
        <v>0</v>
      </c>
      <c r="CG670">
        <f t="shared" si="217"/>
        <v>0</v>
      </c>
      <c r="CH670">
        <f t="shared" si="218"/>
        <v>0</v>
      </c>
      <c r="CI670">
        <f t="shared" si="219"/>
        <v>0</v>
      </c>
      <c r="CJ670">
        <f t="shared" si="220"/>
        <v>0</v>
      </c>
      <c r="CK670">
        <f t="shared" si="221"/>
        <v>0</v>
      </c>
      <c r="CL670">
        <f t="shared" si="222"/>
        <v>0</v>
      </c>
      <c r="CM670">
        <f t="shared" si="224"/>
        <v>0</v>
      </c>
      <c r="CN670">
        <f t="shared" si="223"/>
        <v>0</v>
      </c>
      <c r="CO670">
        <f t="shared" si="207"/>
        <v>0</v>
      </c>
    </row>
    <row r="671" spans="1:93" s="12" customFormat="1" ht="14.65" customHeight="1" x14ac:dyDescent="0.25">
      <c r="A671" s="4">
        <v>2021</v>
      </c>
      <c r="B671" s="318">
        <v>44301</v>
      </c>
      <c r="C671" s="4" t="s">
        <v>66</v>
      </c>
      <c r="D671" s="4" t="s">
        <v>65</v>
      </c>
      <c r="E671" s="4"/>
      <c r="F671" s="4" t="s">
        <v>90</v>
      </c>
      <c r="G671" s="5" t="s">
        <v>427</v>
      </c>
      <c r="H671" s="5" t="s">
        <v>428</v>
      </c>
      <c r="I671" s="5" t="s">
        <v>143</v>
      </c>
      <c r="J671" s="5" t="s">
        <v>10</v>
      </c>
      <c r="K671" s="5">
        <v>18</v>
      </c>
      <c r="L671" s="5">
        <v>55</v>
      </c>
      <c r="M671" s="5">
        <v>1666</v>
      </c>
      <c r="N671" s="5" t="s">
        <v>170</v>
      </c>
      <c r="O671" s="6" t="s">
        <v>81</v>
      </c>
      <c r="P671" s="6" t="s">
        <v>429</v>
      </c>
      <c r="Q671" s="6"/>
      <c r="R671" s="6"/>
      <c r="S671" s="6">
        <v>57</v>
      </c>
      <c r="T671" s="6">
        <v>19.899999999999999</v>
      </c>
      <c r="U671" s="6">
        <v>1402</v>
      </c>
      <c r="V671" s="6">
        <v>28.51</v>
      </c>
      <c r="W671" s="6">
        <v>50</v>
      </c>
      <c r="X671" s="6">
        <v>303</v>
      </c>
      <c r="Y671" s="6">
        <v>595</v>
      </c>
      <c r="Z671" s="6">
        <v>375</v>
      </c>
      <c r="AA671" s="6">
        <v>75</v>
      </c>
      <c r="AB671" s="6">
        <v>4</v>
      </c>
      <c r="AC671" s="7">
        <v>126</v>
      </c>
      <c r="AD671" s="7" t="s">
        <v>52</v>
      </c>
      <c r="AE671" s="7">
        <v>33.409999999999997</v>
      </c>
      <c r="AF671" s="7">
        <v>119</v>
      </c>
      <c r="AG671" s="7">
        <v>21.7</v>
      </c>
      <c r="AH671" s="7">
        <v>48.19</v>
      </c>
      <c r="AI671" s="7">
        <v>50.14</v>
      </c>
      <c r="AJ671" s="9">
        <v>344.24407647787001</v>
      </c>
      <c r="AK671" s="9">
        <v>379.26775228524298</v>
      </c>
      <c r="AL671" s="9">
        <v>418.19786910847102</v>
      </c>
      <c r="AM671" s="9">
        <v>65.857552922173397</v>
      </c>
      <c r="AN671" s="9">
        <v>0.52267899144582097</v>
      </c>
      <c r="AO671" s="9">
        <v>0.34862942471075098</v>
      </c>
      <c r="AP671" s="9">
        <v>1041.18341990408</v>
      </c>
      <c r="AQ671" s="9">
        <v>8.2633604754292396</v>
      </c>
      <c r="AR671" s="9">
        <v>8.2091039683536309</v>
      </c>
      <c r="AS671" s="8" t="s">
        <v>169</v>
      </c>
      <c r="AT671" s="8" t="s">
        <v>169</v>
      </c>
      <c r="AU671" s="10" t="s">
        <v>169</v>
      </c>
      <c r="AV671" s="10">
        <v>0</v>
      </c>
      <c r="AW671" s="8"/>
      <c r="AX671" s="10" t="s">
        <v>169</v>
      </c>
      <c r="AY671" s="10"/>
      <c r="AZ671" s="10"/>
      <c r="BA671" s="10"/>
      <c r="BB671" s="8"/>
      <c r="BC671" s="8"/>
      <c r="BD671" s="8"/>
      <c r="BE671" s="8"/>
      <c r="BF671" s="12">
        <v>0.55000000000000004</v>
      </c>
      <c r="BG671" s="13">
        <v>400.59870878349</v>
      </c>
      <c r="BH671" s="96" t="str">
        <f>+VLOOKUP(G671,Liste!$A$7:$G$50,3,FALSE)</f>
        <v>Hêtre commun</v>
      </c>
      <c r="BI671" s="96" t="str">
        <f>+VLOOKUP(H671,Liste!$B$7:$G$50,5,FALSE)</f>
        <v>GS Hêtraies et hêtraies sapinières des Pyrénées</v>
      </c>
      <c r="BJ671" s="135">
        <f t="shared" si="206"/>
        <v>126</v>
      </c>
      <c r="BK671" s="135" t="str">
        <f t="shared" si="208"/>
        <v>Hêtre commun_F2_Entree 19-20m_GS Hêtraies et hêtraies sapinières des Pyrénées_126_</v>
      </c>
      <c r="BL671" s="322"/>
      <c r="BM671" s="13">
        <v>98.028994857779395</v>
      </c>
      <c r="BN671" s="13">
        <v>498.62770364126902</v>
      </c>
      <c r="BO671" s="13" t="s">
        <v>169</v>
      </c>
      <c r="BP671" s="13">
        <v>300.22307244627501</v>
      </c>
      <c r="BQ671" s="13">
        <v>9.3905698923405598</v>
      </c>
      <c r="BT671" s="298" t="str">
        <f>+VLOOKUP(G671,Liste!$A$7:$H$50,8,FALSE)</f>
        <v>Feuillus</v>
      </c>
      <c r="BU671" s="298">
        <f t="shared" si="209"/>
        <v>1</v>
      </c>
      <c r="BV671" s="300">
        <f t="shared" si="210"/>
        <v>0</v>
      </c>
      <c r="BW671" s="321">
        <v>0</v>
      </c>
      <c r="BX671" s="298">
        <f t="shared" si="211"/>
        <v>0.25</v>
      </c>
      <c r="BY671">
        <f t="shared" si="212"/>
        <v>0</v>
      </c>
      <c r="BZ671" s="304">
        <f t="shared" si="213"/>
        <v>0</v>
      </c>
      <c r="CB671" s="299">
        <v>0.6</v>
      </c>
      <c r="CC671" s="299">
        <v>0.4</v>
      </c>
      <c r="CD671">
        <f t="shared" si="214"/>
        <v>0</v>
      </c>
      <c r="CE671">
        <f t="shared" si="215"/>
        <v>0</v>
      </c>
      <c r="CF671">
        <f t="shared" si="216"/>
        <v>0</v>
      </c>
      <c r="CG671">
        <f t="shared" si="217"/>
        <v>0</v>
      </c>
      <c r="CH671">
        <f t="shared" si="218"/>
        <v>0</v>
      </c>
      <c r="CI671">
        <f t="shared" si="219"/>
        <v>0</v>
      </c>
      <c r="CJ671">
        <f t="shared" si="220"/>
        <v>0</v>
      </c>
      <c r="CK671">
        <f t="shared" si="221"/>
        <v>0</v>
      </c>
      <c r="CL671">
        <f t="shared" si="222"/>
        <v>0</v>
      </c>
      <c r="CM671">
        <f t="shared" si="224"/>
        <v>0</v>
      </c>
      <c r="CN671">
        <f t="shared" si="223"/>
        <v>0</v>
      </c>
      <c r="CO671">
        <f t="shared" si="207"/>
        <v>0</v>
      </c>
    </row>
    <row r="672" spans="1:93" s="12" customFormat="1" ht="14.65" customHeight="1" x14ac:dyDescent="0.25">
      <c r="A672" s="4">
        <v>2021</v>
      </c>
      <c r="B672" s="318">
        <v>44301</v>
      </c>
      <c r="C672" s="4" t="s">
        <v>66</v>
      </c>
      <c r="D672" s="4" t="s">
        <v>65</v>
      </c>
      <c r="E672" s="4"/>
      <c r="F672" s="4" t="s">
        <v>90</v>
      </c>
      <c r="G672" s="5" t="s">
        <v>427</v>
      </c>
      <c r="H672" s="5" t="s">
        <v>428</v>
      </c>
      <c r="I672" s="5" t="s">
        <v>143</v>
      </c>
      <c r="J672" s="5" t="s">
        <v>10</v>
      </c>
      <c r="K672" s="5">
        <v>18</v>
      </c>
      <c r="L672" s="5">
        <v>55</v>
      </c>
      <c r="M672" s="5">
        <v>1666</v>
      </c>
      <c r="N672" s="5" t="s">
        <v>170</v>
      </c>
      <c r="O672" s="6" t="s">
        <v>81</v>
      </c>
      <c r="P672" s="6" t="s">
        <v>429</v>
      </c>
      <c r="Q672" s="6"/>
      <c r="R672" s="6"/>
      <c r="S672" s="6">
        <v>57</v>
      </c>
      <c r="T672" s="6">
        <v>19.899999999999999</v>
      </c>
      <c r="U672" s="6">
        <v>1402</v>
      </c>
      <c r="V672" s="6">
        <v>28.51</v>
      </c>
      <c r="W672" s="6">
        <v>50</v>
      </c>
      <c r="X672" s="6">
        <v>303</v>
      </c>
      <c r="Y672" s="6">
        <v>595</v>
      </c>
      <c r="Z672" s="6">
        <v>375</v>
      </c>
      <c r="AA672" s="6">
        <v>75</v>
      </c>
      <c r="AB672" s="6">
        <v>4</v>
      </c>
      <c r="AC672" s="7">
        <v>129</v>
      </c>
      <c r="AD672" s="7" t="s">
        <v>52</v>
      </c>
      <c r="AE672" s="7">
        <v>33.729999999999997</v>
      </c>
      <c r="AF672" s="7">
        <v>119</v>
      </c>
      <c r="AG672" s="7">
        <v>22.75</v>
      </c>
      <c r="AH672" s="7">
        <v>49.34</v>
      </c>
      <c r="AI672" s="7">
        <v>51.34</v>
      </c>
      <c r="AJ672" s="9">
        <v>364.655279607642</v>
      </c>
      <c r="AK672" s="9">
        <v>402.125529873674</v>
      </c>
      <c r="AL672" s="9">
        <v>442.82518101353202</v>
      </c>
      <c r="AM672" s="9">
        <v>66.903441196305707</v>
      </c>
      <c r="AN672" s="9">
        <v>0.51863132710314497</v>
      </c>
      <c r="AO672" s="9">
        <v>0.31209867641153199</v>
      </c>
      <c r="AP672" s="9">
        <v>1065.81073180914</v>
      </c>
      <c r="AQ672" s="9">
        <v>8.2620986961949203</v>
      </c>
      <c r="AR672" s="9">
        <v>7.3881364591578196</v>
      </c>
      <c r="AS672" s="8" t="s">
        <v>169</v>
      </c>
      <c r="AT672" s="8" t="s">
        <v>169</v>
      </c>
      <c r="AU672" s="10" t="s">
        <v>169</v>
      </c>
      <c r="AV672" s="10">
        <v>0</v>
      </c>
      <c r="AW672" s="8"/>
      <c r="AX672" s="10" t="s">
        <v>169</v>
      </c>
      <c r="AY672" s="10"/>
      <c r="AZ672" s="10"/>
      <c r="BA672" s="10"/>
      <c r="BB672" s="8"/>
      <c r="BC672" s="8"/>
      <c r="BD672" s="8"/>
      <c r="BE672" s="8"/>
      <c r="BF672" s="12">
        <v>0.55000000000000004</v>
      </c>
      <c r="BG672" s="13">
        <v>424.18962131254602</v>
      </c>
      <c r="BH672" s="96" t="str">
        <f>+VLOOKUP(G672,Liste!$A$7:$G$50,3,FALSE)</f>
        <v>Hêtre commun</v>
      </c>
      <c r="BI672" s="96" t="str">
        <f>+VLOOKUP(H672,Liste!$B$7:$G$50,5,FALSE)</f>
        <v>GS Hêtraies et hêtraies sapinières des Pyrénées</v>
      </c>
      <c r="BJ672" s="135">
        <f t="shared" si="206"/>
        <v>129</v>
      </c>
      <c r="BK672" s="135" t="str">
        <f t="shared" si="208"/>
        <v>Hêtre commun_F2_Entree 19-20m_GS Hêtraies et hêtraies sapinières des Pyrénées_129_</v>
      </c>
      <c r="BL672" s="322"/>
      <c r="BM672" s="13">
        <v>103.112768015368</v>
      </c>
      <c r="BN672" s="13">
        <v>527.30238932791406</v>
      </c>
      <c r="BO672" s="13" t="s">
        <v>169</v>
      </c>
      <c r="BP672" s="13">
        <v>300.22307244627501</v>
      </c>
      <c r="BQ672" s="13">
        <v>8.4479376520982097</v>
      </c>
      <c r="BT672" s="298" t="str">
        <f>+VLOOKUP(G672,Liste!$A$7:$H$50,8,FALSE)</f>
        <v>Feuillus</v>
      </c>
      <c r="BU672" s="298">
        <f t="shared" si="209"/>
        <v>1</v>
      </c>
      <c r="BV672" s="300">
        <f t="shared" si="210"/>
        <v>0</v>
      </c>
      <c r="BW672" s="321">
        <v>0</v>
      </c>
      <c r="BX672" s="298">
        <f t="shared" si="211"/>
        <v>0.25</v>
      </c>
      <c r="BY672">
        <f t="shared" si="212"/>
        <v>0</v>
      </c>
      <c r="BZ672" s="304">
        <f t="shared" si="213"/>
        <v>0</v>
      </c>
      <c r="CB672" s="299">
        <v>0.6</v>
      </c>
      <c r="CC672" s="299">
        <v>0.4</v>
      </c>
      <c r="CD672">
        <f t="shared" si="214"/>
        <v>0</v>
      </c>
      <c r="CE672">
        <f t="shared" si="215"/>
        <v>0</v>
      </c>
      <c r="CF672">
        <f t="shared" si="216"/>
        <v>0</v>
      </c>
      <c r="CG672">
        <f t="shared" si="217"/>
        <v>0</v>
      </c>
      <c r="CH672">
        <f t="shared" si="218"/>
        <v>0</v>
      </c>
      <c r="CI672">
        <f t="shared" si="219"/>
        <v>0</v>
      </c>
      <c r="CJ672">
        <f t="shared" si="220"/>
        <v>0</v>
      </c>
      <c r="CK672">
        <f t="shared" si="221"/>
        <v>0</v>
      </c>
      <c r="CL672">
        <f t="shared" si="222"/>
        <v>0</v>
      </c>
      <c r="CM672">
        <f t="shared" si="224"/>
        <v>0</v>
      </c>
      <c r="CN672">
        <f t="shared" si="223"/>
        <v>0</v>
      </c>
      <c r="CO672">
        <f t="shared" si="207"/>
        <v>0</v>
      </c>
    </row>
    <row r="673" spans="1:93" s="12" customFormat="1" ht="14.65" customHeight="1" x14ac:dyDescent="0.25">
      <c r="A673" s="4">
        <v>2021</v>
      </c>
      <c r="B673" s="318">
        <v>44301</v>
      </c>
      <c r="C673" s="4" t="s">
        <v>66</v>
      </c>
      <c r="D673" s="4" t="s">
        <v>65</v>
      </c>
      <c r="E673" s="4"/>
      <c r="F673" s="4" t="s">
        <v>90</v>
      </c>
      <c r="G673" s="5" t="s">
        <v>427</v>
      </c>
      <c r="H673" s="5" t="s">
        <v>428</v>
      </c>
      <c r="I673" s="5" t="s">
        <v>143</v>
      </c>
      <c r="J673" s="5" t="s">
        <v>10</v>
      </c>
      <c r="K673" s="5">
        <v>18</v>
      </c>
      <c r="L673" s="5">
        <v>55</v>
      </c>
      <c r="M673" s="5">
        <v>1666</v>
      </c>
      <c r="N673" s="5" t="s">
        <v>170</v>
      </c>
      <c r="O673" s="6" t="s">
        <v>81</v>
      </c>
      <c r="P673" s="6" t="s">
        <v>429</v>
      </c>
      <c r="Q673" s="6"/>
      <c r="R673" s="6"/>
      <c r="S673" s="6">
        <v>57</v>
      </c>
      <c r="T673" s="6">
        <v>19.899999999999999</v>
      </c>
      <c r="U673" s="6">
        <v>1402</v>
      </c>
      <c r="V673" s="6">
        <v>28.51</v>
      </c>
      <c r="W673" s="6">
        <v>50</v>
      </c>
      <c r="X673" s="6">
        <v>303</v>
      </c>
      <c r="Y673" s="6">
        <v>595</v>
      </c>
      <c r="Z673" s="6">
        <v>375</v>
      </c>
      <c r="AA673" s="6">
        <v>75</v>
      </c>
      <c r="AB673" s="6">
        <v>4</v>
      </c>
      <c r="AC673" s="7">
        <v>129</v>
      </c>
      <c r="AD673" s="7" t="s">
        <v>53</v>
      </c>
      <c r="AE673" s="7">
        <v>33.729999999999997</v>
      </c>
      <c r="AF673" s="7">
        <v>84</v>
      </c>
      <c r="AG673" s="7">
        <v>14.59</v>
      </c>
      <c r="AH673" s="7">
        <v>47.02</v>
      </c>
      <c r="AI673" s="7">
        <v>47.02</v>
      </c>
      <c r="AJ673" s="9">
        <v>233.51621674076699</v>
      </c>
      <c r="AK673" s="9">
        <v>255.88538407904099</v>
      </c>
      <c r="AL673" s="9">
        <v>282.02225925870101</v>
      </c>
      <c r="AM673" s="9">
        <v>66.903441196305707</v>
      </c>
      <c r="AN673" s="9">
        <v>0.51863132710314497</v>
      </c>
      <c r="AO673" s="9">
        <v>0.31209867641153199</v>
      </c>
      <c r="AP673" s="9">
        <v>1065.81073180914</v>
      </c>
      <c r="AQ673" s="9">
        <v>8.2620986961949203</v>
      </c>
      <c r="AR673" s="9">
        <v>7.3881364591578196</v>
      </c>
      <c r="AS673" s="8">
        <v>35</v>
      </c>
      <c r="AT673" s="8">
        <v>8.16</v>
      </c>
      <c r="AU673" s="10">
        <v>54.48364023143337</v>
      </c>
      <c r="AV673" s="10">
        <v>131.13906286687501</v>
      </c>
      <c r="AW673" s="10">
        <v>1.22</v>
      </c>
      <c r="AX673" s="10">
        <v>3.7468303676250003</v>
      </c>
      <c r="AY673" s="10"/>
      <c r="AZ673" s="10"/>
      <c r="BA673" s="10"/>
      <c r="BB673" s="8"/>
      <c r="BC673" s="8"/>
      <c r="BD673" s="8"/>
      <c r="BE673" s="8"/>
      <c r="BF673" s="12">
        <v>0.55000000000000004</v>
      </c>
      <c r="BG673" s="13">
        <v>270.153822514897</v>
      </c>
      <c r="BH673" s="96" t="str">
        <f>+VLOOKUP(G673,Liste!$A$7:$G$50,3,FALSE)</f>
        <v>Hêtre commun</v>
      </c>
      <c r="BI673" s="96" t="str">
        <f>+VLOOKUP(H673,Liste!$B$7:$G$50,5,FALSE)</f>
        <v>GS Hêtraies et hêtraies sapinières des Pyrénées</v>
      </c>
      <c r="BJ673" s="135">
        <f t="shared" si="206"/>
        <v>129</v>
      </c>
      <c r="BK673" s="135" t="str">
        <f t="shared" si="208"/>
        <v>Hêtre commun_F2_Entree 19-20m_GS Hêtraies et hêtraies sapinières des Pyrénées_129_</v>
      </c>
      <c r="BL673" s="322"/>
      <c r="BM673" s="13">
        <v>69.2104986783268</v>
      </c>
      <c r="BN673" s="13">
        <v>339.36432119322399</v>
      </c>
      <c r="BO673" s="13">
        <v>187.93806813469007</v>
      </c>
      <c r="BP673" s="13">
        <v>300.22307244627501</v>
      </c>
      <c r="BQ673" s="13">
        <v>8.4479376520982097</v>
      </c>
      <c r="BT673" s="298" t="str">
        <f>+VLOOKUP(G673,Liste!$A$7:$H$50,8,FALSE)</f>
        <v>Feuillus</v>
      </c>
      <c r="BU673" s="298">
        <f t="shared" si="209"/>
        <v>1</v>
      </c>
      <c r="BV673" s="300">
        <f t="shared" si="210"/>
        <v>0</v>
      </c>
      <c r="BW673" s="321">
        <v>0</v>
      </c>
      <c r="BX673" s="298">
        <f t="shared" si="211"/>
        <v>0.25</v>
      </c>
      <c r="BY673">
        <f t="shared" si="212"/>
        <v>0</v>
      </c>
      <c r="BZ673" s="304">
        <f t="shared" si="213"/>
        <v>0</v>
      </c>
      <c r="CB673" s="299">
        <v>0.6</v>
      </c>
      <c r="CC673" s="299">
        <v>0.4</v>
      </c>
      <c r="CD673">
        <f t="shared" si="214"/>
        <v>0</v>
      </c>
      <c r="CE673">
        <f t="shared" si="215"/>
        <v>0</v>
      </c>
      <c r="CF673">
        <f t="shared" si="216"/>
        <v>0</v>
      </c>
      <c r="CG673">
        <f t="shared" si="217"/>
        <v>0</v>
      </c>
      <c r="CH673">
        <f t="shared" si="218"/>
        <v>0</v>
      </c>
      <c r="CI673">
        <f t="shared" si="219"/>
        <v>0</v>
      </c>
      <c r="CJ673">
        <f t="shared" si="220"/>
        <v>0</v>
      </c>
      <c r="CK673">
        <f t="shared" si="221"/>
        <v>0</v>
      </c>
      <c r="CL673">
        <f t="shared" si="222"/>
        <v>0</v>
      </c>
      <c r="CM673">
        <f t="shared" si="224"/>
        <v>0</v>
      </c>
      <c r="CN673">
        <f t="shared" si="223"/>
        <v>0</v>
      </c>
      <c r="CO673">
        <f t="shared" si="207"/>
        <v>0</v>
      </c>
    </row>
    <row r="674" spans="1:93" s="12" customFormat="1" ht="14.65" customHeight="1" x14ac:dyDescent="0.25">
      <c r="A674" s="4">
        <v>2021</v>
      </c>
      <c r="B674" s="318">
        <v>44301</v>
      </c>
      <c r="C674" s="4" t="s">
        <v>66</v>
      </c>
      <c r="D674" s="4" t="s">
        <v>65</v>
      </c>
      <c r="E674" s="4"/>
      <c r="F674" s="4" t="s">
        <v>90</v>
      </c>
      <c r="G674" s="5" t="s">
        <v>427</v>
      </c>
      <c r="H674" s="5" t="s">
        <v>428</v>
      </c>
      <c r="I674" s="5" t="s">
        <v>143</v>
      </c>
      <c r="J674" s="5" t="s">
        <v>10</v>
      </c>
      <c r="K674" s="5">
        <v>18</v>
      </c>
      <c r="L674" s="5">
        <v>55</v>
      </c>
      <c r="M674" s="5">
        <v>1666</v>
      </c>
      <c r="N674" s="5" t="s">
        <v>170</v>
      </c>
      <c r="O674" s="6" t="s">
        <v>81</v>
      </c>
      <c r="P674" s="6" t="s">
        <v>429</v>
      </c>
      <c r="Q674" s="6"/>
      <c r="R674" s="6"/>
      <c r="S674" s="6">
        <v>57</v>
      </c>
      <c r="T674" s="6">
        <v>19.899999999999999</v>
      </c>
      <c r="U674" s="6">
        <v>1402</v>
      </c>
      <c r="V674" s="6">
        <v>28.51</v>
      </c>
      <c r="W674" s="6">
        <v>50</v>
      </c>
      <c r="X674" s="6">
        <v>303</v>
      </c>
      <c r="Y674" s="6">
        <v>595</v>
      </c>
      <c r="Z674" s="6">
        <v>375</v>
      </c>
      <c r="AA674" s="6">
        <v>75</v>
      </c>
      <c r="AB674" s="6">
        <v>4</v>
      </c>
      <c r="AC674" s="7">
        <v>132</v>
      </c>
      <c r="AD674" s="7" t="s">
        <v>52</v>
      </c>
      <c r="AE674" s="7">
        <v>34.03</v>
      </c>
      <c r="AF674" s="7">
        <v>84</v>
      </c>
      <c r="AG674" s="7">
        <v>15.52</v>
      </c>
      <c r="AH674" s="7">
        <v>48.5</v>
      </c>
      <c r="AI674" s="7">
        <v>48.5</v>
      </c>
      <c r="AJ674" s="9">
        <v>251.995938707557</v>
      </c>
      <c r="AK674" s="9">
        <v>276.46908590141601</v>
      </c>
      <c r="AL674" s="9">
        <v>304.186668636175</v>
      </c>
      <c r="AM674" s="9">
        <v>67.839737225540304</v>
      </c>
      <c r="AN674" s="9">
        <v>0.51393740322379</v>
      </c>
      <c r="AO674" s="9">
        <v>0.30602078109429698</v>
      </c>
      <c r="AP674" s="9">
        <v>1087.97514118662</v>
      </c>
      <c r="AQ674" s="9">
        <v>8.2422359180804392</v>
      </c>
      <c r="AR674" s="9">
        <v>7.0097167852575204</v>
      </c>
      <c r="AS674" s="8" t="s">
        <v>169</v>
      </c>
      <c r="AT674" s="8" t="s">
        <v>169</v>
      </c>
      <c r="AU674" s="10" t="s">
        <v>169</v>
      </c>
      <c r="AV674" s="10">
        <v>0</v>
      </c>
      <c r="AW674" s="8"/>
      <c r="AX674" s="10" t="s">
        <v>169</v>
      </c>
      <c r="AY674" s="10"/>
      <c r="AZ674" s="10"/>
      <c r="BA674" s="10"/>
      <c r="BB674" s="8"/>
      <c r="BC674" s="8"/>
      <c r="BD674" s="8"/>
      <c r="BE674" s="8"/>
      <c r="BF674" s="12">
        <v>0.55000000000000004</v>
      </c>
      <c r="BG674" s="13">
        <v>291.385479664402</v>
      </c>
      <c r="BH674" s="96" t="str">
        <f>+VLOOKUP(G674,Liste!$A$7:$G$50,3,FALSE)</f>
        <v>Hêtre commun</v>
      </c>
      <c r="BI674" s="96" t="str">
        <f>+VLOOKUP(H674,Liste!$B$7:$G$50,5,FALSE)</f>
        <v>GS Hêtraies et hêtraies sapinières des Pyrénées</v>
      </c>
      <c r="BJ674" s="135">
        <f t="shared" si="206"/>
        <v>132</v>
      </c>
      <c r="BK674" s="135" t="str">
        <f t="shared" si="208"/>
        <v>Hêtre commun_F2_Entree 19-20m_GS Hêtraies et hêtraies sapinières des Pyrénées_132_</v>
      </c>
      <c r="BL674" s="322"/>
      <c r="BM674" s="13">
        <v>73.995317405240399</v>
      </c>
      <c r="BN674" s="13">
        <v>365.38079706964299</v>
      </c>
      <c r="BO674" s="13" t="s">
        <v>169</v>
      </c>
      <c r="BP674" s="13">
        <v>300.22307244627501</v>
      </c>
      <c r="BQ674" s="13">
        <v>8.0127136121932399</v>
      </c>
      <c r="BT674" s="298" t="str">
        <f>+VLOOKUP(G674,Liste!$A$7:$H$50,8,FALSE)</f>
        <v>Feuillus</v>
      </c>
      <c r="BU674" s="298">
        <f t="shared" si="209"/>
        <v>1</v>
      </c>
      <c r="BV674" s="300">
        <f t="shared" si="210"/>
        <v>0</v>
      </c>
      <c r="BW674" s="321">
        <v>0</v>
      </c>
      <c r="BX674" s="298">
        <f t="shared" si="211"/>
        <v>0.25</v>
      </c>
      <c r="BY674">
        <f t="shared" si="212"/>
        <v>0</v>
      </c>
      <c r="BZ674" s="304">
        <f t="shared" si="213"/>
        <v>0</v>
      </c>
      <c r="CB674" s="299">
        <v>0.6</v>
      </c>
      <c r="CC674" s="299">
        <v>0.4</v>
      </c>
      <c r="CD674">
        <f t="shared" si="214"/>
        <v>0</v>
      </c>
      <c r="CE674">
        <f t="shared" si="215"/>
        <v>0</v>
      </c>
      <c r="CF674">
        <f t="shared" si="216"/>
        <v>0</v>
      </c>
      <c r="CG674">
        <f t="shared" si="217"/>
        <v>0</v>
      </c>
      <c r="CH674">
        <f t="shared" si="218"/>
        <v>0</v>
      </c>
      <c r="CI674">
        <f t="shared" si="219"/>
        <v>0</v>
      </c>
      <c r="CJ674">
        <f t="shared" si="220"/>
        <v>0</v>
      </c>
      <c r="CK674">
        <f t="shared" si="221"/>
        <v>0</v>
      </c>
      <c r="CL674">
        <f t="shared" si="222"/>
        <v>0</v>
      </c>
      <c r="CM674">
        <f t="shared" si="224"/>
        <v>0</v>
      </c>
      <c r="CN674">
        <f t="shared" si="223"/>
        <v>0</v>
      </c>
      <c r="CO674">
        <f t="shared" si="207"/>
        <v>0</v>
      </c>
    </row>
    <row r="675" spans="1:93" s="12" customFormat="1" ht="14.65" customHeight="1" x14ac:dyDescent="0.25">
      <c r="A675" s="4">
        <v>2021</v>
      </c>
      <c r="B675" s="318">
        <v>44301</v>
      </c>
      <c r="C675" s="4" t="s">
        <v>66</v>
      </c>
      <c r="D675" s="4" t="s">
        <v>65</v>
      </c>
      <c r="E675" s="4"/>
      <c r="F675" s="4" t="s">
        <v>90</v>
      </c>
      <c r="G675" s="5" t="s">
        <v>427</v>
      </c>
      <c r="H675" s="5" t="s">
        <v>428</v>
      </c>
      <c r="I675" s="5" t="s">
        <v>143</v>
      </c>
      <c r="J675" s="5" t="s">
        <v>10</v>
      </c>
      <c r="K675" s="5">
        <v>18</v>
      </c>
      <c r="L675" s="5">
        <v>55</v>
      </c>
      <c r="M675" s="5">
        <v>1666</v>
      </c>
      <c r="N675" s="5" t="s">
        <v>170</v>
      </c>
      <c r="O675" s="6" t="s">
        <v>81</v>
      </c>
      <c r="P675" s="6" t="s">
        <v>429</v>
      </c>
      <c r="Q675" s="6"/>
      <c r="R675" s="6"/>
      <c r="S675" s="6">
        <v>57</v>
      </c>
      <c r="T675" s="6">
        <v>19.899999999999999</v>
      </c>
      <c r="U675" s="6">
        <v>1402</v>
      </c>
      <c r="V675" s="6">
        <v>28.51</v>
      </c>
      <c r="W675" s="6">
        <v>50</v>
      </c>
      <c r="X675" s="6">
        <v>303</v>
      </c>
      <c r="Y675" s="6">
        <v>595</v>
      </c>
      <c r="Z675" s="6">
        <v>375</v>
      </c>
      <c r="AA675" s="6">
        <v>75</v>
      </c>
      <c r="AB675" s="6">
        <v>4</v>
      </c>
      <c r="AC675" s="7">
        <v>134</v>
      </c>
      <c r="AD675" s="7" t="s">
        <v>52</v>
      </c>
      <c r="AE675" s="7">
        <v>34.229999999999997</v>
      </c>
      <c r="AF675" s="7">
        <v>84</v>
      </c>
      <c r="AG675" s="7">
        <v>16.13</v>
      </c>
      <c r="AH675" s="7">
        <v>49.45</v>
      </c>
      <c r="AI675" s="7">
        <v>49.45</v>
      </c>
      <c r="AJ675" s="9">
        <v>263.52016739699798</v>
      </c>
      <c r="AK675" s="9">
        <v>289.442753703969</v>
      </c>
      <c r="AL675" s="9">
        <v>318.20610220668999</v>
      </c>
      <c r="AM675" s="9">
        <v>68.451778787728898</v>
      </c>
      <c r="AN675" s="9">
        <v>0.51083417005767795</v>
      </c>
      <c r="AO675" s="9">
        <v>0.25732332512613199</v>
      </c>
      <c r="AP675" s="9">
        <v>1101.9945747571301</v>
      </c>
      <c r="AQ675" s="9">
        <v>8.2238401101278598</v>
      </c>
      <c r="AR675" s="9">
        <v>5.7920817190953704</v>
      </c>
      <c r="AS675" s="8" t="s">
        <v>169</v>
      </c>
      <c r="AT675" s="8" t="s">
        <v>169</v>
      </c>
      <c r="AU675" s="10" t="s">
        <v>169</v>
      </c>
      <c r="AV675" s="10">
        <v>0</v>
      </c>
      <c r="AW675" s="8"/>
      <c r="AX675" s="10" t="s">
        <v>169</v>
      </c>
      <c r="AY675" s="10"/>
      <c r="AZ675" s="10"/>
      <c r="BA675" s="10"/>
      <c r="BB675" s="8"/>
      <c r="BC675" s="8"/>
      <c r="BD675" s="8"/>
      <c r="BE675" s="8"/>
      <c r="BF675" s="12">
        <v>0.55000000000000004</v>
      </c>
      <c r="BG675" s="13">
        <v>304.81492873882502</v>
      </c>
      <c r="BH675" s="96" t="str">
        <f>+VLOOKUP(G675,Liste!$A$7:$G$50,3,FALSE)</f>
        <v>Hêtre commun</v>
      </c>
      <c r="BI675" s="96" t="str">
        <f>+VLOOKUP(H675,Liste!$B$7:$G$50,5,FALSE)</f>
        <v>GS Hêtraies et hêtraies sapinières des Pyrénées</v>
      </c>
      <c r="BJ675" s="135">
        <f t="shared" si="206"/>
        <v>134</v>
      </c>
      <c r="BK675" s="135" t="str">
        <f t="shared" si="208"/>
        <v>Hêtre commun_F2_Entree 19-20m_GS Hêtraies et hêtraies sapinières des Pyrénées_134_</v>
      </c>
      <c r="BL675" s="322"/>
      <c r="BM675" s="13">
        <v>77.000724476809594</v>
      </c>
      <c r="BN675" s="13">
        <v>381.81565321563397</v>
      </c>
      <c r="BO675" s="13" t="s">
        <v>169</v>
      </c>
      <c r="BP675" s="13">
        <v>300.22307244627501</v>
      </c>
      <c r="BQ675" s="13">
        <v>6.6190761422809201</v>
      </c>
      <c r="BT675" s="298" t="str">
        <f>+VLOOKUP(G675,Liste!$A$7:$H$50,8,FALSE)</f>
        <v>Feuillus</v>
      </c>
      <c r="BU675" s="298">
        <f t="shared" si="209"/>
        <v>1</v>
      </c>
      <c r="BV675" s="300">
        <f t="shared" si="210"/>
        <v>0</v>
      </c>
      <c r="BW675" s="321">
        <v>0</v>
      </c>
      <c r="BX675" s="298">
        <f t="shared" si="211"/>
        <v>0.25</v>
      </c>
      <c r="BY675">
        <f t="shared" si="212"/>
        <v>0</v>
      </c>
      <c r="BZ675" s="304">
        <f t="shared" si="213"/>
        <v>0</v>
      </c>
      <c r="CB675" s="299">
        <v>0.6</v>
      </c>
      <c r="CC675" s="299">
        <v>0.4</v>
      </c>
      <c r="CD675">
        <f t="shared" si="214"/>
        <v>0</v>
      </c>
      <c r="CE675">
        <f t="shared" si="215"/>
        <v>0</v>
      </c>
      <c r="CF675">
        <f t="shared" si="216"/>
        <v>0</v>
      </c>
      <c r="CG675">
        <f t="shared" si="217"/>
        <v>0</v>
      </c>
      <c r="CH675">
        <f t="shared" si="218"/>
        <v>0</v>
      </c>
      <c r="CI675">
        <f t="shared" si="219"/>
        <v>0</v>
      </c>
      <c r="CJ675">
        <f t="shared" si="220"/>
        <v>0</v>
      </c>
      <c r="CK675">
        <f t="shared" si="221"/>
        <v>0</v>
      </c>
      <c r="CL675">
        <f t="shared" si="222"/>
        <v>0</v>
      </c>
      <c r="CM675">
        <f t="shared" si="224"/>
        <v>0</v>
      </c>
      <c r="CN675">
        <f t="shared" si="223"/>
        <v>0</v>
      </c>
      <c r="CO675">
        <f t="shared" si="207"/>
        <v>0</v>
      </c>
    </row>
    <row r="676" spans="1:93" s="12" customFormat="1" ht="14.65" customHeight="1" x14ac:dyDescent="0.25">
      <c r="A676" s="4">
        <v>2021</v>
      </c>
      <c r="B676" s="318">
        <v>44301</v>
      </c>
      <c r="C676" s="4" t="s">
        <v>66</v>
      </c>
      <c r="D676" s="4" t="s">
        <v>65</v>
      </c>
      <c r="E676" s="4"/>
      <c r="F676" s="4" t="s">
        <v>90</v>
      </c>
      <c r="G676" s="5" t="s">
        <v>427</v>
      </c>
      <c r="H676" s="5" t="s">
        <v>428</v>
      </c>
      <c r="I676" s="5" t="s">
        <v>143</v>
      </c>
      <c r="J676" s="5" t="s">
        <v>10</v>
      </c>
      <c r="K676" s="5">
        <v>18</v>
      </c>
      <c r="L676" s="5">
        <v>55</v>
      </c>
      <c r="M676" s="5">
        <v>1666</v>
      </c>
      <c r="N676" s="5" t="s">
        <v>170</v>
      </c>
      <c r="O676" s="6" t="s">
        <v>81</v>
      </c>
      <c r="P676" s="6" t="s">
        <v>429</v>
      </c>
      <c r="Q676" s="6"/>
      <c r="R676" s="6"/>
      <c r="S676" s="6">
        <v>57</v>
      </c>
      <c r="T676" s="6">
        <v>19.899999999999999</v>
      </c>
      <c r="U676" s="6">
        <v>1402</v>
      </c>
      <c r="V676" s="6">
        <v>28.51</v>
      </c>
      <c r="W676" s="6">
        <v>50</v>
      </c>
      <c r="X676" s="6">
        <v>303</v>
      </c>
      <c r="Y676" s="6">
        <v>595</v>
      </c>
      <c r="Z676" s="6">
        <v>375</v>
      </c>
      <c r="AA676" s="6">
        <v>75</v>
      </c>
      <c r="AB676" s="6">
        <v>4</v>
      </c>
      <c r="AC676" s="7">
        <v>134</v>
      </c>
      <c r="AD676" s="7" t="s">
        <v>53</v>
      </c>
      <c r="AE676" s="7">
        <v>34.229999999999997</v>
      </c>
      <c r="AF676" s="7">
        <v>53</v>
      </c>
      <c r="AG676" s="7">
        <v>10.47</v>
      </c>
      <c r="AH676" s="7">
        <v>50.15</v>
      </c>
      <c r="AI676" s="7">
        <v>50.15</v>
      </c>
      <c r="AJ676" s="9">
        <v>171.20876864490299</v>
      </c>
      <c r="AK676" s="9">
        <v>188.12490589139301</v>
      </c>
      <c r="AL676" s="9">
        <v>206.77769086196599</v>
      </c>
      <c r="AM676" s="9">
        <v>68.451778787728898</v>
      </c>
      <c r="AN676" s="9">
        <v>0.51083417005767795</v>
      </c>
      <c r="AO676" s="9">
        <v>0.25732332512613199</v>
      </c>
      <c r="AP676" s="9">
        <v>1101.9945747571301</v>
      </c>
      <c r="AQ676" s="9">
        <v>8.2238401101278598</v>
      </c>
      <c r="AR676" s="9">
        <v>5.7920817190953704</v>
      </c>
      <c r="AS676" s="8">
        <v>31</v>
      </c>
      <c r="AT676" s="8">
        <v>5.6599999999999984</v>
      </c>
      <c r="AU676" s="10">
        <v>48.215028520432668</v>
      </c>
      <c r="AV676" s="10">
        <v>92.311398752094988</v>
      </c>
      <c r="AW676" s="10">
        <v>0.95</v>
      </c>
      <c r="AX676" s="10">
        <v>2.9777870565191931</v>
      </c>
      <c r="AY676" s="10"/>
      <c r="AZ676" s="10"/>
      <c r="BA676" s="10"/>
      <c r="BB676" s="8"/>
      <c r="BC676" s="8"/>
      <c r="BD676" s="8"/>
      <c r="BE676" s="8"/>
      <c r="BF676" s="12">
        <v>0.55000000000000004</v>
      </c>
      <c r="BG676" s="13">
        <v>198.075796371525</v>
      </c>
      <c r="BH676" s="96" t="str">
        <f>+VLOOKUP(G676,Liste!$A$7:$G$50,3,FALSE)</f>
        <v>Hêtre commun</v>
      </c>
      <c r="BI676" s="96" t="str">
        <f>+VLOOKUP(H676,Liste!$B$7:$G$50,5,FALSE)</f>
        <v>GS Hêtraies et hêtraies sapinières des Pyrénées</v>
      </c>
      <c r="BJ676" s="135">
        <f t="shared" si="206"/>
        <v>134</v>
      </c>
      <c r="BK676" s="135" t="str">
        <f t="shared" si="208"/>
        <v>Hêtre commun_F2_Entree 19-20m_GS Hêtraies et hêtraies sapinières des Pyrénées_134_</v>
      </c>
      <c r="BL676" s="322"/>
      <c r="BM676" s="13">
        <v>52.611493450726201</v>
      </c>
      <c r="BN676" s="13">
        <v>250.68728982225099</v>
      </c>
      <c r="BO676" s="13">
        <v>131.12836339338298</v>
      </c>
      <c r="BP676" s="13">
        <v>300.22307244627501</v>
      </c>
      <c r="BQ676" s="13">
        <v>6.6190761422809201</v>
      </c>
      <c r="BT676" s="298" t="str">
        <f>+VLOOKUP(G676,Liste!$A$7:$H$50,8,FALSE)</f>
        <v>Feuillus</v>
      </c>
      <c r="BU676" s="298">
        <f t="shared" si="209"/>
        <v>1</v>
      </c>
      <c r="BV676" s="300">
        <f t="shared" si="210"/>
        <v>0</v>
      </c>
      <c r="BW676" s="321">
        <v>0</v>
      </c>
      <c r="BX676" s="298">
        <f t="shared" si="211"/>
        <v>0.25</v>
      </c>
      <c r="BY676">
        <f t="shared" si="212"/>
        <v>0</v>
      </c>
      <c r="BZ676" s="304">
        <f t="shared" si="213"/>
        <v>0</v>
      </c>
      <c r="CB676" s="299">
        <v>0.6</v>
      </c>
      <c r="CC676" s="299">
        <v>0.4</v>
      </c>
      <c r="CD676">
        <f t="shared" si="214"/>
        <v>0</v>
      </c>
      <c r="CE676">
        <f t="shared" si="215"/>
        <v>0</v>
      </c>
      <c r="CF676">
        <f t="shared" si="216"/>
        <v>0</v>
      </c>
      <c r="CG676">
        <f t="shared" si="217"/>
        <v>0</v>
      </c>
      <c r="CH676">
        <f t="shared" si="218"/>
        <v>0</v>
      </c>
      <c r="CI676">
        <f t="shared" si="219"/>
        <v>0</v>
      </c>
      <c r="CJ676">
        <f t="shared" si="220"/>
        <v>0</v>
      </c>
      <c r="CK676">
        <f t="shared" si="221"/>
        <v>0</v>
      </c>
      <c r="CL676">
        <f t="shared" si="222"/>
        <v>0</v>
      </c>
      <c r="CM676">
        <f t="shared" si="224"/>
        <v>0</v>
      </c>
      <c r="CN676">
        <f t="shared" si="223"/>
        <v>0</v>
      </c>
      <c r="CO676">
        <f t="shared" si="207"/>
        <v>0</v>
      </c>
    </row>
    <row r="677" spans="1:93" s="12" customFormat="1" ht="14.65" customHeight="1" x14ac:dyDescent="0.25">
      <c r="A677" s="4">
        <v>2021</v>
      </c>
      <c r="B677" s="318">
        <v>44301</v>
      </c>
      <c r="C677" s="4" t="s">
        <v>66</v>
      </c>
      <c r="D677" s="4" t="s">
        <v>65</v>
      </c>
      <c r="E677" s="4"/>
      <c r="F677" s="4" t="s">
        <v>90</v>
      </c>
      <c r="G677" s="5" t="s">
        <v>427</v>
      </c>
      <c r="H677" s="5" t="s">
        <v>428</v>
      </c>
      <c r="I677" s="5" t="s">
        <v>143</v>
      </c>
      <c r="J677" s="5" t="s">
        <v>10</v>
      </c>
      <c r="K677" s="5">
        <v>18</v>
      </c>
      <c r="L677" s="5">
        <v>55</v>
      </c>
      <c r="M677" s="5">
        <v>1666</v>
      </c>
      <c r="N677" s="5" t="s">
        <v>170</v>
      </c>
      <c r="O677" s="6" t="s">
        <v>81</v>
      </c>
      <c r="P677" s="6" t="s">
        <v>429</v>
      </c>
      <c r="Q677" s="6"/>
      <c r="R677" s="6"/>
      <c r="S677" s="6">
        <v>57</v>
      </c>
      <c r="T677" s="6">
        <v>19.899999999999999</v>
      </c>
      <c r="U677" s="6">
        <v>1402</v>
      </c>
      <c r="V677" s="6">
        <v>28.51</v>
      </c>
      <c r="W677" s="6">
        <v>50</v>
      </c>
      <c r="X677" s="6">
        <v>303</v>
      </c>
      <c r="Y677" s="6">
        <v>595</v>
      </c>
      <c r="Z677" s="6">
        <v>375</v>
      </c>
      <c r="AA677" s="6">
        <v>75</v>
      </c>
      <c r="AB677" s="6">
        <v>4</v>
      </c>
      <c r="AC677" s="7">
        <v>137</v>
      </c>
      <c r="AD677" s="7" t="s">
        <v>52</v>
      </c>
      <c r="AE677" s="7">
        <v>34.51</v>
      </c>
      <c r="AF677" s="7">
        <v>53</v>
      </c>
      <c r="AG677" s="7">
        <v>11.24</v>
      </c>
      <c r="AH677" s="7">
        <v>51.96</v>
      </c>
      <c r="AI677" s="7">
        <v>51.96</v>
      </c>
      <c r="AJ677" s="9">
        <v>185.338050049564</v>
      </c>
      <c r="AK677" s="9">
        <v>204.171772819974</v>
      </c>
      <c r="AL677" s="9">
        <v>224.153936019252</v>
      </c>
      <c r="AM677" s="9">
        <v>69.223748763107295</v>
      </c>
      <c r="AN677" s="9">
        <v>0.50528283768691495</v>
      </c>
      <c r="AO677" s="9">
        <v>0.254326007497163</v>
      </c>
      <c r="AP677" s="9">
        <v>1119.3708199144201</v>
      </c>
      <c r="AQ677" s="9">
        <v>8.1705899263826307</v>
      </c>
      <c r="AR677" s="9">
        <v>5.7465998769300803</v>
      </c>
      <c r="AS677" s="8" t="s">
        <v>169</v>
      </c>
      <c r="AT677" s="8" t="s">
        <v>169</v>
      </c>
      <c r="AU677" s="10" t="s">
        <v>169</v>
      </c>
      <c r="AV677" s="10">
        <v>0</v>
      </c>
      <c r="AW677" s="8"/>
      <c r="AX677" s="10" t="s">
        <v>169</v>
      </c>
      <c r="AY677" s="10"/>
      <c r="AZ677" s="10"/>
      <c r="BA677" s="10"/>
      <c r="BB677" s="8"/>
      <c r="BC677" s="8"/>
      <c r="BD677" s="8"/>
      <c r="BE677" s="8"/>
      <c r="BF677" s="12">
        <v>0.55000000000000004</v>
      </c>
      <c r="BG677" s="13">
        <v>214.72079121177501</v>
      </c>
      <c r="BH677" s="96" t="str">
        <f>+VLOOKUP(G677,Liste!$A$7:$G$50,3,FALSE)</f>
        <v>Hêtre commun</v>
      </c>
      <c r="BI677" s="96" t="str">
        <f>+VLOOKUP(H677,Liste!$B$7:$G$50,5,FALSE)</f>
        <v>GS Hêtraies et hêtraies sapinières des Pyrénées</v>
      </c>
      <c r="BJ677" s="135">
        <f t="shared" si="206"/>
        <v>137</v>
      </c>
      <c r="BK677" s="135" t="str">
        <f t="shared" si="208"/>
        <v>Hêtre commun_F2_Entree 19-20m_GS Hêtraies et hêtraies sapinières des Pyrénées_137_</v>
      </c>
      <c r="BL677" s="322"/>
      <c r="BM677" s="13">
        <v>56.4994667922467</v>
      </c>
      <c r="BN677" s="13">
        <v>271.22025800402201</v>
      </c>
      <c r="BO677" s="13" t="s">
        <v>169</v>
      </c>
      <c r="BP677" s="13">
        <v>300.22307244627501</v>
      </c>
      <c r="BQ677" s="13">
        <v>6.5655040756827203</v>
      </c>
      <c r="BT677" s="298" t="str">
        <f>+VLOOKUP(G677,Liste!$A$7:$H$50,8,FALSE)</f>
        <v>Feuillus</v>
      </c>
      <c r="BU677" s="298">
        <f t="shared" si="209"/>
        <v>1</v>
      </c>
      <c r="BV677" s="300">
        <f t="shared" si="210"/>
        <v>0</v>
      </c>
      <c r="BW677" s="321">
        <v>0</v>
      </c>
      <c r="BX677" s="298">
        <f t="shared" si="211"/>
        <v>0.25</v>
      </c>
      <c r="BY677">
        <f t="shared" si="212"/>
        <v>0</v>
      </c>
      <c r="BZ677" s="304">
        <f t="shared" si="213"/>
        <v>0</v>
      </c>
      <c r="CB677" s="299">
        <v>0.6</v>
      </c>
      <c r="CC677" s="299">
        <v>0.4</v>
      </c>
      <c r="CD677">
        <f t="shared" si="214"/>
        <v>0</v>
      </c>
      <c r="CE677">
        <f t="shared" si="215"/>
        <v>0</v>
      </c>
      <c r="CF677">
        <f t="shared" si="216"/>
        <v>0</v>
      </c>
      <c r="CG677">
        <f t="shared" si="217"/>
        <v>0</v>
      </c>
      <c r="CH677">
        <f t="shared" si="218"/>
        <v>0</v>
      </c>
      <c r="CI677">
        <f t="shared" si="219"/>
        <v>0</v>
      </c>
      <c r="CJ677">
        <f t="shared" si="220"/>
        <v>0</v>
      </c>
      <c r="CK677">
        <f t="shared" si="221"/>
        <v>0</v>
      </c>
      <c r="CL677">
        <f t="shared" si="222"/>
        <v>0</v>
      </c>
      <c r="CM677">
        <f t="shared" si="224"/>
        <v>0</v>
      </c>
      <c r="CN677">
        <f t="shared" si="223"/>
        <v>0</v>
      </c>
      <c r="CO677">
        <f t="shared" si="207"/>
        <v>0</v>
      </c>
    </row>
    <row r="678" spans="1:93" s="12" customFormat="1" ht="14.65" customHeight="1" x14ac:dyDescent="0.25">
      <c r="A678" s="4">
        <v>2021</v>
      </c>
      <c r="B678" s="318">
        <v>44301</v>
      </c>
      <c r="C678" s="4" t="s">
        <v>66</v>
      </c>
      <c r="D678" s="4" t="s">
        <v>65</v>
      </c>
      <c r="E678" s="4"/>
      <c r="F678" s="4" t="s">
        <v>90</v>
      </c>
      <c r="G678" s="5" t="s">
        <v>427</v>
      </c>
      <c r="H678" s="5" t="s">
        <v>428</v>
      </c>
      <c r="I678" s="5" t="s">
        <v>143</v>
      </c>
      <c r="J678" s="5" t="s">
        <v>10</v>
      </c>
      <c r="K678" s="5">
        <v>18</v>
      </c>
      <c r="L678" s="5">
        <v>55</v>
      </c>
      <c r="M678" s="5">
        <v>1666</v>
      </c>
      <c r="N678" s="5" t="s">
        <v>170</v>
      </c>
      <c r="O678" s="6" t="s">
        <v>81</v>
      </c>
      <c r="P678" s="6" t="s">
        <v>429</v>
      </c>
      <c r="Q678" s="6"/>
      <c r="R678" s="6"/>
      <c r="S678" s="6">
        <v>57</v>
      </c>
      <c r="T678" s="6">
        <v>19.899999999999999</v>
      </c>
      <c r="U678" s="6">
        <v>1402</v>
      </c>
      <c r="V678" s="6">
        <v>28.51</v>
      </c>
      <c r="W678" s="6">
        <v>50</v>
      </c>
      <c r="X678" s="6">
        <v>303</v>
      </c>
      <c r="Y678" s="6">
        <v>595</v>
      </c>
      <c r="Z678" s="6">
        <v>375</v>
      </c>
      <c r="AA678" s="6">
        <v>75</v>
      </c>
      <c r="AB678" s="6">
        <v>4</v>
      </c>
      <c r="AC678" s="7">
        <v>139</v>
      </c>
      <c r="AD678" s="7" t="s">
        <v>52</v>
      </c>
      <c r="AE678" s="7">
        <v>34.700000000000003</v>
      </c>
      <c r="AF678" s="7">
        <v>53</v>
      </c>
      <c r="AG678" s="7">
        <v>11.75</v>
      </c>
      <c r="AH678" s="7">
        <v>53.12</v>
      </c>
      <c r="AI678" s="7">
        <v>53.12</v>
      </c>
      <c r="AJ678" s="9">
        <v>194.658640131525</v>
      </c>
      <c r="AK678" s="9">
        <v>214.78903091319199</v>
      </c>
      <c r="AL678" s="9">
        <v>235.64713577311201</v>
      </c>
      <c r="AM678" s="9">
        <v>69.732400778101606</v>
      </c>
      <c r="AN678" s="9">
        <v>0.50167194804389603</v>
      </c>
      <c r="AO678" s="9">
        <v>0.19169986394883101</v>
      </c>
      <c r="AP678" s="9">
        <v>1130.86401966828</v>
      </c>
      <c r="AQ678" s="9">
        <v>8.1357123717142397</v>
      </c>
      <c r="AR678" s="9">
        <v>4.3133313923847796</v>
      </c>
      <c r="AS678" s="8" t="s">
        <v>169</v>
      </c>
      <c r="AT678" s="8" t="s">
        <v>169</v>
      </c>
      <c r="AU678" s="10" t="s">
        <v>169</v>
      </c>
      <c r="AV678" s="10">
        <v>0</v>
      </c>
      <c r="AW678" s="8"/>
      <c r="AX678" s="10" t="s">
        <v>169</v>
      </c>
      <c r="AY678" s="10"/>
      <c r="AZ678" s="10"/>
      <c r="BA678" s="10"/>
      <c r="BB678" s="8"/>
      <c r="BC678" s="8"/>
      <c r="BD678" s="8"/>
      <c r="BE678" s="8"/>
      <c r="BF678" s="12">
        <v>0.55000000000000004</v>
      </c>
      <c r="BG678" s="13">
        <v>225.730318809327</v>
      </c>
      <c r="BH678" s="96" t="str">
        <f>+VLOOKUP(G678,Liste!$A$7:$G$50,3,FALSE)</f>
        <v>Hêtre commun</v>
      </c>
      <c r="BI678" s="96" t="str">
        <f>+VLOOKUP(H678,Liste!$B$7:$G$50,5,FALSE)</f>
        <v>GS Hêtraies et hêtraies sapinières des Pyrénées</v>
      </c>
      <c r="BJ678" s="135">
        <f t="shared" si="206"/>
        <v>139</v>
      </c>
      <c r="BK678" s="135" t="str">
        <f t="shared" si="208"/>
        <v>Hêtre commun_F2_Entree 19-20m_GS Hêtraies et hêtraies sapinières des Pyrénées_139_</v>
      </c>
      <c r="BL678" s="322"/>
      <c r="BM678" s="13">
        <v>59.051702987385902</v>
      </c>
      <c r="BN678" s="13">
        <v>284.78202179671302</v>
      </c>
      <c r="BO678" s="13" t="s">
        <v>169</v>
      </c>
      <c r="BP678" s="13">
        <v>300.22307244627501</v>
      </c>
      <c r="BQ678" s="13">
        <v>4.92681639845802</v>
      </c>
      <c r="BT678" s="298" t="str">
        <f>+VLOOKUP(G678,Liste!$A$7:$H$50,8,FALSE)</f>
        <v>Feuillus</v>
      </c>
      <c r="BU678" s="298">
        <f t="shared" si="209"/>
        <v>1</v>
      </c>
      <c r="BV678" s="300">
        <f t="shared" si="210"/>
        <v>0</v>
      </c>
      <c r="BW678" s="321">
        <v>0</v>
      </c>
      <c r="BX678" s="298">
        <f t="shared" si="211"/>
        <v>0.25</v>
      </c>
      <c r="BY678">
        <f t="shared" si="212"/>
        <v>0</v>
      </c>
      <c r="BZ678" s="304">
        <f t="shared" si="213"/>
        <v>0</v>
      </c>
      <c r="CB678" s="299">
        <v>0.6</v>
      </c>
      <c r="CC678" s="299">
        <v>0.4</v>
      </c>
      <c r="CD678">
        <f t="shared" si="214"/>
        <v>0</v>
      </c>
      <c r="CE678">
        <f t="shared" si="215"/>
        <v>0</v>
      </c>
      <c r="CF678">
        <f t="shared" si="216"/>
        <v>0</v>
      </c>
      <c r="CG678">
        <f t="shared" si="217"/>
        <v>0</v>
      </c>
      <c r="CH678">
        <f t="shared" si="218"/>
        <v>0</v>
      </c>
      <c r="CI678">
        <f t="shared" si="219"/>
        <v>0</v>
      </c>
      <c r="CJ678">
        <f t="shared" si="220"/>
        <v>0</v>
      </c>
      <c r="CK678">
        <f t="shared" si="221"/>
        <v>0</v>
      </c>
      <c r="CL678">
        <f t="shared" si="222"/>
        <v>0</v>
      </c>
      <c r="CM678">
        <f t="shared" si="224"/>
        <v>0</v>
      </c>
      <c r="CN678">
        <f t="shared" si="223"/>
        <v>0</v>
      </c>
      <c r="CO678">
        <f t="shared" si="207"/>
        <v>0</v>
      </c>
    </row>
    <row r="679" spans="1:93" s="12" customFormat="1" ht="14.65" customHeight="1" x14ac:dyDescent="0.25">
      <c r="A679" s="4">
        <v>2021</v>
      </c>
      <c r="B679" s="318">
        <v>44301</v>
      </c>
      <c r="C679" s="4" t="s">
        <v>66</v>
      </c>
      <c r="D679" s="4" t="s">
        <v>65</v>
      </c>
      <c r="E679" s="4"/>
      <c r="F679" s="4" t="s">
        <v>90</v>
      </c>
      <c r="G679" s="5" t="s">
        <v>427</v>
      </c>
      <c r="H679" s="5" t="s">
        <v>428</v>
      </c>
      <c r="I679" s="5" t="s">
        <v>143</v>
      </c>
      <c r="J679" s="5" t="s">
        <v>10</v>
      </c>
      <c r="K679" s="5">
        <v>18</v>
      </c>
      <c r="L679" s="5">
        <v>55</v>
      </c>
      <c r="M679" s="5">
        <v>1666</v>
      </c>
      <c r="N679" s="5" t="s">
        <v>170</v>
      </c>
      <c r="O679" s="6" t="s">
        <v>81</v>
      </c>
      <c r="P679" s="6" t="s">
        <v>429</v>
      </c>
      <c r="Q679" s="6"/>
      <c r="R679" s="6"/>
      <c r="S679" s="6">
        <v>57</v>
      </c>
      <c r="T679" s="6">
        <v>19.899999999999999</v>
      </c>
      <c r="U679" s="6">
        <v>1402</v>
      </c>
      <c r="V679" s="6">
        <v>28.51</v>
      </c>
      <c r="W679" s="6">
        <v>50</v>
      </c>
      <c r="X679" s="6">
        <v>303</v>
      </c>
      <c r="Y679" s="6">
        <v>595</v>
      </c>
      <c r="Z679" s="6">
        <v>375</v>
      </c>
      <c r="AA679" s="6">
        <v>75</v>
      </c>
      <c r="AB679" s="6">
        <v>4</v>
      </c>
      <c r="AC679" s="7">
        <v>139</v>
      </c>
      <c r="AD679" s="7" t="s">
        <v>53</v>
      </c>
      <c r="AE679" s="7">
        <v>34.700000000000003</v>
      </c>
      <c r="AF679" s="7">
        <v>32</v>
      </c>
      <c r="AG679" s="7">
        <v>6.93</v>
      </c>
      <c r="AH679" s="7">
        <v>52.51</v>
      </c>
      <c r="AI679" s="7">
        <v>52.51</v>
      </c>
      <c r="AJ679" s="9">
        <v>114.78480273598301</v>
      </c>
      <c r="AK679" s="9">
        <v>126.480940192638</v>
      </c>
      <c r="AL679" s="9">
        <v>138.786104453701</v>
      </c>
      <c r="AM679" s="9">
        <v>69.732400778101606</v>
      </c>
      <c r="AN679" s="9">
        <v>0.50167194804389603</v>
      </c>
      <c r="AO679" s="9">
        <v>0.19169986394883101</v>
      </c>
      <c r="AP679" s="9">
        <v>1130.86401966828</v>
      </c>
      <c r="AQ679" s="9">
        <v>8.1357123717142397</v>
      </c>
      <c r="AR679" s="9">
        <v>4.3133313923847796</v>
      </c>
      <c r="AS679" s="8">
        <v>21</v>
      </c>
      <c r="AT679" s="8">
        <v>4.82</v>
      </c>
      <c r="AU679" s="10">
        <v>54.059114933929081</v>
      </c>
      <c r="AV679" s="10">
        <v>79.873837395541997</v>
      </c>
      <c r="AW679" s="10">
        <v>1.04</v>
      </c>
      <c r="AX679" s="10">
        <v>3.8035160664543808</v>
      </c>
      <c r="AY679" s="10"/>
      <c r="AZ679" s="10"/>
      <c r="BA679" s="10"/>
      <c r="BB679" s="8"/>
      <c r="BC679" s="8"/>
      <c r="BD679" s="8"/>
      <c r="BE679" s="8"/>
      <c r="BF679" s="12">
        <v>0.55000000000000004</v>
      </c>
      <c r="BG679" s="13">
        <v>132.94552255794099</v>
      </c>
      <c r="BH679" s="96" t="str">
        <f>+VLOOKUP(G679,Liste!$A$7:$G$50,3,FALSE)</f>
        <v>Hêtre commun</v>
      </c>
      <c r="BI679" s="96" t="str">
        <f>+VLOOKUP(H679,Liste!$B$7:$G$50,5,FALSE)</f>
        <v>GS Hêtraies et hêtraies sapinières des Pyrénées</v>
      </c>
      <c r="BJ679" s="135">
        <f t="shared" si="206"/>
        <v>139</v>
      </c>
      <c r="BK679" s="135" t="str">
        <f t="shared" si="208"/>
        <v>Hêtre commun_F2_Entree 19-20m_GS Hêtraies et hêtraies sapinières des Pyrénées_139_</v>
      </c>
      <c r="BL679" s="322"/>
      <c r="BM679" s="13">
        <v>36.989502523057197</v>
      </c>
      <c r="BN679" s="13">
        <v>169.935025080998</v>
      </c>
      <c r="BO679" s="13">
        <v>114.84699671571502</v>
      </c>
      <c r="BP679" s="13">
        <v>300.22307244627501</v>
      </c>
      <c r="BQ679" s="13">
        <v>4.92681639845802</v>
      </c>
      <c r="BT679" s="298" t="str">
        <f>+VLOOKUP(G679,Liste!$A$7:$H$50,8,FALSE)</f>
        <v>Feuillus</v>
      </c>
      <c r="BU679" s="298">
        <f t="shared" si="209"/>
        <v>1</v>
      </c>
      <c r="BV679" s="300">
        <f t="shared" si="210"/>
        <v>0</v>
      </c>
      <c r="BW679" s="321">
        <v>0</v>
      </c>
      <c r="BX679" s="298">
        <f t="shared" si="211"/>
        <v>0.25</v>
      </c>
      <c r="BY679">
        <f t="shared" si="212"/>
        <v>0</v>
      </c>
      <c r="BZ679" s="304">
        <f t="shared" si="213"/>
        <v>0</v>
      </c>
      <c r="CB679" s="299">
        <v>0.6</v>
      </c>
      <c r="CC679" s="299">
        <v>0.4</v>
      </c>
      <c r="CD679">
        <f t="shared" si="214"/>
        <v>0</v>
      </c>
      <c r="CE679">
        <f t="shared" si="215"/>
        <v>0</v>
      </c>
      <c r="CF679">
        <f t="shared" si="216"/>
        <v>0</v>
      </c>
      <c r="CG679">
        <f t="shared" si="217"/>
        <v>0</v>
      </c>
      <c r="CH679">
        <f t="shared" si="218"/>
        <v>0</v>
      </c>
      <c r="CI679">
        <f t="shared" si="219"/>
        <v>0</v>
      </c>
      <c r="CJ679">
        <f t="shared" si="220"/>
        <v>0</v>
      </c>
      <c r="CK679">
        <f t="shared" si="221"/>
        <v>0</v>
      </c>
      <c r="CL679">
        <f t="shared" si="222"/>
        <v>0</v>
      </c>
      <c r="CM679">
        <f t="shared" si="224"/>
        <v>0</v>
      </c>
      <c r="CN679">
        <f t="shared" si="223"/>
        <v>0</v>
      </c>
      <c r="CO679">
        <f t="shared" si="207"/>
        <v>0</v>
      </c>
    </row>
    <row r="680" spans="1:93" s="12" customFormat="1" ht="14.65" customHeight="1" x14ac:dyDescent="0.25">
      <c r="A680" s="4">
        <v>2021</v>
      </c>
      <c r="B680" s="318">
        <v>44301</v>
      </c>
      <c r="C680" s="4" t="s">
        <v>66</v>
      </c>
      <c r="D680" s="4" t="s">
        <v>65</v>
      </c>
      <c r="E680" s="4"/>
      <c r="F680" s="4" t="s">
        <v>90</v>
      </c>
      <c r="G680" s="5" t="s">
        <v>427</v>
      </c>
      <c r="H680" s="5" t="s">
        <v>428</v>
      </c>
      <c r="I680" s="5" t="s">
        <v>143</v>
      </c>
      <c r="J680" s="5" t="s">
        <v>10</v>
      </c>
      <c r="K680" s="5">
        <v>18</v>
      </c>
      <c r="L680" s="5">
        <v>55</v>
      </c>
      <c r="M680" s="5">
        <v>1666</v>
      </c>
      <c r="N680" s="5" t="s">
        <v>170</v>
      </c>
      <c r="O680" s="6" t="s">
        <v>81</v>
      </c>
      <c r="P680" s="6" t="s">
        <v>429</v>
      </c>
      <c r="Q680" s="6"/>
      <c r="R680" s="6"/>
      <c r="S680" s="6">
        <v>57</v>
      </c>
      <c r="T680" s="6">
        <v>19.899999999999999</v>
      </c>
      <c r="U680" s="6">
        <v>1402</v>
      </c>
      <c r="V680" s="6">
        <v>28.51</v>
      </c>
      <c r="W680" s="6">
        <v>50</v>
      </c>
      <c r="X680" s="6">
        <v>303</v>
      </c>
      <c r="Y680" s="6">
        <v>595</v>
      </c>
      <c r="Z680" s="6">
        <v>375</v>
      </c>
      <c r="AA680" s="6">
        <v>75</v>
      </c>
      <c r="AB680" s="6">
        <v>4</v>
      </c>
      <c r="AC680" s="7">
        <v>143</v>
      </c>
      <c r="AD680" s="7" t="s">
        <v>52</v>
      </c>
      <c r="AE680" s="7">
        <v>35.049999999999997</v>
      </c>
      <c r="AF680" s="7">
        <v>32</v>
      </c>
      <c r="AG680" s="7">
        <v>7.7</v>
      </c>
      <c r="AH680" s="7">
        <v>55.34</v>
      </c>
      <c r="AI680" s="7">
        <v>55.34</v>
      </c>
      <c r="AJ680" s="9">
        <v>128.706997600645</v>
      </c>
      <c r="AK680" s="9">
        <v>142.41018309824599</v>
      </c>
      <c r="AL680" s="9">
        <v>156.03943002323999</v>
      </c>
      <c r="AM680" s="9">
        <v>70.4992002338969</v>
      </c>
      <c r="AN680" s="9">
        <v>0.49300140023704098</v>
      </c>
      <c r="AO680" s="7"/>
      <c r="AP680" s="9">
        <v>1148.11734523782</v>
      </c>
      <c r="AQ680" s="9">
        <v>8.0287926240406904</v>
      </c>
      <c r="AR680" s="7"/>
      <c r="AS680" s="8" t="s">
        <v>169</v>
      </c>
      <c r="AT680" s="8" t="s">
        <v>169</v>
      </c>
      <c r="AU680" s="10" t="s">
        <v>169</v>
      </c>
      <c r="AV680" s="10">
        <v>0</v>
      </c>
      <c r="AW680" s="8"/>
      <c r="AX680" s="10" t="s">
        <v>169</v>
      </c>
      <c r="AY680" s="10"/>
      <c r="AZ680" s="10"/>
      <c r="BA680" s="10"/>
      <c r="BB680" s="8"/>
      <c r="BC680" s="8"/>
      <c r="BD680" s="8"/>
      <c r="BE680" s="8"/>
      <c r="BF680" s="12">
        <v>0.55000000000000004</v>
      </c>
      <c r="BG680" s="13">
        <v>149.47277067642901</v>
      </c>
      <c r="BH680" s="96" t="str">
        <f>+VLOOKUP(G680,Liste!$A$7:$G$50,3,FALSE)</f>
        <v>Hêtre commun</v>
      </c>
      <c r="BI680" s="96" t="str">
        <f>+VLOOKUP(H680,Liste!$B$7:$G$50,5,FALSE)</f>
        <v>GS Hêtraies et hêtraies sapinières des Pyrénées</v>
      </c>
      <c r="BJ680" s="135">
        <f t="shared" si="206"/>
        <v>143</v>
      </c>
      <c r="BK680" s="135" t="str">
        <f t="shared" si="208"/>
        <v>Hêtre commun_F2_Entree 19-20m_GS Hêtraies et hêtraies sapinières des Pyrénées_143_</v>
      </c>
      <c r="BL680" s="322"/>
      <c r="BM680" s="13">
        <v>41.024514833848599</v>
      </c>
      <c r="BN680" s="13">
        <v>190.49728551027701</v>
      </c>
      <c r="BO680" s="13" t="s">
        <v>169</v>
      </c>
      <c r="BP680" s="13">
        <v>300.22307244627501</v>
      </c>
      <c r="BQ680" s="13"/>
      <c r="BT680" s="298" t="str">
        <f>+VLOOKUP(G680,Liste!$A$7:$H$50,8,FALSE)</f>
        <v>Feuillus</v>
      </c>
      <c r="BU680" s="298">
        <f t="shared" si="209"/>
        <v>1</v>
      </c>
      <c r="BV680" s="300">
        <f t="shared" si="210"/>
        <v>0</v>
      </c>
      <c r="BW680" s="321">
        <v>0</v>
      </c>
      <c r="BX680" s="298">
        <f t="shared" si="211"/>
        <v>0.25</v>
      </c>
      <c r="BY680">
        <f t="shared" si="212"/>
        <v>0</v>
      </c>
      <c r="BZ680" s="304">
        <f t="shared" si="213"/>
        <v>0</v>
      </c>
      <c r="CB680" s="299">
        <v>0.6</v>
      </c>
      <c r="CC680" s="299">
        <v>0.4</v>
      </c>
      <c r="CD680">
        <f t="shared" si="214"/>
        <v>0</v>
      </c>
      <c r="CE680">
        <f t="shared" si="215"/>
        <v>0</v>
      </c>
      <c r="CF680">
        <f t="shared" si="216"/>
        <v>0</v>
      </c>
      <c r="CG680">
        <f t="shared" si="217"/>
        <v>0</v>
      </c>
      <c r="CH680">
        <f t="shared" si="218"/>
        <v>0</v>
      </c>
      <c r="CI680">
        <f t="shared" si="219"/>
        <v>0</v>
      </c>
      <c r="CJ680">
        <f t="shared" si="220"/>
        <v>0</v>
      </c>
      <c r="CK680">
        <f t="shared" si="221"/>
        <v>0</v>
      </c>
      <c r="CL680">
        <f t="shared" si="222"/>
        <v>0</v>
      </c>
      <c r="CM680">
        <f t="shared" si="224"/>
        <v>0</v>
      </c>
      <c r="CN680">
        <f t="shared" si="223"/>
        <v>0</v>
      </c>
      <c r="CO680">
        <f t="shared" si="207"/>
        <v>0</v>
      </c>
    </row>
    <row r="681" spans="1:93" s="12" customFormat="1" ht="14.65" customHeight="1" x14ac:dyDescent="0.25">
      <c r="A681" s="4">
        <v>2021</v>
      </c>
      <c r="B681" s="318">
        <v>44301</v>
      </c>
      <c r="C681" s="4" t="s">
        <v>66</v>
      </c>
      <c r="D681" s="4" t="s">
        <v>65</v>
      </c>
      <c r="E681" s="4"/>
      <c r="F681" s="4" t="s">
        <v>90</v>
      </c>
      <c r="G681" s="5" t="s">
        <v>427</v>
      </c>
      <c r="H681" s="5" t="s">
        <v>428</v>
      </c>
      <c r="I681" s="5" t="s">
        <v>143</v>
      </c>
      <c r="J681" s="5" t="s">
        <v>10</v>
      </c>
      <c r="K681" s="5">
        <v>18</v>
      </c>
      <c r="L681" s="5">
        <v>55</v>
      </c>
      <c r="M681" s="5">
        <v>1666</v>
      </c>
      <c r="N681" s="5" t="s">
        <v>170</v>
      </c>
      <c r="O681" s="6" t="s">
        <v>81</v>
      </c>
      <c r="P681" s="6" t="s">
        <v>429</v>
      </c>
      <c r="Q681" s="6"/>
      <c r="R681" s="6"/>
      <c r="S681" s="6">
        <v>57</v>
      </c>
      <c r="T681" s="6">
        <v>19.899999999999999</v>
      </c>
      <c r="U681" s="6">
        <v>1402</v>
      </c>
      <c r="V681" s="6">
        <v>28.51</v>
      </c>
      <c r="W681" s="6">
        <v>50</v>
      </c>
      <c r="X681" s="6">
        <v>303</v>
      </c>
      <c r="Y681" s="6">
        <v>595</v>
      </c>
      <c r="Z681" s="6">
        <v>375</v>
      </c>
      <c r="AA681" s="6">
        <v>75</v>
      </c>
      <c r="AB681" s="6">
        <v>4</v>
      </c>
      <c r="AC681" s="7">
        <v>143</v>
      </c>
      <c r="AD681" s="7" t="s">
        <v>53</v>
      </c>
      <c r="AE681" s="7">
        <v>35.049999999999997</v>
      </c>
      <c r="AF681" s="7">
        <v>0</v>
      </c>
      <c r="AG681" s="7">
        <v>0</v>
      </c>
      <c r="AH681" s="7">
        <v>0</v>
      </c>
      <c r="AI681" s="7">
        <v>0</v>
      </c>
      <c r="AJ681" s="9">
        <v>0</v>
      </c>
      <c r="AK681" s="9">
        <v>0</v>
      </c>
      <c r="AL681" s="9">
        <v>0</v>
      </c>
      <c r="AM681" s="9">
        <v>70.4992002338969</v>
      </c>
      <c r="AN681" s="9">
        <v>0.49300140023704098</v>
      </c>
      <c r="AO681" s="7"/>
      <c r="AP681" s="9">
        <v>1148.11734523782</v>
      </c>
      <c r="AQ681" s="9">
        <v>8.0287926240406904</v>
      </c>
      <c r="AR681" s="7"/>
      <c r="AS681" s="8">
        <v>32</v>
      </c>
      <c r="AT681" s="8">
        <v>7.7</v>
      </c>
      <c r="AU681" s="10">
        <v>55.350995063494437</v>
      </c>
      <c r="AV681" s="10">
        <v>128.706997600645</v>
      </c>
      <c r="AW681" s="10">
        <v>1</v>
      </c>
      <c r="AX681" s="10">
        <v>4.0220936750201561</v>
      </c>
      <c r="AY681" s="10"/>
      <c r="AZ681" s="10"/>
      <c r="BA681" s="10"/>
      <c r="BB681" s="8"/>
      <c r="BC681" s="8"/>
      <c r="BD681" s="8"/>
      <c r="BE681" s="8"/>
      <c r="BF681" s="12">
        <v>0.55000000000000004</v>
      </c>
      <c r="BG681" s="13">
        <v>0</v>
      </c>
      <c r="BH681" s="96" t="str">
        <f>+VLOOKUP(G681,Liste!$A$7:$G$50,3,FALSE)</f>
        <v>Hêtre commun</v>
      </c>
      <c r="BI681" s="96" t="str">
        <f>+VLOOKUP(H681,Liste!$B$7:$G$50,5,FALSE)</f>
        <v>GS Hêtraies et hêtraies sapinières des Pyrénées</v>
      </c>
      <c r="BJ681" s="135">
        <f t="shared" si="206"/>
        <v>143</v>
      </c>
      <c r="BK681" s="135" t="str">
        <f t="shared" si="208"/>
        <v>Hêtre commun_F2_Entree 19-20m_GS Hêtraies et hêtraies sapinières des Pyrénées_143_</v>
      </c>
      <c r="BL681" s="322"/>
      <c r="BM681" s="13">
        <v>0</v>
      </c>
      <c r="BN681" s="13">
        <v>0</v>
      </c>
      <c r="BO681" s="13">
        <v>190.49728551027701</v>
      </c>
      <c r="BP681" s="13">
        <v>300.22307244627501</v>
      </c>
      <c r="BQ681" s="13"/>
      <c r="BT681" s="298" t="str">
        <f>+VLOOKUP(G681,Liste!$A$7:$H$50,8,FALSE)</f>
        <v>Feuillus</v>
      </c>
      <c r="BU681" s="298">
        <f t="shared" si="209"/>
        <v>1</v>
      </c>
      <c r="BV681" s="300">
        <f t="shared" si="210"/>
        <v>0</v>
      </c>
      <c r="BW681" s="321">
        <v>0</v>
      </c>
      <c r="BX681" s="298">
        <f t="shared" si="211"/>
        <v>0.25</v>
      </c>
      <c r="BY681">
        <f t="shared" si="212"/>
        <v>0</v>
      </c>
      <c r="BZ681" s="304">
        <f t="shared" si="213"/>
        <v>0</v>
      </c>
      <c r="CB681" s="299">
        <v>0.6</v>
      </c>
      <c r="CC681" s="299">
        <v>0.4</v>
      </c>
      <c r="CD681">
        <f t="shared" si="214"/>
        <v>0</v>
      </c>
      <c r="CE681">
        <f t="shared" si="215"/>
        <v>0</v>
      </c>
      <c r="CF681">
        <f t="shared" si="216"/>
        <v>0</v>
      </c>
      <c r="CG681">
        <f t="shared" si="217"/>
        <v>0</v>
      </c>
      <c r="CH681">
        <f t="shared" si="218"/>
        <v>0</v>
      </c>
      <c r="CI681">
        <f t="shared" si="219"/>
        <v>0</v>
      </c>
      <c r="CJ681">
        <f t="shared" si="220"/>
        <v>0</v>
      </c>
      <c r="CK681">
        <f t="shared" si="221"/>
        <v>0</v>
      </c>
      <c r="CL681">
        <f t="shared" si="222"/>
        <v>0</v>
      </c>
      <c r="CM681">
        <f t="shared" si="224"/>
        <v>0</v>
      </c>
      <c r="CN681">
        <f t="shared" si="223"/>
        <v>0</v>
      </c>
      <c r="CO681">
        <f t="shared" si="207"/>
        <v>0</v>
      </c>
    </row>
    <row r="682" spans="1:93" s="12" customFormat="1" ht="14.65" customHeight="1" x14ac:dyDescent="0.25">
      <c r="A682" s="4">
        <v>2021</v>
      </c>
      <c r="B682" s="318">
        <v>44301</v>
      </c>
      <c r="C682" s="4" t="s">
        <v>66</v>
      </c>
      <c r="D682" s="4" t="s">
        <v>65</v>
      </c>
      <c r="E682" s="4"/>
      <c r="F682" s="4" t="s">
        <v>90</v>
      </c>
      <c r="G682" s="5" t="s">
        <v>427</v>
      </c>
      <c r="H682" s="5" t="s">
        <v>428</v>
      </c>
      <c r="I682" s="5" t="s">
        <v>143</v>
      </c>
      <c r="J682" s="5" t="s">
        <v>9</v>
      </c>
      <c r="K682" s="5">
        <v>22</v>
      </c>
      <c r="L682" s="5">
        <v>55</v>
      </c>
      <c r="M682" s="5">
        <v>1666</v>
      </c>
      <c r="N682" s="5" t="s">
        <v>170</v>
      </c>
      <c r="O682" s="6" t="s">
        <v>81</v>
      </c>
      <c r="P682" s="6" t="s">
        <v>429</v>
      </c>
      <c r="Q682" s="6"/>
      <c r="R682" s="6"/>
      <c r="S682" s="6">
        <v>42</v>
      </c>
      <c r="T682" s="6">
        <v>19.510000000000002</v>
      </c>
      <c r="U682" s="6">
        <v>1402</v>
      </c>
      <c r="V682" s="6">
        <v>28.51</v>
      </c>
      <c r="W682" s="6">
        <v>50</v>
      </c>
      <c r="X682" s="6">
        <v>303</v>
      </c>
      <c r="Y682" s="6">
        <v>595</v>
      </c>
      <c r="Z682" s="6">
        <v>375</v>
      </c>
      <c r="AA682" s="6">
        <v>75</v>
      </c>
      <c r="AB682" s="6">
        <v>4</v>
      </c>
      <c r="AC682" s="7">
        <v>30</v>
      </c>
      <c r="AD682" s="7" t="s">
        <v>52</v>
      </c>
      <c r="AE682" s="7"/>
      <c r="AF682" s="7"/>
      <c r="AG682" s="7"/>
      <c r="AH682" s="7"/>
      <c r="AI682" s="7"/>
      <c r="AJ682" s="9">
        <v>164.80183862771099</v>
      </c>
      <c r="AK682" s="9">
        <v>174.13314922376199</v>
      </c>
      <c r="AL682" s="9">
        <v>223.51037570663999</v>
      </c>
      <c r="AM682" s="7"/>
      <c r="AN682" s="7"/>
      <c r="AO682" s="7"/>
      <c r="AP682" s="7"/>
      <c r="AQ682" s="7"/>
      <c r="AR682" s="7"/>
      <c r="AS682" s="8"/>
      <c r="AT682" s="8"/>
      <c r="AU682" s="10"/>
      <c r="AV682" s="10">
        <v>0</v>
      </c>
      <c r="AW682" s="8"/>
      <c r="AX682" s="10"/>
      <c r="AY682" s="10"/>
      <c r="AZ682" s="10"/>
      <c r="BA682" s="10"/>
      <c r="BB682" s="8"/>
      <c r="BC682" s="8"/>
      <c r="BD682" s="8"/>
      <c r="BE682" s="8"/>
      <c r="BF682" s="12">
        <v>0.55000000000000004</v>
      </c>
      <c r="BG682" s="13">
        <v>214.10431406231899</v>
      </c>
      <c r="BH682" s="96" t="str">
        <f>+VLOOKUP(G682,Liste!$A$7:$G$50,3,FALSE)</f>
        <v>Hêtre commun</v>
      </c>
      <c r="BI682" s="96" t="str">
        <f>+VLOOKUP(H682,Liste!$B$7:$G$50,5,FALSE)</f>
        <v>GS Hêtraies et hêtraies sapinières des Pyrénées</v>
      </c>
      <c r="BJ682" s="135">
        <f t="shared" si="206"/>
        <v>30</v>
      </c>
      <c r="BK682" s="135" t="str">
        <f t="shared" si="208"/>
        <v>Hêtre commun_F1_Entree 19-20m_GS Hêtraies et hêtraies sapinières des Pyrénées_30_</v>
      </c>
      <c r="BL682" s="322"/>
      <c r="BM682" s="13">
        <v>56.356110888956302</v>
      </c>
      <c r="BN682" s="13">
        <v>270.460424951275</v>
      </c>
      <c r="BP682" s="13">
        <v>328.524705421715</v>
      </c>
      <c r="BQ682" s="13"/>
      <c r="BT682" s="298" t="str">
        <f>+VLOOKUP(G682,Liste!$A$7:$H$50,8,FALSE)</f>
        <v>Feuillus</v>
      </c>
      <c r="BU682" s="298">
        <f t="shared" si="209"/>
        <v>1</v>
      </c>
      <c r="BV682" s="300">
        <f t="shared" si="210"/>
        <v>0</v>
      </c>
      <c r="BW682" s="321">
        <v>0</v>
      </c>
      <c r="BX682" s="298">
        <f t="shared" si="211"/>
        <v>0.25</v>
      </c>
      <c r="BY682">
        <f t="shared" si="212"/>
        <v>0</v>
      </c>
      <c r="BZ682" s="304">
        <f t="shared" si="213"/>
        <v>0</v>
      </c>
      <c r="CB682" s="299">
        <v>0.6</v>
      </c>
      <c r="CC682" s="299">
        <v>0.4</v>
      </c>
      <c r="CD682">
        <f t="shared" si="214"/>
        <v>0</v>
      </c>
      <c r="CE682">
        <f t="shared" si="215"/>
        <v>0</v>
      </c>
      <c r="CF682">
        <f t="shared" si="216"/>
        <v>0</v>
      </c>
      <c r="CG682">
        <f t="shared" si="217"/>
        <v>0</v>
      </c>
      <c r="CH682">
        <f t="shared" si="218"/>
        <v>0</v>
      </c>
      <c r="CI682">
        <f t="shared" si="219"/>
        <v>0</v>
      </c>
      <c r="CJ682">
        <f t="shared" si="220"/>
        <v>0</v>
      </c>
      <c r="CK682">
        <f t="shared" si="221"/>
        <v>0</v>
      </c>
      <c r="CL682">
        <f t="shared" si="222"/>
        <v>0</v>
      </c>
      <c r="CM682">
        <f t="shared" si="224"/>
        <v>0</v>
      </c>
      <c r="CN682">
        <f t="shared" si="223"/>
        <v>0</v>
      </c>
      <c r="CO682">
        <f t="shared" si="207"/>
        <v>0</v>
      </c>
    </row>
    <row r="683" spans="1:93" s="12" customFormat="1" ht="14.65" customHeight="1" x14ac:dyDescent="0.25">
      <c r="A683" s="4">
        <v>2021</v>
      </c>
      <c r="B683" s="318">
        <v>44301</v>
      </c>
      <c r="C683" s="4" t="s">
        <v>66</v>
      </c>
      <c r="D683" s="4" t="s">
        <v>65</v>
      </c>
      <c r="E683" s="4"/>
      <c r="F683" s="4" t="s">
        <v>90</v>
      </c>
      <c r="G683" s="5" t="s">
        <v>427</v>
      </c>
      <c r="H683" s="5" t="s">
        <v>428</v>
      </c>
      <c r="I683" s="5" t="s">
        <v>143</v>
      </c>
      <c r="J683" s="5" t="s">
        <v>9</v>
      </c>
      <c r="K683" s="5">
        <v>22</v>
      </c>
      <c r="L683" s="5">
        <v>55</v>
      </c>
      <c r="M683" s="5">
        <v>1666</v>
      </c>
      <c r="N683" s="5" t="s">
        <v>170</v>
      </c>
      <c r="O683" s="6" t="s">
        <v>81</v>
      </c>
      <c r="P683" s="6" t="s">
        <v>429</v>
      </c>
      <c r="Q683" s="6"/>
      <c r="R683" s="6"/>
      <c r="S683" s="6">
        <v>42</v>
      </c>
      <c r="T683" s="6">
        <v>19.510000000000002</v>
      </c>
      <c r="U683" s="6">
        <v>1402</v>
      </c>
      <c r="V683" s="6">
        <v>28.51</v>
      </c>
      <c r="W683" s="6">
        <v>50</v>
      </c>
      <c r="X683" s="6">
        <v>303</v>
      </c>
      <c r="Y683" s="6">
        <v>595</v>
      </c>
      <c r="Z683" s="6">
        <v>375</v>
      </c>
      <c r="AA683" s="6">
        <v>75</v>
      </c>
      <c r="AB683" s="6">
        <v>4</v>
      </c>
      <c r="AC683" s="7">
        <v>42</v>
      </c>
      <c r="AD683" s="7" t="s">
        <v>52</v>
      </c>
      <c r="AE683" s="7">
        <v>19.510000000000002</v>
      </c>
      <c r="AF683" s="7">
        <v>1402</v>
      </c>
      <c r="AG683" s="7">
        <v>28.51</v>
      </c>
      <c r="AH683" s="7">
        <v>16.09</v>
      </c>
      <c r="AI683" s="7">
        <v>23.94</v>
      </c>
      <c r="AJ683" s="9">
        <v>230.72257407879499</v>
      </c>
      <c r="AK683" s="9">
        <v>243.786408913267</v>
      </c>
      <c r="AL683" s="9">
        <v>312.91452598929601</v>
      </c>
      <c r="AM683" s="9">
        <v>28.5147442601241</v>
      </c>
      <c r="AN683" s="9">
        <v>0.67892248238390696</v>
      </c>
      <c r="AO683" s="9">
        <v>1.03623886444277</v>
      </c>
      <c r="AP683" s="9">
        <v>312.91452598929601</v>
      </c>
      <c r="AQ683" s="9">
        <v>7.4503458568880001</v>
      </c>
      <c r="AR683" s="9">
        <v>16.096623734080602</v>
      </c>
      <c r="AS683" s="8" t="s">
        <v>169</v>
      </c>
      <c r="AT683" s="8" t="s">
        <v>169</v>
      </c>
      <c r="AU683" s="8" t="s">
        <v>169</v>
      </c>
      <c r="AV683" s="10">
        <v>0</v>
      </c>
      <c r="AW683" s="8" t="s">
        <v>169</v>
      </c>
      <c r="AX683" s="8" t="s">
        <v>169</v>
      </c>
      <c r="AY683" s="8"/>
      <c r="AZ683" s="8"/>
      <c r="BA683" s="8"/>
      <c r="BB683" s="8"/>
      <c r="BC683" s="8"/>
      <c r="BD683" s="8"/>
      <c r="BE683" s="8"/>
      <c r="BF683" s="12">
        <v>0.55000000000000004</v>
      </c>
      <c r="BG683" s="13">
        <v>299.74603968724699</v>
      </c>
      <c r="BH683" s="96" t="str">
        <f>+VLOOKUP(G683,Liste!$A$7:$G$50,3,FALSE)</f>
        <v>Hêtre commun</v>
      </c>
      <c r="BI683" s="96" t="str">
        <f>+VLOOKUP(H683,Liste!$B$7:$G$50,5,FALSE)</f>
        <v>GS Hêtraies et hêtraies sapinières des Pyrénées</v>
      </c>
      <c r="BJ683" s="135">
        <f t="shared" si="206"/>
        <v>42</v>
      </c>
      <c r="BK683" s="135" t="str">
        <f t="shared" si="208"/>
        <v>Hêtre commun_F1_Entree 19-20m_GS Hêtraies et hêtraies sapinières des Pyrénées_42_</v>
      </c>
      <c r="BL683" s="322"/>
      <c r="BM683" s="13">
        <v>75.868194222086899</v>
      </c>
      <c r="BN683" s="13">
        <v>375.614233909333</v>
      </c>
      <c r="BO683" s="12" t="s">
        <v>169</v>
      </c>
      <c r="BP683" s="13">
        <v>328.524705421715</v>
      </c>
      <c r="BQ683" s="13">
        <v>18.838352338705</v>
      </c>
      <c r="BT683" s="298" t="str">
        <f>+VLOOKUP(G683,Liste!$A$7:$H$50,8,FALSE)</f>
        <v>Feuillus</v>
      </c>
      <c r="BU683" s="298">
        <f t="shared" si="209"/>
        <v>1</v>
      </c>
      <c r="BV683" s="300">
        <f t="shared" si="210"/>
        <v>0</v>
      </c>
      <c r="BW683" s="321">
        <v>0</v>
      </c>
      <c r="BX683" s="298">
        <f t="shared" si="211"/>
        <v>0.25</v>
      </c>
      <c r="BY683">
        <f t="shared" si="212"/>
        <v>0</v>
      </c>
      <c r="BZ683" s="304">
        <f t="shared" si="213"/>
        <v>0</v>
      </c>
      <c r="CB683" s="299">
        <v>0.6</v>
      </c>
      <c r="CC683" s="299">
        <v>0.4</v>
      </c>
      <c r="CD683">
        <f t="shared" si="214"/>
        <v>0</v>
      </c>
      <c r="CE683">
        <f t="shared" si="215"/>
        <v>0</v>
      </c>
      <c r="CF683">
        <f t="shared" si="216"/>
        <v>0</v>
      </c>
      <c r="CG683">
        <f t="shared" si="217"/>
        <v>0</v>
      </c>
      <c r="CH683">
        <f t="shared" si="218"/>
        <v>0</v>
      </c>
      <c r="CI683">
        <f t="shared" si="219"/>
        <v>0</v>
      </c>
      <c r="CJ683">
        <f t="shared" si="220"/>
        <v>0</v>
      </c>
      <c r="CK683">
        <f t="shared" si="221"/>
        <v>0</v>
      </c>
      <c r="CL683">
        <f t="shared" si="222"/>
        <v>0</v>
      </c>
      <c r="CM683">
        <f t="shared" si="224"/>
        <v>0</v>
      </c>
      <c r="CN683">
        <f t="shared" si="223"/>
        <v>0</v>
      </c>
      <c r="CO683">
        <f t="shared" si="207"/>
        <v>0</v>
      </c>
    </row>
    <row r="684" spans="1:93" s="12" customFormat="1" ht="14.65" customHeight="1" x14ac:dyDescent="0.25">
      <c r="A684" s="4">
        <v>2021</v>
      </c>
      <c r="B684" s="318">
        <v>44301</v>
      </c>
      <c r="C684" s="4" t="s">
        <v>66</v>
      </c>
      <c r="D684" s="4" t="s">
        <v>65</v>
      </c>
      <c r="E684" s="4"/>
      <c r="F684" s="4" t="s">
        <v>90</v>
      </c>
      <c r="G684" s="5" t="s">
        <v>427</v>
      </c>
      <c r="H684" s="5" t="s">
        <v>428</v>
      </c>
      <c r="I684" s="5" t="s">
        <v>143</v>
      </c>
      <c r="J684" s="5" t="s">
        <v>9</v>
      </c>
      <c r="K684" s="5">
        <v>22</v>
      </c>
      <c r="L684" s="5">
        <v>55</v>
      </c>
      <c r="M684" s="5">
        <v>1666</v>
      </c>
      <c r="N684" s="5" t="s">
        <v>170</v>
      </c>
      <c r="O684" s="6" t="s">
        <v>81</v>
      </c>
      <c r="P684" s="6" t="s">
        <v>429</v>
      </c>
      <c r="Q684" s="6"/>
      <c r="R684" s="6"/>
      <c r="S684" s="6">
        <v>42</v>
      </c>
      <c r="T684" s="6">
        <v>19.510000000000002</v>
      </c>
      <c r="U684" s="6">
        <v>1402</v>
      </c>
      <c r="V684" s="6">
        <v>28.51</v>
      </c>
      <c r="W684" s="6">
        <v>50</v>
      </c>
      <c r="X684" s="6">
        <v>303</v>
      </c>
      <c r="Y684" s="6">
        <v>595</v>
      </c>
      <c r="Z684" s="6">
        <v>375</v>
      </c>
      <c r="AA684" s="6">
        <v>75</v>
      </c>
      <c r="AB684" s="6">
        <v>4</v>
      </c>
      <c r="AC684" s="7">
        <v>42</v>
      </c>
      <c r="AD684" s="7" t="s">
        <v>53</v>
      </c>
      <c r="AE684" s="7">
        <v>19.510000000000002</v>
      </c>
      <c r="AF684" s="7">
        <v>900</v>
      </c>
      <c r="AG684" s="7">
        <v>17.71</v>
      </c>
      <c r="AH684" s="7">
        <v>15.83</v>
      </c>
      <c r="AI684" s="7">
        <v>23</v>
      </c>
      <c r="AJ684" s="9">
        <v>142.226777861675</v>
      </c>
      <c r="AK684" s="9">
        <v>149.948913042237</v>
      </c>
      <c r="AL684" s="9">
        <v>193.24552587966301</v>
      </c>
      <c r="AM684" s="9">
        <v>28.5147442601241</v>
      </c>
      <c r="AN684" s="9">
        <v>0.67892248238390696</v>
      </c>
      <c r="AO684" s="9">
        <v>1.03623886444277</v>
      </c>
      <c r="AP684" s="9">
        <v>312.91452598929601</v>
      </c>
      <c r="AQ684" s="9">
        <v>7.4503458568880001</v>
      </c>
      <c r="AR684" s="9">
        <v>16.096623734080602</v>
      </c>
      <c r="AS684" s="8">
        <v>502</v>
      </c>
      <c r="AT684" s="8">
        <v>10.8</v>
      </c>
      <c r="AU684" s="10">
        <v>16.550650908072214</v>
      </c>
      <c r="AV684" s="10">
        <v>88.495796217119988</v>
      </c>
      <c r="AW684" s="10">
        <v>1.06</v>
      </c>
      <c r="AX684" s="10">
        <v>0.17628644664764939</v>
      </c>
      <c r="AY684" s="10"/>
      <c r="AZ684" s="10"/>
      <c r="BA684" s="10"/>
      <c r="BB684" s="8"/>
      <c r="BC684" s="8"/>
      <c r="BD684" s="8"/>
      <c r="BE684" s="8"/>
      <c r="BF684" s="12">
        <v>0.55000000000000004</v>
      </c>
      <c r="BG684" s="13">
        <v>185.11310999889301</v>
      </c>
      <c r="BH684" s="96" t="str">
        <f>+VLOOKUP(G684,Liste!$A$7:$G$50,3,FALSE)</f>
        <v>Hêtre commun</v>
      </c>
      <c r="BI684" s="96" t="str">
        <f>+VLOOKUP(H684,Liste!$B$7:$G$50,5,FALSE)</f>
        <v>GS Hêtraies et hêtraies sapinières des Pyrénées</v>
      </c>
      <c r="BJ684" s="135">
        <f t="shared" si="206"/>
        <v>42</v>
      </c>
      <c r="BK684" s="135" t="str">
        <f t="shared" si="208"/>
        <v>Hêtre commun_F1_Entree 19-20m_GS Hêtraies et hêtraies sapinières des Pyrénées_42_</v>
      </c>
      <c r="BL684" s="322"/>
      <c r="BM684" s="13">
        <v>49.557328345601498</v>
      </c>
      <c r="BN684" s="13">
        <v>234.67043834449501</v>
      </c>
      <c r="BO684" s="13">
        <v>140.94379556483798</v>
      </c>
      <c r="BP684" s="13">
        <v>328.524705421715</v>
      </c>
      <c r="BQ684" s="13">
        <v>18.838352338705</v>
      </c>
      <c r="BT684" s="298" t="str">
        <f>+VLOOKUP(G684,Liste!$A$7:$H$50,8,FALSE)</f>
        <v>Feuillus</v>
      </c>
      <c r="BU684" s="298">
        <f t="shared" si="209"/>
        <v>1</v>
      </c>
      <c r="BV684" s="300">
        <f t="shared" si="210"/>
        <v>0</v>
      </c>
      <c r="BW684" s="321">
        <v>0</v>
      </c>
      <c r="BX684" s="298">
        <f t="shared" si="211"/>
        <v>0.25</v>
      </c>
      <c r="BY684">
        <f t="shared" si="212"/>
        <v>0</v>
      </c>
      <c r="BZ684" s="304">
        <f t="shared" si="213"/>
        <v>0</v>
      </c>
      <c r="CB684" s="299">
        <v>0.6</v>
      </c>
      <c r="CC684" s="299">
        <v>0.4</v>
      </c>
      <c r="CD684">
        <f t="shared" si="214"/>
        <v>0</v>
      </c>
      <c r="CE684">
        <f t="shared" si="215"/>
        <v>0</v>
      </c>
      <c r="CF684">
        <f t="shared" si="216"/>
        <v>0</v>
      </c>
      <c r="CG684">
        <f t="shared" si="217"/>
        <v>0</v>
      </c>
      <c r="CH684">
        <f t="shared" si="218"/>
        <v>0</v>
      </c>
      <c r="CI684">
        <f t="shared" si="219"/>
        <v>0</v>
      </c>
      <c r="CJ684">
        <f t="shared" si="220"/>
        <v>0</v>
      </c>
      <c r="CK684">
        <f t="shared" si="221"/>
        <v>0</v>
      </c>
      <c r="CL684">
        <f t="shared" si="222"/>
        <v>0</v>
      </c>
      <c r="CM684">
        <f t="shared" si="224"/>
        <v>0</v>
      </c>
      <c r="CN684">
        <f t="shared" si="223"/>
        <v>0</v>
      </c>
      <c r="CO684">
        <f t="shared" si="207"/>
        <v>0</v>
      </c>
    </row>
    <row r="685" spans="1:93" s="12" customFormat="1" ht="14.65" customHeight="1" x14ac:dyDescent="0.25">
      <c r="A685" s="4">
        <v>2021</v>
      </c>
      <c r="B685" s="318">
        <v>44301</v>
      </c>
      <c r="C685" s="4" t="s">
        <v>66</v>
      </c>
      <c r="D685" s="4" t="s">
        <v>65</v>
      </c>
      <c r="E685" s="4"/>
      <c r="F685" s="4" t="s">
        <v>90</v>
      </c>
      <c r="G685" s="5" t="s">
        <v>427</v>
      </c>
      <c r="H685" s="5" t="s">
        <v>428</v>
      </c>
      <c r="I685" s="5" t="s">
        <v>143</v>
      </c>
      <c r="J685" s="5" t="s">
        <v>9</v>
      </c>
      <c r="K685" s="5">
        <v>22</v>
      </c>
      <c r="L685" s="5">
        <v>55</v>
      </c>
      <c r="M685" s="5">
        <v>1666</v>
      </c>
      <c r="N685" s="5" t="s">
        <v>170</v>
      </c>
      <c r="O685" s="6" t="s">
        <v>81</v>
      </c>
      <c r="P685" s="6" t="s">
        <v>429</v>
      </c>
      <c r="Q685" s="6"/>
      <c r="R685" s="6"/>
      <c r="S685" s="6">
        <v>42</v>
      </c>
      <c r="T685" s="6">
        <v>19.510000000000002</v>
      </c>
      <c r="U685" s="6">
        <v>1402</v>
      </c>
      <c r="V685" s="6">
        <v>28.51</v>
      </c>
      <c r="W685" s="6">
        <v>50</v>
      </c>
      <c r="X685" s="6">
        <v>303</v>
      </c>
      <c r="Y685" s="6">
        <v>595</v>
      </c>
      <c r="Z685" s="6">
        <v>375</v>
      </c>
      <c r="AA685" s="6">
        <v>75</v>
      </c>
      <c r="AB685" s="6">
        <v>4</v>
      </c>
      <c r="AC685" s="7">
        <v>45</v>
      </c>
      <c r="AD685" s="7" t="s">
        <v>52</v>
      </c>
      <c r="AE685" s="7">
        <v>20.83</v>
      </c>
      <c r="AF685" s="7">
        <v>900</v>
      </c>
      <c r="AG685" s="7">
        <v>20.82</v>
      </c>
      <c r="AH685" s="7">
        <v>17.16</v>
      </c>
      <c r="AI685" s="7">
        <v>25.07</v>
      </c>
      <c r="AJ685" s="9">
        <v>182.26354666770899</v>
      </c>
      <c r="AK685" s="9">
        <v>192.719173363447</v>
      </c>
      <c r="AL685" s="9">
        <v>241.53539708190399</v>
      </c>
      <c r="AM685" s="9">
        <v>31.6234608534524</v>
      </c>
      <c r="AN685" s="9">
        <v>0.70274357452116498</v>
      </c>
      <c r="AO685" s="9">
        <v>0.997680689324559</v>
      </c>
      <c r="AP685" s="9">
        <v>361.20439719153802</v>
      </c>
      <c r="AQ685" s="9">
        <v>8.0267643820341696</v>
      </c>
      <c r="AR685" s="9">
        <v>16.465216397799001</v>
      </c>
      <c r="AS685" s="8" t="s">
        <v>169</v>
      </c>
      <c r="AT685" s="8" t="s">
        <v>169</v>
      </c>
      <c r="AU685" s="10" t="s">
        <v>169</v>
      </c>
      <c r="AV685" s="10">
        <v>0</v>
      </c>
      <c r="AW685" s="8"/>
      <c r="AX685" s="10" t="s">
        <v>169</v>
      </c>
      <c r="AY685" s="10"/>
      <c r="AZ685" s="10"/>
      <c r="BA685" s="10"/>
      <c r="BB685" s="8"/>
      <c r="BC685" s="8"/>
      <c r="BD685" s="8"/>
      <c r="BE685" s="8"/>
      <c r="BF685" s="12">
        <v>0.55000000000000004</v>
      </c>
      <c r="BG685" s="13">
        <v>231.37078245470801</v>
      </c>
      <c r="BH685" s="96" t="str">
        <f>+VLOOKUP(G685,Liste!$A$7:$G$50,3,FALSE)</f>
        <v>Hêtre commun</v>
      </c>
      <c r="BI685" s="96" t="str">
        <f>+VLOOKUP(H685,Liste!$B$7:$G$50,5,FALSE)</f>
        <v>GS Hêtraies et hêtraies sapinières des Pyrénées</v>
      </c>
      <c r="BJ685" s="135">
        <f t="shared" si="206"/>
        <v>45</v>
      </c>
      <c r="BK685" s="135" t="str">
        <f t="shared" si="208"/>
        <v>Hêtre commun_F1_Entree 19-20m_GS Hêtraies et hêtraies sapinières des Pyrénées_45_</v>
      </c>
      <c r="BL685" s="322"/>
      <c r="BM685" s="13">
        <v>60.353630494814396</v>
      </c>
      <c r="BN685" s="13">
        <v>291.72441294952199</v>
      </c>
      <c r="BO685" s="13" t="s">
        <v>169</v>
      </c>
      <c r="BP685" s="13">
        <v>328.524705421715</v>
      </c>
      <c r="BQ685" s="13">
        <v>19.214990704345499</v>
      </c>
      <c r="BT685" s="298" t="str">
        <f>+VLOOKUP(G685,Liste!$A$7:$H$50,8,FALSE)</f>
        <v>Feuillus</v>
      </c>
      <c r="BU685" s="298">
        <f t="shared" si="209"/>
        <v>1</v>
      </c>
      <c r="BV685" s="300">
        <f t="shared" si="210"/>
        <v>0</v>
      </c>
      <c r="BW685" s="321">
        <v>0</v>
      </c>
      <c r="BX685" s="298">
        <f t="shared" si="211"/>
        <v>0.25</v>
      </c>
      <c r="BY685">
        <f t="shared" si="212"/>
        <v>0</v>
      </c>
      <c r="BZ685" s="304">
        <f t="shared" si="213"/>
        <v>0</v>
      </c>
      <c r="CB685" s="299">
        <v>0.6</v>
      </c>
      <c r="CC685" s="299">
        <v>0.4</v>
      </c>
      <c r="CD685">
        <f t="shared" si="214"/>
        <v>0</v>
      </c>
      <c r="CE685">
        <f t="shared" si="215"/>
        <v>0</v>
      </c>
      <c r="CF685">
        <f t="shared" si="216"/>
        <v>0</v>
      </c>
      <c r="CG685">
        <f t="shared" si="217"/>
        <v>0</v>
      </c>
      <c r="CH685">
        <f t="shared" si="218"/>
        <v>0</v>
      </c>
      <c r="CI685">
        <f t="shared" si="219"/>
        <v>0</v>
      </c>
      <c r="CJ685">
        <f t="shared" si="220"/>
        <v>0</v>
      </c>
      <c r="CK685">
        <f t="shared" si="221"/>
        <v>0</v>
      </c>
      <c r="CL685">
        <f t="shared" si="222"/>
        <v>0</v>
      </c>
      <c r="CM685">
        <f t="shared" si="224"/>
        <v>0</v>
      </c>
      <c r="CN685">
        <f t="shared" si="223"/>
        <v>0</v>
      </c>
      <c r="CO685">
        <f t="shared" si="207"/>
        <v>0</v>
      </c>
    </row>
    <row r="686" spans="1:93" s="12" customFormat="1" ht="14.65" customHeight="1" x14ac:dyDescent="0.25">
      <c r="A686" s="4">
        <v>2021</v>
      </c>
      <c r="B686" s="318">
        <v>44301</v>
      </c>
      <c r="C686" s="4" t="s">
        <v>66</v>
      </c>
      <c r="D686" s="4" t="s">
        <v>65</v>
      </c>
      <c r="E686" s="4"/>
      <c r="F686" s="4" t="s">
        <v>90</v>
      </c>
      <c r="G686" s="5" t="s">
        <v>427</v>
      </c>
      <c r="H686" s="5" t="s">
        <v>428</v>
      </c>
      <c r="I686" s="5" t="s">
        <v>143</v>
      </c>
      <c r="J686" s="5" t="s">
        <v>9</v>
      </c>
      <c r="K686" s="5">
        <v>22</v>
      </c>
      <c r="L686" s="5">
        <v>55</v>
      </c>
      <c r="M686" s="5">
        <v>1666</v>
      </c>
      <c r="N686" s="5" t="s">
        <v>170</v>
      </c>
      <c r="O686" s="6" t="s">
        <v>81</v>
      </c>
      <c r="P686" s="6" t="s">
        <v>429</v>
      </c>
      <c r="Q686" s="6"/>
      <c r="R686" s="6"/>
      <c r="S686" s="6">
        <v>42</v>
      </c>
      <c r="T686" s="6">
        <v>19.510000000000002</v>
      </c>
      <c r="U686" s="6">
        <v>1402</v>
      </c>
      <c r="V686" s="6">
        <v>28.51</v>
      </c>
      <c r="W686" s="6">
        <v>50</v>
      </c>
      <c r="X686" s="6">
        <v>303</v>
      </c>
      <c r="Y686" s="6">
        <v>595</v>
      </c>
      <c r="Z686" s="6">
        <v>375</v>
      </c>
      <c r="AA686" s="6">
        <v>75</v>
      </c>
      <c r="AB686" s="6">
        <v>4</v>
      </c>
      <c r="AC686" s="7">
        <v>48</v>
      </c>
      <c r="AD686" s="7" t="s">
        <v>52</v>
      </c>
      <c r="AE686" s="7">
        <v>22.07</v>
      </c>
      <c r="AF686" s="7">
        <v>900</v>
      </c>
      <c r="AG686" s="7">
        <v>23.81</v>
      </c>
      <c r="AH686" s="7">
        <v>18.350000000000001</v>
      </c>
      <c r="AI686" s="7">
        <v>26.98</v>
      </c>
      <c r="AJ686" s="9">
        <v>223.496198590229</v>
      </c>
      <c r="AK686" s="9">
        <v>236.86262984280299</v>
      </c>
      <c r="AL686" s="9">
        <v>290.93104627530101</v>
      </c>
      <c r="AM686" s="9">
        <v>34.616502921426097</v>
      </c>
      <c r="AN686" s="9">
        <v>0.72117714419637702</v>
      </c>
      <c r="AO686" s="9">
        <v>0.94511711613306004</v>
      </c>
      <c r="AP686" s="9">
        <v>410.60004638493501</v>
      </c>
      <c r="AQ686" s="9">
        <v>8.5541676330194694</v>
      </c>
      <c r="AR686" s="9">
        <v>15.923109509003201</v>
      </c>
      <c r="AS686" s="8" t="s">
        <v>169</v>
      </c>
      <c r="AT686" s="8" t="s">
        <v>169</v>
      </c>
      <c r="AU686" s="10" t="s">
        <v>169</v>
      </c>
      <c r="AV686" s="10">
        <v>0</v>
      </c>
      <c r="AW686" s="8"/>
      <c r="AX686" s="10" t="s">
        <v>169</v>
      </c>
      <c r="AY686" s="10"/>
      <c r="AZ686" s="10"/>
      <c r="BA686" s="10"/>
      <c r="BB686" s="8"/>
      <c r="BC686" s="8"/>
      <c r="BD686" s="8"/>
      <c r="BE686" s="8"/>
      <c r="BF686" s="12">
        <v>0.55000000000000004</v>
      </c>
      <c r="BG686" s="13">
        <v>278.68769807788198</v>
      </c>
      <c r="BH686" s="96" t="str">
        <f>+VLOOKUP(G686,Liste!$A$7:$G$50,3,FALSE)</f>
        <v>Hêtre commun</v>
      </c>
      <c r="BI686" s="96" t="str">
        <f>+VLOOKUP(H686,Liste!$B$7:$G$50,5,FALSE)</f>
        <v>GS Hêtraies et hêtraies sapinières des Pyrénées</v>
      </c>
      <c r="BJ686" s="135">
        <f t="shared" si="206"/>
        <v>48</v>
      </c>
      <c r="BK686" s="135" t="str">
        <f t="shared" si="208"/>
        <v>Hêtre commun_F1_Entree 19-20m_GS Hêtraies et hêtraies sapinières des Pyrénées_48_</v>
      </c>
      <c r="BL686" s="322"/>
      <c r="BM686" s="13">
        <v>71.138791339331505</v>
      </c>
      <c r="BN686" s="13">
        <v>349.82648941721402</v>
      </c>
      <c r="BO686" s="13" t="s">
        <v>169</v>
      </c>
      <c r="BP686" s="13">
        <v>328.524705421715</v>
      </c>
      <c r="BQ686" s="13">
        <v>18.536635724485699</v>
      </c>
      <c r="BT686" s="298" t="str">
        <f>+VLOOKUP(G686,Liste!$A$7:$H$50,8,FALSE)</f>
        <v>Feuillus</v>
      </c>
      <c r="BU686" s="298">
        <f t="shared" si="209"/>
        <v>1</v>
      </c>
      <c r="BV686" s="300">
        <f t="shared" si="210"/>
        <v>0</v>
      </c>
      <c r="BW686" s="321">
        <v>0</v>
      </c>
      <c r="BX686" s="298">
        <f t="shared" si="211"/>
        <v>0.25</v>
      </c>
      <c r="BY686">
        <f t="shared" si="212"/>
        <v>0</v>
      </c>
      <c r="BZ686" s="304">
        <f t="shared" si="213"/>
        <v>0</v>
      </c>
      <c r="CB686" s="299">
        <v>0.6</v>
      </c>
      <c r="CC686" s="299">
        <v>0.4</v>
      </c>
      <c r="CD686">
        <f t="shared" si="214"/>
        <v>0</v>
      </c>
      <c r="CE686">
        <f t="shared" si="215"/>
        <v>0</v>
      </c>
      <c r="CF686">
        <f t="shared" si="216"/>
        <v>0</v>
      </c>
      <c r="CG686">
        <f t="shared" si="217"/>
        <v>0</v>
      </c>
      <c r="CH686">
        <f t="shared" si="218"/>
        <v>0</v>
      </c>
      <c r="CI686">
        <f t="shared" si="219"/>
        <v>0</v>
      </c>
      <c r="CJ686">
        <f t="shared" si="220"/>
        <v>0</v>
      </c>
      <c r="CK686">
        <f t="shared" si="221"/>
        <v>0</v>
      </c>
      <c r="CL686">
        <f t="shared" si="222"/>
        <v>0</v>
      </c>
      <c r="CM686">
        <f t="shared" si="224"/>
        <v>0</v>
      </c>
      <c r="CN686">
        <f t="shared" si="223"/>
        <v>0</v>
      </c>
      <c r="CO686">
        <f t="shared" si="207"/>
        <v>0</v>
      </c>
    </row>
    <row r="687" spans="1:93" s="12" customFormat="1" ht="14.65" customHeight="1" x14ac:dyDescent="0.25">
      <c r="A687" s="4">
        <v>2021</v>
      </c>
      <c r="B687" s="318">
        <v>44301</v>
      </c>
      <c r="C687" s="4" t="s">
        <v>66</v>
      </c>
      <c r="D687" s="4" t="s">
        <v>65</v>
      </c>
      <c r="E687" s="4"/>
      <c r="F687" s="4" t="s">
        <v>90</v>
      </c>
      <c r="G687" s="5" t="s">
        <v>427</v>
      </c>
      <c r="H687" s="5" t="s">
        <v>428</v>
      </c>
      <c r="I687" s="5" t="s">
        <v>143</v>
      </c>
      <c r="J687" s="5" t="s">
        <v>9</v>
      </c>
      <c r="K687" s="5">
        <v>22</v>
      </c>
      <c r="L687" s="5">
        <v>55</v>
      </c>
      <c r="M687" s="5">
        <v>1666</v>
      </c>
      <c r="N687" s="5" t="s">
        <v>170</v>
      </c>
      <c r="O687" s="6" t="s">
        <v>81</v>
      </c>
      <c r="P687" s="6" t="s">
        <v>429</v>
      </c>
      <c r="Q687" s="6"/>
      <c r="R687" s="6"/>
      <c r="S687" s="6">
        <v>42</v>
      </c>
      <c r="T687" s="6">
        <v>19.510000000000002</v>
      </c>
      <c r="U687" s="6">
        <v>1402</v>
      </c>
      <c r="V687" s="6">
        <v>28.51</v>
      </c>
      <c r="W687" s="6">
        <v>50</v>
      </c>
      <c r="X687" s="6">
        <v>303</v>
      </c>
      <c r="Y687" s="6">
        <v>595</v>
      </c>
      <c r="Z687" s="6">
        <v>375</v>
      </c>
      <c r="AA687" s="6">
        <v>75</v>
      </c>
      <c r="AB687" s="6">
        <v>4</v>
      </c>
      <c r="AC687" s="7">
        <v>48</v>
      </c>
      <c r="AD687" s="7" t="s">
        <v>53</v>
      </c>
      <c r="AE687" s="7">
        <v>22.07</v>
      </c>
      <c r="AF687" s="7">
        <v>648</v>
      </c>
      <c r="AG687" s="7">
        <v>17.96</v>
      </c>
      <c r="AH687" s="7">
        <v>18.79</v>
      </c>
      <c r="AI687" s="7">
        <v>26.31</v>
      </c>
      <c r="AJ687" s="9">
        <v>169.793967380282</v>
      </c>
      <c r="AK687" s="9">
        <v>180.118857475694</v>
      </c>
      <c r="AL687" s="9">
        <v>220.46065364359001</v>
      </c>
      <c r="AM687" s="9">
        <v>34.616502921426097</v>
      </c>
      <c r="AN687" s="9">
        <v>0.72117714419637702</v>
      </c>
      <c r="AO687" s="9">
        <v>0.94511711613306004</v>
      </c>
      <c r="AP687" s="9">
        <v>410.60004638493501</v>
      </c>
      <c r="AQ687" s="9">
        <v>8.5541676330194694</v>
      </c>
      <c r="AR687" s="9">
        <v>15.923109509003201</v>
      </c>
      <c r="AS687" s="8">
        <v>252</v>
      </c>
      <c r="AT687" s="8">
        <v>5.8499999999999979</v>
      </c>
      <c r="AU687" s="10">
        <v>17.192250165178823</v>
      </c>
      <c r="AV687" s="10">
        <v>53.702231209947001</v>
      </c>
      <c r="AW687" s="10">
        <v>0.88</v>
      </c>
      <c r="AX687" s="10">
        <v>0.2131040921029643</v>
      </c>
      <c r="AY687" s="10"/>
      <c r="AZ687" s="10"/>
      <c r="BA687" s="10"/>
      <c r="BB687" s="8"/>
      <c r="BC687" s="8"/>
      <c r="BD687" s="8"/>
      <c r="BE687" s="8"/>
      <c r="BF687" s="12">
        <v>0.55000000000000004</v>
      </c>
      <c r="BG687" s="13">
        <v>211.182934469423</v>
      </c>
      <c r="BH687" s="96" t="str">
        <f>+VLOOKUP(G687,Liste!$A$7:$G$50,3,FALSE)</f>
        <v>Hêtre commun</v>
      </c>
      <c r="BI687" s="96" t="str">
        <f>+VLOOKUP(H687,Liste!$B$7:$G$50,5,FALSE)</f>
        <v>GS Hêtraies et hêtraies sapinières des Pyrénées</v>
      </c>
      <c r="BJ687" s="135">
        <f t="shared" si="206"/>
        <v>48</v>
      </c>
      <c r="BK687" s="135" t="str">
        <f t="shared" si="208"/>
        <v>Hêtre commun_F1_Entree 19-20m_GS Hêtraies et hêtraies sapinières des Pyrénées_48_</v>
      </c>
      <c r="BL687" s="322"/>
      <c r="BM687" s="13">
        <v>55.676115758916801</v>
      </c>
      <c r="BN687" s="13">
        <v>266.85905022833902</v>
      </c>
      <c r="BO687" s="13">
        <v>82.967439188875005</v>
      </c>
      <c r="BP687" s="13">
        <v>328.524705421715</v>
      </c>
      <c r="BQ687" s="13">
        <v>18.536635724485699</v>
      </c>
      <c r="BT687" s="298" t="str">
        <f>+VLOOKUP(G687,Liste!$A$7:$H$50,8,FALSE)</f>
        <v>Feuillus</v>
      </c>
      <c r="BU687" s="298">
        <f t="shared" si="209"/>
        <v>1</v>
      </c>
      <c r="BV687" s="300">
        <f t="shared" si="210"/>
        <v>0</v>
      </c>
      <c r="BW687" s="321">
        <v>0</v>
      </c>
      <c r="BX687" s="298">
        <f t="shared" si="211"/>
        <v>0.25</v>
      </c>
      <c r="BY687">
        <f t="shared" si="212"/>
        <v>0</v>
      </c>
      <c r="BZ687" s="304">
        <f t="shared" si="213"/>
        <v>0</v>
      </c>
      <c r="CB687" s="299">
        <v>0.6</v>
      </c>
      <c r="CC687" s="299">
        <v>0.4</v>
      </c>
      <c r="CD687">
        <f t="shared" si="214"/>
        <v>0</v>
      </c>
      <c r="CE687">
        <f t="shared" si="215"/>
        <v>0</v>
      </c>
      <c r="CF687">
        <f t="shared" si="216"/>
        <v>0</v>
      </c>
      <c r="CG687">
        <f t="shared" si="217"/>
        <v>0</v>
      </c>
      <c r="CH687">
        <f t="shared" si="218"/>
        <v>0</v>
      </c>
      <c r="CI687">
        <f t="shared" si="219"/>
        <v>0</v>
      </c>
      <c r="CJ687">
        <f t="shared" si="220"/>
        <v>0</v>
      </c>
      <c r="CK687">
        <f t="shared" si="221"/>
        <v>0</v>
      </c>
      <c r="CL687">
        <f t="shared" si="222"/>
        <v>0</v>
      </c>
      <c r="CM687">
        <f t="shared" si="224"/>
        <v>0</v>
      </c>
      <c r="CN687">
        <f t="shared" si="223"/>
        <v>0</v>
      </c>
      <c r="CO687">
        <f t="shared" si="207"/>
        <v>0</v>
      </c>
    </row>
    <row r="688" spans="1:93" s="12" customFormat="1" ht="14.65" customHeight="1" x14ac:dyDescent="0.25">
      <c r="A688" s="4">
        <v>2021</v>
      </c>
      <c r="B688" s="318">
        <v>44301</v>
      </c>
      <c r="C688" s="4" t="s">
        <v>66</v>
      </c>
      <c r="D688" s="4" t="s">
        <v>65</v>
      </c>
      <c r="E688" s="4"/>
      <c r="F688" s="4" t="s">
        <v>90</v>
      </c>
      <c r="G688" s="5" t="s">
        <v>427</v>
      </c>
      <c r="H688" s="5" t="s">
        <v>428</v>
      </c>
      <c r="I688" s="5" t="s">
        <v>143</v>
      </c>
      <c r="J688" s="5" t="s">
        <v>9</v>
      </c>
      <c r="K688" s="5">
        <v>22</v>
      </c>
      <c r="L688" s="5">
        <v>55</v>
      </c>
      <c r="M688" s="5">
        <v>1666</v>
      </c>
      <c r="N688" s="5" t="s">
        <v>170</v>
      </c>
      <c r="O688" s="6" t="s">
        <v>81</v>
      </c>
      <c r="P688" s="6" t="s">
        <v>429</v>
      </c>
      <c r="Q688" s="6"/>
      <c r="R688" s="6"/>
      <c r="S688" s="6">
        <v>42</v>
      </c>
      <c r="T688" s="6">
        <v>19.510000000000002</v>
      </c>
      <c r="U688" s="6">
        <v>1402</v>
      </c>
      <c r="V688" s="6">
        <v>28.51</v>
      </c>
      <c r="W688" s="6">
        <v>50</v>
      </c>
      <c r="X688" s="6">
        <v>303</v>
      </c>
      <c r="Y688" s="6">
        <v>595</v>
      </c>
      <c r="Z688" s="6">
        <v>375</v>
      </c>
      <c r="AA688" s="6">
        <v>75</v>
      </c>
      <c r="AB688" s="6">
        <v>4</v>
      </c>
      <c r="AC688" s="7">
        <v>51</v>
      </c>
      <c r="AD688" s="7" t="s">
        <v>52</v>
      </c>
      <c r="AE688" s="7">
        <v>23.24</v>
      </c>
      <c r="AF688" s="7">
        <v>648</v>
      </c>
      <c r="AG688" s="7">
        <v>20.79</v>
      </c>
      <c r="AH688" s="7">
        <v>20.21</v>
      </c>
      <c r="AI688" s="7">
        <v>28.4</v>
      </c>
      <c r="AJ688" s="9">
        <v>209.561333224718</v>
      </c>
      <c r="AK688" s="9">
        <v>222.95933146319899</v>
      </c>
      <c r="AL688" s="9">
        <v>268.22998217060001</v>
      </c>
      <c r="AM688" s="9">
        <v>37.451854269825297</v>
      </c>
      <c r="AN688" s="9">
        <v>0.73435008372206401</v>
      </c>
      <c r="AO688" s="9">
        <v>0.89262638600321997</v>
      </c>
      <c r="AP688" s="9">
        <v>458.36937491194402</v>
      </c>
      <c r="AQ688" s="9">
        <v>8.9876348021949894</v>
      </c>
      <c r="AR688" s="9">
        <v>15.8997177387189</v>
      </c>
      <c r="AS688" s="8" t="s">
        <v>169</v>
      </c>
      <c r="AT688" s="8" t="s">
        <v>169</v>
      </c>
      <c r="AU688" s="10" t="s">
        <v>169</v>
      </c>
      <c r="AV688" s="10">
        <v>0</v>
      </c>
      <c r="AW688" s="8"/>
      <c r="AX688" s="10" t="s">
        <v>169</v>
      </c>
      <c r="AY688" s="10"/>
      <c r="AZ688" s="10"/>
      <c r="BA688" s="10"/>
      <c r="BB688" s="8"/>
      <c r="BC688" s="8"/>
      <c r="BD688" s="8"/>
      <c r="BE688" s="8"/>
      <c r="BF688" s="12">
        <v>0.55000000000000004</v>
      </c>
      <c r="BG688" s="13">
        <v>256.941970420921</v>
      </c>
      <c r="BH688" s="96" t="str">
        <f>+VLOOKUP(G688,Liste!$A$7:$G$50,3,FALSE)</f>
        <v>Hêtre commun</v>
      </c>
      <c r="BI688" s="96" t="str">
        <f>+VLOOKUP(H688,Liste!$B$7:$G$50,5,FALSE)</f>
        <v>GS Hêtraies et hêtraies sapinières des Pyrénées</v>
      </c>
      <c r="BJ688" s="135">
        <f t="shared" si="206"/>
        <v>51</v>
      </c>
      <c r="BK688" s="135" t="str">
        <f t="shared" si="208"/>
        <v>Hêtre commun_F1_Entree 19-20m_GS Hêtraies et hêtraies sapinières des Pyrénées_51_</v>
      </c>
      <c r="BL688" s="322"/>
      <c r="BM688" s="13">
        <v>66.211076043569506</v>
      </c>
      <c r="BN688" s="13">
        <v>323.15304646448999</v>
      </c>
      <c r="BO688" s="13" t="s">
        <v>169</v>
      </c>
      <c r="BP688" s="13">
        <v>328.524705421715</v>
      </c>
      <c r="BQ688" s="13">
        <v>18.469821978940899</v>
      </c>
      <c r="BT688" s="298" t="str">
        <f>+VLOOKUP(G688,Liste!$A$7:$H$50,8,FALSE)</f>
        <v>Feuillus</v>
      </c>
      <c r="BU688" s="298">
        <f t="shared" si="209"/>
        <v>1</v>
      </c>
      <c r="BV688" s="300">
        <f t="shared" si="210"/>
        <v>0</v>
      </c>
      <c r="BW688" s="321">
        <v>0</v>
      </c>
      <c r="BX688" s="298">
        <f t="shared" si="211"/>
        <v>0.25</v>
      </c>
      <c r="BY688">
        <f t="shared" si="212"/>
        <v>0</v>
      </c>
      <c r="BZ688" s="304">
        <f t="shared" si="213"/>
        <v>0</v>
      </c>
      <c r="CB688" s="299">
        <v>0.6</v>
      </c>
      <c r="CC688" s="299">
        <v>0.4</v>
      </c>
      <c r="CD688">
        <f t="shared" si="214"/>
        <v>0</v>
      </c>
      <c r="CE688">
        <f t="shared" si="215"/>
        <v>0</v>
      </c>
      <c r="CF688">
        <f t="shared" si="216"/>
        <v>0</v>
      </c>
      <c r="CG688">
        <f t="shared" si="217"/>
        <v>0</v>
      </c>
      <c r="CH688">
        <f t="shared" si="218"/>
        <v>0</v>
      </c>
      <c r="CI688">
        <f t="shared" si="219"/>
        <v>0</v>
      </c>
      <c r="CJ688">
        <f t="shared" si="220"/>
        <v>0</v>
      </c>
      <c r="CK688">
        <f t="shared" si="221"/>
        <v>0</v>
      </c>
      <c r="CL688">
        <f t="shared" si="222"/>
        <v>0</v>
      </c>
      <c r="CM688">
        <f t="shared" si="224"/>
        <v>0</v>
      </c>
      <c r="CN688">
        <f t="shared" si="223"/>
        <v>0</v>
      </c>
      <c r="CO688">
        <f t="shared" si="207"/>
        <v>0</v>
      </c>
    </row>
    <row r="689" spans="1:93" s="12" customFormat="1" x14ac:dyDescent="0.25">
      <c r="A689" s="4">
        <v>2021</v>
      </c>
      <c r="B689" s="318">
        <v>44301</v>
      </c>
      <c r="C689" s="4" t="s">
        <v>66</v>
      </c>
      <c r="D689" s="4" t="s">
        <v>65</v>
      </c>
      <c r="E689" s="4"/>
      <c r="F689" s="4" t="s">
        <v>90</v>
      </c>
      <c r="G689" s="5" t="s">
        <v>427</v>
      </c>
      <c r="H689" s="5" t="s">
        <v>428</v>
      </c>
      <c r="I689" s="5" t="s">
        <v>143</v>
      </c>
      <c r="J689" s="5" t="s">
        <v>9</v>
      </c>
      <c r="K689" s="5">
        <v>22</v>
      </c>
      <c r="L689" s="5">
        <v>55</v>
      </c>
      <c r="M689" s="5">
        <v>1666</v>
      </c>
      <c r="N689" s="5" t="s">
        <v>170</v>
      </c>
      <c r="O689" s="6" t="s">
        <v>81</v>
      </c>
      <c r="P689" s="6" t="s">
        <v>429</v>
      </c>
      <c r="Q689" s="6"/>
      <c r="R689" s="6"/>
      <c r="S689" s="6">
        <v>42</v>
      </c>
      <c r="T689" s="6">
        <v>19.510000000000002</v>
      </c>
      <c r="U689" s="6">
        <v>1402</v>
      </c>
      <c r="V689" s="6">
        <v>28.51</v>
      </c>
      <c r="W689" s="6">
        <v>50</v>
      </c>
      <c r="X689" s="6">
        <v>303</v>
      </c>
      <c r="Y689" s="6">
        <v>595</v>
      </c>
      <c r="Z689" s="6">
        <v>375</v>
      </c>
      <c r="AA689" s="6">
        <v>75</v>
      </c>
      <c r="AB689" s="6">
        <v>4</v>
      </c>
      <c r="AC689" s="7">
        <v>54</v>
      </c>
      <c r="AD689" s="7" t="s">
        <v>52</v>
      </c>
      <c r="AE689" s="7">
        <v>24.32</v>
      </c>
      <c r="AF689" s="7">
        <v>648</v>
      </c>
      <c r="AG689" s="7">
        <v>23.47</v>
      </c>
      <c r="AH689" s="7">
        <v>21.48</v>
      </c>
      <c r="AI689" s="7">
        <v>30.28</v>
      </c>
      <c r="AJ689" s="9">
        <v>249.547235900754</v>
      </c>
      <c r="AK689" s="9">
        <v>266.037751031543</v>
      </c>
      <c r="AL689" s="9">
        <v>315.92913538675703</v>
      </c>
      <c r="AM689" s="9">
        <v>40.1297334278349</v>
      </c>
      <c r="AN689" s="9">
        <v>0.74314321162657304</v>
      </c>
      <c r="AO689" s="9">
        <v>0.84265682062980096</v>
      </c>
      <c r="AP689" s="9">
        <v>506.06852812810098</v>
      </c>
      <c r="AQ689" s="9">
        <v>9.3716394097796503</v>
      </c>
      <c r="AR689" s="9">
        <v>15.385241417046</v>
      </c>
      <c r="AS689" s="8" t="s">
        <v>169</v>
      </c>
      <c r="AT689" s="8" t="s">
        <v>169</v>
      </c>
      <c r="AU689" s="10" t="s">
        <v>169</v>
      </c>
      <c r="AV689" s="10">
        <v>0</v>
      </c>
      <c r="AW689" s="8"/>
      <c r="AX689" s="10" t="s">
        <v>169</v>
      </c>
      <c r="AY689" s="10"/>
      <c r="AZ689" s="10"/>
      <c r="BA689" s="10"/>
      <c r="BB689" s="8"/>
      <c r="BC689" s="8"/>
      <c r="BD689" s="8"/>
      <c r="BE689" s="8"/>
      <c r="BF689" s="12">
        <v>0.55000000000000004</v>
      </c>
      <c r="BG689" s="13">
        <v>302.63378427256401</v>
      </c>
      <c r="BH689" s="96" t="str">
        <f>+VLOOKUP(G689,Liste!$A$7:$G$50,3,FALSE)</f>
        <v>Hêtre commun</v>
      </c>
      <c r="BI689" s="96" t="str">
        <f>+VLOOKUP(H689,Liste!$B$7:$G$50,5,FALSE)</f>
        <v>GS Hêtraies et hêtraies sapinières des Pyrénées</v>
      </c>
      <c r="BJ689" s="135">
        <f t="shared" si="206"/>
        <v>54</v>
      </c>
      <c r="BK689" s="135" t="str">
        <f t="shared" si="208"/>
        <v>Hêtre commun_F1_Entree 19-20m_GS Hêtraies et hêtraies sapinières des Pyrénées_54_</v>
      </c>
      <c r="BL689" s="322"/>
      <c r="BM689" s="13">
        <v>76.513667209443298</v>
      </c>
      <c r="BN689" s="13">
        <v>379.147451482007</v>
      </c>
      <c r="BO689" s="13" t="s">
        <v>169</v>
      </c>
      <c r="BP689" s="13">
        <v>328.524705421715</v>
      </c>
      <c r="BQ689" s="13">
        <v>17.838447227652999</v>
      </c>
      <c r="BT689" s="298" t="str">
        <f>+VLOOKUP(G689,Liste!$A$7:$H$50,8,FALSE)</f>
        <v>Feuillus</v>
      </c>
      <c r="BU689" s="298">
        <f t="shared" si="209"/>
        <v>1</v>
      </c>
      <c r="BV689" s="300">
        <f t="shared" si="210"/>
        <v>0</v>
      </c>
      <c r="BW689" s="321">
        <v>0</v>
      </c>
      <c r="BX689" s="298">
        <f t="shared" si="211"/>
        <v>0.25</v>
      </c>
      <c r="BY689">
        <f t="shared" si="212"/>
        <v>0</v>
      </c>
      <c r="BZ689" s="304">
        <f t="shared" si="213"/>
        <v>0</v>
      </c>
      <c r="CB689" s="299">
        <v>0.6</v>
      </c>
      <c r="CC689" s="299">
        <v>0.4</v>
      </c>
      <c r="CD689">
        <f t="shared" si="214"/>
        <v>0</v>
      </c>
      <c r="CE689">
        <f t="shared" si="215"/>
        <v>0</v>
      </c>
      <c r="CF689">
        <f t="shared" si="216"/>
        <v>0</v>
      </c>
      <c r="CG689">
        <f t="shared" si="217"/>
        <v>0</v>
      </c>
      <c r="CH689">
        <f t="shared" si="218"/>
        <v>0</v>
      </c>
      <c r="CI689">
        <f t="shared" si="219"/>
        <v>0</v>
      </c>
      <c r="CJ689">
        <f t="shared" si="220"/>
        <v>0</v>
      </c>
      <c r="CK689">
        <f t="shared" si="221"/>
        <v>0</v>
      </c>
      <c r="CL689">
        <f t="shared" si="222"/>
        <v>0</v>
      </c>
      <c r="CM689">
        <f t="shared" si="224"/>
        <v>0</v>
      </c>
      <c r="CN689">
        <f t="shared" si="223"/>
        <v>0</v>
      </c>
      <c r="CO689">
        <f t="shared" si="207"/>
        <v>0</v>
      </c>
    </row>
    <row r="690" spans="1:93" s="12" customFormat="1" x14ac:dyDescent="0.25">
      <c r="A690" s="4">
        <v>2021</v>
      </c>
      <c r="B690" s="318">
        <v>44301</v>
      </c>
      <c r="C690" s="4" t="s">
        <v>66</v>
      </c>
      <c r="D690" s="4" t="s">
        <v>65</v>
      </c>
      <c r="E690" s="4"/>
      <c r="F690" s="4" t="s">
        <v>90</v>
      </c>
      <c r="G690" s="5" t="s">
        <v>427</v>
      </c>
      <c r="H690" s="5" t="s">
        <v>428</v>
      </c>
      <c r="I690" s="5" t="s">
        <v>143</v>
      </c>
      <c r="J690" s="5" t="s">
        <v>9</v>
      </c>
      <c r="K690" s="5">
        <v>22</v>
      </c>
      <c r="L690" s="5">
        <v>55</v>
      </c>
      <c r="M690" s="5">
        <v>1666</v>
      </c>
      <c r="N690" s="5" t="s">
        <v>170</v>
      </c>
      <c r="O690" s="6" t="s">
        <v>81</v>
      </c>
      <c r="P690" s="6" t="s">
        <v>429</v>
      </c>
      <c r="Q690" s="6"/>
      <c r="R690" s="6"/>
      <c r="S690" s="6">
        <v>42</v>
      </c>
      <c r="T690" s="6">
        <v>19.510000000000002</v>
      </c>
      <c r="U690" s="6">
        <v>1402</v>
      </c>
      <c r="V690" s="6">
        <v>28.51</v>
      </c>
      <c r="W690" s="6">
        <v>50</v>
      </c>
      <c r="X690" s="6">
        <v>303</v>
      </c>
      <c r="Y690" s="6">
        <v>595</v>
      </c>
      <c r="Z690" s="6">
        <v>375</v>
      </c>
      <c r="AA690" s="6">
        <v>75</v>
      </c>
      <c r="AB690" s="6">
        <v>4</v>
      </c>
      <c r="AC690" s="7">
        <v>54</v>
      </c>
      <c r="AD690" s="7" t="s">
        <v>53</v>
      </c>
      <c r="AE690" s="7">
        <v>24.32</v>
      </c>
      <c r="AF690" s="7">
        <v>501</v>
      </c>
      <c r="AG690" s="7">
        <v>18.11</v>
      </c>
      <c r="AH690" s="7">
        <v>21.46</v>
      </c>
      <c r="AI690" s="7">
        <v>29.35</v>
      </c>
      <c r="AJ690" s="9">
        <v>192.321019606362</v>
      </c>
      <c r="AK690" s="9">
        <v>204.71784988931901</v>
      </c>
      <c r="AL690" s="9">
        <v>243.20543556361</v>
      </c>
      <c r="AM690" s="9">
        <v>40.1297334278349</v>
      </c>
      <c r="AN690" s="9">
        <v>0.74314321162657304</v>
      </c>
      <c r="AO690" s="9">
        <v>0.84265682062980096</v>
      </c>
      <c r="AP690" s="9">
        <v>506.06852812810098</v>
      </c>
      <c r="AQ690" s="9">
        <v>9.3716394097796503</v>
      </c>
      <c r="AR690" s="9">
        <v>15.385241417046</v>
      </c>
      <c r="AS690" s="8">
        <v>147</v>
      </c>
      <c r="AT690" s="8">
        <v>5.3599999999999994</v>
      </c>
      <c r="AU690" s="10">
        <v>21.546601859359317</v>
      </c>
      <c r="AV690" s="10">
        <v>57.226216294392003</v>
      </c>
      <c r="AW690" s="10">
        <v>1.01</v>
      </c>
      <c r="AX690" s="10">
        <v>0.38929398839722451</v>
      </c>
      <c r="AY690" s="10"/>
      <c r="AZ690" s="10"/>
      <c r="BA690" s="10"/>
      <c r="BB690" s="8"/>
      <c r="BC690" s="8"/>
      <c r="BD690" s="8"/>
      <c r="BE690" s="8"/>
      <c r="BF690" s="12">
        <v>0.55000000000000004</v>
      </c>
      <c r="BG690" s="13">
        <v>232.97054015030801</v>
      </c>
      <c r="BH690" s="96" t="str">
        <f>+VLOOKUP(G690,Liste!$A$7:$G$50,3,FALSE)</f>
        <v>Hêtre commun</v>
      </c>
      <c r="BI690" s="96" t="str">
        <f>+VLOOKUP(H690,Liste!$B$7:$G$50,5,FALSE)</f>
        <v>GS Hêtraies et hêtraies sapinières des Pyrénées</v>
      </c>
      <c r="BJ690" s="135">
        <f t="shared" si="206"/>
        <v>54</v>
      </c>
      <c r="BK690" s="135" t="str">
        <f t="shared" si="208"/>
        <v>Hêtre commun_F1_Entree 19-20m_GS Hêtraies et hêtraies sapinières des Pyrénées_54_</v>
      </c>
      <c r="BL690" s="322"/>
      <c r="BM690" s="13">
        <v>60.722209376667301</v>
      </c>
      <c r="BN690" s="13">
        <v>293.692749526976</v>
      </c>
      <c r="BO690" s="13">
        <v>85.454701955030998</v>
      </c>
      <c r="BP690" s="13">
        <v>328.524705421715</v>
      </c>
      <c r="BQ690" s="13">
        <v>17.838447227652999</v>
      </c>
      <c r="BT690" s="298" t="str">
        <f>+VLOOKUP(G690,Liste!$A$7:$H$50,8,FALSE)</f>
        <v>Feuillus</v>
      </c>
      <c r="BU690" s="298">
        <f t="shared" si="209"/>
        <v>1</v>
      </c>
      <c r="BV690" s="300">
        <f t="shared" si="210"/>
        <v>0</v>
      </c>
      <c r="BW690" s="321">
        <v>0</v>
      </c>
      <c r="BX690" s="298">
        <f t="shared" si="211"/>
        <v>0.25</v>
      </c>
      <c r="BY690">
        <f t="shared" si="212"/>
        <v>0</v>
      </c>
      <c r="BZ690" s="304">
        <f t="shared" si="213"/>
        <v>0</v>
      </c>
      <c r="CB690" s="299">
        <v>0.6</v>
      </c>
      <c r="CC690" s="299">
        <v>0.4</v>
      </c>
      <c r="CD690">
        <f t="shared" si="214"/>
        <v>0</v>
      </c>
      <c r="CE690">
        <f t="shared" si="215"/>
        <v>0</v>
      </c>
      <c r="CF690">
        <f t="shared" si="216"/>
        <v>0</v>
      </c>
      <c r="CG690">
        <f t="shared" si="217"/>
        <v>0</v>
      </c>
      <c r="CH690">
        <f t="shared" si="218"/>
        <v>0</v>
      </c>
      <c r="CI690">
        <f t="shared" si="219"/>
        <v>0</v>
      </c>
      <c r="CJ690">
        <f t="shared" si="220"/>
        <v>0</v>
      </c>
      <c r="CK690">
        <f t="shared" si="221"/>
        <v>0</v>
      </c>
      <c r="CL690">
        <f t="shared" si="222"/>
        <v>0</v>
      </c>
      <c r="CM690">
        <f t="shared" si="224"/>
        <v>0</v>
      </c>
      <c r="CN690">
        <f t="shared" si="223"/>
        <v>0</v>
      </c>
      <c r="CO690">
        <f t="shared" si="207"/>
        <v>0</v>
      </c>
    </row>
    <row r="691" spans="1:93" s="12" customFormat="1" x14ac:dyDescent="0.25">
      <c r="A691" s="4">
        <v>2021</v>
      </c>
      <c r="B691" s="318">
        <v>44301</v>
      </c>
      <c r="C691" s="4" t="s">
        <v>66</v>
      </c>
      <c r="D691" s="4" t="s">
        <v>65</v>
      </c>
      <c r="E691" s="4"/>
      <c r="F691" s="4" t="s">
        <v>90</v>
      </c>
      <c r="G691" s="5" t="s">
        <v>427</v>
      </c>
      <c r="H691" s="5" t="s">
        <v>428</v>
      </c>
      <c r="I691" s="5" t="s">
        <v>143</v>
      </c>
      <c r="J691" s="5" t="s">
        <v>9</v>
      </c>
      <c r="K691" s="5">
        <v>22</v>
      </c>
      <c r="L691" s="5">
        <v>55</v>
      </c>
      <c r="M691" s="5">
        <v>1666</v>
      </c>
      <c r="N691" s="5" t="s">
        <v>170</v>
      </c>
      <c r="O691" s="6" t="s">
        <v>81</v>
      </c>
      <c r="P691" s="6" t="s">
        <v>429</v>
      </c>
      <c r="Q691" s="6"/>
      <c r="R691" s="6"/>
      <c r="S691" s="6">
        <v>42</v>
      </c>
      <c r="T691" s="6">
        <v>19.510000000000002</v>
      </c>
      <c r="U691" s="6">
        <v>1402</v>
      </c>
      <c r="V691" s="6">
        <v>28.51</v>
      </c>
      <c r="W691" s="6">
        <v>50</v>
      </c>
      <c r="X691" s="6">
        <v>303</v>
      </c>
      <c r="Y691" s="6">
        <v>595</v>
      </c>
      <c r="Z691" s="6">
        <v>375</v>
      </c>
      <c r="AA691" s="6">
        <v>75</v>
      </c>
      <c r="AB691" s="6">
        <v>4</v>
      </c>
      <c r="AC691" s="7">
        <v>57</v>
      </c>
      <c r="AD691" s="7" t="s">
        <v>52</v>
      </c>
      <c r="AE691" s="7">
        <v>25.34</v>
      </c>
      <c r="AF691" s="7">
        <v>501</v>
      </c>
      <c r="AG691" s="7">
        <v>20.64</v>
      </c>
      <c r="AH691" s="7">
        <v>22.9</v>
      </c>
      <c r="AI691" s="7">
        <v>31.36</v>
      </c>
      <c r="AJ691" s="9">
        <v>231.12118607351999</v>
      </c>
      <c r="AK691" s="9">
        <v>246.54492685352301</v>
      </c>
      <c r="AL691" s="9">
        <v>289.36115981474802</v>
      </c>
      <c r="AM691" s="9">
        <v>42.657703889724303</v>
      </c>
      <c r="AN691" s="9">
        <v>0.74838076999516401</v>
      </c>
      <c r="AO691" s="9">
        <v>0.79792751557837205</v>
      </c>
      <c r="AP691" s="9">
        <v>552.22425237923903</v>
      </c>
      <c r="AQ691" s="9">
        <v>9.6881447785831405</v>
      </c>
      <c r="AR691" s="9">
        <v>15.0353939969143</v>
      </c>
      <c r="AS691" s="8" t="s">
        <v>169</v>
      </c>
      <c r="AT691" s="8" t="s">
        <v>169</v>
      </c>
      <c r="AU691" s="10" t="s">
        <v>169</v>
      </c>
      <c r="AV691" s="10">
        <v>0</v>
      </c>
      <c r="AW691" s="8"/>
      <c r="AX691" s="10" t="s">
        <v>169</v>
      </c>
      <c r="AY691" s="10"/>
      <c r="AZ691" s="10"/>
      <c r="BA691" s="10"/>
      <c r="BB691" s="8"/>
      <c r="BC691" s="8"/>
      <c r="BD691" s="8"/>
      <c r="BE691" s="8"/>
      <c r="BF691" s="12">
        <v>0.55000000000000004</v>
      </c>
      <c r="BG691" s="13">
        <v>277.18387767254399</v>
      </c>
      <c r="BH691" s="96" t="str">
        <f>+VLOOKUP(G691,Liste!$A$7:$G$50,3,FALSE)</f>
        <v>Hêtre commun</v>
      </c>
      <c r="BI691" s="96" t="str">
        <f>+VLOOKUP(H691,Liste!$B$7:$G$50,5,FALSE)</f>
        <v>GS Hêtraies et hêtraies sapinières des Pyrénées</v>
      </c>
      <c r="BJ691" s="135">
        <f t="shared" si="206"/>
        <v>57</v>
      </c>
      <c r="BK691" s="135" t="str">
        <f t="shared" si="208"/>
        <v>Hêtre commun_F1_Entree 19-20m_GS Hêtraies et hêtraies sapinières des Pyrénées_57_</v>
      </c>
      <c r="BL691" s="322"/>
      <c r="BM691" s="13">
        <v>70.799496691813502</v>
      </c>
      <c r="BN691" s="13">
        <v>347.98337436435799</v>
      </c>
      <c r="BO691" s="13" t="s">
        <v>169</v>
      </c>
      <c r="BP691" s="13">
        <v>328.524705421715</v>
      </c>
      <c r="BQ691" s="13">
        <v>17.403756997238201</v>
      </c>
      <c r="BT691" s="298" t="str">
        <f>+VLOOKUP(G691,Liste!$A$7:$H$50,8,FALSE)</f>
        <v>Feuillus</v>
      </c>
      <c r="BU691" s="298">
        <f t="shared" si="209"/>
        <v>1</v>
      </c>
      <c r="BV691" s="300">
        <f t="shared" si="210"/>
        <v>0</v>
      </c>
      <c r="BW691" s="321">
        <v>0</v>
      </c>
      <c r="BX691" s="298">
        <f t="shared" si="211"/>
        <v>0.25</v>
      </c>
      <c r="BY691">
        <f t="shared" si="212"/>
        <v>0</v>
      </c>
      <c r="BZ691" s="304">
        <f t="shared" si="213"/>
        <v>0</v>
      </c>
      <c r="CB691" s="299">
        <v>0.6</v>
      </c>
      <c r="CC691" s="299">
        <v>0.4</v>
      </c>
      <c r="CD691">
        <f t="shared" si="214"/>
        <v>0</v>
      </c>
      <c r="CE691">
        <f t="shared" si="215"/>
        <v>0</v>
      </c>
      <c r="CF691">
        <f t="shared" si="216"/>
        <v>0</v>
      </c>
      <c r="CG691">
        <f t="shared" si="217"/>
        <v>0</v>
      </c>
      <c r="CH691">
        <f t="shared" si="218"/>
        <v>0</v>
      </c>
      <c r="CI691">
        <f t="shared" si="219"/>
        <v>0</v>
      </c>
      <c r="CJ691">
        <f t="shared" si="220"/>
        <v>0</v>
      </c>
      <c r="CK691">
        <f t="shared" si="221"/>
        <v>0</v>
      </c>
      <c r="CL691">
        <f t="shared" si="222"/>
        <v>0</v>
      </c>
      <c r="CM691">
        <f t="shared" si="224"/>
        <v>0</v>
      </c>
      <c r="CN691">
        <f t="shared" si="223"/>
        <v>0</v>
      </c>
      <c r="CO691">
        <f t="shared" si="207"/>
        <v>0</v>
      </c>
    </row>
    <row r="692" spans="1:93" s="12" customFormat="1" x14ac:dyDescent="0.25">
      <c r="A692" s="4">
        <v>2021</v>
      </c>
      <c r="B692" s="318">
        <v>44301</v>
      </c>
      <c r="C692" s="4" t="s">
        <v>66</v>
      </c>
      <c r="D692" s="4" t="s">
        <v>65</v>
      </c>
      <c r="E692" s="4"/>
      <c r="F692" s="4" t="s">
        <v>90</v>
      </c>
      <c r="G692" s="5" t="s">
        <v>427</v>
      </c>
      <c r="H692" s="5" t="s">
        <v>428</v>
      </c>
      <c r="I692" s="5" t="s">
        <v>143</v>
      </c>
      <c r="J692" s="5" t="s">
        <v>9</v>
      </c>
      <c r="K692" s="5">
        <v>22</v>
      </c>
      <c r="L692" s="5">
        <v>55</v>
      </c>
      <c r="M692" s="5">
        <v>1666</v>
      </c>
      <c r="N692" s="5" t="s">
        <v>170</v>
      </c>
      <c r="O692" s="6" t="s">
        <v>81</v>
      </c>
      <c r="P692" s="6" t="s">
        <v>429</v>
      </c>
      <c r="Q692" s="6"/>
      <c r="R692" s="6"/>
      <c r="S692" s="6">
        <v>42</v>
      </c>
      <c r="T692" s="6">
        <v>19.510000000000002</v>
      </c>
      <c r="U692" s="6">
        <v>1402</v>
      </c>
      <c r="V692" s="6">
        <v>28.51</v>
      </c>
      <c r="W692" s="6">
        <v>50</v>
      </c>
      <c r="X692" s="6">
        <v>303</v>
      </c>
      <c r="Y692" s="6">
        <v>595</v>
      </c>
      <c r="Z692" s="6">
        <v>375</v>
      </c>
      <c r="AA692" s="6">
        <v>75</v>
      </c>
      <c r="AB692" s="6">
        <v>4</v>
      </c>
      <c r="AC692" s="7">
        <v>60</v>
      </c>
      <c r="AD692" s="7" t="s">
        <v>52</v>
      </c>
      <c r="AE692" s="7">
        <v>26.29</v>
      </c>
      <c r="AF692" s="7">
        <v>501</v>
      </c>
      <c r="AG692" s="7">
        <v>23.04</v>
      </c>
      <c r="AH692" s="7">
        <v>24.2</v>
      </c>
      <c r="AI692" s="7">
        <v>33.19</v>
      </c>
      <c r="AJ692" s="9">
        <v>269.06566249906899</v>
      </c>
      <c r="AK692" s="9">
        <v>287.564780099877</v>
      </c>
      <c r="AL692" s="9">
        <v>334.467341805491</v>
      </c>
      <c r="AM692" s="9">
        <v>45.051486436459498</v>
      </c>
      <c r="AN692" s="9">
        <v>0.750858107274324</v>
      </c>
      <c r="AO692" s="9">
        <v>0.755878750896675</v>
      </c>
      <c r="AP692" s="9">
        <v>597.33043436998196</v>
      </c>
      <c r="AQ692" s="9">
        <v>9.9555072394997008</v>
      </c>
      <c r="AR692" s="9">
        <v>14.942802396916999</v>
      </c>
      <c r="AS692" s="8" t="s">
        <v>169</v>
      </c>
      <c r="AT692" s="8" t="s">
        <v>169</v>
      </c>
      <c r="AU692" s="10" t="s">
        <v>169</v>
      </c>
      <c r="AV692" s="10">
        <v>0</v>
      </c>
      <c r="AW692" s="8"/>
      <c r="AX692" s="10" t="s">
        <v>169</v>
      </c>
      <c r="AY692" s="10"/>
      <c r="AZ692" s="10"/>
      <c r="BA692" s="10"/>
      <c r="BB692" s="8"/>
      <c r="BC692" s="8"/>
      <c r="BD692" s="8"/>
      <c r="BE692" s="8"/>
      <c r="BF692" s="12">
        <v>0.55000000000000004</v>
      </c>
      <c r="BG692" s="13">
        <v>320.39184117117702</v>
      </c>
      <c r="BH692" s="96" t="str">
        <f>+VLOOKUP(G692,Liste!$A$7:$G$50,3,FALSE)</f>
        <v>Hêtre commun</v>
      </c>
      <c r="BI692" s="96" t="str">
        <f>+VLOOKUP(H692,Liste!$B$7:$G$50,5,FALSE)</f>
        <v>GS Hêtraies et hêtraies sapinières des Pyrénées</v>
      </c>
      <c r="BJ692" s="135">
        <f t="shared" si="206"/>
        <v>60</v>
      </c>
      <c r="BK692" s="135" t="str">
        <f t="shared" si="208"/>
        <v>Hêtre commun_F1_Entree 19-20m_GS Hêtraies et hêtraies sapinières des Pyrénées_60_</v>
      </c>
      <c r="BL692" s="322"/>
      <c r="BM692" s="13">
        <v>80.467502678809396</v>
      </c>
      <c r="BN692" s="13">
        <v>400.85934384998598</v>
      </c>
      <c r="BO692" s="13" t="s">
        <v>169</v>
      </c>
      <c r="BP692" s="13">
        <v>328.524705421715</v>
      </c>
      <c r="BQ692" s="13">
        <v>17.270528872825299</v>
      </c>
      <c r="BT692" s="298" t="str">
        <f>+VLOOKUP(G692,Liste!$A$7:$H$50,8,FALSE)</f>
        <v>Feuillus</v>
      </c>
      <c r="BU692" s="298">
        <f t="shared" si="209"/>
        <v>1</v>
      </c>
      <c r="BV692" s="300">
        <f t="shared" si="210"/>
        <v>0</v>
      </c>
      <c r="BW692" s="321">
        <v>0</v>
      </c>
      <c r="BX692" s="298">
        <f t="shared" si="211"/>
        <v>0.25</v>
      </c>
      <c r="BY692">
        <f t="shared" si="212"/>
        <v>0</v>
      </c>
      <c r="BZ692" s="304">
        <f t="shared" si="213"/>
        <v>0</v>
      </c>
      <c r="CB692" s="299">
        <v>0.6</v>
      </c>
      <c r="CC692" s="299">
        <v>0.4</v>
      </c>
      <c r="CD692">
        <f t="shared" si="214"/>
        <v>0</v>
      </c>
      <c r="CE692">
        <f t="shared" si="215"/>
        <v>0</v>
      </c>
      <c r="CF692">
        <f t="shared" si="216"/>
        <v>0</v>
      </c>
      <c r="CG692">
        <f t="shared" si="217"/>
        <v>0</v>
      </c>
      <c r="CH692">
        <f t="shared" si="218"/>
        <v>0</v>
      </c>
      <c r="CI692">
        <f t="shared" si="219"/>
        <v>0</v>
      </c>
      <c r="CJ692">
        <f t="shared" si="220"/>
        <v>0</v>
      </c>
      <c r="CK692">
        <f t="shared" si="221"/>
        <v>0</v>
      </c>
      <c r="CL692">
        <f t="shared" si="222"/>
        <v>0</v>
      </c>
      <c r="CM692">
        <f t="shared" si="224"/>
        <v>0</v>
      </c>
      <c r="CN692">
        <f t="shared" si="223"/>
        <v>0</v>
      </c>
      <c r="CO692">
        <f t="shared" si="207"/>
        <v>0</v>
      </c>
    </row>
    <row r="693" spans="1:93" s="12" customFormat="1" x14ac:dyDescent="0.25">
      <c r="A693" s="4">
        <v>2021</v>
      </c>
      <c r="B693" s="318">
        <v>44301</v>
      </c>
      <c r="C693" s="4" t="s">
        <v>66</v>
      </c>
      <c r="D693" s="4" t="s">
        <v>65</v>
      </c>
      <c r="E693" s="4"/>
      <c r="F693" s="4" t="s">
        <v>90</v>
      </c>
      <c r="G693" s="5" t="s">
        <v>427</v>
      </c>
      <c r="H693" s="5" t="s">
        <v>428</v>
      </c>
      <c r="I693" s="5" t="s">
        <v>143</v>
      </c>
      <c r="J693" s="5" t="s">
        <v>9</v>
      </c>
      <c r="K693" s="5">
        <v>22</v>
      </c>
      <c r="L693" s="5">
        <v>55</v>
      </c>
      <c r="M693" s="5">
        <v>1666</v>
      </c>
      <c r="N693" s="5" t="s">
        <v>170</v>
      </c>
      <c r="O693" s="6" t="s">
        <v>81</v>
      </c>
      <c r="P693" s="6" t="s">
        <v>429</v>
      </c>
      <c r="Q693" s="6"/>
      <c r="R693" s="6"/>
      <c r="S693" s="6">
        <v>42</v>
      </c>
      <c r="T693" s="6">
        <v>19.510000000000002</v>
      </c>
      <c r="U693" s="6">
        <v>1402</v>
      </c>
      <c r="V693" s="6">
        <v>28.51</v>
      </c>
      <c r="W693" s="6">
        <v>50</v>
      </c>
      <c r="X693" s="6">
        <v>303</v>
      </c>
      <c r="Y693" s="6">
        <v>595</v>
      </c>
      <c r="Z693" s="6">
        <v>375</v>
      </c>
      <c r="AA693" s="6">
        <v>75</v>
      </c>
      <c r="AB693" s="6">
        <v>4</v>
      </c>
      <c r="AC693" s="7">
        <v>63</v>
      </c>
      <c r="AD693" s="7" t="s">
        <v>52</v>
      </c>
      <c r="AE693" s="7">
        <v>27.18</v>
      </c>
      <c r="AF693" s="7">
        <v>501</v>
      </c>
      <c r="AG693" s="7">
        <v>25.31</v>
      </c>
      <c r="AH693" s="7">
        <v>25.36</v>
      </c>
      <c r="AI693" s="7">
        <v>34.85</v>
      </c>
      <c r="AJ693" s="9">
        <v>307.03545278183401</v>
      </c>
      <c r="AK693" s="9">
        <v>328.55042949236503</v>
      </c>
      <c r="AL693" s="9">
        <v>379.29574899624203</v>
      </c>
      <c r="AM693" s="9">
        <v>47.319122689149502</v>
      </c>
      <c r="AN693" s="9">
        <v>0.75109718554205496</v>
      </c>
      <c r="AO693" s="9">
        <v>0.70994364760692996</v>
      </c>
      <c r="AP693" s="9">
        <v>642.15884156073298</v>
      </c>
      <c r="AQ693" s="9">
        <v>10.192997485091</v>
      </c>
      <c r="AR693" s="9">
        <v>14.2494644404048</v>
      </c>
      <c r="AS693" s="8" t="s">
        <v>169</v>
      </c>
      <c r="AT693" s="8" t="s">
        <v>169</v>
      </c>
      <c r="AU693" s="10" t="s">
        <v>169</v>
      </c>
      <c r="AV693" s="10">
        <v>0</v>
      </c>
      <c r="AW693" s="8"/>
      <c r="AX693" s="10" t="s">
        <v>169</v>
      </c>
      <c r="AY693" s="10"/>
      <c r="AZ693" s="10"/>
      <c r="BA693" s="10"/>
      <c r="BB693" s="8"/>
      <c r="BC693" s="8"/>
      <c r="BD693" s="8"/>
      <c r="BE693" s="8"/>
      <c r="BF693" s="12">
        <v>0.55000000000000004</v>
      </c>
      <c r="BG693" s="13">
        <v>363.33371955931699</v>
      </c>
      <c r="BH693" s="96" t="str">
        <f>+VLOOKUP(G693,Liste!$A$7:$G$50,3,FALSE)</f>
        <v>Hêtre commun</v>
      </c>
      <c r="BI693" s="96" t="str">
        <f>+VLOOKUP(H693,Liste!$B$7:$G$50,5,FALSE)</f>
        <v>GS Hêtraies et hêtraies sapinières des Pyrénées</v>
      </c>
      <c r="BJ693" s="135">
        <f t="shared" si="206"/>
        <v>63</v>
      </c>
      <c r="BK693" s="135" t="str">
        <f t="shared" si="208"/>
        <v>Hêtre commun_F1_Entree 19-20m_GS Hêtraies et hêtraies sapinières des Pyrénées_63_</v>
      </c>
      <c r="BL693" s="322"/>
      <c r="BM693" s="13">
        <v>89.926256836553193</v>
      </c>
      <c r="BN693" s="13">
        <v>453.25997639587001</v>
      </c>
      <c r="BO693" s="13" t="s">
        <v>169</v>
      </c>
      <c r="BP693" s="13">
        <v>328.524705421715</v>
      </c>
      <c r="BQ693" s="13">
        <v>16.4468530788488</v>
      </c>
      <c r="BT693" s="298" t="str">
        <f>+VLOOKUP(G693,Liste!$A$7:$H$50,8,FALSE)</f>
        <v>Feuillus</v>
      </c>
      <c r="BU693" s="298">
        <f t="shared" si="209"/>
        <v>1</v>
      </c>
      <c r="BV693" s="300">
        <f t="shared" si="210"/>
        <v>0</v>
      </c>
      <c r="BW693" s="321">
        <v>0</v>
      </c>
      <c r="BX693" s="298">
        <f t="shared" si="211"/>
        <v>0.25</v>
      </c>
      <c r="BY693">
        <f t="shared" si="212"/>
        <v>0</v>
      </c>
      <c r="BZ693" s="304">
        <f t="shared" si="213"/>
        <v>0</v>
      </c>
      <c r="CB693" s="299">
        <v>0.6</v>
      </c>
      <c r="CC693" s="299">
        <v>0.4</v>
      </c>
      <c r="CD693">
        <f t="shared" si="214"/>
        <v>0</v>
      </c>
      <c r="CE693">
        <f t="shared" si="215"/>
        <v>0</v>
      </c>
      <c r="CF693">
        <f t="shared" si="216"/>
        <v>0</v>
      </c>
      <c r="CG693">
        <f t="shared" si="217"/>
        <v>0</v>
      </c>
      <c r="CH693">
        <f t="shared" si="218"/>
        <v>0</v>
      </c>
      <c r="CI693">
        <f t="shared" si="219"/>
        <v>0</v>
      </c>
      <c r="CJ693">
        <f t="shared" si="220"/>
        <v>0</v>
      </c>
      <c r="CK693">
        <f t="shared" si="221"/>
        <v>0</v>
      </c>
      <c r="CL693">
        <f t="shared" si="222"/>
        <v>0</v>
      </c>
      <c r="CM693">
        <f t="shared" si="224"/>
        <v>0</v>
      </c>
      <c r="CN693">
        <f t="shared" si="223"/>
        <v>0</v>
      </c>
      <c r="CO693">
        <f t="shared" si="207"/>
        <v>0</v>
      </c>
    </row>
    <row r="694" spans="1:93" s="12" customFormat="1" x14ac:dyDescent="0.25">
      <c r="A694" s="4">
        <v>2021</v>
      </c>
      <c r="B694" s="318">
        <v>44301</v>
      </c>
      <c r="C694" s="4" t="s">
        <v>66</v>
      </c>
      <c r="D694" s="4" t="s">
        <v>65</v>
      </c>
      <c r="E694" s="4"/>
      <c r="F694" s="4" t="s">
        <v>90</v>
      </c>
      <c r="G694" s="5" t="s">
        <v>427</v>
      </c>
      <c r="H694" s="5" t="s">
        <v>428</v>
      </c>
      <c r="I694" s="5" t="s">
        <v>143</v>
      </c>
      <c r="J694" s="5" t="s">
        <v>9</v>
      </c>
      <c r="K694" s="5">
        <v>22</v>
      </c>
      <c r="L694" s="5">
        <v>55</v>
      </c>
      <c r="M694" s="5">
        <v>1666</v>
      </c>
      <c r="N694" s="5" t="s">
        <v>170</v>
      </c>
      <c r="O694" s="6" t="s">
        <v>81</v>
      </c>
      <c r="P694" s="6" t="s">
        <v>429</v>
      </c>
      <c r="Q694" s="6"/>
      <c r="R694" s="6"/>
      <c r="S694" s="6">
        <v>42</v>
      </c>
      <c r="T694" s="6">
        <v>19.510000000000002</v>
      </c>
      <c r="U694" s="6">
        <v>1402</v>
      </c>
      <c r="V694" s="6">
        <v>28.51</v>
      </c>
      <c r="W694" s="6">
        <v>50</v>
      </c>
      <c r="X694" s="6">
        <v>303</v>
      </c>
      <c r="Y694" s="6">
        <v>595</v>
      </c>
      <c r="Z694" s="6">
        <v>375</v>
      </c>
      <c r="AA694" s="6">
        <v>75</v>
      </c>
      <c r="AB694" s="6">
        <v>4</v>
      </c>
      <c r="AC694" s="7">
        <v>63</v>
      </c>
      <c r="AD694" s="7" t="s">
        <v>53</v>
      </c>
      <c r="AE694" s="7">
        <v>27.18</v>
      </c>
      <c r="AF694" s="7">
        <v>351</v>
      </c>
      <c r="AG694" s="7">
        <v>18.62</v>
      </c>
      <c r="AH694" s="7">
        <v>25.99</v>
      </c>
      <c r="AI694" s="7">
        <v>33.4</v>
      </c>
      <c r="AJ694" s="9">
        <v>226.97184333420199</v>
      </c>
      <c r="AK694" s="9">
        <v>242.976611482094</v>
      </c>
      <c r="AL694" s="9">
        <v>280.03928153009298</v>
      </c>
      <c r="AM694" s="9">
        <v>47.319122689149502</v>
      </c>
      <c r="AN694" s="9">
        <v>0.75109718554205496</v>
      </c>
      <c r="AO694" s="9">
        <v>0.70994364760692996</v>
      </c>
      <c r="AP694" s="9">
        <v>642.15884156073298</v>
      </c>
      <c r="AQ694" s="9">
        <v>10.192997485091</v>
      </c>
      <c r="AR694" s="9">
        <v>14.2494644404048</v>
      </c>
      <c r="AS694" s="8">
        <v>150</v>
      </c>
      <c r="AT694" s="8">
        <v>6.6899999999999977</v>
      </c>
      <c r="AU694" s="10">
        <v>23.829914749152636</v>
      </c>
      <c r="AV694" s="10">
        <v>80.063609447632018</v>
      </c>
      <c r="AW694" s="10">
        <v>0.88</v>
      </c>
      <c r="AX694" s="10">
        <v>0.53375739631754682</v>
      </c>
      <c r="AY694" s="10"/>
      <c r="AZ694" s="10"/>
      <c r="BA694" s="10"/>
      <c r="BB694" s="8"/>
      <c r="BC694" s="8"/>
      <c r="BD694" s="8"/>
      <c r="BE694" s="8"/>
      <c r="BF694" s="12">
        <v>0.55000000000000004</v>
      </c>
      <c r="BG694" s="13">
        <v>268.25429509903501</v>
      </c>
      <c r="BH694" s="96" t="str">
        <f>+VLOOKUP(G694,Liste!$A$7:$G$50,3,FALSE)</f>
        <v>Hêtre commun</v>
      </c>
      <c r="BI694" s="96" t="str">
        <f>+VLOOKUP(H694,Liste!$B$7:$G$50,5,FALSE)</f>
        <v>GS Hêtraies et hêtraies sapinières des Pyrénées</v>
      </c>
      <c r="BJ694" s="135">
        <f t="shared" si="206"/>
        <v>63</v>
      </c>
      <c r="BK694" s="135" t="str">
        <f t="shared" si="208"/>
        <v>Hêtre commun_F1_Entree 19-20m_GS Hêtraies et hêtraies sapinières des Pyrénées_63_</v>
      </c>
      <c r="BL694" s="322"/>
      <c r="BM694" s="13">
        <v>68.780328512118203</v>
      </c>
      <c r="BN694" s="13">
        <v>337.03462361115299</v>
      </c>
      <c r="BO694" s="13">
        <v>116.22535278471702</v>
      </c>
      <c r="BP694" s="13">
        <v>328.524705421715</v>
      </c>
      <c r="BQ694" s="13">
        <v>16.4468530788488</v>
      </c>
      <c r="BT694" s="298" t="str">
        <f>+VLOOKUP(G694,Liste!$A$7:$H$50,8,FALSE)</f>
        <v>Feuillus</v>
      </c>
      <c r="BU694" s="298">
        <f t="shared" si="209"/>
        <v>1</v>
      </c>
      <c r="BV694" s="300">
        <f t="shared" si="210"/>
        <v>0</v>
      </c>
      <c r="BW694" s="321">
        <v>0</v>
      </c>
      <c r="BX694" s="298">
        <f t="shared" si="211"/>
        <v>0.25</v>
      </c>
      <c r="BY694">
        <f t="shared" si="212"/>
        <v>0</v>
      </c>
      <c r="BZ694" s="304">
        <f t="shared" si="213"/>
        <v>0</v>
      </c>
      <c r="CB694" s="299">
        <v>0.6</v>
      </c>
      <c r="CC694" s="299">
        <v>0.4</v>
      </c>
      <c r="CD694">
        <f t="shared" si="214"/>
        <v>0</v>
      </c>
      <c r="CE694">
        <f t="shared" si="215"/>
        <v>0</v>
      </c>
      <c r="CF694">
        <f t="shared" si="216"/>
        <v>0</v>
      </c>
      <c r="CG694">
        <f t="shared" si="217"/>
        <v>0</v>
      </c>
      <c r="CH694">
        <f t="shared" si="218"/>
        <v>0</v>
      </c>
      <c r="CI694">
        <f t="shared" si="219"/>
        <v>0</v>
      </c>
      <c r="CJ694">
        <f t="shared" si="220"/>
        <v>0</v>
      </c>
      <c r="CK694">
        <f t="shared" si="221"/>
        <v>0</v>
      </c>
      <c r="CL694">
        <f t="shared" si="222"/>
        <v>0</v>
      </c>
      <c r="CM694">
        <f t="shared" si="224"/>
        <v>0</v>
      </c>
      <c r="CN694">
        <f t="shared" si="223"/>
        <v>0</v>
      </c>
      <c r="CO694">
        <f t="shared" si="207"/>
        <v>0</v>
      </c>
    </row>
    <row r="695" spans="1:93" s="12" customFormat="1" x14ac:dyDescent="0.25">
      <c r="A695" s="4">
        <v>2021</v>
      </c>
      <c r="B695" s="318">
        <v>44301</v>
      </c>
      <c r="C695" s="4" t="s">
        <v>66</v>
      </c>
      <c r="D695" s="4" t="s">
        <v>65</v>
      </c>
      <c r="E695" s="4"/>
      <c r="F695" s="4" t="s">
        <v>90</v>
      </c>
      <c r="G695" s="5" t="s">
        <v>427</v>
      </c>
      <c r="H695" s="5" t="s">
        <v>428</v>
      </c>
      <c r="I695" s="5" t="s">
        <v>143</v>
      </c>
      <c r="J695" s="5" t="s">
        <v>9</v>
      </c>
      <c r="K695" s="5">
        <v>22</v>
      </c>
      <c r="L695" s="5">
        <v>55</v>
      </c>
      <c r="M695" s="5">
        <v>1666</v>
      </c>
      <c r="N695" s="5" t="s">
        <v>170</v>
      </c>
      <c r="O695" s="6" t="s">
        <v>81</v>
      </c>
      <c r="P695" s="6" t="s">
        <v>429</v>
      </c>
      <c r="Q695" s="6"/>
      <c r="R695" s="6"/>
      <c r="S695" s="6">
        <v>42</v>
      </c>
      <c r="T695" s="6">
        <v>19.510000000000002</v>
      </c>
      <c r="U695" s="6">
        <v>1402</v>
      </c>
      <c r="V695" s="6">
        <v>28.51</v>
      </c>
      <c r="W695" s="6">
        <v>50</v>
      </c>
      <c r="X695" s="6">
        <v>303</v>
      </c>
      <c r="Y695" s="6">
        <v>595</v>
      </c>
      <c r="Z695" s="6">
        <v>375</v>
      </c>
      <c r="AA695" s="6">
        <v>75</v>
      </c>
      <c r="AB695" s="6">
        <v>4</v>
      </c>
      <c r="AC695" s="7">
        <v>66</v>
      </c>
      <c r="AD695" s="7" t="s">
        <v>52</v>
      </c>
      <c r="AE695" s="7">
        <v>28.01</v>
      </c>
      <c r="AF695" s="7">
        <v>351</v>
      </c>
      <c r="AG695" s="7">
        <v>20.74</v>
      </c>
      <c r="AH695" s="7">
        <v>27.43</v>
      </c>
      <c r="AI695" s="7">
        <v>35.26</v>
      </c>
      <c r="AJ695" s="9">
        <v>263.14480781417302</v>
      </c>
      <c r="AK695" s="9">
        <v>282.12200925217098</v>
      </c>
      <c r="AL695" s="9">
        <v>322.787674851308</v>
      </c>
      <c r="AM695" s="9">
        <v>49.448953631970298</v>
      </c>
      <c r="AN695" s="9">
        <v>0.74922657018136796</v>
      </c>
      <c r="AO695" s="9">
        <v>0.67425799034951905</v>
      </c>
      <c r="AP695" s="9">
        <v>684.90723488194806</v>
      </c>
      <c r="AQ695" s="9">
        <v>10.3773823466962</v>
      </c>
      <c r="AR695" s="9">
        <v>13.801269905487899</v>
      </c>
      <c r="AS695" s="8" t="s">
        <v>169</v>
      </c>
      <c r="AT695" s="8" t="s">
        <v>169</v>
      </c>
      <c r="AU695" s="10" t="s">
        <v>169</v>
      </c>
      <c r="AV695" s="10">
        <v>0</v>
      </c>
      <c r="AW695" s="8"/>
      <c r="AX695" s="10" t="s">
        <v>169</v>
      </c>
      <c r="AY695" s="10"/>
      <c r="AZ695" s="10"/>
      <c r="BA695" s="10"/>
      <c r="BB695" s="8"/>
      <c r="BC695" s="8"/>
      <c r="BD695" s="8"/>
      <c r="BE695" s="8"/>
      <c r="BF695" s="12">
        <v>0.55000000000000004</v>
      </c>
      <c r="BG695" s="13">
        <v>309.20369353464901</v>
      </c>
      <c r="BH695" s="96" t="str">
        <f>+VLOOKUP(G695,Liste!$A$7:$G$50,3,FALSE)</f>
        <v>Hêtre commun</v>
      </c>
      <c r="BI695" s="96" t="str">
        <f>+VLOOKUP(H695,Liste!$B$7:$G$50,5,FALSE)</f>
        <v>GS Hêtraies et hêtraies sapinières des Pyrénées</v>
      </c>
      <c r="BJ695" s="135">
        <f t="shared" si="206"/>
        <v>66</v>
      </c>
      <c r="BK695" s="135" t="str">
        <f t="shared" si="208"/>
        <v>Hêtre commun_F1_Entree 19-20m_GS Hêtraies et hêtraies sapinières des Pyrénées_66_</v>
      </c>
      <c r="BL695" s="322"/>
      <c r="BM695" s="13">
        <v>77.979525579167202</v>
      </c>
      <c r="BN695" s="13">
        <v>387.18321911381599</v>
      </c>
      <c r="BO695" s="13" t="s">
        <v>169</v>
      </c>
      <c r="BP695" s="13">
        <v>328.524705421715</v>
      </c>
      <c r="BQ695" s="13">
        <v>15.9102142575115</v>
      </c>
      <c r="BT695" s="298" t="str">
        <f>+VLOOKUP(G695,Liste!$A$7:$H$50,8,FALSE)</f>
        <v>Feuillus</v>
      </c>
      <c r="BU695" s="298">
        <f t="shared" si="209"/>
        <v>1</v>
      </c>
      <c r="BV695" s="300">
        <f t="shared" si="210"/>
        <v>0</v>
      </c>
      <c r="BW695" s="321">
        <v>0</v>
      </c>
      <c r="BX695" s="298">
        <f t="shared" si="211"/>
        <v>0.25</v>
      </c>
      <c r="BY695">
        <f t="shared" si="212"/>
        <v>0</v>
      </c>
      <c r="BZ695" s="304">
        <f t="shared" si="213"/>
        <v>0</v>
      </c>
      <c r="CB695" s="299">
        <v>0.6</v>
      </c>
      <c r="CC695" s="299">
        <v>0.4</v>
      </c>
      <c r="CD695">
        <f t="shared" si="214"/>
        <v>0</v>
      </c>
      <c r="CE695">
        <f t="shared" si="215"/>
        <v>0</v>
      </c>
      <c r="CF695">
        <f t="shared" si="216"/>
        <v>0</v>
      </c>
      <c r="CG695">
        <f t="shared" si="217"/>
        <v>0</v>
      </c>
      <c r="CH695">
        <f t="shared" si="218"/>
        <v>0</v>
      </c>
      <c r="CI695">
        <f t="shared" si="219"/>
        <v>0</v>
      </c>
      <c r="CJ695">
        <f t="shared" si="220"/>
        <v>0</v>
      </c>
      <c r="CK695">
        <f t="shared" si="221"/>
        <v>0</v>
      </c>
      <c r="CL695">
        <f t="shared" si="222"/>
        <v>0</v>
      </c>
      <c r="CM695">
        <f t="shared" si="224"/>
        <v>0</v>
      </c>
      <c r="CN695">
        <f t="shared" si="223"/>
        <v>0</v>
      </c>
      <c r="CO695">
        <f t="shared" si="207"/>
        <v>0</v>
      </c>
    </row>
    <row r="696" spans="1:93" s="12" customFormat="1" x14ac:dyDescent="0.25">
      <c r="A696" s="4">
        <v>2021</v>
      </c>
      <c r="B696" s="318">
        <v>44301</v>
      </c>
      <c r="C696" s="4" t="s">
        <v>66</v>
      </c>
      <c r="D696" s="4" t="s">
        <v>65</v>
      </c>
      <c r="E696" s="4"/>
      <c r="F696" s="4" t="s">
        <v>90</v>
      </c>
      <c r="G696" s="5" t="s">
        <v>427</v>
      </c>
      <c r="H696" s="5" t="s">
        <v>428</v>
      </c>
      <c r="I696" s="5" t="s">
        <v>143</v>
      </c>
      <c r="J696" s="5" t="s">
        <v>9</v>
      </c>
      <c r="K696" s="5">
        <v>22</v>
      </c>
      <c r="L696" s="5">
        <v>55</v>
      </c>
      <c r="M696" s="5">
        <v>1666</v>
      </c>
      <c r="N696" s="5" t="s">
        <v>170</v>
      </c>
      <c r="O696" s="6" t="s">
        <v>81</v>
      </c>
      <c r="P696" s="6" t="s">
        <v>429</v>
      </c>
      <c r="Q696" s="6"/>
      <c r="R696" s="6"/>
      <c r="S696" s="6">
        <v>42</v>
      </c>
      <c r="T696" s="6">
        <v>19.510000000000002</v>
      </c>
      <c r="U696" s="6">
        <v>1402</v>
      </c>
      <c r="V696" s="6">
        <v>28.51</v>
      </c>
      <c r="W696" s="6">
        <v>50</v>
      </c>
      <c r="X696" s="6">
        <v>303</v>
      </c>
      <c r="Y696" s="6">
        <v>595</v>
      </c>
      <c r="Z696" s="6">
        <v>375</v>
      </c>
      <c r="AA696" s="6">
        <v>75</v>
      </c>
      <c r="AB696" s="6">
        <v>4</v>
      </c>
      <c r="AC696" s="7">
        <v>69</v>
      </c>
      <c r="AD696" s="7" t="s">
        <v>52</v>
      </c>
      <c r="AE696" s="7">
        <v>28.78</v>
      </c>
      <c r="AF696" s="7">
        <v>351</v>
      </c>
      <c r="AG696" s="7">
        <v>22.77</v>
      </c>
      <c r="AH696" s="7">
        <v>28.74</v>
      </c>
      <c r="AI696" s="7">
        <v>36.96</v>
      </c>
      <c r="AJ696" s="9">
        <v>298.13890694965397</v>
      </c>
      <c r="AK696" s="9">
        <v>320.10708451353503</v>
      </c>
      <c r="AL696" s="9">
        <v>364.19148456777202</v>
      </c>
      <c r="AM696" s="9">
        <v>51.471727603018799</v>
      </c>
      <c r="AN696" s="9">
        <v>0.74596706671041801</v>
      </c>
      <c r="AO696" s="9">
        <v>0.64213620815821804</v>
      </c>
      <c r="AP696" s="9">
        <v>726.31104459841197</v>
      </c>
      <c r="AQ696" s="9">
        <v>10.5262470231654</v>
      </c>
      <c r="AR696" s="9">
        <v>13.528385248536001</v>
      </c>
      <c r="AS696" s="8" t="s">
        <v>169</v>
      </c>
      <c r="AT696" s="8" t="s">
        <v>169</v>
      </c>
      <c r="AU696" s="10" t="s">
        <v>169</v>
      </c>
      <c r="AV696" s="10">
        <v>0</v>
      </c>
      <c r="AW696" s="8"/>
      <c r="AX696" s="10" t="s">
        <v>169</v>
      </c>
      <c r="AY696" s="10"/>
      <c r="AZ696" s="10"/>
      <c r="BA696" s="10"/>
      <c r="BB696" s="8"/>
      <c r="BC696" s="8"/>
      <c r="BD696" s="8"/>
      <c r="BE696" s="8"/>
      <c r="BF696" s="12">
        <v>0.55000000000000004</v>
      </c>
      <c r="BG696" s="13">
        <v>348.86509292554501</v>
      </c>
      <c r="BH696" s="96" t="str">
        <f>+VLOOKUP(G696,Liste!$A$7:$G$50,3,FALSE)</f>
        <v>Hêtre commun</v>
      </c>
      <c r="BI696" s="96" t="str">
        <f>+VLOOKUP(H696,Liste!$B$7:$G$50,5,FALSE)</f>
        <v>GS Hêtraies et hêtraies sapinières des Pyrénées</v>
      </c>
      <c r="BJ696" s="135">
        <f t="shared" si="206"/>
        <v>69</v>
      </c>
      <c r="BK696" s="135" t="str">
        <f t="shared" si="208"/>
        <v>Hêtre commun_F1_Entree 19-20m_GS Hêtraies et hêtraies sapinières des Pyrénées_69_</v>
      </c>
      <c r="BL696" s="322"/>
      <c r="BM696" s="13">
        <v>86.754613074788693</v>
      </c>
      <c r="BN696" s="13">
        <v>435.619706000333</v>
      </c>
      <c r="BO696" s="13" t="s">
        <v>169</v>
      </c>
      <c r="BP696" s="13">
        <v>328.524705421715</v>
      </c>
      <c r="BQ696" s="13">
        <v>15.5783492214041</v>
      </c>
      <c r="BT696" s="298" t="str">
        <f>+VLOOKUP(G696,Liste!$A$7:$H$50,8,FALSE)</f>
        <v>Feuillus</v>
      </c>
      <c r="BU696" s="298">
        <f t="shared" si="209"/>
        <v>1</v>
      </c>
      <c r="BV696" s="300">
        <f t="shared" si="210"/>
        <v>0</v>
      </c>
      <c r="BW696" s="321">
        <v>0</v>
      </c>
      <c r="BX696" s="298">
        <f t="shared" si="211"/>
        <v>0.25</v>
      </c>
      <c r="BY696">
        <f t="shared" si="212"/>
        <v>0</v>
      </c>
      <c r="BZ696" s="304">
        <f t="shared" si="213"/>
        <v>0</v>
      </c>
      <c r="CB696" s="299">
        <v>0.6</v>
      </c>
      <c r="CC696" s="299">
        <v>0.4</v>
      </c>
      <c r="CD696">
        <f t="shared" si="214"/>
        <v>0</v>
      </c>
      <c r="CE696">
        <f t="shared" si="215"/>
        <v>0</v>
      </c>
      <c r="CF696">
        <f t="shared" si="216"/>
        <v>0</v>
      </c>
      <c r="CG696">
        <f t="shared" si="217"/>
        <v>0</v>
      </c>
      <c r="CH696">
        <f t="shared" si="218"/>
        <v>0</v>
      </c>
      <c r="CI696">
        <f t="shared" si="219"/>
        <v>0</v>
      </c>
      <c r="CJ696">
        <f t="shared" si="220"/>
        <v>0</v>
      </c>
      <c r="CK696">
        <f t="shared" si="221"/>
        <v>0</v>
      </c>
      <c r="CL696">
        <f t="shared" si="222"/>
        <v>0</v>
      </c>
      <c r="CM696">
        <f t="shared" si="224"/>
        <v>0</v>
      </c>
      <c r="CN696">
        <f t="shared" si="223"/>
        <v>0</v>
      </c>
      <c r="CO696">
        <f t="shared" si="207"/>
        <v>0</v>
      </c>
    </row>
    <row r="697" spans="1:93" s="12" customFormat="1" x14ac:dyDescent="0.25">
      <c r="A697" s="4">
        <v>2021</v>
      </c>
      <c r="B697" s="318">
        <v>44301</v>
      </c>
      <c r="C697" s="4" t="s">
        <v>66</v>
      </c>
      <c r="D697" s="4" t="s">
        <v>65</v>
      </c>
      <c r="E697" s="4"/>
      <c r="F697" s="4" t="s">
        <v>90</v>
      </c>
      <c r="G697" s="5" t="s">
        <v>427</v>
      </c>
      <c r="H697" s="5" t="s">
        <v>428</v>
      </c>
      <c r="I697" s="5" t="s">
        <v>143</v>
      </c>
      <c r="J697" s="5" t="s">
        <v>9</v>
      </c>
      <c r="K697" s="5">
        <v>22</v>
      </c>
      <c r="L697" s="5">
        <v>55</v>
      </c>
      <c r="M697" s="5">
        <v>1666</v>
      </c>
      <c r="N697" s="5" t="s">
        <v>170</v>
      </c>
      <c r="O697" s="6" t="s">
        <v>81</v>
      </c>
      <c r="P697" s="6" t="s">
        <v>429</v>
      </c>
      <c r="Q697" s="6"/>
      <c r="R697" s="6"/>
      <c r="S697" s="6">
        <v>42</v>
      </c>
      <c r="T697" s="6">
        <v>19.510000000000002</v>
      </c>
      <c r="U697" s="6">
        <v>1402</v>
      </c>
      <c r="V697" s="6">
        <v>28.51</v>
      </c>
      <c r="W697" s="6">
        <v>50</v>
      </c>
      <c r="X697" s="6">
        <v>303</v>
      </c>
      <c r="Y697" s="6">
        <v>595</v>
      </c>
      <c r="Z697" s="6">
        <v>375</v>
      </c>
      <c r="AA697" s="6">
        <v>75</v>
      </c>
      <c r="AB697" s="6">
        <v>4</v>
      </c>
      <c r="AC697" s="7">
        <v>72</v>
      </c>
      <c r="AD697" s="7" t="s">
        <v>52</v>
      </c>
      <c r="AE697" s="7">
        <v>29.51</v>
      </c>
      <c r="AF697" s="7">
        <v>351</v>
      </c>
      <c r="AG697" s="7">
        <v>24.7</v>
      </c>
      <c r="AH697" s="7">
        <v>29.93</v>
      </c>
      <c r="AI697" s="7">
        <v>38.51</v>
      </c>
      <c r="AJ697" s="9">
        <v>332.53203848990302</v>
      </c>
      <c r="AK697" s="9">
        <v>357.44970719948299</v>
      </c>
      <c r="AL697" s="9">
        <v>404.77664031338003</v>
      </c>
      <c r="AM697" s="9">
        <v>53.398136227493502</v>
      </c>
      <c r="AN697" s="9">
        <v>0.74164078093740904</v>
      </c>
      <c r="AO697" s="9">
        <v>0.60239388037507002</v>
      </c>
      <c r="AP697" s="9">
        <v>766.89620034401901</v>
      </c>
      <c r="AQ697" s="9">
        <v>10.651336115889199</v>
      </c>
      <c r="AR697" s="9">
        <v>13.161563660579599</v>
      </c>
      <c r="AS697" s="8" t="s">
        <v>169</v>
      </c>
      <c r="AT697" s="8" t="s">
        <v>169</v>
      </c>
      <c r="AU697" s="10" t="s">
        <v>169</v>
      </c>
      <c r="AV697" s="10">
        <v>0</v>
      </c>
      <c r="AW697" s="8"/>
      <c r="AX697" s="10" t="s">
        <v>169</v>
      </c>
      <c r="AY697" s="10"/>
      <c r="AZ697" s="10"/>
      <c r="BA697" s="10"/>
      <c r="BB697" s="8"/>
      <c r="BC697" s="8"/>
      <c r="BD697" s="8"/>
      <c r="BE697" s="8"/>
      <c r="BF697" s="12">
        <v>0.55000000000000004</v>
      </c>
      <c r="BG697" s="13">
        <v>387.74229003352502</v>
      </c>
      <c r="BH697" s="96" t="str">
        <f>+VLOOKUP(G697,Liste!$A$7:$G$50,3,FALSE)</f>
        <v>Hêtre commun</v>
      </c>
      <c r="BI697" s="96" t="str">
        <f>+VLOOKUP(H697,Liste!$B$7:$G$50,5,FALSE)</f>
        <v>GS Hêtraies et hêtraies sapinières des Pyrénées</v>
      </c>
      <c r="BJ697" s="135">
        <f t="shared" si="206"/>
        <v>72</v>
      </c>
      <c r="BK697" s="135" t="str">
        <f t="shared" si="208"/>
        <v>Hêtre commun_F1_Entree 19-20m_GS Hêtraies et hêtraies sapinières des Pyrénées_72_</v>
      </c>
      <c r="BL697" s="322"/>
      <c r="BM697" s="13">
        <v>95.243893642662101</v>
      </c>
      <c r="BN697" s="13">
        <v>482.98618367618701</v>
      </c>
      <c r="BO697" s="13" t="s">
        <v>169</v>
      </c>
      <c r="BP697" s="13">
        <v>328.524705421715</v>
      </c>
      <c r="BQ697" s="13">
        <v>15.1404903198304</v>
      </c>
      <c r="BT697" s="298" t="str">
        <f>+VLOOKUP(G697,Liste!$A$7:$H$50,8,FALSE)</f>
        <v>Feuillus</v>
      </c>
      <c r="BU697" s="298">
        <f t="shared" si="209"/>
        <v>1</v>
      </c>
      <c r="BV697" s="300">
        <f t="shared" si="210"/>
        <v>0</v>
      </c>
      <c r="BW697" s="321">
        <v>0</v>
      </c>
      <c r="BX697" s="298">
        <f t="shared" si="211"/>
        <v>0.25</v>
      </c>
      <c r="BY697">
        <f t="shared" si="212"/>
        <v>0</v>
      </c>
      <c r="BZ697" s="304">
        <f t="shared" si="213"/>
        <v>0</v>
      </c>
      <c r="CB697" s="299">
        <v>0.6</v>
      </c>
      <c r="CC697" s="299">
        <v>0.4</v>
      </c>
      <c r="CD697">
        <f t="shared" si="214"/>
        <v>0</v>
      </c>
      <c r="CE697">
        <f t="shared" si="215"/>
        <v>0</v>
      </c>
      <c r="CF697">
        <f t="shared" si="216"/>
        <v>0</v>
      </c>
      <c r="CG697">
        <f t="shared" si="217"/>
        <v>0</v>
      </c>
      <c r="CH697">
        <f t="shared" si="218"/>
        <v>0</v>
      </c>
      <c r="CI697">
        <f t="shared" si="219"/>
        <v>0</v>
      </c>
      <c r="CJ697">
        <f t="shared" si="220"/>
        <v>0</v>
      </c>
      <c r="CK697">
        <f t="shared" si="221"/>
        <v>0</v>
      </c>
      <c r="CL697">
        <f t="shared" si="222"/>
        <v>0</v>
      </c>
      <c r="CM697">
        <f t="shared" si="224"/>
        <v>0</v>
      </c>
      <c r="CN697">
        <f t="shared" si="223"/>
        <v>0</v>
      </c>
      <c r="CO697">
        <f t="shared" si="207"/>
        <v>0</v>
      </c>
    </row>
    <row r="698" spans="1:93" s="12" customFormat="1" x14ac:dyDescent="0.25">
      <c r="A698" s="4">
        <v>2021</v>
      </c>
      <c r="B698" s="318">
        <v>44301</v>
      </c>
      <c r="C698" s="4" t="s">
        <v>66</v>
      </c>
      <c r="D698" s="4" t="s">
        <v>65</v>
      </c>
      <c r="E698" s="4"/>
      <c r="F698" s="4" t="s">
        <v>90</v>
      </c>
      <c r="G698" s="5" t="s">
        <v>427</v>
      </c>
      <c r="H698" s="5" t="s">
        <v>428</v>
      </c>
      <c r="I698" s="5" t="s">
        <v>143</v>
      </c>
      <c r="J698" s="5" t="s">
        <v>9</v>
      </c>
      <c r="K698" s="5">
        <v>22</v>
      </c>
      <c r="L698" s="5">
        <v>55</v>
      </c>
      <c r="M698" s="5">
        <v>1666</v>
      </c>
      <c r="N698" s="5" t="s">
        <v>170</v>
      </c>
      <c r="O698" s="6" t="s">
        <v>81</v>
      </c>
      <c r="P698" s="6" t="s">
        <v>429</v>
      </c>
      <c r="Q698" s="6"/>
      <c r="R698" s="6"/>
      <c r="S698" s="6">
        <v>42</v>
      </c>
      <c r="T698" s="6">
        <v>19.510000000000002</v>
      </c>
      <c r="U698" s="6">
        <v>1402</v>
      </c>
      <c r="V698" s="6">
        <v>28.51</v>
      </c>
      <c r="W698" s="6">
        <v>50</v>
      </c>
      <c r="X698" s="6">
        <v>303</v>
      </c>
      <c r="Y698" s="6">
        <v>595</v>
      </c>
      <c r="Z698" s="6">
        <v>375</v>
      </c>
      <c r="AA698" s="6">
        <v>75</v>
      </c>
      <c r="AB698" s="6">
        <v>4</v>
      </c>
      <c r="AC698" s="7">
        <v>72</v>
      </c>
      <c r="AD698" s="7" t="s">
        <v>53</v>
      </c>
      <c r="AE698" s="7">
        <v>29.51</v>
      </c>
      <c r="AF698" s="7">
        <v>261</v>
      </c>
      <c r="AG698" s="7">
        <v>18.88</v>
      </c>
      <c r="AH698" s="7">
        <v>30.34</v>
      </c>
      <c r="AI698" s="7">
        <v>35.78</v>
      </c>
      <c r="AJ698" s="9">
        <v>254.82470460522401</v>
      </c>
      <c r="AK698" s="9">
        <v>273.32388447795398</v>
      </c>
      <c r="AL698" s="9">
        <v>309.329682477245</v>
      </c>
      <c r="AM698" s="9">
        <v>53.398136227493502</v>
      </c>
      <c r="AN698" s="9">
        <v>0.74164078093740904</v>
      </c>
      <c r="AO698" s="9">
        <v>0.60239388037507002</v>
      </c>
      <c r="AP698" s="9">
        <v>766.89620034401901</v>
      </c>
      <c r="AQ698" s="9">
        <v>10.651336115889199</v>
      </c>
      <c r="AR698" s="9">
        <v>13.161563660579599</v>
      </c>
      <c r="AS698" s="8">
        <v>90</v>
      </c>
      <c r="AT698" s="8">
        <v>5.82</v>
      </c>
      <c r="AU698" s="10">
        <v>28.694277691938368</v>
      </c>
      <c r="AV698" s="10">
        <v>77.707333884679002</v>
      </c>
      <c r="AW698" s="10">
        <v>0.92</v>
      </c>
      <c r="AX698" s="10">
        <v>0.86341482094087785</v>
      </c>
      <c r="AY698" s="10"/>
      <c r="AZ698" s="10"/>
      <c r="BA698" s="10"/>
      <c r="BB698" s="8"/>
      <c r="BC698" s="8"/>
      <c r="BD698" s="8"/>
      <c r="BE698" s="8"/>
      <c r="BF698" s="12">
        <v>0.55000000000000004</v>
      </c>
      <c r="BG698" s="13">
        <v>296.31205833966101</v>
      </c>
      <c r="BH698" s="96" t="str">
        <f>+VLOOKUP(G698,Liste!$A$7:$G$50,3,FALSE)</f>
        <v>Hêtre commun</v>
      </c>
      <c r="BI698" s="96" t="str">
        <f>+VLOOKUP(H698,Liste!$B$7:$G$50,5,FALSE)</f>
        <v>GS Hêtraies et hêtraies sapinières des Pyrénées</v>
      </c>
      <c r="BJ698" s="135">
        <f t="shared" si="206"/>
        <v>72</v>
      </c>
      <c r="BK698" s="135" t="str">
        <f t="shared" si="208"/>
        <v>Hêtre commun_F1_Entree 19-20m_GS Hêtraies et hêtraies sapinières des Pyrénées_72_</v>
      </c>
      <c r="BL698" s="322"/>
      <c r="BM698" s="13">
        <v>75.0996822346751</v>
      </c>
      <c r="BN698" s="13">
        <v>371.41174057433602</v>
      </c>
      <c r="BO698" s="13">
        <v>111.57444310185099</v>
      </c>
      <c r="BP698" s="13">
        <v>328.524705421715</v>
      </c>
      <c r="BQ698" s="13">
        <v>15.1404903198304</v>
      </c>
      <c r="BT698" s="298" t="str">
        <f>+VLOOKUP(G698,Liste!$A$7:$H$50,8,FALSE)</f>
        <v>Feuillus</v>
      </c>
      <c r="BU698" s="298">
        <f t="shared" si="209"/>
        <v>1</v>
      </c>
      <c r="BV698" s="300">
        <f t="shared" si="210"/>
        <v>0</v>
      </c>
      <c r="BW698" s="321">
        <v>0</v>
      </c>
      <c r="BX698" s="298">
        <f t="shared" si="211"/>
        <v>0.25</v>
      </c>
      <c r="BY698">
        <f t="shared" si="212"/>
        <v>0</v>
      </c>
      <c r="BZ698" s="304">
        <f t="shared" si="213"/>
        <v>0</v>
      </c>
      <c r="CB698" s="299">
        <v>0.6</v>
      </c>
      <c r="CC698" s="299">
        <v>0.4</v>
      </c>
      <c r="CD698">
        <f t="shared" si="214"/>
        <v>0</v>
      </c>
      <c r="CE698">
        <f t="shared" si="215"/>
        <v>0</v>
      </c>
      <c r="CF698">
        <f t="shared" si="216"/>
        <v>0</v>
      </c>
      <c r="CG698">
        <f t="shared" si="217"/>
        <v>0</v>
      </c>
      <c r="CH698">
        <f t="shared" si="218"/>
        <v>0</v>
      </c>
      <c r="CI698">
        <f t="shared" si="219"/>
        <v>0</v>
      </c>
      <c r="CJ698">
        <f t="shared" si="220"/>
        <v>0</v>
      </c>
      <c r="CK698">
        <f t="shared" si="221"/>
        <v>0</v>
      </c>
      <c r="CL698">
        <f t="shared" si="222"/>
        <v>0</v>
      </c>
      <c r="CM698">
        <f t="shared" si="224"/>
        <v>0</v>
      </c>
      <c r="CN698">
        <f t="shared" si="223"/>
        <v>0</v>
      </c>
      <c r="CO698">
        <f t="shared" si="207"/>
        <v>0</v>
      </c>
    </row>
    <row r="699" spans="1:93" s="12" customFormat="1" x14ac:dyDescent="0.25">
      <c r="A699" s="4">
        <v>2021</v>
      </c>
      <c r="B699" s="318">
        <v>44301</v>
      </c>
      <c r="C699" s="4" t="s">
        <v>66</v>
      </c>
      <c r="D699" s="4" t="s">
        <v>65</v>
      </c>
      <c r="E699" s="4"/>
      <c r="F699" s="4" t="s">
        <v>90</v>
      </c>
      <c r="G699" s="5" t="s">
        <v>427</v>
      </c>
      <c r="H699" s="5" t="s">
        <v>428</v>
      </c>
      <c r="I699" s="5" t="s">
        <v>143</v>
      </c>
      <c r="J699" s="5" t="s">
        <v>9</v>
      </c>
      <c r="K699" s="5">
        <v>22</v>
      </c>
      <c r="L699" s="5">
        <v>55</v>
      </c>
      <c r="M699" s="5">
        <v>1666</v>
      </c>
      <c r="N699" s="5" t="s">
        <v>170</v>
      </c>
      <c r="O699" s="6" t="s">
        <v>81</v>
      </c>
      <c r="P699" s="6" t="s">
        <v>429</v>
      </c>
      <c r="Q699" s="6"/>
      <c r="R699" s="6"/>
      <c r="S699" s="6">
        <v>42</v>
      </c>
      <c r="T699" s="6">
        <v>19.510000000000002</v>
      </c>
      <c r="U699" s="6">
        <v>1402</v>
      </c>
      <c r="V699" s="6">
        <v>28.51</v>
      </c>
      <c r="W699" s="6">
        <v>50</v>
      </c>
      <c r="X699" s="6">
        <v>303</v>
      </c>
      <c r="Y699" s="6">
        <v>595</v>
      </c>
      <c r="Z699" s="6">
        <v>375</v>
      </c>
      <c r="AA699" s="6">
        <v>75</v>
      </c>
      <c r="AB699" s="6">
        <v>4</v>
      </c>
      <c r="AC699" s="7">
        <v>75</v>
      </c>
      <c r="AD699" s="7" t="s">
        <v>52</v>
      </c>
      <c r="AE699" s="7">
        <v>30.19</v>
      </c>
      <c r="AF699" s="7">
        <v>261</v>
      </c>
      <c r="AG699" s="7">
        <v>20.68</v>
      </c>
      <c r="AH699" s="7">
        <v>31.77</v>
      </c>
      <c r="AI699" s="7">
        <v>37.44</v>
      </c>
      <c r="AJ699" s="9">
        <v>288.58142411443299</v>
      </c>
      <c r="AK699" s="9">
        <v>309.79544372087003</v>
      </c>
      <c r="AL699" s="9">
        <v>348.81437345898399</v>
      </c>
      <c r="AM699" s="9">
        <v>55.2053178686187</v>
      </c>
      <c r="AN699" s="9">
        <v>0.736070904914916</v>
      </c>
      <c r="AO699" s="9">
        <v>0.57693621730815903</v>
      </c>
      <c r="AP699" s="9">
        <v>806.38089132575794</v>
      </c>
      <c r="AQ699" s="9">
        <v>10.751745217676801</v>
      </c>
      <c r="AR699" s="9">
        <v>12.5125619010139</v>
      </c>
      <c r="AS699" s="8" t="s">
        <v>169</v>
      </c>
      <c r="AT699" s="8" t="s">
        <v>169</v>
      </c>
      <c r="AU699" s="10" t="s">
        <v>169</v>
      </c>
      <c r="AV699" s="10">
        <v>0</v>
      </c>
      <c r="AW699" s="8"/>
      <c r="AX699" s="10" t="s">
        <v>169</v>
      </c>
      <c r="AY699" s="10"/>
      <c r="AZ699" s="10"/>
      <c r="BA699" s="10"/>
      <c r="BB699" s="8"/>
      <c r="BC699" s="8"/>
      <c r="BD699" s="8"/>
      <c r="BE699" s="8"/>
      <c r="BF699" s="12">
        <v>0.55000000000000004</v>
      </c>
      <c r="BG699" s="13">
        <v>334.13510190925098</v>
      </c>
      <c r="BH699" s="96" t="str">
        <f>+VLOOKUP(G699,Liste!$A$7:$G$50,3,FALSE)</f>
        <v>Hêtre commun</v>
      </c>
      <c r="BI699" s="96" t="str">
        <f>+VLOOKUP(H699,Liste!$B$7:$G$50,5,FALSE)</f>
        <v>GS Hêtraies et hêtraies sapinières des Pyrénées</v>
      </c>
      <c r="BJ699" s="135">
        <f t="shared" si="206"/>
        <v>75</v>
      </c>
      <c r="BK699" s="135" t="str">
        <f t="shared" si="208"/>
        <v>Hêtre commun_F1_Entree 19-20m_GS Hêtraies et hêtraies sapinières des Pyrénées_75_</v>
      </c>
      <c r="BL699" s="322"/>
      <c r="BM699" s="13">
        <v>83.509900234469995</v>
      </c>
      <c r="BN699" s="13">
        <v>417.645002143721</v>
      </c>
      <c r="BO699" s="13" t="s">
        <v>169</v>
      </c>
      <c r="BP699" s="13">
        <v>328.524705421715</v>
      </c>
      <c r="BQ699" s="13">
        <v>14.380541958436901</v>
      </c>
      <c r="BT699" s="298" t="str">
        <f>+VLOOKUP(G699,Liste!$A$7:$H$50,8,FALSE)</f>
        <v>Feuillus</v>
      </c>
      <c r="BU699" s="298">
        <f t="shared" si="209"/>
        <v>1</v>
      </c>
      <c r="BV699" s="300">
        <f t="shared" si="210"/>
        <v>0</v>
      </c>
      <c r="BW699" s="321">
        <v>0</v>
      </c>
      <c r="BX699" s="298">
        <f t="shared" si="211"/>
        <v>0.25</v>
      </c>
      <c r="BY699">
        <f t="shared" si="212"/>
        <v>0</v>
      </c>
      <c r="BZ699" s="304">
        <f t="shared" si="213"/>
        <v>0</v>
      </c>
      <c r="CB699" s="299">
        <v>0.6</v>
      </c>
      <c r="CC699" s="299">
        <v>0.4</v>
      </c>
      <c r="CD699">
        <f t="shared" si="214"/>
        <v>0</v>
      </c>
      <c r="CE699">
        <f t="shared" si="215"/>
        <v>0</v>
      </c>
      <c r="CF699">
        <f t="shared" si="216"/>
        <v>0</v>
      </c>
      <c r="CG699">
        <f t="shared" si="217"/>
        <v>0</v>
      </c>
      <c r="CH699">
        <f t="shared" si="218"/>
        <v>0</v>
      </c>
      <c r="CI699">
        <f t="shared" si="219"/>
        <v>0</v>
      </c>
      <c r="CJ699">
        <f t="shared" si="220"/>
        <v>0</v>
      </c>
      <c r="CK699">
        <f t="shared" si="221"/>
        <v>0</v>
      </c>
      <c r="CL699">
        <f t="shared" si="222"/>
        <v>0</v>
      </c>
      <c r="CM699">
        <f t="shared" si="224"/>
        <v>0</v>
      </c>
      <c r="CN699">
        <f t="shared" si="223"/>
        <v>0</v>
      </c>
      <c r="CO699">
        <f t="shared" si="207"/>
        <v>0</v>
      </c>
    </row>
    <row r="700" spans="1:93" s="12" customFormat="1" x14ac:dyDescent="0.25">
      <c r="A700" s="4">
        <v>2021</v>
      </c>
      <c r="B700" s="318">
        <v>44301</v>
      </c>
      <c r="C700" s="4" t="s">
        <v>66</v>
      </c>
      <c r="D700" s="4" t="s">
        <v>65</v>
      </c>
      <c r="E700" s="4"/>
      <c r="F700" s="4" t="s">
        <v>90</v>
      </c>
      <c r="G700" s="5" t="s">
        <v>427</v>
      </c>
      <c r="H700" s="5" t="s">
        <v>428</v>
      </c>
      <c r="I700" s="5" t="s">
        <v>143</v>
      </c>
      <c r="J700" s="5" t="s">
        <v>9</v>
      </c>
      <c r="K700" s="5">
        <v>22</v>
      </c>
      <c r="L700" s="5">
        <v>55</v>
      </c>
      <c r="M700" s="5">
        <v>1666</v>
      </c>
      <c r="N700" s="5" t="s">
        <v>170</v>
      </c>
      <c r="O700" s="6" t="s">
        <v>81</v>
      </c>
      <c r="P700" s="6" t="s">
        <v>429</v>
      </c>
      <c r="Q700" s="6"/>
      <c r="R700" s="6"/>
      <c r="S700" s="6">
        <v>42</v>
      </c>
      <c r="T700" s="6">
        <v>19.510000000000002</v>
      </c>
      <c r="U700" s="6">
        <v>1402</v>
      </c>
      <c r="V700" s="6">
        <v>28.51</v>
      </c>
      <c r="W700" s="6">
        <v>50</v>
      </c>
      <c r="X700" s="6">
        <v>303</v>
      </c>
      <c r="Y700" s="6">
        <v>595</v>
      </c>
      <c r="Z700" s="6">
        <v>375</v>
      </c>
      <c r="AA700" s="6">
        <v>75</v>
      </c>
      <c r="AB700" s="6">
        <v>4</v>
      </c>
      <c r="AC700" s="7">
        <v>78</v>
      </c>
      <c r="AD700" s="7" t="s">
        <v>52</v>
      </c>
      <c r="AE700" s="7">
        <v>30.82</v>
      </c>
      <c r="AF700" s="7">
        <v>261</v>
      </c>
      <c r="AG700" s="7">
        <v>22.41</v>
      </c>
      <c r="AH700" s="7">
        <v>33.07</v>
      </c>
      <c r="AI700" s="7">
        <v>38.97</v>
      </c>
      <c r="AJ700" s="9">
        <v>320.42589165118</v>
      </c>
      <c r="AK700" s="9">
        <v>344.42720175166198</v>
      </c>
      <c r="AL700" s="9">
        <v>386.352059162025</v>
      </c>
      <c r="AM700" s="9">
        <v>56.936126520543198</v>
      </c>
      <c r="AN700" s="9">
        <v>0.72995034000696402</v>
      </c>
      <c r="AO700" s="9">
        <v>0.55004347733507997</v>
      </c>
      <c r="AP700" s="9">
        <v>843.91857702879997</v>
      </c>
      <c r="AQ700" s="9">
        <v>10.8194689362667</v>
      </c>
      <c r="AR700" s="9">
        <v>12.1296674425103</v>
      </c>
      <c r="AS700" s="8" t="s">
        <v>169</v>
      </c>
      <c r="AT700" s="8" t="s">
        <v>169</v>
      </c>
      <c r="AU700" s="10" t="s">
        <v>169</v>
      </c>
      <c r="AV700" s="10">
        <v>0</v>
      </c>
      <c r="AW700" s="8"/>
      <c r="AX700" s="10" t="s">
        <v>169</v>
      </c>
      <c r="AY700" s="10"/>
      <c r="AZ700" s="10"/>
      <c r="BA700" s="10"/>
      <c r="BB700" s="8"/>
      <c r="BC700" s="8"/>
      <c r="BD700" s="8"/>
      <c r="BE700" s="8"/>
      <c r="BF700" s="12">
        <v>0.55000000000000004</v>
      </c>
      <c r="BG700" s="13">
        <v>370.09307667229001</v>
      </c>
      <c r="BH700" s="96" t="str">
        <f>+VLOOKUP(G700,Liste!$A$7:$G$50,3,FALSE)</f>
        <v>Hêtre commun</v>
      </c>
      <c r="BI700" s="96" t="str">
        <f>+VLOOKUP(H700,Liste!$B$7:$G$50,5,FALSE)</f>
        <v>GS Hêtraies et hêtraies sapinières des Pyrénées</v>
      </c>
      <c r="BJ700" s="135">
        <f t="shared" si="206"/>
        <v>78</v>
      </c>
      <c r="BK700" s="135" t="str">
        <f t="shared" si="208"/>
        <v>Hêtre commun_F1_Entree 19-20m_GS Hêtraies et hêtraies sapinières des Pyrénées_78_</v>
      </c>
      <c r="BL700" s="322"/>
      <c r="BM700" s="13">
        <v>91.402896931739704</v>
      </c>
      <c r="BN700" s="13">
        <v>461.49597360402998</v>
      </c>
      <c r="BO700" s="13" t="s">
        <v>169</v>
      </c>
      <c r="BP700" s="13">
        <v>328.524705421715</v>
      </c>
      <c r="BQ700" s="13">
        <v>13.928671919142101</v>
      </c>
      <c r="BT700" s="298" t="str">
        <f>+VLOOKUP(G700,Liste!$A$7:$H$50,8,FALSE)</f>
        <v>Feuillus</v>
      </c>
      <c r="BU700" s="298">
        <f t="shared" si="209"/>
        <v>1</v>
      </c>
      <c r="BV700" s="300">
        <f t="shared" si="210"/>
        <v>0</v>
      </c>
      <c r="BW700" s="321">
        <v>0</v>
      </c>
      <c r="BX700" s="298">
        <f t="shared" si="211"/>
        <v>0.25</v>
      </c>
      <c r="BY700">
        <f t="shared" si="212"/>
        <v>0</v>
      </c>
      <c r="BZ700" s="304">
        <f t="shared" si="213"/>
        <v>0</v>
      </c>
      <c r="CB700" s="299">
        <v>0.6</v>
      </c>
      <c r="CC700" s="299">
        <v>0.4</v>
      </c>
      <c r="CD700">
        <f t="shared" si="214"/>
        <v>0</v>
      </c>
      <c r="CE700">
        <f t="shared" si="215"/>
        <v>0</v>
      </c>
      <c r="CF700">
        <f t="shared" si="216"/>
        <v>0</v>
      </c>
      <c r="CG700">
        <f t="shared" si="217"/>
        <v>0</v>
      </c>
      <c r="CH700">
        <f t="shared" si="218"/>
        <v>0</v>
      </c>
      <c r="CI700">
        <f t="shared" si="219"/>
        <v>0</v>
      </c>
      <c r="CJ700">
        <f t="shared" si="220"/>
        <v>0</v>
      </c>
      <c r="CK700">
        <f t="shared" si="221"/>
        <v>0</v>
      </c>
      <c r="CL700">
        <f t="shared" si="222"/>
        <v>0</v>
      </c>
      <c r="CM700">
        <f t="shared" si="224"/>
        <v>0</v>
      </c>
      <c r="CN700">
        <f t="shared" si="223"/>
        <v>0</v>
      </c>
      <c r="CO700">
        <f t="shared" si="207"/>
        <v>0</v>
      </c>
    </row>
    <row r="701" spans="1:93" s="12" customFormat="1" x14ac:dyDescent="0.25">
      <c r="A701" s="4">
        <v>2021</v>
      </c>
      <c r="B701" s="318">
        <v>44301</v>
      </c>
      <c r="C701" s="4" t="s">
        <v>66</v>
      </c>
      <c r="D701" s="4" t="s">
        <v>65</v>
      </c>
      <c r="E701" s="4"/>
      <c r="F701" s="4" t="s">
        <v>90</v>
      </c>
      <c r="G701" s="5" t="s">
        <v>427</v>
      </c>
      <c r="H701" s="5" t="s">
        <v>428</v>
      </c>
      <c r="I701" s="5" t="s">
        <v>143</v>
      </c>
      <c r="J701" s="5" t="s">
        <v>9</v>
      </c>
      <c r="K701" s="5">
        <v>22</v>
      </c>
      <c r="L701" s="5">
        <v>55</v>
      </c>
      <c r="M701" s="5">
        <v>1666</v>
      </c>
      <c r="N701" s="5" t="s">
        <v>170</v>
      </c>
      <c r="O701" s="6" t="s">
        <v>81</v>
      </c>
      <c r="P701" s="6" t="s">
        <v>429</v>
      </c>
      <c r="Q701" s="6"/>
      <c r="R701" s="6"/>
      <c r="S701" s="6">
        <v>42</v>
      </c>
      <c r="T701" s="6">
        <v>19.510000000000002</v>
      </c>
      <c r="U701" s="6">
        <v>1402</v>
      </c>
      <c r="V701" s="6">
        <v>28.51</v>
      </c>
      <c r="W701" s="6">
        <v>50</v>
      </c>
      <c r="X701" s="6">
        <v>303</v>
      </c>
      <c r="Y701" s="6">
        <v>595</v>
      </c>
      <c r="Z701" s="6">
        <v>375</v>
      </c>
      <c r="AA701" s="6">
        <v>75</v>
      </c>
      <c r="AB701" s="6">
        <v>4</v>
      </c>
      <c r="AC701" s="7">
        <v>81</v>
      </c>
      <c r="AD701" s="7" t="s">
        <v>52</v>
      </c>
      <c r="AE701" s="7">
        <v>31.42</v>
      </c>
      <c r="AF701" s="7">
        <v>261</v>
      </c>
      <c r="AG701" s="7">
        <v>24.06</v>
      </c>
      <c r="AH701" s="7">
        <v>34.26</v>
      </c>
      <c r="AI701" s="7">
        <v>40.380000000000003</v>
      </c>
      <c r="AJ701" s="9">
        <v>351.29467264030501</v>
      </c>
      <c r="AK701" s="9">
        <v>378.04841075493999</v>
      </c>
      <c r="AL701" s="9">
        <v>422.74106148955599</v>
      </c>
      <c r="AM701" s="9">
        <v>58.586256952548403</v>
      </c>
      <c r="AN701" s="9">
        <v>0.72328712287096797</v>
      </c>
      <c r="AO701" s="9">
        <v>0.51581072290415397</v>
      </c>
      <c r="AP701" s="9">
        <v>880.30757935633096</v>
      </c>
      <c r="AQ701" s="9">
        <v>10.8679948068683</v>
      </c>
      <c r="AR701" s="9">
        <v>11.7375794130239</v>
      </c>
      <c r="AS701" s="8" t="s">
        <v>169</v>
      </c>
      <c r="AT701" s="8" t="s">
        <v>169</v>
      </c>
      <c r="AU701" s="10" t="s">
        <v>169</v>
      </c>
      <c r="AV701" s="10">
        <v>0</v>
      </c>
      <c r="AW701" s="8"/>
      <c r="AX701" s="10" t="s">
        <v>169</v>
      </c>
      <c r="AY701" s="10"/>
      <c r="AZ701" s="10"/>
      <c r="BA701" s="10"/>
      <c r="BB701" s="8"/>
      <c r="BC701" s="8"/>
      <c r="BD701" s="8"/>
      <c r="BE701" s="8"/>
      <c r="BF701" s="12">
        <v>0.55000000000000004</v>
      </c>
      <c r="BG701" s="13">
        <v>404.95070848520402</v>
      </c>
      <c r="BH701" s="96" t="str">
        <f>+VLOOKUP(G701,Liste!$A$7:$G$50,3,FALSE)</f>
        <v>Hêtre commun</v>
      </c>
      <c r="BI701" s="96" t="str">
        <f>+VLOOKUP(H701,Liste!$B$7:$G$50,5,FALSE)</f>
        <v>GS Hêtraies et hêtraies sapinières des Pyrénées</v>
      </c>
      <c r="BJ701" s="135">
        <f t="shared" si="206"/>
        <v>81</v>
      </c>
      <c r="BK701" s="135" t="str">
        <f t="shared" si="208"/>
        <v>Hêtre commun_F1_Entree 19-20m_GS Hêtraies et hêtraies sapinières des Pyrénées_81_</v>
      </c>
      <c r="BL701" s="322"/>
      <c r="BM701" s="13">
        <v>98.969402164946203</v>
      </c>
      <c r="BN701" s="13">
        <v>503.92011065014998</v>
      </c>
      <c r="BO701" s="13" t="s">
        <v>169</v>
      </c>
      <c r="BP701" s="13">
        <v>328.524705421715</v>
      </c>
      <c r="BQ701" s="13">
        <v>13.4678694868724</v>
      </c>
      <c r="BT701" s="298" t="str">
        <f>+VLOOKUP(G701,Liste!$A$7:$H$50,8,FALSE)</f>
        <v>Feuillus</v>
      </c>
      <c r="BU701" s="298">
        <f t="shared" si="209"/>
        <v>1</v>
      </c>
      <c r="BV701" s="300">
        <f t="shared" si="210"/>
        <v>0</v>
      </c>
      <c r="BW701" s="321">
        <v>0</v>
      </c>
      <c r="BX701" s="298">
        <f t="shared" si="211"/>
        <v>0.25</v>
      </c>
      <c r="BY701">
        <f t="shared" si="212"/>
        <v>0</v>
      </c>
      <c r="BZ701" s="304">
        <f t="shared" si="213"/>
        <v>0</v>
      </c>
      <c r="CB701" s="299">
        <v>0.6</v>
      </c>
      <c r="CC701" s="299">
        <v>0.4</v>
      </c>
      <c r="CD701">
        <f t="shared" si="214"/>
        <v>0</v>
      </c>
      <c r="CE701">
        <f t="shared" si="215"/>
        <v>0</v>
      </c>
      <c r="CF701">
        <f t="shared" si="216"/>
        <v>0</v>
      </c>
      <c r="CG701">
        <f t="shared" si="217"/>
        <v>0</v>
      </c>
      <c r="CH701">
        <f t="shared" si="218"/>
        <v>0</v>
      </c>
      <c r="CI701">
        <f t="shared" si="219"/>
        <v>0</v>
      </c>
      <c r="CJ701">
        <f t="shared" si="220"/>
        <v>0</v>
      </c>
      <c r="CK701">
        <f t="shared" si="221"/>
        <v>0</v>
      </c>
      <c r="CL701">
        <f t="shared" si="222"/>
        <v>0</v>
      </c>
      <c r="CM701">
        <f t="shared" si="224"/>
        <v>0</v>
      </c>
      <c r="CN701">
        <f t="shared" si="223"/>
        <v>0</v>
      </c>
      <c r="CO701">
        <f t="shared" si="207"/>
        <v>0</v>
      </c>
    </row>
    <row r="702" spans="1:93" s="12" customFormat="1" x14ac:dyDescent="0.25">
      <c r="A702" s="4">
        <v>2021</v>
      </c>
      <c r="B702" s="318">
        <v>44301</v>
      </c>
      <c r="C702" s="4" t="s">
        <v>66</v>
      </c>
      <c r="D702" s="4" t="s">
        <v>65</v>
      </c>
      <c r="E702" s="4"/>
      <c r="F702" s="4" t="s">
        <v>90</v>
      </c>
      <c r="G702" s="5" t="s">
        <v>427</v>
      </c>
      <c r="H702" s="5" t="s">
        <v>428</v>
      </c>
      <c r="I702" s="5" t="s">
        <v>143</v>
      </c>
      <c r="J702" s="5" t="s">
        <v>9</v>
      </c>
      <c r="K702" s="5">
        <v>22</v>
      </c>
      <c r="L702" s="5">
        <v>55</v>
      </c>
      <c r="M702" s="5">
        <v>1666</v>
      </c>
      <c r="N702" s="5" t="s">
        <v>170</v>
      </c>
      <c r="O702" s="6" t="s">
        <v>81</v>
      </c>
      <c r="P702" s="6" t="s">
        <v>429</v>
      </c>
      <c r="Q702" s="6"/>
      <c r="R702" s="6"/>
      <c r="S702" s="6">
        <v>42</v>
      </c>
      <c r="T702" s="6">
        <v>19.510000000000002</v>
      </c>
      <c r="U702" s="6">
        <v>1402</v>
      </c>
      <c r="V702" s="6">
        <v>28.51</v>
      </c>
      <c r="W702" s="6">
        <v>50</v>
      </c>
      <c r="X702" s="6">
        <v>303</v>
      </c>
      <c r="Y702" s="6">
        <v>595</v>
      </c>
      <c r="Z702" s="6">
        <v>375</v>
      </c>
      <c r="AA702" s="6">
        <v>75</v>
      </c>
      <c r="AB702" s="6">
        <v>4</v>
      </c>
      <c r="AC702" s="7">
        <v>81</v>
      </c>
      <c r="AD702" s="7" t="s">
        <v>53</v>
      </c>
      <c r="AE702" s="7">
        <v>31.42</v>
      </c>
      <c r="AF702" s="7">
        <v>190</v>
      </c>
      <c r="AG702" s="7">
        <v>18.72</v>
      </c>
      <c r="AH702" s="7">
        <v>35.42</v>
      </c>
      <c r="AI702" s="7">
        <v>38.880000000000003</v>
      </c>
      <c r="AJ702" s="9">
        <v>274.935195280882</v>
      </c>
      <c r="AK702" s="9">
        <v>295.89558693706499</v>
      </c>
      <c r="AL702" s="9">
        <v>330.47262529310001</v>
      </c>
      <c r="AM702" s="9">
        <v>58.586256952548403</v>
      </c>
      <c r="AN702" s="9">
        <v>0.72328712287096797</v>
      </c>
      <c r="AO702" s="9">
        <v>0.51581072290415397</v>
      </c>
      <c r="AP702" s="9">
        <v>880.30757935633096</v>
      </c>
      <c r="AQ702" s="9">
        <v>10.8679948068683</v>
      </c>
      <c r="AR702" s="9">
        <v>11.7375794130239</v>
      </c>
      <c r="AS702" s="8">
        <v>71</v>
      </c>
      <c r="AT702" s="8">
        <v>5.34</v>
      </c>
      <c r="AU702" s="10">
        <v>30.945429408097034</v>
      </c>
      <c r="AV702" s="10">
        <v>76.359477359423011</v>
      </c>
      <c r="AW702" s="10">
        <v>0.82</v>
      </c>
      <c r="AX702" s="10">
        <v>1.0754855966115917</v>
      </c>
      <c r="AY702" s="10"/>
      <c r="AZ702" s="10"/>
      <c r="BA702" s="10"/>
      <c r="BB702" s="8"/>
      <c r="BC702" s="8"/>
      <c r="BD702" s="8"/>
      <c r="BE702" s="8"/>
      <c r="BF702" s="12">
        <v>0.55000000000000004</v>
      </c>
      <c r="BG702" s="13">
        <v>316.56523564534899</v>
      </c>
      <c r="BH702" s="96" t="str">
        <f>+VLOOKUP(G702,Liste!$A$7:$G$50,3,FALSE)</f>
        <v>Hêtre commun</v>
      </c>
      <c r="BI702" s="96" t="str">
        <f>+VLOOKUP(H702,Liste!$B$7:$G$50,5,FALSE)</f>
        <v>GS Hêtraies et hêtraies sapinières des Pyrénées</v>
      </c>
      <c r="BJ702" s="135">
        <f t="shared" si="206"/>
        <v>81</v>
      </c>
      <c r="BK702" s="135" t="str">
        <f t="shared" si="208"/>
        <v>Hêtre commun_F1_Entree 19-20m_GS Hêtraies et hêtraies sapinières des Pyrénées_81_</v>
      </c>
      <c r="BL702" s="322"/>
      <c r="BM702" s="13">
        <v>79.617712701512602</v>
      </c>
      <c r="BN702" s="13">
        <v>396.182948346861</v>
      </c>
      <c r="BO702" s="13">
        <v>107.73716230328898</v>
      </c>
      <c r="BP702" s="13">
        <v>328.524705421715</v>
      </c>
      <c r="BQ702" s="13">
        <v>13.4678694868724</v>
      </c>
      <c r="BT702" s="298" t="str">
        <f>+VLOOKUP(G702,Liste!$A$7:$H$50,8,FALSE)</f>
        <v>Feuillus</v>
      </c>
      <c r="BU702" s="298">
        <f t="shared" si="209"/>
        <v>1</v>
      </c>
      <c r="BV702" s="300">
        <f t="shared" si="210"/>
        <v>0</v>
      </c>
      <c r="BW702" s="321">
        <v>0</v>
      </c>
      <c r="BX702" s="298">
        <f t="shared" si="211"/>
        <v>0.25</v>
      </c>
      <c r="BY702">
        <f t="shared" si="212"/>
        <v>0</v>
      </c>
      <c r="BZ702" s="304">
        <f t="shared" si="213"/>
        <v>0</v>
      </c>
      <c r="CB702" s="299">
        <v>0.6</v>
      </c>
      <c r="CC702" s="299">
        <v>0.4</v>
      </c>
      <c r="CD702">
        <f t="shared" si="214"/>
        <v>0</v>
      </c>
      <c r="CE702">
        <f t="shared" si="215"/>
        <v>0</v>
      </c>
      <c r="CF702">
        <f t="shared" si="216"/>
        <v>0</v>
      </c>
      <c r="CG702">
        <f t="shared" si="217"/>
        <v>0</v>
      </c>
      <c r="CH702">
        <f t="shared" si="218"/>
        <v>0</v>
      </c>
      <c r="CI702">
        <f t="shared" si="219"/>
        <v>0</v>
      </c>
      <c r="CJ702">
        <f t="shared" si="220"/>
        <v>0</v>
      </c>
      <c r="CK702">
        <f t="shared" si="221"/>
        <v>0</v>
      </c>
      <c r="CL702">
        <f t="shared" si="222"/>
        <v>0</v>
      </c>
      <c r="CM702">
        <f t="shared" si="224"/>
        <v>0</v>
      </c>
      <c r="CN702">
        <f t="shared" si="223"/>
        <v>0</v>
      </c>
      <c r="CO702">
        <f t="shared" si="207"/>
        <v>0</v>
      </c>
    </row>
    <row r="703" spans="1:93" s="12" customFormat="1" x14ac:dyDescent="0.25">
      <c r="A703" s="4">
        <v>2021</v>
      </c>
      <c r="B703" s="318">
        <v>44301</v>
      </c>
      <c r="C703" s="4" t="s">
        <v>66</v>
      </c>
      <c r="D703" s="4" t="s">
        <v>65</v>
      </c>
      <c r="E703" s="4"/>
      <c r="F703" s="4" t="s">
        <v>90</v>
      </c>
      <c r="G703" s="5" t="s">
        <v>427</v>
      </c>
      <c r="H703" s="5" t="s">
        <v>428</v>
      </c>
      <c r="I703" s="5" t="s">
        <v>143</v>
      </c>
      <c r="J703" s="5" t="s">
        <v>9</v>
      </c>
      <c r="K703" s="5">
        <v>22</v>
      </c>
      <c r="L703" s="5">
        <v>55</v>
      </c>
      <c r="M703" s="5">
        <v>1666</v>
      </c>
      <c r="N703" s="5" t="s">
        <v>170</v>
      </c>
      <c r="O703" s="6" t="s">
        <v>81</v>
      </c>
      <c r="P703" s="6" t="s">
        <v>429</v>
      </c>
      <c r="Q703" s="6"/>
      <c r="R703" s="6"/>
      <c r="S703" s="6">
        <v>42</v>
      </c>
      <c r="T703" s="6">
        <v>19.510000000000002</v>
      </c>
      <c r="U703" s="6">
        <v>1402</v>
      </c>
      <c r="V703" s="6">
        <v>28.51</v>
      </c>
      <c r="W703" s="6">
        <v>50</v>
      </c>
      <c r="X703" s="6">
        <v>303</v>
      </c>
      <c r="Y703" s="6">
        <v>595</v>
      </c>
      <c r="Z703" s="6">
        <v>375</v>
      </c>
      <c r="AA703" s="6">
        <v>75</v>
      </c>
      <c r="AB703" s="6">
        <v>4</v>
      </c>
      <c r="AC703" s="7">
        <v>84</v>
      </c>
      <c r="AD703" s="7" t="s">
        <v>52</v>
      </c>
      <c r="AE703" s="7">
        <v>31.98</v>
      </c>
      <c r="AF703" s="7">
        <v>190</v>
      </c>
      <c r="AG703" s="7">
        <v>20.260000000000002</v>
      </c>
      <c r="AH703" s="7">
        <v>36.85</v>
      </c>
      <c r="AI703" s="7">
        <v>40.43</v>
      </c>
      <c r="AJ703" s="9">
        <v>304.93733446171302</v>
      </c>
      <c r="AK703" s="9">
        <v>328.527481304925</v>
      </c>
      <c r="AL703" s="9">
        <v>365.685363532172</v>
      </c>
      <c r="AM703" s="9">
        <v>60.1336891212609</v>
      </c>
      <c r="AN703" s="9">
        <v>0.71587725144358205</v>
      </c>
      <c r="AO703" s="9">
        <v>0.496071185199781</v>
      </c>
      <c r="AP703" s="9">
        <v>915.52031759540296</v>
      </c>
      <c r="AQ703" s="9">
        <v>10.8990513999453</v>
      </c>
      <c r="AR703" s="9">
        <v>11.1348966109404</v>
      </c>
      <c r="AS703" s="8" t="s">
        <v>169</v>
      </c>
      <c r="AT703" s="8" t="s">
        <v>169</v>
      </c>
      <c r="AU703" s="10" t="s">
        <v>169</v>
      </c>
      <c r="AV703" s="10">
        <v>0</v>
      </c>
      <c r="AW703" s="8"/>
      <c r="AX703" s="10" t="s">
        <v>169</v>
      </c>
      <c r="AY703" s="10"/>
      <c r="AZ703" s="10"/>
      <c r="BA703" s="10"/>
      <c r="BB703" s="8"/>
      <c r="BC703" s="8"/>
      <c r="BD703" s="8"/>
      <c r="BE703" s="8"/>
      <c r="BF703" s="12">
        <v>0.55000000000000004</v>
      </c>
      <c r="BG703" s="13">
        <v>350.29610448352599</v>
      </c>
      <c r="BH703" s="96" t="str">
        <f>+VLOOKUP(G703,Liste!$A$7:$G$50,3,FALSE)</f>
        <v>Hêtre commun</v>
      </c>
      <c r="BI703" s="96" t="str">
        <f>+VLOOKUP(H703,Liste!$B$7:$G$50,5,FALSE)</f>
        <v>GS Hêtraies et hêtraies sapinières des Pyrénées</v>
      </c>
      <c r="BJ703" s="135">
        <f t="shared" si="206"/>
        <v>84</v>
      </c>
      <c r="BK703" s="135" t="str">
        <f t="shared" si="208"/>
        <v>Hêtre commun_F1_Entree 19-20m_GS Hêtraies et hêtraies sapinières des Pyrénées_84_</v>
      </c>
      <c r="BL703" s="322"/>
      <c r="BM703" s="13">
        <v>87.068975315267807</v>
      </c>
      <c r="BN703" s="13">
        <v>437.365079798794</v>
      </c>
      <c r="BO703" s="13" t="s">
        <v>169</v>
      </c>
      <c r="BP703" s="13">
        <v>328.524705421715</v>
      </c>
      <c r="BQ703" s="13">
        <v>12.7671499499902</v>
      </c>
      <c r="BT703" s="298" t="str">
        <f>+VLOOKUP(G703,Liste!$A$7:$H$50,8,FALSE)</f>
        <v>Feuillus</v>
      </c>
      <c r="BU703" s="298">
        <f t="shared" si="209"/>
        <v>1</v>
      </c>
      <c r="BV703" s="300">
        <f t="shared" si="210"/>
        <v>0</v>
      </c>
      <c r="BW703" s="321">
        <v>0</v>
      </c>
      <c r="BX703" s="298">
        <f t="shared" si="211"/>
        <v>0.25</v>
      </c>
      <c r="BY703">
        <f t="shared" si="212"/>
        <v>0</v>
      </c>
      <c r="BZ703" s="304">
        <f t="shared" si="213"/>
        <v>0</v>
      </c>
      <c r="CB703" s="299">
        <v>0.6</v>
      </c>
      <c r="CC703" s="299">
        <v>0.4</v>
      </c>
      <c r="CD703">
        <f t="shared" si="214"/>
        <v>0</v>
      </c>
      <c r="CE703">
        <f t="shared" si="215"/>
        <v>0</v>
      </c>
      <c r="CF703">
        <f t="shared" si="216"/>
        <v>0</v>
      </c>
      <c r="CG703">
        <f t="shared" si="217"/>
        <v>0</v>
      </c>
      <c r="CH703">
        <f t="shared" si="218"/>
        <v>0</v>
      </c>
      <c r="CI703">
        <f t="shared" si="219"/>
        <v>0</v>
      </c>
      <c r="CJ703">
        <f t="shared" si="220"/>
        <v>0</v>
      </c>
      <c r="CK703">
        <f t="shared" si="221"/>
        <v>0</v>
      </c>
      <c r="CL703">
        <f t="shared" si="222"/>
        <v>0</v>
      </c>
      <c r="CM703">
        <f t="shared" si="224"/>
        <v>0</v>
      </c>
      <c r="CN703">
        <f t="shared" si="223"/>
        <v>0</v>
      </c>
      <c r="CO703">
        <f t="shared" si="207"/>
        <v>0</v>
      </c>
    </row>
    <row r="704" spans="1:93" s="12" customFormat="1" x14ac:dyDescent="0.25">
      <c r="A704" s="4">
        <v>2021</v>
      </c>
      <c r="B704" s="318">
        <v>44301</v>
      </c>
      <c r="C704" s="4" t="s">
        <v>66</v>
      </c>
      <c r="D704" s="4" t="s">
        <v>65</v>
      </c>
      <c r="E704" s="4"/>
      <c r="F704" s="4" t="s">
        <v>90</v>
      </c>
      <c r="G704" s="5" t="s">
        <v>427</v>
      </c>
      <c r="H704" s="5" t="s">
        <v>428</v>
      </c>
      <c r="I704" s="5" t="s">
        <v>143</v>
      </c>
      <c r="J704" s="5" t="s">
        <v>9</v>
      </c>
      <c r="K704" s="5">
        <v>22</v>
      </c>
      <c r="L704" s="5">
        <v>55</v>
      </c>
      <c r="M704" s="5">
        <v>1666</v>
      </c>
      <c r="N704" s="5" t="s">
        <v>170</v>
      </c>
      <c r="O704" s="6" t="s">
        <v>81</v>
      </c>
      <c r="P704" s="6" t="s">
        <v>429</v>
      </c>
      <c r="Q704" s="6"/>
      <c r="R704" s="6"/>
      <c r="S704" s="6">
        <v>42</v>
      </c>
      <c r="T704" s="6">
        <v>19.510000000000002</v>
      </c>
      <c r="U704" s="6">
        <v>1402</v>
      </c>
      <c r="V704" s="6">
        <v>28.51</v>
      </c>
      <c r="W704" s="6">
        <v>50</v>
      </c>
      <c r="X704" s="6">
        <v>303</v>
      </c>
      <c r="Y704" s="6">
        <v>595</v>
      </c>
      <c r="Z704" s="6">
        <v>375</v>
      </c>
      <c r="AA704" s="6">
        <v>75</v>
      </c>
      <c r="AB704" s="6">
        <v>4</v>
      </c>
      <c r="AC704" s="7">
        <v>87</v>
      </c>
      <c r="AD704" s="7" t="s">
        <v>52</v>
      </c>
      <c r="AE704" s="7">
        <v>32.5</v>
      </c>
      <c r="AF704" s="7">
        <v>190</v>
      </c>
      <c r="AG704" s="7">
        <v>21.75</v>
      </c>
      <c r="AH704" s="7">
        <v>38.18</v>
      </c>
      <c r="AI704" s="7">
        <v>41.87</v>
      </c>
      <c r="AJ704" s="9">
        <v>333.14703356706798</v>
      </c>
      <c r="AK704" s="9">
        <v>359.42672277939101</v>
      </c>
      <c r="AL704" s="9">
        <v>399.09005336499303</v>
      </c>
      <c r="AM704" s="9">
        <v>61.621902676860202</v>
      </c>
      <c r="AN704" s="9">
        <v>0.70829773191793399</v>
      </c>
      <c r="AO704" s="9">
        <v>0.47483119142812302</v>
      </c>
      <c r="AP704" s="9">
        <v>948.92500742822403</v>
      </c>
      <c r="AQ704" s="9">
        <v>10.9071839934279</v>
      </c>
      <c r="AR704" s="9">
        <v>10.954191733702</v>
      </c>
      <c r="AS704" s="8" t="s">
        <v>169</v>
      </c>
      <c r="AT704" s="8" t="s">
        <v>169</v>
      </c>
      <c r="AU704" s="10" t="s">
        <v>169</v>
      </c>
      <c r="AV704" s="10">
        <v>0</v>
      </c>
      <c r="AW704" s="8"/>
      <c r="AX704" s="10" t="s">
        <v>169</v>
      </c>
      <c r="AY704" s="10"/>
      <c r="AZ704" s="10"/>
      <c r="BA704" s="10"/>
      <c r="BB704" s="8"/>
      <c r="BC704" s="8"/>
      <c r="BD704" s="8"/>
      <c r="BE704" s="8"/>
      <c r="BF704" s="12">
        <v>0.55000000000000004</v>
      </c>
      <c r="BG704" s="13">
        <v>382.29501361921598</v>
      </c>
      <c r="BH704" s="96" t="str">
        <f>+VLOOKUP(G704,Liste!$A$7:$G$50,3,FALSE)</f>
        <v>Hêtre commun</v>
      </c>
      <c r="BI704" s="96" t="str">
        <f>+VLOOKUP(H704,Liste!$B$7:$G$50,5,FALSE)</f>
        <v>GS Hêtraies et hêtraies sapinières des Pyrénées</v>
      </c>
      <c r="BJ704" s="135">
        <f t="shared" si="206"/>
        <v>87</v>
      </c>
      <c r="BK704" s="135" t="str">
        <f t="shared" si="208"/>
        <v>Hêtre commun_F1_Entree 19-20m_GS Hêtraies et hêtraies sapinières des Pyrénées_87_</v>
      </c>
      <c r="BL704" s="322"/>
      <c r="BM704" s="13">
        <v>94.060618042995898</v>
      </c>
      <c r="BN704" s="13">
        <v>476.35563166221198</v>
      </c>
      <c r="BO704" s="13" t="s">
        <v>169</v>
      </c>
      <c r="BP704" s="13">
        <v>328.524705421715</v>
      </c>
      <c r="BQ704" s="13">
        <v>12.551569343463701</v>
      </c>
      <c r="BT704" s="298" t="str">
        <f>+VLOOKUP(G704,Liste!$A$7:$H$50,8,FALSE)</f>
        <v>Feuillus</v>
      </c>
      <c r="BU704" s="298">
        <f t="shared" si="209"/>
        <v>1</v>
      </c>
      <c r="BV704" s="300">
        <f t="shared" si="210"/>
        <v>0</v>
      </c>
      <c r="BW704" s="321">
        <v>0</v>
      </c>
      <c r="BX704" s="298">
        <f t="shared" si="211"/>
        <v>0.25</v>
      </c>
      <c r="BY704">
        <f t="shared" si="212"/>
        <v>0</v>
      </c>
      <c r="BZ704" s="304">
        <f t="shared" si="213"/>
        <v>0</v>
      </c>
      <c r="CB704" s="299">
        <v>0.6</v>
      </c>
      <c r="CC704" s="299">
        <v>0.4</v>
      </c>
      <c r="CD704">
        <f t="shared" si="214"/>
        <v>0</v>
      </c>
      <c r="CE704">
        <f t="shared" si="215"/>
        <v>0</v>
      </c>
      <c r="CF704">
        <f t="shared" si="216"/>
        <v>0</v>
      </c>
      <c r="CG704">
        <f t="shared" si="217"/>
        <v>0</v>
      </c>
      <c r="CH704">
        <f t="shared" si="218"/>
        <v>0</v>
      </c>
      <c r="CI704">
        <f t="shared" si="219"/>
        <v>0</v>
      </c>
      <c r="CJ704">
        <f t="shared" si="220"/>
        <v>0</v>
      </c>
      <c r="CK704">
        <f t="shared" si="221"/>
        <v>0</v>
      </c>
      <c r="CL704">
        <f t="shared" si="222"/>
        <v>0</v>
      </c>
      <c r="CM704">
        <f t="shared" si="224"/>
        <v>0</v>
      </c>
      <c r="CN704">
        <f t="shared" si="223"/>
        <v>0</v>
      </c>
      <c r="CO704">
        <f t="shared" si="207"/>
        <v>0</v>
      </c>
    </row>
    <row r="705" spans="1:93" s="12" customFormat="1" x14ac:dyDescent="0.25">
      <c r="A705" s="4">
        <v>2021</v>
      </c>
      <c r="B705" s="318">
        <v>44301</v>
      </c>
      <c r="C705" s="4" t="s">
        <v>66</v>
      </c>
      <c r="D705" s="4" t="s">
        <v>65</v>
      </c>
      <c r="E705" s="4"/>
      <c r="F705" s="4" t="s">
        <v>90</v>
      </c>
      <c r="G705" s="5" t="s">
        <v>427</v>
      </c>
      <c r="H705" s="5" t="s">
        <v>428</v>
      </c>
      <c r="I705" s="5" t="s">
        <v>143</v>
      </c>
      <c r="J705" s="5" t="s">
        <v>9</v>
      </c>
      <c r="K705" s="5">
        <v>22</v>
      </c>
      <c r="L705" s="5">
        <v>55</v>
      </c>
      <c r="M705" s="5">
        <v>1666</v>
      </c>
      <c r="N705" s="5" t="s">
        <v>170</v>
      </c>
      <c r="O705" s="6" t="s">
        <v>81</v>
      </c>
      <c r="P705" s="6" t="s">
        <v>429</v>
      </c>
      <c r="Q705" s="6"/>
      <c r="R705" s="6"/>
      <c r="S705" s="6">
        <v>42</v>
      </c>
      <c r="T705" s="6">
        <v>19.510000000000002</v>
      </c>
      <c r="U705" s="6">
        <v>1402</v>
      </c>
      <c r="V705" s="6">
        <v>28.51</v>
      </c>
      <c r="W705" s="6">
        <v>50</v>
      </c>
      <c r="X705" s="6">
        <v>303</v>
      </c>
      <c r="Y705" s="6">
        <v>595</v>
      </c>
      <c r="Z705" s="6">
        <v>375</v>
      </c>
      <c r="AA705" s="6">
        <v>75</v>
      </c>
      <c r="AB705" s="6">
        <v>4</v>
      </c>
      <c r="AC705" s="7">
        <v>90</v>
      </c>
      <c r="AD705" s="7" t="s">
        <v>52</v>
      </c>
      <c r="AE705" s="7">
        <v>32.99</v>
      </c>
      <c r="AF705" s="7">
        <v>190</v>
      </c>
      <c r="AG705" s="7">
        <v>23.18</v>
      </c>
      <c r="AH705" s="7">
        <v>39.409999999999997</v>
      </c>
      <c r="AI705" s="7">
        <v>43.22</v>
      </c>
      <c r="AJ705" s="9">
        <v>361.010544180929</v>
      </c>
      <c r="AK705" s="9">
        <v>389.905941149</v>
      </c>
      <c r="AL705" s="9">
        <v>431.95262856609901</v>
      </c>
      <c r="AM705" s="9">
        <v>63.0463962511446</v>
      </c>
      <c r="AN705" s="9">
        <v>0.70051551390160605</v>
      </c>
      <c r="AO705" s="9">
        <v>0.44270343235679799</v>
      </c>
      <c r="AP705" s="9">
        <v>981.78758262933002</v>
      </c>
      <c r="AQ705" s="9">
        <v>10.908750918103699</v>
      </c>
      <c r="AR705" s="9">
        <v>10.175155434895</v>
      </c>
      <c r="AS705" s="8" t="s">
        <v>169</v>
      </c>
      <c r="AT705" s="8" t="s">
        <v>169</v>
      </c>
      <c r="AU705" s="10" t="s">
        <v>169</v>
      </c>
      <c r="AV705" s="10">
        <v>0</v>
      </c>
      <c r="AW705" s="8"/>
      <c r="AX705" s="10" t="s">
        <v>169</v>
      </c>
      <c r="AY705" s="10"/>
      <c r="AZ705" s="10"/>
      <c r="BA705" s="10"/>
      <c r="BB705" s="8"/>
      <c r="BC705" s="8"/>
      <c r="BD705" s="8"/>
      <c r="BE705" s="8"/>
      <c r="BF705" s="12">
        <v>0.55000000000000004</v>
      </c>
      <c r="BG705" s="13">
        <v>413.77462211394197</v>
      </c>
      <c r="BH705" s="96" t="str">
        <f>+VLOOKUP(G705,Liste!$A$7:$G$50,3,FALSE)</f>
        <v>Hêtre commun</v>
      </c>
      <c r="BI705" s="96" t="str">
        <f>+VLOOKUP(H705,Liste!$B$7:$G$50,5,FALSE)</f>
        <v>GS Hêtraies et hêtraies sapinières des Pyrénées</v>
      </c>
      <c r="BJ705" s="135">
        <f t="shared" si="206"/>
        <v>90</v>
      </c>
      <c r="BK705" s="135" t="str">
        <f t="shared" si="208"/>
        <v>Hêtre commun_F1_Entree 19-20m_GS Hêtraies et hêtraies sapinières des Pyrénées_90_</v>
      </c>
      <c r="BL705" s="322"/>
      <c r="BM705" s="13">
        <v>100.872534751788</v>
      </c>
      <c r="BN705" s="13">
        <v>514.64715686573004</v>
      </c>
      <c r="BO705" s="13" t="s">
        <v>169</v>
      </c>
      <c r="BP705" s="13">
        <v>328.524705421715</v>
      </c>
      <c r="BQ705" s="13">
        <v>11.6517531308975</v>
      </c>
      <c r="BT705" s="298" t="str">
        <f>+VLOOKUP(G705,Liste!$A$7:$H$50,8,FALSE)</f>
        <v>Feuillus</v>
      </c>
      <c r="BU705" s="298">
        <f t="shared" si="209"/>
        <v>1</v>
      </c>
      <c r="BV705" s="300">
        <f t="shared" si="210"/>
        <v>0</v>
      </c>
      <c r="BW705" s="321">
        <v>0</v>
      </c>
      <c r="BX705" s="298">
        <f t="shared" si="211"/>
        <v>0.25</v>
      </c>
      <c r="BY705">
        <f t="shared" si="212"/>
        <v>0</v>
      </c>
      <c r="BZ705" s="304">
        <f t="shared" si="213"/>
        <v>0</v>
      </c>
      <c r="CB705" s="299">
        <v>0.6</v>
      </c>
      <c r="CC705" s="299">
        <v>0.4</v>
      </c>
      <c r="CD705">
        <f t="shared" si="214"/>
        <v>0</v>
      </c>
      <c r="CE705">
        <f t="shared" si="215"/>
        <v>0</v>
      </c>
      <c r="CF705">
        <f t="shared" si="216"/>
        <v>0</v>
      </c>
      <c r="CG705">
        <f t="shared" si="217"/>
        <v>0</v>
      </c>
      <c r="CH705">
        <f t="shared" si="218"/>
        <v>0</v>
      </c>
      <c r="CI705">
        <f t="shared" si="219"/>
        <v>0</v>
      </c>
      <c r="CJ705">
        <f t="shared" si="220"/>
        <v>0</v>
      </c>
      <c r="CK705">
        <f t="shared" si="221"/>
        <v>0</v>
      </c>
      <c r="CL705">
        <f t="shared" si="222"/>
        <v>0</v>
      </c>
      <c r="CM705">
        <f t="shared" si="224"/>
        <v>0</v>
      </c>
      <c r="CN705">
        <f t="shared" si="223"/>
        <v>0</v>
      </c>
      <c r="CO705">
        <f t="shared" si="207"/>
        <v>0</v>
      </c>
    </row>
    <row r="706" spans="1:93" s="12" customFormat="1" x14ac:dyDescent="0.25">
      <c r="A706" s="4">
        <v>2021</v>
      </c>
      <c r="B706" s="318">
        <v>44301</v>
      </c>
      <c r="C706" s="4" t="s">
        <v>66</v>
      </c>
      <c r="D706" s="4" t="s">
        <v>65</v>
      </c>
      <c r="E706" s="4"/>
      <c r="F706" s="4" t="s">
        <v>90</v>
      </c>
      <c r="G706" s="5" t="s">
        <v>427</v>
      </c>
      <c r="H706" s="5" t="s">
        <v>428</v>
      </c>
      <c r="I706" s="5" t="s">
        <v>143</v>
      </c>
      <c r="J706" s="5" t="s">
        <v>9</v>
      </c>
      <c r="K706" s="5">
        <v>22</v>
      </c>
      <c r="L706" s="5">
        <v>55</v>
      </c>
      <c r="M706" s="5">
        <v>1666</v>
      </c>
      <c r="N706" s="5" t="s">
        <v>170</v>
      </c>
      <c r="O706" s="6" t="s">
        <v>81</v>
      </c>
      <c r="P706" s="6" t="s">
        <v>429</v>
      </c>
      <c r="Q706" s="6"/>
      <c r="R706" s="6"/>
      <c r="S706" s="6">
        <v>42</v>
      </c>
      <c r="T706" s="6">
        <v>19.510000000000002</v>
      </c>
      <c r="U706" s="6">
        <v>1402</v>
      </c>
      <c r="V706" s="6">
        <v>28.51</v>
      </c>
      <c r="W706" s="6">
        <v>50</v>
      </c>
      <c r="X706" s="6">
        <v>303</v>
      </c>
      <c r="Y706" s="6">
        <v>595</v>
      </c>
      <c r="Z706" s="6">
        <v>375</v>
      </c>
      <c r="AA706" s="6">
        <v>75</v>
      </c>
      <c r="AB706" s="6">
        <v>4</v>
      </c>
      <c r="AC706" s="7">
        <v>90</v>
      </c>
      <c r="AD706" s="7" t="s">
        <v>53</v>
      </c>
      <c r="AE706" s="7">
        <v>32.99</v>
      </c>
      <c r="AF706" s="7">
        <v>141</v>
      </c>
      <c r="AG706" s="7">
        <v>18.84</v>
      </c>
      <c r="AH706" s="7">
        <v>41.25</v>
      </c>
      <c r="AI706" s="7">
        <v>43.17</v>
      </c>
      <c r="AJ706" s="9">
        <v>295.12837455515103</v>
      </c>
      <c r="AK706" s="9">
        <v>319.78011210346199</v>
      </c>
      <c r="AL706" s="9">
        <v>353.84115814105297</v>
      </c>
      <c r="AM706" s="9">
        <v>63.0463962511446</v>
      </c>
      <c r="AN706" s="9">
        <v>0.70051551390160605</v>
      </c>
      <c r="AO706" s="9">
        <v>0.44270343235679799</v>
      </c>
      <c r="AP706" s="9">
        <v>981.78758262933002</v>
      </c>
      <c r="AQ706" s="9">
        <v>10.908750918103699</v>
      </c>
      <c r="AR706" s="9">
        <v>10.175155434895</v>
      </c>
      <c r="AS706" s="8">
        <v>49</v>
      </c>
      <c r="AT706" s="8">
        <v>4.34</v>
      </c>
      <c r="AU706" s="10">
        <v>33.581638642393365</v>
      </c>
      <c r="AV706" s="10">
        <v>65.882169625777976</v>
      </c>
      <c r="AW706" s="10">
        <v>0.73</v>
      </c>
      <c r="AX706" s="10">
        <v>1.344534073995469</v>
      </c>
      <c r="AY706" s="10"/>
      <c r="AZ706" s="10"/>
      <c r="BA706" s="10"/>
      <c r="BB706" s="8"/>
      <c r="BC706" s="8"/>
      <c r="BD706" s="8"/>
      <c r="BE706" s="8"/>
      <c r="BF706" s="12">
        <v>0.55000000000000004</v>
      </c>
      <c r="BG706" s="13">
        <v>338.95034273595098</v>
      </c>
      <c r="BH706" s="96" t="str">
        <f>+VLOOKUP(G706,Liste!$A$7:$G$50,3,FALSE)</f>
        <v>Hêtre commun</v>
      </c>
      <c r="BI706" s="96" t="str">
        <f>+VLOOKUP(H706,Liste!$B$7:$G$50,5,FALSE)</f>
        <v>GS Hêtraies et hêtraies sapinières des Pyrénées</v>
      </c>
      <c r="BJ706" s="135">
        <f t="shared" si="206"/>
        <v>90</v>
      </c>
      <c r="BK706" s="135" t="str">
        <f t="shared" si="208"/>
        <v>Hêtre commun_F1_Entree 19-20m_GS Hêtraies et hêtraies sapinières des Pyrénées_90_</v>
      </c>
      <c r="BL706" s="322"/>
      <c r="BM706" s="13">
        <v>84.572395777672597</v>
      </c>
      <c r="BN706" s="13">
        <v>423.52273851362298</v>
      </c>
      <c r="BO706" s="13">
        <v>91.124418352107057</v>
      </c>
      <c r="BP706" s="13">
        <v>328.524705421715</v>
      </c>
      <c r="BQ706" s="13">
        <v>11.6517531308975</v>
      </c>
      <c r="BT706" s="298" t="str">
        <f>+VLOOKUP(G706,Liste!$A$7:$H$50,8,FALSE)</f>
        <v>Feuillus</v>
      </c>
      <c r="BU706" s="298">
        <f t="shared" si="209"/>
        <v>1</v>
      </c>
      <c r="BV706" s="300">
        <f t="shared" si="210"/>
        <v>0</v>
      </c>
      <c r="BW706" s="321">
        <v>0</v>
      </c>
      <c r="BX706" s="298">
        <f t="shared" si="211"/>
        <v>0.25</v>
      </c>
      <c r="BY706">
        <f t="shared" si="212"/>
        <v>0</v>
      </c>
      <c r="BZ706" s="304">
        <f t="shared" si="213"/>
        <v>0</v>
      </c>
      <c r="CB706" s="299">
        <v>0.6</v>
      </c>
      <c r="CC706" s="299">
        <v>0.4</v>
      </c>
      <c r="CD706">
        <f t="shared" si="214"/>
        <v>0</v>
      </c>
      <c r="CE706">
        <f t="shared" si="215"/>
        <v>0</v>
      </c>
      <c r="CF706">
        <f t="shared" si="216"/>
        <v>0</v>
      </c>
      <c r="CG706">
        <f t="shared" si="217"/>
        <v>0</v>
      </c>
      <c r="CH706">
        <f t="shared" si="218"/>
        <v>0</v>
      </c>
      <c r="CI706">
        <f t="shared" si="219"/>
        <v>0</v>
      </c>
      <c r="CJ706">
        <f t="shared" si="220"/>
        <v>0</v>
      </c>
      <c r="CK706">
        <f t="shared" si="221"/>
        <v>0</v>
      </c>
      <c r="CL706">
        <f t="shared" si="222"/>
        <v>0</v>
      </c>
      <c r="CM706">
        <f t="shared" si="224"/>
        <v>0</v>
      </c>
      <c r="CN706">
        <f t="shared" si="223"/>
        <v>0</v>
      </c>
      <c r="CO706">
        <f t="shared" si="207"/>
        <v>0</v>
      </c>
    </row>
    <row r="707" spans="1:93" s="12" customFormat="1" x14ac:dyDescent="0.25">
      <c r="A707" s="4">
        <v>2021</v>
      </c>
      <c r="B707" s="318">
        <v>44301</v>
      </c>
      <c r="C707" s="4" t="s">
        <v>66</v>
      </c>
      <c r="D707" s="4" t="s">
        <v>65</v>
      </c>
      <c r="E707" s="4"/>
      <c r="F707" s="4" t="s">
        <v>90</v>
      </c>
      <c r="G707" s="5" t="s">
        <v>427</v>
      </c>
      <c r="H707" s="5" t="s">
        <v>428</v>
      </c>
      <c r="I707" s="5" t="s">
        <v>143</v>
      </c>
      <c r="J707" s="5" t="s">
        <v>9</v>
      </c>
      <c r="K707" s="5">
        <v>22</v>
      </c>
      <c r="L707" s="5">
        <v>55</v>
      </c>
      <c r="M707" s="5">
        <v>1666</v>
      </c>
      <c r="N707" s="5" t="s">
        <v>170</v>
      </c>
      <c r="O707" s="6" t="s">
        <v>81</v>
      </c>
      <c r="P707" s="6" t="s">
        <v>429</v>
      </c>
      <c r="Q707" s="6"/>
      <c r="R707" s="6"/>
      <c r="S707" s="6">
        <v>42</v>
      </c>
      <c r="T707" s="6">
        <v>19.510000000000002</v>
      </c>
      <c r="U707" s="6">
        <v>1402</v>
      </c>
      <c r="V707" s="6">
        <v>28.51</v>
      </c>
      <c r="W707" s="6">
        <v>50</v>
      </c>
      <c r="X707" s="6">
        <v>303</v>
      </c>
      <c r="Y707" s="6">
        <v>595</v>
      </c>
      <c r="Z707" s="6">
        <v>375</v>
      </c>
      <c r="AA707" s="6">
        <v>75</v>
      </c>
      <c r="AB707" s="6">
        <v>4</v>
      </c>
      <c r="AC707" s="7">
        <v>93</v>
      </c>
      <c r="AD707" s="7" t="s">
        <v>52</v>
      </c>
      <c r="AE707" s="7">
        <v>33.450000000000003</v>
      </c>
      <c r="AF707" s="7">
        <v>141</v>
      </c>
      <c r="AG707" s="7">
        <v>20.170000000000002</v>
      </c>
      <c r="AH707" s="7">
        <v>42.68</v>
      </c>
      <c r="AI707" s="7">
        <v>44.65</v>
      </c>
      <c r="AJ707" s="9">
        <v>320.76063526885798</v>
      </c>
      <c r="AK707" s="9">
        <v>348.06369659928703</v>
      </c>
      <c r="AL707" s="9">
        <v>384.36662444573801</v>
      </c>
      <c r="AM707" s="9">
        <v>64.374506548214995</v>
      </c>
      <c r="AN707" s="9">
        <v>0.69219899514209704</v>
      </c>
      <c r="AO707" s="9">
        <v>0.428034668668753</v>
      </c>
      <c r="AP707" s="9">
        <v>1012.31304893401</v>
      </c>
      <c r="AQ707" s="9">
        <v>10.8850865476776</v>
      </c>
      <c r="AR707" s="9">
        <v>9.9259686024612392</v>
      </c>
      <c r="AS707" s="8" t="s">
        <v>169</v>
      </c>
      <c r="AT707" s="8" t="s">
        <v>169</v>
      </c>
      <c r="AU707" s="10" t="s">
        <v>169</v>
      </c>
      <c r="AV707" s="10">
        <v>0</v>
      </c>
      <c r="AW707" s="8"/>
      <c r="AX707" s="10" t="s">
        <v>169</v>
      </c>
      <c r="AY707" s="10"/>
      <c r="AZ707" s="10"/>
      <c r="BA707" s="10"/>
      <c r="BB707" s="8"/>
      <c r="BC707" s="8"/>
      <c r="BD707" s="8"/>
      <c r="BE707" s="8"/>
      <c r="BF707" s="12">
        <v>0.55000000000000004</v>
      </c>
      <c r="BG707" s="13">
        <v>368.19119566697998</v>
      </c>
      <c r="BH707" s="96" t="str">
        <f>+VLOOKUP(G707,Liste!$A$7:$G$50,3,FALSE)</f>
        <v>Hêtre commun</v>
      </c>
      <c r="BI707" s="96" t="str">
        <f>+VLOOKUP(H707,Liste!$B$7:$G$50,5,FALSE)</f>
        <v>GS Hêtraies et hêtraies sapinières des Pyrénées</v>
      </c>
      <c r="BJ707" s="135">
        <f t="shared" ref="BJ707:BJ770" si="225">+AC707</f>
        <v>93</v>
      </c>
      <c r="BK707" s="135" t="str">
        <f t="shared" si="208"/>
        <v>Hêtre commun_F1_Entree 19-20m_GS Hêtraies et hêtraies sapinières des Pyrénées_93_</v>
      </c>
      <c r="BL707" s="322"/>
      <c r="BM707" s="13">
        <v>90.987734383770402</v>
      </c>
      <c r="BN707" s="13">
        <v>459.17893005075001</v>
      </c>
      <c r="BO707" s="13" t="s">
        <v>169</v>
      </c>
      <c r="BP707" s="13">
        <v>328.524705421715</v>
      </c>
      <c r="BQ707" s="13">
        <v>11.3599711788129</v>
      </c>
      <c r="BT707" s="298" t="str">
        <f>+VLOOKUP(G707,Liste!$A$7:$H$50,8,FALSE)</f>
        <v>Feuillus</v>
      </c>
      <c r="BU707" s="298">
        <f t="shared" si="209"/>
        <v>1</v>
      </c>
      <c r="BV707" s="300">
        <f t="shared" si="210"/>
        <v>0</v>
      </c>
      <c r="BW707" s="321">
        <v>0</v>
      </c>
      <c r="BX707" s="298">
        <f t="shared" si="211"/>
        <v>0.25</v>
      </c>
      <c r="BY707">
        <f t="shared" si="212"/>
        <v>0</v>
      </c>
      <c r="BZ707" s="304">
        <f t="shared" si="213"/>
        <v>0</v>
      </c>
      <c r="CB707" s="299">
        <v>0.6</v>
      </c>
      <c r="CC707" s="299">
        <v>0.4</v>
      </c>
      <c r="CD707">
        <f t="shared" si="214"/>
        <v>0</v>
      </c>
      <c r="CE707">
        <f t="shared" si="215"/>
        <v>0</v>
      </c>
      <c r="CF707">
        <f t="shared" si="216"/>
        <v>0</v>
      </c>
      <c r="CG707">
        <f t="shared" si="217"/>
        <v>0</v>
      </c>
      <c r="CH707">
        <f t="shared" si="218"/>
        <v>0</v>
      </c>
      <c r="CI707">
        <f t="shared" si="219"/>
        <v>0</v>
      </c>
      <c r="CJ707">
        <f t="shared" si="220"/>
        <v>0</v>
      </c>
      <c r="CK707">
        <f t="shared" si="221"/>
        <v>0</v>
      </c>
      <c r="CL707">
        <f t="shared" si="222"/>
        <v>0</v>
      </c>
      <c r="CM707">
        <f t="shared" si="224"/>
        <v>0</v>
      </c>
      <c r="CN707">
        <f t="shared" si="223"/>
        <v>0</v>
      </c>
      <c r="CO707">
        <f t="shared" ref="CO707:CO770" si="226">+IF(BJ707=30,CN707/30,0)</f>
        <v>0</v>
      </c>
    </row>
    <row r="708" spans="1:93" s="12" customFormat="1" x14ac:dyDescent="0.25">
      <c r="A708" s="4">
        <v>2021</v>
      </c>
      <c r="B708" s="318">
        <v>44301</v>
      </c>
      <c r="C708" s="4" t="s">
        <v>66</v>
      </c>
      <c r="D708" s="4" t="s">
        <v>65</v>
      </c>
      <c r="E708" s="4"/>
      <c r="F708" s="4" t="s">
        <v>90</v>
      </c>
      <c r="G708" s="5" t="s">
        <v>427</v>
      </c>
      <c r="H708" s="5" t="s">
        <v>428</v>
      </c>
      <c r="I708" s="5" t="s">
        <v>143</v>
      </c>
      <c r="J708" s="5" t="s">
        <v>9</v>
      </c>
      <c r="K708" s="5">
        <v>22</v>
      </c>
      <c r="L708" s="5">
        <v>55</v>
      </c>
      <c r="M708" s="5">
        <v>1666</v>
      </c>
      <c r="N708" s="5" t="s">
        <v>170</v>
      </c>
      <c r="O708" s="6" t="s">
        <v>81</v>
      </c>
      <c r="P708" s="6" t="s">
        <v>429</v>
      </c>
      <c r="Q708" s="6"/>
      <c r="R708" s="6"/>
      <c r="S708" s="6">
        <v>42</v>
      </c>
      <c r="T708" s="6">
        <v>19.510000000000002</v>
      </c>
      <c r="U708" s="6">
        <v>1402</v>
      </c>
      <c r="V708" s="6">
        <v>28.51</v>
      </c>
      <c r="W708" s="6">
        <v>50</v>
      </c>
      <c r="X708" s="6">
        <v>303</v>
      </c>
      <c r="Y708" s="6">
        <v>595</v>
      </c>
      <c r="Z708" s="6">
        <v>375</v>
      </c>
      <c r="AA708" s="6">
        <v>75</v>
      </c>
      <c r="AB708" s="6">
        <v>4</v>
      </c>
      <c r="AC708" s="7">
        <v>96</v>
      </c>
      <c r="AD708" s="7" t="s">
        <v>52</v>
      </c>
      <c r="AE708" s="7">
        <v>33.89</v>
      </c>
      <c r="AF708" s="7">
        <v>141</v>
      </c>
      <c r="AG708" s="7">
        <v>21.45</v>
      </c>
      <c r="AH708" s="7">
        <v>44.01</v>
      </c>
      <c r="AI708" s="7">
        <v>46.04</v>
      </c>
      <c r="AJ708" s="9">
        <v>345.729991246238</v>
      </c>
      <c r="AK708" s="9">
        <v>375.67306001351699</v>
      </c>
      <c r="AL708" s="9">
        <v>414.14453025312201</v>
      </c>
      <c r="AM708" s="9">
        <v>65.658610554221198</v>
      </c>
      <c r="AN708" s="9">
        <v>0.683943859939805</v>
      </c>
      <c r="AO708" s="9">
        <v>0.41317503751903001</v>
      </c>
      <c r="AP708" s="9">
        <v>1042.0909547414001</v>
      </c>
      <c r="AQ708" s="9">
        <v>10.8551141118896</v>
      </c>
      <c r="AR708" s="9">
        <v>9.9160798159464303</v>
      </c>
      <c r="AS708" s="8" t="s">
        <v>169</v>
      </c>
      <c r="AT708" s="8" t="s">
        <v>169</v>
      </c>
      <c r="AU708" s="10" t="s">
        <v>169</v>
      </c>
      <c r="AV708" s="10">
        <v>0</v>
      </c>
      <c r="AW708" s="8"/>
      <c r="AX708" s="10" t="s">
        <v>169</v>
      </c>
      <c r="AY708" s="10"/>
      <c r="AZ708" s="10"/>
      <c r="BA708" s="10"/>
      <c r="BB708" s="8"/>
      <c r="BC708" s="8"/>
      <c r="BD708" s="8"/>
      <c r="BE708" s="8"/>
      <c r="BF708" s="12">
        <v>0.55000000000000004</v>
      </c>
      <c r="BG708" s="13">
        <v>396.71594793830297</v>
      </c>
      <c r="BH708" s="96" t="str">
        <f>+VLOOKUP(G708,Liste!$A$7:$G$50,3,FALSE)</f>
        <v>Hêtre commun</v>
      </c>
      <c r="BI708" s="96" t="str">
        <f>+VLOOKUP(H708,Liste!$B$7:$G$50,5,FALSE)</f>
        <v>GS Hêtraies et hêtraies sapinières des Pyrénées</v>
      </c>
      <c r="BJ708" s="135">
        <f t="shared" si="225"/>
        <v>96</v>
      </c>
      <c r="BK708" s="135" t="str">
        <f t="shared" ref="BK708:BK771" si="227">+_xlfn.CONCAT(BH708,"_",J708,"_",I708,"_",BI708,"_",BJ708,"_")</f>
        <v>Hêtre commun_F1_Entree 19-20m_GS Hêtraies et hêtraies sapinières des Pyrénées_96_</v>
      </c>
      <c r="BL708" s="322"/>
      <c r="BM708" s="13">
        <v>97.188979635640194</v>
      </c>
      <c r="BN708" s="13">
        <v>493.90492757394298</v>
      </c>
      <c r="BO708" s="13" t="s">
        <v>169</v>
      </c>
      <c r="BP708" s="13">
        <v>328.524705421715</v>
      </c>
      <c r="BQ708" s="13">
        <v>11.342513136410499</v>
      </c>
      <c r="BT708" s="298" t="str">
        <f>+VLOOKUP(G708,Liste!$A$7:$H$50,8,FALSE)</f>
        <v>Feuillus</v>
      </c>
      <c r="BU708" s="298">
        <f t="shared" ref="BU708:BU771" si="228">IF(BT708="Résineux",0%,100%)</f>
        <v>1</v>
      </c>
      <c r="BV708" s="300">
        <f t="shared" ref="BV708:BV771" si="229">+IF(BT708="Résineux",100%,0%)</f>
        <v>0</v>
      </c>
      <c r="BW708" s="321">
        <v>0</v>
      </c>
      <c r="BX708" s="298">
        <f t="shared" ref="BX708:BX771" si="230">+IF(BV708&lt;&gt;0,0.43,0.25)</f>
        <v>0.25</v>
      </c>
      <c r="BY708">
        <f t="shared" ref="BY708:BY771" si="231">+IF(BJ708&lt;=30,AV708*BX708,0)</f>
        <v>0</v>
      </c>
      <c r="BZ708" s="304">
        <f t="shared" ref="BZ708:BZ771" si="232">+IF(BJ708&gt;=31,0,BY708+BZ707)</f>
        <v>0</v>
      </c>
      <c r="CB708" s="299">
        <v>0.6</v>
      </c>
      <c r="CC708" s="299">
        <v>0.4</v>
      </c>
      <c r="CD708">
        <f t="shared" ref="CD708:CD771" si="233">+IF(BJ708&lt;=31,AV708*CA708*0.5,0)</f>
        <v>0</v>
      </c>
      <c r="CE708">
        <f t="shared" ref="CE708:CE771" si="234">IF(BJ708&lt;=31,AV708*CB708,0)</f>
        <v>0</v>
      </c>
      <c r="CF708">
        <f t="shared" ref="CF708:CF771" si="235">IF(BJ708&lt;=31,AV708*CC708,0)</f>
        <v>0</v>
      </c>
      <c r="CG708">
        <f t="shared" ref="CG708:CG771" si="236">CD708*44/12*0.475*BF708</f>
        <v>0</v>
      </c>
      <c r="CH708">
        <f t="shared" ref="CH708:CH771" si="237">CE708*44/12*0.475*BF708</f>
        <v>0</v>
      </c>
      <c r="CI708">
        <f t="shared" ref="CI708:CI771" si="238">CF708*44/12*0.475*BF708</f>
        <v>0</v>
      </c>
      <c r="CJ708">
        <f t="shared" ref="CJ708:CJ771" si="239">+IF(BJ708&lt;=31,CJ707*EXP(-$CJ$1)+CG707*(1-EXP(-$CJ$1))/$CJ$1,0)</f>
        <v>0</v>
      </c>
      <c r="CK708">
        <f t="shared" ref="CK708:CK771" si="240">+IF(BJ708&lt;=31,CK707*EXP(-$CK$1)+CH707*(1-EXP(-$CK$1))/$CK$1,0)</f>
        <v>0</v>
      </c>
      <c r="CL708">
        <f t="shared" ref="CL708:CL771" si="241">+IF(BJ708&lt;=31,CL707*EXP(-$CL$1)+CI707*(1-EXP(-$CL$1))/$CL$1,0)</f>
        <v>0</v>
      </c>
      <c r="CM708">
        <f t="shared" si="224"/>
        <v>0</v>
      </c>
      <c r="CN708">
        <f t="shared" ref="CN708:CN771" si="242">+IF(BJ708&lt;=31,CM708+CN707,0)</f>
        <v>0</v>
      </c>
      <c r="CO708">
        <f t="shared" si="226"/>
        <v>0</v>
      </c>
    </row>
    <row r="709" spans="1:93" s="12" customFormat="1" x14ac:dyDescent="0.25">
      <c r="A709" s="4">
        <v>2021</v>
      </c>
      <c r="B709" s="318">
        <v>44301</v>
      </c>
      <c r="C709" s="4" t="s">
        <v>66</v>
      </c>
      <c r="D709" s="4" t="s">
        <v>65</v>
      </c>
      <c r="E709" s="4"/>
      <c r="F709" s="4" t="s">
        <v>90</v>
      </c>
      <c r="G709" s="5" t="s">
        <v>427</v>
      </c>
      <c r="H709" s="5" t="s">
        <v>428</v>
      </c>
      <c r="I709" s="5" t="s">
        <v>143</v>
      </c>
      <c r="J709" s="5" t="s">
        <v>9</v>
      </c>
      <c r="K709" s="5">
        <v>22</v>
      </c>
      <c r="L709" s="5">
        <v>55</v>
      </c>
      <c r="M709" s="5">
        <v>1666</v>
      </c>
      <c r="N709" s="5" t="s">
        <v>170</v>
      </c>
      <c r="O709" s="6" t="s">
        <v>81</v>
      </c>
      <c r="P709" s="6" t="s">
        <v>429</v>
      </c>
      <c r="Q709" s="6"/>
      <c r="R709" s="6"/>
      <c r="S709" s="6">
        <v>42</v>
      </c>
      <c r="T709" s="6">
        <v>19.510000000000002</v>
      </c>
      <c r="U709" s="6">
        <v>1402</v>
      </c>
      <c r="V709" s="6">
        <v>28.51</v>
      </c>
      <c r="W709" s="6">
        <v>50</v>
      </c>
      <c r="X709" s="6">
        <v>303</v>
      </c>
      <c r="Y709" s="6">
        <v>595</v>
      </c>
      <c r="Z709" s="6">
        <v>375</v>
      </c>
      <c r="AA709" s="6">
        <v>75</v>
      </c>
      <c r="AB709" s="6">
        <v>4</v>
      </c>
      <c r="AC709" s="7">
        <v>99</v>
      </c>
      <c r="AD709" s="7" t="s">
        <v>52</v>
      </c>
      <c r="AE709" s="7">
        <v>34.299999999999997</v>
      </c>
      <c r="AF709" s="7">
        <v>141</v>
      </c>
      <c r="AG709" s="7">
        <v>22.69</v>
      </c>
      <c r="AH709" s="7">
        <v>45.27</v>
      </c>
      <c r="AI709" s="7">
        <v>47.34</v>
      </c>
      <c r="AJ709" s="9">
        <v>370.84864729390603</v>
      </c>
      <c r="AK709" s="9">
        <v>403.34893901180999</v>
      </c>
      <c r="AL709" s="9">
        <v>443.89276970096103</v>
      </c>
      <c r="AM709" s="9">
        <v>66.898135666778302</v>
      </c>
      <c r="AN709" s="9">
        <v>0.67573874410887202</v>
      </c>
      <c r="AO709" s="9">
        <v>0.38239429127581098</v>
      </c>
      <c r="AP709" s="9">
        <v>1071.8391941892401</v>
      </c>
      <c r="AQ709" s="9">
        <v>10.826658527164</v>
      </c>
      <c r="AR709" s="9">
        <v>9.0470848593423305</v>
      </c>
      <c r="AS709" s="8" t="s">
        <v>169</v>
      </c>
      <c r="AT709" s="8" t="s">
        <v>169</v>
      </c>
      <c r="AU709" s="10" t="s">
        <v>169</v>
      </c>
      <c r="AV709" s="10">
        <v>0</v>
      </c>
      <c r="AW709" s="8"/>
      <c r="AX709" s="10" t="s">
        <v>169</v>
      </c>
      <c r="AY709" s="10"/>
      <c r="AZ709" s="10"/>
      <c r="BA709" s="10"/>
      <c r="BB709" s="8"/>
      <c r="BC709" s="8"/>
      <c r="BD709" s="8"/>
      <c r="BE709" s="8"/>
      <c r="BF709" s="12">
        <v>0.55000000000000004</v>
      </c>
      <c r="BG709" s="13">
        <v>425.21228230937902</v>
      </c>
      <c r="BH709" s="96" t="str">
        <f>+VLOOKUP(G709,Liste!$A$7:$G$50,3,FALSE)</f>
        <v>Hêtre commun</v>
      </c>
      <c r="BI709" s="96" t="str">
        <f>+VLOOKUP(H709,Liste!$B$7:$G$50,5,FALSE)</f>
        <v>GS Hêtraies et hêtraies sapinières des Pyrénées</v>
      </c>
      <c r="BJ709" s="135">
        <f t="shared" si="225"/>
        <v>99</v>
      </c>
      <c r="BK709" s="135" t="str">
        <f t="shared" si="227"/>
        <v>Hêtre commun_F1_Entree 19-20m_GS Hêtraies et hêtraies sapinières des Pyrénées_99_</v>
      </c>
      <c r="BL709" s="322"/>
      <c r="BM709" s="13">
        <v>103.332391572161</v>
      </c>
      <c r="BN709" s="13">
        <v>528.54467388154001</v>
      </c>
      <c r="BO709" s="13" t="s">
        <v>169</v>
      </c>
      <c r="BP709" s="13">
        <v>328.524705421715</v>
      </c>
      <c r="BQ709" s="13">
        <v>10.3433195616298</v>
      </c>
      <c r="BT709" s="298" t="str">
        <f>+VLOOKUP(G709,Liste!$A$7:$H$50,8,FALSE)</f>
        <v>Feuillus</v>
      </c>
      <c r="BU709" s="298">
        <f t="shared" si="228"/>
        <v>1</v>
      </c>
      <c r="BV709" s="300">
        <f t="shared" si="229"/>
        <v>0</v>
      </c>
      <c r="BW709" s="321">
        <v>0</v>
      </c>
      <c r="BX709" s="298">
        <f t="shared" si="230"/>
        <v>0.25</v>
      </c>
      <c r="BY709">
        <f t="shared" si="231"/>
        <v>0</v>
      </c>
      <c r="BZ709" s="304">
        <f t="shared" si="232"/>
        <v>0</v>
      </c>
      <c r="CB709" s="299">
        <v>0.6</v>
      </c>
      <c r="CC709" s="299">
        <v>0.4</v>
      </c>
      <c r="CD709">
        <f t="shared" si="233"/>
        <v>0</v>
      </c>
      <c r="CE709">
        <f t="shared" si="234"/>
        <v>0</v>
      </c>
      <c r="CF709">
        <f t="shared" si="235"/>
        <v>0</v>
      </c>
      <c r="CG709">
        <f t="shared" si="236"/>
        <v>0</v>
      </c>
      <c r="CH709">
        <f t="shared" si="237"/>
        <v>0</v>
      </c>
      <c r="CI709">
        <f t="shared" si="238"/>
        <v>0</v>
      </c>
      <c r="CJ709">
        <f t="shared" si="239"/>
        <v>0</v>
      </c>
      <c r="CK709">
        <f t="shared" si="240"/>
        <v>0</v>
      </c>
      <c r="CL709">
        <f t="shared" si="241"/>
        <v>0</v>
      </c>
      <c r="CM709">
        <f t="shared" ref="CM709:CM772" si="243">+CJ709+CK709+CL709</f>
        <v>0</v>
      </c>
      <c r="CN709">
        <f t="shared" si="242"/>
        <v>0</v>
      </c>
      <c r="CO709">
        <f t="shared" si="226"/>
        <v>0</v>
      </c>
    </row>
    <row r="710" spans="1:93" s="12" customFormat="1" x14ac:dyDescent="0.25">
      <c r="A710" s="4">
        <v>2021</v>
      </c>
      <c r="B710" s="318">
        <v>44301</v>
      </c>
      <c r="C710" s="4" t="s">
        <v>66</v>
      </c>
      <c r="D710" s="4" t="s">
        <v>65</v>
      </c>
      <c r="E710" s="4"/>
      <c r="F710" s="4" t="s">
        <v>90</v>
      </c>
      <c r="G710" s="5" t="s">
        <v>427</v>
      </c>
      <c r="H710" s="5" t="s">
        <v>428</v>
      </c>
      <c r="I710" s="5" t="s">
        <v>143</v>
      </c>
      <c r="J710" s="5" t="s">
        <v>9</v>
      </c>
      <c r="K710" s="5">
        <v>22</v>
      </c>
      <c r="L710" s="5">
        <v>55</v>
      </c>
      <c r="M710" s="5">
        <v>1666</v>
      </c>
      <c r="N710" s="5" t="s">
        <v>170</v>
      </c>
      <c r="O710" s="6" t="s">
        <v>81</v>
      </c>
      <c r="P710" s="6" t="s">
        <v>429</v>
      </c>
      <c r="Q710" s="6"/>
      <c r="R710" s="6"/>
      <c r="S710" s="6">
        <v>42</v>
      </c>
      <c r="T710" s="6">
        <v>19.510000000000002</v>
      </c>
      <c r="U710" s="6">
        <v>1402</v>
      </c>
      <c r="V710" s="6">
        <v>28.51</v>
      </c>
      <c r="W710" s="6">
        <v>50</v>
      </c>
      <c r="X710" s="6">
        <v>303</v>
      </c>
      <c r="Y710" s="6">
        <v>595</v>
      </c>
      <c r="Z710" s="6">
        <v>375</v>
      </c>
      <c r="AA710" s="6">
        <v>75</v>
      </c>
      <c r="AB710" s="6">
        <v>4</v>
      </c>
      <c r="AC710" s="7">
        <v>99</v>
      </c>
      <c r="AD710" s="7" t="s">
        <v>53</v>
      </c>
      <c r="AE710" s="7">
        <v>34.299999999999997</v>
      </c>
      <c r="AF710" s="7">
        <v>108</v>
      </c>
      <c r="AG710" s="7">
        <v>18.309999999999999</v>
      </c>
      <c r="AH710" s="7">
        <v>46.46</v>
      </c>
      <c r="AI710" s="7">
        <v>47.11</v>
      </c>
      <c r="AJ710" s="9">
        <v>299.72142045854099</v>
      </c>
      <c r="AK710" s="9">
        <v>326.77365166781902</v>
      </c>
      <c r="AL710" s="9">
        <v>359.44584087263303</v>
      </c>
      <c r="AM710" s="9">
        <v>66.898135666778302</v>
      </c>
      <c r="AN710" s="9">
        <v>0.67573874410887202</v>
      </c>
      <c r="AO710" s="9">
        <v>0.38239429127581098</v>
      </c>
      <c r="AP710" s="9">
        <v>1071.8391941892401</v>
      </c>
      <c r="AQ710" s="9">
        <v>10.826658527164</v>
      </c>
      <c r="AR710" s="9">
        <v>9.0470848593423305</v>
      </c>
      <c r="AS710" s="8">
        <v>33</v>
      </c>
      <c r="AT710" s="8">
        <v>4.3800000000000026</v>
      </c>
      <c r="AU710" s="10">
        <v>41.108832664186977</v>
      </c>
      <c r="AV710" s="10">
        <v>71.127226835365036</v>
      </c>
      <c r="AW710" s="10">
        <v>0.83</v>
      </c>
      <c r="AX710" s="10">
        <v>2.1553705101625766</v>
      </c>
      <c r="AY710" s="10"/>
      <c r="AZ710" s="10"/>
      <c r="BA710" s="10"/>
      <c r="BB710" s="8"/>
      <c r="BC710" s="8"/>
      <c r="BD710" s="8"/>
      <c r="BE710" s="8"/>
      <c r="BF710" s="12">
        <v>0.55000000000000004</v>
      </c>
      <c r="BG710" s="13">
        <v>344.31916173590997</v>
      </c>
      <c r="BH710" s="96" t="str">
        <f>+VLOOKUP(G710,Liste!$A$7:$G$50,3,FALSE)</f>
        <v>Hêtre commun</v>
      </c>
      <c r="BI710" s="96" t="str">
        <f>+VLOOKUP(H710,Liste!$B$7:$G$50,5,FALSE)</f>
        <v>GS Hêtraies et hêtraies sapinières des Pyrénées</v>
      </c>
      <c r="BJ710" s="135">
        <f t="shared" si="225"/>
        <v>99</v>
      </c>
      <c r="BK710" s="135" t="str">
        <f t="shared" si="227"/>
        <v>Hêtre commun_F1_Entree 19-20m_GS Hêtraies et hêtraies sapinières des Pyrénées_99_</v>
      </c>
      <c r="BL710" s="322"/>
      <c r="BM710" s="13">
        <v>85.754971134077607</v>
      </c>
      <c r="BN710" s="13">
        <v>430.07413286998798</v>
      </c>
      <c r="BO710" s="13">
        <v>98.470541011552029</v>
      </c>
      <c r="BP710" s="13">
        <v>328.524705421715</v>
      </c>
      <c r="BQ710" s="13">
        <v>10.3433195616298</v>
      </c>
      <c r="BT710" s="298" t="str">
        <f>+VLOOKUP(G710,Liste!$A$7:$H$50,8,FALSE)</f>
        <v>Feuillus</v>
      </c>
      <c r="BU710" s="298">
        <f t="shared" si="228"/>
        <v>1</v>
      </c>
      <c r="BV710" s="300">
        <f t="shared" si="229"/>
        <v>0</v>
      </c>
      <c r="BW710" s="321">
        <v>0</v>
      </c>
      <c r="BX710" s="298">
        <f t="shared" si="230"/>
        <v>0.25</v>
      </c>
      <c r="BY710">
        <f t="shared" si="231"/>
        <v>0</v>
      </c>
      <c r="BZ710" s="304">
        <f t="shared" si="232"/>
        <v>0</v>
      </c>
      <c r="CB710" s="299">
        <v>0.6</v>
      </c>
      <c r="CC710" s="299">
        <v>0.4</v>
      </c>
      <c r="CD710">
        <f t="shared" si="233"/>
        <v>0</v>
      </c>
      <c r="CE710">
        <f t="shared" si="234"/>
        <v>0</v>
      </c>
      <c r="CF710">
        <f t="shared" si="235"/>
        <v>0</v>
      </c>
      <c r="CG710">
        <f t="shared" si="236"/>
        <v>0</v>
      </c>
      <c r="CH710">
        <f t="shared" si="237"/>
        <v>0</v>
      </c>
      <c r="CI710">
        <f t="shared" si="238"/>
        <v>0</v>
      </c>
      <c r="CJ710">
        <f t="shared" si="239"/>
        <v>0</v>
      </c>
      <c r="CK710">
        <f t="shared" si="240"/>
        <v>0</v>
      </c>
      <c r="CL710">
        <f t="shared" si="241"/>
        <v>0</v>
      </c>
      <c r="CM710">
        <f t="shared" si="243"/>
        <v>0</v>
      </c>
      <c r="CN710">
        <f t="shared" si="242"/>
        <v>0</v>
      </c>
      <c r="CO710">
        <f t="shared" si="226"/>
        <v>0</v>
      </c>
    </row>
    <row r="711" spans="1:93" s="12" customFormat="1" x14ac:dyDescent="0.25">
      <c r="A711" s="4">
        <v>2021</v>
      </c>
      <c r="B711" s="318">
        <v>44301</v>
      </c>
      <c r="C711" s="4" t="s">
        <v>66</v>
      </c>
      <c r="D711" s="4" t="s">
        <v>65</v>
      </c>
      <c r="E711" s="4"/>
      <c r="F711" s="4" t="s">
        <v>90</v>
      </c>
      <c r="G711" s="5" t="s">
        <v>427</v>
      </c>
      <c r="H711" s="5" t="s">
        <v>428</v>
      </c>
      <c r="I711" s="5" t="s">
        <v>143</v>
      </c>
      <c r="J711" s="5" t="s">
        <v>9</v>
      </c>
      <c r="K711" s="5">
        <v>22</v>
      </c>
      <c r="L711" s="5">
        <v>55</v>
      </c>
      <c r="M711" s="5">
        <v>1666</v>
      </c>
      <c r="N711" s="5" t="s">
        <v>170</v>
      </c>
      <c r="O711" s="6" t="s">
        <v>81</v>
      </c>
      <c r="P711" s="6" t="s">
        <v>429</v>
      </c>
      <c r="Q711" s="6"/>
      <c r="R711" s="6"/>
      <c r="S711" s="6">
        <v>42</v>
      </c>
      <c r="T711" s="6">
        <v>19.510000000000002</v>
      </c>
      <c r="U711" s="6">
        <v>1402</v>
      </c>
      <c r="V711" s="6">
        <v>28.51</v>
      </c>
      <c r="W711" s="6">
        <v>50</v>
      </c>
      <c r="X711" s="6">
        <v>303</v>
      </c>
      <c r="Y711" s="6">
        <v>595</v>
      </c>
      <c r="Z711" s="6">
        <v>375</v>
      </c>
      <c r="AA711" s="6">
        <v>75</v>
      </c>
      <c r="AB711" s="6">
        <v>4</v>
      </c>
      <c r="AC711" s="7">
        <v>102</v>
      </c>
      <c r="AD711" s="7" t="s">
        <v>52</v>
      </c>
      <c r="AE711" s="7">
        <v>34.69</v>
      </c>
      <c r="AF711" s="7">
        <v>108</v>
      </c>
      <c r="AG711" s="7">
        <v>19.45</v>
      </c>
      <c r="AH711" s="7">
        <v>47.89</v>
      </c>
      <c r="AI711" s="7">
        <v>48.56</v>
      </c>
      <c r="AJ711" s="9">
        <v>322.38459745124698</v>
      </c>
      <c r="AK711" s="9">
        <v>351.97719839639598</v>
      </c>
      <c r="AL711" s="9">
        <v>386.58709545066</v>
      </c>
      <c r="AM711" s="9">
        <v>68.045318540605805</v>
      </c>
      <c r="AN711" s="9">
        <v>0.66711096608437004</v>
      </c>
      <c r="AO711" s="9">
        <v>0.37228232919197102</v>
      </c>
      <c r="AP711" s="9">
        <v>1098.98044876726</v>
      </c>
      <c r="AQ711" s="9">
        <v>10.7743181251693</v>
      </c>
      <c r="AR711" s="9">
        <v>8.8180529174326203</v>
      </c>
      <c r="AS711" s="8" t="s">
        <v>169</v>
      </c>
      <c r="AT711" s="8" t="s">
        <v>169</v>
      </c>
      <c r="AU711" s="10" t="s">
        <v>169</v>
      </c>
      <c r="AV711" s="10">
        <v>0</v>
      </c>
      <c r="AW711" s="8"/>
      <c r="AX711" s="10" t="s">
        <v>169</v>
      </c>
      <c r="AY711" s="10"/>
      <c r="AZ711" s="10"/>
      <c r="BA711" s="10"/>
      <c r="BB711" s="8"/>
      <c r="BC711" s="8"/>
      <c r="BD711" s="8"/>
      <c r="BE711" s="8"/>
      <c r="BF711" s="12">
        <v>0.55000000000000004</v>
      </c>
      <c r="BG711" s="13">
        <v>370.31822185044501</v>
      </c>
      <c r="BH711" s="96" t="str">
        <f>+VLOOKUP(G711,Liste!$A$7:$G$50,3,FALSE)</f>
        <v>Hêtre commun</v>
      </c>
      <c r="BI711" s="96" t="str">
        <f>+VLOOKUP(H711,Liste!$B$7:$G$50,5,FALSE)</f>
        <v>GS Hêtraies et hêtraies sapinières des Pyrénées</v>
      </c>
      <c r="BJ711" s="135">
        <f t="shared" si="225"/>
        <v>102</v>
      </c>
      <c r="BK711" s="135" t="str">
        <f t="shared" si="227"/>
        <v>Hêtre commun_F1_Entree 19-20m_GS Hêtraies et hêtraies sapinières des Pyrénées_102_</v>
      </c>
      <c r="BL711" s="322"/>
      <c r="BM711" s="13">
        <v>91.452027522226899</v>
      </c>
      <c r="BN711" s="13">
        <v>461.77024937267203</v>
      </c>
      <c r="BO711" s="13" t="s">
        <v>169</v>
      </c>
      <c r="BP711" s="13">
        <v>328.524705421715</v>
      </c>
      <c r="BQ711" s="13">
        <v>10.0768385601554</v>
      </c>
      <c r="BT711" s="298" t="str">
        <f>+VLOOKUP(G711,Liste!$A$7:$H$50,8,FALSE)</f>
        <v>Feuillus</v>
      </c>
      <c r="BU711" s="298">
        <f t="shared" si="228"/>
        <v>1</v>
      </c>
      <c r="BV711" s="300">
        <f t="shared" si="229"/>
        <v>0</v>
      </c>
      <c r="BW711" s="321">
        <v>0</v>
      </c>
      <c r="BX711" s="298">
        <f t="shared" si="230"/>
        <v>0.25</v>
      </c>
      <c r="BY711">
        <f t="shared" si="231"/>
        <v>0</v>
      </c>
      <c r="BZ711" s="304">
        <f t="shared" si="232"/>
        <v>0</v>
      </c>
      <c r="CB711" s="299">
        <v>0.6</v>
      </c>
      <c r="CC711" s="299">
        <v>0.4</v>
      </c>
      <c r="CD711">
        <f t="shared" si="233"/>
        <v>0</v>
      </c>
      <c r="CE711">
        <f t="shared" si="234"/>
        <v>0</v>
      </c>
      <c r="CF711">
        <f t="shared" si="235"/>
        <v>0</v>
      </c>
      <c r="CG711">
        <f t="shared" si="236"/>
        <v>0</v>
      </c>
      <c r="CH711">
        <f t="shared" si="237"/>
        <v>0</v>
      </c>
      <c r="CI711">
        <f t="shared" si="238"/>
        <v>0</v>
      </c>
      <c r="CJ711">
        <f t="shared" si="239"/>
        <v>0</v>
      </c>
      <c r="CK711">
        <f t="shared" si="240"/>
        <v>0</v>
      </c>
      <c r="CL711">
        <f t="shared" si="241"/>
        <v>0</v>
      </c>
      <c r="CM711">
        <f t="shared" si="243"/>
        <v>0</v>
      </c>
      <c r="CN711">
        <f t="shared" si="242"/>
        <v>0</v>
      </c>
      <c r="CO711">
        <f t="shared" si="226"/>
        <v>0</v>
      </c>
    </row>
    <row r="712" spans="1:93" s="12" customFormat="1" x14ac:dyDescent="0.25">
      <c r="A712" s="4">
        <v>2021</v>
      </c>
      <c r="B712" s="318">
        <v>44301</v>
      </c>
      <c r="C712" s="4" t="s">
        <v>66</v>
      </c>
      <c r="D712" s="4" t="s">
        <v>65</v>
      </c>
      <c r="E712" s="4"/>
      <c r="F712" s="4" t="s">
        <v>90</v>
      </c>
      <c r="G712" s="5" t="s">
        <v>427</v>
      </c>
      <c r="H712" s="5" t="s">
        <v>428</v>
      </c>
      <c r="I712" s="5" t="s">
        <v>143</v>
      </c>
      <c r="J712" s="5" t="s">
        <v>9</v>
      </c>
      <c r="K712" s="5">
        <v>22</v>
      </c>
      <c r="L712" s="5">
        <v>55</v>
      </c>
      <c r="M712" s="5">
        <v>1666</v>
      </c>
      <c r="N712" s="5" t="s">
        <v>170</v>
      </c>
      <c r="O712" s="6" t="s">
        <v>81</v>
      </c>
      <c r="P712" s="6" t="s">
        <v>429</v>
      </c>
      <c r="Q712" s="6"/>
      <c r="R712" s="6"/>
      <c r="S712" s="6">
        <v>42</v>
      </c>
      <c r="T712" s="6">
        <v>19.510000000000002</v>
      </c>
      <c r="U712" s="6">
        <v>1402</v>
      </c>
      <c r="V712" s="6">
        <v>28.51</v>
      </c>
      <c r="W712" s="6">
        <v>50</v>
      </c>
      <c r="X712" s="6">
        <v>303</v>
      </c>
      <c r="Y712" s="6">
        <v>595</v>
      </c>
      <c r="Z712" s="6">
        <v>375</v>
      </c>
      <c r="AA712" s="6">
        <v>75</v>
      </c>
      <c r="AB712" s="6">
        <v>4</v>
      </c>
      <c r="AC712" s="7">
        <v>105</v>
      </c>
      <c r="AD712" s="7" t="s">
        <v>52</v>
      </c>
      <c r="AE712" s="7">
        <v>35.049999999999997</v>
      </c>
      <c r="AF712" s="7">
        <v>108</v>
      </c>
      <c r="AG712" s="7">
        <v>20.57</v>
      </c>
      <c r="AH712" s="7">
        <v>49.24</v>
      </c>
      <c r="AI712" s="7">
        <v>49.93</v>
      </c>
      <c r="AJ712" s="9">
        <v>344.39992364231</v>
      </c>
      <c r="AK712" s="9">
        <v>376.54155154264703</v>
      </c>
      <c r="AL712" s="9">
        <v>413.04125420295799</v>
      </c>
      <c r="AM712" s="9">
        <v>69.162165528181703</v>
      </c>
      <c r="AN712" s="9">
        <v>0.65868729074458698</v>
      </c>
      <c r="AO712" s="9">
        <v>0.36063980149326802</v>
      </c>
      <c r="AP712" s="9">
        <v>1125.4346075195599</v>
      </c>
      <c r="AQ712" s="9">
        <v>10.718424833519601</v>
      </c>
      <c r="AR712" s="9">
        <v>8.7824360498325404</v>
      </c>
      <c r="AS712" s="8" t="s">
        <v>169</v>
      </c>
      <c r="AT712" s="8" t="s">
        <v>169</v>
      </c>
      <c r="AU712" s="10" t="s">
        <v>169</v>
      </c>
      <c r="AV712" s="10">
        <v>0</v>
      </c>
      <c r="AW712" s="8"/>
      <c r="AX712" s="10" t="s">
        <v>169</v>
      </c>
      <c r="AY712" s="10"/>
      <c r="AZ712" s="10"/>
      <c r="BA712" s="10"/>
      <c r="BB712" s="8"/>
      <c r="BC712" s="8"/>
      <c r="BD712" s="8"/>
      <c r="BE712" s="8"/>
      <c r="BF712" s="12">
        <v>0.55000000000000004</v>
      </c>
      <c r="BG712" s="13">
        <v>395.659101421917</v>
      </c>
      <c r="BH712" s="96" t="str">
        <f>+VLOOKUP(G712,Liste!$A$7:$G$50,3,FALSE)</f>
        <v>Hêtre commun</v>
      </c>
      <c r="BI712" s="96" t="str">
        <f>+VLOOKUP(H712,Liste!$B$7:$G$50,5,FALSE)</f>
        <v>GS Hêtraies et hêtraies sapinières des Pyrénées</v>
      </c>
      <c r="BJ712" s="135">
        <f t="shared" si="225"/>
        <v>105</v>
      </c>
      <c r="BK712" s="135" t="str">
        <f t="shared" si="227"/>
        <v>Hêtre commun_F1_Entree 19-20m_GS Hêtraies et hêtraies sapinières des Pyrénées_105_</v>
      </c>
      <c r="BL712" s="322"/>
      <c r="BM712" s="13">
        <v>96.9601710128928</v>
      </c>
      <c r="BN712" s="13">
        <v>492.61927243481</v>
      </c>
      <c r="BO712" s="13" t="s">
        <v>169</v>
      </c>
      <c r="BP712" s="13">
        <v>328.524705421715</v>
      </c>
      <c r="BQ712" s="13">
        <v>10.0317103479842</v>
      </c>
      <c r="BT712" s="298" t="str">
        <f>+VLOOKUP(G712,Liste!$A$7:$H$50,8,FALSE)</f>
        <v>Feuillus</v>
      </c>
      <c r="BU712" s="298">
        <f t="shared" si="228"/>
        <v>1</v>
      </c>
      <c r="BV712" s="300">
        <f t="shared" si="229"/>
        <v>0</v>
      </c>
      <c r="BW712" s="321">
        <v>0</v>
      </c>
      <c r="BX712" s="298">
        <f t="shared" si="230"/>
        <v>0.25</v>
      </c>
      <c r="BY712">
        <f t="shared" si="231"/>
        <v>0</v>
      </c>
      <c r="BZ712" s="304">
        <f t="shared" si="232"/>
        <v>0</v>
      </c>
      <c r="CB712" s="299">
        <v>0.6</v>
      </c>
      <c r="CC712" s="299">
        <v>0.4</v>
      </c>
      <c r="CD712">
        <f t="shared" si="233"/>
        <v>0</v>
      </c>
      <c r="CE712">
        <f t="shared" si="234"/>
        <v>0</v>
      </c>
      <c r="CF712">
        <f t="shared" si="235"/>
        <v>0</v>
      </c>
      <c r="CG712">
        <f t="shared" si="236"/>
        <v>0</v>
      </c>
      <c r="CH712">
        <f t="shared" si="237"/>
        <v>0</v>
      </c>
      <c r="CI712">
        <f t="shared" si="238"/>
        <v>0</v>
      </c>
      <c r="CJ712">
        <f t="shared" si="239"/>
        <v>0</v>
      </c>
      <c r="CK712">
        <f t="shared" si="240"/>
        <v>0</v>
      </c>
      <c r="CL712">
        <f t="shared" si="241"/>
        <v>0</v>
      </c>
      <c r="CM712">
        <f t="shared" si="243"/>
        <v>0</v>
      </c>
      <c r="CN712">
        <f t="shared" si="242"/>
        <v>0</v>
      </c>
      <c r="CO712">
        <f t="shared" si="226"/>
        <v>0</v>
      </c>
    </row>
    <row r="713" spans="1:93" s="12" customFormat="1" x14ac:dyDescent="0.25">
      <c r="A713" s="4">
        <v>2021</v>
      </c>
      <c r="B713" s="318">
        <v>44301</v>
      </c>
      <c r="C713" s="4" t="s">
        <v>66</v>
      </c>
      <c r="D713" s="4" t="s">
        <v>65</v>
      </c>
      <c r="E713" s="4"/>
      <c r="F713" s="4" t="s">
        <v>90</v>
      </c>
      <c r="G713" s="5" t="s">
        <v>427</v>
      </c>
      <c r="H713" s="5" t="s">
        <v>428</v>
      </c>
      <c r="I713" s="5" t="s">
        <v>143</v>
      </c>
      <c r="J713" s="5" t="s">
        <v>9</v>
      </c>
      <c r="K713" s="5">
        <v>22</v>
      </c>
      <c r="L713" s="5">
        <v>55</v>
      </c>
      <c r="M713" s="5">
        <v>1666</v>
      </c>
      <c r="N713" s="5" t="s">
        <v>170</v>
      </c>
      <c r="O713" s="6" t="s">
        <v>81</v>
      </c>
      <c r="P713" s="6" t="s">
        <v>429</v>
      </c>
      <c r="Q713" s="6"/>
      <c r="R713" s="6"/>
      <c r="S713" s="6">
        <v>42</v>
      </c>
      <c r="T713" s="6">
        <v>19.510000000000002</v>
      </c>
      <c r="U713" s="6">
        <v>1402</v>
      </c>
      <c r="V713" s="6">
        <v>28.51</v>
      </c>
      <c r="W713" s="6">
        <v>50</v>
      </c>
      <c r="X713" s="6">
        <v>303</v>
      </c>
      <c r="Y713" s="6">
        <v>595</v>
      </c>
      <c r="Z713" s="6">
        <v>375</v>
      </c>
      <c r="AA713" s="6">
        <v>75</v>
      </c>
      <c r="AB713" s="6">
        <v>4</v>
      </c>
      <c r="AC713" s="7">
        <v>108</v>
      </c>
      <c r="AD713" s="7" t="s">
        <v>52</v>
      </c>
      <c r="AE713" s="7">
        <v>35.4</v>
      </c>
      <c r="AF713" s="7">
        <v>108</v>
      </c>
      <c r="AG713" s="7">
        <v>21.65</v>
      </c>
      <c r="AH713" s="7">
        <v>50.52</v>
      </c>
      <c r="AI713" s="7">
        <v>51.22</v>
      </c>
      <c r="AJ713" s="9">
        <v>366.4459326814</v>
      </c>
      <c r="AK713" s="9">
        <v>401.07124407596501</v>
      </c>
      <c r="AL713" s="9">
        <v>439.38856235245601</v>
      </c>
      <c r="AM713" s="9">
        <v>70.244084932661494</v>
      </c>
      <c r="AN713" s="9">
        <v>0.65040819382093995</v>
      </c>
      <c r="AO713" s="9">
        <v>0.35032580882186398</v>
      </c>
      <c r="AP713" s="9">
        <v>1151.78191566906</v>
      </c>
      <c r="AQ713" s="9">
        <v>10.664647367306101</v>
      </c>
      <c r="AR713" s="9">
        <v>8.5136606353444204</v>
      </c>
      <c r="AS713" s="8" t="s">
        <v>169</v>
      </c>
      <c r="AT713" s="8" t="s">
        <v>169</v>
      </c>
      <c r="AU713" s="10" t="s">
        <v>169</v>
      </c>
      <c r="AV713" s="10">
        <v>0</v>
      </c>
      <c r="AW713" s="8"/>
      <c r="AX713" s="10" t="s">
        <v>169</v>
      </c>
      <c r="AY713" s="10"/>
      <c r="AZ713" s="10"/>
      <c r="BA713" s="10"/>
      <c r="BB713" s="8"/>
      <c r="BC713" s="8"/>
      <c r="BD713" s="8"/>
      <c r="BE713" s="8"/>
      <c r="BF713" s="12">
        <v>0.55000000000000004</v>
      </c>
      <c r="BG713" s="13">
        <v>420.89762702012302</v>
      </c>
      <c r="BH713" s="96" t="str">
        <f>+VLOOKUP(G713,Liste!$A$7:$G$50,3,FALSE)</f>
        <v>Hêtre commun</v>
      </c>
      <c r="BI713" s="96" t="str">
        <f>+VLOOKUP(H713,Liste!$B$7:$G$50,5,FALSE)</f>
        <v>GS Hêtraies et hêtraies sapinières des Pyrénées</v>
      </c>
      <c r="BJ713" s="135">
        <f t="shared" si="225"/>
        <v>108</v>
      </c>
      <c r="BK713" s="135" t="str">
        <f t="shared" si="227"/>
        <v>Hêtre commun_F1_Entree 19-20m_GS Hêtraies et hêtraies sapinières des Pyrénées_108_</v>
      </c>
      <c r="BL713" s="322"/>
      <c r="BM713" s="13">
        <v>102.405369945884</v>
      </c>
      <c r="BN713" s="13">
        <v>523.30299696600798</v>
      </c>
      <c r="BO713" s="13" t="s">
        <v>169</v>
      </c>
      <c r="BP713" s="13">
        <v>328.524705421715</v>
      </c>
      <c r="BQ713" s="13">
        <v>9.7205918303200907</v>
      </c>
      <c r="BT713" s="298" t="str">
        <f>+VLOOKUP(G713,Liste!$A$7:$H$50,8,FALSE)</f>
        <v>Feuillus</v>
      </c>
      <c r="BU713" s="298">
        <f t="shared" si="228"/>
        <v>1</v>
      </c>
      <c r="BV713" s="300">
        <f t="shared" si="229"/>
        <v>0</v>
      </c>
      <c r="BW713" s="321">
        <v>0</v>
      </c>
      <c r="BX713" s="298">
        <f t="shared" si="230"/>
        <v>0.25</v>
      </c>
      <c r="BY713">
        <f t="shared" si="231"/>
        <v>0</v>
      </c>
      <c r="BZ713" s="304">
        <f t="shared" si="232"/>
        <v>0</v>
      </c>
      <c r="CB713" s="299">
        <v>0.6</v>
      </c>
      <c r="CC713" s="299">
        <v>0.4</v>
      </c>
      <c r="CD713">
        <f t="shared" si="233"/>
        <v>0</v>
      </c>
      <c r="CE713">
        <f t="shared" si="234"/>
        <v>0</v>
      </c>
      <c r="CF713">
        <f t="shared" si="235"/>
        <v>0</v>
      </c>
      <c r="CG713">
        <f t="shared" si="236"/>
        <v>0</v>
      </c>
      <c r="CH713">
        <f t="shared" si="237"/>
        <v>0</v>
      </c>
      <c r="CI713">
        <f t="shared" si="238"/>
        <v>0</v>
      </c>
      <c r="CJ713">
        <f t="shared" si="239"/>
        <v>0</v>
      </c>
      <c r="CK713">
        <f t="shared" si="240"/>
        <v>0</v>
      </c>
      <c r="CL713">
        <f t="shared" si="241"/>
        <v>0</v>
      </c>
      <c r="CM713">
        <f t="shared" si="243"/>
        <v>0</v>
      </c>
      <c r="CN713">
        <f t="shared" si="242"/>
        <v>0</v>
      </c>
      <c r="CO713">
        <f t="shared" si="226"/>
        <v>0</v>
      </c>
    </row>
    <row r="714" spans="1:93" s="12" customFormat="1" x14ac:dyDescent="0.25">
      <c r="A714" s="4">
        <v>2021</v>
      </c>
      <c r="B714" s="318">
        <v>44301</v>
      </c>
      <c r="C714" s="4" t="s">
        <v>66</v>
      </c>
      <c r="D714" s="4" t="s">
        <v>65</v>
      </c>
      <c r="E714" s="4"/>
      <c r="F714" s="4" t="s">
        <v>90</v>
      </c>
      <c r="G714" s="5" t="s">
        <v>427</v>
      </c>
      <c r="H714" s="5" t="s">
        <v>428</v>
      </c>
      <c r="I714" s="5" t="s">
        <v>143</v>
      </c>
      <c r="J714" s="5" t="s">
        <v>9</v>
      </c>
      <c r="K714" s="5">
        <v>22</v>
      </c>
      <c r="L714" s="5">
        <v>55</v>
      </c>
      <c r="M714" s="5">
        <v>1666</v>
      </c>
      <c r="N714" s="5" t="s">
        <v>170</v>
      </c>
      <c r="O714" s="6" t="s">
        <v>81</v>
      </c>
      <c r="P714" s="6" t="s">
        <v>429</v>
      </c>
      <c r="Q714" s="6"/>
      <c r="R714" s="6"/>
      <c r="S714" s="6">
        <v>42</v>
      </c>
      <c r="T714" s="6">
        <v>19.510000000000002</v>
      </c>
      <c r="U714" s="6">
        <v>1402</v>
      </c>
      <c r="V714" s="6">
        <v>28.51</v>
      </c>
      <c r="W714" s="6">
        <v>50</v>
      </c>
      <c r="X714" s="6">
        <v>303</v>
      </c>
      <c r="Y714" s="6">
        <v>595</v>
      </c>
      <c r="Z714" s="6">
        <v>375</v>
      </c>
      <c r="AA714" s="6">
        <v>75</v>
      </c>
      <c r="AB714" s="6">
        <v>4</v>
      </c>
      <c r="AC714" s="7">
        <v>111</v>
      </c>
      <c r="AD714" s="7" t="s">
        <v>52</v>
      </c>
      <c r="AE714" s="7">
        <v>35.72</v>
      </c>
      <c r="AF714" s="7">
        <v>108</v>
      </c>
      <c r="AG714" s="7">
        <v>22.7</v>
      </c>
      <c r="AH714" s="7">
        <v>51.73</v>
      </c>
      <c r="AI714" s="7">
        <v>52.44</v>
      </c>
      <c r="AJ714" s="9">
        <v>387.73514930649799</v>
      </c>
      <c r="AK714" s="9">
        <v>424.84185233388899</v>
      </c>
      <c r="AL714" s="9">
        <v>464.92954425848899</v>
      </c>
      <c r="AM714" s="9">
        <v>71.295062359127101</v>
      </c>
      <c r="AN714" s="9">
        <v>0.64229785909123505</v>
      </c>
      <c r="AO714" s="9">
        <v>0.30651224399504401</v>
      </c>
      <c r="AP714" s="9">
        <v>1177.3228975750901</v>
      </c>
      <c r="AQ714" s="9">
        <v>10.6065125907666</v>
      </c>
      <c r="AR714" s="9">
        <v>7.5007055581859996</v>
      </c>
      <c r="AS714" s="8" t="s">
        <v>169</v>
      </c>
      <c r="AT714" s="8" t="s">
        <v>169</v>
      </c>
      <c r="AU714" s="10" t="s">
        <v>169</v>
      </c>
      <c r="AV714" s="10">
        <v>0</v>
      </c>
      <c r="AW714" s="8"/>
      <c r="AX714" s="10" t="s">
        <v>169</v>
      </c>
      <c r="AY714" s="10"/>
      <c r="AZ714" s="10"/>
      <c r="BA714" s="10"/>
      <c r="BB714" s="8"/>
      <c r="BC714" s="8"/>
      <c r="BD714" s="8"/>
      <c r="BE714" s="8"/>
      <c r="BF714" s="12">
        <v>0.55000000000000004</v>
      </c>
      <c r="BG714" s="13">
        <v>445.363759270944</v>
      </c>
      <c r="BH714" s="96" t="str">
        <f>+VLOOKUP(G714,Liste!$A$7:$G$50,3,FALSE)</f>
        <v>Hêtre commun</v>
      </c>
      <c r="BI714" s="96" t="str">
        <f>+VLOOKUP(H714,Liste!$B$7:$G$50,5,FALSE)</f>
        <v>GS Hêtraies et hêtraies sapinières des Pyrénées</v>
      </c>
      <c r="BJ714" s="135">
        <f t="shared" si="225"/>
        <v>111</v>
      </c>
      <c r="BK714" s="135" t="str">
        <f t="shared" si="227"/>
        <v>Hêtre commun_F1_Entree 19-20m_GS Hêtraies et hêtraies sapinières des Pyrénées_111_</v>
      </c>
      <c r="BL714" s="322"/>
      <c r="BM714" s="13">
        <v>107.64772558162601</v>
      </c>
      <c r="BN714" s="13">
        <v>553.01148485256999</v>
      </c>
      <c r="BO714" s="13" t="s">
        <v>169</v>
      </c>
      <c r="BP714" s="13">
        <v>328.524705421715</v>
      </c>
      <c r="BQ714" s="13">
        <v>8.5607618159912509</v>
      </c>
      <c r="BT714" s="298" t="str">
        <f>+VLOOKUP(G714,Liste!$A$7:$H$50,8,FALSE)</f>
        <v>Feuillus</v>
      </c>
      <c r="BU714" s="298">
        <f t="shared" si="228"/>
        <v>1</v>
      </c>
      <c r="BV714" s="300">
        <f t="shared" si="229"/>
        <v>0</v>
      </c>
      <c r="BW714" s="321">
        <v>0</v>
      </c>
      <c r="BX714" s="298">
        <f t="shared" si="230"/>
        <v>0.25</v>
      </c>
      <c r="BY714">
        <f t="shared" si="231"/>
        <v>0</v>
      </c>
      <c r="BZ714" s="304">
        <f t="shared" si="232"/>
        <v>0</v>
      </c>
      <c r="CB714" s="299">
        <v>0.6</v>
      </c>
      <c r="CC714" s="299">
        <v>0.4</v>
      </c>
      <c r="CD714">
        <f t="shared" si="233"/>
        <v>0</v>
      </c>
      <c r="CE714">
        <f t="shared" si="234"/>
        <v>0</v>
      </c>
      <c r="CF714">
        <f t="shared" si="235"/>
        <v>0</v>
      </c>
      <c r="CG714">
        <f t="shared" si="236"/>
        <v>0</v>
      </c>
      <c r="CH714">
        <f t="shared" si="237"/>
        <v>0</v>
      </c>
      <c r="CI714">
        <f t="shared" si="238"/>
        <v>0</v>
      </c>
      <c r="CJ714">
        <f t="shared" si="239"/>
        <v>0</v>
      </c>
      <c r="CK714">
        <f t="shared" si="240"/>
        <v>0</v>
      </c>
      <c r="CL714">
        <f t="shared" si="241"/>
        <v>0</v>
      </c>
      <c r="CM714">
        <f t="shared" si="243"/>
        <v>0</v>
      </c>
      <c r="CN714">
        <f t="shared" si="242"/>
        <v>0</v>
      </c>
      <c r="CO714">
        <f t="shared" si="226"/>
        <v>0</v>
      </c>
    </row>
    <row r="715" spans="1:93" s="12" customFormat="1" x14ac:dyDescent="0.25">
      <c r="A715" s="4">
        <v>2021</v>
      </c>
      <c r="B715" s="318">
        <v>44301</v>
      </c>
      <c r="C715" s="4" t="s">
        <v>66</v>
      </c>
      <c r="D715" s="4" t="s">
        <v>65</v>
      </c>
      <c r="E715" s="4"/>
      <c r="F715" s="4" t="s">
        <v>90</v>
      </c>
      <c r="G715" s="5" t="s">
        <v>427</v>
      </c>
      <c r="H715" s="5" t="s">
        <v>428</v>
      </c>
      <c r="I715" s="5" t="s">
        <v>143</v>
      </c>
      <c r="J715" s="5" t="s">
        <v>9</v>
      </c>
      <c r="K715" s="5">
        <v>22</v>
      </c>
      <c r="L715" s="5">
        <v>55</v>
      </c>
      <c r="M715" s="5">
        <v>1666</v>
      </c>
      <c r="N715" s="5" t="s">
        <v>170</v>
      </c>
      <c r="O715" s="6" t="s">
        <v>81</v>
      </c>
      <c r="P715" s="6" t="s">
        <v>429</v>
      </c>
      <c r="Q715" s="6"/>
      <c r="R715" s="6"/>
      <c r="S715" s="6">
        <v>42</v>
      </c>
      <c r="T715" s="6">
        <v>19.510000000000002</v>
      </c>
      <c r="U715" s="6">
        <v>1402</v>
      </c>
      <c r="V715" s="6">
        <v>28.51</v>
      </c>
      <c r="W715" s="6">
        <v>50</v>
      </c>
      <c r="X715" s="6">
        <v>303</v>
      </c>
      <c r="Y715" s="6">
        <v>595</v>
      </c>
      <c r="Z715" s="6">
        <v>375</v>
      </c>
      <c r="AA715" s="6">
        <v>75</v>
      </c>
      <c r="AB715" s="6">
        <v>4</v>
      </c>
      <c r="AC715" s="7">
        <v>111</v>
      </c>
      <c r="AD715" s="7" t="s">
        <v>53</v>
      </c>
      <c r="AE715" s="7">
        <v>35.72</v>
      </c>
      <c r="AF715" s="7">
        <v>74</v>
      </c>
      <c r="AG715" s="7">
        <v>14.6</v>
      </c>
      <c r="AH715" s="7">
        <v>50.12</v>
      </c>
      <c r="AI715" s="7">
        <v>50.12</v>
      </c>
      <c r="AJ715" s="9">
        <v>248.985602180173</v>
      </c>
      <c r="AK715" s="9">
        <v>271.845397392005</v>
      </c>
      <c r="AL715" s="9">
        <v>297.64128235876501</v>
      </c>
      <c r="AM715" s="9">
        <v>71.295062359127101</v>
      </c>
      <c r="AN715" s="9">
        <v>0.64229785909123505</v>
      </c>
      <c r="AO715" s="9">
        <v>0.30651224399504401</v>
      </c>
      <c r="AP715" s="9">
        <v>1177.3228975750901</v>
      </c>
      <c r="AQ715" s="9">
        <v>10.6065125907666</v>
      </c>
      <c r="AR715" s="9">
        <v>7.5007055581859996</v>
      </c>
      <c r="AS715" s="8">
        <v>34</v>
      </c>
      <c r="AT715" s="8">
        <v>8.1</v>
      </c>
      <c r="AU715" s="10">
        <v>55.075457094989282</v>
      </c>
      <c r="AV715" s="10">
        <v>138.74954712632498</v>
      </c>
      <c r="AW715" s="10">
        <v>1.1299999999999999</v>
      </c>
      <c r="AX715" s="10">
        <v>4.0808690331272057</v>
      </c>
      <c r="AY715" s="10"/>
      <c r="AZ715" s="10"/>
      <c r="BA715" s="10"/>
      <c r="BB715" s="8"/>
      <c r="BC715" s="8"/>
      <c r="BD715" s="8"/>
      <c r="BE715" s="8"/>
      <c r="BF715" s="12">
        <v>0.55000000000000004</v>
      </c>
      <c r="BG715" s="13">
        <v>285.11554505950102</v>
      </c>
      <c r="BH715" s="96" t="str">
        <f>+VLOOKUP(G715,Liste!$A$7:$G$50,3,FALSE)</f>
        <v>Hêtre commun</v>
      </c>
      <c r="BI715" s="96" t="str">
        <f>+VLOOKUP(H715,Liste!$B$7:$G$50,5,FALSE)</f>
        <v>GS Hêtraies et hêtraies sapinières des Pyrénées</v>
      </c>
      <c r="BJ715" s="135">
        <f t="shared" si="225"/>
        <v>111</v>
      </c>
      <c r="BK715" s="135" t="str">
        <f t="shared" si="227"/>
        <v>Hêtre commun_F1_Entree 19-20m_GS Hêtraies et hêtraies sapinières des Pyrénées_111_</v>
      </c>
      <c r="BL715" s="322"/>
      <c r="BM715" s="13">
        <v>72.586667766233504</v>
      </c>
      <c r="BN715" s="13">
        <v>357.70221282573402</v>
      </c>
      <c r="BO715" s="13">
        <v>195.30927202683597</v>
      </c>
      <c r="BP715" s="13">
        <v>328.524705421715</v>
      </c>
      <c r="BQ715" s="13">
        <v>8.5607618159912509</v>
      </c>
      <c r="BT715" s="298" t="str">
        <f>+VLOOKUP(G715,Liste!$A$7:$H$50,8,FALSE)</f>
        <v>Feuillus</v>
      </c>
      <c r="BU715" s="298">
        <f t="shared" si="228"/>
        <v>1</v>
      </c>
      <c r="BV715" s="300">
        <f t="shared" si="229"/>
        <v>0</v>
      </c>
      <c r="BW715" s="321">
        <v>0</v>
      </c>
      <c r="BX715" s="298">
        <f t="shared" si="230"/>
        <v>0.25</v>
      </c>
      <c r="BY715">
        <f t="shared" si="231"/>
        <v>0</v>
      </c>
      <c r="BZ715" s="304">
        <f t="shared" si="232"/>
        <v>0</v>
      </c>
      <c r="CB715" s="299">
        <v>0.6</v>
      </c>
      <c r="CC715" s="299">
        <v>0.4</v>
      </c>
      <c r="CD715">
        <f t="shared" si="233"/>
        <v>0</v>
      </c>
      <c r="CE715">
        <f t="shared" si="234"/>
        <v>0</v>
      </c>
      <c r="CF715">
        <f t="shared" si="235"/>
        <v>0</v>
      </c>
      <c r="CG715">
        <f t="shared" si="236"/>
        <v>0</v>
      </c>
      <c r="CH715">
        <f t="shared" si="237"/>
        <v>0</v>
      </c>
      <c r="CI715">
        <f t="shared" si="238"/>
        <v>0</v>
      </c>
      <c r="CJ715">
        <f t="shared" si="239"/>
        <v>0</v>
      </c>
      <c r="CK715">
        <f t="shared" si="240"/>
        <v>0</v>
      </c>
      <c r="CL715">
        <f t="shared" si="241"/>
        <v>0</v>
      </c>
      <c r="CM715">
        <f t="shared" si="243"/>
        <v>0</v>
      </c>
      <c r="CN715">
        <f t="shared" si="242"/>
        <v>0</v>
      </c>
      <c r="CO715">
        <f t="shared" si="226"/>
        <v>0</v>
      </c>
    </row>
    <row r="716" spans="1:93" s="12" customFormat="1" x14ac:dyDescent="0.25">
      <c r="A716" s="4">
        <v>2021</v>
      </c>
      <c r="B716" s="318">
        <v>44301</v>
      </c>
      <c r="C716" s="4" t="s">
        <v>66</v>
      </c>
      <c r="D716" s="4" t="s">
        <v>65</v>
      </c>
      <c r="E716" s="4"/>
      <c r="F716" s="4" t="s">
        <v>90</v>
      </c>
      <c r="G716" s="5" t="s">
        <v>427</v>
      </c>
      <c r="H716" s="5" t="s">
        <v>428</v>
      </c>
      <c r="I716" s="5" t="s">
        <v>143</v>
      </c>
      <c r="J716" s="5" t="s">
        <v>9</v>
      </c>
      <c r="K716" s="5">
        <v>22</v>
      </c>
      <c r="L716" s="5">
        <v>55</v>
      </c>
      <c r="M716" s="5">
        <v>1666</v>
      </c>
      <c r="N716" s="5" t="s">
        <v>170</v>
      </c>
      <c r="O716" s="6" t="s">
        <v>81</v>
      </c>
      <c r="P716" s="6" t="s">
        <v>429</v>
      </c>
      <c r="Q716" s="6"/>
      <c r="R716" s="6"/>
      <c r="S716" s="6">
        <v>42</v>
      </c>
      <c r="T716" s="6">
        <v>19.510000000000002</v>
      </c>
      <c r="U716" s="6">
        <v>1402</v>
      </c>
      <c r="V716" s="6">
        <v>28.51</v>
      </c>
      <c r="W716" s="6">
        <v>50</v>
      </c>
      <c r="X716" s="6">
        <v>303</v>
      </c>
      <c r="Y716" s="6">
        <v>595</v>
      </c>
      <c r="Z716" s="6">
        <v>375</v>
      </c>
      <c r="AA716" s="6">
        <v>75</v>
      </c>
      <c r="AB716" s="6">
        <v>4</v>
      </c>
      <c r="AC716" s="7">
        <v>114</v>
      </c>
      <c r="AD716" s="7" t="s">
        <v>52</v>
      </c>
      <c r="AE716" s="7">
        <v>36.03</v>
      </c>
      <c r="AF716" s="7">
        <v>74</v>
      </c>
      <c r="AG716" s="7">
        <v>15.52</v>
      </c>
      <c r="AH716" s="7">
        <v>51.67</v>
      </c>
      <c r="AI716" s="7">
        <v>51.67</v>
      </c>
      <c r="AJ716" s="9">
        <v>267.80581095796498</v>
      </c>
      <c r="AK716" s="9">
        <v>292.80218538743998</v>
      </c>
      <c r="AL716" s="9">
        <v>320.14339903332302</v>
      </c>
      <c r="AM716" s="9">
        <v>72.214599091112206</v>
      </c>
      <c r="AN716" s="9">
        <v>0.63346139553607195</v>
      </c>
      <c r="AO716" s="9">
        <v>0.30105020817565997</v>
      </c>
      <c r="AP716" s="9">
        <v>1199.8250142496499</v>
      </c>
      <c r="AQ716" s="9">
        <v>10.5247808267513</v>
      </c>
      <c r="AR716" s="9">
        <v>7.2312888005475298</v>
      </c>
      <c r="AS716" s="8" t="s">
        <v>169</v>
      </c>
      <c r="AT716" s="8" t="s">
        <v>169</v>
      </c>
      <c r="AU716" s="10" t="s">
        <v>169</v>
      </c>
      <c r="AV716" s="10">
        <v>0</v>
      </c>
      <c r="AW716" s="8"/>
      <c r="AX716" s="10" t="s">
        <v>169</v>
      </c>
      <c r="AY716" s="10"/>
      <c r="AZ716" s="10"/>
      <c r="BA716" s="10"/>
      <c r="BB716" s="8"/>
      <c r="BC716" s="8"/>
      <c r="BD716" s="8"/>
      <c r="BE716" s="8"/>
      <c r="BF716" s="12">
        <v>0.55000000000000004</v>
      </c>
      <c r="BG716" s="13">
        <v>306.670697657338</v>
      </c>
      <c r="BH716" s="96" t="str">
        <f>+VLOOKUP(G716,Liste!$A$7:$G$50,3,FALSE)</f>
        <v>Hêtre commun</v>
      </c>
      <c r="BI716" s="96" t="str">
        <f>+VLOOKUP(H716,Liste!$B$7:$G$50,5,FALSE)</f>
        <v>GS Hêtraies et hêtraies sapinières des Pyrénées</v>
      </c>
      <c r="BJ716" s="135">
        <f t="shared" si="225"/>
        <v>114</v>
      </c>
      <c r="BK716" s="135" t="str">
        <f t="shared" si="227"/>
        <v>Hêtre commun_F1_Entree 19-20m_GS Hêtraies et hêtraies sapinières des Pyrénées_114_</v>
      </c>
      <c r="BL716" s="322"/>
      <c r="BM716" s="13">
        <v>77.414804822911805</v>
      </c>
      <c r="BN716" s="13">
        <v>384.08550248024898</v>
      </c>
      <c r="BO716" s="13" t="s">
        <v>169</v>
      </c>
      <c r="BP716" s="13">
        <v>328.524705421715</v>
      </c>
      <c r="BQ716" s="13">
        <v>8.2508874954338598</v>
      </c>
      <c r="BT716" s="298" t="str">
        <f>+VLOOKUP(G716,Liste!$A$7:$H$50,8,FALSE)</f>
        <v>Feuillus</v>
      </c>
      <c r="BU716" s="298">
        <f t="shared" si="228"/>
        <v>1</v>
      </c>
      <c r="BV716" s="300">
        <f t="shared" si="229"/>
        <v>0</v>
      </c>
      <c r="BW716" s="321">
        <v>0</v>
      </c>
      <c r="BX716" s="298">
        <f t="shared" si="230"/>
        <v>0.25</v>
      </c>
      <c r="BY716">
        <f t="shared" si="231"/>
        <v>0</v>
      </c>
      <c r="BZ716" s="304">
        <f t="shared" si="232"/>
        <v>0</v>
      </c>
      <c r="CB716" s="299">
        <v>0.6</v>
      </c>
      <c r="CC716" s="299">
        <v>0.4</v>
      </c>
      <c r="CD716">
        <f t="shared" si="233"/>
        <v>0</v>
      </c>
      <c r="CE716">
        <f t="shared" si="234"/>
        <v>0</v>
      </c>
      <c r="CF716">
        <f t="shared" si="235"/>
        <v>0</v>
      </c>
      <c r="CG716">
        <f t="shared" si="236"/>
        <v>0</v>
      </c>
      <c r="CH716">
        <f t="shared" si="237"/>
        <v>0</v>
      </c>
      <c r="CI716">
        <f t="shared" si="238"/>
        <v>0</v>
      </c>
      <c r="CJ716">
        <f t="shared" si="239"/>
        <v>0</v>
      </c>
      <c r="CK716">
        <f t="shared" si="240"/>
        <v>0</v>
      </c>
      <c r="CL716">
        <f t="shared" si="241"/>
        <v>0</v>
      </c>
      <c r="CM716">
        <f t="shared" si="243"/>
        <v>0</v>
      </c>
      <c r="CN716">
        <f t="shared" si="242"/>
        <v>0</v>
      </c>
      <c r="CO716">
        <f t="shared" si="226"/>
        <v>0</v>
      </c>
    </row>
    <row r="717" spans="1:93" s="12" customFormat="1" x14ac:dyDescent="0.25">
      <c r="A717" s="4">
        <v>2021</v>
      </c>
      <c r="B717" s="318">
        <v>44301</v>
      </c>
      <c r="C717" s="4" t="s">
        <v>66</v>
      </c>
      <c r="D717" s="4" t="s">
        <v>65</v>
      </c>
      <c r="E717" s="4"/>
      <c r="F717" s="4" t="s">
        <v>90</v>
      </c>
      <c r="G717" s="5" t="s">
        <v>427</v>
      </c>
      <c r="H717" s="5" t="s">
        <v>428</v>
      </c>
      <c r="I717" s="5" t="s">
        <v>143</v>
      </c>
      <c r="J717" s="5" t="s">
        <v>9</v>
      </c>
      <c r="K717" s="5">
        <v>22</v>
      </c>
      <c r="L717" s="5">
        <v>55</v>
      </c>
      <c r="M717" s="5">
        <v>1666</v>
      </c>
      <c r="N717" s="5" t="s">
        <v>170</v>
      </c>
      <c r="O717" s="6" t="s">
        <v>81</v>
      </c>
      <c r="P717" s="6" t="s">
        <v>429</v>
      </c>
      <c r="Q717" s="6"/>
      <c r="R717" s="6"/>
      <c r="S717" s="6">
        <v>42</v>
      </c>
      <c r="T717" s="6">
        <v>19.510000000000002</v>
      </c>
      <c r="U717" s="6">
        <v>1402</v>
      </c>
      <c r="V717" s="6">
        <v>28.51</v>
      </c>
      <c r="W717" s="6">
        <v>50</v>
      </c>
      <c r="X717" s="6">
        <v>303</v>
      </c>
      <c r="Y717" s="6">
        <v>595</v>
      </c>
      <c r="Z717" s="6">
        <v>375</v>
      </c>
      <c r="AA717" s="6">
        <v>75</v>
      </c>
      <c r="AB717" s="6">
        <v>4</v>
      </c>
      <c r="AC717" s="7">
        <v>116</v>
      </c>
      <c r="AD717" s="7" t="s">
        <v>52</v>
      </c>
      <c r="AE717" s="7">
        <v>36.22</v>
      </c>
      <c r="AF717" s="7">
        <v>74</v>
      </c>
      <c r="AG717" s="7">
        <v>16.12</v>
      </c>
      <c r="AH717" s="7">
        <v>52.66</v>
      </c>
      <c r="AI717" s="7">
        <v>52.66</v>
      </c>
      <c r="AJ717" s="9">
        <v>279.79104102632499</v>
      </c>
      <c r="AK717" s="9">
        <v>306.24422992336599</v>
      </c>
      <c r="AL717" s="9">
        <v>334.60597663441803</v>
      </c>
      <c r="AM717" s="9">
        <v>72.816699507463497</v>
      </c>
      <c r="AN717" s="9">
        <v>0.62773016816778904</v>
      </c>
      <c r="AO717" s="9">
        <v>0.25258629820536299</v>
      </c>
      <c r="AP717" s="9">
        <v>1214.28759185075</v>
      </c>
      <c r="AQ717" s="9">
        <v>10.467996481471999</v>
      </c>
      <c r="AR717" s="9">
        <v>5.9922764039249596</v>
      </c>
      <c r="AS717" s="8" t="s">
        <v>169</v>
      </c>
      <c r="AT717" s="8" t="s">
        <v>169</v>
      </c>
      <c r="AU717" s="10" t="s">
        <v>169</v>
      </c>
      <c r="AV717" s="10">
        <v>0</v>
      </c>
      <c r="AW717" s="8"/>
      <c r="AX717" s="10" t="s">
        <v>169</v>
      </c>
      <c r="AY717" s="10"/>
      <c r="AZ717" s="10"/>
      <c r="BA717" s="10"/>
      <c r="BB717" s="8"/>
      <c r="BC717" s="8"/>
      <c r="BD717" s="8"/>
      <c r="BE717" s="8"/>
      <c r="BF717" s="12">
        <v>0.55000000000000004</v>
      </c>
      <c r="BG717" s="13">
        <v>320.52464178438697</v>
      </c>
      <c r="BH717" s="96" t="str">
        <f>+VLOOKUP(G717,Liste!$A$7:$G$50,3,FALSE)</f>
        <v>Hêtre commun</v>
      </c>
      <c r="BI717" s="96" t="str">
        <f>+VLOOKUP(H717,Liste!$B$7:$G$50,5,FALSE)</f>
        <v>GS Hêtraies et hêtraies sapinières des Pyrénées</v>
      </c>
      <c r="BJ717" s="135">
        <f t="shared" si="225"/>
        <v>116</v>
      </c>
      <c r="BK717" s="135" t="str">
        <f t="shared" si="227"/>
        <v>Hêtre commun_F1_Entree 19-20m_GS Hêtraies et hêtraies sapinières des Pyrénées_116_</v>
      </c>
      <c r="BL717" s="322"/>
      <c r="BM717" s="13">
        <v>80.496972967303705</v>
      </c>
      <c r="BN717" s="13">
        <v>401.02161475168998</v>
      </c>
      <c r="BO717" s="13" t="s">
        <v>169</v>
      </c>
      <c r="BP717" s="13">
        <v>328.524705421715</v>
      </c>
      <c r="BQ717" s="13">
        <v>6.83547381194398</v>
      </c>
      <c r="BT717" s="298" t="str">
        <f>+VLOOKUP(G717,Liste!$A$7:$H$50,8,FALSE)</f>
        <v>Feuillus</v>
      </c>
      <c r="BU717" s="298">
        <f t="shared" si="228"/>
        <v>1</v>
      </c>
      <c r="BV717" s="300">
        <f t="shared" si="229"/>
        <v>0</v>
      </c>
      <c r="BW717" s="321">
        <v>0</v>
      </c>
      <c r="BX717" s="298">
        <f t="shared" si="230"/>
        <v>0.25</v>
      </c>
      <c r="BY717">
        <f t="shared" si="231"/>
        <v>0</v>
      </c>
      <c r="BZ717" s="304">
        <f t="shared" si="232"/>
        <v>0</v>
      </c>
      <c r="CB717" s="299">
        <v>0.6</v>
      </c>
      <c r="CC717" s="299">
        <v>0.4</v>
      </c>
      <c r="CD717">
        <f t="shared" si="233"/>
        <v>0</v>
      </c>
      <c r="CE717">
        <f t="shared" si="234"/>
        <v>0</v>
      </c>
      <c r="CF717">
        <f t="shared" si="235"/>
        <v>0</v>
      </c>
      <c r="CG717">
        <f t="shared" si="236"/>
        <v>0</v>
      </c>
      <c r="CH717">
        <f t="shared" si="237"/>
        <v>0</v>
      </c>
      <c r="CI717">
        <f t="shared" si="238"/>
        <v>0</v>
      </c>
      <c r="CJ717">
        <f t="shared" si="239"/>
        <v>0</v>
      </c>
      <c r="CK717">
        <f t="shared" si="240"/>
        <v>0</v>
      </c>
      <c r="CL717">
        <f t="shared" si="241"/>
        <v>0</v>
      </c>
      <c r="CM717">
        <f t="shared" si="243"/>
        <v>0</v>
      </c>
      <c r="CN717">
        <f t="shared" si="242"/>
        <v>0</v>
      </c>
      <c r="CO717">
        <f t="shared" si="226"/>
        <v>0</v>
      </c>
    </row>
    <row r="718" spans="1:93" s="12" customFormat="1" x14ac:dyDescent="0.25">
      <c r="A718" s="4">
        <v>2021</v>
      </c>
      <c r="B718" s="318">
        <v>44301</v>
      </c>
      <c r="C718" s="4" t="s">
        <v>66</v>
      </c>
      <c r="D718" s="4" t="s">
        <v>65</v>
      </c>
      <c r="E718" s="4"/>
      <c r="F718" s="4" t="s">
        <v>90</v>
      </c>
      <c r="G718" s="5" t="s">
        <v>427</v>
      </c>
      <c r="H718" s="5" t="s">
        <v>428</v>
      </c>
      <c r="I718" s="5" t="s">
        <v>143</v>
      </c>
      <c r="J718" s="5" t="s">
        <v>9</v>
      </c>
      <c r="K718" s="5">
        <v>22</v>
      </c>
      <c r="L718" s="5">
        <v>55</v>
      </c>
      <c r="M718" s="5">
        <v>1666</v>
      </c>
      <c r="N718" s="5" t="s">
        <v>170</v>
      </c>
      <c r="O718" s="6" t="s">
        <v>81</v>
      </c>
      <c r="P718" s="6" t="s">
        <v>429</v>
      </c>
      <c r="Q718" s="6"/>
      <c r="R718" s="6"/>
      <c r="S718" s="6">
        <v>42</v>
      </c>
      <c r="T718" s="6">
        <v>19.510000000000002</v>
      </c>
      <c r="U718" s="6">
        <v>1402</v>
      </c>
      <c r="V718" s="6">
        <v>28.51</v>
      </c>
      <c r="W718" s="6">
        <v>50</v>
      </c>
      <c r="X718" s="6">
        <v>303</v>
      </c>
      <c r="Y718" s="6">
        <v>595</v>
      </c>
      <c r="Z718" s="6">
        <v>375</v>
      </c>
      <c r="AA718" s="6">
        <v>75</v>
      </c>
      <c r="AB718" s="6">
        <v>4</v>
      </c>
      <c r="AC718" s="7">
        <v>116</v>
      </c>
      <c r="AD718" s="7" t="s">
        <v>53</v>
      </c>
      <c r="AE718" s="7">
        <v>36.22</v>
      </c>
      <c r="AF718" s="7">
        <v>50</v>
      </c>
      <c r="AG718" s="7">
        <v>10.58</v>
      </c>
      <c r="AH718" s="7">
        <v>51.9</v>
      </c>
      <c r="AI718" s="7">
        <v>51.9</v>
      </c>
      <c r="AJ718" s="9">
        <v>183.50681834419299</v>
      </c>
      <c r="AK718" s="9">
        <v>200.473852907783</v>
      </c>
      <c r="AL718" s="9">
        <v>219.088774527716</v>
      </c>
      <c r="AM718" s="9">
        <v>72.816699507463497</v>
      </c>
      <c r="AN718" s="9">
        <v>0.62773016816778904</v>
      </c>
      <c r="AO718" s="9">
        <v>0.25258629820536299</v>
      </c>
      <c r="AP718" s="9">
        <v>1214.28759185075</v>
      </c>
      <c r="AQ718" s="9">
        <v>10.467996481471999</v>
      </c>
      <c r="AR718" s="9">
        <v>5.9922764039249596</v>
      </c>
      <c r="AS718" s="8">
        <v>24</v>
      </c>
      <c r="AT718" s="8">
        <v>5.5400000000000009</v>
      </c>
      <c r="AU718" s="10">
        <v>54.213109876028462</v>
      </c>
      <c r="AV718" s="10">
        <v>96.284222682131997</v>
      </c>
      <c r="AW718" s="10">
        <v>1.06</v>
      </c>
      <c r="AX718" s="10">
        <v>4.0118426117555002</v>
      </c>
      <c r="AY718" s="10"/>
      <c r="AZ718" s="10"/>
      <c r="BA718" s="10"/>
      <c r="BB718" s="8"/>
      <c r="BC718" s="8"/>
      <c r="BD718" s="8"/>
      <c r="BE718" s="8"/>
      <c r="BF718" s="12">
        <v>0.55000000000000004</v>
      </c>
      <c r="BG718" s="13">
        <v>209.86878859967501</v>
      </c>
      <c r="BH718" s="96" t="str">
        <f>+VLOOKUP(G718,Liste!$A$7:$G$50,3,FALSE)</f>
        <v>Hêtre commun</v>
      </c>
      <c r="BI718" s="96" t="str">
        <f>+VLOOKUP(H718,Liste!$B$7:$G$50,5,FALSE)</f>
        <v>GS Hêtraies et hêtraies sapinières des Pyrénées</v>
      </c>
      <c r="BJ718" s="135">
        <f t="shared" si="225"/>
        <v>116</v>
      </c>
      <c r="BK718" s="135" t="str">
        <f t="shared" si="227"/>
        <v>Hêtre commun_F1_Entree 19-20m_GS Hêtraies et hêtraies sapinières des Pyrénées_116_</v>
      </c>
      <c r="BL718" s="322"/>
      <c r="BM718" s="13">
        <v>55.369872164115797</v>
      </c>
      <c r="BN718" s="13">
        <v>265.23866076378999</v>
      </c>
      <c r="BO718" s="13">
        <v>135.78295398789999</v>
      </c>
      <c r="BP718" s="13">
        <v>328.524705421715</v>
      </c>
      <c r="BQ718" s="13">
        <v>6.83547381194398</v>
      </c>
      <c r="BT718" s="298" t="str">
        <f>+VLOOKUP(G718,Liste!$A$7:$H$50,8,FALSE)</f>
        <v>Feuillus</v>
      </c>
      <c r="BU718" s="298">
        <f t="shared" si="228"/>
        <v>1</v>
      </c>
      <c r="BV718" s="300">
        <f t="shared" si="229"/>
        <v>0</v>
      </c>
      <c r="BW718" s="321">
        <v>0</v>
      </c>
      <c r="BX718" s="298">
        <f t="shared" si="230"/>
        <v>0.25</v>
      </c>
      <c r="BY718">
        <f t="shared" si="231"/>
        <v>0</v>
      </c>
      <c r="BZ718" s="304">
        <f t="shared" si="232"/>
        <v>0</v>
      </c>
      <c r="CB718" s="299">
        <v>0.6</v>
      </c>
      <c r="CC718" s="299">
        <v>0.4</v>
      </c>
      <c r="CD718">
        <f t="shared" si="233"/>
        <v>0</v>
      </c>
      <c r="CE718">
        <f t="shared" si="234"/>
        <v>0</v>
      </c>
      <c r="CF718">
        <f t="shared" si="235"/>
        <v>0</v>
      </c>
      <c r="CG718">
        <f t="shared" si="236"/>
        <v>0</v>
      </c>
      <c r="CH718">
        <f t="shared" si="237"/>
        <v>0</v>
      </c>
      <c r="CI718">
        <f t="shared" si="238"/>
        <v>0</v>
      </c>
      <c r="CJ718">
        <f t="shared" si="239"/>
        <v>0</v>
      </c>
      <c r="CK718">
        <f t="shared" si="240"/>
        <v>0</v>
      </c>
      <c r="CL718">
        <f t="shared" si="241"/>
        <v>0</v>
      </c>
      <c r="CM718">
        <f t="shared" si="243"/>
        <v>0</v>
      </c>
      <c r="CN718">
        <f t="shared" si="242"/>
        <v>0</v>
      </c>
      <c r="CO718">
        <f t="shared" si="226"/>
        <v>0</v>
      </c>
    </row>
    <row r="719" spans="1:93" s="12" customFormat="1" x14ac:dyDescent="0.25">
      <c r="A719" s="4">
        <v>2021</v>
      </c>
      <c r="B719" s="318">
        <v>44301</v>
      </c>
      <c r="C719" s="4" t="s">
        <v>66</v>
      </c>
      <c r="D719" s="4" t="s">
        <v>65</v>
      </c>
      <c r="E719" s="4"/>
      <c r="F719" s="4" t="s">
        <v>90</v>
      </c>
      <c r="G719" s="5" t="s">
        <v>427</v>
      </c>
      <c r="H719" s="5" t="s">
        <v>428</v>
      </c>
      <c r="I719" s="5" t="s">
        <v>143</v>
      </c>
      <c r="J719" s="5" t="s">
        <v>9</v>
      </c>
      <c r="K719" s="5">
        <v>22</v>
      </c>
      <c r="L719" s="5">
        <v>55</v>
      </c>
      <c r="M719" s="5">
        <v>1666</v>
      </c>
      <c r="N719" s="5" t="s">
        <v>170</v>
      </c>
      <c r="O719" s="6" t="s">
        <v>81</v>
      </c>
      <c r="P719" s="6" t="s">
        <v>429</v>
      </c>
      <c r="Q719" s="6"/>
      <c r="R719" s="6"/>
      <c r="S719" s="6">
        <v>42</v>
      </c>
      <c r="T719" s="6">
        <v>19.510000000000002</v>
      </c>
      <c r="U719" s="6">
        <v>1402</v>
      </c>
      <c r="V719" s="6">
        <v>28.51</v>
      </c>
      <c r="W719" s="6">
        <v>50</v>
      </c>
      <c r="X719" s="6">
        <v>303</v>
      </c>
      <c r="Y719" s="6">
        <v>595</v>
      </c>
      <c r="Z719" s="6">
        <v>375</v>
      </c>
      <c r="AA719" s="6">
        <v>75</v>
      </c>
      <c r="AB719" s="6">
        <v>4</v>
      </c>
      <c r="AC719" s="7">
        <v>119</v>
      </c>
      <c r="AD719" s="7" t="s">
        <v>52</v>
      </c>
      <c r="AE719" s="7">
        <v>36.51</v>
      </c>
      <c r="AF719" s="7">
        <v>50</v>
      </c>
      <c r="AG719" s="7">
        <v>11.34</v>
      </c>
      <c r="AH719" s="7">
        <v>53.73</v>
      </c>
      <c r="AI719" s="7">
        <v>53.73</v>
      </c>
      <c r="AJ719" s="9">
        <v>198.32534864060901</v>
      </c>
      <c r="AK719" s="9">
        <v>217.15962620457401</v>
      </c>
      <c r="AL719" s="9">
        <v>237.065603739491</v>
      </c>
      <c r="AM719" s="9">
        <v>73.5744584020796</v>
      </c>
      <c r="AN719" s="9">
        <v>0.61827275968134099</v>
      </c>
      <c r="AO719" s="9">
        <v>0.24930632363136601</v>
      </c>
      <c r="AP719" s="9">
        <v>1232.2644210625199</v>
      </c>
      <c r="AQ719" s="9">
        <v>10.3551632022061</v>
      </c>
      <c r="AR719" s="9">
        <v>5.9694427501502796</v>
      </c>
      <c r="AS719" s="8" t="s">
        <v>169</v>
      </c>
      <c r="AT719" s="8" t="s">
        <v>169</v>
      </c>
      <c r="AU719" s="10" t="s">
        <v>169</v>
      </c>
      <c r="AV719" s="10">
        <v>0</v>
      </c>
      <c r="AW719" s="8"/>
      <c r="AX719" s="10" t="s">
        <v>169</v>
      </c>
      <c r="AY719" s="10"/>
      <c r="AZ719" s="10"/>
      <c r="BA719" s="10"/>
      <c r="BB719" s="8"/>
      <c r="BC719" s="8"/>
      <c r="BD719" s="8"/>
      <c r="BE719" s="8"/>
      <c r="BF719" s="12">
        <v>0.55000000000000004</v>
      </c>
      <c r="BG719" s="13">
        <v>227.08909291545399</v>
      </c>
      <c r="BH719" s="96" t="str">
        <f>+VLOOKUP(G719,Liste!$A$7:$G$50,3,FALSE)</f>
        <v>Hêtre commun</v>
      </c>
      <c r="BI719" s="96" t="str">
        <f>+VLOOKUP(H719,Liste!$B$7:$G$50,5,FALSE)</f>
        <v>GS Hêtraies et hêtraies sapinières des Pyrénées</v>
      </c>
      <c r="BJ719" s="135">
        <f t="shared" si="225"/>
        <v>119</v>
      </c>
      <c r="BK719" s="135" t="str">
        <f t="shared" si="227"/>
        <v>Hêtre commun_F1_Entree 19-20m_GS Hêtraies et hêtraies sapinières des Pyrénées_119_</v>
      </c>
      <c r="BL719" s="322"/>
      <c r="BM719" s="13">
        <v>59.365676973530597</v>
      </c>
      <c r="BN719" s="13">
        <v>286.454769888984</v>
      </c>
      <c r="BO719" s="13" t="s">
        <v>169</v>
      </c>
      <c r="BP719" s="13">
        <v>328.524705421715</v>
      </c>
      <c r="BQ719" s="13">
        <v>6.8078838190535897</v>
      </c>
      <c r="BT719" s="298" t="str">
        <f>+VLOOKUP(G719,Liste!$A$7:$H$50,8,FALSE)</f>
        <v>Feuillus</v>
      </c>
      <c r="BU719" s="298">
        <f t="shared" si="228"/>
        <v>1</v>
      </c>
      <c r="BV719" s="300">
        <f t="shared" si="229"/>
        <v>0</v>
      </c>
      <c r="BW719" s="321">
        <v>0</v>
      </c>
      <c r="BX719" s="298">
        <f t="shared" si="230"/>
        <v>0.25</v>
      </c>
      <c r="BY719">
        <f t="shared" si="231"/>
        <v>0</v>
      </c>
      <c r="BZ719" s="304">
        <f t="shared" si="232"/>
        <v>0</v>
      </c>
      <c r="CB719" s="299">
        <v>0.6</v>
      </c>
      <c r="CC719" s="299">
        <v>0.4</v>
      </c>
      <c r="CD719">
        <f t="shared" si="233"/>
        <v>0</v>
      </c>
      <c r="CE719">
        <f t="shared" si="234"/>
        <v>0</v>
      </c>
      <c r="CF719">
        <f t="shared" si="235"/>
        <v>0</v>
      </c>
      <c r="CG719">
        <f t="shared" si="236"/>
        <v>0</v>
      </c>
      <c r="CH719">
        <f t="shared" si="237"/>
        <v>0</v>
      </c>
      <c r="CI719">
        <f t="shared" si="238"/>
        <v>0</v>
      </c>
      <c r="CJ719">
        <f t="shared" si="239"/>
        <v>0</v>
      </c>
      <c r="CK719">
        <f t="shared" si="240"/>
        <v>0</v>
      </c>
      <c r="CL719">
        <f t="shared" si="241"/>
        <v>0</v>
      </c>
      <c r="CM719">
        <f t="shared" si="243"/>
        <v>0</v>
      </c>
      <c r="CN719">
        <f t="shared" si="242"/>
        <v>0</v>
      </c>
      <c r="CO719">
        <f t="shared" si="226"/>
        <v>0</v>
      </c>
    </row>
    <row r="720" spans="1:93" s="12" customFormat="1" x14ac:dyDescent="0.25">
      <c r="A720" s="4">
        <v>2021</v>
      </c>
      <c r="B720" s="318">
        <v>44301</v>
      </c>
      <c r="C720" s="4" t="s">
        <v>66</v>
      </c>
      <c r="D720" s="4" t="s">
        <v>65</v>
      </c>
      <c r="E720" s="4"/>
      <c r="F720" s="4" t="s">
        <v>90</v>
      </c>
      <c r="G720" s="5" t="s">
        <v>427</v>
      </c>
      <c r="H720" s="5" t="s">
        <v>428</v>
      </c>
      <c r="I720" s="5" t="s">
        <v>143</v>
      </c>
      <c r="J720" s="5" t="s">
        <v>9</v>
      </c>
      <c r="K720" s="5">
        <v>22</v>
      </c>
      <c r="L720" s="5">
        <v>55</v>
      </c>
      <c r="M720" s="5">
        <v>1666</v>
      </c>
      <c r="N720" s="5" t="s">
        <v>170</v>
      </c>
      <c r="O720" s="6" t="s">
        <v>81</v>
      </c>
      <c r="P720" s="6" t="s">
        <v>429</v>
      </c>
      <c r="Q720" s="6"/>
      <c r="R720" s="6"/>
      <c r="S720" s="6">
        <v>42</v>
      </c>
      <c r="T720" s="6">
        <v>19.510000000000002</v>
      </c>
      <c r="U720" s="6">
        <v>1402</v>
      </c>
      <c r="V720" s="6">
        <v>28.51</v>
      </c>
      <c r="W720" s="6">
        <v>50</v>
      </c>
      <c r="X720" s="6">
        <v>303</v>
      </c>
      <c r="Y720" s="6">
        <v>595</v>
      </c>
      <c r="Z720" s="6">
        <v>375</v>
      </c>
      <c r="AA720" s="6">
        <v>75</v>
      </c>
      <c r="AB720" s="6">
        <v>4</v>
      </c>
      <c r="AC720" s="7">
        <v>121</v>
      </c>
      <c r="AD720" s="7" t="s">
        <v>52</v>
      </c>
      <c r="AE720" s="7">
        <v>36.68</v>
      </c>
      <c r="AF720" s="7">
        <v>50</v>
      </c>
      <c r="AG720" s="7">
        <v>11.83</v>
      </c>
      <c r="AH720" s="7">
        <v>54.89</v>
      </c>
      <c r="AI720" s="7">
        <v>54.89</v>
      </c>
      <c r="AJ720" s="9">
        <v>208.160772659701</v>
      </c>
      <c r="AK720" s="9">
        <v>228.25019935050801</v>
      </c>
      <c r="AL720" s="9">
        <v>249.00448923979101</v>
      </c>
      <c r="AM720" s="9">
        <v>74.073071049342303</v>
      </c>
      <c r="AN720" s="9">
        <v>0.61217414090365596</v>
      </c>
      <c r="AO720" s="9">
        <v>0.18557659945218699</v>
      </c>
      <c r="AP720" s="9">
        <v>1244.20330656282</v>
      </c>
      <c r="AQ720" s="9">
        <v>10.2826719550646</v>
      </c>
      <c r="AR720" s="9">
        <v>4.4229321774385504</v>
      </c>
      <c r="AS720" s="8" t="s">
        <v>169</v>
      </c>
      <c r="AT720" s="8" t="s">
        <v>169</v>
      </c>
      <c r="AU720" s="10" t="s">
        <v>169</v>
      </c>
      <c r="AV720" s="10">
        <v>0</v>
      </c>
      <c r="AW720" s="8"/>
      <c r="AX720" s="10" t="s">
        <v>169</v>
      </c>
      <c r="AY720" s="10"/>
      <c r="AZ720" s="10"/>
      <c r="BA720" s="10"/>
      <c r="BB720" s="8"/>
      <c r="BC720" s="8"/>
      <c r="BD720" s="8"/>
      <c r="BE720" s="8"/>
      <c r="BF720" s="12">
        <v>0.55000000000000004</v>
      </c>
      <c r="BG720" s="13">
        <v>238.52555031761699</v>
      </c>
      <c r="BH720" s="96" t="str">
        <f>+VLOOKUP(G720,Liste!$A$7:$G$50,3,FALSE)</f>
        <v>Hêtre commun</v>
      </c>
      <c r="BI720" s="96" t="str">
        <f>+VLOOKUP(H720,Liste!$B$7:$G$50,5,FALSE)</f>
        <v>GS Hêtraies et hêtraies sapinières des Pyrénées</v>
      </c>
      <c r="BJ720" s="135">
        <f t="shared" si="225"/>
        <v>121</v>
      </c>
      <c r="BK720" s="135" t="str">
        <f t="shared" si="227"/>
        <v>Hêtre commun_F1_Entree 19-20m_GS Hêtraies et hêtraies sapinières des Pyrénées_121_</v>
      </c>
      <c r="BL720" s="322"/>
      <c r="BM720" s="13">
        <v>61.9997929162354</v>
      </c>
      <c r="BN720" s="13">
        <v>300.52534323385203</v>
      </c>
      <c r="BO720" s="13" t="s">
        <v>169</v>
      </c>
      <c r="BP720" s="13">
        <v>328.524705421715</v>
      </c>
      <c r="BQ720" s="13">
        <v>5.0430408265257798</v>
      </c>
      <c r="BT720" s="298" t="str">
        <f>+VLOOKUP(G720,Liste!$A$7:$H$50,8,FALSE)</f>
        <v>Feuillus</v>
      </c>
      <c r="BU720" s="298">
        <f t="shared" si="228"/>
        <v>1</v>
      </c>
      <c r="BV720" s="300">
        <f t="shared" si="229"/>
        <v>0</v>
      </c>
      <c r="BW720" s="321">
        <v>0</v>
      </c>
      <c r="BX720" s="298">
        <f t="shared" si="230"/>
        <v>0.25</v>
      </c>
      <c r="BY720">
        <f t="shared" si="231"/>
        <v>0</v>
      </c>
      <c r="BZ720" s="304">
        <f t="shared" si="232"/>
        <v>0</v>
      </c>
      <c r="CB720" s="299">
        <v>0.6</v>
      </c>
      <c r="CC720" s="299">
        <v>0.4</v>
      </c>
      <c r="CD720">
        <f t="shared" si="233"/>
        <v>0</v>
      </c>
      <c r="CE720">
        <f t="shared" si="234"/>
        <v>0</v>
      </c>
      <c r="CF720">
        <f t="shared" si="235"/>
        <v>0</v>
      </c>
      <c r="CG720">
        <f t="shared" si="236"/>
        <v>0</v>
      </c>
      <c r="CH720">
        <f t="shared" si="237"/>
        <v>0</v>
      </c>
      <c r="CI720">
        <f t="shared" si="238"/>
        <v>0</v>
      </c>
      <c r="CJ720">
        <f t="shared" si="239"/>
        <v>0</v>
      </c>
      <c r="CK720">
        <f t="shared" si="240"/>
        <v>0</v>
      </c>
      <c r="CL720">
        <f t="shared" si="241"/>
        <v>0</v>
      </c>
      <c r="CM720">
        <f t="shared" si="243"/>
        <v>0</v>
      </c>
      <c r="CN720">
        <f t="shared" si="242"/>
        <v>0</v>
      </c>
      <c r="CO720">
        <f t="shared" si="226"/>
        <v>0</v>
      </c>
    </row>
    <row r="721" spans="1:93" s="12" customFormat="1" x14ac:dyDescent="0.25">
      <c r="A721" s="4">
        <v>2021</v>
      </c>
      <c r="B721" s="318">
        <v>44301</v>
      </c>
      <c r="C721" s="4" t="s">
        <v>66</v>
      </c>
      <c r="D721" s="4" t="s">
        <v>65</v>
      </c>
      <c r="E721" s="4"/>
      <c r="F721" s="4" t="s">
        <v>90</v>
      </c>
      <c r="G721" s="5" t="s">
        <v>427</v>
      </c>
      <c r="H721" s="5" t="s">
        <v>428</v>
      </c>
      <c r="I721" s="5" t="s">
        <v>143</v>
      </c>
      <c r="J721" s="5" t="s">
        <v>9</v>
      </c>
      <c r="K721" s="5">
        <v>22</v>
      </c>
      <c r="L721" s="5">
        <v>55</v>
      </c>
      <c r="M721" s="5">
        <v>1666</v>
      </c>
      <c r="N721" s="5" t="s">
        <v>170</v>
      </c>
      <c r="O721" s="6" t="s">
        <v>81</v>
      </c>
      <c r="P721" s="6" t="s">
        <v>429</v>
      </c>
      <c r="Q721" s="6"/>
      <c r="R721" s="6"/>
      <c r="S721" s="6">
        <v>42</v>
      </c>
      <c r="T721" s="6">
        <v>19.510000000000002</v>
      </c>
      <c r="U721" s="6">
        <v>1402</v>
      </c>
      <c r="V721" s="6">
        <v>28.51</v>
      </c>
      <c r="W721" s="6">
        <v>50</v>
      </c>
      <c r="X721" s="6">
        <v>303</v>
      </c>
      <c r="Y721" s="6">
        <v>595</v>
      </c>
      <c r="Z721" s="6">
        <v>375</v>
      </c>
      <c r="AA721" s="6">
        <v>75</v>
      </c>
      <c r="AB721" s="6">
        <v>4</v>
      </c>
      <c r="AC721" s="7">
        <v>121</v>
      </c>
      <c r="AD721" s="7" t="s">
        <v>53</v>
      </c>
      <c r="AE721" s="7">
        <v>36.68</v>
      </c>
      <c r="AF721" s="7">
        <v>30</v>
      </c>
      <c r="AG721" s="7">
        <v>6.97</v>
      </c>
      <c r="AH721" s="7">
        <v>54.38</v>
      </c>
      <c r="AI721" s="7">
        <v>54.38</v>
      </c>
      <c r="AJ721" s="9">
        <v>122.55969872843001</v>
      </c>
      <c r="AK721" s="9">
        <v>134.225099376906</v>
      </c>
      <c r="AL721" s="9">
        <v>146.447762685996</v>
      </c>
      <c r="AM721" s="9">
        <v>74.073071049342303</v>
      </c>
      <c r="AN721" s="9">
        <v>0.61217414090365596</v>
      </c>
      <c r="AO721" s="9">
        <v>0.18557659945218699</v>
      </c>
      <c r="AP721" s="9">
        <v>1244.20330656282</v>
      </c>
      <c r="AQ721" s="9">
        <v>10.2826719550646</v>
      </c>
      <c r="AR721" s="9">
        <v>4.4229321774385504</v>
      </c>
      <c r="AS721" s="8">
        <v>20</v>
      </c>
      <c r="AT721" s="8">
        <v>4.8600000000000003</v>
      </c>
      <c r="AU721" s="10">
        <v>55.623485091339298</v>
      </c>
      <c r="AV721" s="10">
        <v>85.601073931270989</v>
      </c>
      <c r="AW721" s="10">
        <v>1.03</v>
      </c>
      <c r="AX721" s="10">
        <v>4.2800536965635496</v>
      </c>
      <c r="AY721" s="10"/>
      <c r="AZ721" s="10"/>
      <c r="BA721" s="10"/>
      <c r="BB721" s="8"/>
      <c r="BC721" s="8"/>
      <c r="BD721" s="8"/>
      <c r="BE721" s="8"/>
      <c r="BF721" s="12">
        <v>0.55000000000000004</v>
      </c>
      <c r="BG721" s="13">
        <v>140.28475267296</v>
      </c>
      <c r="BH721" s="96" t="str">
        <f>+VLOOKUP(G721,Liste!$A$7:$G$50,3,FALSE)</f>
        <v>Hêtre commun</v>
      </c>
      <c r="BI721" s="96" t="str">
        <f>+VLOOKUP(H721,Liste!$B$7:$G$50,5,FALSE)</f>
        <v>GS Hêtraies et hêtraies sapinières des Pyrénées</v>
      </c>
      <c r="BJ721" s="135">
        <f t="shared" si="225"/>
        <v>121</v>
      </c>
      <c r="BK721" s="135" t="str">
        <f t="shared" si="227"/>
        <v>Hêtre commun_F1_Entree 19-20m_GS Hêtraies et hêtraies sapinières des Pyrénées_121_</v>
      </c>
      <c r="BL721" s="322"/>
      <c r="BM721" s="13">
        <v>38.788130450978699</v>
      </c>
      <c r="BN721" s="13">
        <v>179.07288312393899</v>
      </c>
      <c r="BO721" s="13">
        <v>121.45246010991303</v>
      </c>
      <c r="BP721" s="13">
        <v>328.524705421715</v>
      </c>
      <c r="BQ721" s="13">
        <v>5.0430408265257798</v>
      </c>
      <c r="BT721" s="298" t="str">
        <f>+VLOOKUP(G721,Liste!$A$7:$H$50,8,FALSE)</f>
        <v>Feuillus</v>
      </c>
      <c r="BU721" s="298">
        <f t="shared" si="228"/>
        <v>1</v>
      </c>
      <c r="BV721" s="300">
        <f t="shared" si="229"/>
        <v>0</v>
      </c>
      <c r="BW721" s="321">
        <v>0</v>
      </c>
      <c r="BX721" s="298">
        <f t="shared" si="230"/>
        <v>0.25</v>
      </c>
      <c r="BY721">
        <f t="shared" si="231"/>
        <v>0</v>
      </c>
      <c r="BZ721" s="304">
        <f t="shared" si="232"/>
        <v>0</v>
      </c>
      <c r="CB721" s="299">
        <v>0.6</v>
      </c>
      <c r="CC721" s="299">
        <v>0.4</v>
      </c>
      <c r="CD721">
        <f t="shared" si="233"/>
        <v>0</v>
      </c>
      <c r="CE721">
        <f t="shared" si="234"/>
        <v>0</v>
      </c>
      <c r="CF721">
        <f t="shared" si="235"/>
        <v>0</v>
      </c>
      <c r="CG721">
        <f t="shared" si="236"/>
        <v>0</v>
      </c>
      <c r="CH721">
        <f t="shared" si="237"/>
        <v>0</v>
      </c>
      <c r="CI721">
        <f t="shared" si="238"/>
        <v>0</v>
      </c>
      <c r="CJ721">
        <f t="shared" si="239"/>
        <v>0</v>
      </c>
      <c r="CK721">
        <f t="shared" si="240"/>
        <v>0</v>
      </c>
      <c r="CL721">
        <f t="shared" si="241"/>
        <v>0</v>
      </c>
      <c r="CM721">
        <f t="shared" si="243"/>
        <v>0</v>
      </c>
      <c r="CN721">
        <f t="shared" si="242"/>
        <v>0</v>
      </c>
      <c r="CO721">
        <f t="shared" si="226"/>
        <v>0</v>
      </c>
    </row>
    <row r="722" spans="1:93" s="12" customFormat="1" x14ac:dyDescent="0.25">
      <c r="A722" s="4">
        <v>2021</v>
      </c>
      <c r="B722" s="318">
        <v>44301</v>
      </c>
      <c r="C722" s="4" t="s">
        <v>66</v>
      </c>
      <c r="D722" s="4" t="s">
        <v>65</v>
      </c>
      <c r="E722" s="4"/>
      <c r="F722" s="4" t="s">
        <v>90</v>
      </c>
      <c r="G722" s="5" t="s">
        <v>427</v>
      </c>
      <c r="H722" s="5" t="s">
        <v>428</v>
      </c>
      <c r="I722" s="5" t="s">
        <v>143</v>
      </c>
      <c r="J722" s="5" t="s">
        <v>9</v>
      </c>
      <c r="K722" s="5">
        <v>22</v>
      </c>
      <c r="L722" s="5">
        <v>55</v>
      </c>
      <c r="M722" s="5">
        <v>1666</v>
      </c>
      <c r="N722" s="5" t="s">
        <v>170</v>
      </c>
      <c r="O722" s="6" t="s">
        <v>81</v>
      </c>
      <c r="P722" s="6" t="s">
        <v>429</v>
      </c>
      <c r="Q722" s="6"/>
      <c r="R722" s="6"/>
      <c r="S722" s="6">
        <v>42</v>
      </c>
      <c r="T722" s="6">
        <v>19.510000000000002</v>
      </c>
      <c r="U722" s="6">
        <v>1402</v>
      </c>
      <c r="V722" s="6">
        <v>28.51</v>
      </c>
      <c r="W722" s="6">
        <v>50</v>
      </c>
      <c r="X722" s="6">
        <v>303</v>
      </c>
      <c r="Y722" s="6">
        <v>595</v>
      </c>
      <c r="Z722" s="6">
        <v>375</v>
      </c>
      <c r="AA722" s="6">
        <v>75</v>
      </c>
      <c r="AB722" s="6">
        <v>4</v>
      </c>
      <c r="AC722" s="7">
        <v>125</v>
      </c>
      <c r="AD722" s="7" t="s">
        <v>52</v>
      </c>
      <c r="AE722" s="7">
        <v>37.020000000000003</v>
      </c>
      <c r="AF722" s="7">
        <v>30</v>
      </c>
      <c r="AG722" s="7">
        <v>7.71</v>
      </c>
      <c r="AH722" s="7">
        <v>57.2</v>
      </c>
      <c r="AI722" s="7">
        <v>57.2</v>
      </c>
      <c r="AJ722" s="9">
        <v>137.06183625136899</v>
      </c>
      <c r="AK722" s="9">
        <v>150.64989821395</v>
      </c>
      <c r="AL722" s="9">
        <v>164.13949139575001</v>
      </c>
      <c r="AM722" s="9">
        <v>74.815377447151107</v>
      </c>
      <c r="AN722" s="9">
        <v>0.59852301957720899</v>
      </c>
      <c r="AO722" s="7"/>
      <c r="AP722" s="9">
        <v>1261.8950352725799</v>
      </c>
      <c r="AQ722" s="9">
        <v>10.095160282180601</v>
      </c>
      <c r="AR722" s="7"/>
      <c r="AS722" s="8" t="s">
        <v>169</v>
      </c>
      <c r="AT722" s="8" t="s">
        <v>169</v>
      </c>
      <c r="AU722" s="10" t="s">
        <v>169</v>
      </c>
      <c r="AV722" s="10">
        <v>0</v>
      </c>
      <c r="AW722" s="8"/>
      <c r="AX722" s="10" t="s">
        <v>169</v>
      </c>
      <c r="AY722" s="10"/>
      <c r="AZ722" s="10"/>
      <c r="BA722" s="10"/>
      <c r="BB722" s="8"/>
      <c r="BC722" s="8"/>
      <c r="BD722" s="8"/>
      <c r="BE722" s="8"/>
      <c r="BF722" s="12">
        <v>0.55000000000000004</v>
      </c>
      <c r="BG722" s="13">
        <v>157.23195446617899</v>
      </c>
      <c r="BH722" s="96" t="str">
        <f>+VLOOKUP(G722,Liste!$A$7:$G$50,3,FALSE)</f>
        <v>Hêtre commun</v>
      </c>
      <c r="BI722" s="96" t="str">
        <f>+VLOOKUP(H722,Liste!$B$7:$G$50,5,FALSE)</f>
        <v>GS Hêtraies et hêtraies sapinières des Pyrénées</v>
      </c>
      <c r="BJ722" s="135">
        <f t="shared" si="225"/>
        <v>125</v>
      </c>
      <c r="BK722" s="135" t="str">
        <f t="shared" si="227"/>
        <v>Hêtre commun_F1_Entree 19-20m_GS Hêtraies et hêtraies sapinières des Pyrénées_125_</v>
      </c>
      <c r="BL722" s="322"/>
      <c r="BM722" s="13">
        <v>42.900648566715603</v>
      </c>
      <c r="BN722" s="13">
        <v>200.13260303289499</v>
      </c>
      <c r="BO722" s="13" t="s">
        <v>169</v>
      </c>
      <c r="BP722" s="13">
        <v>328.524705421715</v>
      </c>
      <c r="BQ722" s="13"/>
      <c r="BT722" s="298" t="str">
        <f>+VLOOKUP(G722,Liste!$A$7:$H$50,8,FALSE)</f>
        <v>Feuillus</v>
      </c>
      <c r="BU722" s="298">
        <f t="shared" si="228"/>
        <v>1</v>
      </c>
      <c r="BV722" s="300">
        <f t="shared" si="229"/>
        <v>0</v>
      </c>
      <c r="BW722" s="321">
        <v>0</v>
      </c>
      <c r="BX722" s="298">
        <f t="shared" si="230"/>
        <v>0.25</v>
      </c>
      <c r="BY722">
        <f t="shared" si="231"/>
        <v>0</v>
      </c>
      <c r="BZ722" s="304">
        <f t="shared" si="232"/>
        <v>0</v>
      </c>
      <c r="CB722" s="299">
        <v>0.6</v>
      </c>
      <c r="CC722" s="299">
        <v>0.4</v>
      </c>
      <c r="CD722">
        <f t="shared" si="233"/>
        <v>0</v>
      </c>
      <c r="CE722">
        <f t="shared" si="234"/>
        <v>0</v>
      </c>
      <c r="CF722">
        <f t="shared" si="235"/>
        <v>0</v>
      </c>
      <c r="CG722">
        <f t="shared" si="236"/>
        <v>0</v>
      </c>
      <c r="CH722">
        <f t="shared" si="237"/>
        <v>0</v>
      </c>
      <c r="CI722">
        <f t="shared" si="238"/>
        <v>0</v>
      </c>
      <c r="CJ722">
        <f t="shared" si="239"/>
        <v>0</v>
      </c>
      <c r="CK722">
        <f t="shared" si="240"/>
        <v>0</v>
      </c>
      <c r="CL722">
        <f t="shared" si="241"/>
        <v>0</v>
      </c>
      <c r="CM722">
        <f t="shared" si="243"/>
        <v>0</v>
      </c>
      <c r="CN722">
        <f t="shared" si="242"/>
        <v>0</v>
      </c>
      <c r="CO722">
        <f t="shared" si="226"/>
        <v>0</v>
      </c>
    </row>
    <row r="723" spans="1:93" s="12" customFormat="1" x14ac:dyDescent="0.25">
      <c r="A723" s="4">
        <v>2021</v>
      </c>
      <c r="B723" s="318">
        <v>44301</v>
      </c>
      <c r="C723" s="4" t="s">
        <v>66</v>
      </c>
      <c r="D723" s="4" t="s">
        <v>65</v>
      </c>
      <c r="E723" s="4"/>
      <c r="F723" s="4" t="s">
        <v>90</v>
      </c>
      <c r="G723" s="5" t="s">
        <v>427</v>
      </c>
      <c r="H723" s="5" t="s">
        <v>428</v>
      </c>
      <c r="I723" s="5" t="s">
        <v>143</v>
      </c>
      <c r="J723" s="5" t="s">
        <v>9</v>
      </c>
      <c r="K723" s="5">
        <v>22</v>
      </c>
      <c r="L723" s="5">
        <v>55</v>
      </c>
      <c r="M723" s="5">
        <v>1666</v>
      </c>
      <c r="N723" s="5" t="s">
        <v>170</v>
      </c>
      <c r="O723" s="6" t="s">
        <v>81</v>
      </c>
      <c r="P723" s="6" t="s">
        <v>429</v>
      </c>
      <c r="Q723" s="6"/>
      <c r="R723" s="6"/>
      <c r="S723" s="6">
        <v>42</v>
      </c>
      <c r="T723" s="6">
        <v>19.510000000000002</v>
      </c>
      <c r="U723" s="6">
        <v>1402</v>
      </c>
      <c r="V723" s="6">
        <v>28.51</v>
      </c>
      <c r="W723" s="6">
        <v>50</v>
      </c>
      <c r="X723" s="6">
        <v>303</v>
      </c>
      <c r="Y723" s="6">
        <v>595</v>
      </c>
      <c r="Z723" s="6">
        <v>375</v>
      </c>
      <c r="AA723" s="6">
        <v>75</v>
      </c>
      <c r="AB723" s="6">
        <v>4</v>
      </c>
      <c r="AC723" s="7">
        <v>125</v>
      </c>
      <c r="AD723" s="7" t="s">
        <v>53</v>
      </c>
      <c r="AE723" s="7">
        <v>37.020000000000003</v>
      </c>
      <c r="AF723" s="7">
        <v>0</v>
      </c>
      <c r="AG723" s="7">
        <v>0</v>
      </c>
      <c r="AH723" s="7">
        <v>0</v>
      </c>
      <c r="AI723" s="7">
        <v>0</v>
      </c>
      <c r="AJ723" s="9">
        <v>0</v>
      </c>
      <c r="AK723" s="9">
        <v>0</v>
      </c>
      <c r="AL723" s="9">
        <v>0</v>
      </c>
      <c r="AM723" s="9">
        <v>74.815377447151107</v>
      </c>
      <c r="AN723" s="9">
        <v>0.59852301957720899</v>
      </c>
      <c r="AO723" s="7"/>
      <c r="AP723" s="9">
        <v>1261.8950352725799</v>
      </c>
      <c r="AQ723" s="9">
        <v>10.095160282180601</v>
      </c>
      <c r="AR723" s="7"/>
      <c r="AS723" s="8">
        <v>30</v>
      </c>
      <c r="AT723" s="8">
        <v>7.71</v>
      </c>
      <c r="AU723" s="10">
        <v>57.203370792020365</v>
      </c>
      <c r="AV723" s="10">
        <v>137.06183625136899</v>
      </c>
      <c r="AW723" s="10">
        <v>1</v>
      </c>
      <c r="AX723" s="10">
        <v>4.5687278750456333</v>
      </c>
      <c r="AY723" s="10"/>
      <c r="AZ723" s="10"/>
      <c r="BA723" s="10"/>
      <c r="BB723" s="8"/>
      <c r="BC723" s="8"/>
      <c r="BD723" s="8"/>
      <c r="BE723" s="8"/>
      <c r="BF723" s="12">
        <v>0.55000000000000004</v>
      </c>
      <c r="BG723" s="13">
        <v>0</v>
      </c>
      <c r="BH723" s="96" t="str">
        <f>+VLOOKUP(G723,Liste!$A$7:$G$50,3,FALSE)</f>
        <v>Hêtre commun</v>
      </c>
      <c r="BI723" s="96" t="str">
        <f>+VLOOKUP(H723,Liste!$B$7:$G$50,5,FALSE)</f>
        <v>GS Hêtraies et hêtraies sapinières des Pyrénées</v>
      </c>
      <c r="BJ723" s="135">
        <f t="shared" si="225"/>
        <v>125</v>
      </c>
      <c r="BK723" s="135" t="str">
        <f t="shared" si="227"/>
        <v>Hêtre commun_F1_Entree 19-20m_GS Hêtraies et hêtraies sapinières des Pyrénées_125_</v>
      </c>
      <c r="BL723" s="322"/>
      <c r="BM723" s="13">
        <v>0</v>
      </c>
      <c r="BN723" s="13">
        <v>0</v>
      </c>
      <c r="BO723" s="13">
        <v>200.13260303289499</v>
      </c>
      <c r="BP723" s="13">
        <v>328.524705421715</v>
      </c>
      <c r="BQ723" s="13"/>
      <c r="BT723" s="298" t="str">
        <f>+VLOOKUP(G723,Liste!$A$7:$H$50,8,FALSE)</f>
        <v>Feuillus</v>
      </c>
      <c r="BU723" s="298">
        <f t="shared" si="228"/>
        <v>1</v>
      </c>
      <c r="BV723" s="300">
        <f t="shared" si="229"/>
        <v>0</v>
      </c>
      <c r="BW723" s="321">
        <v>0</v>
      </c>
      <c r="BX723" s="298">
        <f t="shared" si="230"/>
        <v>0.25</v>
      </c>
      <c r="BY723">
        <f t="shared" si="231"/>
        <v>0</v>
      </c>
      <c r="BZ723" s="304">
        <f t="shared" si="232"/>
        <v>0</v>
      </c>
      <c r="CB723" s="299">
        <v>0.6</v>
      </c>
      <c r="CC723" s="299">
        <v>0.4</v>
      </c>
      <c r="CD723">
        <f t="shared" si="233"/>
        <v>0</v>
      </c>
      <c r="CE723">
        <f t="shared" si="234"/>
        <v>0</v>
      </c>
      <c r="CF723">
        <f t="shared" si="235"/>
        <v>0</v>
      </c>
      <c r="CG723">
        <f t="shared" si="236"/>
        <v>0</v>
      </c>
      <c r="CH723">
        <f t="shared" si="237"/>
        <v>0</v>
      </c>
      <c r="CI723">
        <f t="shared" si="238"/>
        <v>0</v>
      </c>
      <c r="CJ723">
        <f t="shared" si="239"/>
        <v>0</v>
      </c>
      <c r="CK723">
        <f t="shared" si="240"/>
        <v>0</v>
      </c>
      <c r="CL723">
        <f t="shared" si="241"/>
        <v>0</v>
      </c>
      <c r="CM723">
        <f t="shared" si="243"/>
        <v>0</v>
      </c>
      <c r="CN723">
        <f t="shared" si="242"/>
        <v>0</v>
      </c>
      <c r="CO723">
        <f t="shared" si="226"/>
        <v>0</v>
      </c>
    </row>
    <row r="724" spans="1:93" s="12" customFormat="1" x14ac:dyDescent="0.25">
      <c r="A724" s="4">
        <v>2013</v>
      </c>
      <c r="B724" s="318">
        <v>44265</v>
      </c>
      <c r="C724" s="4" t="s">
        <v>430</v>
      </c>
      <c r="D724" s="4" t="s">
        <v>431</v>
      </c>
      <c r="E724" s="4"/>
      <c r="F724" s="4" t="s">
        <v>1493</v>
      </c>
      <c r="G724" s="5" t="s">
        <v>432</v>
      </c>
      <c r="H724" s="5" t="s">
        <v>185</v>
      </c>
      <c r="I724" s="5" t="s">
        <v>222</v>
      </c>
      <c r="J724" s="5" t="s">
        <v>10</v>
      </c>
      <c r="K724" s="5">
        <v>15.5</v>
      </c>
      <c r="L724" s="5" t="s">
        <v>190</v>
      </c>
      <c r="M724" s="5">
        <v>2000</v>
      </c>
      <c r="N724" s="5" t="s">
        <v>171</v>
      </c>
      <c r="O724" s="6" t="s">
        <v>81</v>
      </c>
      <c r="P724" s="6" t="s">
        <v>186</v>
      </c>
      <c r="Q724" s="6"/>
      <c r="R724" s="6"/>
      <c r="S724" s="6">
        <v>57</v>
      </c>
      <c r="T724" s="6">
        <v>18.22</v>
      </c>
      <c r="U724" s="6">
        <v>1862</v>
      </c>
      <c r="V724" s="6">
        <v>45.64</v>
      </c>
      <c r="W724" s="6">
        <v>0</v>
      </c>
      <c r="X724" s="6">
        <v>0</v>
      </c>
      <c r="Y724" s="6">
        <v>1085</v>
      </c>
      <c r="Z724" s="6">
        <v>663</v>
      </c>
      <c r="AA724" s="6">
        <v>114</v>
      </c>
      <c r="AB724" s="6">
        <v>0</v>
      </c>
      <c r="AC724" s="7">
        <v>30</v>
      </c>
      <c r="AD724" s="7" t="s">
        <v>52</v>
      </c>
      <c r="AE724" s="7"/>
      <c r="AF724" s="7"/>
      <c r="AG724" s="7"/>
      <c r="AH724" s="7"/>
      <c r="AI724" s="7"/>
      <c r="AJ724" s="9">
        <v>190.86843664552799</v>
      </c>
      <c r="AK724" s="9">
        <v>191.35187037627401</v>
      </c>
      <c r="AL724" s="9">
        <v>241.90583143939401</v>
      </c>
      <c r="AM724" s="7"/>
      <c r="AN724" s="7"/>
      <c r="AO724" s="7"/>
      <c r="AP724" s="7"/>
      <c r="AQ724" s="7"/>
      <c r="AR724" s="7"/>
      <c r="AS724" s="8"/>
      <c r="AT724" s="8"/>
      <c r="AU724" s="10" t="s">
        <v>169</v>
      </c>
      <c r="AV724" s="10">
        <v>0</v>
      </c>
      <c r="AW724" s="8"/>
      <c r="AX724" s="10"/>
      <c r="AY724" s="10"/>
      <c r="AZ724" s="10"/>
      <c r="BA724" s="10"/>
      <c r="BB724" s="8"/>
      <c r="BC724" s="8"/>
      <c r="BD724" s="8"/>
      <c r="BE724" s="8"/>
      <c r="BF724" s="12">
        <v>0.38</v>
      </c>
      <c r="BG724" s="13">
        <v>160.101342774306</v>
      </c>
      <c r="BH724" s="96" t="str">
        <f>+VLOOKUP(G724,Liste!$A$7:$G$50,3,FALSE)</f>
        <v>Sapin pectiné</v>
      </c>
      <c r="BI724" s="96" t="str">
        <f>+VLOOKUP(H724,Liste!$B$7:$G$50,5,FALSE)</f>
        <v>GS Arc Jurassien</v>
      </c>
      <c r="BJ724" s="135">
        <f t="shared" si="225"/>
        <v>30</v>
      </c>
      <c r="BK724" s="135" t="str">
        <f t="shared" si="227"/>
        <v>Sapin pectiné_F2_Cas général_GS Arc Jurassien_30_</v>
      </c>
      <c r="BL724" s="322"/>
      <c r="BM724" s="13">
        <v>43.591698877560098</v>
      </c>
      <c r="BN724" s="13">
        <v>203.693041651866</v>
      </c>
      <c r="BO724" s="13"/>
      <c r="BP724" s="13">
        <v>306.131842885666</v>
      </c>
      <c r="BQ724" s="13"/>
      <c r="BT724" s="298" t="str">
        <f>+VLOOKUP(G724,Liste!$A$7:$H$50,8,FALSE)</f>
        <v>Résineux</v>
      </c>
      <c r="BU724" s="298">
        <f t="shared" si="228"/>
        <v>0</v>
      </c>
      <c r="BV724" s="300">
        <f t="shared" si="229"/>
        <v>1</v>
      </c>
      <c r="BW724" s="321">
        <v>0</v>
      </c>
      <c r="BX724" s="298">
        <f t="shared" si="230"/>
        <v>0.43</v>
      </c>
      <c r="BY724">
        <f t="shared" si="231"/>
        <v>0</v>
      </c>
      <c r="BZ724" s="304">
        <f t="shared" si="232"/>
        <v>0</v>
      </c>
      <c r="CB724" s="299">
        <v>0.6</v>
      </c>
      <c r="CC724" s="299">
        <v>0.4</v>
      </c>
      <c r="CD724">
        <f t="shared" si="233"/>
        <v>0</v>
      </c>
      <c r="CE724">
        <f t="shared" si="234"/>
        <v>0</v>
      </c>
      <c r="CF724">
        <f t="shared" si="235"/>
        <v>0</v>
      </c>
      <c r="CG724">
        <f t="shared" si="236"/>
        <v>0</v>
      </c>
      <c r="CH724">
        <f t="shared" si="237"/>
        <v>0</v>
      </c>
      <c r="CI724">
        <f t="shared" si="238"/>
        <v>0</v>
      </c>
      <c r="CJ724">
        <f t="shared" si="239"/>
        <v>0</v>
      </c>
      <c r="CK724">
        <f t="shared" si="240"/>
        <v>0</v>
      </c>
      <c r="CL724">
        <f t="shared" si="241"/>
        <v>0</v>
      </c>
      <c r="CM724">
        <f t="shared" si="243"/>
        <v>0</v>
      </c>
      <c r="CN724">
        <f t="shared" si="242"/>
        <v>0</v>
      </c>
      <c r="CO724">
        <f t="shared" si="226"/>
        <v>0</v>
      </c>
    </row>
    <row r="725" spans="1:93" s="12" customFormat="1" x14ac:dyDescent="0.25">
      <c r="A725" s="4">
        <v>2013</v>
      </c>
      <c r="B725" s="318">
        <v>44265</v>
      </c>
      <c r="C725" s="4" t="s">
        <v>430</v>
      </c>
      <c r="D725" s="4" t="s">
        <v>431</v>
      </c>
      <c r="E725" s="4"/>
      <c r="F725" s="4" t="s">
        <v>1493</v>
      </c>
      <c r="G725" s="5" t="s">
        <v>432</v>
      </c>
      <c r="H725" s="5" t="s">
        <v>185</v>
      </c>
      <c r="I725" s="5" t="s">
        <v>222</v>
      </c>
      <c r="J725" s="5" t="s">
        <v>10</v>
      </c>
      <c r="K725" s="5">
        <v>15.5</v>
      </c>
      <c r="L725" s="5" t="s">
        <v>190</v>
      </c>
      <c r="M725" s="5">
        <v>2000</v>
      </c>
      <c r="N725" s="5" t="s">
        <v>171</v>
      </c>
      <c r="O725" s="6" t="s">
        <v>81</v>
      </c>
      <c r="P725" s="6" t="s">
        <v>186</v>
      </c>
      <c r="Q725" s="6"/>
      <c r="R725" s="6"/>
      <c r="S725" s="6">
        <v>57</v>
      </c>
      <c r="T725" s="6">
        <v>18.22</v>
      </c>
      <c r="U725" s="6">
        <v>1862</v>
      </c>
      <c r="V725" s="6">
        <v>45.64</v>
      </c>
      <c r="W725" s="6">
        <v>0</v>
      </c>
      <c r="X725" s="6">
        <v>0</v>
      </c>
      <c r="Y725" s="6">
        <v>1085</v>
      </c>
      <c r="Z725" s="6">
        <v>663</v>
      </c>
      <c r="AA725" s="6">
        <v>114</v>
      </c>
      <c r="AB725" s="6">
        <v>0</v>
      </c>
      <c r="AC725" s="7">
        <v>57</v>
      </c>
      <c r="AD725" s="7" t="s">
        <v>52</v>
      </c>
      <c r="AE725" s="9">
        <v>18.227320776572299</v>
      </c>
      <c r="AF725" s="7">
        <v>1862</v>
      </c>
      <c r="AG725" s="7">
        <v>45.64</v>
      </c>
      <c r="AH725" s="9">
        <v>17.666406315143199</v>
      </c>
      <c r="AI725" s="9">
        <v>23.840233722795102</v>
      </c>
      <c r="AJ725" s="9">
        <v>362.650029626503</v>
      </c>
      <c r="AK725" s="9">
        <v>363.56855371492099</v>
      </c>
      <c r="AL725" s="9">
        <v>459.62107973484899</v>
      </c>
      <c r="AM725" s="9">
        <v>45.642138804328397</v>
      </c>
      <c r="AN725" s="9">
        <v>0.80073927726891903</v>
      </c>
      <c r="AO725" s="9">
        <v>1.1691035002233601</v>
      </c>
      <c r="AP725" s="9">
        <v>459.62107973484899</v>
      </c>
      <c r="AQ725" s="9">
        <v>8.0635277146464706</v>
      </c>
      <c r="AR725" s="9">
        <v>17.7083418785463</v>
      </c>
      <c r="AS725" s="8"/>
      <c r="AT725" s="8"/>
      <c r="AU725" s="10" t="s">
        <v>169</v>
      </c>
      <c r="AV725" s="10">
        <v>0</v>
      </c>
      <c r="AW725" s="8"/>
      <c r="AX725" s="8"/>
      <c r="AY725" s="8"/>
      <c r="AZ725" s="8"/>
      <c r="BA725" s="8"/>
      <c r="BB725" s="8"/>
      <c r="BC725" s="8"/>
      <c r="BD725" s="8"/>
      <c r="BE725" s="8"/>
      <c r="BF725" s="12">
        <v>0.38</v>
      </c>
      <c r="BG725" s="13">
        <v>304.192551271181</v>
      </c>
      <c r="BH725" s="96" t="str">
        <f>+VLOOKUP(G725,Liste!$A$7:$G$50,3,FALSE)</f>
        <v>Sapin pectiné</v>
      </c>
      <c r="BI725" s="96" t="str">
        <f>+VLOOKUP(H725,Liste!$B$7:$G$50,5,FALSE)</f>
        <v>GS Arc Jurassien</v>
      </c>
      <c r="BJ725" s="135">
        <f t="shared" si="225"/>
        <v>57</v>
      </c>
      <c r="BK725" s="135" t="str">
        <f t="shared" si="227"/>
        <v>Sapin pectiné_F2_Cas général_GS Arc Jurassien_57_</v>
      </c>
      <c r="BL725" s="322"/>
      <c r="BM725" s="13">
        <v>76.861786877170204</v>
      </c>
      <c r="BN725" s="13">
        <v>381.05433814835101</v>
      </c>
      <c r="BO725" s="13"/>
      <c r="BP725" s="13">
        <v>306.131842885666</v>
      </c>
      <c r="BQ725" s="13">
        <v>14.330826997748</v>
      </c>
      <c r="BT725" s="298" t="str">
        <f>+VLOOKUP(G725,Liste!$A$7:$H$50,8,FALSE)</f>
        <v>Résineux</v>
      </c>
      <c r="BU725" s="298">
        <f t="shared" si="228"/>
        <v>0</v>
      </c>
      <c r="BV725" s="300">
        <f t="shared" si="229"/>
        <v>1</v>
      </c>
      <c r="BW725" s="321">
        <v>0</v>
      </c>
      <c r="BX725" s="298">
        <f t="shared" si="230"/>
        <v>0.43</v>
      </c>
      <c r="BY725">
        <f t="shared" si="231"/>
        <v>0</v>
      </c>
      <c r="BZ725" s="304">
        <f t="shared" si="232"/>
        <v>0</v>
      </c>
      <c r="CB725" s="299">
        <v>0.6</v>
      </c>
      <c r="CC725" s="299">
        <v>0.4</v>
      </c>
      <c r="CD725">
        <f t="shared" si="233"/>
        <v>0</v>
      </c>
      <c r="CE725">
        <f t="shared" si="234"/>
        <v>0</v>
      </c>
      <c r="CF725">
        <f t="shared" si="235"/>
        <v>0</v>
      </c>
      <c r="CG725">
        <f t="shared" si="236"/>
        <v>0</v>
      </c>
      <c r="CH725">
        <f t="shared" si="237"/>
        <v>0</v>
      </c>
      <c r="CI725">
        <f t="shared" si="238"/>
        <v>0</v>
      </c>
      <c r="CJ725">
        <f t="shared" si="239"/>
        <v>0</v>
      </c>
      <c r="CK725">
        <f t="shared" si="240"/>
        <v>0</v>
      </c>
      <c r="CL725">
        <f t="shared" si="241"/>
        <v>0</v>
      </c>
      <c r="CM725">
        <f t="shared" si="243"/>
        <v>0</v>
      </c>
      <c r="CN725">
        <f t="shared" si="242"/>
        <v>0</v>
      </c>
      <c r="CO725">
        <f t="shared" si="226"/>
        <v>0</v>
      </c>
    </row>
    <row r="726" spans="1:93" s="12" customFormat="1" x14ac:dyDescent="0.25">
      <c r="A726" s="4">
        <v>2013</v>
      </c>
      <c r="B726" s="318">
        <v>44265</v>
      </c>
      <c r="C726" s="4" t="s">
        <v>430</v>
      </c>
      <c r="D726" s="4" t="s">
        <v>431</v>
      </c>
      <c r="E726" s="4"/>
      <c r="F726" s="4" t="s">
        <v>1493</v>
      </c>
      <c r="G726" s="5" t="s">
        <v>432</v>
      </c>
      <c r="H726" s="5" t="s">
        <v>185</v>
      </c>
      <c r="I726" s="5" t="s">
        <v>222</v>
      </c>
      <c r="J726" s="5" t="s">
        <v>10</v>
      </c>
      <c r="K726" s="5">
        <v>15.5</v>
      </c>
      <c r="L726" s="5" t="s">
        <v>190</v>
      </c>
      <c r="M726" s="5">
        <v>2000</v>
      </c>
      <c r="N726" s="5" t="s">
        <v>171</v>
      </c>
      <c r="O726" s="6" t="s">
        <v>81</v>
      </c>
      <c r="P726" s="6" t="s">
        <v>186</v>
      </c>
      <c r="Q726" s="6"/>
      <c r="R726" s="6"/>
      <c r="S726" s="6">
        <v>57</v>
      </c>
      <c r="T726" s="6">
        <v>18.22</v>
      </c>
      <c r="U726" s="6">
        <v>1862</v>
      </c>
      <c r="V726" s="6">
        <v>45.64</v>
      </c>
      <c r="W726" s="6">
        <v>0</v>
      </c>
      <c r="X726" s="6">
        <v>0</v>
      </c>
      <c r="Y726" s="6">
        <v>1085</v>
      </c>
      <c r="Z726" s="6">
        <v>663</v>
      </c>
      <c r="AA726" s="6">
        <v>114</v>
      </c>
      <c r="AB726" s="6">
        <v>0</v>
      </c>
      <c r="AC726" s="7">
        <v>57</v>
      </c>
      <c r="AD726" s="7" t="s">
        <v>53</v>
      </c>
      <c r="AE726" s="9">
        <v>18.227320776572299</v>
      </c>
      <c r="AF726" s="7">
        <v>949</v>
      </c>
      <c r="AG726" s="7">
        <v>27.76</v>
      </c>
      <c r="AH726" s="9">
        <v>19.299207980744001</v>
      </c>
      <c r="AI726" s="9">
        <v>23.5980423479126</v>
      </c>
      <c r="AJ726" s="9">
        <v>229.03193531813699</v>
      </c>
      <c r="AK726" s="9">
        <v>229.784966538547</v>
      </c>
      <c r="AL726" s="9">
        <v>287.28549903763098</v>
      </c>
      <c r="AM726" s="9">
        <v>45.642138804328397</v>
      </c>
      <c r="AN726" s="9">
        <v>0.80073927726891903</v>
      </c>
      <c r="AO726" s="9">
        <v>1.1691035002233601</v>
      </c>
      <c r="AP726" s="9">
        <v>459.62107973484899</v>
      </c>
      <c r="AQ726" s="9">
        <v>8.0635277146464706</v>
      </c>
      <c r="AR726" s="9">
        <v>17.7083418785463</v>
      </c>
      <c r="AS726" s="8">
        <v>913</v>
      </c>
      <c r="AT726" s="8">
        <v>17.88</v>
      </c>
      <c r="AU726" s="10">
        <v>15.790774359497377</v>
      </c>
      <c r="AV726" s="10">
        <v>133.61809430836601</v>
      </c>
      <c r="AW726" s="10">
        <v>0.79893312156085883</v>
      </c>
      <c r="AX726" s="10">
        <v>0.14635059617564733</v>
      </c>
      <c r="AY726" s="10"/>
      <c r="AZ726" s="10"/>
      <c r="BA726" s="10"/>
      <c r="BB726" s="8"/>
      <c r="BC726" s="8"/>
      <c r="BD726" s="8"/>
      <c r="BE726" s="8"/>
      <c r="BF726" s="12">
        <v>0.38</v>
      </c>
      <c r="BG726" s="13">
        <v>190.13511944640501</v>
      </c>
      <c r="BH726" s="96" t="str">
        <f>+VLOOKUP(G726,Liste!$A$7:$G$50,3,FALSE)</f>
        <v>Sapin pectiné</v>
      </c>
      <c r="BI726" s="96" t="str">
        <f>+VLOOKUP(H726,Liste!$B$7:$G$50,5,FALSE)</f>
        <v>GS Arc Jurassien</v>
      </c>
      <c r="BJ726" s="135">
        <f t="shared" si="225"/>
        <v>57</v>
      </c>
      <c r="BK726" s="135" t="str">
        <f t="shared" si="227"/>
        <v>Sapin pectiné_F2_Cas général_GS Arc Jurassien_57_</v>
      </c>
      <c r="BL726" s="322"/>
      <c r="BM726" s="13">
        <v>50.743437105455499</v>
      </c>
      <c r="BN726" s="13">
        <v>240.87855655186101</v>
      </c>
      <c r="BO726" s="13">
        <v>140.17578159649</v>
      </c>
      <c r="BP726" s="13">
        <v>306.131842885666</v>
      </c>
      <c r="BQ726" s="13">
        <v>14.330826997748</v>
      </c>
      <c r="BT726" s="298" t="str">
        <f>+VLOOKUP(G726,Liste!$A$7:$H$50,8,FALSE)</f>
        <v>Résineux</v>
      </c>
      <c r="BU726" s="298">
        <f t="shared" si="228"/>
        <v>0</v>
      </c>
      <c r="BV726" s="300">
        <f t="shared" si="229"/>
        <v>1</v>
      </c>
      <c r="BW726" s="321">
        <v>0</v>
      </c>
      <c r="BX726" s="298">
        <f t="shared" si="230"/>
        <v>0.43</v>
      </c>
      <c r="BY726">
        <f t="shared" si="231"/>
        <v>0</v>
      </c>
      <c r="BZ726" s="304">
        <f t="shared" si="232"/>
        <v>0</v>
      </c>
      <c r="CB726" s="299">
        <v>0.6</v>
      </c>
      <c r="CC726" s="299">
        <v>0.4</v>
      </c>
      <c r="CD726">
        <f t="shared" si="233"/>
        <v>0</v>
      </c>
      <c r="CE726">
        <f t="shared" si="234"/>
        <v>0</v>
      </c>
      <c r="CF726">
        <f t="shared" si="235"/>
        <v>0</v>
      </c>
      <c r="CG726">
        <f t="shared" si="236"/>
        <v>0</v>
      </c>
      <c r="CH726">
        <f t="shared" si="237"/>
        <v>0</v>
      </c>
      <c r="CI726">
        <f t="shared" si="238"/>
        <v>0</v>
      </c>
      <c r="CJ726">
        <f t="shared" si="239"/>
        <v>0</v>
      </c>
      <c r="CK726">
        <f t="shared" si="240"/>
        <v>0</v>
      </c>
      <c r="CL726">
        <f t="shared" si="241"/>
        <v>0</v>
      </c>
      <c r="CM726">
        <f t="shared" si="243"/>
        <v>0</v>
      </c>
      <c r="CN726">
        <f t="shared" si="242"/>
        <v>0</v>
      </c>
      <c r="CO726">
        <f t="shared" si="226"/>
        <v>0</v>
      </c>
    </row>
    <row r="727" spans="1:93" s="12" customFormat="1" x14ac:dyDescent="0.25">
      <c r="A727" s="4">
        <v>2013</v>
      </c>
      <c r="B727" s="318">
        <v>44265</v>
      </c>
      <c r="C727" s="4" t="s">
        <v>430</v>
      </c>
      <c r="D727" s="4" t="s">
        <v>431</v>
      </c>
      <c r="E727" s="4"/>
      <c r="F727" s="4" t="s">
        <v>1493</v>
      </c>
      <c r="G727" s="5" t="s">
        <v>432</v>
      </c>
      <c r="H727" s="5" t="s">
        <v>185</v>
      </c>
      <c r="I727" s="5" t="s">
        <v>222</v>
      </c>
      <c r="J727" s="5" t="s">
        <v>10</v>
      </c>
      <c r="K727" s="5">
        <v>15.5</v>
      </c>
      <c r="L727" s="5" t="s">
        <v>190</v>
      </c>
      <c r="M727" s="5">
        <v>2000</v>
      </c>
      <c r="N727" s="5" t="s">
        <v>171</v>
      </c>
      <c r="O727" s="6" t="s">
        <v>81</v>
      </c>
      <c r="P727" s="6" t="s">
        <v>186</v>
      </c>
      <c r="Q727" s="6"/>
      <c r="R727" s="6"/>
      <c r="S727" s="6">
        <v>57</v>
      </c>
      <c r="T727" s="6">
        <v>18.22</v>
      </c>
      <c r="U727" s="6">
        <v>1862</v>
      </c>
      <c r="V727" s="6">
        <v>45.64</v>
      </c>
      <c r="W727" s="6">
        <v>0</v>
      </c>
      <c r="X727" s="6">
        <v>0</v>
      </c>
      <c r="Y727" s="6">
        <v>1085</v>
      </c>
      <c r="Z727" s="6">
        <v>663</v>
      </c>
      <c r="AA727" s="6">
        <v>114</v>
      </c>
      <c r="AB727" s="6">
        <v>0</v>
      </c>
      <c r="AC727" s="7">
        <v>58</v>
      </c>
      <c r="AD727" s="7" t="s">
        <v>52</v>
      </c>
      <c r="AE727" s="9">
        <v>18.588765929710501</v>
      </c>
      <c r="AF727" s="7">
        <v>949</v>
      </c>
      <c r="AG727" s="7">
        <v>28.93</v>
      </c>
      <c r="AH727" s="9">
        <v>19.701392704958099</v>
      </c>
      <c r="AI727" s="9">
        <v>24.114235978459199</v>
      </c>
      <c r="AJ727" s="9">
        <v>244.83601236622201</v>
      </c>
      <c r="AK727" s="9">
        <v>245.640952401319</v>
      </c>
      <c r="AL727" s="9">
        <v>304.99384091617702</v>
      </c>
      <c r="AM727" s="9">
        <v>46.811242304551797</v>
      </c>
      <c r="AN727" s="9">
        <v>0.80709038456123705</v>
      </c>
      <c r="AO727" s="9">
        <v>1.15301687068606</v>
      </c>
      <c r="AP727" s="9">
        <v>477.32942161339503</v>
      </c>
      <c r="AQ727" s="9">
        <v>8.2298176140240606</v>
      </c>
      <c r="AR727" s="9">
        <v>17.627045957890701</v>
      </c>
      <c r="AS727" s="8" t="s">
        <v>169</v>
      </c>
      <c r="AT727" s="8" t="s">
        <v>169</v>
      </c>
      <c r="AU727" s="10" t="s">
        <v>169</v>
      </c>
      <c r="AV727" s="10">
        <v>0</v>
      </c>
      <c r="AW727" s="10" t="s">
        <v>169</v>
      </c>
      <c r="AX727" s="10" t="s">
        <v>169</v>
      </c>
      <c r="AY727" s="10"/>
      <c r="AZ727" s="10"/>
      <c r="BA727" s="10"/>
      <c r="BB727" s="8"/>
      <c r="BC727" s="8"/>
      <c r="BD727" s="8"/>
      <c r="BE727" s="8"/>
      <c r="BF727" s="12">
        <v>0.38</v>
      </c>
      <c r="BG727" s="13">
        <v>201.85509037969001</v>
      </c>
      <c r="BH727" s="96" t="str">
        <f>+VLOOKUP(G727,Liste!$A$7:$G$50,3,FALSE)</f>
        <v>Sapin pectiné</v>
      </c>
      <c r="BI727" s="96" t="str">
        <f>+VLOOKUP(H727,Liste!$B$7:$G$50,5,FALSE)</f>
        <v>GS Arc Jurassien</v>
      </c>
      <c r="BJ727" s="135">
        <f t="shared" si="225"/>
        <v>58</v>
      </c>
      <c r="BK727" s="135" t="str">
        <f t="shared" si="227"/>
        <v>Sapin pectiné_F2_Cas général_GS Arc Jurassien_58_</v>
      </c>
      <c r="BL727" s="322"/>
      <c r="BM727" s="13">
        <v>53.497499047806699</v>
      </c>
      <c r="BN727" s="13">
        <v>255.35258942749601</v>
      </c>
      <c r="BO727" s="13" t="s">
        <v>169</v>
      </c>
      <c r="BP727" s="13">
        <v>306.131842885666</v>
      </c>
      <c r="BQ727" s="13">
        <v>14.233238637064</v>
      </c>
      <c r="BT727" s="298" t="str">
        <f>+VLOOKUP(G727,Liste!$A$7:$H$50,8,FALSE)</f>
        <v>Résineux</v>
      </c>
      <c r="BU727" s="298">
        <f t="shared" si="228"/>
        <v>0</v>
      </c>
      <c r="BV727" s="300">
        <f t="shared" si="229"/>
        <v>1</v>
      </c>
      <c r="BW727" s="321">
        <v>0</v>
      </c>
      <c r="BX727" s="298">
        <f t="shared" si="230"/>
        <v>0.43</v>
      </c>
      <c r="BY727">
        <f t="shared" si="231"/>
        <v>0</v>
      </c>
      <c r="BZ727" s="304">
        <f t="shared" si="232"/>
        <v>0</v>
      </c>
      <c r="CB727" s="299">
        <v>0.6</v>
      </c>
      <c r="CC727" s="299">
        <v>0.4</v>
      </c>
      <c r="CD727">
        <f t="shared" si="233"/>
        <v>0</v>
      </c>
      <c r="CE727">
        <f t="shared" si="234"/>
        <v>0</v>
      </c>
      <c r="CF727">
        <f t="shared" si="235"/>
        <v>0</v>
      </c>
      <c r="CG727">
        <f t="shared" si="236"/>
        <v>0</v>
      </c>
      <c r="CH727">
        <f t="shared" si="237"/>
        <v>0</v>
      </c>
      <c r="CI727">
        <f t="shared" si="238"/>
        <v>0</v>
      </c>
      <c r="CJ727">
        <f t="shared" si="239"/>
        <v>0</v>
      </c>
      <c r="CK727">
        <f t="shared" si="240"/>
        <v>0</v>
      </c>
      <c r="CL727">
        <f t="shared" si="241"/>
        <v>0</v>
      </c>
      <c r="CM727">
        <f t="shared" si="243"/>
        <v>0</v>
      </c>
      <c r="CN727">
        <f t="shared" si="242"/>
        <v>0</v>
      </c>
      <c r="CO727">
        <f t="shared" si="226"/>
        <v>0</v>
      </c>
    </row>
    <row r="728" spans="1:93" s="12" customFormat="1" x14ac:dyDescent="0.25">
      <c r="A728" s="4">
        <v>2013</v>
      </c>
      <c r="B728" s="318">
        <v>44265</v>
      </c>
      <c r="C728" s="4" t="s">
        <v>430</v>
      </c>
      <c r="D728" s="4" t="s">
        <v>431</v>
      </c>
      <c r="E728" s="4"/>
      <c r="F728" s="4" t="s">
        <v>1493</v>
      </c>
      <c r="G728" s="5" t="s">
        <v>432</v>
      </c>
      <c r="H728" s="5" t="s">
        <v>185</v>
      </c>
      <c r="I728" s="5" t="s">
        <v>222</v>
      </c>
      <c r="J728" s="5" t="s">
        <v>10</v>
      </c>
      <c r="K728" s="5">
        <v>15.5</v>
      </c>
      <c r="L728" s="5" t="s">
        <v>190</v>
      </c>
      <c r="M728" s="5">
        <v>2000</v>
      </c>
      <c r="N728" s="5" t="s">
        <v>171</v>
      </c>
      <c r="O728" s="6" t="s">
        <v>81</v>
      </c>
      <c r="P728" s="6" t="s">
        <v>186</v>
      </c>
      <c r="Q728" s="6"/>
      <c r="R728" s="6"/>
      <c r="S728" s="6">
        <v>57</v>
      </c>
      <c r="T728" s="6">
        <v>18.22</v>
      </c>
      <c r="U728" s="6">
        <v>1862</v>
      </c>
      <c r="V728" s="6">
        <v>45.64</v>
      </c>
      <c r="W728" s="6">
        <v>0</v>
      </c>
      <c r="X728" s="6">
        <v>0</v>
      </c>
      <c r="Y728" s="6">
        <v>1085</v>
      </c>
      <c r="Z728" s="6">
        <v>663</v>
      </c>
      <c r="AA728" s="6">
        <v>114</v>
      </c>
      <c r="AB728" s="6">
        <v>0</v>
      </c>
      <c r="AC728" s="7">
        <v>59</v>
      </c>
      <c r="AD728" s="7" t="s">
        <v>52</v>
      </c>
      <c r="AE728" s="9">
        <v>18.945393978371701</v>
      </c>
      <c r="AF728" s="7">
        <v>949</v>
      </c>
      <c r="AG728" s="7">
        <v>30.09</v>
      </c>
      <c r="AH728" s="9">
        <v>20.093988131703501</v>
      </c>
      <c r="AI728" s="9">
        <v>24.616576940040598</v>
      </c>
      <c r="AJ728" s="9">
        <v>260.53878917764803</v>
      </c>
      <c r="AK728" s="9">
        <v>261.40428222723801</v>
      </c>
      <c r="AL728" s="9">
        <v>322.62088687406703</v>
      </c>
      <c r="AM728" s="9" t="s">
        <v>169</v>
      </c>
      <c r="AN728" s="9" t="s">
        <v>169</v>
      </c>
      <c r="AO728" s="9" t="s">
        <v>169</v>
      </c>
      <c r="AP728" s="9" t="s">
        <v>169</v>
      </c>
      <c r="AQ728" s="9" t="s">
        <v>169</v>
      </c>
      <c r="AR728" s="9" t="s">
        <v>169</v>
      </c>
      <c r="AS728" s="8" t="s">
        <v>169</v>
      </c>
      <c r="AT728" s="8" t="s">
        <v>169</v>
      </c>
      <c r="AU728" s="10" t="s">
        <v>169</v>
      </c>
      <c r="AV728" s="10">
        <v>0</v>
      </c>
      <c r="AW728" s="10" t="s">
        <v>169</v>
      </c>
      <c r="AX728" s="10" t="s">
        <v>169</v>
      </c>
      <c r="AY728" s="10"/>
      <c r="AZ728" s="10"/>
      <c r="BA728" s="10"/>
      <c r="BB728" s="8"/>
      <c r="BC728" s="8"/>
      <c r="BD728" s="8"/>
      <c r="BE728" s="8"/>
      <c r="BF728" s="12">
        <v>0.38</v>
      </c>
      <c r="BG728" s="13">
        <v>213.52125696281999</v>
      </c>
      <c r="BH728" s="96" t="str">
        <f>+VLOOKUP(G728,Liste!$A$7:$G$50,3,FALSE)</f>
        <v>Sapin pectiné</v>
      </c>
      <c r="BI728" s="96" t="str">
        <f>+VLOOKUP(H728,Liste!$B$7:$G$50,5,FALSE)</f>
        <v>GS Arc Jurassien</v>
      </c>
      <c r="BJ728" s="135">
        <f t="shared" si="225"/>
        <v>59</v>
      </c>
      <c r="BK728" s="135" t="str">
        <f t="shared" si="227"/>
        <v>Sapin pectiné_F2_Cas général_GS Arc Jurassien_59_</v>
      </c>
      <c r="BL728" s="322"/>
      <c r="BM728" s="13">
        <v>56.187832031090799</v>
      </c>
      <c r="BN728" s="13">
        <v>269.709088993911</v>
      </c>
      <c r="BO728" s="13" t="s">
        <v>169</v>
      </c>
      <c r="BP728" s="13">
        <v>306.131842885666</v>
      </c>
      <c r="BQ728" s="13" t="s">
        <v>169</v>
      </c>
      <c r="BT728" s="298" t="str">
        <f>+VLOOKUP(G728,Liste!$A$7:$H$50,8,FALSE)</f>
        <v>Résineux</v>
      </c>
      <c r="BU728" s="298">
        <f t="shared" si="228"/>
        <v>0</v>
      </c>
      <c r="BV728" s="300">
        <f t="shared" si="229"/>
        <v>1</v>
      </c>
      <c r="BW728" s="321">
        <v>0</v>
      </c>
      <c r="BX728" s="298">
        <f t="shared" si="230"/>
        <v>0.43</v>
      </c>
      <c r="BY728">
        <f t="shared" si="231"/>
        <v>0</v>
      </c>
      <c r="BZ728" s="304">
        <f t="shared" si="232"/>
        <v>0</v>
      </c>
      <c r="CB728" s="299">
        <v>0.6</v>
      </c>
      <c r="CC728" s="299">
        <v>0.4</v>
      </c>
      <c r="CD728">
        <f t="shared" si="233"/>
        <v>0</v>
      </c>
      <c r="CE728">
        <f t="shared" si="234"/>
        <v>0</v>
      </c>
      <c r="CF728">
        <f t="shared" si="235"/>
        <v>0</v>
      </c>
      <c r="CG728">
        <f t="shared" si="236"/>
        <v>0</v>
      </c>
      <c r="CH728">
        <f t="shared" si="237"/>
        <v>0</v>
      </c>
      <c r="CI728">
        <f t="shared" si="238"/>
        <v>0</v>
      </c>
      <c r="CJ728">
        <f t="shared" si="239"/>
        <v>0</v>
      </c>
      <c r="CK728">
        <f t="shared" si="240"/>
        <v>0</v>
      </c>
      <c r="CL728">
        <f t="shared" si="241"/>
        <v>0</v>
      </c>
      <c r="CM728">
        <f t="shared" si="243"/>
        <v>0</v>
      </c>
      <c r="CN728">
        <f t="shared" si="242"/>
        <v>0</v>
      </c>
      <c r="CO728">
        <f t="shared" si="226"/>
        <v>0</v>
      </c>
    </row>
    <row r="729" spans="1:93" s="12" customFormat="1" x14ac:dyDescent="0.25">
      <c r="A729" s="4">
        <v>2013</v>
      </c>
      <c r="B729" s="318">
        <v>44265</v>
      </c>
      <c r="C729" s="4" t="s">
        <v>430</v>
      </c>
      <c r="D729" s="4" t="s">
        <v>431</v>
      </c>
      <c r="E729" s="4"/>
      <c r="F729" s="4" t="s">
        <v>1493</v>
      </c>
      <c r="G729" s="5" t="s">
        <v>432</v>
      </c>
      <c r="H729" s="5" t="s">
        <v>185</v>
      </c>
      <c r="I729" s="5" t="s">
        <v>222</v>
      </c>
      <c r="J729" s="5" t="s">
        <v>10</v>
      </c>
      <c r="K729" s="5">
        <v>15.5</v>
      </c>
      <c r="L729" s="5" t="s">
        <v>190</v>
      </c>
      <c r="M729" s="5">
        <v>2000</v>
      </c>
      <c r="N729" s="5" t="s">
        <v>171</v>
      </c>
      <c r="O729" s="6" t="s">
        <v>81</v>
      </c>
      <c r="P729" s="6" t="s">
        <v>186</v>
      </c>
      <c r="Q729" s="6"/>
      <c r="R729" s="6"/>
      <c r="S729" s="6">
        <v>57</v>
      </c>
      <c r="T729" s="6">
        <v>18.22</v>
      </c>
      <c r="U729" s="6">
        <v>1862</v>
      </c>
      <c r="V729" s="6">
        <v>45.64</v>
      </c>
      <c r="W729" s="6">
        <v>0</v>
      </c>
      <c r="X729" s="6">
        <v>0</v>
      </c>
      <c r="Y729" s="6">
        <v>1085</v>
      </c>
      <c r="Z729" s="6">
        <v>663</v>
      </c>
      <c r="AA729" s="6">
        <v>114</v>
      </c>
      <c r="AB729" s="6">
        <v>0</v>
      </c>
      <c r="AC729" s="7">
        <v>60</v>
      </c>
      <c r="AD729" s="7" t="s">
        <v>52</v>
      </c>
      <c r="AE729" s="9">
        <v>19.297226053766799</v>
      </c>
      <c r="AF729" s="7">
        <v>949</v>
      </c>
      <c r="AG729" s="7">
        <v>31.25</v>
      </c>
      <c r="AH729" s="9">
        <v>20.477349500919502</v>
      </c>
      <c r="AI729" s="9">
        <v>25.105518972898199</v>
      </c>
      <c r="AJ729" s="9">
        <v>276.24156598907399</v>
      </c>
      <c r="AK729" s="9">
        <v>277.167612053158</v>
      </c>
      <c r="AL729" s="9">
        <v>340.247932831958</v>
      </c>
      <c r="AM729" s="9" t="s">
        <v>169</v>
      </c>
      <c r="AN729" s="9" t="s">
        <v>169</v>
      </c>
      <c r="AO729" s="9" t="s">
        <v>169</v>
      </c>
      <c r="AP729" s="9" t="s">
        <v>169</v>
      </c>
      <c r="AQ729" s="9" t="s">
        <v>169</v>
      </c>
      <c r="AR729" s="9" t="s">
        <v>169</v>
      </c>
      <c r="AS729" s="8" t="s">
        <v>169</v>
      </c>
      <c r="AT729" s="8" t="s">
        <v>169</v>
      </c>
      <c r="AU729" s="10" t="s">
        <v>169</v>
      </c>
      <c r="AV729" s="10">
        <v>0</v>
      </c>
      <c r="AW729" s="10" t="s">
        <v>169</v>
      </c>
      <c r="AX729" s="10" t="s">
        <v>169</v>
      </c>
      <c r="AY729" s="10"/>
      <c r="AZ729" s="10"/>
      <c r="BA729" s="10"/>
      <c r="BB729" s="8"/>
      <c r="BC729" s="8"/>
      <c r="BD729" s="8"/>
      <c r="BE729" s="8"/>
      <c r="BF729" s="12">
        <v>0.38</v>
      </c>
      <c r="BG729" s="13">
        <v>225.18742354595099</v>
      </c>
      <c r="BH729" s="96" t="str">
        <f>+VLOOKUP(G729,Liste!$A$7:$G$50,3,FALSE)</f>
        <v>Sapin pectiné</v>
      </c>
      <c r="BI729" s="96" t="str">
        <f>+VLOOKUP(H729,Liste!$B$7:$G$50,5,FALSE)</f>
        <v>GS Arc Jurassien</v>
      </c>
      <c r="BJ729" s="135">
        <f t="shared" si="225"/>
        <v>60</v>
      </c>
      <c r="BK729" s="135" t="str">
        <f t="shared" si="227"/>
        <v>Sapin pectiné_F2_Cas général_GS Arc Jurassien_60_</v>
      </c>
      <c r="BL729" s="322"/>
      <c r="BM729" s="13">
        <v>58.878165014375</v>
      </c>
      <c r="BN729" s="13">
        <v>284.06558856032598</v>
      </c>
      <c r="BO729" s="13" t="s">
        <v>169</v>
      </c>
      <c r="BP729" s="13">
        <v>306.131842885666</v>
      </c>
      <c r="BQ729" s="13" t="s">
        <v>169</v>
      </c>
      <c r="BT729" s="298" t="str">
        <f>+VLOOKUP(G729,Liste!$A$7:$H$50,8,FALSE)</f>
        <v>Résineux</v>
      </c>
      <c r="BU729" s="298">
        <f t="shared" si="228"/>
        <v>0</v>
      </c>
      <c r="BV729" s="300">
        <f t="shared" si="229"/>
        <v>1</v>
      </c>
      <c r="BW729" s="321">
        <v>0</v>
      </c>
      <c r="BX729" s="298">
        <f t="shared" si="230"/>
        <v>0.43</v>
      </c>
      <c r="BY729">
        <f t="shared" si="231"/>
        <v>0</v>
      </c>
      <c r="BZ729" s="304">
        <f t="shared" si="232"/>
        <v>0</v>
      </c>
      <c r="CB729" s="299">
        <v>0.6</v>
      </c>
      <c r="CC729" s="299">
        <v>0.4</v>
      </c>
      <c r="CD729">
        <f t="shared" si="233"/>
        <v>0</v>
      </c>
      <c r="CE729">
        <f t="shared" si="234"/>
        <v>0</v>
      </c>
      <c r="CF729">
        <f t="shared" si="235"/>
        <v>0</v>
      </c>
      <c r="CG729">
        <f t="shared" si="236"/>
        <v>0</v>
      </c>
      <c r="CH729">
        <f t="shared" si="237"/>
        <v>0</v>
      </c>
      <c r="CI729">
        <f t="shared" si="238"/>
        <v>0</v>
      </c>
      <c r="CJ729">
        <f t="shared" si="239"/>
        <v>0</v>
      </c>
      <c r="CK729">
        <f t="shared" si="240"/>
        <v>0</v>
      </c>
      <c r="CL729">
        <f t="shared" si="241"/>
        <v>0</v>
      </c>
      <c r="CM729">
        <f t="shared" si="243"/>
        <v>0</v>
      </c>
      <c r="CN729">
        <f t="shared" si="242"/>
        <v>0</v>
      </c>
      <c r="CO729">
        <f t="shared" si="226"/>
        <v>0</v>
      </c>
    </row>
    <row r="730" spans="1:93" s="12" customFormat="1" x14ac:dyDescent="0.25">
      <c r="A730" s="4">
        <v>2013</v>
      </c>
      <c r="B730" s="318">
        <v>44265</v>
      </c>
      <c r="C730" s="4" t="s">
        <v>430</v>
      </c>
      <c r="D730" s="4" t="s">
        <v>431</v>
      </c>
      <c r="E730" s="4"/>
      <c r="F730" s="4" t="s">
        <v>1493</v>
      </c>
      <c r="G730" s="5" t="s">
        <v>432</v>
      </c>
      <c r="H730" s="5" t="s">
        <v>185</v>
      </c>
      <c r="I730" s="5" t="s">
        <v>222</v>
      </c>
      <c r="J730" s="5" t="s">
        <v>10</v>
      </c>
      <c r="K730" s="5">
        <v>15.5</v>
      </c>
      <c r="L730" s="5" t="s">
        <v>190</v>
      </c>
      <c r="M730" s="5">
        <v>2000</v>
      </c>
      <c r="N730" s="5" t="s">
        <v>171</v>
      </c>
      <c r="O730" s="6" t="s">
        <v>81</v>
      </c>
      <c r="P730" s="6" t="s">
        <v>186</v>
      </c>
      <c r="Q730" s="6"/>
      <c r="R730" s="6"/>
      <c r="S730" s="6">
        <v>57</v>
      </c>
      <c r="T730" s="6">
        <v>18.22</v>
      </c>
      <c r="U730" s="6">
        <v>1862</v>
      </c>
      <c r="V730" s="6">
        <v>45.64</v>
      </c>
      <c r="W730" s="6">
        <v>0</v>
      </c>
      <c r="X730" s="6">
        <v>0</v>
      </c>
      <c r="Y730" s="6">
        <v>1085</v>
      </c>
      <c r="Z730" s="6">
        <v>663</v>
      </c>
      <c r="AA730" s="6">
        <v>114</v>
      </c>
      <c r="AB730" s="6">
        <v>0</v>
      </c>
      <c r="AC730" s="7">
        <v>61</v>
      </c>
      <c r="AD730" s="7" t="s">
        <v>52</v>
      </c>
      <c r="AE730" s="9">
        <v>19.644288964526801</v>
      </c>
      <c r="AF730" s="7">
        <v>949</v>
      </c>
      <c r="AG730" s="7">
        <v>32.409999999999997</v>
      </c>
      <c r="AH730" s="9">
        <v>20.851811666687599</v>
      </c>
      <c r="AI730" s="9">
        <v>25.581517007203299</v>
      </c>
      <c r="AJ730" s="9">
        <v>291.94434280050098</v>
      </c>
      <c r="AK730" s="9">
        <v>292.93094187907701</v>
      </c>
      <c r="AL730" s="9">
        <v>357.87497878984902</v>
      </c>
      <c r="AM730" s="9" t="s">
        <v>169</v>
      </c>
      <c r="AN730" s="9" t="s">
        <v>169</v>
      </c>
      <c r="AO730" s="9" t="s">
        <v>169</v>
      </c>
      <c r="AP730" s="9" t="s">
        <v>169</v>
      </c>
      <c r="AQ730" s="9" t="s">
        <v>169</v>
      </c>
      <c r="AR730" s="9" t="s">
        <v>169</v>
      </c>
      <c r="AS730" s="8" t="s">
        <v>169</v>
      </c>
      <c r="AT730" s="8" t="s">
        <v>169</v>
      </c>
      <c r="AU730" s="10" t="s">
        <v>169</v>
      </c>
      <c r="AV730" s="10">
        <v>0</v>
      </c>
      <c r="AW730" s="10" t="s">
        <v>169</v>
      </c>
      <c r="AX730" s="10" t="s">
        <v>169</v>
      </c>
      <c r="AY730" s="10"/>
      <c r="AZ730" s="10"/>
      <c r="BA730" s="10"/>
      <c r="BB730" s="8"/>
      <c r="BC730" s="8"/>
      <c r="BD730" s="8"/>
      <c r="BE730" s="8"/>
      <c r="BF730" s="12">
        <v>0.38</v>
      </c>
      <c r="BG730" s="13">
        <v>236.85359012908199</v>
      </c>
      <c r="BH730" s="96" t="str">
        <f>+VLOOKUP(G730,Liste!$A$7:$G$50,3,FALSE)</f>
        <v>Sapin pectiné</v>
      </c>
      <c r="BI730" s="96" t="str">
        <f>+VLOOKUP(H730,Liste!$B$7:$G$50,5,FALSE)</f>
        <v>GS Arc Jurassien</v>
      </c>
      <c r="BJ730" s="135">
        <f t="shared" si="225"/>
        <v>61</v>
      </c>
      <c r="BK730" s="135" t="str">
        <f t="shared" si="227"/>
        <v>Sapin pectiné_F2_Cas général_GS Arc Jurassien_61_</v>
      </c>
      <c r="BL730" s="322"/>
      <c r="BM730" s="13">
        <v>61.568497997659101</v>
      </c>
      <c r="BN730" s="13">
        <v>298.42208812674102</v>
      </c>
      <c r="BO730" s="13" t="s">
        <v>169</v>
      </c>
      <c r="BP730" s="13">
        <v>306.131842885666</v>
      </c>
      <c r="BQ730" s="13" t="s">
        <v>169</v>
      </c>
      <c r="BT730" s="298" t="str">
        <f>+VLOOKUP(G730,Liste!$A$7:$H$50,8,FALSE)</f>
        <v>Résineux</v>
      </c>
      <c r="BU730" s="298">
        <f t="shared" si="228"/>
        <v>0</v>
      </c>
      <c r="BV730" s="300">
        <f t="shared" si="229"/>
        <v>1</v>
      </c>
      <c r="BW730" s="321">
        <v>0</v>
      </c>
      <c r="BX730" s="298">
        <f t="shared" si="230"/>
        <v>0.43</v>
      </c>
      <c r="BY730">
        <f t="shared" si="231"/>
        <v>0</v>
      </c>
      <c r="BZ730" s="304">
        <f t="shared" si="232"/>
        <v>0</v>
      </c>
      <c r="CB730" s="299">
        <v>0.6</v>
      </c>
      <c r="CC730" s="299">
        <v>0.4</v>
      </c>
      <c r="CD730">
        <f t="shared" si="233"/>
        <v>0</v>
      </c>
      <c r="CE730">
        <f t="shared" si="234"/>
        <v>0</v>
      </c>
      <c r="CF730">
        <f t="shared" si="235"/>
        <v>0</v>
      </c>
      <c r="CG730">
        <f t="shared" si="236"/>
        <v>0</v>
      </c>
      <c r="CH730">
        <f t="shared" si="237"/>
        <v>0</v>
      </c>
      <c r="CI730">
        <f t="shared" si="238"/>
        <v>0</v>
      </c>
      <c r="CJ730">
        <f t="shared" si="239"/>
        <v>0</v>
      </c>
      <c r="CK730">
        <f t="shared" si="240"/>
        <v>0</v>
      </c>
      <c r="CL730">
        <f t="shared" si="241"/>
        <v>0</v>
      </c>
      <c r="CM730">
        <f t="shared" si="243"/>
        <v>0</v>
      </c>
      <c r="CN730">
        <f t="shared" si="242"/>
        <v>0</v>
      </c>
      <c r="CO730">
        <f t="shared" si="226"/>
        <v>0</v>
      </c>
    </row>
    <row r="731" spans="1:93" s="12" customFormat="1" x14ac:dyDescent="0.25">
      <c r="A731" s="4">
        <v>2013</v>
      </c>
      <c r="B731" s="318">
        <v>44265</v>
      </c>
      <c r="C731" s="4" t="s">
        <v>430</v>
      </c>
      <c r="D731" s="4" t="s">
        <v>431</v>
      </c>
      <c r="E731" s="4"/>
      <c r="F731" s="4" t="s">
        <v>1493</v>
      </c>
      <c r="G731" s="5" t="s">
        <v>432</v>
      </c>
      <c r="H731" s="5" t="s">
        <v>185</v>
      </c>
      <c r="I731" s="5" t="s">
        <v>222</v>
      </c>
      <c r="J731" s="5" t="s">
        <v>10</v>
      </c>
      <c r="K731" s="5">
        <v>15.5</v>
      </c>
      <c r="L731" s="5" t="s">
        <v>190</v>
      </c>
      <c r="M731" s="5">
        <v>2000</v>
      </c>
      <c r="N731" s="5" t="s">
        <v>171</v>
      </c>
      <c r="O731" s="6" t="s">
        <v>81</v>
      </c>
      <c r="P731" s="6" t="s">
        <v>186</v>
      </c>
      <c r="Q731" s="6"/>
      <c r="R731" s="6"/>
      <c r="S731" s="6">
        <v>57</v>
      </c>
      <c r="T731" s="6">
        <v>18.22</v>
      </c>
      <c r="U731" s="6">
        <v>1862</v>
      </c>
      <c r="V731" s="6">
        <v>45.64</v>
      </c>
      <c r="W731" s="6">
        <v>0</v>
      </c>
      <c r="X731" s="6">
        <v>0</v>
      </c>
      <c r="Y731" s="6">
        <v>1085</v>
      </c>
      <c r="Z731" s="6">
        <v>663</v>
      </c>
      <c r="AA731" s="6">
        <v>114</v>
      </c>
      <c r="AB731" s="6">
        <v>0</v>
      </c>
      <c r="AC731" s="7">
        <v>62</v>
      </c>
      <c r="AD731" s="7" t="s">
        <v>52</v>
      </c>
      <c r="AE731" s="9">
        <v>19.986614548660299</v>
      </c>
      <c r="AF731" s="7">
        <v>949</v>
      </c>
      <c r="AG731" s="7">
        <v>33.549999999999997</v>
      </c>
      <c r="AH731" s="9">
        <v>21.217690774018699</v>
      </c>
      <c r="AI731" s="9">
        <v>26.045021155660301</v>
      </c>
      <c r="AJ731" s="9">
        <v>307.647119611927</v>
      </c>
      <c r="AK731" s="9">
        <v>308.69427170499603</v>
      </c>
      <c r="AL731" s="9">
        <v>375.50202474773999</v>
      </c>
      <c r="AM731" s="9" t="s">
        <v>169</v>
      </c>
      <c r="AN731" s="9" t="s">
        <v>169</v>
      </c>
      <c r="AO731" s="9" t="s">
        <v>169</v>
      </c>
      <c r="AP731" s="9" t="s">
        <v>169</v>
      </c>
      <c r="AQ731" s="9" t="s">
        <v>169</v>
      </c>
      <c r="AR731" s="9" t="s">
        <v>169</v>
      </c>
      <c r="AS731" s="8" t="s">
        <v>169</v>
      </c>
      <c r="AT731" s="8" t="s">
        <v>169</v>
      </c>
      <c r="AU731" s="10" t="s">
        <v>169</v>
      </c>
      <c r="AV731" s="10">
        <v>0</v>
      </c>
      <c r="AW731" s="10" t="s">
        <v>169</v>
      </c>
      <c r="AX731" s="10" t="s">
        <v>169</v>
      </c>
      <c r="AY731" s="10"/>
      <c r="AZ731" s="10"/>
      <c r="BA731" s="10"/>
      <c r="BB731" s="8"/>
      <c r="BC731" s="8"/>
      <c r="BD731" s="8"/>
      <c r="BE731" s="8"/>
      <c r="BF731" s="12">
        <v>0.38</v>
      </c>
      <c r="BG731" s="13">
        <v>248.519756712212</v>
      </c>
      <c r="BH731" s="96" t="str">
        <f>+VLOOKUP(G731,Liste!$A$7:$G$50,3,FALSE)</f>
        <v>Sapin pectiné</v>
      </c>
      <c r="BI731" s="96" t="str">
        <f>+VLOOKUP(H731,Liste!$B$7:$G$50,5,FALSE)</f>
        <v>GS Arc Jurassien</v>
      </c>
      <c r="BJ731" s="135">
        <f t="shared" si="225"/>
        <v>62</v>
      </c>
      <c r="BK731" s="135" t="str">
        <f t="shared" si="227"/>
        <v>Sapin pectiné_F2_Cas général_GS Arc Jurassien_62_</v>
      </c>
      <c r="BL731" s="322"/>
      <c r="BM731" s="13">
        <v>64.258830980943301</v>
      </c>
      <c r="BN731" s="13">
        <v>312.778587693156</v>
      </c>
      <c r="BO731" s="13" t="s">
        <v>169</v>
      </c>
      <c r="BP731" s="13">
        <v>306.131842885666</v>
      </c>
      <c r="BQ731" s="13" t="s">
        <v>169</v>
      </c>
      <c r="BT731" s="298" t="str">
        <f>+VLOOKUP(G731,Liste!$A$7:$H$50,8,FALSE)</f>
        <v>Résineux</v>
      </c>
      <c r="BU731" s="298">
        <f t="shared" si="228"/>
        <v>0</v>
      </c>
      <c r="BV731" s="300">
        <f t="shared" si="229"/>
        <v>1</v>
      </c>
      <c r="BW731" s="321">
        <v>0</v>
      </c>
      <c r="BX731" s="298">
        <f t="shared" si="230"/>
        <v>0.43</v>
      </c>
      <c r="BY731">
        <f t="shared" si="231"/>
        <v>0</v>
      </c>
      <c r="BZ731" s="304">
        <f t="shared" si="232"/>
        <v>0</v>
      </c>
      <c r="CB731" s="299">
        <v>0.6</v>
      </c>
      <c r="CC731" s="299">
        <v>0.4</v>
      </c>
      <c r="CD731">
        <f t="shared" si="233"/>
        <v>0</v>
      </c>
      <c r="CE731">
        <f t="shared" si="234"/>
        <v>0</v>
      </c>
      <c r="CF731">
        <f t="shared" si="235"/>
        <v>0</v>
      </c>
      <c r="CG731">
        <f t="shared" si="236"/>
        <v>0</v>
      </c>
      <c r="CH731">
        <f t="shared" si="237"/>
        <v>0</v>
      </c>
      <c r="CI731">
        <f t="shared" si="238"/>
        <v>0</v>
      </c>
      <c r="CJ731">
        <f t="shared" si="239"/>
        <v>0</v>
      </c>
      <c r="CK731">
        <f t="shared" si="240"/>
        <v>0</v>
      </c>
      <c r="CL731">
        <f t="shared" si="241"/>
        <v>0</v>
      </c>
      <c r="CM731">
        <f t="shared" si="243"/>
        <v>0</v>
      </c>
      <c r="CN731">
        <f t="shared" si="242"/>
        <v>0</v>
      </c>
      <c r="CO731">
        <f t="shared" si="226"/>
        <v>0</v>
      </c>
    </row>
    <row r="732" spans="1:93" s="12" customFormat="1" x14ac:dyDescent="0.25">
      <c r="A732" s="4">
        <v>2013</v>
      </c>
      <c r="B732" s="318">
        <v>44265</v>
      </c>
      <c r="C732" s="4" t="s">
        <v>430</v>
      </c>
      <c r="D732" s="4" t="s">
        <v>431</v>
      </c>
      <c r="E732" s="4"/>
      <c r="F732" s="4" t="s">
        <v>1493</v>
      </c>
      <c r="G732" s="5" t="s">
        <v>432</v>
      </c>
      <c r="H732" s="5" t="s">
        <v>185</v>
      </c>
      <c r="I732" s="5" t="s">
        <v>222</v>
      </c>
      <c r="J732" s="5" t="s">
        <v>10</v>
      </c>
      <c r="K732" s="5">
        <v>15.5</v>
      </c>
      <c r="L732" s="5" t="s">
        <v>190</v>
      </c>
      <c r="M732" s="5">
        <v>2000</v>
      </c>
      <c r="N732" s="5" t="s">
        <v>171</v>
      </c>
      <c r="O732" s="6" t="s">
        <v>81</v>
      </c>
      <c r="P732" s="6" t="s">
        <v>186</v>
      </c>
      <c r="Q732" s="6"/>
      <c r="R732" s="6"/>
      <c r="S732" s="6">
        <v>57</v>
      </c>
      <c r="T732" s="6">
        <v>18.22</v>
      </c>
      <c r="U732" s="6">
        <v>1862</v>
      </c>
      <c r="V732" s="6">
        <v>45.64</v>
      </c>
      <c r="W732" s="6">
        <v>0</v>
      </c>
      <c r="X732" s="6">
        <v>0</v>
      </c>
      <c r="Y732" s="6">
        <v>1085</v>
      </c>
      <c r="Z732" s="6">
        <v>663</v>
      </c>
      <c r="AA732" s="6">
        <v>114</v>
      </c>
      <c r="AB732" s="6">
        <v>0</v>
      </c>
      <c r="AC732" s="7">
        <v>63</v>
      </c>
      <c r="AD732" s="7" t="s">
        <v>52</v>
      </c>
      <c r="AE732" s="9">
        <v>20.324239084732799</v>
      </c>
      <c r="AF732" s="7">
        <v>949</v>
      </c>
      <c r="AG732" s="7">
        <v>34.700000000000003</v>
      </c>
      <c r="AH732" s="9">
        <v>21.575285877232801</v>
      </c>
      <c r="AI732" s="9">
        <v>26.4964741705672</v>
      </c>
      <c r="AJ732" s="9">
        <v>323.34989642335302</v>
      </c>
      <c r="AK732" s="9">
        <v>324.45760153091499</v>
      </c>
      <c r="AL732" s="9">
        <v>393.12907070563</v>
      </c>
      <c r="AM732" s="9">
        <v>52.576326657982101</v>
      </c>
      <c r="AN732" s="9">
        <v>0.83454486758701696</v>
      </c>
      <c r="AO732" s="9">
        <v>1.12975053235315</v>
      </c>
      <c r="AP732" s="9">
        <v>565.46465140284897</v>
      </c>
      <c r="AQ732" s="9">
        <v>8.9756293873467996</v>
      </c>
      <c r="AR732" s="9">
        <v>18.415798675553798</v>
      </c>
      <c r="AS732" s="8" t="s">
        <v>169</v>
      </c>
      <c r="AT732" s="8" t="s">
        <v>169</v>
      </c>
      <c r="AU732" s="10" t="s">
        <v>169</v>
      </c>
      <c r="AV732" s="10">
        <v>0</v>
      </c>
      <c r="AW732" s="10" t="s">
        <v>169</v>
      </c>
      <c r="AX732" s="10" t="s">
        <v>169</v>
      </c>
      <c r="AY732" s="10"/>
      <c r="AZ732" s="10"/>
      <c r="BA732" s="10"/>
      <c r="BB732" s="8"/>
      <c r="BC732" s="8"/>
      <c r="BD732" s="8"/>
      <c r="BE732" s="8"/>
      <c r="BF732" s="12">
        <v>0.38</v>
      </c>
      <c r="BG732" s="13">
        <v>260.185923295343</v>
      </c>
      <c r="BH732" s="96" t="str">
        <f>+VLOOKUP(G732,Liste!$A$7:$G$50,3,FALSE)</f>
        <v>Sapin pectiné</v>
      </c>
      <c r="BI732" s="96" t="str">
        <f>+VLOOKUP(H732,Liste!$B$7:$G$50,5,FALSE)</f>
        <v>GS Arc Jurassien</v>
      </c>
      <c r="BJ732" s="135">
        <f t="shared" si="225"/>
        <v>63</v>
      </c>
      <c r="BK732" s="135" t="str">
        <f t="shared" si="227"/>
        <v>Sapin pectiné_F2_Cas général_GS Arc Jurassien_63_</v>
      </c>
      <c r="BL732" s="322"/>
      <c r="BM732" s="13">
        <v>66.949163964227395</v>
      </c>
      <c r="BN732" s="13">
        <v>327.13508725957001</v>
      </c>
      <c r="BO732" s="13" t="s">
        <v>169</v>
      </c>
      <c r="BP732" s="13">
        <v>306.131842885666</v>
      </c>
      <c r="BQ732" s="13">
        <v>14.834674264583599</v>
      </c>
      <c r="BT732" s="298" t="str">
        <f>+VLOOKUP(G732,Liste!$A$7:$H$50,8,FALSE)</f>
        <v>Résineux</v>
      </c>
      <c r="BU732" s="298">
        <f t="shared" si="228"/>
        <v>0</v>
      </c>
      <c r="BV732" s="300">
        <f t="shared" si="229"/>
        <v>1</v>
      </c>
      <c r="BW732" s="321">
        <v>0</v>
      </c>
      <c r="BX732" s="298">
        <f t="shared" si="230"/>
        <v>0.43</v>
      </c>
      <c r="BY732">
        <f t="shared" si="231"/>
        <v>0</v>
      </c>
      <c r="BZ732" s="304">
        <f t="shared" si="232"/>
        <v>0</v>
      </c>
      <c r="CB732" s="299">
        <v>0.6</v>
      </c>
      <c r="CC732" s="299">
        <v>0.4</v>
      </c>
      <c r="CD732">
        <f t="shared" si="233"/>
        <v>0</v>
      </c>
      <c r="CE732">
        <f t="shared" si="234"/>
        <v>0</v>
      </c>
      <c r="CF732">
        <f t="shared" si="235"/>
        <v>0</v>
      </c>
      <c r="CG732">
        <f t="shared" si="236"/>
        <v>0</v>
      </c>
      <c r="CH732">
        <f t="shared" si="237"/>
        <v>0</v>
      </c>
      <c r="CI732">
        <f t="shared" si="238"/>
        <v>0</v>
      </c>
      <c r="CJ732">
        <f t="shared" si="239"/>
        <v>0</v>
      </c>
      <c r="CK732">
        <f t="shared" si="240"/>
        <v>0</v>
      </c>
      <c r="CL732">
        <f t="shared" si="241"/>
        <v>0</v>
      </c>
      <c r="CM732">
        <f t="shared" si="243"/>
        <v>0</v>
      </c>
      <c r="CN732">
        <f t="shared" si="242"/>
        <v>0</v>
      </c>
      <c r="CO732">
        <f t="shared" si="226"/>
        <v>0</v>
      </c>
    </row>
    <row r="733" spans="1:93" s="12" customFormat="1" x14ac:dyDescent="0.25">
      <c r="A733" s="4">
        <v>2013</v>
      </c>
      <c r="B733" s="318">
        <v>44265</v>
      </c>
      <c r="C733" s="4" t="s">
        <v>430</v>
      </c>
      <c r="D733" s="4" t="s">
        <v>431</v>
      </c>
      <c r="E733" s="4"/>
      <c r="F733" s="4" t="s">
        <v>1493</v>
      </c>
      <c r="G733" s="5" t="s">
        <v>432</v>
      </c>
      <c r="H733" s="5" t="s">
        <v>185</v>
      </c>
      <c r="I733" s="5" t="s">
        <v>222</v>
      </c>
      <c r="J733" s="5" t="s">
        <v>10</v>
      </c>
      <c r="K733" s="5">
        <v>15.5</v>
      </c>
      <c r="L733" s="5" t="s">
        <v>190</v>
      </c>
      <c r="M733" s="5">
        <v>2000</v>
      </c>
      <c r="N733" s="5" t="s">
        <v>171</v>
      </c>
      <c r="O733" s="6" t="s">
        <v>81</v>
      </c>
      <c r="P733" s="6" t="s">
        <v>186</v>
      </c>
      <c r="Q733" s="6"/>
      <c r="R733" s="6"/>
      <c r="S733" s="6">
        <v>57</v>
      </c>
      <c r="T733" s="6">
        <v>18.22</v>
      </c>
      <c r="U733" s="6">
        <v>1862</v>
      </c>
      <c r="V733" s="6">
        <v>45.64</v>
      </c>
      <c r="W733" s="6">
        <v>0</v>
      </c>
      <c r="X733" s="6">
        <v>0</v>
      </c>
      <c r="Y733" s="6">
        <v>1085</v>
      </c>
      <c r="Z733" s="6">
        <v>663</v>
      </c>
      <c r="AA733" s="6">
        <v>114</v>
      </c>
      <c r="AB733" s="6">
        <v>0</v>
      </c>
      <c r="AC733" s="7">
        <v>64</v>
      </c>
      <c r="AD733" s="7" t="s">
        <v>52</v>
      </c>
      <c r="AE733" s="9">
        <v>20.657202757155599</v>
      </c>
      <c r="AF733" s="7">
        <v>949</v>
      </c>
      <c r="AG733" s="7">
        <v>35.83</v>
      </c>
      <c r="AH733" s="9">
        <v>21.9248805165298</v>
      </c>
      <c r="AI733" s="9">
        <v>26.936308120350201</v>
      </c>
      <c r="AJ733" s="9">
        <v>339.98649734658301</v>
      </c>
      <c r="AK733" s="9">
        <v>341.15173407621501</v>
      </c>
      <c r="AL733" s="9">
        <v>411.54486938118401</v>
      </c>
      <c r="AM733" s="9" t="s">
        <v>169</v>
      </c>
      <c r="AN733" s="9" t="s">
        <v>169</v>
      </c>
      <c r="AO733" s="9" t="s">
        <v>169</v>
      </c>
      <c r="AP733" s="9" t="s">
        <v>169</v>
      </c>
      <c r="AQ733" s="9" t="s">
        <v>169</v>
      </c>
      <c r="AR733" s="9" t="s">
        <v>169</v>
      </c>
      <c r="AS733" s="8" t="s">
        <v>169</v>
      </c>
      <c r="AT733" s="8" t="s">
        <v>169</v>
      </c>
      <c r="AU733" s="10" t="s">
        <v>169</v>
      </c>
      <c r="AV733" s="10">
        <v>0</v>
      </c>
      <c r="AW733" s="10" t="s">
        <v>169</v>
      </c>
      <c r="AX733" s="10" t="s">
        <v>169</v>
      </c>
      <c r="AY733" s="10"/>
      <c r="AZ733" s="10"/>
      <c r="BA733" s="10"/>
      <c r="BB733" s="8"/>
      <c r="BC733" s="8"/>
      <c r="BD733" s="8"/>
      <c r="BE733" s="8"/>
      <c r="BF733" s="12">
        <v>0.38</v>
      </c>
      <c r="BG733" s="13">
        <v>272.37411271878</v>
      </c>
      <c r="BH733" s="96" t="str">
        <f>+VLOOKUP(G733,Liste!$A$7:$G$50,3,FALSE)</f>
        <v>Sapin pectiné</v>
      </c>
      <c r="BI733" s="96" t="str">
        <f>+VLOOKUP(H733,Liste!$B$7:$G$50,5,FALSE)</f>
        <v>GS Arc Jurassien</v>
      </c>
      <c r="BJ733" s="135">
        <f t="shared" si="225"/>
        <v>64</v>
      </c>
      <c r="BK733" s="135" t="str">
        <f t="shared" si="227"/>
        <v>Sapin pectiné_F2_Cas général_GS Arc Jurassien_64_</v>
      </c>
      <c r="BL733" s="322"/>
      <c r="BM733" s="13">
        <v>69.705682022798001</v>
      </c>
      <c r="BN733" s="13">
        <v>342.07979474157798</v>
      </c>
      <c r="BO733" s="13" t="s">
        <v>169</v>
      </c>
      <c r="BP733" s="13">
        <v>306.131842885666</v>
      </c>
      <c r="BQ733" s="13" t="s">
        <v>169</v>
      </c>
      <c r="BT733" s="298" t="str">
        <f>+VLOOKUP(G733,Liste!$A$7:$H$50,8,FALSE)</f>
        <v>Résineux</v>
      </c>
      <c r="BU733" s="298">
        <f t="shared" si="228"/>
        <v>0</v>
      </c>
      <c r="BV733" s="300">
        <f t="shared" si="229"/>
        <v>1</v>
      </c>
      <c r="BW733" s="321">
        <v>0</v>
      </c>
      <c r="BX733" s="298">
        <f t="shared" si="230"/>
        <v>0.43</v>
      </c>
      <c r="BY733">
        <f t="shared" si="231"/>
        <v>0</v>
      </c>
      <c r="BZ733" s="304">
        <f t="shared" si="232"/>
        <v>0</v>
      </c>
      <c r="CB733" s="299">
        <v>0.6</v>
      </c>
      <c r="CC733" s="299">
        <v>0.4</v>
      </c>
      <c r="CD733">
        <f t="shared" si="233"/>
        <v>0</v>
      </c>
      <c r="CE733">
        <f t="shared" si="234"/>
        <v>0</v>
      </c>
      <c r="CF733">
        <f t="shared" si="235"/>
        <v>0</v>
      </c>
      <c r="CG733">
        <f t="shared" si="236"/>
        <v>0</v>
      </c>
      <c r="CH733">
        <f t="shared" si="237"/>
        <v>0</v>
      </c>
      <c r="CI733">
        <f t="shared" si="238"/>
        <v>0</v>
      </c>
      <c r="CJ733">
        <f t="shared" si="239"/>
        <v>0</v>
      </c>
      <c r="CK733">
        <f t="shared" si="240"/>
        <v>0</v>
      </c>
      <c r="CL733">
        <f t="shared" si="241"/>
        <v>0</v>
      </c>
      <c r="CM733">
        <f t="shared" si="243"/>
        <v>0</v>
      </c>
      <c r="CN733">
        <f t="shared" si="242"/>
        <v>0</v>
      </c>
      <c r="CO733">
        <f t="shared" si="226"/>
        <v>0</v>
      </c>
    </row>
    <row r="734" spans="1:93" s="12" customFormat="1" x14ac:dyDescent="0.25">
      <c r="A734" s="4">
        <v>2013</v>
      </c>
      <c r="B734" s="318">
        <v>44265</v>
      </c>
      <c r="C734" s="4" t="s">
        <v>430</v>
      </c>
      <c r="D734" s="4" t="s">
        <v>431</v>
      </c>
      <c r="E734" s="4"/>
      <c r="F734" s="4" t="s">
        <v>1493</v>
      </c>
      <c r="G734" s="5" t="s">
        <v>432</v>
      </c>
      <c r="H734" s="5" t="s">
        <v>185</v>
      </c>
      <c r="I734" s="5" t="s">
        <v>222</v>
      </c>
      <c r="J734" s="5" t="s">
        <v>10</v>
      </c>
      <c r="K734" s="5">
        <v>15.5</v>
      </c>
      <c r="L734" s="5" t="s">
        <v>190</v>
      </c>
      <c r="M734" s="5">
        <v>2000</v>
      </c>
      <c r="N734" s="5" t="s">
        <v>171</v>
      </c>
      <c r="O734" s="6" t="s">
        <v>81</v>
      </c>
      <c r="P734" s="6" t="s">
        <v>186</v>
      </c>
      <c r="Q734" s="6"/>
      <c r="R734" s="6"/>
      <c r="S734" s="6">
        <v>57</v>
      </c>
      <c r="T734" s="6">
        <v>18.22</v>
      </c>
      <c r="U734" s="6">
        <v>1862</v>
      </c>
      <c r="V734" s="6">
        <v>45.64</v>
      </c>
      <c r="W734" s="6">
        <v>0</v>
      </c>
      <c r="X734" s="6">
        <v>0</v>
      </c>
      <c r="Y734" s="6">
        <v>1085</v>
      </c>
      <c r="Z734" s="6">
        <v>663</v>
      </c>
      <c r="AA734" s="6">
        <v>114</v>
      </c>
      <c r="AB734" s="6">
        <v>0</v>
      </c>
      <c r="AC734" s="7">
        <v>65</v>
      </c>
      <c r="AD734" s="7" t="s">
        <v>52</v>
      </c>
      <c r="AE734" s="9">
        <v>20.985549170888799</v>
      </c>
      <c r="AF734" s="7">
        <v>949</v>
      </c>
      <c r="AG734" s="7">
        <v>36.950000000000003</v>
      </c>
      <c r="AH734" s="9">
        <v>22.266743874549</v>
      </c>
      <c r="AI734" s="9">
        <v>27.364942599270901</v>
      </c>
      <c r="AJ734" s="9">
        <v>356.62309826981402</v>
      </c>
      <c r="AK734" s="9">
        <v>357.84586662151497</v>
      </c>
      <c r="AL734" s="9">
        <v>429.96066805673797</v>
      </c>
      <c r="AM734" s="9">
        <v>54.8358277226884</v>
      </c>
      <c r="AN734" s="9">
        <v>0.84362811881058997</v>
      </c>
      <c r="AO734" s="9">
        <v>1.0347290169282199</v>
      </c>
      <c r="AP734" s="9">
        <v>602.29624875395598</v>
      </c>
      <c r="AQ734" s="9">
        <v>9.2660961346762498</v>
      </c>
      <c r="AR734" s="9">
        <v>17.085119556749401</v>
      </c>
      <c r="AS734" s="8" t="s">
        <v>169</v>
      </c>
      <c r="AT734" s="8" t="s">
        <v>169</v>
      </c>
      <c r="AU734" s="10" t="s">
        <v>169</v>
      </c>
      <c r="AV734" s="10">
        <v>0</v>
      </c>
      <c r="AW734" s="10" t="s">
        <v>169</v>
      </c>
      <c r="AX734" s="10" t="s">
        <v>169</v>
      </c>
      <c r="AY734" s="10"/>
      <c r="AZ734" s="10"/>
      <c r="BA734" s="10"/>
      <c r="BB734" s="8"/>
      <c r="BC734" s="8"/>
      <c r="BD734" s="8"/>
      <c r="BE734" s="8"/>
      <c r="BF734" s="12">
        <v>0.38</v>
      </c>
      <c r="BG734" s="13">
        <v>284.56230214221802</v>
      </c>
      <c r="BH734" s="96" t="str">
        <f>+VLOOKUP(G734,Liste!$A$7:$G$50,3,FALSE)</f>
        <v>Sapin pectiné</v>
      </c>
      <c r="BI734" s="96" t="str">
        <f>+VLOOKUP(H734,Liste!$B$7:$G$50,5,FALSE)</f>
        <v>GS Arc Jurassien</v>
      </c>
      <c r="BJ734" s="135">
        <f t="shared" si="225"/>
        <v>65</v>
      </c>
      <c r="BK734" s="135" t="str">
        <f t="shared" si="227"/>
        <v>Sapin pectiné_F2_Cas général_GS Arc Jurassien_65_</v>
      </c>
      <c r="BL734" s="322"/>
      <c r="BM734" s="13">
        <v>72.462200081368493</v>
      </c>
      <c r="BN734" s="13">
        <v>357.02450222358601</v>
      </c>
      <c r="BO734" s="13" t="s">
        <v>169</v>
      </c>
      <c r="BP734" s="13">
        <v>306.131842885666</v>
      </c>
      <c r="BQ734" s="13">
        <v>13.7459347651684</v>
      </c>
      <c r="BT734" s="298" t="str">
        <f>+VLOOKUP(G734,Liste!$A$7:$H$50,8,FALSE)</f>
        <v>Résineux</v>
      </c>
      <c r="BU734" s="298">
        <f t="shared" si="228"/>
        <v>0</v>
      </c>
      <c r="BV734" s="300">
        <f t="shared" si="229"/>
        <v>1</v>
      </c>
      <c r="BW734" s="321">
        <v>0</v>
      </c>
      <c r="BX734" s="298">
        <f t="shared" si="230"/>
        <v>0.43</v>
      </c>
      <c r="BY734">
        <f t="shared" si="231"/>
        <v>0</v>
      </c>
      <c r="BZ734" s="304">
        <f t="shared" si="232"/>
        <v>0</v>
      </c>
      <c r="CB734" s="299">
        <v>0.6</v>
      </c>
      <c r="CC734" s="299">
        <v>0.4</v>
      </c>
      <c r="CD734">
        <f t="shared" si="233"/>
        <v>0</v>
      </c>
      <c r="CE734">
        <f t="shared" si="234"/>
        <v>0</v>
      </c>
      <c r="CF734">
        <f t="shared" si="235"/>
        <v>0</v>
      </c>
      <c r="CG734">
        <f t="shared" si="236"/>
        <v>0</v>
      </c>
      <c r="CH734">
        <f t="shared" si="237"/>
        <v>0</v>
      </c>
      <c r="CI734">
        <f t="shared" si="238"/>
        <v>0</v>
      </c>
      <c r="CJ734">
        <f t="shared" si="239"/>
        <v>0</v>
      </c>
      <c r="CK734">
        <f t="shared" si="240"/>
        <v>0</v>
      </c>
      <c r="CL734">
        <f t="shared" si="241"/>
        <v>0</v>
      </c>
      <c r="CM734">
        <f t="shared" si="243"/>
        <v>0</v>
      </c>
      <c r="CN734">
        <f t="shared" si="242"/>
        <v>0</v>
      </c>
      <c r="CO734">
        <f t="shared" si="226"/>
        <v>0</v>
      </c>
    </row>
    <row r="735" spans="1:93" s="12" customFormat="1" x14ac:dyDescent="0.25">
      <c r="A735" s="4">
        <v>2013</v>
      </c>
      <c r="B735" s="318">
        <v>44265</v>
      </c>
      <c r="C735" s="4" t="s">
        <v>430</v>
      </c>
      <c r="D735" s="4" t="s">
        <v>431</v>
      </c>
      <c r="E735" s="4"/>
      <c r="F735" s="4" t="s">
        <v>1493</v>
      </c>
      <c r="G735" s="5" t="s">
        <v>432</v>
      </c>
      <c r="H735" s="5" t="s">
        <v>185</v>
      </c>
      <c r="I735" s="5" t="s">
        <v>222</v>
      </c>
      <c r="J735" s="5" t="s">
        <v>10</v>
      </c>
      <c r="K735" s="5">
        <v>15.5</v>
      </c>
      <c r="L735" s="5" t="s">
        <v>190</v>
      </c>
      <c r="M735" s="5">
        <v>2000</v>
      </c>
      <c r="N735" s="5" t="s">
        <v>171</v>
      </c>
      <c r="O735" s="6" t="s">
        <v>81</v>
      </c>
      <c r="P735" s="6" t="s">
        <v>186</v>
      </c>
      <c r="Q735" s="6"/>
      <c r="R735" s="6"/>
      <c r="S735" s="6">
        <v>57</v>
      </c>
      <c r="T735" s="6">
        <v>18.22</v>
      </c>
      <c r="U735" s="6">
        <v>1862</v>
      </c>
      <c r="V735" s="6">
        <v>45.64</v>
      </c>
      <c r="W735" s="6">
        <v>0</v>
      </c>
      <c r="X735" s="6">
        <v>0</v>
      </c>
      <c r="Y735" s="6">
        <v>1085</v>
      </c>
      <c r="Z735" s="6">
        <v>663</v>
      </c>
      <c r="AA735" s="6">
        <v>114</v>
      </c>
      <c r="AB735" s="6">
        <v>0</v>
      </c>
      <c r="AC735" s="7">
        <v>65</v>
      </c>
      <c r="AD735" s="7" t="s">
        <v>53</v>
      </c>
      <c r="AE735" s="9">
        <v>20.985549170888799</v>
      </c>
      <c r="AF735" s="7">
        <v>708</v>
      </c>
      <c r="AG735" s="7">
        <v>27.96</v>
      </c>
      <c r="AH735" s="9">
        <v>22.424282401316699</v>
      </c>
      <c r="AI735" s="9">
        <v>27.072166547776298</v>
      </c>
      <c r="AJ735" s="9">
        <v>270.560210693908</v>
      </c>
      <c r="AK735" s="9">
        <v>271.50782795358299</v>
      </c>
      <c r="AL735" s="9">
        <v>326.09113275527699</v>
      </c>
      <c r="AM735" s="9">
        <v>54.8358277226884</v>
      </c>
      <c r="AN735" s="9">
        <v>0.84362811881058997</v>
      </c>
      <c r="AO735" s="9">
        <v>1.0347290169282199</v>
      </c>
      <c r="AP735" s="9">
        <v>602.29624875395598</v>
      </c>
      <c r="AQ735" s="9">
        <v>9.2660961346762498</v>
      </c>
      <c r="AR735" s="9">
        <v>17.085119556749401</v>
      </c>
      <c r="AS735" s="8">
        <v>241</v>
      </c>
      <c r="AT735" s="8">
        <v>8.990000000000002</v>
      </c>
      <c r="AU735" s="10">
        <v>21.793469945093211</v>
      </c>
      <c r="AV735" s="10">
        <v>86.062887575906018</v>
      </c>
      <c r="AW735" s="10">
        <v>0.95794227713689428</v>
      </c>
      <c r="AX735" s="10">
        <v>0.35710741732741086</v>
      </c>
      <c r="AY735" s="10"/>
      <c r="AZ735" s="10"/>
      <c r="BA735" s="10"/>
      <c r="BB735" s="8"/>
      <c r="BC735" s="8"/>
      <c r="BD735" s="8"/>
      <c r="BE735" s="8"/>
      <c r="BF735" s="12">
        <v>0.38</v>
      </c>
      <c r="BG735" s="13">
        <v>215.817981361867</v>
      </c>
      <c r="BH735" s="96" t="str">
        <f>+VLOOKUP(G735,Liste!$A$7:$G$50,3,FALSE)</f>
        <v>Sapin pectiné</v>
      </c>
      <c r="BI735" s="96" t="str">
        <f>+VLOOKUP(H735,Liste!$B$7:$G$50,5,FALSE)</f>
        <v>GS Arc Jurassien</v>
      </c>
      <c r="BJ735" s="135">
        <f t="shared" si="225"/>
        <v>65</v>
      </c>
      <c r="BK735" s="135" t="str">
        <f t="shared" si="227"/>
        <v>Sapin pectiné_F2_Cas général_GS Arc Jurassien_65_</v>
      </c>
      <c r="BL735" s="322"/>
      <c r="BM735" s="13">
        <v>56.754489543896803</v>
      </c>
      <c r="BN735" s="13">
        <v>272.57247090576402</v>
      </c>
      <c r="BO735" s="13">
        <v>84.452031317821991</v>
      </c>
      <c r="BP735" s="13">
        <v>306.131842885666</v>
      </c>
      <c r="BQ735" s="13">
        <v>13.7459347651684</v>
      </c>
      <c r="BT735" s="298" t="str">
        <f>+VLOOKUP(G735,Liste!$A$7:$H$50,8,FALSE)</f>
        <v>Résineux</v>
      </c>
      <c r="BU735" s="298">
        <f t="shared" si="228"/>
        <v>0</v>
      </c>
      <c r="BV735" s="300">
        <f t="shared" si="229"/>
        <v>1</v>
      </c>
      <c r="BW735" s="321">
        <v>0</v>
      </c>
      <c r="BX735" s="298">
        <f t="shared" si="230"/>
        <v>0.43</v>
      </c>
      <c r="BY735">
        <f t="shared" si="231"/>
        <v>0</v>
      </c>
      <c r="BZ735" s="304">
        <f t="shared" si="232"/>
        <v>0</v>
      </c>
      <c r="CB735" s="299">
        <v>0.6</v>
      </c>
      <c r="CC735" s="299">
        <v>0.4</v>
      </c>
      <c r="CD735">
        <f t="shared" si="233"/>
        <v>0</v>
      </c>
      <c r="CE735">
        <f t="shared" si="234"/>
        <v>0</v>
      </c>
      <c r="CF735">
        <f t="shared" si="235"/>
        <v>0</v>
      </c>
      <c r="CG735">
        <f t="shared" si="236"/>
        <v>0</v>
      </c>
      <c r="CH735">
        <f t="shared" si="237"/>
        <v>0</v>
      </c>
      <c r="CI735">
        <f t="shared" si="238"/>
        <v>0</v>
      </c>
      <c r="CJ735">
        <f t="shared" si="239"/>
        <v>0</v>
      </c>
      <c r="CK735">
        <f t="shared" si="240"/>
        <v>0</v>
      </c>
      <c r="CL735">
        <f t="shared" si="241"/>
        <v>0</v>
      </c>
      <c r="CM735">
        <f t="shared" si="243"/>
        <v>0</v>
      </c>
      <c r="CN735">
        <f t="shared" si="242"/>
        <v>0</v>
      </c>
      <c r="CO735">
        <f t="shared" si="226"/>
        <v>0</v>
      </c>
    </row>
    <row r="736" spans="1:93" s="12" customFormat="1" x14ac:dyDescent="0.25">
      <c r="A736" s="4">
        <v>2013</v>
      </c>
      <c r="B736" s="318">
        <v>44265</v>
      </c>
      <c r="C736" s="4" t="s">
        <v>430</v>
      </c>
      <c r="D736" s="4" t="s">
        <v>431</v>
      </c>
      <c r="E736" s="4"/>
      <c r="F736" s="4" t="s">
        <v>1493</v>
      </c>
      <c r="G736" s="5" t="s">
        <v>432</v>
      </c>
      <c r="H736" s="5" t="s">
        <v>185</v>
      </c>
      <c r="I736" s="5" t="s">
        <v>222</v>
      </c>
      <c r="J736" s="5" t="s">
        <v>10</v>
      </c>
      <c r="K736" s="5">
        <v>15.5</v>
      </c>
      <c r="L736" s="5" t="s">
        <v>190</v>
      </c>
      <c r="M736" s="5">
        <v>2000</v>
      </c>
      <c r="N736" s="5" t="s">
        <v>171</v>
      </c>
      <c r="O736" s="6" t="s">
        <v>81</v>
      </c>
      <c r="P736" s="6" t="s">
        <v>186</v>
      </c>
      <c r="Q736" s="6"/>
      <c r="R736" s="6"/>
      <c r="S736" s="6">
        <v>57</v>
      </c>
      <c r="T736" s="6">
        <v>18.22</v>
      </c>
      <c r="U736" s="6">
        <v>1862</v>
      </c>
      <c r="V736" s="6">
        <v>45.64</v>
      </c>
      <c r="W736" s="6">
        <v>0</v>
      </c>
      <c r="X736" s="6">
        <v>0</v>
      </c>
      <c r="Y736" s="6">
        <v>1085</v>
      </c>
      <c r="Z736" s="6">
        <v>663</v>
      </c>
      <c r="AA736" s="6">
        <v>114</v>
      </c>
      <c r="AB736" s="6">
        <v>0</v>
      </c>
      <c r="AC736" s="7">
        <v>66</v>
      </c>
      <c r="AD736" s="7" t="s">
        <v>52</v>
      </c>
      <c r="AE736" s="9">
        <v>21.309324911251402</v>
      </c>
      <c r="AF736" s="7">
        <v>708</v>
      </c>
      <c r="AG736" s="7">
        <v>29</v>
      </c>
      <c r="AH736" s="9">
        <v>22.8365870866403</v>
      </c>
      <c r="AI736" s="9">
        <v>27.578105318202901</v>
      </c>
      <c r="AJ736" s="9">
        <v>286.00353102421798</v>
      </c>
      <c r="AK736" s="9">
        <v>287.008176420106</v>
      </c>
      <c r="AL736" s="9">
        <v>343.17625231202601</v>
      </c>
      <c r="AM736" s="9" t="s">
        <v>169</v>
      </c>
      <c r="AN736" s="9" t="s">
        <v>169</v>
      </c>
      <c r="AO736" s="9" t="s">
        <v>169</v>
      </c>
      <c r="AP736" s="9" t="s">
        <v>169</v>
      </c>
      <c r="AQ736" s="9" t="s">
        <v>169</v>
      </c>
      <c r="AR736" s="9" t="s">
        <v>169</v>
      </c>
      <c r="AS736" s="8" t="s">
        <v>169</v>
      </c>
      <c r="AT736" s="8" t="s">
        <v>169</v>
      </c>
      <c r="AU736" s="10" t="s">
        <v>169</v>
      </c>
      <c r="AV736" s="10">
        <v>0</v>
      </c>
      <c r="AW736" s="10" t="s">
        <v>169</v>
      </c>
      <c r="AX736" s="10" t="s">
        <v>169</v>
      </c>
      <c r="AY736" s="10"/>
      <c r="AZ736" s="10"/>
      <c r="BA736" s="10"/>
      <c r="BB736" s="8"/>
      <c r="BC736" s="8"/>
      <c r="BD736" s="8"/>
      <c r="BE736" s="8"/>
      <c r="BF736" s="12">
        <v>0.38</v>
      </c>
      <c r="BG736" s="13">
        <v>227.12548298850899</v>
      </c>
      <c r="BH736" s="96" t="str">
        <f>+VLOOKUP(G736,Liste!$A$7:$G$50,3,FALSE)</f>
        <v>Sapin pectiné</v>
      </c>
      <c r="BI736" s="96" t="str">
        <f>+VLOOKUP(H736,Liste!$B$7:$G$50,5,FALSE)</f>
        <v>GS Arc Jurassien</v>
      </c>
      <c r="BJ736" s="135">
        <f t="shared" si="225"/>
        <v>66</v>
      </c>
      <c r="BK736" s="135" t="str">
        <f t="shared" si="227"/>
        <v>Sapin pectiné_F2_Cas général_GS Arc Jurassien_66_</v>
      </c>
      <c r="BL736" s="322"/>
      <c r="BM736" s="13">
        <v>59.366511041816899</v>
      </c>
      <c r="BN736" s="13">
        <v>286.491994030326</v>
      </c>
      <c r="BO736" s="13" t="s">
        <v>169</v>
      </c>
      <c r="BP736" s="13">
        <v>306.131842885666</v>
      </c>
      <c r="BQ736" s="13" t="s">
        <v>169</v>
      </c>
      <c r="BT736" s="298" t="str">
        <f>+VLOOKUP(G736,Liste!$A$7:$H$50,8,FALSE)</f>
        <v>Résineux</v>
      </c>
      <c r="BU736" s="298">
        <f t="shared" si="228"/>
        <v>0</v>
      </c>
      <c r="BV736" s="300">
        <f t="shared" si="229"/>
        <v>1</v>
      </c>
      <c r="BW736" s="321">
        <v>0</v>
      </c>
      <c r="BX736" s="298">
        <f t="shared" si="230"/>
        <v>0.43</v>
      </c>
      <c r="BY736">
        <f t="shared" si="231"/>
        <v>0</v>
      </c>
      <c r="BZ736" s="304">
        <f t="shared" si="232"/>
        <v>0</v>
      </c>
      <c r="CB736" s="299">
        <v>0.6</v>
      </c>
      <c r="CC736" s="299">
        <v>0.4</v>
      </c>
      <c r="CD736">
        <f t="shared" si="233"/>
        <v>0</v>
      </c>
      <c r="CE736">
        <f t="shared" si="234"/>
        <v>0</v>
      </c>
      <c r="CF736">
        <f t="shared" si="235"/>
        <v>0</v>
      </c>
      <c r="CG736">
        <f t="shared" si="236"/>
        <v>0</v>
      </c>
      <c r="CH736">
        <f t="shared" si="237"/>
        <v>0</v>
      </c>
      <c r="CI736">
        <f t="shared" si="238"/>
        <v>0</v>
      </c>
      <c r="CJ736">
        <f t="shared" si="239"/>
        <v>0</v>
      </c>
      <c r="CK736">
        <f t="shared" si="240"/>
        <v>0</v>
      </c>
      <c r="CL736">
        <f t="shared" si="241"/>
        <v>0</v>
      </c>
      <c r="CM736">
        <f t="shared" si="243"/>
        <v>0</v>
      </c>
      <c r="CN736">
        <f t="shared" si="242"/>
        <v>0</v>
      </c>
      <c r="CO736">
        <f t="shared" si="226"/>
        <v>0</v>
      </c>
    </row>
    <row r="737" spans="1:93" s="12" customFormat="1" x14ac:dyDescent="0.25">
      <c r="A737" s="4">
        <v>2013</v>
      </c>
      <c r="B737" s="318">
        <v>44265</v>
      </c>
      <c r="C737" s="4" t="s">
        <v>430</v>
      </c>
      <c r="D737" s="4" t="s">
        <v>431</v>
      </c>
      <c r="E737" s="4"/>
      <c r="F737" s="4" t="s">
        <v>1493</v>
      </c>
      <c r="G737" s="5" t="s">
        <v>432</v>
      </c>
      <c r="H737" s="5" t="s">
        <v>185</v>
      </c>
      <c r="I737" s="5" t="s">
        <v>222</v>
      </c>
      <c r="J737" s="5" t="s">
        <v>10</v>
      </c>
      <c r="K737" s="5">
        <v>15.5</v>
      </c>
      <c r="L737" s="5" t="s">
        <v>190</v>
      </c>
      <c r="M737" s="5">
        <v>2000</v>
      </c>
      <c r="N737" s="5" t="s">
        <v>171</v>
      </c>
      <c r="O737" s="6" t="s">
        <v>81</v>
      </c>
      <c r="P737" s="6" t="s">
        <v>186</v>
      </c>
      <c r="Q737" s="6"/>
      <c r="R737" s="6"/>
      <c r="S737" s="6">
        <v>57</v>
      </c>
      <c r="T737" s="6">
        <v>18.22</v>
      </c>
      <c r="U737" s="6">
        <v>1862</v>
      </c>
      <c r="V737" s="6">
        <v>45.64</v>
      </c>
      <c r="W737" s="6">
        <v>0</v>
      </c>
      <c r="X737" s="6">
        <v>0</v>
      </c>
      <c r="Y737" s="6">
        <v>1085</v>
      </c>
      <c r="Z737" s="6">
        <v>663</v>
      </c>
      <c r="AA737" s="6">
        <v>114</v>
      </c>
      <c r="AB737" s="6">
        <v>0</v>
      </c>
      <c r="AC737" s="7">
        <v>67</v>
      </c>
      <c r="AD737" s="7" t="s">
        <v>52</v>
      </c>
      <c r="AE737" s="9">
        <v>21.628579144888999</v>
      </c>
      <c r="AF737" s="7">
        <v>708</v>
      </c>
      <c r="AG737" s="7">
        <v>30.03</v>
      </c>
      <c r="AH737" s="9">
        <v>23.239293581022999</v>
      </c>
      <c r="AI737" s="9">
        <v>28.070456196622001</v>
      </c>
      <c r="AJ737" s="9">
        <v>301.44685135452801</v>
      </c>
      <c r="AK737" s="9">
        <v>302.508524886629</v>
      </c>
      <c r="AL737" s="9">
        <v>360.26137186877497</v>
      </c>
      <c r="AM737" s="9">
        <v>56.905285756544799</v>
      </c>
      <c r="AN737" s="9">
        <v>0.84933262323201197</v>
      </c>
      <c r="AO737" s="9">
        <v>1.0118358870965201</v>
      </c>
      <c r="AP737" s="9">
        <v>636.46648786745504</v>
      </c>
      <c r="AQ737" s="9">
        <v>9.4994998189172399</v>
      </c>
      <c r="AR737" s="9">
        <v>17.182928627894398</v>
      </c>
      <c r="AS737" s="8" t="s">
        <v>169</v>
      </c>
      <c r="AT737" s="8" t="s">
        <v>169</v>
      </c>
      <c r="AU737" s="10" t="s">
        <v>169</v>
      </c>
      <c r="AV737" s="10">
        <v>0</v>
      </c>
      <c r="AW737" s="10" t="s">
        <v>169</v>
      </c>
      <c r="AX737" s="10" t="s">
        <v>169</v>
      </c>
      <c r="AY737" s="10"/>
      <c r="AZ737" s="10"/>
      <c r="BA737" s="10"/>
      <c r="BB737" s="8"/>
      <c r="BC737" s="8"/>
      <c r="BD737" s="8"/>
      <c r="BE737" s="8"/>
      <c r="BF737" s="12">
        <v>0.38</v>
      </c>
      <c r="BG737" s="13">
        <v>238.43298461515101</v>
      </c>
      <c r="BH737" s="96" t="str">
        <f>+VLOOKUP(G737,Liste!$A$7:$G$50,3,FALSE)</f>
        <v>Sapin pectiné</v>
      </c>
      <c r="BI737" s="96" t="str">
        <f>+VLOOKUP(H737,Liste!$B$7:$G$50,5,FALSE)</f>
        <v>GS Arc Jurassien</v>
      </c>
      <c r="BJ737" s="135">
        <f t="shared" si="225"/>
        <v>67</v>
      </c>
      <c r="BK737" s="135" t="str">
        <f t="shared" si="227"/>
        <v>Sapin pectiné_F2_Cas général_GS Arc Jurassien_67_</v>
      </c>
      <c r="BL737" s="322"/>
      <c r="BM737" s="13">
        <v>61.978532539737003</v>
      </c>
      <c r="BN737" s="13">
        <v>300.41151715488797</v>
      </c>
      <c r="BO737" s="13" t="s">
        <v>169</v>
      </c>
      <c r="BP737" s="13">
        <v>306.131842885666</v>
      </c>
      <c r="BQ737" s="13">
        <v>13.7985279487499</v>
      </c>
      <c r="BT737" s="298" t="str">
        <f>+VLOOKUP(G737,Liste!$A$7:$H$50,8,FALSE)</f>
        <v>Résineux</v>
      </c>
      <c r="BU737" s="298">
        <f t="shared" si="228"/>
        <v>0</v>
      </c>
      <c r="BV737" s="300">
        <f t="shared" si="229"/>
        <v>1</v>
      </c>
      <c r="BW737" s="321">
        <v>0</v>
      </c>
      <c r="BX737" s="298">
        <f t="shared" si="230"/>
        <v>0.43</v>
      </c>
      <c r="BY737">
        <f t="shared" si="231"/>
        <v>0</v>
      </c>
      <c r="BZ737" s="304">
        <f t="shared" si="232"/>
        <v>0</v>
      </c>
      <c r="CB737" s="299">
        <v>0.6</v>
      </c>
      <c r="CC737" s="299">
        <v>0.4</v>
      </c>
      <c r="CD737">
        <f t="shared" si="233"/>
        <v>0</v>
      </c>
      <c r="CE737">
        <f t="shared" si="234"/>
        <v>0</v>
      </c>
      <c r="CF737">
        <f t="shared" si="235"/>
        <v>0</v>
      </c>
      <c r="CG737">
        <f t="shared" si="236"/>
        <v>0</v>
      </c>
      <c r="CH737">
        <f t="shared" si="237"/>
        <v>0</v>
      </c>
      <c r="CI737">
        <f t="shared" si="238"/>
        <v>0</v>
      </c>
      <c r="CJ737">
        <f t="shared" si="239"/>
        <v>0</v>
      </c>
      <c r="CK737">
        <f t="shared" si="240"/>
        <v>0</v>
      </c>
      <c r="CL737">
        <f t="shared" si="241"/>
        <v>0</v>
      </c>
      <c r="CM737">
        <f t="shared" si="243"/>
        <v>0</v>
      </c>
      <c r="CN737">
        <f t="shared" si="242"/>
        <v>0</v>
      </c>
      <c r="CO737">
        <f t="shared" si="226"/>
        <v>0</v>
      </c>
    </row>
    <row r="738" spans="1:93" s="12" customFormat="1" x14ac:dyDescent="0.25">
      <c r="A738" s="4">
        <v>2013</v>
      </c>
      <c r="B738" s="318">
        <v>44265</v>
      </c>
      <c r="C738" s="4" t="s">
        <v>430</v>
      </c>
      <c r="D738" s="4" t="s">
        <v>431</v>
      </c>
      <c r="E738" s="4"/>
      <c r="F738" s="4" t="s">
        <v>1493</v>
      </c>
      <c r="G738" s="5" t="s">
        <v>432</v>
      </c>
      <c r="H738" s="5" t="s">
        <v>185</v>
      </c>
      <c r="I738" s="5" t="s">
        <v>222</v>
      </c>
      <c r="J738" s="5" t="s">
        <v>10</v>
      </c>
      <c r="K738" s="5">
        <v>15.5</v>
      </c>
      <c r="L738" s="5" t="s">
        <v>190</v>
      </c>
      <c r="M738" s="5">
        <v>2000</v>
      </c>
      <c r="N738" s="5" t="s">
        <v>171</v>
      </c>
      <c r="O738" s="6" t="s">
        <v>81</v>
      </c>
      <c r="P738" s="6" t="s">
        <v>186</v>
      </c>
      <c r="Q738" s="6"/>
      <c r="R738" s="6"/>
      <c r="S738" s="6">
        <v>57</v>
      </c>
      <c r="T738" s="6">
        <v>18.22</v>
      </c>
      <c r="U738" s="6">
        <v>1862</v>
      </c>
      <c r="V738" s="6">
        <v>45.64</v>
      </c>
      <c r="W738" s="6">
        <v>0</v>
      </c>
      <c r="X738" s="6">
        <v>0</v>
      </c>
      <c r="Y738" s="6">
        <v>1085</v>
      </c>
      <c r="Z738" s="6">
        <v>663</v>
      </c>
      <c r="AA738" s="6">
        <v>114</v>
      </c>
      <c r="AB738" s="6">
        <v>0</v>
      </c>
      <c r="AC738" s="7">
        <v>68</v>
      </c>
      <c r="AD738" s="7" t="s">
        <v>52</v>
      </c>
      <c r="AE738" s="9">
        <v>21.943363258287501</v>
      </c>
      <c r="AF738" s="7">
        <v>708</v>
      </c>
      <c r="AG738" s="7">
        <v>31.06</v>
      </c>
      <c r="AH738" s="9">
        <v>23.6327585688794</v>
      </c>
      <c r="AI738" s="9">
        <v>28.549776738087001</v>
      </c>
      <c r="AJ738" s="9">
        <v>317.03972216397602</v>
      </c>
      <c r="AK738" s="9">
        <v>318.16078207662503</v>
      </c>
      <c r="AL738" s="9">
        <v>377.44430049667</v>
      </c>
      <c r="AM738" s="9" t="s">
        <v>169</v>
      </c>
      <c r="AN738" s="9" t="s">
        <v>169</v>
      </c>
      <c r="AO738" s="9" t="s">
        <v>169</v>
      </c>
      <c r="AP738" s="9" t="s">
        <v>169</v>
      </c>
      <c r="AQ738" s="9" t="s">
        <v>169</v>
      </c>
      <c r="AR738" s="9" t="s">
        <v>169</v>
      </c>
      <c r="AS738" s="8" t="s">
        <v>169</v>
      </c>
      <c r="AT738" s="8" t="s">
        <v>169</v>
      </c>
      <c r="AU738" s="10" t="s">
        <v>169</v>
      </c>
      <c r="AV738" s="10">
        <v>0</v>
      </c>
      <c r="AW738" s="10" t="s">
        <v>169</v>
      </c>
      <c r="AX738" s="10" t="s">
        <v>169</v>
      </c>
      <c r="AY738" s="10"/>
      <c r="AZ738" s="10"/>
      <c r="BA738" s="10"/>
      <c r="BB738" s="8"/>
      <c r="BC738" s="8"/>
      <c r="BD738" s="8"/>
      <c r="BE738" s="8"/>
      <c r="BF738" s="12">
        <v>0.38</v>
      </c>
      <c r="BG738" s="13">
        <v>249.805219545379</v>
      </c>
      <c r="BH738" s="96" t="str">
        <f>+VLOOKUP(G738,Liste!$A$7:$G$50,3,FALSE)</f>
        <v>Sapin pectiné</v>
      </c>
      <c r="BI738" s="96" t="str">
        <f>+VLOOKUP(H738,Liste!$B$7:$G$50,5,FALSE)</f>
        <v>GS Arc Jurassien</v>
      </c>
      <c r="BJ738" s="135">
        <f t="shared" si="225"/>
        <v>68</v>
      </c>
      <c r="BK738" s="135" t="str">
        <f t="shared" si="227"/>
        <v>Sapin pectiné_F2_Cas général_GS Arc Jurassien_68_</v>
      </c>
      <c r="BL738" s="322"/>
      <c r="BM738" s="13">
        <v>64.557162343870303</v>
      </c>
      <c r="BN738" s="13">
        <v>314.36238188924898</v>
      </c>
      <c r="BO738" s="13" t="s">
        <v>169</v>
      </c>
      <c r="BP738" s="13">
        <v>306.131842885666</v>
      </c>
      <c r="BQ738" s="13" t="s">
        <v>169</v>
      </c>
      <c r="BT738" s="298" t="str">
        <f>+VLOOKUP(G738,Liste!$A$7:$H$50,8,FALSE)</f>
        <v>Résineux</v>
      </c>
      <c r="BU738" s="298">
        <f t="shared" si="228"/>
        <v>0</v>
      </c>
      <c r="BV738" s="300">
        <f t="shared" si="229"/>
        <v>1</v>
      </c>
      <c r="BW738" s="321">
        <v>0</v>
      </c>
      <c r="BX738" s="298">
        <f t="shared" si="230"/>
        <v>0.43</v>
      </c>
      <c r="BY738">
        <f t="shared" si="231"/>
        <v>0</v>
      </c>
      <c r="BZ738" s="304">
        <f t="shared" si="232"/>
        <v>0</v>
      </c>
      <c r="CB738" s="299">
        <v>0.6</v>
      </c>
      <c r="CC738" s="299">
        <v>0.4</v>
      </c>
      <c r="CD738">
        <f t="shared" si="233"/>
        <v>0</v>
      </c>
      <c r="CE738">
        <f t="shared" si="234"/>
        <v>0</v>
      </c>
      <c r="CF738">
        <f t="shared" si="235"/>
        <v>0</v>
      </c>
      <c r="CG738">
        <f t="shared" si="236"/>
        <v>0</v>
      </c>
      <c r="CH738">
        <f t="shared" si="237"/>
        <v>0</v>
      </c>
      <c r="CI738">
        <f t="shared" si="238"/>
        <v>0</v>
      </c>
      <c r="CJ738">
        <f t="shared" si="239"/>
        <v>0</v>
      </c>
      <c r="CK738">
        <f t="shared" si="240"/>
        <v>0</v>
      </c>
      <c r="CL738">
        <f t="shared" si="241"/>
        <v>0</v>
      </c>
      <c r="CM738">
        <f t="shared" si="243"/>
        <v>0</v>
      </c>
      <c r="CN738">
        <f t="shared" si="242"/>
        <v>0</v>
      </c>
      <c r="CO738">
        <f t="shared" si="226"/>
        <v>0</v>
      </c>
    </row>
    <row r="739" spans="1:93" s="12" customFormat="1" x14ac:dyDescent="0.25">
      <c r="A739" s="4">
        <v>2013</v>
      </c>
      <c r="B739" s="318">
        <v>44265</v>
      </c>
      <c r="C739" s="4" t="s">
        <v>430</v>
      </c>
      <c r="D739" s="4" t="s">
        <v>431</v>
      </c>
      <c r="E739" s="4"/>
      <c r="F739" s="4" t="s">
        <v>1493</v>
      </c>
      <c r="G739" s="5" t="s">
        <v>432</v>
      </c>
      <c r="H739" s="5" t="s">
        <v>185</v>
      </c>
      <c r="I739" s="5" t="s">
        <v>222</v>
      </c>
      <c r="J739" s="5" t="s">
        <v>10</v>
      </c>
      <c r="K739" s="5">
        <v>15.5</v>
      </c>
      <c r="L739" s="5" t="s">
        <v>190</v>
      </c>
      <c r="M739" s="5">
        <v>2000</v>
      </c>
      <c r="N739" s="5" t="s">
        <v>171</v>
      </c>
      <c r="O739" s="6" t="s">
        <v>81</v>
      </c>
      <c r="P739" s="6" t="s">
        <v>186</v>
      </c>
      <c r="Q739" s="6"/>
      <c r="R739" s="6"/>
      <c r="S739" s="6">
        <v>57</v>
      </c>
      <c r="T739" s="6">
        <v>18.22</v>
      </c>
      <c r="U739" s="6">
        <v>1862</v>
      </c>
      <c r="V739" s="6">
        <v>45.64</v>
      </c>
      <c r="W739" s="6">
        <v>0</v>
      </c>
      <c r="X739" s="6">
        <v>0</v>
      </c>
      <c r="Y739" s="6">
        <v>1085</v>
      </c>
      <c r="Z739" s="6">
        <v>663</v>
      </c>
      <c r="AA739" s="6">
        <v>114</v>
      </c>
      <c r="AB739" s="6">
        <v>0</v>
      </c>
      <c r="AC739" s="7">
        <v>69</v>
      </c>
      <c r="AD739" s="7" t="s">
        <v>52</v>
      </c>
      <c r="AE739" s="9">
        <v>22.2537305305224</v>
      </c>
      <c r="AF739" s="7">
        <v>708</v>
      </c>
      <c r="AG739" s="7">
        <v>32.08</v>
      </c>
      <c r="AH739" s="9">
        <v>24.0173180057959</v>
      </c>
      <c r="AI739" s="9">
        <v>29.0165977729547</v>
      </c>
      <c r="AJ739" s="9">
        <v>332.63259297342398</v>
      </c>
      <c r="AK739" s="9">
        <v>333.81303926662099</v>
      </c>
      <c r="AL739" s="9">
        <v>394.627229124564</v>
      </c>
      <c r="AM739" s="9" t="s">
        <v>169</v>
      </c>
      <c r="AN739" s="9" t="s">
        <v>169</v>
      </c>
      <c r="AO739" s="9" t="s">
        <v>169</v>
      </c>
      <c r="AP739" s="9" t="s">
        <v>169</v>
      </c>
      <c r="AQ739" s="9" t="s">
        <v>169</v>
      </c>
      <c r="AR739" s="9" t="s">
        <v>169</v>
      </c>
      <c r="AS739" s="8" t="s">
        <v>169</v>
      </c>
      <c r="AT739" s="8" t="s">
        <v>169</v>
      </c>
      <c r="AU739" s="10" t="s">
        <v>169</v>
      </c>
      <c r="AV739" s="10">
        <v>0</v>
      </c>
      <c r="AW739" s="10" t="s">
        <v>169</v>
      </c>
      <c r="AX739" s="10" t="s">
        <v>169</v>
      </c>
      <c r="AY739" s="10"/>
      <c r="AZ739" s="10"/>
      <c r="BA739" s="10"/>
      <c r="BB739" s="8"/>
      <c r="BC739" s="8"/>
      <c r="BD739" s="8"/>
      <c r="BE739" s="8"/>
      <c r="BF739" s="12">
        <v>0.38</v>
      </c>
      <c r="BG739" s="13">
        <v>261.17745447560702</v>
      </c>
      <c r="BH739" s="96" t="str">
        <f>+VLOOKUP(G739,Liste!$A$7:$G$50,3,FALSE)</f>
        <v>Sapin pectiné</v>
      </c>
      <c r="BI739" s="96" t="str">
        <f>+VLOOKUP(H739,Liste!$B$7:$G$50,5,FALSE)</f>
        <v>GS Arc Jurassien</v>
      </c>
      <c r="BJ739" s="135">
        <f t="shared" si="225"/>
        <v>69</v>
      </c>
      <c r="BK739" s="135" t="str">
        <f t="shared" si="227"/>
        <v>Sapin pectiné_F2_Cas général_GS Arc Jurassien_69_</v>
      </c>
      <c r="BL739" s="322"/>
      <c r="BM739" s="13">
        <v>67.135792148003503</v>
      </c>
      <c r="BN739" s="13">
        <v>328.31324662361101</v>
      </c>
      <c r="BO739" s="13" t="s">
        <v>169</v>
      </c>
      <c r="BP739" s="13">
        <v>306.131842885666</v>
      </c>
      <c r="BQ739" s="13" t="s">
        <v>169</v>
      </c>
      <c r="BT739" s="298" t="str">
        <f>+VLOOKUP(G739,Liste!$A$7:$H$50,8,FALSE)</f>
        <v>Résineux</v>
      </c>
      <c r="BU739" s="298">
        <f t="shared" si="228"/>
        <v>0</v>
      </c>
      <c r="BV739" s="300">
        <f t="shared" si="229"/>
        <v>1</v>
      </c>
      <c r="BW739" s="321">
        <v>0</v>
      </c>
      <c r="BX739" s="298">
        <f t="shared" si="230"/>
        <v>0.43</v>
      </c>
      <c r="BY739">
        <f t="shared" si="231"/>
        <v>0</v>
      </c>
      <c r="BZ739" s="304">
        <f t="shared" si="232"/>
        <v>0</v>
      </c>
      <c r="CB739" s="299">
        <v>0.6</v>
      </c>
      <c r="CC739" s="299">
        <v>0.4</v>
      </c>
      <c r="CD739">
        <f t="shared" si="233"/>
        <v>0</v>
      </c>
      <c r="CE739">
        <f t="shared" si="234"/>
        <v>0</v>
      </c>
      <c r="CF739">
        <f t="shared" si="235"/>
        <v>0</v>
      </c>
      <c r="CG739">
        <f t="shared" si="236"/>
        <v>0</v>
      </c>
      <c r="CH739">
        <f t="shared" si="237"/>
        <v>0</v>
      </c>
      <c r="CI739">
        <f t="shared" si="238"/>
        <v>0</v>
      </c>
      <c r="CJ739">
        <f t="shared" si="239"/>
        <v>0</v>
      </c>
      <c r="CK739">
        <f t="shared" si="240"/>
        <v>0</v>
      </c>
      <c r="CL739">
        <f t="shared" si="241"/>
        <v>0</v>
      </c>
      <c r="CM739">
        <f t="shared" si="243"/>
        <v>0</v>
      </c>
      <c r="CN739">
        <f t="shared" si="242"/>
        <v>0</v>
      </c>
      <c r="CO739">
        <f t="shared" si="226"/>
        <v>0</v>
      </c>
    </row>
    <row r="740" spans="1:93" s="12" customFormat="1" x14ac:dyDescent="0.25">
      <c r="A740" s="4">
        <v>2013</v>
      </c>
      <c r="B740" s="318">
        <v>44265</v>
      </c>
      <c r="C740" s="4" t="s">
        <v>430</v>
      </c>
      <c r="D740" s="4" t="s">
        <v>431</v>
      </c>
      <c r="E740" s="4"/>
      <c r="F740" s="4" t="s">
        <v>1493</v>
      </c>
      <c r="G740" s="5" t="s">
        <v>432</v>
      </c>
      <c r="H740" s="5" t="s">
        <v>185</v>
      </c>
      <c r="I740" s="5" t="s">
        <v>222</v>
      </c>
      <c r="J740" s="5" t="s">
        <v>10</v>
      </c>
      <c r="K740" s="5">
        <v>15.5</v>
      </c>
      <c r="L740" s="5" t="s">
        <v>190</v>
      </c>
      <c r="M740" s="5">
        <v>2000</v>
      </c>
      <c r="N740" s="5" t="s">
        <v>171</v>
      </c>
      <c r="O740" s="6" t="s">
        <v>81</v>
      </c>
      <c r="P740" s="6" t="s">
        <v>186</v>
      </c>
      <c r="Q740" s="6"/>
      <c r="R740" s="6"/>
      <c r="S740" s="6">
        <v>57</v>
      </c>
      <c r="T740" s="6">
        <v>18.22</v>
      </c>
      <c r="U740" s="6">
        <v>1862</v>
      </c>
      <c r="V740" s="6">
        <v>45.64</v>
      </c>
      <c r="W740" s="6">
        <v>0</v>
      </c>
      <c r="X740" s="6">
        <v>0</v>
      </c>
      <c r="Y740" s="6">
        <v>1085</v>
      </c>
      <c r="Z740" s="6">
        <v>663</v>
      </c>
      <c r="AA740" s="6">
        <v>114</v>
      </c>
      <c r="AB740" s="6">
        <v>0</v>
      </c>
      <c r="AC740" s="7">
        <v>70</v>
      </c>
      <c r="AD740" s="7" t="s">
        <v>52</v>
      </c>
      <c r="AE740" s="9">
        <v>22.559735837220799</v>
      </c>
      <c r="AF740" s="7">
        <v>708</v>
      </c>
      <c r="AG740" s="7">
        <v>33.090000000000003</v>
      </c>
      <c r="AH740" s="9">
        <v>24.393289134363201</v>
      </c>
      <c r="AI740" s="9">
        <v>29.471424451878701</v>
      </c>
      <c r="AJ740" s="9">
        <v>348.225463782872</v>
      </c>
      <c r="AK740" s="9">
        <v>349.46529645661701</v>
      </c>
      <c r="AL740" s="9">
        <v>411.810157752458</v>
      </c>
      <c r="AM740" s="9" t="s">
        <v>169</v>
      </c>
      <c r="AN740" s="9" t="s">
        <v>169</v>
      </c>
      <c r="AO740" s="9" t="s">
        <v>169</v>
      </c>
      <c r="AP740" s="9" t="s">
        <v>169</v>
      </c>
      <c r="AQ740" s="9" t="s">
        <v>169</v>
      </c>
      <c r="AR740" s="9" t="s">
        <v>169</v>
      </c>
      <c r="AS740" s="8" t="s">
        <v>169</v>
      </c>
      <c r="AT740" s="8" t="s">
        <v>169</v>
      </c>
      <c r="AU740" s="10" t="s">
        <v>169</v>
      </c>
      <c r="AV740" s="10">
        <v>0</v>
      </c>
      <c r="AW740" s="10" t="s">
        <v>169</v>
      </c>
      <c r="AX740" s="10" t="s">
        <v>169</v>
      </c>
      <c r="AY740" s="10"/>
      <c r="AZ740" s="10"/>
      <c r="BA740" s="10"/>
      <c r="BB740" s="8"/>
      <c r="BC740" s="8"/>
      <c r="BD740" s="8"/>
      <c r="BE740" s="8"/>
      <c r="BF740" s="12">
        <v>0.38</v>
      </c>
      <c r="BG740" s="13">
        <v>272.54968940583501</v>
      </c>
      <c r="BH740" s="96" t="str">
        <f>+VLOOKUP(G740,Liste!$A$7:$G$50,3,FALSE)</f>
        <v>Sapin pectiné</v>
      </c>
      <c r="BI740" s="96" t="str">
        <f>+VLOOKUP(H740,Liste!$B$7:$G$50,5,FALSE)</f>
        <v>GS Arc Jurassien</v>
      </c>
      <c r="BJ740" s="135">
        <f t="shared" si="225"/>
        <v>70</v>
      </c>
      <c r="BK740" s="135" t="str">
        <f t="shared" si="227"/>
        <v>Sapin pectiné_F2_Cas général_GS Arc Jurassien_70_</v>
      </c>
      <c r="BL740" s="322"/>
      <c r="BM740" s="13">
        <v>69.714421952136703</v>
      </c>
      <c r="BN740" s="13">
        <v>342.26411135797201</v>
      </c>
      <c r="BO740" s="13" t="s">
        <v>169</v>
      </c>
      <c r="BP740" s="13">
        <v>306.131842885666</v>
      </c>
      <c r="BQ740" s="13" t="s">
        <v>169</v>
      </c>
      <c r="BT740" s="298" t="str">
        <f>+VLOOKUP(G740,Liste!$A$7:$H$50,8,FALSE)</f>
        <v>Résineux</v>
      </c>
      <c r="BU740" s="298">
        <f t="shared" si="228"/>
        <v>0</v>
      </c>
      <c r="BV740" s="300">
        <f t="shared" si="229"/>
        <v>1</v>
      </c>
      <c r="BW740" s="321">
        <v>0</v>
      </c>
      <c r="BX740" s="298">
        <f t="shared" si="230"/>
        <v>0.43</v>
      </c>
      <c r="BY740">
        <f t="shared" si="231"/>
        <v>0</v>
      </c>
      <c r="BZ740" s="304">
        <f t="shared" si="232"/>
        <v>0</v>
      </c>
      <c r="CB740" s="299">
        <v>0.6</v>
      </c>
      <c r="CC740" s="299">
        <v>0.4</v>
      </c>
      <c r="CD740">
        <f t="shared" si="233"/>
        <v>0</v>
      </c>
      <c r="CE740">
        <f t="shared" si="234"/>
        <v>0</v>
      </c>
      <c r="CF740">
        <f t="shared" si="235"/>
        <v>0</v>
      </c>
      <c r="CG740">
        <f t="shared" si="236"/>
        <v>0</v>
      </c>
      <c r="CH740">
        <f t="shared" si="237"/>
        <v>0</v>
      </c>
      <c r="CI740">
        <f t="shared" si="238"/>
        <v>0</v>
      </c>
      <c r="CJ740">
        <f t="shared" si="239"/>
        <v>0</v>
      </c>
      <c r="CK740">
        <f t="shared" si="240"/>
        <v>0</v>
      </c>
      <c r="CL740">
        <f t="shared" si="241"/>
        <v>0</v>
      </c>
      <c r="CM740">
        <f t="shared" si="243"/>
        <v>0</v>
      </c>
      <c r="CN740">
        <f t="shared" si="242"/>
        <v>0</v>
      </c>
      <c r="CO740">
        <f t="shared" si="226"/>
        <v>0</v>
      </c>
    </row>
    <row r="741" spans="1:93" s="12" customFormat="1" x14ac:dyDescent="0.25">
      <c r="A741" s="4">
        <v>2013</v>
      </c>
      <c r="B741" s="318">
        <v>44265</v>
      </c>
      <c r="C741" s="4" t="s">
        <v>430</v>
      </c>
      <c r="D741" s="4" t="s">
        <v>431</v>
      </c>
      <c r="E741" s="4"/>
      <c r="F741" s="4" t="s">
        <v>1493</v>
      </c>
      <c r="G741" s="5" t="s">
        <v>432</v>
      </c>
      <c r="H741" s="5" t="s">
        <v>185</v>
      </c>
      <c r="I741" s="5" t="s">
        <v>222</v>
      </c>
      <c r="J741" s="5" t="s">
        <v>10</v>
      </c>
      <c r="K741" s="5">
        <v>15.5</v>
      </c>
      <c r="L741" s="5" t="s">
        <v>190</v>
      </c>
      <c r="M741" s="5">
        <v>2000</v>
      </c>
      <c r="N741" s="5" t="s">
        <v>171</v>
      </c>
      <c r="O741" s="6" t="s">
        <v>81</v>
      </c>
      <c r="P741" s="6" t="s">
        <v>186</v>
      </c>
      <c r="Q741" s="6"/>
      <c r="R741" s="6"/>
      <c r="S741" s="6">
        <v>57</v>
      </c>
      <c r="T741" s="6">
        <v>18.22</v>
      </c>
      <c r="U741" s="6">
        <v>1862</v>
      </c>
      <c r="V741" s="6">
        <v>45.64</v>
      </c>
      <c r="W741" s="6">
        <v>0</v>
      </c>
      <c r="X741" s="6">
        <v>0</v>
      </c>
      <c r="Y741" s="6">
        <v>1085</v>
      </c>
      <c r="Z741" s="6">
        <v>663</v>
      </c>
      <c r="AA741" s="6">
        <v>114</v>
      </c>
      <c r="AB741" s="6">
        <v>0</v>
      </c>
      <c r="AC741" s="7">
        <v>71</v>
      </c>
      <c r="AD741" s="7" t="s">
        <v>52</v>
      </c>
      <c r="AE741" s="9">
        <v>22.861435382971699</v>
      </c>
      <c r="AF741" s="7">
        <v>708</v>
      </c>
      <c r="AG741" s="7">
        <v>34.090000000000003</v>
      </c>
      <c r="AH741" s="9">
        <v>24.760971875725399</v>
      </c>
      <c r="AI741" s="9">
        <v>29.914736137483398</v>
      </c>
      <c r="AJ741" s="9">
        <v>363.81833459232098</v>
      </c>
      <c r="AK741" s="9">
        <v>365.11755364661298</v>
      </c>
      <c r="AL741" s="9">
        <v>428.99308638035302</v>
      </c>
      <c r="AM741" s="9" t="s">
        <v>169</v>
      </c>
      <c r="AN741" s="9" t="s">
        <v>169</v>
      </c>
      <c r="AO741" s="9" t="s">
        <v>169</v>
      </c>
      <c r="AP741" s="9" t="s">
        <v>169</v>
      </c>
      <c r="AQ741" s="9" t="s">
        <v>169</v>
      </c>
      <c r="AR741" s="9" t="s">
        <v>169</v>
      </c>
      <c r="AS741" s="8" t="s">
        <v>169</v>
      </c>
      <c r="AT741" s="8" t="s">
        <v>169</v>
      </c>
      <c r="AU741" s="10" t="s">
        <v>169</v>
      </c>
      <c r="AV741" s="10">
        <v>0</v>
      </c>
      <c r="AW741" s="10" t="s">
        <v>169</v>
      </c>
      <c r="AX741" s="10" t="s">
        <v>169</v>
      </c>
      <c r="AY741" s="10"/>
      <c r="AZ741" s="10"/>
      <c r="BA741" s="10"/>
      <c r="BB741" s="8"/>
      <c r="BC741" s="8"/>
      <c r="BD741" s="8"/>
      <c r="BE741" s="8"/>
      <c r="BF741" s="12">
        <v>0.38</v>
      </c>
      <c r="BG741" s="13">
        <v>283.92192433606402</v>
      </c>
      <c r="BH741" s="96" t="str">
        <f>+VLOOKUP(G741,Liste!$A$7:$G$50,3,FALSE)</f>
        <v>Sapin pectiné</v>
      </c>
      <c r="BI741" s="96" t="str">
        <f>+VLOOKUP(H741,Liste!$B$7:$G$50,5,FALSE)</f>
        <v>GS Arc Jurassien</v>
      </c>
      <c r="BJ741" s="135">
        <f t="shared" si="225"/>
        <v>71</v>
      </c>
      <c r="BK741" s="135" t="str">
        <f t="shared" si="227"/>
        <v>Sapin pectiné_F2_Cas général_GS Arc Jurassien_71_</v>
      </c>
      <c r="BL741" s="322"/>
      <c r="BM741" s="13">
        <v>72.293051756270003</v>
      </c>
      <c r="BN741" s="13">
        <v>356.21497609233302</v>
      </c>
      <c r="BO741" s="13" t="s">
        <v>169</v>
      </c>
      <c r="BP741" s="13">
        <v>306.131842885666</v>
      </c>
      <c r="BQ741" s="13" t="s">
        <v>169</v>
      </c>
      <c r="BT741" s="298" t="str">
        <f>+VLOOKUP(G741,Liste!$A$7:$H$50,8,FALSE)</f>
        <v>Résineux</v>
      </c>
      <c r="BU741" s="298">
        <f t="shared" si="228"/>
        <v>0</v>
      </c>
      <c r="BV741" s="300">
        <f t="shared" si="229"/>
        <v>1</v>
      </c>
      <c r="BW741" s="321">
        <v>0</v>
      </c>
      <c r="BX741" s="298">
        <f t="shared" si="230"/>
        <v>0.43</v>
      </c>
      <c r="BY741">
        <f t="shared" si="231"/>
        <v>0</v>
      </c>
      <c r="BZ741" s="304">
        <f t="shared" si="232"/>
        <v>0</v>
      </c>
      <c r="CB741" s="299">
        <v>0.6</v>
      </c>
      <c r="CC741" s="299">
        <v>0.4</v>
      </c>
      <c r="CD741">
        <f t="shared" si="233"/>
        <v>0</v>
      </c>
      <c r="CE741">
        <f t="shared" si="234"/>
        <v>0</v>
      </c>
      <c r="CF741">
        <f t="shared" si="235"/>
        <v>0</v>
      </c>
      <c r="CG741">
        <f t="shared" si="236"/>
        <v>0</v>
      </c>
      <c r="CH741">
        <f t="shared" si="237"/>
        <v>0</v>
      </c>
      <c r="CI741">
        <f t="shared" si="238"/>
        <v>0</v>
      </c>
      <c r="CJ741">
        <f t="shared" si="239"/>
        <v>0</v>
      </c>
      <c r="CK741">
        <f t="shared" si="240"/>
        <v>0</v>
      </c>
      <c r="CL741">
        <f t="shared" si="241"/>
        <v>0</v>
      </c>
      <c r="CM741">
        <f t="shared" si="243"/>
        <v>0</v>
      </c>
      <c r="CN741">
        <f t="shared" si="242"/>
        <v>0</v>
      </c>
      <c r="CO741">
        <f t="shared" si="226"/>
        <v>0</v>
      </c>
    </row>
    <row r="742" spans="1:93" s="12" customFormat="1" x14ac:dyDescent="0.25">
      <c r="A742" s="4">
        <v>2013</v>
      </c>
      <c r="B742" s="318">
        <v>44265</v>
      </c>
      <c r="C742" s="4" t="s">
        <v>430</v>
      </c>
      <c r="D742" s="4" t="s">
        <v>431</v>
      </c>
      <c r="E742" s="4"/>
      <c r="F742" s="4" t="s">
        <v>1493</v>
      </c>
      <c r="G742" s="5" t="s">
        <v>432</v>
      </c>
      <c r="H742" s="5" t="s">
        <v>185</v>
      </c>
      <c r="I742" s="5" t="s">
        <v>222</v>
      </c>
      <c r="J742" s="5" t="s">
        <v>10</v>
      </c>
      <c r="K742" s="5">
        <v>15.5</v>
      </c>
      <c r="L742" s="5" t="s">
        <v>190</v>
      </c>
      <c r="M742" s="5">
        <v>2000</v>
      </c>
      <c r="N742" s="5" t="s">
        <v>171</v>
      </c>
      <c r="O742" s="6" t="s">
        <v>81</v>
      </c>
      <c r="P742" s="6" t="s">
        <v>186</v>
      </c>
      <c r="Q742" s="6"/>
      <c r="R742" s="6"/>
      <c r="S742" s="6">
        <v>57</v>
      </c>
      <c r="T742" s="6">
        <v>18.22</v>
      </c>
      <c r="U742" s="6">
        <v>1862</v>
      </c>
      <c r="V742" s="6">
        <v>45.64</v>
      </c>
      <c r="W742" s="6">
        <v>0</v>
      </c>
      <c r="X742" s="6">
        <v>0</v>
      </c>
      <c r="Y742" s="6">
        <v>1085</v>
      </c>
      <c r="Z742" s="6">
        <v>663</v>
      </c>
      <c r="AA742" s="6">
        <v>114</v>
      </c>
      <c r="AB742" s="6">
        <v>0</v>
      </c>
      <c r="AC742" s="7">
        <v>72</v>
      </c>
      <c r="AD742" s="7" t="s">
        <v>52</v>
      </c>
      <c r="AE742" s="9">
        <v>23.158886459659598</v>
      </c>
      <c r="AF742" s="7">
        <v>708</v>
      </c>
      <c r="AG742" s="7">
        <v>35.090000000000003</v>
      </c>
      <c r="AH742" s="9">
        <v>25.120650328888502</v>
      </c>
      <c r="AI742" s="9">
        <v>30.346987670664902</v>
      </c>
      <c r="AJ742" s="9">
        <v>379.411205401769</v>
      </c>
      <c r="AK742" s="9">
        <v>380.769810836609</v>
      </c>
      <c r="AL742" s="9">
        <v>446.17601500824702</v>
      </c>
      <c r="AM742" s="9">
        <v>61.964465192027397</v>
      </c>
      <c r="AN742" s="9">
        <v>0.86061757211149204</v>
      </c>
      <c r="AO742" s="9">
        <v>1.04511671610818</v>
      </c>
      <c r="AP742" s="9">
        <v>722.38113100692703</v>
      </c>
      <c r="AQ742" s="9">
        <v>10.0330712639851</v>
      </c>
      <c r="AR742" s="9">
        <v>18.298748631439501</v>
      </c>
      <c r="AS742" s="8" t="s">
        <v>169</v>
      </c>
      <c r="AT742" s="8" t="s">
        <v>169</v>
      </c>
      <c r="AU742" s="10" t="s">
        <v>169</v>
      </c>
      <c r="AV742" s="10">
        <v>0</v>
      </c>
      <c r="AW742" s="10" t="s">
        <v>169</v>
      </c>
      <c r="AX742" s="10" t="s">
        <v>169</v>
      </c>
      <c r="AY742" s="10"/>
      <c r="AZ742" s="10"/>
      <c r="BA742" s="10"/>
      <c r="BB742" s="8"/>
      <c r="BC742" s="8"/>
      <c r="BD742" s="8"/>
      <c r="BE742" s="8"/>
      <c r="BF742" s="12">
        <v>0.38</v>
      </c>
      <c r="BG742" s="13">
        <v>295.29415926629201</v>
      </c>
      <c r="BH742" s="96" t="str">
        <f>+VLOOKUP(G742,Liste!$A$7:$G$50,3,FALSE)</f>
        <v>Sapin pectiné</v>
      </c>
      <c r="BI742" s="96" t="str">
        <f>+VLOOKUP(H742,Liste!$B$7:$G$50,5,FALSE)</f>
        <v>GS Arc Jurassien</v>
      </c>
      <c r="BJ742" s="135">
        <f t="shared" si="225"/>
        <v>72</v>
      </c>
      <c r="BK742" s="135" t="str">
        <f t="shared" si="227"/>
        <v>Sapin pectiné_F2_Cas général_GS Arc Jurassien_72_</v>
      </c>
      <c r="BL742" s="322"/>
      <c r="BM742" s="13">
        <v>74.871681560403204</v>
      </c>
      <c r="BN742" s="13">
        <v>370.16584082669499</v>
      </c>
      <c r="BO742" s="13" t="s">
        <v>169</v>
      </c>
      <c r="BP742" s="13">
        <v>306.131842885666</v>
      </c>
      <c r="BQ742" s="13">
        <v>14.6722303223276</v>
      </c>
      <c r="BT742" s="298" t="str">
        <f>+VLOOKUP(G742,Liste!$A$7:$H$50,8,FALSE)</f>
        <v>Résineux</v>
      </c>
      <c r="BU742" s="298">
        <f t="shared" si="228"/>
        <v>0</v>
      </c>
      <c r="BV742" s="300">
        <f t="shared" si="229"/>
        <v>1</v>
      </c>
      <c r="BW742" s="321">
        <v>0</v>
      </c>
      <c r="BX742" s="298">
        <f t="shared" si="230"/>
        <v>0.43</v>
      </c>
      <c r="BY742">
        <f t="shared" si="231"/>
        <v>0</v>
      </c>
      <c r="BZ742" s="304">
        <f t="shared" si="232"/>
        <v>0</v>
      </c>
      <c r="CB742" s="299">
        <v>0.6</v>
      </c>
      <c r="CC742" s="299">
        <v>0.4</v>
      </c>
      <c r="CD742">
        <f t="shared" si="233"/>
        <v>0</v>
      </c>
      <c r="CE742">
        <f t="shared" si="234"/>
        <v>0</v>
      </c>
      <c r="CF742">
        <f t="shared" si="235"/>
        <v>0</v>
      </c>
      <c r="CG742">
        <f t="shared" si="236"/>
        <v>0</v>
      </c>
      <c r="CH742">
        <f t="shared" si="237"/>
        <v>0</v>
      </c>
      <c r="CI742">
        <f t="shared" si="238"/>
        <v>0</v>
      </c>
      <c r="CJ742">
        <f t="shared" si="239"/>
        <v>0</v>
      </c>
      <c r="CK742">
        <f t="shared" si="240"/>
        <v>0</v>
      </c>
      <c r="CL742">
        <f t="shared" si="241"/>
        <v>0</v>
      </c>
      <c r="CM742">
        <f t="shared" si="243"/>
        <v>0</v>
      </c>
      <c r="CN742">
        <f t="shared" si="242"/>
        <v>0</v>
      </c>
      <c r="CO742">
        <f t="shared" si="226"/>
        <v>0</v>
      </c>
    </row>
    <row r="743" spans="1:93" s="12" customFormat="1" x14ac:dyDescent="0.25">
      <c r="A743" s="4">
        <v>2013</v>
      </c>
      <c r="B743" s="318">
        <v>44265</v>
      </c>
      <c r="C743" s="4" t="s">
        <v>430</v>
      </c>
      <c r="D743" s="4" t="s">
        <v>431</v>
      </c>
      <c r="E743" s="4"/>
      <c r="F743" s="4" t="s">
        <v>1493</v>
      </c>
      <c r="G743" s="5" t="s">
        <v>432</v>
      </c>
      <c r="H743" s="5" t="s">
        <v>185</v>
      </c>
      <c r="I743" s="5" t="s">
        <v>222</v>
      </c>
      <c r="J743" s="5" t="s">
        <v>10</v>
      </c>
      <c r="K743" s="5">
        <v>15.5</v>
      </c>
      <c r="L743" s="5" t="s">
        <v>190</v>
      </c>
      <c r="M743" s="5">
        <v>2000</v>
      </c>
      <c r="N743" s="5" t="s">
        <v>171</v>
      </c>
      <c r="O743" s="6" t="s">
        <v>81</v>
      </c>
      <c r="P743" s="6" t="s">
        <v>186</v>
      </c>
      <c r="Q743" s="6"/>
      <c r="R743" s="6"/>
      <c r="S743" s="6">
        <v>57</v>
      </c>
      <c r="T743" s="6">
        <v>18.22</v>
      </c>
      <c r="U743" s="6">
        <v>1862</v>
      </c>
      <c r="V743" s="6">
        <v>45.64</v>
      </c>
      <c r="W743" s="6">
        <v>0</v>
      </c>
      <c r="X743" s="6">
        <v>0</v>
      </c>
      <c r="Y743" s="6">
        <v>1085</v>
      </c>
      <c r="Z743" s="6">
        <v>663</v>
      </c>
      <c r="AA743" s="6">
        <v>114</v>
      </c>
      <c r="AB743" s="6">
        <v>0</v>
      </c>
      <c r="AC743" s="7">
        <v>73</v>
      </c>
      <c r="AD743" s="7" t="s">
        <v>52</v>
      </c>
      <c r="AE743" s="9">
        <v>23.452147228414201</v>
      </c>
      <c r="AF743" s="7">
        <v>708</v>
      </c>
      <c r="AG743" s="7">
        <v>36.08</v>
      </c>
      <c r="AH743" s="9">
        <v>25.472594088004598</v>
      </c>
      <c r="AI743" s="9">
        <v>30.7686110963771</v>
      </c>
      <c r="AJ743" s="9">
        <v>396.13317092158599</v>
      </c>
      <c r="AK743" s="9">
        <v>397.550099999417</v>
      </c>
      <c r="AL743" s="9">
        <v>464.47476363968701</v>
      </c>
      <c r="AM743" s="9">
        <v>63.009581908135601</v>
      </c>
      <c r="AN743" s="9">
        <v>0.86314495764569299</v>
      </c>
      <c r="AO743" s="9">
        <v>0.93446108970283104</v>
      </c>
      <c r="AP743" s="9">
        <v>740.67987963836697</v>
      </c>
      <c r="AQ743" s="9">
        <v>10.1462997210735</v>
      </c>
      <c r="AR743" s="9">
        <v>16.6187180690386</v>
      </c>
      <c r="AS743" s="8" t="s">
        <v>169</v>
      </c>
      <c r="AT743" s="8" t="s">
        <v>169</v>
      </c>
      <c r="AU743" s="10" t="s">
        <v>169</v>
      </c>
      <c r="AV743" s="10">
        <v>0</v>
      </c>
      <c r="AW743" s="10" t="s">
        <v>169</v>
      </c>
      <c r="AX743" s="10" t="s">
        <v>169</v>
      </c>
      <c r="AY743" s="10"/>
      <c r="AZ743" s="10"/>
      <c r="BA743" s="10"/>
      <c r="BB743" s="8"/>
      <c r="BC743" s="8"/>
      <c r="BD743" s="8"/>
      <c r="BE743" s="8"/>
      <c r="BF743" s="12">
        <v>0.38</v>
      </c>
      <c r="BG743" s="13">
        <v>307.40488106886602</v>
      </c>
      <c r="BH743" s="96" t="str">
        <f>+VLOOKUP(G743,Liste!$A$7:$G$50,3,FALSE)</f>
        <v>Sapin pectiné</v>
      </c>
      <c r="BI743" s="96" t="str">
        <f>+VLOOKUP(H743,Liste!$B$7:$G$50,5,FALSE)</f>
        <v>GS Arc Jurassien</v>
      </c>
      <c r="BJ743" s="135">
        <f t="shared" si="225"/>
        <v>73</v>
      </c>
      <c r="BK743" s="135" t="str">
        <f t="shared" si="227"/>
        <v>Sapin pectiné_F2_Cas général_GS Arc Jurassien_73_</v>
      </c>
      <c r="BL743" s="322"/>
      <c r="BM743" s="13">
        <v>77.578543604628294</v>
      </c>
      <c r="BN743" s="13">
        <v>384.98342467349403</v>
      </c>
      <c r="BO743" s="13" t="s">
        <v>169</v>
      </c>
      <c r="BP743" s="13">
        <v>306.131842885666</v>
      </c>
      <c r="BQ743" s="13">
        <v>13.312903574356801</v>
      </c>
      <c r="BT743" s="298" t="str">
        <f>+VLOOKUP(G743,Liste!$A$7:$H$50,8,FALSE)</f>
        <v>Résineux</v>
      </c>
      <c r="BU743" s="298">
        <f t="shared" si="228"/>
        <v>0</v>
      </c>
      <c r="BV743" s="300">
        <f t="shared" si="229"/>
        <v>1</v>
      </c>
      <c r="BW743" s="321">
        <v>0</v>
      </c>
      <c r="BX743" s="298">
        <f t="shared" si="230"/>
        <v>0.43</v>
      </c>
      <c r="BY743">
        <f t="shared" si="231"/>
        <v>0</v>
      </c>
      <c r="BZ743" s="304">
        <f t="shared" si="232"/>
        <v>0</v>
      </c>
      <c r="CB743" s="299">
        <v>0.6</v>
      </c>
      <c r="CC743" s="299">
        <v>0.4</v>
      </c>
      <c r="CD743">
        <f t="shared" si="233"/>
        <v>0</v>
      </c>
      <c r="CE743">
        <f t="shared" si="234"/>
        <v>0</v>
      </c>
      <c r="CF743">
        <f t="shared" si="235"/>
        <v>0</v>
      </c>
      <c r="CG743">
        <f t="shared" si="236"/>
        <v>0</v>
      </c>
      <c r="CH743">
        <f t="shared" si="237"/>
        <v>0</v>
      </c>
      <c r="CI743">
        <f t="shared" si="238"/>
        <v>0</v>
      </c>
      <c r="CJ743">
        <f t="shared" si="239"/>
        <v>0</v>
      </c>
      <c r="CK743">
        <f t="shared" si="240"/>
        <v>0</v>
      </c>
      <c r="CL743">
        <f t="shared" si="241"/>
        <v>0</v>
      </c>
      <c r="CM743">
        <f t="shared" si="243"/>
        <v>0</v>
      </c>
      <c r="CN743">
        <f t="shared" si="242"/>
        <v>0</v>
      </c>
      <c r="CO743">
        <f t="shared" si="226"/>
        <v>0</v>
      </c>
    </row>
    <row r="744" spans="1:93" s="12" customFormat="1" x14ac:dyDescent="0.25">
      <c r="A744" s="4">
        <v>2013</v>
      </c>
      <c r="B744" s="318">
        <v>44265</v>
      </c>
      <c r="C744" s="4" t="s">
        <v>430</v>
      </c>
      <c r="D744" s="4" t="s">
        <v>431</v>
      </c>
      <c r="E744" s="4"/>
      <c r="F744" s="4" t="s">
        <v>1493</v>
      </c>
      <c r="G744" s="5" t="s">
        <v>432</v>
      </c>
      <c r="H744" s="5" t="s">
        <v>185</v>
      </c>
      <c r="I744" s="5" t="s">
        <v>222</v>
      </c>
      <c r="J744" s="5" t="s">
        <v>10</v>
      </c>
      <c r="K744" s="5">
        <v>15.5</v>
      </c>
      <c r="L744" s="5" t="s">
        <v>190</v>
      </c>
      <c r="M744" s="5">
        <v>2000</v>
      </c>
      <c r="N744" s="5" t="s">
        <v>171</v>
      </c>
      <c r="O744" s="6" t="s">
        <v>81</v>
      </c>
      <c r="P744" s="6" t="s">
        <v>186</v>
      </c>
      <c r="Q744" s="6"/>
      <c r="R744" s="6"/>
      <c r="S744" s="6">
        <v>57</v>
      </c>
      <c r="T744" s="6">
        <v>18.22</v>
      </c>
      <c r="U744" s="6">
        <v>1862</v>
      </c>
      <c r="V744" s="6">
        <v>45.64</v>
      </c>
      <c r="W744" s="6">
        <v>0</v>
      </c>
      <c r="X744" s="6">
        <v>0</v>
      </c>
      <c r="Y744" s="6">
        <v>1085</v>
      </c>
      <c r="Z744" s="6">
        <v>663</v>
      </c>
      <c r="AA744" s="6">
        <v>114</v>
      </c>
      <c r="AB744" s="6">
        <v>0</v>
      </c>
      <c r="AC744" s="7">
        <v>73</v>
      </c>
      <c r="AD744" s="7" t="s">
        <v>53</v>
      </c>
      <c r="AE744" s="9">
        <v>23.452147228414201</v>
      </c>
      <c r="AF744" s="7">
        <v>549</v>
      </c>
      <c r="AG744" s="7">
        <v>28.57</v>
      </c>
      <c r="AH744" s="9">
        <v>25.7427785345945</v>
      </c>
      <c r="AI744" s="9">
        <v>30.475212301659599</v>
      </c>
      <c r="AJ744" s="9">
        <v>313.60349657180598</v>
      </c>
      <c r="AK744" s="9">
        <v>314.74997184111203</v>
      </c>
      <c r="AL744" s="9">
        <v>367.59616538185401</v>
      </c>
      <c r="AM744" s="9">
        <v>63.009581908135601</v>
      </c>
      <c r="AN744" s="9">
        <v>0.86314495764569299</v>
      </c>
      <c r="AO744" s="9">
        <v>0.93446108970283104</v>
      </c>
      <c r="AP744" s="9">
        <v>740.67987963836697</v>
      </c>
      <c r="AQ744" s="9">
        <v>10.1462997210735</v>
      </c>
      <c r="AR744" s="9">
        <v>16.6187180690386</v>
      </c>
      <c r="AS744" s="8">
        <v>159</v>
      </c>
      <c r="AT744" s="8">
        <v>7.509999999999998</v>
      </c>
      <c r="AU744" s="10">
        <v>24.523161918902225</v>
      </c>
      <c r="AV744" s="10">
        <v>82.529674349780009</v>
      </c>
      <c r="AW744" s="10">
        <v>0.92684386841852207</v>
      </c>
      <c r="AX744" s="10">
        <v>0.51905455565899372</v>
      </c>
      <c r="AY744" s="10"/>
      <c r="AZ744" s="10"/>
      <c r="BA744" s="10"/>
      <c r="BB744" s="8"/>
      <c r="BC744" s="8"/>
      <c r="BD744" s="8"/>
      <c r="BE744" s="8"/>
      <c r="BF744" s="12">
        <v>0.38</v>
      </c>
      <c r="BG744" s="13">
        <v>243.28739545522399</v>
      </c>
      <c r="BH744" s="96" t="str">
        <f>+VLOOKUP(G744,Liste!$A$7:$G$50,3,FALSE)</f>
        <v>Sapin pectiné</v>
      </c>
      <c r="BI744" s="96" t="str">
        <f>+VLOOKUP(H744,Liste!$B$7:$G$50,5,FALSE)</f>
        <v>GS Arc Jurassien</v>
      </c>
      <c r="BJ744" s="135">
        <f t="shared" si="225"/>
        <v>73</v>
      </c>
      <c r="BK744" s="135" t="str">
        <f t="shared" si="227"/>
        <v>Sapin pectiné_F2_Cas général_GS Arc Jurassien_73_</v>
      </c>
      <c r="BL744" s="322"/>
      <c r="BM744" s="13">
        <v>63.092201558044998</v>
      </c>
      <c r="BN744" s="13">
        <v>306.37959701326901</v>
      </c>
      <c r="BO744" s="13">
        <v>78.603827660225022</v>
      </c>
      <c r="BP744" s="13">
        <v>306.131842885666</v>
      </c>
      <c r="BQ744" s="13">
        <v>13.312903574356801</v>
      </c>
      <c r="BT744" s="298" t="str">
        <f>+VLOOKUP(G744,Liste!$A$7:$H$50,8,FALSE)</f>
        <v>Résineux</v>
      </c>
      <c r="BU744" s="298">
        <f t="shared" si="228"/>
        <v>0</v>
      </c>
      <c r="BV744" s="300">
        <f t="shared" si="229"/>
        <v>1</v>
      </c>
      <c r="BW744" s="321">
        <v>0</v>
      </c>
      <c r="BX744" s="298">
        <f t="shared" si="230"/>
        <v>0.43</v>
      </c>
      <c r="BY744">
        <f t="shared" si="231"/>
        <v>0</v>
      </c>
      <c r="BZ744" s="304">
        <f t="shared" si="232"/>
        <v>0</v>
      </c>
      <c r="CB744" s="299">
        <v>0.6</v>
      </c>
      <c r="CC744" s="299">
        <v>0.4</v>
      </c>
      <c r="CD744">
        <f t="shared" si="233"/>
        <v>0</v>
      </c>
      <c r="CE744">
        <f t="shared" si="234"/>
        <v>0</v>
      </c>
      <c r="CF744">
        <f t="shared" si="235"/>
        <v>0</v>
      </c>
      <c r="CG744">
        <f t="shared" si="236"/>
        <v>0</v>
      </c>
      <c r="CH744">
        <f t="shared" si="237"/>
        <v>0</v>
      </c>
      <c r="CI744">
        <f t="shared" si="238"/>
        <v>0</v>
      </c>
      <c r="CJ744">
        <f t="shared" si="239"/>
        <v>0</v>
      </c>
      <c r="CK744">
        <f t="shared" si="240"/>
        <v>0</v>
      </c>
      <c r="CL744">
        <f t="shared" si="241"/>
        <v>0</v>
      </c>
      <c r="CM744">
        <f t="shared" si="243"/>
        <v>0</v>
      </c>
      <c r="CN744">
        <f t="shared" si="242"/>
        <v>0</v>
      </c>
      <c r="CO744">
        <f t="shared" si="226"/>
        <v>0</v>
      </c>
    </row>
    <row r="745" spans="1:93" s="12" customFormat="1" x14ac:dyDescent="0.25">
      <c r="A745" s="4">
        <v>2013</v>
      </c>
      <c r="B745" s="318">
        <v>44265</v>
      </c>
      <c r="C745" s="4" t="s">
        <v>430</v>
      </c>
      <c r="D745" s="4" t="s">
        <v>431</v>
      </c>
      <c r="E745" s="4"/>
      <c r="F745" s="4" t="s">
        <v>1493</v>
      </c>
      <c r="G745" s="5" t="s">
        <v>432</v>
      </c>
      <c r="H745" s="5" t="s">
        <v>185</v>
      </c>
      <c r="I745" s="5" t="s">
        <v>222</v>
      </c>
      <c r="J745" s="5" t="s">
        <v>10</v>
      </c>
      <c r="K745" s="5">
        <v>15.5</v>
      </c>
      <c r="L745" s="5" t="s">
        <v>190</v>
      </c>
      <c r="M745" s="5">
        <v>2000</v>
      </c>
      <c r="N745" s="5" t="s">
        <v>171</v>
      </c>
      <c r="O745" s="6" t="s">
        <v>81</v>
      </c>
      <c r="P745" s="6" t="s">
        <v>186</v>
      </c>
      <c r="Q745" s="6"/>
      <c r="R745" s="6"/>
      <c r="S745" s="6">
        <v>57</v>
      </c>
      <c r="T745" s="6">
        <v>18.22</v>
      </c>
      <c r="U745" s="6">
        <v>1862</v>
      </c>
      <c r="V745" s="6">
        <v>45.64</v>
      </c>
      <c r="W745" s="6">
        <v>0</v>
      </c>
      <c r="X745" s="6">
        <v>0</v>
      </c>
      <c r="Y745" s="6">
        <v>1085</v>
      </c>
      <c r="Z745" s="6">
        <v>663</v>
      </c>
      <c r="AA745" s="6">
        <v>114</v>
      </c>
      <c r="AB745" s="6">
        <v>0</v>
      </c>
      <c r="AC745" s="7">
        <v>74</v>
      </c>
      <c r="AD745" s="7" t="s">
        <v>52</v>
      </c>
      <c r="AE745" s="9">
        <v>23.7412765230725</v>
      </c>
      <c r="AF745" s="7">
        <v>549</v>
      </c>
      <c r="AG745" s="7">
        <v>29.5</v>
      </c>
      <c r="AH745" s="9">
        <v>26.155039734079899</v>
      </c>
      <c r="AI745" s="9">
        <v>30.958383369095699</v>
      </c>
      <c r="AJ745" s="9">
        <v>328.80263268770398</v>
      </c>
      <c r="AK745" s="9">
        <v>330.005844417991</v>
      </c>
      <c r="AL745" s="9">
        <v>384.21488345089301</v>
      </c>
      <c r="AM745" s="9" t="s">
        <v>169</v>
      </c>
      <c r="AN745" s="9" t="s">
        <v>169</v>
      </c>
      <c r="AO745" s="9" t="s">
        <v>169</v>
      </c>
      <c r="AP745" s="9" t="s">
        <v>169</v>
      </c>
      <c r="AQ745" s="9" t="s">
        <v>169</v>
      </c>
      <c r="AR745" s="9" t="s">
        <v>169</v>
      </c>
      <c r="AS745" s="8" t="s">
        <v>169</v>
      </c>
      <c r="AT745" s="8" t="s">
        <v>169</v>
      </c>
      <c r="AU745" s="10" t="s">
        <v>169</v>
      </c>
      <c r="AV745" s="10">
        <v>0</v>
      </c>
      <c r="AW745" s="10" t="s">
        <v>169</v>
      </c>
      <c r="AX745" s="10" t="s">
        <v>169</v>
      </c>
      <c r="AY745" s="10"/>
      <c r="AZ745" s="10"/>
      <c r="BA745" s="10"/>
      <c r="BB745" s="8"/>
      <c r="BC745" s="8"/>
      <c r="BD745" s="8"/>
      <c r="BE745" s="8"/>
      <c r="BF745" s="12">
        <v>0.38</v>
      </c>
      <c r="BG745" s="13">
        <v>254.28621703058201</v>
      </c>
      <c r="BH745" s="96" t="str">
        <f>+VLOOKUP(G745,Liste!$A$7:$G$50,3,FALSE)</f>
        <v>Sapin pectiné</v>
      </c>
      <c r="BI745" s="96" t="str">
        <f>+VLOOKUP(H745,Liste!$B$7:$G$50,5,FALSE)</f>
        <v>GS Arc Jurassien</v>
      </c>
      <c r="BJ745" s="135">
        <f t="shared" si="225"/>
        <v>74</v>
      </c>
      <c r="BK745" s="135" t="str">
        <f t="shared" si="227"/>
        <v>Sapin pectiné_F2_Cas général_GS Arc Jurassien_74_</v>
      </c>
      <c r="BL745" s="322"/>
      <c r="BM745" s="13">
        <v>65.593577936941799</v>
      </c>
      <c r="BN745" s="13">
        <v>319.87979496752399</v>
      </c>
      <c r="BO745" s="13" t="s">
        <v>169</v>
      </c>
      <c r="BP745" s="13">
        <v>306.131842885666</v>
      </c>
      <c r="BQ745" s="13" t="s">
        <v>169</v>
      </c>
      <c r="BT745" s="298" t="str">
        <f>+VLOOKUP(G745,Liste!$A$7:$H$50,8,FALSE)</f>
        <v>Résineux</v>
      </c>
      <c r="BU745" s="298">
        <f t="shared" si="228"/>
        <v>0</v>
      </c>
      <c r="BV745" s="300">
        <f t="shared" si="229"/>
        <v>1</v>
      </c>
      <c r="BW745" s="321">
        <v>0</v>
      </c>
      <c r="BX745" s="298">
        <f t="shared" si="230"/>
        <v>0.43</v>
      </c>
      <c r="BY745">
        <f t="shared" si="231"/>
        <v>0</v>
      </c>
      <c r="BZ745" s="304">
        <f t="shared" si="232"/>
        <v>0</v>
      </c>
      <c r="CB745" s="299">
        <v>0.6</v>
      </c>
      <c r="CC745" s="299">
        <v>0.4</v>
      </c>
      <c r="CD745">
        <f t="shared" si="233"/>
        <v>0</v>
      </c>
      <c r="CE745">
        <f t="shared" si="234"/>
        <v>0</v>
      </c>
      <c r="CF745">
        <f t="shared" si="235"/>
        <v>0</v>
      </c>
      <c r="CG745">
        <f t="shared" si="236"/>
        <v>0</v>
      </c>
      <c r="CH745">
        <f t="shared" si="237"/>
        <v>0</v>
      </c>
      <c r="CI745">
        <f t="shared" si="238"/>
        <v>0</v>
      </c>
      <c r="CJ745">
        <f t="shared" si="239"/>
        <v>0</v>
      </c>
      <c r="CK745">
        <f t="shared" si="240"/>
        <v>0</v>
      </c>
      <c r="CL745">
        <f t="shared" si="241"/>
        <v>0</v>
      </c>
      <c r="CM745">
        <f t="shared" si="243"/>
        <v>0</v>
      </c>
      <c r="CN745">
        <f t="shared" si="242"/>
        <v>0</v>
      </c>
      <c r="CO745">
        <f t="shared" si="226"/>
        <v>0</v>
      </c>
    </row>
    <row r="746" spans="1:93" s="12" customFormat="1" x14ac:dyDescent="0.25">
      <c r="A746" s="4">
        <v>2013</v>
      </c>
      <c r="B746" s="318">
        <v>44265</v>
      </c>
      <c r="C746" s="4" t="s">
        <v>430</v>
      </c>
      <c r="D746" s="4" t="s">
        <v>431</v>
      </c>
      <c r="E746" s="4"/>
      <c r="F746" s="4" t="s">
        <v>1493</v>
      </c>
      <c r="G746" s="5" t="s">
        <v>432</v>
      </c>
      <c r="H746" s="5" t="s">
        <v>185</v>
      </c>
      <c r="I746" s="5" t="s">
        <v>222</v>
      </c>
      <c r="J746" s="5" t="s">
        <v>10</v>
      </c>
      <c r="K746" s="5">
        <v>15.5</v>
      </c>
      <c r="L746" s="5" t="s">
        <v>190</v>
      </c>
      <c r="M746" s="5">
        <v>2000</v>
      </c>
      <c r="N746" s="5" t="s">
        <v>171</v>
      </c>
      <c r="O746" s="6" t="s">
        <v>81</v>
      </c>
      <c r="P746" s="6" t="s">
        <v>186</v>
      </c>
      <c r="Q746" s="6"/>
      <c r="R746" s="6"/>
      <c r="S746" s="6">
        <v>57</v>
      </c>
      <c r="T746" s="6">
        <v>18.22</v>
      </c>
      <c r="U746" s="6">
        <v>1862</v>
      </c>
      <c r="V746" s="6">
        <v>45.64</v>
      </c>
      <c r="W746" s="6">
        <v>0</v>
      </c>
      <c r="X746" s="6">
        <v>0</v>
      </c>
      <c r="Y746" s="6">
        <v>1085</v>
      </c>
      <c r="Z746" s="6">
        <v>663</v>
      </c>
      <c r="AA746" s="6">
        <v>114</v>
      </c>
      <c r="AB746" s="6">
        <v>0</v>
      </c>
      <c r="AC746" s="7">
        <v>75</v>
      </c>
      <c r="AD746" s="7" t="s">
        <v>52</v>
      </c>
      <c r="AE746" s="9">
        <v>24.026333673229999</v>
      </c>
      <c r="AF746" s="7">
        <v>549</v>
      </c>
      <c r="AG746" s="7">
        <v>30.41</v>
      </c>
      <c r="AH746" s="9">
        <v>26.558134003862701</v>
      </c>
      <c r="AI746" s="9">
        <v>31.429337080106102</v>
      </c>
      <c r="AJ746" s="9">
        <v>344.001768803603</v>
      </c>
      <c r="AK746" s="9">
        <v>345.261716994869</v>
      </c>
      <c r="AL746" s="9">
        <v>400.83360151993099</v>
      </c>
      <c r="AM746" s="9" t="s">
        <v>169</v>
      </c>
      <c r="AN746" s="9" t="s">
        <v>169</v>
      </c>
      <c r="AO746" s="9" t="s">
        <v>169</v>
      </c>
      <c r="AP746" s="9" t="s">
        <v>169</v>
      </c>
      <c r="AQ746" s="9" t="s">
        <v>169</v>
      </c>
      <c r="AR746" s="9" t="s">
        <v>169</v>
      </c>
      <c r="AS746" s="8" t="s">
        <v>169</v>
      </c>
      <c r="AT746" s="8" t="s">
        <v>169</v>
      </c>
      <c r="AU746" s="10" t="s">
        <v>169</v>
      </c>
      <c r="AV746" s="10">
        <v>0</v>
      </c>
      <c r="AW746" s="10" t="s">
        <v>169</v>
      </c>
      <c r="AX746" s="10" t="s">
        <v>169</v>
      </c>
      <c r="AY746" s="10"/>
      <c r="AZ746" s="10"/>
      <c r="BA746" s="10"/>
      <c r="BB746" s="8"/>
      <c r="BC746" s="8"/>
      <c r="BD746" s="8"/>
      <c r="BE746" s="8"/>
      <c r="BF746" s="12">
        <v>0.38</v>
      </c>
      <c r="BG746" s="13">
        <v>265.285038605941</v>
      </c>
      <c r="BH746" s="96" t="str">
        <f>+VLOOKUP(G746,Liste!$A$7:$G$50,3,FALSE)</f>
        <v>Sapin pectiné</v>
      </c>
      <c r="BI746" s="96" t="str">
        <f>+VLOOKUP(H746,Liste!$B$7:$G$50,5,FALSE)</f>
        <v>GS Arc Jurassien</v>
      </c>
      <c r="BJ746" s="135">
        <f t="shared" si="225"/>
        <v>75</v>
      </c>
      <c r="BK746" s="135" t="str">
        <f t="shared" si="227"/>
        <v>Sapin pectiné_F2_Cas général_GS Arc Jurassien_75_</v>
      </c>
      <c r="BL746" s="322"/>
      <c r="BM746" s="13">
        <v>68.094954315838507</v>
      </c>
      <c r="BN746" s="13">
        <v>333.37999292178</v>
      </c>
      <c r="BO746" s="13" t="s">
        <v>169</v>
      </c>
      <c r="BP746" s="13">
        <v>306.131842885666</v>
      </c>
      <c r="BQ746" s="13" t="s">
        <v>169</v>
      </c>
      <c r="BT746" s="298" t="str">
        <f>+VLOOKUP(G746,Liste!$A$7:$H$50,8,FALSE)</f>
        <v>Résineux</v>
      </c>
      <c r="BU746" s="298">
        <f t="shared" si="228"/>
        <v>0</v>
      </c>
      <c r="BV746" s="300">
        <f t="shared" si="229"/>
        <v>1</v>
      </c>
      <c r="BW746" s="321">
        <v>0</v>
      </c>
      <c r="BX746" s="298">
        <f t="shared" si="230"/>
        <v>0.43</v>
      </c>
      <c r="BY746">
        <f t="shared" si="231"/>
        <v>0</v>
      </c>
      <c r="BZ746" s="304">
        <f t="shared" si="232"/>
        <v>0</v>
      </c>
      <c r="CB746" s="299">
        <v>0.6</v>
      </c>
      <c r="CC746" s="299">
        <v>0.4</v>
      </c>
      <c r="CD746">
        <f t="shared" si="233"/>
        <v>0</v>
      </c>
      <c r="CE746">
        <f t="shared" si="234"/>
        <v>0</v>
      </c>
      <c r="CF746">
        <f t="shared" si="235"/>
        <v>0</v>
      </c>
      <c r="CG746">
        <f t="shared" si="236"/>
        <v>0</v>
      </c>
      <c r="CH746">
        <f t="shared" si="237"/>
        <v>0</v>
      </c>
      <c r="CI746">
        <f t="shared" si="238"/>
        <v>0</v>
      </c>
      <c r="CJ746">
        <f t="shared" si="239"/>
        <v>0</v>
      </c>
      <c r="CK746">
        <f t="shared" si="240"/>
        <v>0</v>
      </c>
      <c r="CL746">
        <f t="shared" si="241"/>
        <v>0</v>
      </c>
      <c r="CM746">
        <f t="shared" si="243"/>
        <v>0</v>
      </c>
      <c r="CN746">
        <f t="shared" si="242"/>
        <v>0</v>
      </c>
      <c r="CO746">
        <f t="shared" si="226"/>
        <v>0</v>
      </c>
    </row>
    <row r="747" spans="1:93" s="12" customFormat="1" x14ac:dyDescent="0.25">
      <c r="A747" s="4">
        <v>2013</v>
      </c>
      <c r="B747" s="318">
        <v>44265</v>
      </c>
      <c r="C747" s="4" t="s">
        <v>430</v>
      </c>
      <c r="D747" s="4" t="s">
        <v>431</v>
      </c>
      <c r="E747" s="4"/>
      <c r="F747" s="4" t="s">
        <v>1493</v>
      </c>
      <c r="G747" s="5" t="s">
        <v>432</v>
      </c>
      <c r="H747" s="5" t="s">
        <v>185</v>
      </c>
      <c r="I747" s="5" t="s">
        <v>222</v>
      </c>
      <c r="J747" s="5" t="s">
        <v>10</v>
      </c>
      <c r="K747" s="5">
        <v>15.5</v>
      </c>
      <c r="L747" s="5" t="s">
        <v>190</v>
      </c>
      <c r="M747" s="5">
        <v>2000</v>
      </c>
      <c r="N747" s="5" t="s">
        <v>171</v>
      </c>
      <c r="O747" s="6" t="s">
        <v>81</v>
      </c>
      <c r="P747" s="6" t="s">
        <v>186</v>
      </c>
      <c r="Q747" s="6"/>
      <c r="R747" s="6"/>
      <c r="S747" s="6">
        <v>57</v>
      </c>
      <c r="T747" s="6">
        <v>18.22</v>
      </c>
      <c r="U747" s="6">
        <v>1862</v>
      </c>
      <c r="V747" s="6">
        <v>45.64</v>
      </c>
      <c r="W747" s="6">
        <v>0</v>
      </c>
      <c r="X747" s="6">
        <v>0</v>
      </c>
      <c r="Y747" s="6">
        <v>1085</v>
      </c>
      <c r="Z747" s="6">
        <v>663</v>
      </c>
      <c r="AA747" s="6">
        <v>114</v>
      </c>
      <c r="AB747" s="6">
        <v>0</v>
      </c>
      <c r="AC747" s="7">
        <v>76</v>
      </c>
      <c r="AD747" s="7" t="s">
        <v>52</v>
      </c>
      <c r="AE747" s="9">
        <v>24.307378345129699</v>
      </c>
      <c r="AF747" s="7">
        <v>549</v>
      </c>
      <c r="AG747" s="7">
        <v>31.32</v>
      </c>
      <c r="AH747" s="9">
        <v>26.9523880800417</v>
      </c>
      <c r="AI747" s="9">
        <v>31.888577841738801</v>
      </c>
      <c r="AJ747" s="9">
        <v>359.20090491950202</v>
      </c>
      <c r="AK747" s="9">
        <v>360.51758957174798</v>
      </c>
      <c r="AL747" s="9">
        <v>417.45231958897</v>
      </c>
      <c r="AM747" s="9">
        <v>65.812965177244095</v>
      </c>
      <c r="AN747" s="9">
        <v>0.86596006812163295</v>
      </c>
      <c r="AO747" s="9">
        <v>0.88896746998045195</v>
      </c>
      <c r="AP747" s="9">
        <v>790.53603384548296</v>
      </c>
      <c r="AQ747" s="9">
        <v>10.4017899190195</v>
      </c>
      <c r="AR747" s="9">
        <v>16.456495678293599</v>
      </c>
      <c r="AS747" s="8" t="s">
        <v>169</v>
      </c>
      <c r="AT747" s="8" t="s">
        <v>169</v>
      </c>
      <c r="AU747" s="10" t="s">
        <v>169</v>
      </c>
      <c r="AV747" s="10">
        <v>0</v>
      </c>
      <c r="AW747" s="10" t="s">
        <v>169</v>
      </c>
      <c r="AX747" s="10" t="s">
        <v>169</v>
      </c>
      <c r="AY747" s="10"/>
      <c r="AZ747" s="10"/>
      <c r="BA747" s="10"/>
      <c r="BB747" s="8"/>
      <c r="BC747" s="8"/>
      <c r="BD747" s="8"/>
      <c r="BE747" s="8"/>
      <c r="BF747" s="12">
        <v>0.38</v>
      </c>
      <c r="BG747" s="13">
        <v>276.28386018129999</v>
      </c>
      <c r="BH747" s="96" t="str">
        <f>+VLOOKUP(G747,Liste!$A$7:$G$50,3,FALSE)</f>
        <v>Sapin pectiné</v>
      </c>
      <c r="BI747" s="96" t="str">
        <f>+VLOOKUP(H747,Liste!$B$7:$G$50,5,FALSE)</f>
        <v>GS Arc Jurassien</v>
      </c>
      <c r="BJ747" s="135">
        <f t="shared" si="225"/>
        <v>76</v>
      </c>
      <c r="BK747" s="135" t="str">
        <f t="shared" si="227"/>
        <v>Sapin pectiné_F2_Cas général_GS Arc Jurassien_76_</v>
      </c>
      <c r="BL747" s="322"/>
      <c r="BM747" s="13">
        <v>70.5963306947353</v>
      </c>
      <c r="BN747" s="13">
        <v>346.88019087603499</v>
      </c>
      <c r="BO747" s="13" t="s">
        <v>169</v>
      </c>
      <c r="BP747" s="13">
        <v>306.131842885666</v>
      </c>
      <c r="BQ747" s="13">
        <v>13.161046560689901</v>
      </c>
      <c r="BT747" s="298" t="str">
        <f>+VLOOKUP(G747,Liste!$A$7:$H$50,8,FALSE)</f>
        <v>Résineux</v>
      </c>
      <c r="BU747" s="298">
        <f t="shared" si="228"/>
        <v>0</v>
      </c>
      <c r="BV747" s="300">
        <f t="shared" si="229"/>
        <v>1</v>
      </c>
      <c r="BW747" s="321">
        <v>0</v>
      </c>
      <c r="BX747" s="298">
        <f t="shared" si="230"/>
        <v>0.43</v>
      </c>
      <c r="BY747">
        <f t="shared" si="231"/>
        <v>0</v>
      </c>
      <c r="BZ747" s="304">
        <f t="shared" si="232"/>
        <v>0</v>
      </c>
      <c r="CB747" s="299">
        <v>0.6</v>
      </c>
      <c r="CC747" s="299">
        <v>0.4</v>
      </c>
      <c r="CD747">
        <f t="shared" si="233"/>
        <v>0</v>
      </c>
      <c r="CE747">
        <f t="shared" si="234"/>
        <v>0</v>
      </c>
      <c r="CF747">
        <f t="shared" si="235"/>
        <v>0</v>
      </c>
      <c r="CG747">
        <f t="shared" si="236"/>
        <v>0</v>
      </c>
      <c r="CH747">
        <f t="shared" si="237"/>
        <v>0</v>
      </c>
      <c r="CI747">
        <f t="shared" si="238"/>
        <v>0</v>
      </c>
      <c r="CJ747">
        <f t="shared" si="239"/>
        <v>0</v>
      </c>
      <c r="CK747">
        <f t="shared" si="240"/>
        <v>0</v>
      </c>
      <c r="CL747">
        <f t="shared" si="241"/>
        <v>0</v>
      </c>
      <c r="CM747">
        <f t="shared" si="243"/>
        <v>0</v>
      </c>
      <c r="CN747">
        <f t="shared" si="242"/>
        <v>0</v>
      </c>
      <c r="CO747">
        <f t="shared" si="226"/>
        <v>0</v>
      </c>
    </row>
    <row r="748" spans="1:93" s="12" customFormat="1" x14ac:dyDescent="0.25">
      <c r="A748" s="4">
        <v>2013</v>
      </c>
      <c r="B748" s="318">
        <v>44265</v>
      </c>
      <c r="C748" s="4" t="s">
        <v>430</v>
      </c>
      <c r="D748" s="4" t="s">
        <v>431</v>
      </c>
      <c r="E748" s="4"/>
      <c r="F748" s="4" t="s">
        <v>1493</v>
      </c>
      <c r="G748" s="5" t="s">
        <v>432</v>
      </c>
      <c r="H748" s="5" t="s">
        <v>185</v>
      </c>
      <c r="I748" s="5" t="s">
        <v>222</v>
      </c>
      <c r="J748" s="5" t="s">
        <v>10</v>
      </c>
      <c r="K748" s="5">
        <v>15.5</v>
      </c>
      <c r="L748" s="5" t="s">
        <v>190</v>
      </c>
      <c r="M748" s="5">
        <v>2000</v>
      </c>
      <c r="N748" s="5" t="s">
        <v>171</v>
      </c>
      <c r="O748" s="6" t="s">
        <v>81</v>
      </c>
      <c r="P748" s="6" t="s">
        <v>186</v>
      </c>
      <c r="Q748" s="6"/>
      <c r="R748" s="6"/>
      <c r="S748" s="6">
        <v>57</v>
      </c>
      <c r="T748" s="6">
        <v>18.22</v>
      </c>
      <c r="U748" s="6">
        <v>1862</v>
      </c>
      <c r="V748" s="6">
        <v>45.64</v>
      </c>
      <c r="W748" s="6">
        <v>0</v>
      </c>
      <c r="X748" s="6">
        <v>0</v>
      </c>
      <c r="Y748" s="6">
        <v>1085</v>
      </c>
      <c r="Z748" s="6">
        <v>663</v>
      </c>
      <c r="AA748" s="6">
        <v>114</v>
      </c>
      <c r="AB748" s="6">
        <v>0</v>
      </c>
      <c r="AC748" s="7">
        <v>77</v>
      </c>
      <c r="AD748" s="7" t="s">
        <v>52</v>
      </c>
      <c r="AE748" s="9">
        <v>24.584470398786401</v>
      </c>
      <c r="AF748" s="7">
        <v>549</v>
      </c>
      <c r="AG748" s="7">
        <v>32.229999999999997</v>
      </c>
      <c r="AH748" s="9">
        <v>27.338110756027</v>
      </c>
      <c r="AI748" s="9">
        <v>32.336580917703301</v>
      </c>
      <c r="AJ748" s="9">
        <v>374.35965438361399</v>
      </c>
      <c r="AK748" s="9">
        <v>375.73134779977897</v>
      </c>
      <c r="AL748" s="9">
        <v>433.90881526726298</v>
      </c>
      <c r="AM748" s="9" t="s">
        <v>169</v>
      </c>
      <c r="AN748" s="9" t="s">
        <v>169</v>
      </c>
      <c r="AO748" s="9" t="s">
        <v>169</v>
      </c>
      <c r="AP748" s="9" t="s">
        <v>169</v>
      </c>
      <c r="AQ748" s="9" t="s">
        <v>169</v>
      </c>
      <c r="AR748" s="9" t="s">
        <v>169</v>
      </c>
      <c r="AS748" s="8" t="s">
        <v>169</v>
      </c>
      <c r="AT748" s="8" t="s">
        <v>169</v>
      </c>
      <c r="AU748" s="10" t="s">
        <v>169</v>
      </c>
      <c r="AV748" s="10">
        <v>0</v>
      </c>
      <c r="AW748" s="10" t="s">
        <v>169</v>
      </c>
      <c r="AX748" s="10" t="s">
        <v>169</v>
      </c>
      <c r="AY748" s="10"/>
      <c r="AZ748" s="10"/>
      <c r="BA748" s="10"/>
      <c r="BB748" s="8"/>
      <c r="BC748" s="8"/>
      <c r="BD748" s="8"/>
      <c r="BE748" s="8"/>
      <c r="BF748" s="12">
        <v>0.38</v>
      </c>
      <c r="BG748" s="13">
        <v>287.17531757105002</v>
      </c>
      <c r="BH748" s="96" t="str">
        <f>+VLOOKUP(G748,Liste!$A$7:$G$50,3,FALSE)</f>
        <v>Sapin pectiné</v>
      </c>
      <c r="BI748" s="96" t="str">
        <f>+VLOOKUP(H748,Liste!$B$7:$G$50,5,FALSE)</f>
        <v>GS Arc Jurassien</v>
      </c>
      <c r="BJ748" s="135">
        <f t="shared" si="225"/>
        <v>77</v>
      </c>
      <c r="BK748" s="135" t="str">
        <f t="shared" si="227"/>
        <v>Sapin pectiné_F2_Cas général_GS Arc Jurassien_77_</v>
      </c>
      <c r="BL748" s="322"/>
      <c r="BM748" s="13">
        <v>73.029053583844899</v>
      </c>
      <c r="BN748" s="13">
        <v>360.204371154895</v>
      </c>
      <c r="BO748" s="13" t="s">
        <v>169</v>
      </c>
      <c r="BP748" s="13">
        <v>306.131842885666</v>
      </c>
      <c r="BQ748" s="13" t="s">
        <v>169</v>
      </c>
      <c r="BT748" s="298" t="str">
        <f>+VLOOKUP(G748,Liste!$A$7:$H$50,8,FALSE)</f>
        <v>Résineux</v>
      </c>
      <c r="BU748" s="298">
        <f t="shared" si="228"/>
        <v>0</v>
      </c>
      <c r="BV748" s="300">
        <f t="shared" si="229"/>
        <v>1</v>
      </c>
      <c r="BW748" s="321">
        <v>0</v>
      </c>
      <c r="BX748" s="298">
        <f t="shared" si="230"/>
        <v>0.43</v>
      </c>
      <c r="BY748">
        <f t="shared" si="231"/>
        <v>0</v>
      </c>
      <c r="BZ748" s="304">
        <f t="shared" si="232"/>
        <v>0</v>
      </c>
      <c r="CB748" s="299">
        <v>0.6</v>
      </c>
      <c r="CC748" s="299">
        <v>0.4</v>
      </c>
      <c r="CD748">
        <f t="shared" si="233"/>
        <v>0</v>
      </c>
      <c r="CE748">
        <f t="shared" si="234"/>
        <v>0</v>
      </c>
      <c r="CF748">
        <f t="shared" si="235"/>
        <v>0</v>
      </c>
      <c r="CG748">
        <f t="shared" si="236"/>
        <v>0</v>
      </c>
      <c r="CH748">
        <f t="shared" si="237"/>
        <v>0</v>
      </c>
      <c r="CI748">
        <f t="shared" si="238"/>
        <v>0</v>
      </c>
      <c r="CJ748">
        <f t="shared" si="239"/>
        <v>0</v>
      </c>
      <c r="CK748">
        <f t="shared" si="240"/>
        <v>0</v>
      </c>
      <c r="CL748">
        <f t="shared" si="241"/>
        <v>0</v>
      </c>
      <c r="CM748">
        <f t="shared" si="243"/>
        <v>0</v>
      </c>
      <c r="CN748">
        <f t="shared" si="242"/>
        <v>0</v>
      </c>
      <c r="CO748">
        <f t="shared" si="226"/>
        <v>0</v>
      </c>
    </row>
    <row r="749" spans="1:93" s="12" customFormat="1" x14ac:dyDescent="0.25">
      <c r="A749" s="4">
        <v>2013</v>
      </c>
      <c r="B749" s="318">
        <v>44265</v>
      </c>
      <c r="C749" s="4" t="s">
        <v>430</v>
      </c>
      <c r="D749" s="4" t="s">
        <v>431</v>
      </c>
      <c r="E749" s="4"/>
      <c r="F749" s="4" t="s">
        <v>1493</v>
      </c>
      <c r="G749" s="5" t="s">
        <v>432</v>
      </c>
      <c r="H749" s="5" t="s">
        <v>185</v>
      </c>
      <c r="I749" s="5" t="s">
        <v>222</v>
      </c>
      <c r="J749" s="5" t="s">
        <v>10</v>
      </c>
      <c r="K749" s="5">
        <v>15.5</v>
      </c>
      <c r="L749" s="5" t="s">
        <v>190</v>
      </c>
      <c r="M749" s="5">
        <v>2000</v>
      </c>
      <c r="N749" s="5" t="s">
        <v>171</v>
      </c>
      <c r="O749" s="6" t="s">
        <v>81</v>
      </c>
      <c r="P749" s="6" t="s">
        <v>186</v>
      </c>
      <c r="Q749" s="6"/>
      <c r="R749" s="6"/>
      <c r="S749" s="6">
        <v>57</v>
      </c>
      <c r="T749" s="6">
        <v>18.22</v>
      </c>
      <c r="U749" s="6">
        <v>1862</v>
      </c>
      <c r="V749" s="6">
        <v>45.64</v>
      </c>
      <c r="W749" s="6">
        <v>0</v>
      </c>
      <c r="X749" s="6">
        <v>0</v>
      </c>
      <c r="Y749" s="6">
        <v>1085</v>
      </c>
      <c r="Z749" s="6">
        <v>663</v>
      </c>
      <c r="AA749" s="6">
        <v>114</v>
      </c>
      <c r="AB749" s="6">
        <v>0</v>
      </c>
      <c r="AC749" s="7">
        <v>78</v>
      </c>
      <c r="AD749" s="7" t="s">
        <v>52</v>
      </c>
      <c r="AE749" s="9">
        <v>24.857669759890001</v>
      </c>
      <c r="AF749" s="7">
        <v>549</v>
      </c>
      <c r="AG749" s="7">
        <v>33.119999999999997</v>
      </c>
      <c r="AH749" s="9">
        <v>27.715594517337301</v>
      </c>
      <c r="AI749" s="9">
        <v>32.773794038200897</v>
      </c>
      <c r="AJ749" s="9">
        <v>389.51840384772498</v>
      </c>
      <c r="AK749" s="9">
        <v>390.945106027809</v>
      </c>
      <c r="AL749" s="9">
        <v>450.36531094555698</v>
      </c>
      <c r="AM749" s="9" t="s">
        <v>169</v>
      </c>
      <c r="AN749" s="9" t="s">
        <v>169</v>
      </c>
      <c r="AO749" s="9" t="s">
        <v>169</v>
      </c>
      <c r="AP749" s="9" t="s">
        <v>169</v>
      </c>
      <c r="AQ749" s="9" t="s">
        <v>169</v>
      </c>
      <c r="AR749" s="9" t="s">
        <v>169</v>
      </c>
      <c r="AS749" s="8" t="s">
        <v>169</v>
      </c>
      <c r="AT749" s="8" t="s">
        <v>169</v>
      </c>
      <c r="AU749" s="10" t="s">
        <v>169</v>
      </c>
      <c r="AV749" s="10">
        <v>0</v>
      </c>
      <c r="AW749" s="10" t="s">
        <v>169</v>
      </c>
      <c r="AX749" s="10" t="s">
        <v>169</v>
      </c>
      <c r="AY749" s="10"/>
      <c r="AZ749" s="10"/>
      <c r="BA749" s="10"/>
      <c r="BB749" s="8"/>
      <c r="BC749" s="8"/>
      <c r="BD749" s="8"/>
      <c r="BE749" s="8"/>
      <c r="BF749" s="12">
        <v>0.38</v>
      </c>
      <c r="BG749" s="13">
        <v>298.06677496080101</v>
      </c>
      <c r="BH749" s="96" t="str">
        <f>+VLOOKUP(G749,Liste!$A$7:$G$50,3,FALSE)</f>
        <v>Sapin pectiné</v>
      </c>
      <c r="BI749" s="96" t="str">
        <f>+VLOOKUP(H749,Liste!$B$7:$G$50,5,FALSE)</f>
        <v>GS Arc Jurassien</v>
      </c>
      <c r="BJ749" s="135">
        <f t="shared" si="225"/>
        <v>78</v>
      </c>
      <c r="BK749" s="135" t="str">
        <f t="shared" si="227"/>
        <v>Sapin pectiné_F2_Cas général_GS Arc Jurassien_78_</v>
      </c>
      <c r="BL749" s="322"/>
      <c r="BM749" s="13">
        <v>75.461776472954497</v>
      </c>
      <c r="BN749" s="13">
        <v>373.52855143375598</v>
      </c>
      <c r="BO749" s="13" t="s">
        <v>169</v>
      </c>
      <c r="BP749" s="13">
        <v>306.131842885666</v>
      </c>
      <c r="BQ749" s="13" t="s">
        <v>169</v>
      </c>
      <c r="BT749" s="298" t="str">
        <f>+VLOOKUP(G749,Liste!$A$7:$H$50,8,FALSE)</f>
        <v>Résineux</v>
      </c>
      <c r="BU749" s="298">
        <f t="shared" si="228"/>
        <v>0</v>
      </c>
      <c r="BV749" s="300">
        <f t="shared" si="229"/>
        <v>1</v>
      </c>
      <c r="BW749" s="321">
        <v>0</v>
      </c>
      <c r="BX749" s="298">
        <f t="shared" si="230"/>
        <v>0.43</v>
      </c>
      <c r="BY749">
        <f t="shared" si="231"/>
        <v>0</v>
      </c>
      <c r="BZ749" s="304">
        <f t="shared" si="232"/>
        <v>0</v>
      </c>
      <c r="CB749" s="299">
        <v>0.6</v>
      </c>
      <c r="CC749" s="299">
        <v>0.4</v>
      </c>
      <c r="CD749">
        <f t="shared" si="233"/>
        <v>0</v>
      </c>
      <c r="CE749">
        <f t="shared" si="234"/>
        <v>0</v>
      </c>
      <c r="CF749">
        <f t="shared" si="235"/>
        <v>0</v>
      </c>
      <c r="CG749">
        <f t="shared" si="236"/>
        <v>0</v>
      </c>
      <c r="CH749">
        <f t="shared" si="237"/>
        <v>0</v>
      </c>
      <c r="CI749">
        <f t="shared" si="238"/>
        <v>0</v>
      </c>
      <c r="CJ749">
        <f t="shared" si="239"/>
        <v>0</v>
      </c>
      <c r="CK749">
        <f t="shared" si="240"/>
        <v>0</v>
      </c>
      <c r="CL749">
        <f t="shared" si="241"/>
        <v>0</v>
      </c>
      <c r="CM749">
        <f t="shared" si="243"/>
        <v>0</v>
      </c>
      <c r="CN749">
        <f t="shared" si="242"/>
        <v>0</v>
      </c>
      <c r="CO749">
        <f t="shared" si="226"/>
        <v>0</v>
      </c>
    </row>
    <row r="750" spans="1:93" s="12" customFormat="1" x14ac:dyDescent="0.25">
      <c r="A750" s="4">
        <v>2013</v>
      </c>
      <c r="B750" s="318">
        <v>44265</v>
      </c>
      <c r="C750" s="4" t="s">
        <v>430</v>
      </c>
      <c r="D750" s="4" t="s">
        <v>431</v>
      </c>
      <c r="E750" s="4"/>
      <c r="F750" s="4" t="s">
        <v>1493</v>
      </c>
      <c r="G750" s="5" t="s">
        <v>432</v>
      </c>
      <c r="H750" s="5" t="s">
        <v>185</v>
      </c>
      <c r="I750" s="5" t="s">
        <v>222</v>
      </c>
      <c r="J750" s="5" t="s">
        <v>10</v>
      </c>
      <c r="K750" s="5">
        <v>15.5</v>
      </c>
      <c r="L750" s="5" t="s">
        <v>190</v>
      </c>
      <c r="M750" s="5">
        <v>2000</v>
      </c>
      <c r="N750" s="5" t="s">
        <v>171</v>
      </c>
      <c r="O750" s="6" t="s">
        <v>81</v>
      </c>
      <c r="P750" s="6" t="s">
        <v>186</v>
      </c>
      <c r="Q750" s="6"/>
      <c r="R750" s="6"/>
      <c r="S750" s="6">
        <v>57</v>
      </c>
      <c r="T750" s="6">
        <v>18.22</v>
      </c>
      <c r="U750" s="6">
        <v>1862</v>
      </c>
      <c r="V750" s="6">
        <v>45.64</v>
      </c>
      <c r="W750" s="6">
        <v>0</v>
      </c>
      <c r="X750" s="6">
        <v>0</v>
      </c>
      <c r="Y750" s="6">
        <v>1085</v>
      </c>
      <c r="Z750" s="6">
        <v>663</v>
      </c>
      <c r="AA750" s="6">
        <v>114</v>
      </c>
      <c r="AB750" s="6">
        <v>0</v>
      </c>
      <c r="AC750" s="7">
        <v>79</v>
      </c>
      <c r="AD750" s="7" t="s">
        <v>52</v>
      </c>
      <c r="AE750" s="9">
        <v>25.127036305153499</v>
      </c>
      <c r="AF750" s="7">
        <v>549</v>
      </c>
      <c r="AG750" s="7">
        <v>34.01</v>
      </c>
      <c r="AH750" s="9">
        <v>28.0851165914878</v>
      </c>
      <c r="AI750" s="9">
        <v>33.200639656310003</v>
      </c>
      <c r="AJ750" s="9">
        <v>404.67715331183598</v>
      </c>
      <c r="AK750" s="9">
        <v>406.15886425584</v>
      </c>
      <c r="AL750" s="9">
        <v>466.82180662385099</v>
      </c>
      <c r="AM750" s="9" t="s">
        <v>169</v>
      </c>
      <c r="AN750" s="9" t="s">
        <v>169</v>
      </c>
      <c r="AO750" s="9" t="s">
        <v>169</v>
      </c>
      <c r="AP750" s="9" t="s">
        <v>169</v>
      </c>
      <c r="AQ750" s="9" t="s">
        <v>169</v>
      </c>
      <c r="AR750" s="9" t="s">
        <v>169</v>
      </c>
      <c r="AS750" s="8" t="s">
        <v>169</v>
      </c>
      <c r="AT750" s="8" t="s">
        <v>169</v>
      </c>
      <c r="AU750" s="10" t="s">
        <v>169</v>
      </c>
      <c r="AV750" s="10">
        <v>0</v>
      </c>
      <c r="AW750" s="10" t="s">
        <v>169</v>
      </c>
      <c r="AX750" s="10" t="s">
        <v>169</v>
      </c>
      <c r="AY750" s="10"/>
      <c r="AZ750" s="10"/>
      <c r="BA750" s="10"/>
      <c r="BB750" s="8"/>
      <c r="BC750" s="8"/>
      <c r="BD750" s="8"/>
      <c r="BE750" s="8"/>
      <c r="BF750" s="12">
        <v>0.38</v>
      </c>
      <c r="BG750" s="13">
        <v>308.95823235055201</v>
      </c>
      <c r="BH750" s="96" t="str">
        <f>+VLOOKUP(G750,Liste!$A$7:$G$50,3,FALSE)</f>
        <v>Sapin pectiné</v>
      </c>
      <c r="BI750" s="96" t="str">
        <f>+VLOOKUP(H750,Liste!$B$7:$G$50,5,FALSE)</f>
        <v>GS Arc Jurassien</v>
      </c>
      <c r="BJ750" s="135">
        <f t="shared" si="225"/>
        <v>79</v>
      </c>
      <c r="BK750" s="135" t="str">
        <f t="shared" si="227"/>
        <v>Sapin pectiné_F2_Cas général_GS Arc Jurassien_79_</v>
      </c>
      <c r="BL750" s="322"/>
      <c r="BM750" s="13">
        <v>77.894499362064096</v>
      </c>
      <c r="BN750" s="13">
        <v>386.85273171261599</v>
      </c>
      <c r="BO750" s="13" t="s">
        <v>169</v>
      </c>
      <c r="BP750" s="13">
        <v>306.131842885666</v>
      </c>
      <c r="BQ750" s="13" t="s">
        <v>169</v>
      </c>
      <c r="BT750" s="298" t="str">
        <f>+VLOOKUP(G750,Liste!$A$7:$H$50,8,FALSE)</f>
        <v>Résineux</v>
      </c>
      <c r="BU750" s="298">
        <f t="shared" si="228"/>
        <v>0</v>
      </c>
      <c r="BV750" s="300">
        <f t="shared" si="229"/>
        <v>1</v>
      </c>
      <c r="BW750" s="321">
        <v>0</v>
      </c>
      <c r="BX750" s="298">
        <f t="shared" si="230"/>
        <v>0.43</v>
      </c>
      <c r="BY750">
        <f t="shared" si="231"/>
        <v>0</v>
      </c>
      <c r="BZ750" s="304">
        <f t="shared" si="232"/>
        <v>0</v>
      </c>
      <c r="CB750" s="299">
        <v>0.6</v>
      </c>
      <c r="CC750" s="299">
        <v>0.4</v>
      </c>
      <c r="CD750">
        <f t="shared" si="233"/>
        <v>0</v>
      </c>
      <c r="CE750">
        <f t="shared" si="234"/>
        <v>0</v>
      </c>
      <c r="CF750">
        <f t="shared" si="235"/>
        <v>0</v>
      </c>
      <c r="CG750">
        <f t="shared" si="236"/>
        <v>0</v>
      </c>
      <c r="CH750">
        <f t="shared" si="237"/>
        <v>0</v>
      </c>
      <c r="CI750">
        <f t="shared" si="238"/>
        <v>0</v>
      </c>
      <c r="CJ750">
        <f t="shared" si="239"/>
        <v>0</v>
      </c>
      <c r="CK750">
        <f t="shared" si="240"/>
        <v>0</v>
      </c>
      <c r="CL750">
        <f t="shared" si="241"/>
        <v>0</v>
      </c>
      <c r="CM750">
        <f t="shared" si="243"/>
        <v>0</v>
      </c>
      <c r="CN750">
        <f t="shared" si="242"/>
        <v>0</v>
      </c>
      <c r="CO750">
        <f t="shared" si="226"/>
        <v>0</v>
      </c>
    </row>
    <row r="751" spans="1:93" s="12" customFormat="1" x14ac:dyDescent="0.25">
      <c r="A751" s="4">
        <v>2013</v>
      </c>
      <c r="B751" s="318">
        <v>44265</v>
      </c>
      <c r="C751" s="4" t="s">
        <v>430</v>
      </c>
      <c r="D751" s="4" t="s">
        <v>431</v>
      </c>
      <c r="E751" s="4"/>
      <c r="F751" s="4" t="s">
        <v>1493</v>
      </c>
      <c r="G751" s="5" t="s">
        <v>432</v>
      </c>
      <c r="H751" s="5" t="s">
        <v>185</v>
      </c>
      <c r="I751" s="5" t="s">
        <v>222</v>
      </c>
      <c r="J751" s="5" t="s">
        <v>10</v>
      </c>
      <c r="K751" s="5">
        <v>15.5</v>
      </c>
      <c r="L751" s="5" t="s">
        <v>190</v>
      </c>
      <c r="M751" s="5">
        <v>2000</v>
      </c>
      <c r="N751" s="5" t="s">
        <v>171</v>
      </c>
      <c r="O751" s="6" t="s">
        <v>81</v>
      </c>
      <c r="P751" s="6" t="s">
        <v>186</v>
      </c>
      <c r="Q751" s="6"/>
      <c r="R751" s="6"/>
      <c r="S751" s="6">
        <v>57</v>
      </c>
      <c r="T751" s="6">
        <v>18.22</v>
      </c>
      <c r="U751" s="6">
        <v>1862</v>
      </c>
      <c r="V751" s="6">
        <v>45.64</v>
      </c>
      <c r="W751" s="6">
        <v>0</v>
      </c>
      <c r="X751" s="6">
        <v>0</v>
      </c>
      <c r="Y751" s="6">
        <v>1085</v>
      </c>
      <c r="Z751" s="6">
        <v>663</v>
      </c>
      <c r="AA751" s="6">
        <v>114</v>
      </c>
      <c r="AB751" s="6">
        <v>0</v>
      </c>
      <c r="AC751" s="7">
        <v>80</v>
      </c>
      <c r="AD751" s="7" t="s">
        <v>52</v>
      </c>
      <c r="AE751" s="9">
        <v>25.3926297598946</v>
      </c>
      <c r="AF751" s="7">
        <v>549</v>
      </c>
      <c r="AG751" s="7">
        <v>34.89</v>
      </c>
      <c r="AH751" s="9">
        <v>28.4469402695768</v>
      </c>
      <c r="AI751" s="9">
        <v>33.617516062803098</v>
      </c>
      <c r="AJ751" s="9">
        <v>419.835902775948</v>
      </c>
      <c r="AK751" s="9">
        <v>421.372622483871</v>
      </c>
      <c r="AL751" s="9">
        <v>483.27830230214403</v>
      </c>
      <c r="AM751" s="9" t="s">
        <v>169</v>
      </c>
      <c r="AN751" s="9" t="s">
        <v>169</v>
      </c>
      <c r="AO751" s="9" t="s">
        <v>169</v>
      </c>
      <c r="AP751" s="9" t="s">
        <v>169</v>
      </c>
      <c r="AQ751" s="9" t="s">
        <v>169</v>
      </c>
      <c r="AR751" s="9" t="s">
        <v>169</v>
      </c>
      <c r="AS751" s="8" t="s">
        <v>169</v>
      </c>
      <c r="AT751" s="8" t="s">
        <v>169</v>
      </c>
      <c r="AU751" s="10" t="s">
        <v>169</v>
      </c>
      <c r="AV751" s="10">
        <v>0</v>
      </c>
      <c r="AW751" s="10" t="s">
        <v>169</v>
      </c>
      <c r="AX751" s="10" t="s">
        <v>169</v>
      </c>
      <c r="AY751" s="10"/>
      <c r="AZ751" s="10"/>
      <c r="BA751" s="10"/>
      <c r="BB751" s="8"/>
      <c r="BC751" s="8"/>
      <c r="BD751" s="8"/>
      <c r="BE751" s="8"/>
      <c r="BF751" s="12">
        <v>0.38</v>
      </c>
      <c r="BG751" s="13">
        <v>319.84968974030301</v>
      </c>
      <c r="BH751" s="96" t="str">
        <f>+VLOOKUP(G751,Liste!$A$7:$G$50,3,FALSE)</f>
        <v>Sapin pectiné</v>
      </c>
      <c r="BI751" s="96" t="str">
        <f>+VLOOKUP(H751,Liste!$B$7:$G$50,5,FALSE)</f>
        <v>GS Arc Jurassien</v>
      </c>
      <c r="BJ751" s="135">
        <f t="shared" si="225"/>
        <v>80</v>
      </c>
      <c r="BK751" s="135" t="str">
        <f t="shared" si="227"/>
        <v>Sapin pectiné_F2_Cas général_GS Arc Jurassien_80_</v>
      </c>
      <c r="BL751" s="322"/>
      <c r="BM751" s="13">
        <v>80.327222251173794</v>
      </c>
      <c r="BN751" s="13">
        <v>400.176911991476</v>
      </c>
      <c r="BO751" s="13" t="s">
        <v>169</v>
      </c>
      <c r="BP751" s="13">
        <v>306.131842885666</v>
      </c>
      <c r="BQ751" s="13" t="s">
        <v>169</v>
      </c>
      <c r="BT751" s="298" t="str">
        <f>+VLOOKUP(G751,Liste!$A$7:$H$50,8,FALSE)</f>
        <v>Résineux</v>
      </c>
      <c r="BU751" s="298">
        <f t="shared" si="228"/>
        <v>0</v>
      </c>
      <c r="BV751" s="300">
        <f t="shared" si="229"/>
        <v>1</v>
      </c>
      <c r="BW751" s="321">
        <v>0</v>
      </c>
      <c r="BX751" s="298">
        <f t="shared" si="230"/>
        <v>0.43</v>
      </c>
      <c r="BY751">
        <f t="shared" si="231"/>
        <v>0</v>
      </c>
      <c r="BZ751" s="304">
        <f t="shared" si="232"/>
        <v>0</v>
      </c>
      <c r="CB751" s="299">
        <v>0.6</v>
      </c>
      <c r="CC751" s="299">
        <v>0.4</v>
      </c>
      <c r="CD751">
        <f t="shared" si="233"/>
        <v>0</v>
      </c>
      <c r="CE751">
        <f t="shared" si="234"/>
        <v>0</v>
      </c>
      <c r="CF751">
        <f t="shared" si="235"/>
        <v>0</v>
      </c>
      <c r="CG751">
        <f t="shared" si="236"/>
        <v>0</v>
      </c>
      <c r="CH751">
        <f t="shared" si="237"/>
        <v>0</v>
      </c>
      <c r="CI751">
        <f t="shared" si="238"/>
        <v>0</v>
      </c>
      <c r="CJ751">
        <f t="shared" si="239"/>
        <v>0</v>
      </c>
      <c r="CK751">
        <f t="shared" si="240"/>
        <v>0</v>
      </c>
      <c r="CL751">
        <f t="shared" si="241"/>
        <v>0</v>
      </c>
      <c r="CM751">
        <f t="shared" si="243"/>
        <v>0</v>
      </c>
      <c r="CN751">
        <f t="shared" si="242"/>
        <v>0</v>
      </c>
      <c r="CO751">
        <f t="shared" si="226"/>
        <v>0</v>
      </c>
    </row>
    <row r="752" spans="1:93" s="12" customFormat="1" x14ac:dyDescent="0.25">
      <c r="A752" s="4">
        <v>2013</v>
      </c>
      <c r="B752" s="318">
        <v>44265</v>
      </c>
      <c r="C752" s="4" t="s">
        <v>430</v>
      </c>
      <c r="D752" s="4" t="s">
        <v>431</v>
      </c>
      <c r="E752" s="4"/>
      <c r="F752" s="4" t="s">
        <v>1493</v>
      </c>
      <c r="G752" s="5" t="s">
        <v>432</v>
      </c>
      <c r="H752" s="5" t="s">
        <v>185</v>
      </c>
      <c r="I752" s="5" t="s">
        <v>222</v>
      </c>
      <c r="J752" s="5" t="s">
        <v>10</v>
      </c>
      <c r="K752" s="5">
        <v>15.5</v>
      </c>
      <c r="L752" s="5" t="s">
        <v>190</v>
      </c>
      <c r="M752" s="5">
        <v>2000</v>
      </c>
      <c r="N752" s="5" t="s">
        <v>171</v>
      </c>
      <c r="O752" s="6" t="s">
        <v>81</v>
      </c>
      <c r="P752" s="6" t="s">
        <v>186</v>
      </c>
      <c r="Q752" s="6"/>
      <c r="R752" s="6"/>
      <c r="S752" s="6">
        <v>57</v>
      </c>
      <c r="T752" s="6">
        <v>18.22</v>
      </c>
      <c r="U752" s="6">
        <v>1862</v>
      </c>
      <c r="V752" s="6">
        <v>45.64</v>
      </c>
      <c r="W752" s="6">
        <v>0</v>
      </c>
      <c r="X752" s="6">
        <v>0</v>
      </c>
      <c r="Y752" s="6">
        <v>1085</v>
      </c>
      <c r="Z752" s="6">
        <v>663</v>
      </c>
      <c r="AA752" s="6">
        <v>114</v>
      </c>
      <c r="AB752" s="6">
        <v>0</v>
      </c>
      <c r="AC752" s="7">
        <v>81</v>
      </c>
      <c r="AD752" s="7" t="s">
        <v>52</v>
      </c>
      <c r="AE752" s="9">
        <v>25.654509606740898</v>
      </c>
      <c r="AF752" s="7">
        <v>549</v>
      </c>
      <c r="AG752" s="7">
        <v>35.770000000000003</v>
      </c>
      <c r="AH752" s="9">
        <v>28.8013157581209</v>
      </c>
      <c r="AI752" s="9">
        <v>34.024799565546701</v>
      </c>
      <c r="AJ752" s="9">
        <v>434.994652240059</v>
      </c>
      <c r="AK752" s="9">
        <v>436.58638071190097</v>
      </c>
      <c r="AL752" s="9">
        <v>499.73479798043797</v>
      </c>
      <c r="AM752" s="9">
        <v>70.257802527146396</v>
      </c>
      <c r="AN752" s="9">
        <v>0.86738027811291796</v>
      </c>
      <c r="AO752" s="9">
        <v>0.80426959294827005</v>
      </c>
      <c r="AP752" s="9">
        <v>872.81851223695105</v>
      </c>
      <c r="AQ752" s="9">
        <v>10.7755371881105</v>
      </c>
      <c r="AR752" s="9">
        <v>15.411961478836201</v>
      </c>
      <c r="AS752" s="8" t="s">
        <v>169</v>
      </c>
      <c r="AT752" s="8" t="s">
        <v>169</v>
      </c>
      <c r="AU752" s="10" t="s">
        <v>169</v>
      </c>
      <c r="AV752" s="10">
        <v>0</v>
      </c>
      <c r="AW752" s="10" t="s">
        <v>169</v>
      </c>
      <c r="AX752" s="10" t="s">
        <v>169</v>
      </c>
      <c r="AY752" s="10"/>
      <c r="AZ752" s="10"/>
      <c r="BA752" s="10"/>
      <c r="BB752" s="8"/>
      <c r="BC752" s="8"/>
      <c r="BD752" s="8"/>
      <c r="BE752" s="8"/>
      <c r="BF752" s="12">
        <v>0.38</v>
      </c>
      <c r="BG752" s="13">
        <v>330.74114713005298</v>
      </c>
      <c r="BH752" s="96" t="str">
        <f>+VLOOKUP(G752,Liste!$A$7:$G$50,3,FALSE)</f>
        <v>Sapin pectiné</v>
      </c>
      <c r="BI752" s="96" t="str">
        <f>+VLOOKUP(H752,Liste!$B$7:$G$50,5,FALSE)</f>
        <v>GS Arc Jurassien</v>
      </c>
      <c r="BJ752" s="135">
        <f t="shared" si="225"/>
        <v>81</v>
      </c>
      <c r="BK752" s="135" t="str">
        <f t="shared" si="227"/>
        <v>Sapin pectiné_F2_Cas général_GS Arc Jurassien_81_</v>
      </c>
      <c r="BL752" s="322"/>
      <c r="BM752" s="13">
        <v>82.759945140283406</v>
      </c>
      <c r="BN752" s="13">
        <v>413.50109227033698</v>
      </c>
      <c r="BO752" s="13" t="s">
        <v>169</v>
      </c>
      <c r="BP752" s="13">
        <v>306.131842885666</v>
      </c>
      <c r="BQ752" s="13">
        <v>12.305190334891501</v>
      </c>
      <c r="BT752" s="298" t="str">
        <f>+VLOOKUP(G752,Liste!$A$7:$H$50,8,FALSE)</f>
        <v>Résineux</v>
      </c>
      <c r="BU752" s="298">
        <f t="shared" si="228"/>
        <v>0</v>
      </c>
      <c r="BV752" s="300">
        <f t="shared" si="229"/>
        <v>1</v>
      </c>
      <c r="BW752" s="321">
        <v>0</v>
      </c>
      <c r="BX752" s="298">
        <f t="shared" si="230"/>
        <v>0.43</v>
      </c>
      <c r="BY752">
        <f t="shared" si="231"/>
        <v>0</v>
      </c>
      <c r="BZ752" s="304">
        <f t="shared" si="232"/>
        <v>0</v>
      </c>
      <c r="CB752" s="299">
        <v>0.6</v>
      </c>
      <c r="CC752" s="299">
        <v>0.4</v>
      </c>
      <c r="CD752">
        <f t="shared" si="233"/>
        <v>0</v>
      </c>
      <c r="CE752">
        <f t="shared" si="234"/>
        <v>0</v>
      </c>
      <c r="CF752">
        <f t="shared" si="235"/>
        <v>0</v>
      </c>
      <c r="CG752">
        <f t="shared" si="236"/>
        <v>0</v>
      </c>
      <c r="CH752">
        <f t="shared" si="237"/>
        <v>0</v>
      </c>
      <c r="CI752">
        <f t="shared" si="238"/>
        <v>0</v>
      </c>
      <c r="CJ752">
        <f t="shared" si="239"/>
        <v>0</v>
      </c>
      <c r="CK752">
        <f t="shared" si="240"/>
        <v>0</v>
      </c>
      <c r="CL752">
        <f t="shared" si="241"/>
        <v>0</v>
      </c>
      <c r="CM752">
        <f t="shared" si="243"/>
        <v>0</v>
      </c>
      <c r="CN752">
        <f t="shared" si="242"/>
        <v>0</v>
      </c>
      <c r="CO752">
        <f t="shared" si="226"/>
        <v>0</v>
      </c>
    </row>
    <row r="753" spans="1:93" s="12" customFormat="1" x14ac:dyDescent="0.25">
      <c r="A753" s="4">
        <v>2013</v>
      </c>
      <c r="B753" s="318">
        <v>44265</v>
      </c>
      <c r="C753" s="4" t="s">
        <v>430</v>
      </c>
      <c r="D753" s="4" t="s">
        <v>431</v>
      </c>
      <c r="E753" s="4"/>
      <c r="F753" s="4" t="s">
        <v>1493</v>
      </c>
      <c r="G753" s="5" t="s">
        <v>432</v>
      </c>
      <c r="H753" s="5" t="s">
        <v>185</v>
      </c>
      <c r="I753" s="5" t="s">
        <v>222</v>
      </c>
      <c r="J753" s="5" t="s">
        <v>10</v>
      </c>
      <c r="K753" s="5">
        <v>15.5</v>
      </c>
      <c r="L753" s="5" t="s">
        <v>190</v>
      </c>
      <c r="M753" s="5">
        <v>2000</v>
      </c>
      <c r="N753" s="5" t="s">
        <v>171</v>
      </c>
      <c r="O753" s="6" t="s">
        <v>81</v>
      </c>
      <c r="P753" s="6" t="s">
        <v>186</v>
      </c>
      <c r="Q753" s="6"/>
      <c r="R753" s="6"/>
      <c r="S753" s="6">
        <v>57</v>
      </c>
      <c r="T753" s="6">
        <v>18.22</v>
      </c>
      <c r="U753" s="6">
        <v>1862</v>
      </c>
      <c r="V753" s="6">
        <v>45.64</v>
      </c>
      <c r="W753" s="6">
        <v>0</v>
      </c>
      <c r="X753" s="6">
        <v>0</v>
      </c>
      <c r="Y753" s="6">
        <v>1085</v>
      </c>
      <c r="Z753" s="6">
        <v>663</v>
      </c>
      <c r="AA753" s="6">
        <v>114</v>
      </c>
      <c r="AB753" s="6">
        <v>0</v>
      </c>
      <c r="AC753" s="7">
        <v>81</v>
      </c>
      <c r="AD753" s="7" t="s">
        <v>53</v>
      </c>
      <c r="AE753" s="9">
        <v>25.654509606740898</v>
      </c>
      <c r="AF753" s="7">
        <v>429</v>
      </c>
      <c r="AG753" s="7">
        <v>28.12</v>
      </c>
      <c r="AH753" s="9">
        <v>28.890821431893801</v>
      </c>
      <c r="AI753" s="9">
        <v>33.5364032645276</v>
      </c>
      <c r="AJ753" s="9">
        <v>342.28704532649601</v>
      </c>
      <c r="AK753" s="9">
        <v>343.54621319184901</v>
      </c>
      <c r="AL753" s="9">
        <v>393.21109654776802</v>
      </c>
      <c r="AM753" s="9">
        <v>70.257802527146396</v>
      </c>
      <c r="AN753" s="9">
        <v>0.86738027811291796</v>
      </c>
      <c r="AO753" s="9">
        <v>0.80426959294827005</v>
      </c>
      <c r="AP753" s="9">
        <v>872.81851223695105</v>
      </c>
      <c r="AQ753" s="9">
        <v>10.7755371881105</v>
      </c>
      <c r="AR753" s="9">
        <v>15.411961478836201</v>
      </c>
      <c r="AS753" s="8">
        <v>120</v>
      </c>
      <c r="AT753" s="8">
        <v>7.6500000000000021</v>
      </c>
      <c r="AU753" s="10">
        <v>28.490177426065049</v>
      </c>
      <c r="AV753" s="10">
        <v>92.707606913562984</v>
      </c>
      <c r="AW753" s="10">
        <v>0.97851086156752709</v>
      </c>
      <c r="AX753" s="10">
        <v>0.77256339094635817</v>
      </c>
      <c r="AY753" s="10"/>
      <c r="AZ753" s="10"/>
      <c r="BA753" s="10"/>
      <c r="BB753" s="8"/>
      <c r="BC753" s="8"/>
      <c r="BD753" s="8"/>
      <c r="BE753" s="8"/>
      <c r="BF753" s="12">
        <v>0.38</v>
      </c>
      <c r="BG753" s="13">
        <v>260.24021073186401</v>
      </c>
      <c r="BH753" s="96" t="str">
        <f>+VLOOKUP(G753,Liste!$A$7:$G$50,3,FALSE)</f>
        <v>Sapin pectiné</v>
      </c>
      <c r="BI753" s="96" t="str">
        <f>+VLOOKUP(H753,Liste!$B$7:$G$50,5,FALSE)</f>
        <v>GS Arc Jurassien</v>
      </c>
      <c r="BJ753" s="135">
        <f t="shared" si="225"/>
        <v>81</v>
      </c>
      <c r="BK753" s="135" t="str">
        <f t="shared" si="227"/>
        <v>Sapin pectiné_F2_Cas général_GS Arc Jurassien_81_</v>
      </c>
      <c r="BL753" s="322"/>
      <c r="BM753" s="13">
        <v>66.961506691418293</v>
      </c>
      <c r="BN753" s="13">
        <v>327.20171742328301</v>
      </c>
      <c r="BO753" s="13">
        <v>86.299374847053969</v>
      </c>
      <c r="BP753" s="13">
        <v>306.131842885666</v>
      </c>
      <c r="BQ753" s="13">
        <v>12.305190334891501</v>
      </c>
      <c r="BT753" s="298" t="str">
        <f>+VLOOKUP(G753,Liste!$A$7:$H$50,8,FALSE)</f>
        <v>Résineux</v>
      </c>
      <c r="BU753" s="298">
        <f t="shared" si="228"/>
        <v>0</v>
      </c>
      <c r="BV753" s="300">
        <f t="shared" si="229"/>
        <v>1</v>
      </c>
      <c r="BW753" s="321">
        <v>0</v>
      </c>
      <c r="BX753" s="298">
        <f t="shared" si="230"/>
        <v>0.43</v>
      </c>
      <c r="BY753">
        <f t="shared" si="231"/>
        <v>0</v>
      </c>
      <c r="BZ753" s="304">
        <f t="shared" si="232"/>
        <v>0</v>
      </c>
      <c r="CB753" s="299">
        <v>0.6</v>
      </c>
      <c r="CC753" s="299">
        <v>0.4</v>
      </c>
      <c r="CD753">
        <f t="shared" si="233"/>
        <v>0</v>
      </c>
      <c r="CE753">
        <f t="shared" si="234"/>
        <v>0</v>
      </c>
      <c r="CF753">
        <f t="shared" si="235"/>
        <v>0</v>
      </c>
      <c r="CG753">
        <f t="shared" si="236"/>
        <v>0</v>
      </c>
      <c r="CH753">
        <f t="shared" si="237"/>
        <v>0</v>
      </c>
      <c r="CI753">
        <f t="shared" si="238"/>
        <v>0</v>
      </c>
      <c r="CJ753">
        <f t="shared" si="239"/>
        <v>0</v>
      </c>
      <c r="CK753">
        <f t="shared" si="240"/>
        <v>0</v>
      </c>
      <c r="CL753">
        <f t="shared" si="241"/>
        <v>0</v>
      </c>
      <c r="CM753">
        <f t="shared" si="243"/>
        <v>0</v>
      </c>
      <c r="CN753">
        <f t="shared" si="242"/>
        <v>0</v>
      </c>
      <c r="CO753">
        <f t="shared" si="226"/>
        <v>0</v>
      </c>
    </row>
    <row r="754" spans="1:93" s="12" customFormat="1" x14ac:dyDescent="0.25">
      <c r="A754" s="4">
        <v>2013</v>
      </c>
      <c r="B754" s="318">
        <v>44265</v>
      </c>
      <c r="C754" s="4" t="s">
        <v>430</v>
      </c>
      <c r="D754" s="4" t="s">
        <v>431</v>
      </c>
      <c r="E754" s="4"/>
      <c r="F754" s="4" t="s">
        <v>1493</v>
      </c>
      <c r="G754" s="5" t="s">
        <v>432</v>
      </c>
      <c r="H754" s="5" t="s">
        <v>185</v>
      </c>
      <c r="I754" s="5" t="s">
        <v>222</v>
      </c>
      <c r="J754" s="5" t="s">
        <v>10</v>
      </c>
      <c r="K754" s="5">
        <v>15.5</v>
      </c>
      <c r="L754" s="5" t="s">
        <v>190</v>
      </c>
      <c r="M754" s="5">
        <v>2000</v>
      </c>
      <c r="N754" s="5" t="s">
        <v>171</v>
      </c>
      <c r="O754" s="6" t="s">
        <v>81</v>
      </c>
      <c r="P754" s="6" t="s">
        <v>186</v>
      </c>
      <c r="Q754" s="6"/>
      <c r="R754" s="6"/>
      <c r="S754" s="6">
        <v>57</v>
      </c>
      <c r="T754" s="6">
        <v>18.22</v>
      </c>
      <c r="U754" s="6">
        <v>1862</v>
      </c>
      <c r="V754" s="6">
        <v>45.64</v>
      </c>
      <c r="W754" s="6">
        <v>0</v>
      </c>
      <c r="X754" s="6">
        <v>0</v>
      </c>
      <c r="Y754" s="6">
        <v>1085</v>
      </c>
      <c r="Z754" s="6">
        <v>663</v>
      </c>
      <c r="AA754" s="6">
        <v>114</v>
      </c>
      <c r="AB754" s="6">
        <v>0</v>
      </c>
      <c r="AC754" s="7">
        <v>82</v>
      </c>
      <c r="AD754" s="7" t="s">
        <v>52</v>
      </c>
      <c r="AE754" s="9">
        <v>25.912735004451399</v>
      </c>
      <c r="AF754" s="7">
        <v>429</v>
      </c>
      <c r="AG754" s="7">
        <v>28.94</v>
      </c>
      <c r="AH754" s="9">
        <v>29.305680097075498</v>
      </c>
      <c r="AI754" s="9">
        <v>34.005765335042298</v>
      </c>
      <c r="AJ754" s="9">
        <v>356.56759236551898</v>
      </c>
      <c r="AK754" s="9">
        <v>357.87731371431101</v>
      </c>
      <c r="AL754" s="9">
        <v>408.62305802660399</v>
      </c>
      <c r="AM754" s="9" t="s">
        <v>169</v>
      </c>
      <c r="AN754" s="9" t="s">
        <v>169</v>
      </c>
      <c r="AO754" s="9" t="s">
        <v>169</v>
      </c>
      <c r="AP754" s="9" t="s">
        <v>169</v>
      </c>
      <c r="AQ754" s="9" t="s">
        <v>169</v>
      </c>
      <c r="AR754" s="9" t="s">
        <v>169</v>
      </c>
      <c r="AS754" s="8" t="s">
        <v>169</v>
      </c>
      <c r="AT754" s="8" t="s">
        <v>169</v>
      </c>
      <c r="AU754" s="10" t="s">
        <v>169</v>
      </c>
      <c r="AV754" s="10">
        <v>0</v>
      </c>
      <c r="AW754" s="10" t="s">
        <v>169</v>
      </c>
      <c r="AX754" s="10" t="s">
        <v>169</v>
      </c>
      <c r="AY754" s="10"/>
      <c r="AZ754" s="10"/>
      <c r="BA754" s="10"/>
      <c r="BB754" s="8"/>
      <c r="BC754" s="8"/>
      <c r="BD754" s="8"/>
      <c r="BE754" s="8"/>
      <c r="BF754" s="12">
        <v>0.38</v>
      </c>
      <c r="BG754" s="13">
        <v>270.44036057060799</v>
      </c>
      <c r="BH754" s="96" t="str">
        <f>+VLOOKUP(G754,Liste!$A$7:$G$50,3,FALSE)</f>
        <v>Sapin pectiné</v>
      </c>
      <c r="BI754" s="96" t="str">
        <f>+VLOOKUP(H754,Liste!$B$7:$G$50,5,FALSE)</f>
        <v>GS Arc Jurassien</v>
      </c>
      <c r="BJ754" s="135">
        <f t="shared" si="225"/>
        <v>82</v>
      </c>
      <c r="BK754" s="135" t="str">
        <f t="shared" si="227"/>
        <v>Sapin pectiné_F2_Cas général_GS Arc Jurassien_82_</v>
      </c>
      <c r="BL754" s="322"/>
      <c r="BM754" s="13">
        <v>69.260553103368196</v>
      </c>
      <c r="BN754" s="13">
        <v>339.700913673976</v>
      </c>
      <c r="BO754" s="13" t="s">
        <v>169</v>
      </c>
      <c r="BP754" s="13">
        <v>306.131842885666</v>
      </c>
      <c r="BQ754" s="13" t="s">
        <v>169</v>
      </c>
      <c r="BT754" s="298" t="str">
        <f>+VLOOKUP(G754,Liste!$A$7:$H$50,8,FALSE)</f>
        <v>Résineux</v>
      </c>
      <c r="BU754" s="298">
        <f t="shared" si="228"/>
        <v>0</v>
      </c>
      <c r="BV754" s="300">
        <f t="shared" si="229"/>
        <v>1</v>
      </c>
      <c r="BW754" s="321">
        <v>0</v>
      </c>
      <c r="BX754" s="298">
        <f t="shared" si="230"/>
        <v>0.43</v>
      </c>
      <c r="BY754">
        <f t="shared" si="231"/>
        <v>0</v>
      </c>
      <c r="BZ754" s="304">
        <f t="shared" si="232"/>
        <v>0</v>
      </c>
      <c r="CB754" s="299">
        <v>0.6</v>
      </c>
      <c r="CC754" s="299">
        <v>0.4</v>
      </c>
      <c r="CD754">
        <f t="shared" si="233"/>
        <v>0</v>
      </c>
      <c r="CE754">
        <f t="shared" si="234"/>
        <v>0</v>
      </c>
      <c r="CF754">
        <f t="shared" si="235"/>
        <v>0</v>
      </c>
      <c r="CG754">
        <f t="shared" si="236"/>
        <v>0</v>
      </c>
      <c r="CH754">
        <f t="shared" si="237"/>
        <v>0</v>
      </c>
      <c r="CI754">
        <f t="shared" si="238"/>
        <v>0</v>
      </c>
      <c r="CJ754">
        <f t="shared" si="239"/>
        <v>0</v>
      </c>
      <c r="CK754">
        <f t="shared" si="240"/>
        <v>0</v>
      </c>
      <c r="CL754">
        <f t="shared" si="241"/>
        <v>0</v>
      </c>
      <c r="CM754">
        <f t="shared" si="243"/>
        <v>0</v>
      </c>
      <c r="CN754">
        <f t="shared" si="242"/>
        <v>0</v>
      </c>
      <c r="CO754">
        <f t="shared" si="226"/>
        <v>0</v>
      </c>
    </row>
    <row r="755" spans="1:93" s="12" customFormat="1" x14ac:dyDescent="0.25">
      <c r="A755" s="4">
        <v>2013</v>
      </c>
      <c r="B755" s="318">
        <v>44265</v>
      </c>
      <c r="C755" s="4" t="s">
        <v>430</v>
      </c>
      <c r="D755" s="4" t="s">
        <v>431</v>
      </c>
      <c r="E755" s="4"/>
      <c r="F755" s="4" t="s">
        <v>1493</v>
      </c>
      <c r="G755" s="5" t="s">
        <v>432</v>
      </c>
      <c r="H755" s="5" t="s">
        <v>185</v>
      </c>
      <c r="I755" s="5" t="s">
        <v>222</v>
      </c>
      <c r="J755" s="5" t="s">
        <v>10</v>
      </c>
      <c r="K755" s="5">
        <v>15.5</v>
      </c>
      <c r="L755" s="5" t="s">
        <v>190</v>
      </c>
      <c r="M755" s="5">
        <v>2000</v>
      </c>
      <c r="N755" s="5" t="s">
        <v>171</v>
      </c>
      <c r="O755" s="6" t="s">
        <v>81</v>
      </c>
      <c r="P755" s="6" t="s">
        <v>186</v>
      </c>
      <c r="Q755" s="6"/>
      <c r="R755" s="6"/>
      <c r="S755" s="6">
        <v>57</v>
      </c>
      <c r="T755" s="6">
        <v>18.22</v>
      </c>
      <c r="U755" s="6">
        <v>1862</v>
      </c>
      <c r="V755" s="6">
        <v>45.64</v>
      </c>
      <c r="W755" s="6">
        <v>0</v>
      </c>
      <c r="X755" s="6">
        <v>0</v>
      </c>
      <c r="Y755" s="6">
        <v>1085</v>
      </c>
      <c r="Z755" s="6">
        <v>663</v>
      </c>
      <c r="AA755" s="6">
        <v>114</v>
      </c>
      <c r="AB755" s="6">
        <v>0</v>
      </c>
      <c r="AC755" s="7">
        <v>83</v>
      </c>
      <c r="AD755" s="7" t="s">
        <v>52</v>
      </c>
      <c r="AE755" s="9">
        <v>26.167364715930699</v>
      </c>
      <c r="AF755" s="7">
        <v>429</v>
      </c>
      <c r="AG755" s="7">
        <v>29.74</v>
      </c>
      <c r="AH755" s="9">
        <v>29.7117181617384</v>
      </c>
      <c r="AI755" s="9">
        <v>34.464026112505799</v>
      </c>
      <c r="AJ755" s="9">
        <v>370.84813940454302</v>
      </c>
      <c r="AK755" s="9">
        <v>372.20841423677302</v>
      </c>
      <c r="AL755" s="9">
        <v>424.03501950544103</v>
      </c>
      <c r="AM755" s="9" t="s">
        <v>169</v>
      </c>
      <c r="AN755" s="9" t="s">
        <v>169</v>
      </c>
      <c r="AO755" s="9" t="s">
        <v>169</v>
      </c>
      <c r="AP755" s="9" t="s">
        <v>169</v>
      </c>
      <c r="AQ755" s="9" t="s">
        <v>169</v>
      </c>
      <c r="AR755" s="9" t="s">
        <v>169</v>
      </c>
      <c r="AS755" s="8" t="s">
        <v>169</v>
      </c>
      <c r="AT755" s="8" t="s">
        <v>169</v>
      </c>
      <c r="AU755" s="10" t="s">
        <v>169</v>
      </c>
      <c r="AV755" s="10">
        <v>0</v>
      </c>
      <c r="AW755" s="10" t="s">
        <v>169</v>
      </c>
      <c r="AX755" s="10" t="s">
        <v>169</v>
      </c>
      <c r="AY755" s="10"/>
      <c r="AZ755" s="10"/>
      <c r="BA755" s="10"/>
      <c r="BB755" s="8"/>
      <c r="BC755" s="8"/>
      <c r="BD755" s="8"/>
      <c r="BE755" s="8"/>
      <c r="BF755" s="12">
        <v>0.38</v>
      </c>
      <c r="BG755" s="13">
        <v>280.64051040935101</v>
      </c>
      <c r="BH755" s="96" t="str">
        <f>+VLOOKUP(G755,Liste!$A$7:$G$50,3,FALSE)</f>
        <v>Sapin pectiné</v>
      </c>
      <c r="BI755" s="96" t="str">
        <f>+VLOOKUP(H755,Liste!$B$7:$G$50,5,FALSE)</f>
        <v>GS Arc Jurassien</v>
      </c>
      <c r="BJ755" s="135">
        <f t="shared" si="225"/>
        <v>83</v>
      </c>
      <c r="BK755" s="135" t="str">
        <f t="shared" si="227"/>
        <v>Sapin pectiné_F2_Cas général_GS Arc Jurassien_83_</v>
      </c>
      <c r="BL755" s="322"/>
      <c r="BM755" s="13">
        <v>71.559599515318098</v>
      </c>
      <c r="BN755" s="13">
        <v>352.20010992466899</v>
      </c>
      <c r="BO755" s="13" t="s">
        <v>169</v>
      </c>
      <c r="BP755" s="13">
        <v>306.131842885666</v>
      </c>
      <c r="BQ755" s="13" t="s">
        <v>169</v>
      </c>
      <c r="BT755" s="298" t="str">
        <f>+VLOOKUP(G755,Liste!$A$7:$H$50,8,FALSE)</f>
        <v>Résineux</v>
      </c>
      <c r="BU755" s="298">
        <f t="shared" si="228"/>
        <v>0</v>
      </c>
      <c r="BV755" s="300">
        <f t="shared" si="229"/>
        <v>1</v>
      </c>
      <c r="BW755" s="321">
        <v>0</v>
      </c>
      <c r="BX755" s="298">
        <f t="shared" si="230"/>
        <v>0.43</v>
      </c>
      <c r="BY755">
        <f t="shared" si="231"/>
        <v>0</v>
      </c>
      <c r="BZ755" s="304">
        <f t="shared" si="232"/>
        <v>0</v>
      </c>
      <c r="CB755" s="299">
        <v>0.6</v>
      </c>
      <c r="CC755" s="299">
        <v>0.4</v>
      </c>
      <c r="CD755">
        <f t="shared" si="233"/>
        <v>0</v>
      </c>
      <c r="CE755">
        <f t="shared" si="234"/>
        <v>0</v>
      </c>
      <c r="CF755">
        <f t="shared" si="235"/>
        <v>0</v>
      </c>
      <c r="CG755">
        <f t="shared" si="236"/>
        <v>0</v>
      </c>
      <c r="CH755">
        <f t="shared" si="237"/>
        <v>0</v>
      </c>
      <c r="CI755">
        <f t="shared" si="238"/>
        <v>0</v>
      </c>
      <c r="CJ755">
        <f t="shared" si="239"/>
        <v>0</v>
      </c>
      <c r="CK755">
        <f t="shared" si="240"/>
        <v>0</v>
      </c>
      <c r="CL755">
        <f t="shared" si="241"/>
        <v>0</v>
      </c>
      <c r="CM755">
        <f t="shared" si="243"/>
        <v>0</v>
      </c>
      <c r="CN755">
        <f t="shared" si="242"/>
        <v>0</v>
      </c>
      <c r="CO755">
        <f t="shared" si="226"/>
        <v>0</v>
      </c>
    </row>
    <row r="756" spans="1:93" s="12" customFormat="1" x14ac:dyDescent="0.25">
      <c r="A756" s="4">
        <v>2013</v>
      </c>
      <c r="B756" s="318">
        <v>44265</v>
      </c>
      <c r="C756" s="4" t="s">
        <v>430</v>
      </c>
      <c r="D756" s="4" t="s">
        <v>431</v>
      </c>
      <c r="E756" s="4"/>
      <c r="F756" s="4" t="s">
        <v>1493</v>
      </c>
      <c r="G756" s="5" t="s">
        <v>432</v>
      </c>
      <c r="H756" s="5" t="s">
        <v>185</v>
      </c>
      <c r="I756" s="5" t="s">
        <v>222</v>
      </c>
      <c r="J756" s="5" t="s">
        <v>10</v>
      </c>
      <c r="K756" s="5">
        <v>15.5</v>
      </c>
      <c r="L756" s="5" t="s">
        <v>190</v>
      </c>
      <c r="M756" s="5">
        <v>2000</v>
      </c>
      <c r="N756" s="5" t="s">
        <v>171</v>
      </c>
      <c r="O756" s="6" t="s">
        <v>81</v>
      </c>
      <c r="P756" s="6" t="s">
        <v>186</v>
      </c>
      <c r="Q756" s="6"/>
      <c r="R756" s="6"/>
      <c r="S756" s="6">
        <v>57</v>
      </c>
      <c r="T756" s="6">
        <v>18.22</v>
      </c>
      <c r="U756" s="6">
        <v>1862</v>
      </c>
      <c r="V756" s="6">
        <v>45.64</v>
      </c>
      <c r="W756" s="6">
        <v>0</v>
      </c>
      <c r="X756" s="6">
        <v>0</v>
      </c>
      <c r="Y756" s="6">
        <v>1085</v>
      </c>
      <c r="Z756" s="6">
        <v>663</v>
      </c>
      <c r="AA756" s="6">
        <v>114</v>
      </c>
      <c r="AB756" s="6">
        <v>0</v>
      </c>
      <c r="AC756" s="7">
        <v>84</v>
      </c>
      <c r="AD756" s="7" t="s">
        <v>52</v>
      </c>
      <c r="AE756" s="9">
        <v>26.418457044598799</v>
      </c>
      <c r="AF756" s="7">
        <v>429</v>
      </c>
      <c r="AG756" s="7">
        <v>30.55</v>
      </c>
      <c r="AH756" s="9">
        <v>30.109237613284499</v>
      </c>
      <c r="AI756" s="9">
        <v>34.9116232558615</v>
      </c>
      <c r="AJ756" s="9">
        <v>385.12868644356598</v>
      </c>
      <c r="AK756" s="9">
        <v>386.53951475923498</v>
      </c>
      <c r="AL756" s="9">
        <v>439.44698098427699</v>
      </c>
      <c r="AM756" s="9" t="s">
        <v>169</v>
      </c>
      <c r="AN756" s="9" t="s">
        <v>169</v>
      </c>
      <c r="AO756" s="9" t="s">
        <v>169</v>
      </c>
      <c r="AP756" s="9" t="s">
        <v>169</v>
      </c>
      <c r="AQ756" s="9" t="s">
        <v>169</v>
      </c>
      <c r="AR756" s="9" t="s">
        <v>169</v>
      </c>
      <c r="AS756" s="8" t="s">
        <v>169</v>
      </c>
      <c r="AT756" s="8" t="s">
        <v>169</v>
      </c>
      <c r="AU756" s="10" t="s">
        <v>169</v>
      </c>
      <c r="AV756" s="10">
        <v>0</v>
      </c>
      <c r="AW756" s="10" t="s">
        <v>169</v>
      </c>
      <c r="AX756" s="10" t="s">
        <v>169</v>
      </c>
      <c r="AY756" s="10"/>
      <c r="AZ756" s="10"/>
      <c r="BA756" s="10"/>
      <c r="BB756" s="8"/>
      <c r="BC756" s="8"/>
      <c r="BD756" s="8"/>
      <c r="BE756" s="8"/>
      <c r="BF756" s="12">
        <v>0.38</v>
      </c>
      <c r="BG756" s="13">
        <v>290.84066024809403</v>
      </c>
      <c r="BH756" s="96" t="str">
        <f>+VLOOKUP(G756,Liste!$A$7:$G$50,3,FALSE)</f>
        <v>Sapin pectiné</v>
      </c>
      <c r="BI756" s="96" t="str">
        <f>+VLOOKUP(H756,Liste!$B$7:$G$50,5,FALSE)</f>
        <v>GS Arc Jurassien</v>
      </c>
      <c r="BJ756" s="135">
        <f t="shared" si="225"/>
        <v>84</v>
      </c>
      <c r="BK756" s="135" t="str">
        <f t="shared" si="227"/>
        <v>Sapin pectiné_F2_Cas général_GS Arc Jurassien_84_</v>
      </c>
      <c r="BL756" s="322"/>
      <c r="BM756" s="13">
        <v>73.858645927267901</v>
      </c>
      <c r="BN756" s="13">
        <v>364.69930617536198</v>
      </c>
      <c r="BO756" s="13" t="s">
        <v>169</v>
      </c>
      <c r="BP756" s="13">
        <v>306.131842885666</v>
      </c>
      <c r="BQ756" s="13" t="s">
        <v>169</v>
      </c>
      <c r="BT756" s="298" t="str">
        <f>+VLOOKUP(G756,Liste!$A$7:$H$50,8,FALSE)</f>
        <v>Résineux</v>
      </c>
      <c r="BU756" s="298">
        <f t="shared" si="228"/>
        <v>0</v>
      </c>
      <c r="BV756" s="300">
        <f t="shared" si="229"/>
        <v>1</v>
      </c>
      <c r="BW756" s="321">
        <v>0</v>
      </c>
      <c r="BX756" s="298">
        <f t="shared" si="230"/>
        <v>0.43</v>
      </c>
      <c r="BY756">
        <f t="shared" si="231"/>
        <v>0</v>
      </c>
      <c r="BZ756" s="304">
        <f t="shared" si="232"/>
        <v>0</v>
      </c>
      <c r="CB756" s="299">
        <v>0.6</v>
      </c>
      <c r="CC756" s="299">
        <v>0.4</v>
      </c>
      <c r="CD756">
        <f t="shared" si="233"/>
        <v>0</v>
      </c>
      <c r="CE756">
        <f t="shared" si="234"/>
        <v>0</v>
      </c>
      <c r="CF756">
        <f t="shared" si="235"/>
        <v>0</v>
      </c>
      <c r="CG756">
        <f t="shared" si="236"/>
        <v>0</v>
      </c>
      <c r="CH756">
        <f t="shared" si="237"/>
        <v>0</v>
      </c>
      <c r="CI756">
        <f t="shared" si="238"/>
        <v>0</v>
      </c>
      <c r="CJ756">
        <f t="shared" si="239"/>
        <v>0</v>
      </c>
      <c r="CK756">
        <f t="shared" si="240"/>
        <v>0</v>
      </c>
      <c r="CL756">
        <f t="shared" si="241"/>
        <v>0</v>
      </c>
      <c r="CM756">
        <f t="shared" si="243"/>
        <v>0</v>
      </c>
      <c r="CN756">
        <f t="shared" si="242"/>
        <v>0</v>
      </c>
      <c r="CO756">
        <f t="shared" si="226"/>
        <v>0</v>
      </c>
    </row>
    <row r="757" spans="1:93" s="12" customFormat="1" x14ac:dyDescent="0.25">
      <c r="A757" s="4">
        <v>2013</v>
      </c>
      <c r="B757" s="318">
        <v>44265</v>
      </c>
      <c r="C757" s="4" t="s">
        <v>430</v>
      </c>
      <c r="D757" s="4" t="s">
        <v>431</v>
      </c>
      <c r="E757" s="4"/>
      <c r="F757" s="4" t="s">
        <v>1493</v>
      </c>
      <c r="G757" s="5" t="s">
        <v>432</v>
      </c>
      <c r="H757" s="5" t="s">
        <v>185</v>
      </c>
      <c r="I757" s="5" t="s">
        <v>222</v>
      </c>
      <c r="J757" s="5" t="s">
        <v>10</v>
      </c>
      <c r="K757" s="5">
        <v>15.5</v>
      </c>
      <c r="L757" s="5" t="s">
        <v>190</v>
      </c>
      <c r="M757" s="5">
        <v>2000</v>
      </c>
      <c r="N757" s="5" t="s">
        <v>171</v>
      </c>
      <c r="O757" s="6" t="s">
        <v>81</v>
      </c>
      <c r="P757" s="6" t="s">
        <v>186</v>
      </c>
      <c r="Q757" s="6"/>
      <c r="R757" s="6"/>
      <c r="S757" s="6">
        <v>57</v>
      </c>
      <c r="T757" s="6">
        <v>18.22</v>
      </c>
      <c r="U757" s="6">
        <v>1862</v>
      </c>
      <c r="V757" s="6">
        <v>45.64</v>
      </c>
      <c r="W757" s="6">
        <v>0</v>
      </c>
      <c r="X757" s="6">
        <v>0</v>
      </c>
      <c r="Y757" s="6">
        <v>1085</v>
      </c>
      <c r="Z757" s="6">
        <v>663</v>
      </c>
      <c r="AA757" s="6">
        <v>114</v>
      </c>
      <c r="AB757" s="6">
        <v>0</v>
      </c>
      <c r="AC757" s="7">
        <v>85</v>
      </c>
      <c r="AD757" s="7" t="s">
        <v>52</v>
      </c>
      <c r="AE757" s="9">
        <v>26.666069778348799</v>
      </c>
      <c r="AF757" s="7">
        <v>429</v>
      </c>
      <c r="AG757" s="7">
        <v>31.34</v>
      </c>
      <c r="AH757" s="9">
        <v>30.498524804769701</v>
      </c>
      <c r="AI757" s="9">
        <v>35.348968819103803</v>
      </c>
      <c r="AJ757" s="9">
        <v>399.409233482589</v>
      </c>
      <c r="AK757" s="9">
        <v>400.87061528169698</v>
      </c>
      <c r="AL757" s="9">
        <v>454.85894246311301</v>
      </c>
      <c r="AM757" s="9">
        <v>73.474880898939404</v>
      </c>
      <c r="AN757" s="9">
        <v>0.86441036351693501</v>
      </c>
      <c r="AO757" s="9">
        <v>0.77564911361580202</v>
      </c>
      <c r="AP757" s="9">
        <v>934.46635815229604</v>
      </c>
      <c r="AQ757" s="9">
        <v>10.993721860615199</v>
      </c>
      <c r="AR757" s="9">
        <v>15.289758853601301</v>
      </c>
      <c r="AS757" s="8" t="s">
        <v>169</v>
      </c>
      <c r="AT757" s="8" t="s">
        <v>169</v>
      </c>
      <c r="AU757" s="10" t="s">
        <v>169</v>
      </c>
      <c r="AV757" s="10">
        <v>0</v>
      </c>
      <c r="AW757" s="10" t="s">
        <v>169</v>
      </c>
      <c r="AX757" s="10" t="s">
        <v>169</v>
      </c>
      <c r="AY757" s="10"/>
      <c r="AZ757" s="10"/>
      <c r="BA757" s="10"/>
      <c r="BB757" s="8"/>
      <c r="BC757" s="8"/>
      <c r="BD757" s="8"/>
      <c r="BE757" s="8"/>
      <c r="BF757" s="12">
        <v>0.38</v>
      </c>
      <c r="BG757" s="13">
        <v>301.04081008683698</v>
      </c>
      <c r="BH757" s="96" t="str">
        <f>+VLOOKUP(G757,Liste!$A$7:$G$50,3,FALSE)</f>
        <v>Sapin pectiné</v>
      </c>
      <c r="BI757" s="96" t="str">
        <f>+VLOOKUP(H757,Liste!$B$7:$G$50,5,FALSE)</f>
        <v>GS Arc Jurassien</v>
      </c>
      <c r="BJ757" s="135">
        <f t="shared" si="225"/>
        <v>85</v>
      </c>
      <c r="BK757" s="135" t="str">
        <f t="shared" si="227"/>
        <v>Sapin pectiné_F2_Cas général_GS Arc Jurassien_85_</v>
      </c>
      <c r="BL757" s="322"/>
      <c r="BM757" s="13">
        <v>76.157692339217803</v>
      </c>
      <c r="BN757" s="13">
        <v>377.19850242605497</v>
      </c>
      <c r="BO757" s="13" t="s">
        <v>169</v>
      </c>
      <c r="BP757" s="13">
        <v>306.131842885666</v>
      </c>
      <c r="BQ757" s="13">
        <v>12.1898162472778</v>
      </c>
      <c r="BT757" s="298" t="str">
        <f>+VLOOKUP(G757,Liste!$A$7:$H$50,8,FALSE)</f>
        <v>Résineux</v>
      </c>
      <c r="BU757" s="298">
        <f t="shared" si="228"/>
        <v>0</v>
      </c>
      <c r="BV757" s="300">
        <f t="shared" si="229"/>
        <v>1</v>
      </c>
      <c r="BW757" s="321">
        <v>0</v>
      </c>
      <c r="BX757" s="298">
        <f t="shared" si="230"/>
        <v>0.43</v>
      </c>
      <c r="BY757">
        <f t="shared" si="231"/>
        <v>0</v>
      </c>
      <c r="BZ757" s="304">
        <f t="shared" si="232"/>
        <v>0</v>
      </c>
      <c r="CB757" s="299">
        <v>0.6</v>
      </c>
      <c r="CC757" s="299">
        <v>0.4</v>
      </c>
      <c r="CD757">
        <f t="shared" si="233"/>
        <v>0</v>
      </c>
      <c r="CE757">
        <f t="shared" si="234"/>
        <v>0</v>
      </c>
      <c r="CF757">
        <f t="shared" si="235"/>
        <v>0</v>
      </c>
      <c r="CG757">
        <f t="shared" si="236"/>
        <v>0</v>
      </c>
      <c r="CH757">
        <f t="shared" si="237"/>
        <v>0</v>
      </c>
      <c r="CI757">
        <f t="shared" si="238"/>
        <v>0</v>
      </c>
      <c r="CJ757">
        <f t="shared" si="239"/>
        <v>0</v>
      </c>
      <c r="CK757">
        <f t="shared" si="240"/>
        <v>0</v>
      </c>
      <c r="CL757">
        <f t="shared" si="241"/>
        <v>0</v>
      </c>
      <c r="CM757">
        <f t="shared" si="243"/>
        <v>0</v>
      </c>
      <c r="CN757">
        <f t="shared" si="242"/>
        <v>0</v>
      </c>
      <c r="CO757">
        <f t="shared" si="226"/>
        <v>0</v>
      </c>
    </row>
    <row r="758" spans="1:93" s="12" customFormat="1" x14ac:dyDescent="0.25">
      <c r="A758" s="4">
        <v>2013</v>
      </c>
      <c r="B758" s="318">
        <v>44265</v>
      </c>
      <c r="C758" s="4" t="s">
        <v>430</v>
      </c>
      <c r="D758" s="4" t="s">
        <v>431</v>
      </c>
      <c r="E758" s="4"/>
      <c r="F758" s="4" t="s">
        <v>1493</v>
      </c>
      <c r="G758" s="5" t="s">
        <v>432</v>
      </c>
      <c r="H758" s="5" t="s">
        <v>185</v>
      </c>
      <c r="I758" s="5" t="s">
        <v>222</v>
      </c>
      <c r="J758" s="5" t="s">
        <v>10</v>
      </c>
      <c r="K758" s="5">
        <v>15.5</v>
      </c>
      <c r="L758" s="5" t="s">
        <v>190</v>
      </c>
      <c r="M758" s="5">
        <v>2000</v>
      </c>
      <c r="N758" s="5" t="s">
        <v>171</v>
      </c>
      <c r="O758" s="6" t="s">
        <v>81</v>
      </c>
      <c r="P758" s="6" t="s">
        <v>186</v>
      </c>
      <c r="Q758" s="6"/>
      <c r="R758" s="6"/>
      <c r="S758" s="6">
        <v>57</v>
      </c>
      <c r="T758" s="6">
        <v>18.22</v>
      </c>
      <c r="U758" s="6">
        <v>1862</v>
      </c>
      <c r="V758" s="6">
        <v>45.64</v>
      </c>
      <c r="W758" s="6">
        <v>0</v>
      </c>
      <c r="X758" s="6">
        <v>0</v>
      </c>
      <c r="Y758" s="6">
        <v>1085</v>
      </c>
      <c r="Z758" s="6">
        <v>663</v>
      </c>
      <c r="AA758" s="6">
        <v>114</v>
      </c>
      <c r="AB758" s="6">
        <v>0</v>
      </c>
      <c r="AC758" s="7">
        <v>86</v>
      </c>
      <c r="AD758" s="7" t="s">
        <v>52</v>
      </c>
      <c r="AE758" s="9">
        <v>26.910260140394701</v>
      </c>
      <c r="AF758" s="7">
        <v>429</v>
      </c>
      <c r="AG758" s="7">
        <v>32.130000000000003</v>
      </c>
      <c r="AH758" s="9">
        <v>30.879851424558399</v>
      </c>
      <c r="AI758" s="9">
        <v>35.776450867758001</v>
      </c>
      <c r="AJ758" s="9">
        <v>413.64400401757399</v>
      </c>
      <c r="AK758" s="9">
        <v>415.15476259302898</v>
      </c>
      <c r="AL758" s="9">
        <v>470.14870131671398</v>
      </c>
      <c r="AM758" s="9" t="s">
        <v>169</v>
      </c>
      <c r="AN758" s="9" t="s">
        <v>169</v>
      </c>
      <c r="AO758" s="9" t="s">
        <v>169</v>
      </c>
      <c r="AP758" s="9" t="s">
        <v>169</v>
      </c>
      <c r="AQ758" s="9" t="s">
        <v>169</v>
      </c>
      <c r="AR758" s="9" t="s">
        <v>169</v>
      </c>
      <c r="AS758" s="8" t="s">
        <v>169</v>
      </c>
      <c r="AT758" s="8" t="s">
        <v>169</v>
      </c>
      <c r="AU758" s="10" t="s">
        <v>169</v>
      </c>
      <c r="AV758" s="10">
        <v>0</v>
      </c>
      <c r="AW758" s="10" t="s">
        <v>169</v>
      </c>
      <c r="AX758" s="10" t="s">
        <v>169</v>
      </c>
      <c r="AY758" s="10"/>
      <c r="AZ758" s="10"/>
      <c r="BA758" s="10"/>
      <c r="BB758" s="8"/>
      <c r="BC758" s="8"/>
      <c r="BD758" s="8"/>
      <c r="BE758" s="8"/>
      <c r="BF758" s="12">
        <v>0.38</v>
      </c>
      <c r="BG758" s="13">
        <v>311.16008215477899</v>
      </c>
      <c r="BH758" s="96" t="str">
        <f>+VLOOKUP(G758,Liste!$A$7:$G$50,3,FALSE)</f>
        <v>Sapin pectiné</v>
      </c>
      <c r="BI758" s="96" t="str">
        <f>+VLOOKUP(H758,Liste!$B$7:$G$50,5,FALSE)</f>
        <v>GS Arc Jurassien</v>
      </c>
      <c r="BJ758" s="135">
        <f t="shared" si="225"/>
        <v>86</v>
      </c>
      <c r="BK758" s="135" t="str">
        <f t="shared" si="227"/>
        <v>Sapin pectiné_F2_Cas général_GS Arc Jurassien_86_</v>
      </c>
      <c r="BL758" s="322"/>
      <c r="BM758" s="13">
        <v>78.398842428758698</v>
      </c>
      <c r="BN758" s="13">
        <v>389.55892458353702</v>
      </c>
      <c r="BO758" s="13" t="s">
        <v>169</v>
      </c>
      <c r="BP758" s="13">
        <v>306.131842885666</v>
      </c>
      <c r="BQ758" s="13" t="s">
        <v>169</v>
      </c>
      <c r="BT758" s="298" t="str">
        <f>+VLOOKUP(G758,Liste!$A$7:$H$50,8,FALSE)</f>
        <v>Résineux</v>
      </c>
      <c r="BU758" s="298">
        <f t="shared" si="228"/>
        <v>0</v>
      </c>
      <c r="BV758" s="300">
        <f t="shared" si="229"/>
        <v>1</v>
      </c>
      <c r="BW758" s="321">
        <v>0</v>
      </c>
      <c r="BX758" s="298">
        <f t="shared" si="230"/>
        <v>0.43</v>
      </c>
      <c r="BY758">
        <f t="shared" si="231"/>
        <v>0</v>
      </c>
      <c r="BZ758" s="304">
        <f t="shared" si="232"/>
        <v>0</v>
      </c>
      <c r="CB758" s="299">
        <v>0.6</v>
      </c>
      <c r="CC758" s="299">
        <v>0.4</v>
      </c>
      <c r="CD758">
        <f t="shared" si="233"/>
        <v>0</v>
      </c>
      <c r="CE758">
        <f t="shared" si="234"/>
        <v>0</v>
      </c>
      <c r="CF758">
        <f t="shared" si="235"/>
        <v>0</v>
      </c>
      <c r="CG758">
        <f t="shared" si="236"/>
        <v>0</v>
      </c>
      <c r="CH758">
        <f t="shared" si="237"/>
        <v>0</v>
      </c>
      <c r="CI758">
        <f t="shared" si="238"/>
        <v>0</v>
      </c>
      <c r="CJ758">
        <f t="shared" si="239"/>
        <v>0</v>
      </c>
      <c r="CK758">
        <f t="shared" si="240"/>
        <v>0</v>
      </c>
      <c r="CL758">
        <f t="shared" si="241"/>
        <v>0</v>
      </c>
      <c r="CM758">
        <f t="shared" si="243"/>
        <v>0</v>
      </c>
      <c r="CN758">
        <f t="shared" si="242"/>
        <v>0</v>
      </c>
      <c r="CO758">
        <f t="shared" si="226"/>
        <v>0</v>
      </c>
    </row>
    <row r="759" spans="1:93" s="12" customFormat="1" x14ac:dyDescent="0.25">
      <c r="A759" s="4">
        <v>2013</v>
      </c>
      <c r="B759" s="318">
        <v>44265</v>
      </c>
      <c r="C759" s="4" t="s">
        <v>430</v>
      </c>
      <c r="D759" s="4" t="s">
        <v>431</v>
      </c>
      <c r="E759" s="4"/>
      <c r="F759" s="4" t="s">
        <v>1493</v>
      </c>
      <c r="G759" s="5" t="s">
        <v>432</v>
      </c>
      <c r="H759" s="5" t="s">
        <v>185</v>
      </c>
      <c r="I759" s="5" t="s">
        <v>222</v>
      </c>
      <c r="J759" s="5" t="s">
        <v>10</v>
      </c>
      <c r="K759" s="5">
        <v>15.5</v>
      </c>
      <c r="L759" s="5" t="s">
        <v>190</v>
      </c>
      <c r="M759" s="5">
        <v>2000</v>
      </c>
      <c r="N759" s="5" t="s">
        <v>171</v>
      </c>
      <c r="O759" s="6" t="s">
        <v>81</v>
      </c>
      <c r="P759" s="6" t="s">
        <v>186</v>
      </c>
      <c r="Q759" s="6"/>
      <c r="R759" s="6"/>
      <c r="S759" s="6">
        <v>57</v>
      </c>
      <c r="T759" s="6">
        <v>18.22</v>
      </c>
      <c r="U759" s="6">
        <v>1862</v>
      </c>
      <c r="V759" s="6">
        <v>45.64</v>
      </c>
      <c r="W759" s="6">
        <v>0</v>
      </c>
      <c r="X759" s="6">
        <v>0</v>
      </c>
      <c r="Y759" s="6">
        <v>1085</v>
      </c>
      <c r="Z759" s="6">
        <v>663</v>
      </c>
      <c r="AA759" s="6">
        <v>114</v>
      </c>
      <c r="AB759" s="6">
        <v>0</v>
      </c>
      <c r="AC759" s="7">
        <v>87</v>
      </c>
      <c r="AD759" s="7" t="s">
        <v>52</v>
      </c>
      <c r="AE759" s="9">
        <v>27.151084746373201</v>
      </c>
      <c r="AF759" s="7">
        <v>429</v>
      </c>
      <c r="AG759" s="7">
        <v>32.909999999999997</v>
      </c>
      <c r="AH759" s="9">
        <v>31.253475727267499</v>
      </c>
      <c r="AI759" s="9">
        <v>36.194435683815399</v>
      </c>
      <c r="AJ759" s="9">
        <v>427.87877455255898</v>
      </c>
      <c r="AK759" s="9">
        <v>429.43890990436103</v>
      </c>
      <c r="AL759" s="9">
        <v>485.43846017031598</v>
      </c>
      <c r="AM759" s="9" t="s">
        <v>169</v>
      </c>
      <c r="AN759" s="9" t="s">
        <v>169</v>
      </c>
      <c r="AO759" s="9" t="s">
        <v>169</v>
      </c>
      <c r="AP759" s="9" t="s">
        <v>169</v>
      </c>
      <c r="AQ759" s="9" t="s">
        <v>169</v>
      </c>
      <c r="AR759" s="9" t="s">
        <v>169</v>
      </c>
      <c r="AS759" s="8" t="s">
        <v>169</v>
      </c>
      <c r="AT759" s="8" t="s">
        <v>169</v>
      </c>
      <c r="AU759" s="10" t="s">
        <v>169</v>
      </c>
      <c r="AV759" s="10">
        <v>0</v>
      </c>
      <c r="AW759" s="10" t="s">
        <v>169</v>
      </c>
      <c r="AX759" s="10" t="s">
        <v>169</v>
      </c>
      <c r="AY759" s="10"/>
      <c r="AZ759" s="10"/>
      <c r="BA759" s="10"/>
      <c r="BB759" s="8"/>
      <c r="BC759" s="8"/>
      <c r="BD759" s="8"/>
      <c r="BE759" s="8"/>
      <c r="BF759" s="12">
        <v>0.38</v>
      </c>
      <c r="BG759" s="13">
        <v>321.279354222721</v>
      </c>
      <c r="BH759" s="96" t="str">
        <f>+VLOOKUP(G759,Liste!$A$7:$G$50,3,FALSE)</f>
        <v>Sapin pectiné</v>
      </c>
      <c r="BI759" s="96" t="str">
        <f>+VLOOKUP(H759,Liste!$B$7:$G$50,5,FALSE)</f>
        <v>GS Arc Jurassien</v>
      </c>
      <c r="BJ759" s="135">
        <f t="shared" si="225"/>
        <v>87</v>
      </c>
      <c r="BK759" s="135" t="str">
        <f t="shared" si="227"/>
        <v>Sapin pectiné_F2_Cas général_GS Arc Jurassien_87_</v>
      </c>
      <c r="BL759" s="322"/>
      <c r="BM759" s="13">
        <v>80.639992518299593</v>
      </c>
      <c r="BN759" s="13">
        <v>401.91934674101998</v>
      </c>
      <c r="BO759" s="13" t="s">
        <v>169</v>
      </c>
      <c r="BP759" s="13">
        <v>306.131842885666</v>
      </c>
      <c r="BQ759" s="13" t="s">
        <v>169</v>
      </c>
      <c r="BT759" s="298" t="str">
        <f>+VLOOKUP(G759,Liste!$A$7:$H$50,8,FALSE)</f>
        <v>Résineux</v>
      </c>
      <c r="BU759" s="298">
        <f t="shared" si="228"/>
        <v>0</v>
      </c>
      <c r="BV759" s="300">
        <f t="shared" si="229"/>
        <v>1</v>
      </c>
      <c r="BW759" s="321">
        <v>0</v>
      </c>
      <c r="BX759" s="298">
        <f t="shared" si="230"/>
        <v>0.43</v>
      </c>
      <c r="BY759">
        <f t="shared" si="231"/>
        <v>0</v>
      </c>
      <c r="BZ759" s="304">
        <f t="shared" si="232"/>
        <v>0</v>
      </c>
      <c r="CB759" s="299">
        <v>0.6</v>
      </c>
      <c r="CC759" s="299">
        <v>0.4</v>
      </c>
      <c r="CD759">
        <f t="shared" si="233"/>
        <v>0</v>
      </c>
      <c r="CE759">
        <f t="shared" si="234"/>
        <v>0</v>
      </c>
      <c r="CF759">
        <f t="shared" si="235"/>
        <v>0</v>
      </c>
      <c r="CG759">
        <f t="shared" si="236"/>
        <v>0</v>
      </c>
      <c r="CH759">
        <f t="shared" si="237"/>
        <v>0</v>
      </c>
      <c r="CI759">
        <f t="shared" si="238"/>
        <v>0</v>
      </c>
      <c r="CJ759">
        <f t="shared" si="239"/>
        <v>0</v>
      </c>
      <c r="CK759">
        <f t="shared" si="240"/>
        <v>0</v>
      </c>
      <c r="CL759">
        <f t="shared" si="241"/>
        <v>0</v>
      </c>
      <c r="CM759">
        <f t="shared" si="243"/>
        <v>0</v>
      </c>
      <c r="CN759">
        <f t="shared" si="242"/>
        <v>0</v>
      </c>
      <c r="CO759">
        <f t="shared" si="226"/>
        <v>0</v>
      </c>
    </row>
    <row r="760" spans="1:93" s="12" customFormat="1" x14ac:dyDescent="0.25">
      <c r="A760" s="4">
        <v>2013</v>
      </c>
      <c r="B760" s="318">
        <v>44265</v>
      </c>
      <c r="C760" s="4" t="s">
        <v>430</v>
      </c>
      <c r="D760" s="4" t="s">
        <v>431</v>
      </c>
      <c r="E760" s="4"/>
      <c r="F760" s="4" t="s">
        <v>1493</v>
      </c>
      <c r="G760" s="5" t="s">
        <v>432</v>
      </c>
      <c r="H760" s="5" t="s">
        <v>185</v>
      </c>
      <c r="I760" s="5" t="s">
        <v>222</v>
      </c>
      <c r="J760" s="5" t="s">
        <v>10</v>
      </c>
      <c r="K760" s="5">
        <v>15.5</v>
      </c>
      <c r="L760" s="5" t="s">
        <v>190</v>
      </c>
      <c r="M760" s="5">
        <v>2000</v>
      </c>
      <c r="N760" s="5" t="s">
        <v>171</v>
      </c>
      <c r="O760" s="6" t="s">
        <v>81</v>
      </c>
      <c r="P760" s="6" t="s">
        <v>186</v>
      </c>
      <c r="Q760" s="6"/>
      <c r="R760" s="6"/>
      <c r="S760" s="6">
        <v>57</v>
      </c>
      <c r="T760" s="6">
        <v>18.22</v>
      </c>
      <c r="U760" s="6">
        <v>1862</v>
      </c>
      <c r="V760" s="6">
        <v>45.64</v>
      </c>
      <c r="W760" s="6">
        <v>0</v>
      </c>
      <c r="X760" s="6">
        <v>0</v>
      </c>
      <c r="Y760" s="6">
        <v>1085</v>
      </c>
      <c r="Z760" s="6">
        <v>663</v>
      </c>
      <c r="AA760" s="6">
        <v>114</v>
      </c>
      <c r="AB760" s="6">
        <v>0</v>
      </c>
      <c r="AC760" s="7">
        <v>88</v>
      </c>
      <c r="AD760" s="7" t="s">
        <v>52</v>
      </c>
      <c r="AE760" s="9">
        <v>27.3885995671172</v>
      </c>
      <c r="AF760" s="7">
        <v>429</v>
      </c>
      <c r="AG760" s="7">
        <v>33.69</v>
      </c>
      <c r="AH760" s="9">
        <v>31.6196433178728</v>
      </c>
      <c r="AI760" s="9">
        <v>36.603269544147402</v>
      </c>
      <c r="AJ760" s="9">
        <v>442.11354508754403</v>
      </c>
      <c r="AK760" s="9">
        <v>443.72305721569398</v>
      </c>
      <c r="AL760" s="9">
        <v>500.72821902391701</v>
      </c>
      <c r="AM760" s="9" t="s">
        <v>169</v>
      </c>
      <c r="AN760" s="9" t="s">
        <v>169</v>
      </c>
      <c r="AO760" s="9" t="s">
        <v>169</v>
      </c>
      <c r="AP760" s="9" t="s">
        <v>169</v>
      </c>
      <c r="AQ760" s="9" t="s">
        <v>169</v>
      </c>
      <c r="AR760" s="9" t="s">
        <v>169</v>
      </c>
      <c r="AS760" s="8" t="s">
        <v>169</v>
      </c>
      <c r="AT760" s="8" t="s">
        <v>169</v>
      </c>
      <c r="AU760" s="10" t="s">
        <v>169</v>
      </c>
      <c r="AV760" s="10">
        <v>0</v>
      </c>
      <c r="AW760" s="10" t="s">
        <v>169</v>
      </c>
      <c r="AX760" s="10" t="s">
        <v>169</v>
      </c>
      <c r="AY760" s="10"/>
      <c r="AZ760" s="10"/>
      <c r="BA760" s="10"/>
      <c r="BB760" s="8"/>
      <c r="BC760" s="8"/>
      <c r="BD760" s="8"/>
      <c r="BE760" s="8"/>
      <c r="BF760" s="12">
        <v>0.38</v>
      </c>
      <c r="BG760" s="13">
        <v>331.39862629066198</v>
      </c>
      <c r="BH760" s="96" t="str">
        <f>+VLOOKUP(G760,Liste!$A$7:$G$50,3,FALSE)</f>
        <v>Sapin pectiné</v>
      </c>
      <c r="BI760" s="96" t="str">
        <f>+VLOOKUP(H760,Liste!$B$7:$G$50,5,FALSE)</f>
        <v>GS Arc Jurassien</v>
      </c>
      <c r="BJ760" s="135">
        <f t="shared" si="225"/>
        <v>88</v>
      </c>
      <c r="BK760" s="135" t="str">
        <f t="shared" si="227"/>
        <v>Sapin pectiné_F2_Cas général_GS Arc Jurassien_88_</v>
      </c>
      <c r="BL760" s="322"/>
      <c r="BM760" s="13">
        <v>82.881142607840502</v>
      </c>
      <c r="BN760" s="13">
        <v>414.27976889850299</v>
      </c>
      <c r="BO760" s="13" t="s">
        <v>169</v>
      </c>
      <c r="BP760" s="13">
        <v>306.131842885666</v>
      </c>
      <c r="BQ760" s="13" t="s">
        <v>169</v>
      </c>
      <c r="BT760" s="298" t="str">
        <f>+VLOOKUP(G760,Liste!$A$7:$H$50,8,FALSE)</f>
        <v>Résineux</v>
      </c>
      <c r="BU760" s="298">
        <f t="shared" si="228"/>
        <v>0</v>
      </c>
      <c r="BV760" s="300">
        <f t="shared" si="229"/>
        <v>1</v>
      </c>
      <c r="BW760" s="321">
        <v>0</v>
      </c>
      <c r="BX760" s="298">
        <f t="shared" si="230"/>
        <v>0.43</v>
      </c>
      <c r="BY760">
        <f t="shared" si="231"/>
        <v>0</v>
      </c>
      <c r="BZ760" s="304">
        <f t="shared" si="232"/>
        <v>0</v>
      </c>
      <c r="CB760" s="299">
        <v>0.6</v>
      </c>
      <c r="CC760" s="299">
        <v>0.4</v>
      </c>
      <c r="CD760">
        <f t="shared" si="233"/>
        <v>0</v>
      </c>
      <c r="CE760">
        <f t="shared" si="234"/>
        <v>0</v>
      </c>
      <c r="CF760">
        <f t="shared" si="235"/>
        <v>0</v>
      </c>
      <c r="CG760">
        <f t="shared" si="236"/>
        <v>0</v>
      </c>
      <c r="CH760">
        <f t="shared" si="237"/>
        <v>0</v>
      </c>
      <c r="CI760">
        <f t="shared" si="238"/>
        <v>0</v>
      </c>
      <c r="CJ760">
        <f t="shared" si="239"/>
        <v>0</v>
      </c>
      <c r="CK760">
        <f t="shared" si="240"/>
        <v>0</v>
      </c>
      <c r="CL760">
        <f t="shared" si="241"/>
        <v>0</v>
      </c>
      <c r="CM760">
        <f t="shared" si="243"/>
        <v>0</v>
      </c>
      <c r="CN760">
        <f t="shared" si="242"/>
        <v>0</v>
      </c>
      <c r="CO760">
        <f t="shared" si="226"/>
        <v>0</v>
      </c>
    </row>
    <row r="761" spans="1:93" s="12" customFormat="1" x14ac:dyDescent="0.25">
      <c r="A761" s="4">
        <v>2013</v>
      </c>
      <c r="B761" s="318">
        <v>44265</v>
      </c>
      <c r="C761" s="4" t="s">
        <v>430</v>
      </c>
      <c r="D761" s="4" t="s">
        <v>431</v>
      </c>
      <c r="E761" s="4"/>
      <c r="F761" s="4" t="s">
        <v>1493</v>
      </c>
      <c r="G761" s="5" t="s">
        <v>432</v>
      </c>
      <c r="H761" s="5" t="s">
        <v>185</v>
      </c>
      <c r="I761" s="5" t="s">
        <v>222</v>
      </c>
      <c r="J761" s="5" t="s">
        <v>10</v>
      </c>
      <c r="K761" s="5">
        <v>15.5</v>
      </c>
      <c r="L761" s="5" t="s">
        <v>190</v>
      </c>
      <c r="M761" s="5">
        <v>2000</v>
      </c>
      <c r="N761" s="5" t="s">
        <v>171</v>
      </c>
      <c r="O761" s="6" t="s">
        <v>81</v>
      </c>
      <c r="P761" s="6" t="s">
        <v>186</v>
      </c>
      <c r="Q761" s="6"/>
      <c r="R761" s="6"/>
      <c r="S761" s="6">
        <v>57</v>
      </c>
      <c r="T761" s="6">
        <v>18.22</v>
      </c>
      <c r="U761" s="6">
        <v>1862</v>
      </c>
      <c r="V761" s="6">
        <v>45.64</v>
      </c>
      <c r="W761" s="6">
        <v>0</v>
      </c>
      <c r="X761" s="6">
        <v>0</v>
      </c>
      <c r="Y761" s="6">
        <v>1085</v>
      </c>
      <c r="Z761" s="6">
        <v>663</v>
      </c>
      <c r="AA761" s="6">
        <v>114</v>
      </c>
      <c r="AB761" s="6">
        <v>0</v>
      </c>
      <c r="AC761" s="7">
        <v>89</v>
      </c>
      <c r="AD761" s="7" t="s">
        <v>52</v>
      </c>
      <c r="AE761" s="9">
        <v>27.622859896572901</v>
      </c>
      <c r="AF761" s="7">
        <v>429</v>
      </c>
      <c r="AG761" s="7">
        <v>34.46</v>
      </c>
      <c r="AH761" s="9">
        <v>31.978588225263099</v>
      </c>
      <c r="AI761" s="9">
        <v>37.003279613893099</v>
      </c>
      <c r="AJ761" s="9">
        <v>456.34831562252901</v>
      </c>
      <c r="AK761" s="9">
        <v>458.00720452702598</v>
      </c>
      <c r="AL761" s="9">
        <v>516.01797787751798</v>
      </c>
      <c r="AM761" s="9" t="s">
        <v>169</v>
      </c>
      <c r="AN761" s="9" t="s">
        <v>169</v>
      </c>
      <c r="AO761" s="9" t="s">
        <v>169</v>
      </c>
      <c r="AP761" s="9" t="s">
        <v>169</v>
      </c>
      <c r="AQ761" s="9" t="s">
        <v>169</v>
      </c>
      <c r="AR761" s="9" t="s">
        <v>169</v>
      </c>
      <c r="AS761" s="8" t="s">
        <v>169</v>
      </c>
      <c r="AT761" s="8" t="s">
        <v>169</v>
      </c>
      <c r="AU761" s="10" t="s">
        <v>169</v>
      </c>
      <c r="AV761" s="10">
        <v>0</v>
      </c>
      <c r="AW761" s="10" t="s">
        <v>169</v>
      </c>
      <c r="AX761" s="10" t="s">
        <v>169</v>
      </c>
      <c r="AY761" s="10"/>
      <c r="AZ761" s="10"/>
      <c r="BA761" s="10"/>
      <c r="BB761" s="8"/>
      <c r="BC761" s="8"/>
      <c r="BD761" s="8"/>
      <c r="BE761" s="8"/>
      <c r="BF761" s="12">
        <v>0.38</v>
      </c>
      <c r="BG761" s="13">
        <v>341.51789835860399</v>
      </c>
      <c r="BH761" s="96" t="str">
        <f>+VLOOKUP(G761,Liste!$A$7:$G$50,3,FALSE)</f>
        <v>Sapin pectiné</v>
      </c>
      <c r="BI761" s="96" t="str">
        <f>+VLOOKUP(H761,Liste!$B$7:$G$50,5,FALSE)</f>
        <v>GS Arc Jurassien</v>
      </c>
      <c r="BJ761" s="135">
        <f t="shared" si="225"/>
        <v>89</v>
      </c>
      <c r="BK761" s="135" t="str">
        <f t="shared" si="227"/>
        <v>Sapin pectiné_F2_Cas général_GS Arc Jurassien_89_</v>
      </c>
      <c r="BL761" s="322"/>
      <c r="BM761" s="13">
        <v>85.122292697381397</v>
      </c>
      <c r="BN761" s="13">
        <v>426.64019105598601</v>
      </c>
      <c r="BO761" s="13" t="s">
        <v>169</v>
      </c>
      <c r="BP761" s="13">
        <v>306.131842885666</v>
      </c>
      <c r="BQ761" s="13" t="s">
        <v>169</v>
      </c>
      <c r="BT761" s="298" t="str">
        <f>+VLOOKUP(G761,Liste!$A$7:$H$50,8,FALSE)</f>
        <v>Résineux</v>
      </c>
      <c r="BU761" s="298">
        <f t="shared" si="228"/>
        <v>0</v>
      </c>
      <c r="BV761" s="300">
        <f t="shared" si="229"/>
        <v>1</v>
      </c>
      <c r="BW761" s="321">
        <v>0</v>
      </c>
      <c r="BX761" s="298">
        <f t="shared" si="230"/>
        <v>0.43</v>
      </c>
      <c r="BY761">
        <f t="shared" si="231"/>
        <v>0</v>
      </c>
      <c r="BZ761" s="304">
        <f t="shared" si="232"/>
        <v>0</v>
      </c>
      <c r="CB761" s="299">
        <v>0.6</v>
      </c>
      <c r="CC761" s="299">
        <v>0.4</v>
      </c>
      <c r="CD761">
        <f t="shared" si="233"/>
        <v>0</v>
      </c>
      <c r="CE761">
        <f t="shared" si="234"/>
        <v>0</v>
      </c>
      <c r="CF761">
        <f t="shared" si="235"/>
        <v>0</v>
      </c>
      <c r="CG761">
        <f t="shared" si="236"/>
        <v>0</v>
      </c>
      <c r="CH761">
        <f t="shared" si="237"/>
        <v>0</v>
      </c>
      <c r="CI761">
        <f t="shared" si="238"/>
        <v>0</v>
      </c>
      <c r="CJ761">
        <f t="shared" si="239"/>
        <v>0</v>
      </c>
      <c r="CK761">
        <f t="shared" si="240"/>
        <v>0</v>
      </c>
      <c r="CL761">
        <f t="shared" si="241"/>
        <v>0</v>
      </c>
      <c r="CM761">
        <f t="shared" si="243"/>
        <v>0</v>
      </c>
      <c r="CN761">
        <f t="shared" si="242"/>
        <v>0</v>
      </c>
      <c r="CO761">
        <f t="shared" si="226"/>
        <v>0</v>
      </c>
    </row>
    <row r="762" spans="1:93" s="12" customFormat="1" x14ac:dyDescent="0.25">
      <c r="A762" s="4">
        <v>2013</v>
      </c>
      <c r="B762" s="318">
        <v>44265</v>
      </c>
      <c r="C762" s="4" t="s">
        <v>430</v>
      </c>
      <c r="D762" s="4" t="s">
        <v>431</v>
      </c>
      <c r="E762" s="4"/>
      <c r="F762" s="4" t="s">
        <v>1493</v>
      </c>
      <c r="G762" s="5" t="s">
        <v>432</v>
      </c>
      <c r="H762" s="5" t="s">
        <v>185</v>
      </c>
      <c r="I762" s="5" t="s">
        <v>222</v>
      </c>
      <c r="J762" s="5" t="s">
        <v>10</v>
      </c>
      <c r="K762" s="5">
        <v>15.5</v>
      </c>
      <c r="L762" s="5" t="s">
        <v>190</v>
      </c>
      <c r="M762" s="5">
        <v>2000</v>
      </c>
      <c r="N762" s="5" t="s">
        <v>171</v>
      </c>
      <c r="O762" s="6" t="s">
        <v>81</v>
      </c>
      <c r="P762" s="6" t="s">
        <v>186</v>
      </c>
      <c r="Q762" s="6"/>
      <c r="R762" s="6"/>
      <c r="S762" s="6">
        <v>57</v>
      </c>
      <c r="T762" s="6">
        <v>18.22</v>
      </c>
      <c r="U762" s="6">
        <v>1862</v>
      </c>
      <c r="V762" s="6">
        <v>45.64</v>
      </c>
      <c r="W762" s="6">
        <v>0</v>
      </c>
      <c r="X762" s="6">
        <v>0</v>
      </c>
      <c r="Y762" s="6">
        <v>1085</v>
      </c>
      <c r="Z762" s="6">
        <v>663</v>
      </c>
      <c r="AA762" s="6">
        <v>114</v>
      </c>
      <c r="AB762" s="6">
        <v>0</v>
      </c>
      <c r="AC762" s="7">
        <v>90</v>
      </c>
      <c r="AD762" s="7" t="s">
        <v>52</v>
      </c>
      <c r="AE762" s="9">
        <v>27.853920324377299</v>
      </c>
      <c r="AF762" s="7">
        <v>429</v>
      </c>
      <c r="AG762" s="7">
        <v>35.22</v>
      </c>
      <c r="AH762" s="9">
        <v>32.330533705997297</v>
      </c>
      <c r="AI762" s="9">
        <v>37.394776198371297</v>
      </c>
      <c r="AJ762" s="9">
        <v>470.58308615751503</v>
      </c>
      <c r="AK762" s="9">
        <v>472.29135183835803</v>
      </c>
      <c r="AL762" s="9">
        <v>531.30773673112003</v>
      </c>
      <c r="AM762" s="9">
        <v>77.353126467018498</v>
      </c>
      <c r="AN762" s="9">
        <v>0.85947918296687198</v>
      </c>
      <c r="AO762" s="9">
        <v>0.70626955301344196</v>
      </c>
      <c r="AP762" s="9">
        <v>1010.9151524203</v>
      </c>
      <c r="AQ762" s="9">
        <v>11.232390582447801</v>
      </c>
      <c r="AR762" s="9">
        <v>14.217228510808599</v>
      </c>
      <c r="AS762" s="8" t="s">
        <v>169</v>
      </c>
      <c r="AT762" s="8" t="s">
        <v>169</v>
      </c>
      <c r="AU762" s="10" t="s">
        <v>169</v>
      </c>
      <c r="AV762" s="10">
        <v>0</v>
      </c>
      <c r="AW762" s="10" t="s">
        <v>169</v>
      </c>
      <c r="AX762" s="10" t="s">
        <v>169</v>
      </c>
      <c r="AY762" s="10"/>
      <c r="AZ762" s="10"/>
      <c r="BA762" s="10"/>
      <c r="BB762" s="8"/>
      <c r="BC762" s="8"/>
      <c r="BD762" s="8"/>
      <c r="BE762" s="8"/>
      <c r="BF762" s="12">
        <v>0.38</v>
      </c>
      <c r="BG762" s="13">
        <v>351.63717042654599</v>
      </c>
      <c r="BH762" s="96" t="str">
        <f>+VLOOKUP(G762,Liste!$A$7:$G$50,3,FALSE)</f>
        <v>Sapin pectiné</v>
      </c>
      <c r="BI762" s="96" t="str">
        <f>+VLOOKUP(H762,Liste!$B$7:$G$50,5,FALSE)</f>
        <v>GS Arc Jurassien</v>
      </c>
      <c r="BJ762" s="135">
        <f t="shared" si="225"/>
        <v>90</v>
      </c>
      <c r="BK762" s="135" t="str">
        <f t="shared" si="227"/>
        <v>Sapin pectiné_F2_Cas général_GS Arc Jurassien_90_</v>
      </c>
      <c r="BL762" s="322"/>
      <c r="BM762" s="13">
        <v>87.363442786922306</v>
      </c>
      <c r="BN762" s="13">
        <v>439.000613213468</v>
      </c>
      <c r="BO762" s="13" t="s">
        <v>169</v>
      </c>
      <c r="BP762" s="13">
        <v>306.131842885666</v>
      </c>
      <c r="BQ762" s="13">
        <v>11.319907074754401</v>
      </c>
      <c r="BT762" s="298" t="str">
        <f>+VLOOKUP(G762,Liste!$A$7:$H$50,8,FALSE)</f>
        <v>Résineux</v>
      </c>
      <c r="BU762" s="298">
        <f t="shared" si="228"/>
        <v>0</v>
      </c>
      <c r="BV762" s="300">
        <f t="shared" si="229"/>
        <v>1</v>
      </c>
      <c r="BW762" s="321">
        <v>0</v>
      </c>
      <c r="BX762" s="298">
        <f t="shared" si="230"/>
        <v>0.43</v>
      </c>
      <c r="BY762">
        <f t="shared" si="231"/>
        <v>0</v>
      </c>
      <c r="BZ762" s="304">
        <f t="shared" si="232"/>
        <v>0</v>
      </c>
      <c r="CB762" s="299">
        <v>0.6</v>
      </c>
      <c r="CC762" s="299">
        <v>0.4</v>
      </c>
      <c r="CD762">
        <f t="shared" si="233"/>
        <v>0</v>
      </c>
      <c r="CE762">
        <f t="shared" si="234"/>
        <v>0</v>
      </c>
      <c r="CF762">
        <f t="shared" si="235"/>
        <v>0</v>
      </c>
      <c r="CG762">
        <f t="shared" si="236"/>
        <v>0</v>
      </c>
      <c r="CH762">
        <f t="shared" si="237"/>
        <v>0</v>
      </c>
      <c r="CI762">
        <f t="shared" si="238"/>
        <v>0</v>
      </c>
      <c r="CJ762">
        <f t="shared" si="239"/>
        <v>0</v>
      </c>
      <c r="CK762">
        <f t="shared" si="240"/>
        <v>0</v>
      </c>
      <c r="CL762">
        <f t="shared" si="241"/>
        <v>0</v>
      </c>
      <c r="CM762">
        <f t="shared" si="243"/>
        <v>0</v>
      </c>
      <c r="CN762">
        <f t="shared" si="242"/>
        <v>0</v>
      </c>
      <c r="CO762">
        <f t="shared" si="226"/>
        <v>0</v>
      </c>
    </row>
    <row r="763" spans="1:93" s="12" customFormat="1" x14ac:dyDescent="0.25">
      <c r="A763" s="4">
        <v>2013</v>
      </c>
      <c r="B763" s="318">
        <v>44265</v>
      </c>
      <c r="C763" s="4" t="s">
        <v>430</v>
      </c>
      <c r="D763" s="4" t="s">
        <v>431</v>
      </c>
      <c r="E763" s="4"/>
      <c r="F763" s="4" t="s">
        <v>1493</v>
      </c>
      <c r="G763" s="5" t="s">
        <v>432</v>
      </c>
      <c r="H763" s="5" t="s">
        <v>185</v>
      </c>
      <c r="I763" s="5" t="s">
        <v>222</v>
      </c>
      <c r="J763" s="5" t="s">
        <v>10</v>
      </c>
      <c r="K763" s="5">
        <v>15.5</v>
      </c>
      <c r="L763" s="5" t="s">
        <v>190</v>
      </c>
      <c r="M763" s="5">
        <v>2000</v>
      </c>
      <c r="N763" s="5" t="s">
        <v>171</v>
      </c>
      <c r="O763" s="6" t="s">
        <v>81</v>
      </c>
      <c r="P763" s="6" t="s">
        <v>186</v>
      </c>
      <c r="Q763" s="6"/>
      <c r="R763" s="6"/>
      <c r="S763" s="6">
        <v>57</v>
      </c>
      <c r="T763" s="6">
        <v>18.22</v>
      </c>
      <c r="U763" s="6">
        <v>1862</v>
      </c>
      <c r="V763" s="6">
        <v>45.64</v>
      </c>
      <c r="W763" s="6">
        <v>0</v>
      </c>
      <c r="X763" s="6">
        <v>0</v>
      </c>
      <c r="Y763" s="6">
        <v>1085</v>
      </c>
      <c r="Z763" s="6">
        <v>663</v>
      </c>
      <c r="AA763" s="6">
        <v>114</v>
      </c>
      <c r="AB763" s="6">
        <v>0</v>
      </c>
      <c r="AC763" s="7">
        <v>90</v>
      </c>
      <c r="AD763" s="7" t="s">
        <v>53</v>
      </c>
      <c r="AE763" s="9">
        <v>27.853920324377299</v>
      </c>
      <c r="AF763" s="7">
        <v>343</v>
      </c>
      <c r="AG763" s="7">
        <v>28.61</v>
      </c>
      <c r="AH763" s="9">
        <v>32.587474554871498</v>
      </c>
      <c r="AI763" s="9">
        <v>37.142347039626003</v>
      </c>
      <c r="AJ763" s="9">
        <v>382.863370484901</v>
      </c>
      <c r="AK763" s="9">
        <v>384.27671118432801</v>
      </c>
      <c r="AL763" s="9">
        <v>432.30892227719397</v>
      </c>
      <c r="AM763" s="9">
        <v>77.353126467018498</v>
      </c>
      <c r="AN763" s="9">
        <v>0.85947918296687198</v>
      </c>
      <c r="AO763" s="9">
        <v>0.70626955301344196</v>
      </c>
      <c r="AP763" s="9">
        <v>1010.9151524203</v>
      </c>
      <c r="AQ763" s="9">
        <v>11.232390582447801</v>
      </c>
      <c r="AR763" s="9">
        <v>14.217228510808599</v>
      </c>
      <c r="AS763" s="8">
        <v>86</v>
      </c>
      <c r="AT763" s="8">
        <v>6.6099999999999994</v>
      </c>
      <c r="AU763" s="10">
        <v>31.282868093060781</v>
      </c>
      <c r="AV763" s="10">
        <v>87.719715672614029</v>
      </c>
      <c r="AW763" s="10">
        <v>0.93624040316786528</v>
      </c>
      <c r="AX763" s="10">
        <v>1.0199966938676051</v>
      </c>
      <c r="AY763" s="10"/>
      <c r="AZ763" s="10"/>
      <c r="BA763" s="10"/>
      <c r="BB763" s="8"/>
      <c r="BC763" s="8"/>
      <c r="BD763" s="8"/>
      <c r="BE763" s="8"/>
      <c r="BF763" s="12">
        <v>0.38</v>
      </c>
      <c r="BG763" s="13">
        <v>286.11645506045602</v>
      </c>
      <c r="BH763" s="96" t="str">
        <f>+VLOOKUP(G763,Liste!$A$7:$G$50,3,FALSE)</f>
        <v>Sapin pectiné</v>
      </c>
      <c r="BI763" s="96" t="str">
        <f>+VLOOKUP(H763,Liste!$B$7:$G$50,5,FALSE)</f>
        <v>GS Arc Jurassien</v>
      </c>
      <c r="BJ763" s="135">
        <f t="shared" si="225"/>
        <v>90</v>
      </c>
      <c r="BK763" s="135" t="str">
        <f t="shared" si="227"/>
        <v>Sapin pectiné_F2_Cas général_GS Arc Jurassien_90_</v>
      </c>
      <c r="BL763" s="322"/>
      <c r="BM763" s="13">
        <v>72.811779469233798</v>
      </c>
      <c r="BN763" s="13">
        <v>358.92823452968997</v>
      </c>
      <c r="BO763" s="13">
        <v>80.072378683778027</v>
      </c>
      <c r="BP763" s="13">
        <v>306.131842885666</v>
      </c>
      <c r="BQ763" s="13">
        <v>11.319907074754401</v>
      </c>
      <c r="BT763" s="298" t="str">
        <f>+VLOOKUP(G763,Liste!$A$7:$H$50,8,FALSE)</f>
        <v>Résineux</v>
      </c>
      <c r="BU763" s="298">
        <f t="shared" si="228"/>
        <v>0</v>
      </c>
      <c r="BV763" s="300">
        <f t="shared" si="229"/>
        <v>1</v>
      </c>
      <c r="BW763" s="321">
        <v>0</v>
      </c>
      <c r="BX763" s="298">
        <f t="shared" si="230"/>
        <v>0.43</v>
      </c>
      <c r="BY763">
        <f t="shared" si="231"/>
        <v>0</v>
      </c>
      <c r="BZ763" s="304">
        <f t="shared" si="232"/>
        <v>0</v>
      </c>
      <c r="CB763" s="299">
        <v>0.6</v>
      </c>
      <c r="CC763" s="299">
        <v>0.4</v>
      </c>
      <c r="CD763">
        <f t="shared" si="233"/>
        <v>0</v>
      </c>
      <c r="CE763">
        <f t="shared" si="234"/>
        <v>0</v>
      </c>
      <c r="CF763">
        <f t="shared" si="235"/>
        <v>0</v>
      </c>
      <c r="CG763">
        <f t="shared" si="236"/>
        <v>0</v>
      </c>
      <c r="CH763">
        <f t="shared" si="237"/>
        <v>0</v>
      </c>
      <c r="CI763">
        <f t="shared" si="238"/>
        <v>0</v>
      </c>
      <c r="CJ763">
        <f t="shared" si="239"/>
        <v>0</v>
      </c>
      <c r="CK763">
        <f t="shared" si="240"/>
        <v>0</v>
      </c>
      <c r="CL763">
        <f t="shared" si="241"/>
        <v>0</v>
      </c>
      <c r="CM763">
        <f t="shared" si="243"/>
        <v>0</v>
      </c>
      <c r="CN763">
        <f t="shared" si="242"/>
        <v>0</v>
      </c>
      <c r="CO763">
        <f t="shared" si="226"/>
        <v>0</v>
      </c>
    </row>
    <row r="764" spans="1:93" s="12" customFormat="1" x14ac:dyDescent="0.25">
      <c r="A764" s="4">
        <v>2013</v>
      </c>
      <c r="B764" s="318">
        <v>44265</v>
      </c>
      <c r="C764" s="4" t="s">
        <v>430</v>
      </c>
      <c r="D764" s="4" t="s">
        <v>431</v>
      </c>
      <c r="E764" s="4"/>
      <c r="F764" s="4" t="s">
        <v>1493</v>
      </c>
      <c r="G764" s="5" t="s">
        <v>432</v>
      </c>
      <c r="H764" s="5" t="s">
        <v>185</v>
      </c>
      <c r="I764" s="5" t="s">
        <v>222</v>
      </c>
      <c r="J764" s="5" t="s">
        <v>10</v>
      </c>
      <c r="K764" s="5">
        <v>15.5</v>
      </c>
      <c r="L764" s="5" t="s">
        <v>190</v>
      </c>
      <c r="M764" s="5">
        <v>2000</v>
      </c>
      <c r="N764" s="5" t="s">
        <v>171</v>
      </c>
      <c r="O764" s="6" t="s">
        <v>81</v>
      </c>
      <c r="P764" s="6" t="s">
        <v>186</v>
      </c>
      <c r="Q764" s="6"/>
      <c r="R764" s="6"/>
      <c r="S764" s="6">
        <v>57</v>
      </c>
      <c r="T764" s="6">
        <v>18.22</v>
      </c>
      <c r="U764" s="6">
        <v>1862</v>
      </c>
      <c r="V764" s="6">
        <v>45.64</v>
      </c>
      <c r="W764" s="6">
        <v>0</v>
      </c>
      <c r="X764" s="6">
        <v>0</v>
      </c>
      <c r="Y764" s="6">
        <v>1085</v>
      </c>
      <c r="Z764" s="6">
        <v>663</v>
      </c>
      <c r="AA764" s="6">
        <v>114</v>
      </c>
      <c r="AB764" s="6">
        <v>0</v>
      </c>
      <c r="AC764" s="7">
        <v>91</v>
      </c>
      <c r="AD764" s="7" t="s">
        <v>52</v>
      </c>
      <c r="AE764" s="9">
        <v>28.081834712654999</v>
      </c>
      <c r="AF764" s="7">
        <v>343</v>
      </c>
      <c r="AG764" s="7">
        <v>29.32</v>
      </c>
      <c r="AH764" s="9">
        <v>32.992116289715803</v>
      </c>
      <c r="AI764" s="9">
        <v>37.5871447489072</v>
      </c>
      <c r="AJ764" s="9">
        <v>396.13181018201499</v>
      </c>
      <c r="AK764" s="9">
        <v>397.59206446556499</v>
      </c>
      <c r="AL764" s="9">
        <v>446.52615078800301</v>
      </c>
      <c r="AM764" s="9" t="s">
        <v>169</v>
      </c>
      <c r="AN764" s="9" t="s">
        <v>169</v>
      </c>
      <c r="AO764" s="9" t="s">
        <v>169</v>
      </c>
      <c r="AP764" s="9" t="s">
        <v>169</v>
      </c>
      <c r="AQ764" s="9" t="s">
        <v>169</v>
      </c>
      <c r="AR764" s="9" t="s">
        <v>169</v>
      </c>
      <c r="AS764" s="8" t="s">
        <v>169</v>
      </c>
      <c r="AT764" s="8" t="s">
        <v>169</v>
      </c>
      <c r="AU764" s="10" t="s">
        <v>169</v>
      </c>
      <c r="AV764" s="10">
        <v>0</v>
      </c>
      <c r="AW764" s="10" t="s">
        <v>169</v>
      </c>
      <c r="AX764" s="10" t="s">
        <v>169</v>
      </c>
      <c r="AY764" s="10"/>
      <c r="AZ764" s="10"/>
      <c r="BA764" s="10"/>
      <c r="BB764" s="8"/>
      <c r="BC764" s="8"/>
      <c r="BD764" s="8"/>
      <c r="BE764" s="8"/>
      <c r="BF764" s="12">
        <v>0.38</v>
      </c>
      <c r="BG764" s="13">
        <v>295.52589079652603</v>
      </c>
      <c r="BH764" s="96" t="str">
        <f>+VLOOKUP(G764,Liste!$A$7:$G$50,3,FALSE)</f>
        <v>Sapin pectiné</v>
      </c>
      <c r="BI764" s="96" t="str">
        <f>+VLOOKUP(H764,Liste!$B$7:$G$50,5,FALSE)</f>
        <v>GS Arc Jurassien</v>
      </c>
      <c r="BJ764" s="135">
        <f t="shared" si="225"/>
        <v>91</v>
      </c>
      <c r="BK764" s="135" t="str">
        <f t="shared" si="227"/>
        <v>Sapin pectiné_F2_Cas général_GS Arc Jurassien_91_</v>
      </c>
      <c r="BL764" s="322"/>
      <c r="BM764" s="13">
        <v>74.912139620791393</v>
      </c>
      <c r="BN764" s="13">
        <v>370.43803041731798</v>
      </c>
      <c r="BO764" s="13" t="s">
        <v>169</v>
      </c>
      <c r="BP764" s="13">
        <v>306.131842885666</v>
      </c>
      <c r="BQ764" s="13" t="s">
        <v>169</v>
      </c>
      <c r="BT764" s="298" t="str">
        <f>+VLOOKUP(G764,Liste!$A$7:$H$50,8,FALSE)</f>
        <v>Résineux</v>
      </c>
      <c r="BU764" s="298">
        <f t="shared" si="228"/>
        <v>0</v>
      </c>
      <c r="BV764" s="300">
        <f t="shared" si="229"/>
        <v>1</v>
      </c>
      <c r="BW764" s="321">
        <v>0</v>
      </c>
      <c r="BX764" s="298">
        <f t="shared" si="230"/>
        <v>0.43</v>
      </c>
      <c r="BY764">
        <f t="shared" si="231"/>
        <v>0</v>
      </c>
      <c r="BZ764" s="304">
        <f t="shared" si="232"/>
        <v>0</v>
      </c>
      <c r="CB764" s="299">
        <v>0.6</v>
      </c>
      <c r="CC764" s="299">
        <v>0.4</v>
      </c>
      <c r="CD764">
        <f t="shared" si="233"/>
        <v>0</v>
      </c>
      <c r="CE764">
        <f t="shared" si="234"/>
        <v>0</v>
      </c>
      <c r="CF764">
        <f t="shared" si="235"/>
        <v>0</v>
      </c>
      <c r="CG764">
        <f t="shared" si="236"/>
        <v>0</v>
      </c>
      <c r="CH764">
        <f t="shared" si="237"/>
        <v>0</v>
      </c>
      <c r="CI764">
        <f t="shared" si="238"/>
        <v>0</v>
      </c>
      <c r="CJ764">
        <f t="shared" si="239"/>
        <v>0</v>
      </c>
      <c r="CK764">
        <f t="shared" si="240"/>
        <v>0</v>
      </c>
      <c r="CL764">
        <f t="shared" si="241"/>
        <v>0</v>
      </c>
      <c r="CM764">
        <f t="shared" si="243"/>
        <v>0</v>
      </c>
      <c r="CN764">
        <f t="shared" si="242"/>
        <v>0</v>
      </c>
      <c r="CO764">
        <f t="shared" si="226"/>
        <v>0</v>
      </c>
    </row>
    <row r="765" spans="1:93" s="12" customFormat="1" x14ac:dyDescent="0.25">
      <c r="A765" s="4">
        <v>2013</v>
      </c>
      <c r="B765" s="318">
        <v>44265</v>
      </c>
      <c r="C765" s="4" t="s">
        <v>430</v>
      </c>
      <c r="D765" s="4" t="s">
        <v>431</v>
      </c>
      <c r="E765" s="4"/>
      <c r="F765" s="4" t="s">
        <v>1493</v>
      </c>
      <c r="G765" s="5" t="s">
        <v>432</v>
      </c>
      <c r="H765" s="5" t="s">
        <v>185</v>
      </c>
      <c r="I765" s="5" t="s">
        <v>222</v>
      </c>
      <c r="J765" s="5" t="s">
        <v>10</v>
      </c>
      <c r="K765" s="5">
        <v>15.5</v>
      </c>
      <c r="L765" s="5" t="s">
        <v>190</v>
      </c>
      <c r="M765" s="5">
        <v>2000</v>
      </c>
      <c r="N765" s="5" t="s">
        <v>171</v>
      </c>
      <c r="O765" s="6" t="s">
        <v>81</v>
      </c>
      <c r="P765" s="6" t="s">
        <v>186</v>
      </c>
      <c r="Q765" s="6"/>
      <c r="R765" s="6"/>
      <c r="S765" s="6">
        <v>57</v>
      </c>
      <c r="T765" s="6">
        <v>18.22</v>
      </c>
      <c r="U765" s="6">
        <v>1862</v>
      </c>
      <c r="V765" s="6">
        <v>45.64</v>
      </c>
      <c r="W765" s="6">
        <v>0</v>
      </c>
      <c r="X765" s="6">
        <v>0</v>
      </c>
      <c r="Y765" s="6">
        <v>1085</v>
      </c>
      <c r="Z765" s="6">
        <v>663</v>
      </c>
      <c r="AA765" s="6">
        <v>114</v>
      </c>
      <c r="AB765" s="6">
        <v>0</v>
      </c>
      <c r="AC765" s="7">
        <v>92</v>
      </c>
      <c r="AD765" s="7" t="s">
        <v>52</v>
      </c>
      <c r="AE765" s="9">
        <v>28.306656176633599</v>
      </c>
      <c r="AF765" s="7">
        <v>343</v>
      </c>
      <c r="AG765" s="7">
        <v>30.03</v>
      </c>
      <c r="AH765" s="9">
        <v>33.388687020557803</v>
      </c>
      <c r="AI765" s="9">
        <v>38.022306443971203</v>
      </c>
      <c r="AJ765" s="9">
        <v>409.40024987913</v>
      </c>
      <c r="AK765" s="9">
        <v>410.90741774680299</v>
      </c>
      <c r="AL765" s="9">
        <v>460.74337929881102</v>
      </c>
      <c r="AM765" s="9" t="s">
        <v>169</v>
      </c>
      <c r="AN765" s="9" t="s">
        <v>169</v>
      </c>
      <c r="AO765" s="9" t="s">
        <v>169</v>
      </c>
      <c r="AP765" s="9" t="s">
        <v>169</v>
      </c>
      <c r="AQ765" s="9" t="s">
        <v>169</v>
      </c>
      <c r="AR765" s="9" t="s">
        <v>169</v>
      </c>
      <c r="AS765" s="8" t="s">
        <v>169</v>
      </c>
      <c r="AT765" s="8" t="s">
        <v>169</v>
      </c>
      <c r="AU765" s="10" t="s">
        <v>169</v>
      </c>
      <c r="AV765" s="10">
        <v>0</v>
      </c>
      <c r="AW765" s="10" t="s">
        <v>169</v>
      </c>
      <c r="AX765" s="10" t="s">
        <v>169</v>
      </c>
      <c r="AY765" s="10"/>
      <c r="AZ765" s="10"/>
      <c r="BA765" s="10"/>
      <c r="BB765" s="8"/>
      <c r="BC765" s="8"/>
      <c r="BD765" s="8"/>
      <c r="BE765" s="8"/>
      <c r="BF765" s="12">
        <v>0.38</v>
      </c>
      <c r="BG765" s="13">
        <v>304.935326532597</v>
      </c>
      <c r="BH765" s="96" t="str">
        <f>+VLOOKUP(G765,Liste!$A$7:$G$50,3,FALSE)</f>
        <v>Sapin pectiné</v>
      </c>
      <c r="BI765" s="96" t="str">
        <f>+VLOOKUP(H765,Liste!$B$7:$G$50,5,FALSE)</f>
        <v>GS Arc Jurassien</v>
      </c>
      <c r="BJ765" s="135">
        <f t="shared" si="225"/>
        <v>92</v>
      </c>
      <c r="BK765" s="135" t="str">
        <f t="shared" si="227"/>
        <v>Sapin pectiné_F2_Cas général_GS Arc Jurassien_92_</v>
      </c>
      <c r="BL765" s="322"/>
      <c r="BM765" s="13">
        <v>77.012499772349003</v>
      </c>
      <c r="BN765" s="13">
        <v>381.94782630494598</v>
      </c>
      <c r="BO765" s="13" t="s">
        <v>169</v>
      </c>
      <c r="BP765" s="13">
        <v>306.131842885666</v>
      </c>
      <c r="BQ765" s="13" t="s">
        <v>169</v>
      </c>
      <c r="BT765" s="298" t="str">
        <f>+VLOOKUP(G765,Liste!$A$7:$H$50,8,FALSE)</f>
        <v>Résineux</v>
      </c>
      <c r="BU765" s="298">
        <f t="shared" si="228"/>
        <v>0</v>
      </c>
      <c r="BV765" s="300">
        <f t="shared" si="229"/>
        <v>1</v>
      </c>
      <c r="BW765" s="321">
        <v>0</v>
      </c>
      <c r="BX765" s="298">
        <f t="shared" si="230"/>
        <v>0.43</v>
      </c>
      <c r="BY765">
        <f t="shared" si="231"/>
        <v>0</v>
      </c>
      <c r="BZ765" s="304">
        <f t="shared" si="232"/>
        <v>0</v>
      </c>
      <c r="CB765" s="299">
        <v>0.6</v>
      </c>
      <c r="CC765" s="299">
        <v>0.4</v>
      </c>
      <c r="CD765">
        <f t="shared" si="233"/>
        <v>0</v>
      </c>
      <c r="CE765">
        <f t="shared" si="234"/>
        <v>0</v>
      </c>
      <c r="CF765">
        <f t="shared" si="235"/>
        <v>0</v>
      </c>
      <c r="CG765">
        <f t="shared" si="236"/>
        <v>0</v>
      </c>
      <c r="CH765">
        <f t="shared" si="237"/>
        <v>0</v>
      </c>
      <c r="CI765">
        <f t="shared" si="238"/>
        <v>0</v>
      </c>
      <c r="CJ765">
        <f t="shared" si="239"/>
        <v>0</v>
      </c>
      <c r="CK765">
        <f t="shared" si="240"/>
        <v>0</v>
      </c>
      <c r="CL765">
        <f t="shared" si="241"/>
        <v>0</v>
      </c>
      <c r="CM765">
        <f t="shared" si="243"/>
        <v>0</v>
      </c>
      <c r="CN765">
        <f t="shared" si="242"/>
        <v>0</v>
      </c>
      <c r="CO765">
        <f t="shared" si="226"/>
        <v>0</v>
      </c>
    </row>
    <row r="766" spans="1:93" s="12" customFormat="1" x14ac:dyDescent="0.25">
      <c r="A766" s="4">
        <v>2013</v>
      </c>
      <c r="B766" s="318">
        <v>44265</v>
      </c>
      <c r="C766" s="4" t="s">
        <v>430</v>
      </c>
      <c r="D766" s="4" t="s">
        <v>431</v>
      </c>
      <c r="E766" s="4"/>
      <c r="F766" s="4" t="s">
        <v>1493</v>
      </c>
      <c r="G766" s="5" t="s">
        <v>432</v>
      </c>
      <c r="H766" s="5" t="s">
        <v>185</v>
      </c>
      <c r="I766" s="5" t="s">
        <v>222</v>
      </c>
      <c r="J766" s="5" t="s">
        <v>10</v>
      </c>
      <c r="K766" s="5">
        <v>15.5</v>
      </c>
      <c r="L766" s="5" t="s">
        <v>190</v>
      </c>
      <c r="M766" s="5">
        <v>2000</v>
      </c>
      <c r="N766" s="5" t="s">
        <v>171</v>
      </c>
      <c r="O766" s="6" t="s">
        <v>81</v>
      </c>
      <c r="P766" s="6" t="s">
        <v>186</v>
      </c>
      <c r="Q766" s="6"/>
      <c r="R766" s="6"/>
      <c r="S766" s="6">
        <v>57</v>
      </c>
      <c r="T766" s="6">
        <v>18.22</v>
      </c>
      <c r="U766" s="6">
        <v>1862</v>
      </c>
      <c r="V766" s="6">
        <v>45.64</v>
      </c>
      <c r="W766" s="6">
        <v>0</v>
      </c>
      <c r="X766" s="6">
        <v>0</v>
      </c>
      <c r="Y766" s="6">
        <v>1085</v>
      </c>
      <c r="Z766" s="6">
        <v>663</v>
      </c>
      <c r="AA766" s="6">
        <v>114</v>
      </c>
      <c r="AB766" s="6">
        <v>0</v>
      </c>
      <c r="AC766" s="7">
        <v>93</v>
      </c>
      <c r="AD766" s="7" t="s">
        <v>52</v>
      </c>
      <c r="AE766" s="9">
        <v>28.528437068711899</v>
      </c>
      <c r="AF766" s="7">
        <v>343</v>
      </c>
      <c r="AG766" s="7">
        <v>30.74</v>
      </c>
      <c r="AH766" s="9">
        <v>33.777444729361299</v>
      </c>
      <c r="AI766" s="9">
        <v>38.448178719464103</v>
      </c>
      <c r="AJ766" s="9">
        <v>422.66868957624501</v>
      </c>
      <c r="AK766" s="9">
        <v>424.22277102803997</v>
      </c>
      <c r="AL766" s="9">
        <v>474.96060780962</v>
      </c>
      <c r="AM766" s="9" t="s">
        <v>169</v>
      </c>
      <c r="AN766" s="9" t="s">
        <v>169</v>
      </c>
      <c r="AO766" s="9" t="s">
        <v>169</v>
      </c>
      <c r="AP766" s="9" t="s">
        <v>169</v>
      </c>
      <c r="AQ766" s="9" t="s">
        <v>169</v>
      </c>
      <c r="AR766" s="9" t="s">
        <v>169</v>
      </c>
      <c r="AS766" s="8" t="s">
        <v>169</v>
      </c>
      <c r="AT766" s="8" t="s">
        <v>169</v>
      </c>
      <c r="AU766" s="10" t="s">
        <v>169</v>
      </c>
      <c r="AV766" s="10">
        <v>0</v>
      </c>
      <c r="AW766" s="10" t="s">
        <v>169</v>
      </c>
      <c r="AX766" s="10" t="s">
        <v>169</v>
      </c>
      <c r="AY766" s="10"/>
      <c r="AZ766" s="10"/>
      <c r="BA766" s="10"/>
      <c r="BB766" s="8"/>
      <c r="BC766" s="8"/>
      <c r="BD766" s="8"/>
      <c r="BE766" s="8"/>
      <c r="BF766" s="12">
        <v>0.38</v>
      </c>
      <c r="BG766" s="13">
        <v>314.34476226866701</v>
      </c>
      <c r="BH766" s="96" t="str">
        <f>+VLOOKUP(G766,Liste!$A$7:$G$50,3,FALSE)</f>
        <v>Sapin pectiné</v>
      </c>
      <c r="BI766" s="96" t="str">
        <f>+VLOOKUP(H766,Liste!$B$7:$G$50,5,FALSE)</f>
        <v>GS Arc Jurassien</v>
      </c>
      <c r="BJ766" s="135">
        <f t="shared" si="225"/>
        <v>93</v>
      </c>
      <c r="BK766" s="135" t="str">
        <f t="shared" si="227"/>
        <v>Sapin pectiné_F2_Cas général_GS Arc Jurassien_93_</v>
      </c>
      <c r="BL766" s="322"/>
      <c r="BM766" s="13">
        <v>79.112859923906697</v>
      </c>
      <c r="BN766" s="13">
        <v>393.45762219257301</v>
      </c>
      <c r="BO766" s="13" t="s">
        <v>169</v>
      </c>
      <c r="BP766" s="13">
        <v>306.131842885666</v>
      </c>
      <c r="BQ766" s="13" t="s">
        <v>169</v>
      </c>
      <c r="BT766" s="298" t="str">
        <f>+VLOOKUP(G766,Liste!$A$7:$H$50,8,FALSE)</f>
        <v>Résineux</v>
      </c>
      <c r="BU766" s="298">
        <f t="shared" si="228"/>
        <v>0</v>
      </c>
      <c r="BV766" s="300">
        <f t="shared" si="229"/>
        <v>1</v>
      </c>
      <c r="BW766" s="321">
        <v>0</v>
      </c>
      <c r="BX766" s="298">
        <f t="shared" si="230"/>
        <v>0.43</v>
      </c>
      <c r="BY766">
        <f t="shared" si="231"/>
        <v>0</v>
      </c>
      <c r="BZ766" s="304">
        <f t="shared" si="232"/>
        <v>0</v>
      </c>
      <c r="CB766" s="299">
        <v>0.6</v>
      </c>
      <c r="CC766" s="299">
        <v>0.4</v>
      </c>
      <c r="CD766">
        <f t="shared" si="233"/>
        <v>0</v>
      </c>
      <c r="CE766">
        <f t="shared" si="234"/>
        <v>0</v>
      </c>
      <c r="CF766">
        <f t="shared" si="235"/>
        <v>0</v>
      </c>
      <c r="CG766">
        <f t="shared" si="236"/>
        <v>0</v>
      </c>
      <c r="CH766">
        <f t="shared" si="237"/>
        <v>0</v>
      </c>
      <c r="CI766">
        <f t="shared" si="238"/>
        <v>0</v>
      </c>
      <c r="CJ766">
        <f t="shared" si="239"/>
        <v>0</v>
      </c>
      <c r="CK766">
        <f t="shared" si="240"/>
        <v>0</v>
      </c>
      <c r="CL766">
        <f t="shared" si="241"/>
        <v>0</v>
      </c>
      <c r="CM766">
        <f t="shared" si="243"/>
        <v>0</v>
      </c>
      <c r="CN766">
        <f t="shared" si="242"/>
        <v>0</v>
      </c>
      <c r="CO766">
        <f t="shared" si="226"/>
        <v>0</v>
      </c>
    </row>
    <row r="767" spans="1:93" s="12" customFormat="1" x14ac:dyDescent="0.25">
      <c r="A767" s="4">
        <v>2013</v>
      </c>
      <c r="B767" s="318">
        <v>44265</v>
      </c>
      <c r="C767" s="4" t="s">
        <v>430</v>
      </c>
      <c r="D767" s="4" t="s">
        <v>431</v>
      </c>
      <c r="E767" s="4"/>
      <c r="F767" s="4" t="s">
        <v>1493</v>
      </c>
      <c r="G767" s="5" t="s">
        <v>432</v>
      </c>
      <c r="H767" s="5" t="s">
        <v>185</v>
      </c>
      <c r="I767" s="5" t="s">
        <v>222</v>
      </c>
      <c r="J767" s="5" t="s">
        <v>10</v>
      </c>
      <c r="K767" s="5">
        <v>15.5</v>
      </c>
      <c r="L767" s="5" t="s">
        <v>190</v>
      </c>
      <c r="M767" s="5">
        <v>2000</v>
      </c>
      <c r="N767" s="5" t="s">
        <v>171</v>
      </c>
      <c r="O767" s="6" t="s">
        <v>81</v>
      </c>
      <c r="P767" s="6" t="s">
        <v>186</v>
      </c>
      <c r="Q767" s="6"/>
      <c r="R767" s="6"/>
      <c r="S767" s="6">
        <v>57</v>
      </c>
      <c r="T767" s="6">
        <v>18.22</v>
      </c>
      <c r="U767" s="6">
        <v>1862</v>
      </c>
      <c r="V767" s="6">
        <v>45.64</v>
      </c>
      <c r="W767" s="6">
        <v>0</v>
      </c>
      <c r="X767" s="6">
        <v>0</v>
      </c>
      <c r="Y767" s="6">
        <v>1085</v>
      </c>
      <c r="Z767" s="6">
        <v>663</v>
      </c>
      <c r="AA767" s="6">
        <v>114</v>
      </c>
      <c r="AB767" s="6">
        <v>0</v>
      </c>
      <c r="AC767" s="7">
        <v>94</v>
      </c>
      <c r="AD767" s="7" t="s">
        <v>52</v>
      </c>
      <c r="AE767" s="9">
        <v>28.747228965645601</v>
      </c>
      <c r="AF767" s="7">
        <v>343</v>
      </c>
      <c r="AG767" s="7">
        <v>31.43</v>
      </c>
      <c r="AH767" s="9">
        <v>34.158634930691498</v>
      </c>
      <c r="AI767" s="9">
        <v>38.865089552234998</v>
      </c>
      <c r="AJ767" s="9">
        <v>435.93712927335997</v>
      </c>
      <c r="AK767" s="9">
        <v>437.53812430927701</v>
      </c>
      <c r="AL767" s="9">
        <v>489.17783632042898</v>
      </c>
      <c r="AM767" s="9">
        <v>80.178204679072195</v>
      </c>
      <c r="AN767" s="9">
        <v>0.85295962424544902</v>
      </c>
      <c r="AO767" s="9">
        <v>0.68010547923481401</v>
      </c>
      <c r="AP767" s="9">
        <v>1067.7840664635401</v>
      </c>
      <c r="AQ767" s="9">
        <v>11.3594049623781</v>
      </c>
      <c r="AR767" s="9">
        <v>14.1150960270338</v>
      </c>
      <c r="AS767" s="8" t="s">
        <v>169</v>
      </c>
      <c r="AT767" s="8" t="s">
        <v>169</v>
      </c>
      <c r="AU767" s="10" t="s">
        <v>169</v>
      </c>
      <c r="AV767" s="10">
        <v>0</v>
      </c>
      <c r="AW767" s="10" t="s">
        <v>169</v>
      </c>
      <c r="AX767" s="10" t="s">
        <v>169</v>
      </c>
      <c r="AY767" s="10"/>
      <c r="AZ767" s="10"/>
      <c r="BA767" s="10"/>
      <c r="BB767" s="8"/>
      <c r="BC767" s="8"/>
      <c r="BD767" s="8"/>
      <c r="BE767" s="8"/>
      <c r="BF767" s="12">
        <v>0.38</v>
      </c>
      <c r="BG767" s="13">
        <v>323.75419800473702</v>
      </c>
      <c r="BH767" s="96" t="str">
        <f>+VLOOKUP(G767,Liste!$A$7:$G$50,3,FALSE)</f>
        <v>Sapin pectiné</v>
      </c>
      <c r="BI767" s="96" t="str">
        <f>+VLOOKUP(H767,Liste!$B$7:$G$50,5,FALSE)</f>
        <v>GS Arc Jurassien</v>
      </c>
      <c r="BJ767" s="135">
        <f t="shared" si="225"/>
        <v>94</v>
      </c>
      <c r="BK767" s="135" t="str">
        <f t="shared" si="227"/>
        <v>Sapin pectiné_F2_Cas général_GS Arc Jurassien_94_</v>
      </c>
      <c r="BL767" s="322"/>
      <c r="BM767" s="13">
        <v>81.213220075464307</v>
      </c>
      <c r="BN767" s="13">
        <v>404.96741808020101</v>
      </c>
      <c r="BO767" s="13" t="s">
        <v>169</v>
      </c>
      <c r="BP767" s="13">
        <v>306.131842885666</v>
      </c>
      <c r="BQ767" s="13">
        <v>11.2255074221857</v>
      </c>
      <c r="BT767" s="298" t="str">
        <f>+VLOOKUP(G767,Liste!$A$7:$H$50,8,FALSE)</f>
        <v>Résineux</v>
      </c>
      <c r="BU767" s="298">
        <f t="shared" si="228"/>
        <v>0</v>
      </c>
      <c r="BV767" s="300">
        <f t="shared" si="229"/>
        <v>1</v>
      </c>
      <c r="BW767" s="321">
        <v>0</v>
      </c>
      <c r="BX767" s="298">
        <f t="shared" si="230"/>
        <v>0.43</v>
      </c>
      <c r="BY767">
        <f t="shared" si="231"/>
        <v>0</v>
      </c>
      <c r="BZ767" s="304">
        <f t="shared" si="232"/>
        <v>0</v>
      </c>
      <c r="CB767" s="299">
        <v>0.6</v>
      </c>
      <c r="CC767" s="299">
        <v>0.4</v>
      </c>
      <c r="CD767">
        <f t="shared" si="233"/>
        <v>0</v>
      </c>
      <c r="CE767">
        <f t="shared" si="234"/>
        <v>0</v>
      </c>
      <c r="CF767">
        <f t="shared" si="235"/>
        <v>0</v>
      </c>
      <c r="CG767">
        <f t="shared" si="236"/>
        <v>0</v>
      </c>
      <c r="CH767">
        <f t="shared" si="237"/>
        <v>0</v>
      </c>
      <c r="CI767">
        <f t="shared" si="238"/>
        <v>0</v>
      </c>
      <c r="CJ767">
        <f t="shared" si="239"/>
        <v>0</v>
      </c>
      <c r="CK767">
        <f t="shared" si="240"/>
        <v>0</v>
      </c>
      <c r="CL767">
        <f t="shared" si="241"/>
        <v>0</v>
      </c>
      <c r="CM767">
        <f t="shared" si="243"/>
        <v>0</v>
      </c>
      <c r="CN767">
        <f t="shared" si="242"/>
        <v>0</v>
      </c>
      <c r="CO767">
        <f t="shared" si="226"/>
        <v>0</v>
      </c>
    </row>
    <row r="768" spans="1:93" s="12" customFormat="1" x14ac:dyDescent="0.25">
      <c r="A768" s="4">
        <v>2013</v>
      </c>
      <c r="B768" s="318">
        <v>44265</v>
      </c>
      <c r="C768" s="4" t="s">
        <v>430</v>
      </c>
      <c r="D768" s="4" t="s">
        <v>431</v>
      </c>
      <c r="E768" s="4"/>
      <c r="F768" s="4" t="s">
        <v>1493</v>
      </c>
      <c r="G768" s="5" t="s">
        <v>432</v>
      </c>
      <c r="H768" s="5" t="s">
        <v>185</v>
      </c>
      <c r="I768" s="5" t="s">
        <v>222</v>
      </c>
      <c r="J768" s="5" t="s">
        <v>10</v>
      </c>
      <c r="K768" s="5">
        <v>15.5</v>
      </c>
      <c r="L768" s="5" t="s">
        <v>190</v>
      </c>
      <c r="M768" s="5">
        <v>2000</v>
      </c>
      <c r="N768" s="5" t="s">
        <v>171</v>
      </c>
      <c r="O768" s="6" t="s">
        <v>81</v>
      </c>
      <c r="P768" s="6" t="s">
        <v>186</v>
      </c>
      <c r="Q768" s="6"/>
      <c r="R768" s="6"/>
      <c r="S768" s="6">
        <v>57</v>
      </c>
      <c r="T768" s="6">
        <v>18.22</v>
      </c>
      <c r="U768" s="6">
        <v>1862</v>
      </c>
      <c r="V768" s="6">
        <v>45.64</v>
      </c>
      <c r="W768" s="6">
        <v>0</v>
      </c>
      <c r="X768" s="6">
        <v>0</v>
      </c>
      <c r="Y768" s="6">
        <v>1085</v>
      </c>
      <c r="Z768" s="6">
        <v>663</v>
      </c>
      <c r="AA768" s="6">
        <v>114</v>
      </c>
      <c r="AB768" s="6">
        <v>0</v>
      </c>
      <c r="AC768" s="7">
        <v>95</v>
      </c>
      <c r="AD768" s="7" t="s">
        <v>52</v>
      </c>
      <c r="AE768" s="9">
        <v>28.963082658547801</v>
      </c>
      <c r="AF768" s="7">
        <v>343</v>
      </c>
      <c r="AG768" s="7">
        <v>32.119999999999997</v>
      </c>
      <c r="AH768" s="9">
        <v>34.532491384139</v>
      </c>
      <c r="AI768" s="9">
        <v>39.273349007317499</v>
      </c>
      <c r="AJ768" s="9">
        <v>449.191047436269</v>
      </c>
      <c r="AK768" s="9">
        <v>450.83592106987101</v>
      </c>
      <c r="AL768" s="9">
        <v>503.292932347462</v>
      </c>
      <c r="AM768" s="9" t="s">
        <v>169</v>
      </c>
      <c r="AN768" s="9" t="s">
        <v>169</v>
      </c>
      <c r="AO768" s="9" t="s">
        <v>169</v>
      </c>
      <c r="AP768" s="9" t="s">
        <v>169</v>
      </c>
      <c r="AQ768" s="9" t="s">
        <v>169</v>
      </c>
      <c r="AR768" s="9" t="s">
        <v>169</v>
      </c>
      <c r="AS768" s="8" t="s">
        <v>169</v>
      </c>
      <c r="AT768" s="8" t="s">
        <v>169</v>
      </c>
      <c r="AU768" s="10" t="s">
        <v>169</v>
      </c>
      <c r="AV768" s="10">
        <v>0</v>
      </c>
      <c r="AW768" s="10" t="s">
        <v>169</v>
      </c>
      <c r="AX768" s="10" t="s">
        <v>169</v>
      </c>
      <c r="AY768" s="10"/>
      <c r="AZ768" s="10"/>
      <c r="BA768" s="10"/>
      <c r="BB768" s="8"/>
      <c r="BC768" s="8"/>
      <c r="BD768" s="8"/>
      <c r="BE768" s="8"/>
      <c r="BF768" s="12">
        <v>0.38</v>
      </c>
      <c r="BG768" s="13">
        <v>333.096039058629</v>
      </c>
      <c r="BH768" s="96" t="str">
        <f>+VLOOKUP(G768,Liste!$A$7:$G$50,3,FALSE)</f>
        <v>Sapin pectiné</v>
      </c>
      <c r="BI768" s="96" t="str">
        <f>+VLOOKUP(H768,Liste!$B$7:$G$50,5,FALSE)</f>
        <v>GS Arc Jurassien</v>
      </c>
      <c r="BJ768" s="135">
        <f t="shared" si="225"/>
        <v>95</v>
      </c>
      <c r="BK768" s="135" t="str">
        <f t="shared" si="227"/>
        <v>Sapin pectiné_F2_Cas général_GS Arc Jurassien_95_</v>
      </c>
      <c r="BL768" s="322"/>
      <c r="BM768" s="13">
        <v>83.267317417954104</v>
      </c>
      <c r="BN768" s="13">
        <v>416.36335647658302</v>
      </c>
      <c r="BO768" s="13" t="s">
        <v>169</v>
      </c>
      <c r="BP768" s="13">
        <v>306.131842885666</v>
      </c>
      <c r="BQ768" s="13" t="s">
        <v>169</v>
      </c>
      <c r="BT768" s="298" t="str">
        <f>+VLOOKUP(G768,Liste!$A$7:$H$50,8,FALSE)</f>
        <v>Résineux</v>
      </c>
      <c r="BU768" s="298">
        <f t="shared" si="228"/>
        <v>0</v>
      </c>
      <c r="BV768" s="300">
        <f t="shared" si="229"/>
        <v>1</v>
      </c>
      <c r="BW768" s="321">
        <v>0</v>
      </c>
      <c r="BX768" s="298">
        <f t="shared" si="230"/>
        <v>0.43</v>
      </c>
      <c r="BY768">
        <f t="shared" si="231"/>
        <v>0</v>
      </c>
      <c r="BZ768" s="304">
        <f t="shared" si="232"/>
        <v>0</v>
      </c>
      <c r="CB768" s="299">
        <v>0.6</v>
      </c>
      <c r="CC768" s="299">
        <v>0.4</v>
      </c>
      <c r="CD768">
        <f t="shared" si="233"/>
        <v>0</v>
      </c>
      <c r="CE768">
        <f t="shared" si="234"/>
        <v>0</v>
      </c>
      <c r="CF768">
        <f t="shared" si="235"/>
        <v>0</v>
      </c>
      <c r="CG768">
        <f t="shared" si="236"/>
        <v>0</v>
      </c>
      <c r="CH768">
        <f t="shared" si="237"/>
        <v>0</v>
      </c>
      <c r="CI768">
        <f t="shared" si="238"/>
        <v>0</v>
      </c>
      <c r="CJ768">
        <f t="shared" si="239"/>
        <v>0</v>
      </c>
      <c r="CK768">
        <f t="shared" si="240"/>
        <v>0</v>
      </c>
      <c r="CL768">
        <f t="shared" si="241"/>
        <v>0</v>
      </c>
      <c r="CM768">
        <f t="shared" si="243"/>
        <v>0</v>
      </c>
      <c r="CN768">
        <f t="shared" si="242"/>
        <v>0</v>
      </c>
      <c r="CO768">
        <f t="shared" si="226"/>
        <v>0</v>
      </c>
    </row>
    <row r="769" spans="1:93" s="12" customFormat="1" x14ac:dyDescent="0.25">
      <c r="A769" s="4">
        <v>2013</v>
      </c>
      <c r="B769" s="318">
        <v>44265</v>
      </c>
      <c r="C769" s="4" t="s">
        <v>430</v>
      </c>
      <c r="D769" s="4" t="s">
        <v>431</v>
      </c>
      <c r="E769" s="4"/>
      <c r="F769" s="4" t="s">
        <v>1493</v>
      </c>
      <c r="G769" s="5" t="s">
        <v>432</v>
      </c>
      <c r="H769" s="5" t="s">
        <v>185</v>
      </c>
      <c r="I769" s="5" t="s">
        <v>222</v>
      </c>
      <c r="J769" s="5" t="s">
        <v>10</v>
      </c>
      <c r="K769" s="5">
        <v>15.5</v>
      </c>
      <c r="L769" s="5" t="s">
        <v>190</v>
      </c>
      <c r="M769" s="5">
        <v>2000</v>
      </c>
      <c r="N769" s="5" t="s">
        <v>171</v>
      </c>
      <c r="O769" s="6" t="s">
        <v>81</v>
      </c>
      <c r="P769" s="6" t="s">
        <v>186</v>
      </c>
      <c r="Q769" s="6"/>
      <c r="R769" s="6"/>
      <c r="S769" s="6">
        <v>57</v>
      </c>
      <c r="T769" s="6">
        <v>18.22</v>
      </c>
      <c r="U769" s="6">
        <v>1862</v>
      </c>
      <c r="V769" s="6">
        <v>45.64</v>
      </c>
      <c r="W769" s="6">
        <v>0</v>
      </c>
      <c r="X769" s="6">
        <v>0</v>
      </c>
      <c r="Y769" s="6">
        <v>1085</v>
      </c>
      <c r="Z769" s="6">
        <v>663</v>
      </c>
      <c r="AA769" s="6">
        <v>114</v>
      </c>
      <c r="AB769" s="6">
        <v>0</v>
      </c>
      <c r="AC769" s="7">
        <v>96</v>
      </c>
      <c r="AD769" s="7" t="s">
        <v>52</v>
      </c>
      <c r="AE769" s="9">
        <v>29.176048145426599</v>
      </c>
      <c r="AF769" s="7">
        <v>343</v>
      </c>
      <c r="AG769" s="7">
        <v>32.81</v>
      </c>
      <c r="AH769" s="9">
        <v>34.899237287637199</v>
      </c>
      <c r="AI769" s="9">
        <v>39.673251316368102</v>
      </c>
      <c r="AJ769" s="9">
        <v>462.44496559917798</v>
      </c>
      <c r="AK769" s="9">
        <v>464.13371783046603</v>
      </c>
      <c r="AL769" s="9">
        <v>517.40802837449598</v>
      </c>
      <c r="AM769" s="9" t="s">
        <v>169</v>
      </c>
      <c r="AN769" s="9" t="s">
        <v>169</v>
      </c>
      <c r="AO769" s="9" t="s">
        <v>169</v>
      </c>
      <c r="AP769" s="9" t="s">
        <v>169</v>
      </c>
      <c r="AQ769" s="9" t="s">
        <v>169</v>
      </c>
      <c r="AR769" s="9" t="s">
        <v>169</v>
      </c>
      <c r="AS769" s="8" t="s">
        <v>169</v>
      </c>
      <c r="AT769" s="8" t="s">
        <v>169</v>
      </c>
      <c r="AU769" s="10" t="s">
        <v>169</v>
      </c>
      <c r="AV769" s="10">
        <v>0</v>
      </c>
      <c r="AW769" s="10" t="s">
        <v>169</v>
      </c>
      <c r="AX769" s="10" t="s">
        <v>169</v>
      </c>
      <c r="AY769" s="10"/>
      <c r="AZ769" s="10"/>
      <c r="BA769" s="10"/>
      <c r="BB769" s="8"/>
      <c r="BC769" s="8"/>
      <c r="BD769" s="8"/>
      <c r="BE769" s="8"/>
      <c r="BF769" s="12">
        <v>0.38</v>
      </c>
      <c r="BG769" s="13">
        <v>342.43788011252099</v>
      </c>
      <c r="BH769" s="96" t="str">
        <f>+VLOOKUP(G769,Liste!$A$7:$G$50,3,FALSE)</f>
        <v>Sapin pectiné</v>
      </c>
      <c r="BI769" s="96" t="str">
        <f>+VLOOKUP(H769,Liste!$B$7:$G$50,5,FALSE)</f>
        <v>GS Arc Jurassien</v>
      </c>
      <c r="BJ769" s="135">
        <f t="shared" si="225"/>
        <v>96</v>
      </c>
      <c r="BK769" s="135" t="str">
        <f t="shared" si="227"/>
        <v>Sapin pectiné_F2_Cas général_GS Arc Jurassien_96_</v>
      </c>
      <c r="BL769" s="322"/>
      <c r="BM769" s="13">
        <v>85.321414760443901</v>
      </c>
      <c r="BN769" s="13">
        <v>427.75929487296497</v>
      </c>
      <c r="BO769" s="13" t="s">
        <v>169</v>
      </c>
      <c r="BP769" s="13">
        <v>306.131842885666</v>
      </c>
      <c r="BQ769" s="13" t="s">
        <v>169</v>
      </c>
      <c r="BT769" s="298" t="str">
        <f>+VLOOKUP(G769,Liste!$A$7:$H$50,8,FALSE)</f>
        <v>Résineux</v>
      </c>
      <c r="BU769" s="298">
        <f t="shared" si="228"/>
        <v>0</v>
      </c>
      <c r="BV769" s="300">
        <f t="shared" si="229"/>
        <v>1</v>
      </c>
      <c r="BW769" s="321">
        <v>0</v>
      </c>
      <c r="BX769" s="298">
        <f t="shared" si="230"/>
        <v>0.43</v>
      </c>
      <c r="BY769">
        <f t="shared" si="231"/>
        <v>0</v>
      </c>
      <c r="BZ769" s="304">
        <f t="shared" si="232"/>
        <v>0</v>
      </c>
      <c r="CB769" s="299">
        <v>0.6</v>
      </c>
      <c r="CC769" s="299">
        <v>0.4</v>
      </c>
      <c r="CD769">
        <f t="shared" si="233"/>
        <v>0</v>
      </c>
      <c r="CE769">
        <f t="shared" si="234"/>
        <v>0</v>
      </c>
      <c r="CF769">
        <f t="shared" si="235"/>
        <v>0</v>
      </c>
      <c r="CG769">
        <f t="shared" si="236"/>
        <v>0</v>
      </c>
      <c r="CH769">
        <f t="shared" si="237"/>
        <v>0</v>
      </c>
      <c r="CI769">
        <f t="shared" si="238"/>
        <v>0</v>
      </c>
      <c r="CJ769">
        <f t="shared" si="239"/>
        <v>0</v>
      </c>
      <c r="CK769">
        <f t="shared" si="240"/>
        <v>0</v>
      </c>
      <c r="CL769">
        <f t="shared" si="241"/>
        <v>0</v>
      </c>
      <c r="CM769">
        <f t="shared" si="243"/>
        <v>0</v>
      </c>
      <c r="CN769">
        <f t="shared" si="242"/>
        <v>0</v>
      </c>
      <c r="CO769">
        <f t="shared" si="226"/>
        <v>0</v>
      </c>
    </row>
    <row r="770" spans="1:93" s="12" customFormat="1" x14ac:dyDescent="0.25">
      <c r="A770" s="4">
        <v>2013</v>
      </c>
      <c r="B770" s="318">
        <v>44265</v>
      </c>
      <c r="C770" s="4" t="s">
        <v>430</v>
      </c>
      <c r="D770" s="4" t="s">
        <v>431</v>
      </c>
      <c r="E770" s="4"/>
      <c r="F770" s="4" t="s">
        <v>1493</v>
      </c>
      <c r="G770" s="5" t="s">
        <v>432</v>
      </c>
      <c r="H770" s="5" t="s">
        <v>185</v>
      </c>
      <c r="I770" s="5" t="s">
        <v>222</v>
      </c>
      <c r="J770" s="5" t="s">
        <v>10</v>
      </c>
      <c r="K770" s="5">
        <v>15.5</v>
      </c>
      <c r="L770" s="5" t="s">
        <v>190</v>
      </c>
      <c r="M770" s="5">
        <v>2000</v>
      </c>
      <c r="N770" s="5" t="s">
        <v>171</v>
      </c>
      <c r="O770" s="6" t="s">
        <v>81</v>
      </c>
      <c r="P770" s="6" t="s">
        <v>186</v>
      </c>
      <c r="Q770" s="6"/>
      <c r="R770" s="6"/>
      <c r="S770" s="6">
        <v>57</v>
      </c>
      <c r="T770" s="6">
        <v>18.22</v>
      </c>
      <c r="U770" s="6">
        <v>1862</v>
      </c>
      <c r="V770" s="6">
        <v>45.64</v>
      </c>
      <c r="W770" s="6">
        <v>0</v>
      </c>
      <c r="X770" s="6">
        <v>0</v>
      </c>
      <c r="Y770" s="6">
        <v>1085</v>
      </c>
      <c r="Z770" s="6">
        <v>663</v>
      </c>
      <c r="AA770" s="6">
        <v>114</v>
      </c>
      <c r="AB770" s="6">
        <v>0</v>
      </c>
      <c r="AC770" s="7">
        <v>97</v>
      </c>
      <c r="AD770" s="7" t="s">
        <v>52</v>
      </c>
      <c r="AE770" s="9">
        <v>29.386174626005999</v>
      </c>
      <c r="AF770" s="7">
        <v>343</v>
      </c>
      <c r="AG770" s="7">
        <v>33.49</v>
      </c>
      <c r="AH770" s="9">
        <v>35.259085896804002</v>
      </c>
      <c r="AI770" s="9">
        <v>40.065075857894101</v>
      </c>
      <c r="AJ770" s="9">
        <v>475.69888376208701</v>
      </c>
      <c r="AK770" s="9">
        <v>477.43151459106002</v>
      </c>
      <c r="AL770" s="9">
        <v>531.52312440153003</v>
      </c>
      <c r="AM770" s="9" t="s">
        <v>169</v>
      </c>
      <c r="AN770" s="9" t="s">
        <v>169</v>
      </c>
      <c r="AO770" s="9" t="s">
        <v>169</v>
      </c>
      <c r="AP770" s="9" t="s">
        <v>169</v>
      </c>
      <c r="AQ770" s="9" t="s">
        <v>169</v>
      </c>
      <c r="AR770" s="9" t="s">
        <v>169</v>
      </c>
      <c r="AS770" s="8" t="s">
        <v>169</v>
      </c>
      <c r="AT770" s="8" t="s">
        <v>169</v>
      </c>
      <c r="AU770" s="10" t="s">
        <v>169</v>
      </c>
      <c r="AV770" s="10">
        <v>0</v>
      </c>
      <c r="AW770" s="10" t="s">
        <v>169</v>
      </c>
      <c r="AX770" s="10" t="s">
        <v>169</v>
      </c>
      <c r="AY770" s="10"/>
      <c r="AZ770" s="10"/>
      <c r="BA770" s="10"/>
      <c r="BB770" s="8"/>
      <c r="BC770" s="8"/>
      <c r="BD770" s="8"/>
      <c r="BE770" s="8"/>
      <c r="BF770" s="12">
        <v>0.38</v>
      </c>
      <c r="BG770" s="13">
        <v>351.77972116641303</v>
      </c>
      <c r="BH770" s="96" t="str">
        <f>+VLOOKUP(G770,Liste!$A$7:$G$50,3,FALSE)</f>
        <v>Sapin pectiné</v>
      </c>
      <c r="BI770" s="96" t="str">
        <f>+VLOOKUP(H770,Liste!$B$7:$G$50,5,FALSE)</f>
        <v>GS Arc Jurassien</v>
      </c>
      <c r="BJ770" s="135">
        <f t="shared" si="225"/>
        <v>97</v>
      </c>
      <c r="BK770" s="135" t="str">
        <f t="shared" si="227"/>
        <v>Sapin pectiné_F2_Cas général_GS Arc Jurassien_97_</v>
      </c>
      <c r="BL770" s="322"/>
      <c r="BM770" s="13">
        <v>87.375512102933698</v>
      </c>
      <c r="BN770" s="13">
        <v>439.15523326934601</v>
      </c>
      <c r="BO770" s="13" t="s">
        <v>169</v>
      </c>
      <c r="BP770" s="13">
        <v>306.131842885666</v>
      </c>
      <c r="BQ770" s="13" t="s">
        <v>169</v>
      </c>
      <c r="BT770" s="298" t="str">
        <f>+VLOOKUP(G770,Liste!$A$7:$H$50,8,FALSE)</f>
        <v>Résineux</v>
      </c>
      <c r="BU770" s="298">
        <f t="shared" si="228"/>
        <v>0</v>
      </c>
      <c r="BV770" s="300">
        <f t="shared" si="229"/>
        <v>1</v>
      </c>
      <c r="BW770" s="321">
        <v>0</v>
      </c>
      <c r="BX770" s="298">
        <f t="shared" si="230"/>
        <v>0.43</v>
      </c>
      <c r="BY770">
        <f t="shared" si="231"/>
        <v>0</v>
      </c>
      <c r="BZ770" s="304">
        <f t="shared" si="232"/>
        <v>0</v>
      </c>
      <c r="CB770" s="299">
        <v>0.6</v>
      </c>
      <c r="CC770" s="299">
        <v>0.4</v>
      </c>
      <c r="CD770">
        <f t="shared" si="233"/>
        <v>0</v>
      </c>
      <c r="CE770">
        <f t="shared" si="234"/>
        <v>0</v>
      </c>
      <c r="CF770">
        <f t="shared" si="235"/>
        <v>0</v>
      </c>
      <c r="CG770">
        <f t="shared" si="236"/>
        <v>0</v>
      </c>
      <c r="CH770">
        <f t="shared" si="237"/>
        <v>0</v>
      </c>
      <c r="CI770">
        <f t="shared" si="238"/>
        <v>0</v>
      </c>
      <c r="CJ770">
        <f t="shared" si="239"/>
        <v>0</v>
      </c>
      <c r="CK770">
        <f t="shared" si="240"/>
        <v>0</v>
      </c>
      <c r="CL770">
        <f t="shared" si="241"/>
        <v>0</v>
      </c>
      <c r="CM770">
        <f t="shared" si="243"/>
        <v>0</v>
      </c>
      <c r="CN770">
        <f t="shared" si="242"/>
        <v>0</v>
      </c>
      <c r="CO770">
        <f t="shared" si="226"/>
        <v>0</v>
      </c>
    </row>
    <row r="771" spans="1:93" s="12" customFormat="1" x14ac:dyDescent="0.25">
      <c r="A771" s="4">
        <v>2013</v>
      </c>
      <c r="B771" s="318">
        <v>44265</v>
      </c>
      <c r="C771" s="4" t="s">
        <v>430</v>
      </c>
      <c r="D771" s="4" t="s">
        <v>431</v>
      </c>
      <c r="E771" s="4"/>
      <c r="F771" s="4" t="s">
        <v>1493</v>
      </c>
      <c r="G771" s="5" t="s">
        <v>432</v>
      </c>
      <c r="H771" s="5" t="s">
        <v>185</v>
      </c>
      <c r="I771" s="5" t="s">
        <v>222</v>
      </c>
      <c r="J771" s="5" t="s">
        <v>10</v>
      </c>
      <c r="K771" s="5">
        <v>15.5</v>
      </c>
      <c r="L771" s="5" t="s">
        <v>190</v>
      </c>
      <c r="M771" s="5">
        <v>2000</v>
      </c>
      <c r="N771" s="5" t="s">
        <v>171</v>
      </c>
      <c r="O771" s="6" t="s">
        <v>81</v>
      </c>
      <c r="P771" s="6" t="s">
        <v>186</v>
      </c>
      <c r="Q771" s="6"/>
      <c r="R771" s="6"/>
      <c r="S771" s="6">
        <v>57</v>
      </c>
      <c r="T771" s="6">
        <v>18.22</v>
      </c>
      <c r="U771" s="6">
        <v>1862</v>
      </c>
      <c r="V771" s="6">
        <v>45.64</v>
      </c>
      <c r="W771" s="6">
        <v>0</v>
      </c>
      <c r="X771" s="6">
        <v>0</v>
      </c>
      <c r="Y771" s="6">
        <v>1085</v>
      </c>
      <c r="Z771" s="6">
        <v>663</v>
      </c>
      <c r="AA771" s="6">
        <v>114</v>
      </c>
      <c r="AB771" s="6">
        <v>0</v>
      </c>
      <c r="AC771" s="7">
        <v>98</v>
      </c>
      <c r="AD771" s="7" t="s">
        <v>52</v>
      </c>
      <c r="AE771" s="9">
        <v>29.593510498600001</v>
      </c>
      <c r="AF771" s="7">
        <v>343</v>
      </c>
      <c r="AG771" s="7">
        <v>34.17</v>
      </c>
      <c r="AH771" s="9">
        <v>35.612240634973602</v>
      </c>
      <c r="AI771" s="9">
        <v>40.449087704908997</v>
      </c>
      <c r="AJ771" s="9">
        <v>488.95280192499501</v>
      </c>
      <c r="AK771" s="9">
        <v>490.72931135165402</v>
      </c>
      <c r="AL771" s="9">
        <v>545.63822042856395</v>
      </c>
      <c r="AM771" s="9" t="s">
        <v>169</v>
      </c>
      <c r="AN771" s="9" t="s">
        <v>169</v>
      </c>
      <c r="AO771" s="9" t="s">
        <v>169</v>
      </c>
      <c r="AP771" s="9" t="s">
        <v>169</v>
      </c>
      <c r="AQ771" s="9" t="s">
        <v>169</v>
      </c>
      <c r="AR771" s="9" t="s">
        <v>169</v>
      </c>
      <c r="AS771" s="8" t="s">
        <v>169</v>
      </c>
      <c r="AT771" s="8" t="s">
        <v>169</v>
      </c>
      <c r="AU771" s="10" t="s">
        <v>169</v>
      </c>
      <c r="AV771" s="10">
        <v>0</v>
      </c>
      <c r="AW771" s="10" t="s">
        <v>169</v>
      </c>
      <c r="AX771" s="10" t="s">
        <v>169</v>
      </c>
      <c r="AY771" s="10"/>
      <c r="AZ771" s="10"/>
      <c r="BA771" s="10"/>
      <c r="BB771" s="8"/>
      <c r="BC771" s="8"/>
      <c r="BD771" s="8"/>
      <c r="BE771" s="8"/>
      <c r="BF771" s="12">
        <v>0.38</v>
      </c>
      <c r="BG771" s="13">
        <v>361.12156222030399</v>
      </c>
      <c r="BH771" s="96" t="str">
        <f>+VLOOKUP(G771,Liste!$A$7:$G$50,3,FALSE)</f>
        <v>Sapin pectiné</v>
      </c>
      <c r="BI771" s="96" t="str">
        <f>+VLOOKUP(H771,Liste!$B$7:$G$50,5,FALSE)</f>
        <v>GS Arc Jurassien</v>
      </c>
      <c r="BJ771" s="135">
        <f t="shared" ref="BJ771:BJ834" si="244">+AC771</f>
        <v>98</v>
      </c>
      <c r="BK771" s="135" t="str">
        <f t="shared" si="227"/>
        <v>Sapin pectiné_F2_Cas général_GS Arc Jurassien_98_</v>
      </c>
      <c r="BL771" s="322"/>
      <c r="BM771" s="13">
        <v>89.429609445423495</v>
      </c>
      <c r="BN771" s="13">
        <v>450.55117166572802</v>
      </c>
      <c r="BO771" s="13" t="s">
        <v>169</v>
      </c>
      <c r="BP771" s="13">
        <v>306.131842885666</v>
      </c>
      <c r="BQ771" s="13" t="s">
        <v>169</v>
      </c>
      <c r="BT771" s="298" t="str">
        <f>+VLOOKUP(G771,Liste!$A$7:$H$50,8,FALSE)</f>
        <v>Résineux</v>
      </c>
      <c r="BU771" s="298">
        <f t="shared" si="228"/>
        <v>0</v>
      </c>
      <c r="BV771" s="300">
        <f t="shared" si="229"/>
        <v>1</v>
      </c>
      <c r="BW771" s="321">
        <v>0</v>
      </c>
      <c r="BX771" s="298">
        <f t="shared" si="230"/>
        <v>0.43</v>
      </c>
      <c r="BY771">
        <f t="shared" si="231"/>
        <v>0</v>
      </c>
      <c r="BZ771" s="304">
        <f t="shared" si="232"/>
        <v>0</v>
      </c>
      <c r="CB771" s="299">
        <v>0.6</v>
      </c>
      <c r="CC771" s="299">
        <v>0.4</v>
      </c>
      <c r="CD771">
        <f t="shared" si="233"/>
        <v>0</v>
      </c>
      <c r="CE771">
        <f t="shared" si="234"/>
        <v>0</v>
      </c>
      <c r="CF771">
        <f t="shared" si="235"/>
        <v>0</v>
      </c>
      <c r="CG771">
        <f t="shared" si="236"/>
        <v>0</v>
      </c>
      <c r="CH771">
        <f t="shared" si="237"/>
        <v>0</v>
      </c>
      <c r="CI771">
        <f t="shared" si="238"/>
        <v>0</v>
      </c>
      <c r="CJ771">
        <f t="shared" si="239"/>
        <v>0</v>
      </c>
      <c r="CK771">
        <f t="shared" si="240"/>
        <v>0</v>
      </c>
      <c r="CL771">
        <f t="shared" si="241"/>
        <v>0</v>
      </c>
      <c r="CM771">
        <f t="shared" si="243"/>
        <v>0</v>
      </c>
      <c r="CN771">
        <f t="shared" si="242"/>
        <v>0</v>
      </c>
      <c r="CO771">
        <f t="shared" ref="CO771:CO834" si="245">+IF(BJ771=30,CN771/30,0)</f>
        <v>0</v>
      </c>
    </row>
    <row r="772" spans="1:93" s="12" customFormat="1" x14ac:dyDescent="0.25">
      <c r="A772" s="4">
        <v>2013</v>
      </c>
      <c r="B772" s="318">
        <v>44265</v>
      </c>
      <c r="C772" s="4" t="s">
        <v>430</v>
      </c>
      <c r="D772" s="4" t="s">
        <v>431</v>
      </c>
      <c r="E772" s="4"/>
      <c r="F772" s="4" t="s">
        <v>1493</v>
      </c>
      <c r="G772" s="5" t="s">
        <v>432</v>
      </c>
      <c r="H772" s="5" t="s">
        <v>185</v>
      </c>
      <c r="I772" s="5" t="s">
        <v>222</v>
      </c>
      <c r="J772" s="5" t="s">
        <v>10</v>
      </c>
      <c r="K772" s="5">
        <v>15.5</v>
      </c>
      <c r="L772" s="5" t="s">
        <v>190</v>
      </c>
      <c r="M772" s="5">
        <v>2000</v>
      </c>
      <c r="N772" s="5" t="s">
        <v>171</v>
      </c>
      <c r="O772" s="6" t="s">
        <v>81</v>
      </c>
      <c r="P772" s="6" t="s">
        <v>186</v>
      </c>
      <c r="Q772" s="6"/>
      <c r="R772" s="6"/>
      <c r="S772" s="6">
        <v>57</v>
      </c>
      <c r="T772" s="6">
        <v>18.22</v>
      </c>
      <c r="U772" s="6">
        <v>1862</v>
      </c>
      <c r="V772" s="6">
        <v>45.64</v>
      </c>
      <c r="W772" s="6">
        <v>0</v>
      </c>
      <c r="X772" s="6">
        <v>0</v>
      </c>
      <c r="Y772" s="6">
        <v>1085</v>
      </c>
      <c r="Z772" s="6">
        <v>663</v>
      </c>
      <c r="AA772" s="6">
        <v>114</v>
      </c>
      <c r="AB772" s="6">
        <v>0</v>
      </c>
      <c r="AC772" s="7">
        <v>99</v>
      </c>
      <c r="AD772" s="7" t="s">
        <v>52</v>
      </c>
      <c r="AE772" s="9">
        <v>29.798103358831099</v>
      </c>
      <c r="AF772" s="7">
        <v>343</v>
      </c>
      <c r="AG772" s="7">
        <v>34.83</v>
      </c>
      <c r="AH772" s="9">
        <v>35.958896694892502</v>
      </c>
      <c r="AI772" s="9">
        <v>40.825539468531801</v>
      </c>
      <c r="AJ772" s="9">
        <v>502.20672008790399</v>
      </c>
      <c r="AK772" s="9">
        <v>504.02710811224898</v>
      </c>
      <c r="AL772" s="9">
        <v>559.753316455598</v>
      </c>
      <c r="AM772" s="9">
        <v>83.578732075246293</v>
      </c>
      <c r="AN772" s="9">
        <v>0.84422961692167997</v>
      </c>
      <c r="AO772" s="9">
        <v>0.62139524979287197</v>
      </c>
      <c r="AP772" s="9">
        <v>1138.35954659871</v>
      </c>
      <c r="AQ772" s="9">
        <v>11.4985812787748</v>
      </c>
      <c r="AR772" s="9">
        <v>13.2039224840013</v>
      </c>
      <c r="AS772" s="8" t="s">
        <v>169</v>
      </c>
      <c r="AT772" s="8" t="s">
        <v>169</v>
      </c>
      <c r="AU772" s="10" t="s">
        <v>169</v>
      </c>
      <c r="AV772" s="10">
        <v>0</v>
      </c>
      <c r="AW772" s="10" t="s">
        <v>169</v>
      </c>
      <c r="AX772" s="10" t="s">
        <v>169</v>
      </c>
      <c r="AY772" s="10"/>
      <c r="AZ772" s="10"/>
      <c r="BA772" s="10"/>
      <c r="BB772" s="8"/>
      <c r="BC772" s="8"/>
      <c r="BD772" s="8"/>
      <c r="BE772" s="8"/>
      <c r="BF772" s="12">
        <v>0.38</v>
      </c>
      <c r="BG772" s="13">
        <v>370.46340327419603</v>
      </c>
      <c r="BH772" s="96" t="str">
        <f>+VLOOKUP(G772,Liste!$A$7:$G$50,3,FALSE)</f>
        <v>Sapin pectiné</v>
      </c>
      <c r="BI772" s="96" t="str">
        <f>+VLOOKUP(H772,Liste!$B$7:$G$50,5,FALSE)</f>
        <v>GS Arc Jurassien</v>
      </c>
      <c r="BJ772" s="135">
        <f t="shared" si="244"/>
        <v>99</v>
      </c>
      <c r="BK772" s="135" t="str">
        <f t="shared" ref="BK772:BK835" si="246">+_xlfn.CONCAT(BH772,"_",J772,"_",I772,"_",BI772,"_",BJ772,"_")</f>
        <v>Sapin pectiné_F2_Cas général_GS Arc Jurassien_99_</v>
      </c>
      <c r="BL772" s="322"/>
      <c r="BM772" s="13">
        <v>91.483706787913306</v>
      </c>
      <c r="BN772" s="13">
        <v>461.94711006211003</v>
      </c>
      <c r="BO772" s="13" t="s">
        <v>169</v>
      </c>
      <c r="BP772" s="13">
        <v>306.131842885666</v>
      </c>
      <c r="BQ772" s="13">
        <v>10.4897194700476</v>
      </c>
      <c r="BT772" s="298" t="str">
        <f>+VLOOKUP(G772,Liste!$A$7:$H$50,8,FALSE)</f>
        <v>Résineux</v>
      </c>
      <c r="BU772" s="298">
        <f t="shared" ref="BU772:BU835" si="247">IF(BT772="Résineux",0%,100%)</f>
        <v>0</v>
      </c>
      <c r="BV772" s="300">
        <f t="shared" ref="BV772:BV835" si="248">+IF(BT772="Résineux",100%,0%)</f>
        <v>1</v>
      </c>
      <c r="BW772" s="321">
        <v>0</v>
      </c>
      <c r="BX772" s="298">
        <f t="shared" ref="BX772:BX835" si="249">+IF(BV772&lt;&gt;0,0.43,0.25)</f>
        <v>0.43</v>
      </c>
      <c r="BY772">
        <f t="shared" ref="BY772:BY835" si="250">+IF(BJ772&lt;=30,AV772*BX772,0)</f>
        <v>0</v>
      </c>
      <c r="BZ772" s="304">
        <f t="shared" ref="BZ772:BZ835" si="251">+IF(BJ772&gt;=31,0,BY772+BZ771)</f>
        <v>0</v>
      </c>
      <c r="CB772" s="299">
        <v>0.6</v>
      </c>
      <c r="CC772" s="299">
        <v>0.4</v>
      </c>
      <c r="CD772">
        <f t="shared" ref="CD772:CD835" si="252">+IF(BJ772&lt;=31,AV772*CA772*0.5,0)</f>
        <v>0</v>
      </c>
      <c r="CE772">
        <f t="shared" ref="CE772:CE835" si="253">IF(BJ772&lt;=31,AV772*CB772,0)</f>
        <v>0</v>
      </c>
      <c r="CF772">
        <f t="shared" ref="CF772:CF835" si="254">IF(BJ772&lt;=31,AV772*CC772,0)</f>
        <v>0</v>
      </c>
      <c r="CG772">
        <f t="shared" ref="CG772:CG835" si="255">CD772*44/12*0.475*BF772</f>
        <v>0</v>
      </c>
      <c r="CH772">
        <f t="shared" ref="CH772:CH835" si="256">CE772*44/12*0.475*BF772</f>
        <v>0</v>
      </c>
      <c r="CI772">
        <f t="shared" ref="CI772:CI835" si="257">CF772*44/12*0.475*BF772</f>
        <v>0</v>
      </c>
      <c r="CJ772">
        <f t="shared" ref="CJ772:CJ835" si="258">+IF(BJ772&lt;=31,CJ771*EXP(-$CJ$1)+CG771*(1-EXP(-$CJ$1))/$CJ$1,0)</f>
        <v>0</v>
      </c>
      <c r="CK772">
        <f t="shared" ref="CK772:CK835" si="259">+IF(BJ772&lt;=31,CK771*EXP(-$CK$1)+CH771*(1-EXP(-$CK$1))/$CK$1,0)</f>
        <v>0</v>
      </c>
      <c r="CL772">
        <f t="shared" ref="CL772:CL835" si="260">+IF(BJ772&lt;=31,CL771*EXP(-$CL$1)+CI771*(1-EXP(-$CL$1))/$CL$1,0)</f>
        <v>0</v>
      </c>
      <c r="CM772">
        <f t="shared" si="243"/>
        <v>0</v>
      </c>
      <c r="CN772">
        <f t="shared" ref="CN772:CN835" si="261">+IF(BJ772&lt;=31,CM772+CN771,0)</f>
        <v>0</v>
      </c>
      <c r="CO772">
        <f t="shared" si="245"/>
        <v>0</v>
      </c>
    </row>
    <row r="773" spans="1:93" s="12" customFormat="1" x14ac:dyDescent="0.25">
      <c r="A773" s="4">
        <v>2013</v>
      </c>
      <c r="B773" s="318">
        <v>44265</v>
      </c>
      <c r="C773" s="4" t="s">
        <v>430</v>
      </c>
      <c r="D773" s="4" t="s">
        <v>431</v>
      </c>
      <c r="E773" s="4"/>
      <c r="F773" s="4" t="s">
        <v>1493</v>
      </c>
      <c r="G773" s="5" t="s">
        <v>432</v>
      </c>
      <c r="H773" s="5" t="s">
        <v>185</v>
      </c>
      <c r="I773" s="5" t="s">
        <v>222</v>
      </c>
      <c r="J773" s="5" t="s">
        <v>10</v>
      </c>
      <c r="K773" s="5">
        <v>15.5</v>
      </c>
      <c r="L773" s="5" t="s">
        <v>190</v>
      </c>
      <c r="M773" s="5">
        <v>2000</v>
      </c>
      <c r="N773" s="5" t="s">
        <v>171</v>
      </c>
      <c r="O773" s="6" t="s">
        <v>81</v>
      </c>
      <c r="P773" s="6" t="s">
        <v>186</v>
      </c>
      <c r="Q773" s="6"/>
      <c r="R773" s="6"/>
      <c r="S773" s="6">
        <v>57</v>
      </c>
      <c r="T773" s="6">
        <v>18.22</v>
      </c>
      <c r="U773" s="6">
        <v>1862</v>
      </c>
      <c r="V773" s="6">
        <v>45.64</v>
      </c>
      <c r="W773" s="6">
        <v>0</v>
      </c>
      <c r="X773" s="6">
        <v>0</v>
      </c>
      <c r="Y773" s="6">
        <v>1085</v>
      </c>
      <c r="Z773" s="6">
        <v>663</v>
      </c>
      <c r="AA773" s="6">
        <v>114</v>
      </c>
      <c r="AB773" s="6">
        <v>0</v>
      </c>
      <c r="AC773" s="7">
        <v>99</v>
      </c>
      <c r="AD773" s="7" t="s">
        <v>53</v>
      </c>
      <c r="AE773" s="9">
        <v>29.798103358831099</v>
      </c>
      <c r="AF773" s="7">
        <v>281</v>
      </c>
      <c r="AG773" s="7">
        <v>28.72</v>
      </c>
      <c r="AH773" s="9">
        <v>36.072531438447498</v>
      </c>
      <c r="AI773" s="9">
        <v>40.368352054662701</v>
      </c>
      <c r="AJ773" s="9">
        <v>414.24323794103702</v>
      </c>
      <c r="AK773" s="9">
        <v>415.75518577994501</v>
      </c>
      <c r="AL773" s="9">
        <v>461.74835949927399</v>
      </c>
      <c r="AM773" s="9">
        <v>83.578732075246293</v>
      </c>
      <c r="AN773" s="9">
        <v>0.84422961692167997</v>
      </c>
      <c r="AO773" s="9">
        <v>0.62139524979287197</v>
      </c>
      <c r="AP773" s="9">
        <v>1138.35954659871</v>
      </c>
      <c r="AQ773" s="9">
        <v>11.4985812787748</v>
      </c>
      <c r="AR773" s="9">
        <v>13.2039224840013</v>
      </c>
      <c r="AS773" s="8">
        <v>62</v>
      </c>
      <c r="AT773" s="8">
        <v>6.1099999999999994</v>
      </c>
      <c r="AU773" s="10">
        <v>35.422549812440288</v>
      </c>
      <c r="AV773" s="10">
        <v>87.963482146866966</v>
      </c>
      <c r="AW773" s="10">
        <v>0.97039136481865806</v>
      </c>
      <c r="AX773" s="10">
        <v>1.4187658410784993</v>
      </c>
      <c r="AY773" s="10"/>
      <c r="AZ773" s="10"/>
      <c r="BA773" s="10"/>
      <c r="BB773" s="8"/>
      <c r="BC773" s="8"/>
      <c r="BD773" s="8"/>
      <c r="BE773" s="8"/>
      <c r="BF773" s="12">
        <v>0.38</v>
      </c>
      <c r="BG773" s="13">
        <v>305.60045592860303</v>
      </c>
      <c r="BH773" s="96" t="str">
        <f>+VLOOKUP(G773,Liste!$A$7:$G$50,3,FALSE)</f>
        <v>Sapin pectiné</v>
      </c>
      <c r="BI773" s="96" t="str">
        <f>+VLOOKUP(H773,Liste!$B$7:$G$50,5,FALSE)</f>
        <v>GS Arc Jurassien</v>
      </c>
      <c r="BJ773" s="135">
        <f t="shared" si="244"/>
        <v>99</v>
      </c>
      <c r="BK773" s="135" t="str">
        <f t="shared" si="246"/>
        <v>Sapin pectiné_F2_Cas général_GS Arc Jurassien_99_</v>
      </c>
      <c r="BL773" s="322"/>
      <c r="BM773" s="13">
        <v>77.176035985438403</v>
      </c>
      <c r="BN773" s="13">
        <v>382.776491914041</v>
      </c>
      <c r="BO773" s="13">
        <v>79.170618148069025</v>
      </c>
      <c r="BP773" s="13">
        <v>306.131842885666</v>
      </c>
      <c r="BQ773" s="13">
        <v>10.4897194700476</v>
      </c>
      <c r="BT773" s="298" t="str">
        <f>+VLOOKUP(G773,Liste!$A$7:$H$50,8,FALSE)</f>
        <v>Résineux</v>
      </c>
      <c r="BU773" s="298">
        <f t="shared" si="247"/>
        <v>0</v>
      </c>
      <c r="BV773" s="300">
        <f t="shared" si="248"/>
        <v>1</v>
      </c>
      <c r="BW773" s="321">
        <v>0</v>
      </c>
      <c r="BX773" s="298">
        <f t="shared" si="249"/>
        <v>0.43</v>
      </c>
      <c r="BY773">
        <f t="shared" si="250"/>
        <v>0</v>
      </c>
      <c r="BZ773" s="304">
        <f t="shared" si="251"/>
        <v>0</v>
      </c>
      <c r="CB773" s="299">
        <v>0.6</v>
      </c>
      <c r="CC773" s="299">
        <v>0.4</v>
      </c>
      <c r="CD773">
        <f t="shared" si="252"/>
        <v>0</v>
      </c>
      <c r="CE773">
        <f t="shared" si="253"/>
        <v>0</v>
      </c>
      <c r="CF773">
        <f t="shared" si="254"/>
        <v>0</v>
      </c>
      <c r="CG773">
        <f t="shared" si="255"/>
        <v>0</v>
      </c>
      <c r="CH773">
        <f t="shared" si="256"/>
        <v>0</v>
      </c>
      <c r="CI773">
        <f t="shared" si="257"/>
        <v>0</v>
      </c>
      <c r="CJ773">
        <f t="shared" si="258"/>
        <v>0</v>
      </c>
      <c r="CK773">
        <f t="shared" si="259"/>
        <v>0</v>
      </c>
      <c r="CL773">
        <f t="shared" si="260"/>
        <v>0</v>
      </c>
      <c r="CM773">
        <f t="shared" ref="CM773:CM836" si="262">+CJ773+CK773+CL773</f>
        <v>0</v>
      </c>
      <c r="CN773">
        <f t="shared" si="261"/>
        <v>0</v>
      </c>
      <c r="CO773">
        <f t="shared" si="245"/>
        <v>0</v>
      </c>
    </row>
    <row r="774" spans="1:93" s="12" customFormat="1" x14ac:dyDescent="0.25">
      <c r="A774" s="4">
        <v>2013</v>
      </c>
      <c r="B774" s="318">
        <v>44265</v>
      </c>
      <c r="C774" s="4" t="s">
        <v>430</v>
      </c>
      <c r="D774" s="4" t="s">
        <v>431</v>
      </c>
      <c r="E774" s="4"/>
      <c r="F774" s="4" t="s">
        <v>1493</v>
      </c>
      <c r="G774" s="5" t="s">
        <v>432</v>
      </c>
      <c r="H774" s="5" t="s">
        <v>185</v>
      </c>
      <c r="I774" s="5" t="s">
        <v>222</v>
      </c>
      <c r="J774" s="5" t="s">
        <v>10</v>
      </c>
      <c r="K774" s="5">
        <v>15.5</v>
      </c>
      <c r="L774" s="5" t="s">
        <v>190</v>
      </c>
      <c r="M774" s="5">
        <v>2000</v>
      </c>
      <c r="N774" s="5" t="s">
        <v>171</v>
      </c>
      <c r="O774" s="6" t="s">
        <v>81</v>
      </c>
      <c r="P774" s="6" t="s">
        <v>186</v>
      </c>
      <c r="Q774" s="6"/>
      <c r="R774" s="6"/>
      <c r="S774" s="6">
        <v>57</v>
      </c>
      <c r="T774" s="6">
        <v>18.22</v>
      </c>
      <c r="U774" s="6">
        <v>1862</v>
      </c>
      <c r="V774" s="6">
        <v>45.64</v>
      </c>
      <c r="W774" s="6">
        <v>0</v>
      </c>
      <c r="X774" s="6">
        <v>0</v>
      </c>
      <c r="Y774" s="6">
        <v>1085</v>
      </c>
      <c r="Z774" s="6">
        <v>663</v>
      </c>
      <c r="AA774" s="6">
        <v>114</v>
      </c>
      <c r="AB774" s="6">
        <v>0</v>
      </c>
      <c r="AC774" s="7">
        <v>100</v>
      </c>
      <c r="AD774" s="7" t="s">
        <v>52</v>
      </c>
      <c r="AE774" s="9">
        <v>30</v>
      </c>
      <c r="AF774" s="7">
        <v>281</v>
      </c>
      <c r="AG774" s="7">
        <v>29.35</v>
      </c>
      <c r="AH774" s="9">
        <v>36.465535179478799</v>
      </c>
      <c r="AI774" s="9">
        <v>40.790996871497804</v>
      </c>
      <c r="AJ774" s="9">
        <v>426.69390684924099</v>
      </c>
      <c r="AK774" s="9">
        <v>428.245591016991</v>
      </c>
      <c r="AL774" s="9">
        <v>474.95228198327499</v>
      </c>
      <c r="AM774" s="9" t="s">
        <v>169</v>
      </c>
      <c r="AN774" s="9" t="s">
        <v>169</v>
      </c>
      <c r="AO774" s="9" t="s">
        <v>169</v>
      </c>
      <c r="AP774" s="9" t="s">
        <v>169</v>
      </c>
      <c r="AQ774" s="9" t="s">
        <v>169</v>
      </c>
      <c r="AR774" s="9" t="s">
        <v>169</v>
      </c>
      <c r="AS774" s="8" t="s">
        <v>169</v>
      </c>
      <c r="AT774" s="8" t="s">
        <v>169</v>
      </c>
      <c r="AU774" s="10" t="s">
        <v>169</v>
      </c>
      <c r="AV774" s="10">
        <v>0</v>
      </c>
      <c r="AW774" s="10" t="s">
        <v>169</v>
      </c>
      <c r="AX774" s="10" t="s">
        <v>169</v>
      </c>
      <c r="AY774" s="10"/>
      <c r="AZ774" s="10"/>
      <c r="BA774" s="10"/>
      <c r="BB774" s="8"/>
      <c r="BC774" s="8"/>
      <c r="BD774" s="8"/>
      <c r="BE774" s="8"/>
      <c r="BF774" s="12">
        <v>0.38</v>
      </c>
      <c r="BG774" s="13">
        <v>314.339251959264</v>
      </c>
      <c r="BH774" s="96" t="str">
        <f>+VLOOKUP(G774,Liste!$A$7:$G$50,3,FALSE)</f>
        <v>Sapin pectiné</v>
      </c>
      <c r="BI774" s="96" t="str">
        <f>+VLOOKUP(H774,Liste!$B$7:$G$50,5,FALSE)</f>
        <v>GS Arc Jurassien</v>
      </c>
      <c r="BJ774" s="135">
        <f t="shared" si="244"/>
        <v>100</v>
      </c>
      <c r="BK774" s="135" t="str">
        <f t="shared" si="246"/>
        <v>Sapin pectiné_F2_Cas général_GS Arc Jurassien_100_</v>
      </c>
      <c r="BL774" s="322"/>
      <c r="BM774" s="13">
        <v>79.1135813102117</v>
      </c>
      <c r="BN774" s="13">
        <v>393.452833269476</v>
      </c>
      <c r="BO774" s="13" t="s">
        <v>169</v>
      </c>
      <c r="BP774" s="13">
        <v>306.131842885666</v>
      </c>
      <c r="BQ774" s="13" t="s">
        <v>169</v>
      </c>
      <c r="BT774" s="298" t="str">
        <f>+VLOOKUP(G774,Liste!$A$7:$H$50,8,FALSE)</f>
        <v>Résineux</v>
      </c>
      <c r="BU774" s="298">
        <f t="shared" si="247"/>
        <v>0</v>
      </c>
      <c r="BV774" s="300">
        <f t="shared" si="248"/>
        <v>1</v>
      </c>
      <c r="BW774" s="321">
        <v>0</v>
      </c>
      <c r="BX774" s="298">
        <f t="shared" si="249"/>
        <v>0.43</v>
      </c>
      <c r="BY774">
        <f t="shared" si="250"/>
        <v>0</v>
      </c>
      <c r="BZ774" s="304">
        <f t="shared" si="251"/>
        <v>0</v>
      </c>
      <c r="CB774" s="299">
        <v>0.6</v>
      </c>
      <c r="CC774" s="299">
        <v>0.4</v>
      </c>
      <c r="CD774">
        <f t="shared" si="252"/>
        <v>0</v>
      </c>
      <c r="CE774">
        <f t="shared" si="253"/>
        <v>0</v>
      </c>
      <c r="CF774">
        <f t="shared" si="254"/>
        <v>0</v>
      </c>
      <c r="CG774">
        <f t="shared" si="255"/>
        <v>0</v>
      </c>
      <c r="CH774">
        <f t="shared" si="256"/>
        <v>0</v>
      </c>
      <c r="CI774">
        <f t="shared" si="257"/>
        <v>0</v>
      </c>
      <c r="CJ774">
        <f t="shared" si="258"/>
        <v>0</v>
      </c>
      <c r="CK774">
        <f t="shared" si="259"/>
        <v>0</v>
      </c>
      <c r="CL774">
        <f t="shared" si="260"/>
        <v>0</v>
      </c>
      <c r="CM774">
        <f t="shared" si="262"/>
        <v>0</v>
      </c>
      <c r="CN774">
        <f t="shared" si="261"/>
        <v>0</v>
      </c>
      <c r="CO774">
        <f t="shared" si="245"/>
        <v>0</v>
      </c>
    </row>
    <row r="775" spans="1:93" s="12" customFormat="1" x14ac:dyDescent="0.25">
      <c r="A775" s="4">
        <v>2013</v>
      </c>
      <c r="B775" s="318">
        <v>44265</v>
      </c>
      <c r="C775" s="4" t="s">
        <v>430</v>
      </c>
      <c r="D775" s="4" t="s">
        <v>431</v>
      </c>
      <c r="E775" s="4"/>
      <c r="F775" s="4" t="s">
        <v>1493</v>
      </c>
      <c r="G775" s="5" t="s">
        <v>432</v>
      </c>
      <c r="H775" s="5" t="s">
        <v>185</v>
      </c>
      <c r="I775" s="5" t="s">
        <v>222</v>
      </c>
      <c r="J775" s="5" t="s">
        <v>10</v>
      </c>
      <c r="K775" s="5">
        <v>15.5</v>
      </c>
      <c r="L775" s="5" t="s">
        <v>190</v>
      </c>
      <c r="M775" s="5">
        <v>2000</v>
      </c>
      <c r="N775" s="5" t="s">
        <v>171</v>
      </c>
      <c r="O775" s="6" t="s">
        <v>81</v>
      </c>
      <c r="P775" s="6" t="s">
        <v>186</v>
      </c>
      <c r="Q775" s="6"/>
      <c r="R775" s="6"/>
      <c r="S775" s="6">
        <v>57</v>
      </c>
      <c r="T775" s="6">
        <v>18.22</v>
      </c>
      <c r="U775" s="6">
        <v>1862</v>
      </c>
      <c r="V775" s="6">
        <v>45.64</v>
      </c>
      <c r="W775" s="6">
        <v>0</v>
      </c>
      <c r="X775" s="6">
        <v>0</v>
      </c>
      <c r="Y775" s="6">
        <v>1085</v>
      </c>
      <c r="Z775" s="6">
        <v>663</v>
      </c>
      <c r="AA775" s="6">
        <v>114</v>
      </c>
      <c r="AB775" s="6">
        <v>0</v>
      </c>
      <c r="AC775" s="7">
        <v>101</v>
      </c>
      <c r="AD775" s="7" t="s">
        <v>52</v>
      </c>
      <c r="AE775" s="9">
        <v>30.199246414932801</v>
      </c>
      <c r="AF775" s="7">
        <v>281</v>
      </c>
      <c r="AG775" s="7">
        <v>29.97</v>
      </c>
      <c r="AH775" s="9">
        <v>36.851172718961401</v>
      </c>
      <c r="AI775" s="9">
        <v>41.205205361630803</v>
      </c>
      <c r="AJ775" s="9">
        <v>439.14457575744501</v>
      </c>
      <c r="AK775" s="9">
        <v>440.73599625403602</v>
      </c>
      <c r="AL775" s="9">
        <v>488.15620446727598</v>
      </c>
      <c r="AM775" s="9" t="s">
        <v>169</v>
      </c>
      <c r="AN775" s="9" t="s">
        <v>169</v>
      </c>
      <c r="AO775" s="9" t="s">
        <v>169</v>
      </c>
      <c r="AP775" s="9" t="s">
        <v>169</v>
      </c>
      <c r="AQ775" s="9" t="s">
        <v>169</v>
      </c>
      <c r="AR775" s="9" t="s">
        <v>169</v>
      </c>
      <c r="AS775" s="8" t="s">
        <v>169</v>
      </c>
      <c r="AT775" s="8" t="s">
        <v>169</v>
      </c>
      <c r="AU775" s="10" t="s">
        <v>169</v>
      </c>
      <c r="AV775" s="10">
        <v>0</v>
      </c>
      <c r="AW775" s="10" t="s">
        <v>169</v>
      </c>
      <c r="AX775" s="10" t="s">
        <v>169</v>
      </c>
      <c r="AY775" s="10"/>
      <c r="AZ775" s="10"/>
      <c r="BA775" s="10"/>
      <c r="BB775" s="8"/>
      <c r="BC775" s="8"/>
      <c r="BD775" s="8"/>
      <c r="BE775" s="8"/>
      <c r="BF775" s="12">
        <v>0.38</v>
      </c>
      <c r="BG775" s="13">
        <v>323.07804798992601</v>
      </c>
      <c r="BH775" s="96" t="str">
        <f>+VLOOKUP(G775,Liste!$A$7:$G$50,3,FALSE)</f>
        <v>Sapin pectiné</v>
      </c>
      <c r="BI775" s="96" t="str">
        <f>+VLOOKUP(H775,Liste!$B$7:$G$50,5,FALSE)</f>
        <v>GS Arc Jurassien</v>
      </c>
      <c r="BJ775" s="135">
        <f t="shared" si="244"/>
        <v>101</v>
      </c>
      <c r="BK775" s="135" t="str">
        <f t="shared" si="246"/>
        <v>Sapin pectiné_F2_Cas général_GS Arc Jurassien_101_</v>
      </c>
      <c r="BL775" s="322"/>
      <c r="BM775" s="13">
        <v>81.051126634985096</v>
      </c>
      <c r="BN775" s="13">
        <v>404.129174624911</v>
      </c>
      <c r="BO775" s="13" t="s">
        <v>169</v>
      </c>
      <c r="BP775" s="13">
        <v>306.131842885666</v>
      </c>
      <c r="BQ775" s="13" t="s">
        <v>169</v>
      </c>
      <c r="BT775" s="298" t="str">
        <f>+VLOOKUP(G775,Liste!$A$7:$H$50,8,FALSE)</f>
        <v>Résineux</v>
      </c>
      <c r="BU775" s="298">
        <f t="shared" si="247"/>
        <v>0</v>
      </c>
      <c r="BV775" s="300">
        <f t="shared" si="248"/>
        <v>1</v>
      </c>
      <c r="BW775" s="321">
        <v>0</v>
      </c>
      <c r="BX775" s="298">
        <f t="shared" si="249"/>
        <v>0.43</v>
      </c>
      <c r="BY775">
        <f t="shared" si="250"/>
        <v>0</v>
      </c>
      <c r="BZ775" s="304">
        <f t="shared" si="251"/>
        <v>0</v>
      </c>
      <c r="CB775" s="299">
        <v>0.6</v>
      </c>
      <c r="CC775" s="299">
        <v>0.4</v>
      </c>
      <c r="CD775">
        <f t="shared" si="252"/>
        <v>0</v>
      </c>
      <c r="CE775">
        <f t="shared" si="253"/>
        <v>0</v>
      </c>
      <c r="CF775">
        <f t="shared" si="254"/>
        <v>0</v>
      </c>
      <c r="CG775">
        <f t="shared" si="255"/>
        <v>0</v>
      </c>
      <c r="CH775">
        <f t="shared" si="256"/>
        <v>0</v>
      </c>
      <c r="CI775">
        <f t="shared" si="257"/>
        <v>0</v>
      </c>
      <c r="CJ775">
        <f t="shared" si="258"/>
        <v>0</v>
      </c>
      <c r="CK775">
        <f t="shared" si="259"/>
        <v>0</v>
      </c>
      <c r="CL775">
        <f t="shared" si="260"/>
        <v>0</v>
      </c>
      <c r="CM775">
        <f t="shared" si="262"/>
        <v>0</v>
      </c>
      <c r="CN775">
        <f t="shared" si="261"/>
        <v>0</v>
      </c>
      <c r="CO775">
        <f t="shared" si="245"/>
        <v>0</v>
      </c>
    </row>
    <row r="776" spans="1:93" s="12" customFormat="1" x14ac:dyDescent="0.25">
      <c r="A776" s="4">
        <v>2013</v>
      </c>
      <c r="B776" s="318">
        <v>44265</v>
      </c>
      <c r="C776" s="4" t="s">
        <v>430</v>
      </c>
      <c r="D776" s="4" t="s">
        <v>431</v>
      </c>
      <c r="E776" s="4"/>
      <c r="F776" s="4" t="s">
        <v>1493</v>
      </c>
      <c r="G776" s="5" t="s">
        <v>432</v>
      </c>
      <c r="H776" s="5" t="s">
        <v>185</v>
      </c>
      <c r="I776" s="5" t="s">
        <v>222</v>
      </c>
      <c r="J776" s="5" t="s">
        <v>10</v>
      </c>
      <c r="K776" s="5">
        <v>15.5</v>
      </c>
      <c r="L776" s="5" t="s">
        <v>190</v>
      </c>
      <c r="M776" s="5">
        <v>2000</v>
      </c>
      <c r="N776" s="5" t="s">
        <v>171</v>
      </c>
      <c r="O776" s="6" t="s">
        <v>81</v>
      </c>
      <c r="P776" s="6" t="s">
        <v>186</v>
      </c>
      <c r="Q776" s="6"/>
      <c r="R776" s="6"/>
      <c r="S776" s="6">
        <v>57</v>
      </c>
      <c r="T776" s="6">
        <v>18.22</v>
      </c>
      <c r="U776" s="6">
        <v>1862</v>
      </c>
      <c r="V776" s="6">
        <v>45.64</v>
      </c>
      <c r="W776" s="6">
        <v>0</v>
      </c>
      <c r="X776" s="6">
        <v>0</v>
      </c>
      <c r="Y776" s="6">
        <v>1085</v>
      </c>
      <c r="Z776" s="6">
        <v>663</v>
      </c>
      <c r="AA776" s="6">
        <v>114</v>
      </c>
      <c r="AB776" s="6">
        <v>0</v>
      </c>
      <c r="AC776" s="7">
        <v>102</v>
      </c>
      <c r="AD776" s="7" t="s">
        <v>52</v>
      </c>
      <c r="AE776" s="9">
        <v>30.3958877991479</v>
      </c>
      <c r="AF776" s="7">
        <v>281</v>
      </c>
      <c r="AG776" s="7">
        <v>30.59</v>
      </c>
      <c r="AH776" s="9">
        <v>37.229664113683</v>
      </c>
      <c r="AI776" s="9">
        <v>41.611254434113903</v>
      </c>
      <c r="AJ776" s="9">
        <v>451.59524466565</v>
      </c>
      <c r="AK776" s="9">
        <v>453.22640149108202</v>
      </c>
      <c r="AL776" s="9">
        <v>501.36012695127698</v>
      </c>
      <c r="AM776" s="9" t="s">
        <v>169</v>
      </c>
      <c r="AN776" s="9" t="s">
        <v>169</v>
      </c>
      <c r="AO776" s="9" t="s">
        <v>169</v>
      </c>
      <c r="AP776" s="9" t="s">
        <v>169</v>
      </c>
      <c r="AQ776" s="9" t="s">
        <v>169</v>
      </c>
      <c r="AR776" s="9" t="s">
        <v>169</v>
      </c>
      <c r="AS776" s="8" t="s">
        <v>169</v>
      </c>
      <c r="AT776" s="8" t="s">
        <v>169</v>
      </c>
      <c r="AU776" s="10" t="s">
        <v>169</v>
      </c>
      <c r="AV776" s="10">
        <v>0</v>
      </c>
      <c r="AW776" s="10" t="s">
        <v>169</v>
      </c>
      <c r="AX776" s="10" t="s">
        <v>169</v>
      </c>
      <c r="AY776" s="10"/>
      <c r="AZ776" s="10"/>
      <c r="BA776" s="10"/>
      <c r="BB776" s="8"/>
      <c r="BC776" s="8"/>
      <c r="BD776" s="8"/>
      <c r="BE776" s="8"/>
      <c r="BF776" s="12">
        <v>0.38</v>
      </c>
      <c r="BG776" s="13">
        <v>331.81684402058698</v>
      </c>
      <c r="BH776" s="96" t="str">
        <f>+VLOOKUP(G776,Liste!$A$7:$G$50,3,FALSE)</f>
        <v>Sapin pectiné</v>
      </c>
      <c r="BI776" s="96" t="str">
        <f>+VLOOKUP(H776,Liste!$B$7:$G$50,5,FALSE)</f>
        <v>GS Arc Jurassien</v>
      </c>
      <c r="BJ776" s="135">
        <f t="shared" si="244"/>
        <v>102</v>
      </c>
      <c r="BK776" s="135" t="str">
        <f t="shared" si="246"/>
        <v>Sapin pectiné_F2_Cas général_GS Arc Jurassien_102_</v>
      </c>
      <c r="BL776" s="322"/>
      <c r="BM776" s="13">
        <v>82.988671959758506</v>
      </c>
      <c r="BN776" s="13">
        <v>414.805515980346</v>
      </c>
      <c r="BO776" s="13" t="s">
        <v>169</v>
      </c>
      <c r="BP776" s="13">
        <v>306.131842885666</v>
      </c>
      <c r="BQ776" s="13" t="s">
        <v>169</v>
      </c>
      <c r="BT776" s="298" t="str">
        <f>+VLOOKUP(G776,Liste!$A$7:$H$50,8,FALSE)</f>
        <v>Résineux</v>
      </c>
      <c r="BU776" s="298">
        <f t="shared" si="247"/>
        <v>0</v>
      </c>
      <c r="BV776" s="300">
        <f t="shared" si="248"/>
        <v>1</v>
      </c>
      <c r="BW776" s="321">
        <v>0</v>
      </c>
      <c r="BX776" s="298">
        <f t="shared" si="249"/>
        <v>0.43</v>
      </c>
      <c r="BY776">
        <f t="shared" si="250"/>
        <v>0</v>
      </c>
      <c r="BZ776" s="304">
        <f t="shared" si="251"/>
        <v>0</v>
      </c>
      <c r="CB776" s="299">
        <v>0.6</v>
      </c>
      <c r="CC776" s="299">
        <v>0.4</v>
      </c>
      <c r="CD776">
        <f t="shared" si="252"/>
        <v>0</v>
      </c>
      <c r="CE776">
        <f t="shared" si="253"/>
        <v>0</v>
      </c>
      <c r="CF776">
        <f t="shared" si="254"/>
        <v>0</v>
      </c>
      <c r="CG776">
        <f t="shared" si="255"/>
        <v>0</v>
      </c>
      <c r="CH776">
        <f t="shared" si="256"/>
        <v>0</v>
      </c>
      <c r="CI776">
        <f t="shared" si="257"/>
        <v>0</v>
      </c>
      <c r="CJ776">
        <f t="shared" si="258"/>
        <v>0</v>
      </c>
      <c r="CK776">
        <f t="shared" si="259"/>
        <v>0</v>
      </c>
      <c r="CL776">
        <f t="shared" si="260"/>
        <v>0</v>
      </c>
      <c r="CM776">
        <f t="shared" si="262"/>
        <v>0</v>
      </c>
      <c r="CN776">
        <f t="shared" si="261"/>
        <v>0</v>
      </c>
      <c r="CO776">
        <f t="shared" si="245"/>
        <v>0</v>
      </c>
    </row>
    <row r="777" spans="1:93" s="12" customFormat="1" x14ac:dyDescent="0.25">
      <c r="A777" s="4">
        <v>2013</v>
      </c>
      <c r="B777" s="318">
        <v>44265</v>
      </c>
      <c r="C777" s="4" t="s">
        <v>430</v>
      </c>
      <c r="D777" s="4" t="s">
        <v>431</v>
      </c>
      <c r="E777" s="4"/>
      <c r="F777" s="4" t="s">
        <v>1493</v>
      </c>
      <c r="G777" s="5" t="s">
        <v>432</v>
      </c>
      <c r="H777" s="5" t="s">
        <v>185</v>
      </c>
      <c r="I777" s="5" t="s">
        <v>222</v>
      </c>
      <c r="J777" s="5" t="s">
        <v>10</v>
      </c>
      <c r="K777" s="5">
        <v>15.5</v>
      </c>
      <c r="L777" s="5" t="s">
        <v>190</v>
      </c>
      <c r="M777" s="5">
        <v>2000</v>
      </c>
      <c r="N777" s="5" t="s">
        <v>171</v>
      </c>
      <c r="O777" s="6" t="s">
        <v>81</v>
      </c>
      <c r="P777" s="6" t="s">
        <v>186</v>
      </c>
      <c r="Q777" s="6"/>
      <c r="R777" s="6"/>
      <c r="S777" s="6">
        <v>57</v>
      </c>
      <c r="T777" s="6">
        <v>18.22</v>
      </c>
      <c r="U777" s="6">
        <v>1862</v>
      </c>
      <c r="V777" s="6">
        <v>45.64</v>
      </c>
      <c r="W777" s="6">
        <v>0</v>
      </c>
      <c r="X777" s="6">
        <v>0</v>
      </c>
      <c r="Y777" s="6">
        <v>1085</v>
      </c>
      <c r="Z777" s="6">
        <v>663</v>
      </c>
      <c r="AA777" s="6">
        <v>114</v>
      </c>
      <c r="AB777" s="6">
        <v>0</v>
      </c>
      <c r="AC777" s="7">
        <v>103</v>
      </c>
      <c r="AD777" s="7" t="s">
        <v>52</v>
      </c>
      <c r="AE777" s="9">
        <v>30.589968555195899</v>
      </c>
      <c r="AF777" s="7">
        <v>281</v>
      </c>
      <c r="AG777" s="7">
        <v>31.2</v>
      </c>
      <c r="AH777" s="9">
        <v>37.601219718879904</v>
      </c>
      <c r="AI777" s="9">
        <v>42.009407417506701</v>
      </c>
      <c r="AJ777" s="9">
        <v>464.04591357385402</v>
      </c>
      <c r="AK777" s="9">
        <v>465.71680672812801</v>
      </c>
      <c r="AL777" s="9">
        <v>514.564049435279</v>
      </c>
      <c r="AM777" s="9">
        <v>86.064313074417797</v>
      </c>
      <c r="AN777" s="9">
        <v>0.83557585509143495</v>
      </c>
      <c r="AO777" s="9">
        <v>0.59805550332206703</v>
      </c>
      <c r="AP777" s="9">
        <v>1191.1752365347099</v>
      </c>
      <c r="AQ777" s="9">
        <v>11.564808121696201</v>
      </c>
      <c r="AR777" s="9">
        <v>12.929568229905399</v>
      </c>
      <c r="AS777" s="8" t="s">
        <v>169</v>
      </c>
      <c r="AT777" s="8" t="s">
        <v>169</v>
      </c>
      <c r="AU777" s="10" t="s">
        <v>169</v>
      </c>
      <c r="AV777" s="10">
        <v>0</v>
      </c>
      <c r="AW777" s="10" t="s">
        <v>169</v>
      </c>
      <c r="AX777" s="10" t="s">
        <v>169</v>
      </c>
      <c r="AY777" s="10"/>
      <c r="AZ777" s="10"/>
      <c r="BA777" s="10"/>
      <c r="BB777" s="8"/>
      <c r="BC777" s="8"/>
      <c r="BD777" s="8"/>
      <c r="BE777" s="8"/>
      <c r="BF777" s="12">
        <v>0.38</v>
      </c>
      <c r="BG777" s="13">
        <v>340.55564005124899</v>
      </c>
      <c r="BH777" s="96" t="str">
        <f>+VLOOKUP(G777,Liste!$A$7:$G$50,3,FALSE)</f>
        <v>Sapin pectiné</v>
      </c>
      <c r="BI777" s="96" t="str">
        <f>+VLOOKUP(H777,Liste!$B$7:$G$50,5,FALSE)</f>
        <v>GS Arc Jurassien</v>
      </c>
      <c r="BJ777" s="135">
        <f t="shared" si="244"/>
        <v>103</v>
      </c>
      <c r="BK777" s="135" t="str">
        <f t="shared" si="246"/>
        <v>Sapin pectiné_F2_Cas général_GS Arc Jurassien_103_</v>
      </c>
      <c r="BL777" s="322"/>
      <c r="BM777" s="13">
        <v>84.926217284531802</v>
      </c>
      <c r="BN777" s="13">
        <v>425.48185733577998</v>
      </c>
      <c r="BO777" s="13" t="s">
        <v>169</v>
      </c>
      <c r="BP777" s="13">
        <v>306.131842885666</v>
      </c>
      <c r="BQ777" s="13">
        <v>10.2619787402967</v>
      </c>
      <c r="BT777" s="298" t="str">
        <f>+VLOOKUP(G777,Liste!$A$7:$H$50,8,FALSE)</f>
        <v>Résineux</v>
      </c>
      <c r="BU777" s="298">
        <f t="shared" si="247"/>
        <v>0</v>
      </c>
      <c r="BV777" s="300">
        <f t="shared" si="248"/>
        <v>1</v>
      </c>
      <c r="BW777" s="321">
        <v>0</v>
      </c>
      <c r="BX777" s="298">
        <f t="shared" si="249"/>
        <v>0.43</v>
      </c>
      <c r="BY777">
        <f t="shared" si="250"/>
        <v>0</v>
      </c>
      <c r="BZ777" s="304">
        <f t="shared" si="251"/>
        <v>0</v>
      </c>
      <c r="CB777" s="299">
        <v>0.6</v>
      </c>
      <c r="CC777" s="299">
        <v>0.4</v>
      </c>
      <c r="CD777">
        <f t="shared" si="252"/>
        <v>0</v>
      </c>
      <c r="CE777">
        <f t="shared" si="253"/>
        <v>0</v>
      </c>
      <c r="CF777">
        <f t="shared" si="254"/>
        <v>0</v>
      </c>
      <c r="CG777">
        <f t="shared" si="255"/>
        <v>0</v>
      </c>
      <c r="CH777">
        <f t="shared" si="256"/>
        <v>0</v>
      </c>
      <c r="CI777">
        <f t="shared" si="257"/>
        <v>0</v>
      </c>
      <c r="CJ777">
        <f t="shared" si="258"/>
        <v>0</v>
      </c>
      <c r="CK777">
        <f t="shared" si="259"/>
        <v>0</v>
      </c>
      <c r="CL777">
        <f t="shared" si="260"/>
        <v>0</v>
      </c>
      <c r="CM777">
        <f t="shared" si="262"/>
        <v>0</v>
      </c>
      <c r="CN777">
        <f t="shared" si="261"/>
        <v>0</v>
      </c>
      <c r="CO777">
        <f t="shared" si="245"/>
        <v>0</v>
      </c>
    </row>
    <row r="778" spans="1:93" s="12" customFormat="1" x14ac:dyDescent="0.25">
      <c r="A778" s="4">
        <v>2013</v>
      </c>
      <c r="B778" s="318">
        <v>44265</v>
      </c>
      <c r="C778" s="4" t="s">
        <v>430</v>
      </c>
      <c r="D778" s="4" t="s">
        <v>431</v>
      </c>
      <c r="E778" s="4"/>
      <c r="F778" s="4" t="s">
        <v>1493</v>
      </c>
      <c r="G778" s="5" t="s">
        <v>432</v>
      </c>
      <c r="H778" s="5" t="s">
        <v>185</v>
      </c>
      <c r="I778" s="5" t="s">
        <v>222</v>
      </c>
      <c r="J778" s="5" t="s">
        <v>10</v>
      </c>
      <c r="K778" s="5">
        <v>15.5</v>
      </c>
      <c r="L778" s="5" t="s">
        <v>190</v>
      </c>
      <c r="M778" s="5">
        <v>2000</v>
      </c>
      <c r="N778" s="5" t="s">
        <v>171</v>
      </c>
      <c r="O778" s="6" t="s">
        <v>81</v>
      </c>
      <c r="P778" s="6" t="s">
        <v>186</v>
      </c>
      <c r="Q778" s="6"/>
      <c r="R778" s="6"/>
      <c r="S778" s="6">
        <v>57</v>
      </c>
      <c r="T778" s="6">
        <v>18.22</v>
      </c>
      <c r="U778" s="6">
        <v>1862</v>
      </c>
      <c r="V778" s="6">
        <v>45.64</v>
      </c>
      <c r="W778" s="6">
        <v>0</v>
      </c>
      <c r="X778" s="6">
        <v>0</v>
      </c>
      <c r="Y778" s="6">
        <v>1085</v>
      </c>
      <c r="Z778" s="6">
        <v>663</v>
      </c>
      <c r="AA778" s="6">
        <v>114</v>
      </c>
      <c r="AB778" s="6">
        <v>0</v>
      </c>
      <c r="AC778" s="7">
        <v>104</v>
      </c>
      <c r="AD778" s="7" t="s">
        <v>52</v>
      </c>
      <c r="AE778" s="9">
        <v>30.781532298043501</v>
      </c>
      <c r="AF778" s="7">
        <v>281</v>
      </c>
      <c r="AG778" s="7">
        <v>31.81</v>
      </c>
      <c r="AH778" s="9">
        <v>37.9660406688119</v>
      </c>
      <c r="AI778" s="9">
        <v>42.399914794720303</v>
      </c>
      <c r="AJ778" s="9">
        <v>476.27358650566498</v>
      </c>
      <c r="AK778" s="9">
        <v>477.98268183564699</v>
      </c>
      <c r="AL778" s="9">
        <v>527.49361766518405</v>
      </c>
      <c r="AM778" s="9" t="s">
        <v>169</v>
      </c>
      <c r="AN778" s="9" t="s">
        <v>169</v>
      </c>
      <c r="AO778" s="9" t="s">
        <v>169</v>
      </c>
      <c r="AP778" s="9" t="s">
        <v>169</v>
      </c>
      <c r="AQ778" s="9" t="s">
        <v>169</v>
      </c>
      <c r="AR778" s="9" t="s">
        <v>169</v>
      </c>
      <c r="AS778" s="8" t="s">
        <v>169</v>
      </c>
      <c r="AT778" s="8" t="s">
        <v>169</v>
      </c>
      <c r="AU778" s="10" t="s">
        <v>169</v>
      </c>
      <c r="AV778" s="10">
        <v>0</v>
      </c>
      <c r="AW778" s="10" t="s">
        <v>169</v>
      </c>
      <c r="AX778" s="10" t="s">
        <v>169</v>
      </c>
      <c r="AY778" s="10"/>
      <c r="AZ778" s="10"/>
      <c r="BA778" s="10"/>
      <c r="BB778" s="8"/>
      <c r="BC778" s="8"/>
      <c r="BD778" s="8"/>
      <c r="BE778" s="8"/>
      <c r="BF778" s="12">
        <v>0.38</v>
      </c>
      <c r="BG778" s="13">
        <v>349.11285929140797</v>
      </c>
      <c r="BH778" s="96" t="str">
        <f>+VLOOKUP(G778,Liste!$A$7:$G$50,3,FALSE)</f>
        <v>Sapin pectiné</v>
      </c>
      <c r="BI778" s="96" t="str">
        <f>+VLOOKUP(H778,Liste!$B$7:$G$50,5,FALSE)</f>
        <v>GS Arc Jurassien</v>
      </c>
      <c r="BJ778" s="135">
        <f t="shared" si="244"/>
        <v>104</v>
      </c>
      <c r="BK778" s="135" t="str">
        <f t="shared" si="246"/>
        <v>Sapin pectiné_F2_Cas général_GS Arc Jurassien_104_</v>
      </c>
      <c r="BL778" s="322"/>
      <c r="BM778" s="13">
        <v>86.7986022531814</v>
      </c>
      <c r="BN778" s="13">
        <v>435.91146154458897</v>
      </c>
      <c r="BO778" s="13" t="s">
        <v>169</v>
      </c>
      <c r="BP778" s="13">
        <v>306.131842885666</v>
      </c>
      <c r="BQ778" s="13" t="s">
        <v>169</v>
      </c>
      <c r="BT778" s="298" t="str">
        <f>+VLOOKUP(G778,Liste!$A$7:$H$50,8,FALSE)</f>
        <v>Résineux</v>
      </c>
      <c r="BU778" s="298">
        <f t="shared" si="247"/>
        <v>0</v>
      </c>
      <c r="BV778" s="300">
        <f t="shared" si="248"/>
        <v>1</v>
      </c>
      <c r="BW778" s="321">
        <v>0</v>
      </c>
      <c r="BX778" s="298">
        <f t="shared" si="249"/>
        <v>0.43</v>
      </c>
      <c r="BY778">
        <f t="shared" si="250"/>
        <v>0</v>
      </c>
      <c r="BZ778" s="304">
        <f t="shared" si="251"/>
        <v>0</v>
      </c>
      <c r="CB778" s="299">
        <v>0.6</v>
      </c>
      <c r="CC778" s="299">
        <v>0.4</v>
      </c>
      <c r="CD778">
        <f t="shared" si="252"/>
        <v>0</v>
      </c>
      <c r="CE778">
        <f t="shared" si="253"/>
        <v>0</v>
      </c>
      <c r="CF778">
        <f t="shared" si="254"/>
        <v>0</v>
      </c>
      <c r="CG778">
        <f t="shared" si="255"/>
        <v>0</v>
      </c>
      <c r="CH778">
        <f t="shared" si="256"/>
        <v>0</v>
      </c>
      <c r="CI778">
        <f t="shared" si="257"/>
        <v>0</v>
      </c>
      <c r="CJ778">
        <f t="shared" si="258"/>
        <v>0</v>
      </c>
      <c r="CK778">
        <f t="shared" si="259"/>
        <v>0</v>
      </c>
      <c r="CL778">
        <f t="shared" si="260"/>
        <v>0</v>
      </c>
      <c r="CM778">
        <f t="shared" si="262"/>
        <v>0</v>
      </c>
      <c r="CN778">
        <f t="shared" si="261"/>
        <v>0</v>
      </c>
      <c r="CO778">
        <f t="shared" si="245"/>
        <v>0</v>
      </c>
    </row>
    <row r="779" spans="1:93" s="12" customFormat="1" x14ac:dyDescent="0.25">
      <c r="A779" s="4">
        <v>2013</v>
      </c>
      <c r="B779" s="318">
        <v>44265</v>
      </c>
      <c r="C779" s="4" t="s">
        <v>430</v>
      </c>
      <c r="D779" s="4" t="s">
        <v>431</v>
      </c>
      <c r="E779" s="4"/>
      <c r="F779" s="4" t="s">
        <v>1493</v>
      </c>
      <c r="G779" s="5" t="s">
        <v>432</v>
      </c>
      <c r="H779" s="5" t="s">
        <v>185</v>
      </c>
      <c r="I779" s="5" t="s">
        <v>222</v>
      </c>
      <c r="J779" s="5" t="s">
        <v>10</v>
      </c>
      <c r="K779" s="5">
        <v>15.5</v>
      </c>
      <c r="L779" s="5" t="s">
        <v>190</v>
      </c>
      <c r="M779" s="5">
        <v>2000</v>
      </c>
      <c r="N779" s="5" t="s">
        <v>171</v>
      </c>
      <c r="O779" s="6" t="s">
        <v>81</v>
      </c>
      <c r="P779" s="6" t="s">
        <v>186</v>
      </c>
      <c r="Q779" s="6"/>
      <c r="R779" s="6"/>
      <c r="S779" s="6">
        <v>57</v>
      </c>
      <c r="T779" s="6">
        <v>18.22</v>
      </c>
      <c r="U779" s="6">
        <v>1862</v>
      </c>
      <c r="V779" s="6">
        <v>45.64</v>
      </c>
      <c r="W779" s="6">
        <v>0</v>
      </c>
      <c r="X779" s="6">
        <v>0</v>
      </c>
      <c r="Y779" s="6">
        <v>1085</v>
      </c>
      <c r="Z779" s="6">
        <v>663</v>
      </c>
      <c r="AA779" s="6">
        <v>114</v>
      </c>
      <c r="AB779" s="6">
        <v>0</v>
      </c>
      <c r="AC779" s="7">
        <v>105</v>
      </c>
      <c r="AD779" s="7" t="s">
        <v>52</v>
      </c>
      <c r="AE779" s="9">
        <v>30.970621861378699</v>
      </c>
      <c r="AF779" s="7">
        <v>281</v>
      </c>
      <c r="AG779" s="7">
        <v>32.409999999999997</v>
      </c>
      <c r="AH779" s="9">
        <v>38.324319515575297</v>
      </c>
      <c r="AI779" s="9">
        <v>42.783015083991302</v>
      </c>
      <c r="AJ779" s="9">
        <v>488.50125943747702</v>
      </c>
      <c r="AK779" s="9">
        <v>490.24855694316602</v>
      </c>
      <c r="AL779" s="9">
        <v>540.42318589508898</v>
      </c>
      <c r="AM779" s="9" t="s">
        <v>169</v>
      </c>
      <c r="AN779" s="9" t="s">
        <v>169</v>
      </c>
      <c r="AO779" s="9" t="s">
        <v>169</v>
      </c>
      <c r="AP779" s="9" t="s">
        <v>169</v>
      </c>
      <c r="AQ779" s="9" t="s">
        <v>169</v>
      </c>
      <c r="AR779" s="9" t="s">
        <v>169</v>
      </c>
      <c r="AS779" s="8" t="s">
        <v>169</v>
      </c>
      <c r="AT779" s="8" t="s">
        <v>169</v>
      </c>
      <c r="AU779" s="10" t="s">
        <v>169</v>
      </c>
      <c r="AV779" s="10">
        <v>0</v>
      </c>
      <c r="AW779" s="10" t="s">
        <v>169</v>
      </c>
      <c r="AX779" s="10" t="s">
        <v>169</v>
      </c>
      <c r="AY779" s="10"/>
      <c r="AZ779" s="10"/>
      <c r="BA779" s="10"/>
      <c r="BB779" s="8"/>
      <c r="BC779" s="8"/>
      <c r="BD779" s="8"/>
      <c r="BE779" s="8"/>
      <c r="BF779" s="12">
        <v>0.38</v>
      </c>
      <c r="BG779" s="13">
        <v>357.67007853156701</v>
      </c>
      <c r="BH779" s="96" t="str">
        <f>+VLOOKUP(G779,Liste!$A$7:$G$50,3,FALSE)</f>
        <v>Sapin pectiné</v>
      </c>
      <c r="BI779" s="96" t="str">
        <f>+VLOOKUP(H779,Liste!$B$7:$G$50,5,FALSE)</f>
        <v>GS Arc Jurassien</v>
      </c>
      <c r="BJ779" s="135">
        <f t="shared" si="244"/>
        <v>105</v>
      </c>
      <c r="BK779" s="135" t="str">
        <f t="shared" si="246"/>
        <v>Sapin pectiné_F2_Cas général_GS Arc Jurassien_105_</v>
      </c>
      <c r="BL779" s="322"/>
      <c r="BM779" s="13">
        <v>88.670987221830899</v>
      </c>
      <c r="BN779" s="13">
        <v>446.34106575339803</v>
      </c>
      <c r="BO779" s="13" t="s">
        <v>169</v>
      </c>
      <c r="BP779" s="13">
        <v>306.131842885666</v>
      </c>
      <c r="BQ779" s="13" t="s">
        <v>169</v>
      </c>
      <c r="BT779" s="298" t="str">
        <f>+VLOOKUP(G779,Liste!$A$7:$H$50,8,FALSE)</f>
        <v>Résineux</v>
      </c>
      <c r="BU779" s="298">
        <f t="shared" si="247"/>
        <v>0</v>
      </c>
      <c r="BV779" s="300">
        <f t="shared" si="248"/>
        <v>1</v>
      </c>
      <c r="BW779" s="321">
        <v>0</v>
      </c>
      <c r="BX779" s="298">
        <f t="shared" si="249"/>
        <v>0.43</v>
      </c>
      <c r="BY779">
        <f t="shared" si="250"/>
        <v>0</v>
      </c>
      <c r="BZ779" s="304">
        <f t="shared" si="251"/>
        <v>0</v>
      </c>
      <c r="CB779" s="299">
        <v>0.6</v>
      </c>
      <c r="CC779" s="299">
        <v>0.4</v>
      </c>
      <c r="CD779">
        <f t="shared" si="252"/>
        <v>0</v>
      </c>
      <c r="CE779">
        <f t="shared" si="253"/>
        <v>0</v>
      </c>
      <c r="CF779">
        <f t="shared" si="254"/>
        <v>0</v>
      </c>
      <c r="CG779">
        <f t="shared" si="255"/>
        <v>0</v>
      </c>
      <c r="CH779">
        <f t="shared" si="256"/>
        <v>0</v>
      </c>
      <c r="CI779">
        <f t="shared" si="257"/>
        <v>0</v>
      </c>
      <c r="CJ779">
        <f t="shared" si="258"/>
        <v>0</v>
      </c>
      <c r="CK779">
        <f t="shared" si="259"/>
        <v>0</v>
      </c>
      <c r="CL779">
        <f t="shared" si="260"/>
        <v>0</v>
      </c>
      <c r="CM779">
        <f t="shared" si="262"/>
        <v>0</v>
      </c>
      <c r="CN779">
        <f t="shared" si="261"/>
        <v>0</v>
      </c>
      <c r="CO779">
        <f t="shared" si="245"/>
        <v>0</v>
      </c>
    </row>
    <row r="780" spans="1:93" s="12" customFormat="1" x14ac:dyDescent="0.25">
      <c r="A780" s="4">
        <v>2013</v>
      </c>
      <c r="B780" s="318">
        <v>44265</v>
      </c>
      <c r="C780" s="4" t="s">
        <v>430</v>
      </c>
      <c r="D780" s="4" t="s">
        <v>431</v>
      </c>
      <c r="E780" s="4"/>
      <c r="F780" s="4" t="s">
        <v>1493</v>
      </c>
      <c r="G780" s="5" t="s">
        <v>432</v>
      </c>
      <c r="H780" s="5" t="s">
        <v>185</v>
      </c>
      <c r="I780" s="5" t="s">
        <v>222</v>
      </c>
      <c r="J780" s="5" t="s">
        <v>10</v>
      </c>
      <c r="K780" s="5">
        <v>15.5</v>
      </c>
      <c r="L780" s="5" t="s">
        <v>190</v>
      </c>
      <c r="M780" s="5">
        <v>2000</v>
      </c>
      <c r="N780" s="5" t="s">
        <v>171</v>
      </c>
      <c r="O780" s="6" t="s">
        <v>81</v>
      </c>
      <c r="P780" s="6" t="s">
        <v>186</v>
      </c>
      <c r="Q780" s="6"/>
      <c r="R780" s="6"/>
      <c r="S780" s="6">
        <v>57</v>
      </c>
      <c r="T780" s="6">
        <v>18.22</v>
      </c>
      <c r="U780" s="6">
        <v>1862</v>
      </c>
      <c r="V780" s="6">
        <v>45.64</v>
      </c>
      <c r="W780" s="6">
        <v>0</v>
      </c>
      <c r="X780" s="6">
        <v>0</v>
      </c>
      <c r="Y780" s="6">
        <v>1085</v>
      </c>
      <c r="Z780" s="6">
        <v>663</v>
      </c>
      <c r="AA780" s="6">
        <v>114</v>
      </c>
      <c r="AB780" s="6">
        <v>0</v>
      </c>
      <c r="AC780" s="7">
        <v>106</v>
      </c>
      <c r="AD780" s="7" t="s">
        <v>52</v>
      </c>
      <c r="AE780" s="9">
        <v>31.157279304730999</v>
      </c>
      <c r="AF780" s="7">
        <v>281</v>
      </c>
      <c r="AG780" s="7">
        <v>33.01</v>
      </c>
      <c r="AH780" s="9">
        <v>38.676240634781401</v>
      </c>
      <c r="AI780" s="9">
        <v>43.158935628498099</v>
      </c>
      <c r="AJ780" s="9">
        <v>500.72893236928797</v>
      </c>
      <c r="AK780" s="9">
        <v>502.514432050685</v>
      </c>
      <c r="AL780" s="9">
        <v>553.35275412499504</v>
      </c>
      <c r="AM780" s="9" t="s">
        <v>169</v>
      </c>
      <c r="AN780" s="9" t="s">
        <v>169</v>
      </c>
      <c r="AO780" s="9" t="s">
        <v>169</v>
      </c>
      <c r="AP780" s="9" t="s">
        <v>169</v>
      </c>
      <c r="AQ780" s="9" t="s">
        <v>169</v>
      </c>
      <c r="AR780" s="9" t="s">
        <v>169</v>
      </c>
      <c r="AS780" s="8" t="s">
        <v>169</v>
      </c>
      <c r="AT780" s="8" t="s">
        <v>169</v>
      </c>
      <c r="AU780" s="10" t="s">
        <v>169</v>
      </c>
      <c r="AV780" s="10">
        <v>0</v>
      </c>
      <c r="AW780" s="10" t="s">
        <v>169</v>
      </c>
      <c r="AX780" s="10" t="s">
        <v>169</v>
      </c>
      <c r="AY780" s="10"/>
      <c r="AZ780" s="10"/>
      <c r="BA780" s="10"/>
      <c r="BB780" s="8"/>
      <c r="BC780" s="8"/>
      <c r="BD780" s="8"/>
      <c r="BE780" s="8"/>
      <c r="BF780" s="12">
        <v>0.38</v>
      </c>
      <c r="BG780" s="13">
        <v>366.227297771726</v>
      </c>
      <c r="BH780" s="96" t="str">
        <f>+VLOOKUP(G780,Liste!$A$7:$G$50,3,FALSE)</f>
        <v>Sapin pectiné</v>
      </c>
      <c r="BI780" s="96" t="str">
        <f>+VLOOKUP(H780,Liste!$B$7:$G$50,5,FALSE)</f>
        <v>GS Arc Jurassien</v>
      </c>
      <c r="BJ780" s="135">
        <f t="shared" si="244"/>
        <v>106</v>
      </c>
      <c r="BK780" s="135" t="str">
        <f t="shared" si="246"/>
        <v>Sapin pectiné_F2_Cas général_GS Arc Jurassien_106_</v>
      </c>
      <c r="BL780" s="322"/>
      <c r="BM780" s="13">
        <v>90.543372190480497</v>
      </c>
      <c r="BN780" s="13">
        <v>456.770669962206</v>
      </c>
      <c r="BO780" s="13" t="s">
        <v>169</v>
      </c>
      <c r="BP780" s="13">
        <v>306.131842885666</v>
      </c>
      <c r="BQ780" s="13" t="s">
        <v>169</v>
      </c>
      <c r="BT780" s="298" t="str">
        <f>+VLOOKUP(G780,Liste!$A$7:$H$50,8,FALSE)</f>
        <v>Résineux</v>
      </c>
      <c r="BU780" s="298">
        <f t="shared" si="247"/>
        <v>0</v>
      </c>
      <c r="BV780" s="300">
        <f t="shared" si="248"/>
        <v>1</v>
      </c>
      <c r="BW780" s="321">
        <v>0</v>
      </c>
      <c r="BX780" s="298">
        <f t="shared" si="249"/>
        <v>0.43</v>
      </c>
      <c r="BY780">
        <f t="shared" si="250"/>
        <v>0</v>
      </c>
      <c r="BZ780" s="304">
        <f t="shared" si="251"/>
        <v>0</v>
      </c>
      <c r="CB780" s="299">
        <v>0.6</v>
      </c>
      <c r="CC780" s="299">
        <v>0.4</v>
      </c>
      <c r="CD780">
        <f t="shared" si="252"/>
        <v>0</v>
      </c>
      <c r="CE780">
        <f t="shared" si="253"/>
        <v>0</v>
      </c>
      <c r="CF780">
        <f t="shared" si="254"/>
        <v>0</v>
      </c>
      <c r="CG780">
        <f t="shared" si="255"/>
        <v>0</v>
      </c>
      <c r="CH780">
        <f t="shared" si="256"/>
        <v>0</v>
      </c>
      <c r="CI780">
        <f t="shared" si="257"/>
        <v>0</v>
      </c>
      <c r="CJ780">
        <f t="shared" si="258"/>
        <v>0</v>
      </c>
      <c r="CK780">
        <f t="shared" si="259"/>
        <v>0</v>
      </c>
      <c r="CL780">
        <f t="shared" si="260"/>
        <v>0</v>
      </c>
      <c r="CM780">
        <f t="shared" si="262"/>
        <v>0</v>
      </c>
      <c r="CN780">
        <f t="shared" si="261"/>
        <v>0</v>
      </c>
      <c r="CO780">
        <f t="shared" si="245"/>
        <v>0</v>
      </c>
    </row>
    <row r="781" spans="1:93" s="12" customFormat="1" x14ac:dyDescent="0.25">
      <c r="A781" s="4">
        <v>2013</v>
      </c>
      <c r="B781" s="318">
        <v>44265</v>
      </c>
      <c r="C781" s="4" t="s">
        <v>430</v>
      </c>
      <c r="D781" s="4" t="s">
        <v>431</v>
      </c>
      <c r="E781" s="4"/>
      <c r="F781" s="4" t="s">
        <v>1493</v>
      </c>
      <c r="G781" s="5" t="s">
        <v>432</v>
      </c>
      <c r="H781" s="5" t="s">
        <v>185</v>
      </c>
      <c r="I781" s="5" t="s">
        <v>222</v>
      </c>
      <c r="J781" s="5" t="s">
        <v>10</v>
      </c>
      <c r="K781" s="5">
        <v>15.5</v>
      </c>
      <c r="L781" s="5" t="s">
        <v>190</v>
      </c>
      <c r="M781" s="5">
        <v>2000</v>
      </c>
      <c r="N781" s="5" t="s">
        <v>171</v>
      </c>
      <c r="O781" s="6" t="s">
        <v>81</v>
      </c>
      <c r="P781" s="6" t="s">
        <v>186</v>
      </c>
      <c r="Q781" s="6"/>
      <c r="R781" s="6"/>
      <c r="S781" s="6">
        <v>57</v>
      </c>
      <c r="T781" s="6">
        <v>18.22</v>
      </c>
      <c r="U781" s="6">
        <v>1862</v>
      </c>
      <c r="V781" s="6">
        <v>45.64</v>
      </c>
      <c r="W781" s="6">
        <v>0</v>
      </c>
      <c r="X781" s="6">
        <v>0</v>
      </c>
      <c r="Y781" s="6">
        <v>1085</v>
      </c>
      <c r="Z781" s="6">
        <v>663</v>
      </c>
      <c r="AA781" s="6">
        <v>114</v>
      </c>
      <c r="AB781" s="6">
        <v>0</v>
      </c>
      <c r="AC781" s="7">
        <v>107</v>
      </c>
      <c r="AD781" s="7" t="s">
        <v>52</v>
      </c>
      <c r="AE781" s="9">
        <v>31.341545921305901</v>
      </c>
      <c r="AF781" s="7">
        <v>281</v>
      </c>
      <c r="AG781" s="7">
        <v>33.61</v>
      </c>
      <c r="AH781" s="9">
        <v>39.021981034597701</v>
      </c>
      <c r="AI781" s="9">
        <v>43.527893757843898</v>
      </c>
      <c r="AJ781" s="9">
        <v>512.95660530109899</v>
      </c>
      <c r="AK781" s="9">
        <v>514.78030715820398</v>
      </c>
      <c r="AL781" s="9">
        <v>566.28232235489997</v>
      </c>
      <c r="AM781" s="9" t="s">
        <v>169</v>
      </c>
      <c r="AN781" s="9" t="s">
        <v>169</v>
      </c>
      <c r="AO781" s="9" t="s">
        <v>169</v>
      </c>
      <c r="AP781" s="9" t="s">
        <v>169</v>
      </c>
      <c r="AQ781" s="9" t="s">
        <v>169</v>
      </c>
      <c r="AR781" s="9" t="s">
        <v>169</v>
      </c>
      <c r="AS781" s="8" t="s">
        <v>169</v>
      </c>
      <c r="AT781" s="8" t="s">
        <v>169</v>
      </c>
      <c r="AU781" s="10" t="s">
        <v>169</v>
      </c>
      <c r="AV781" s="10">
        <v>0</v>
      </c>
      <c r="AW781" s="10" t="s">
        <v>169</v>
      </c>
      <c r="AX781" s="10" t="s">
        <v>169</v>
      </c>
      <c r="AY781" s="10"/>
      <c r="AZ781" s="10"/>
      <c r="BA781" s="10"/>
      <c r="BB781" s="8"/>
      <c r="BC781" s="8"/>
      <c r="BD781" s="8"/>
      <c r="BE781" s="8"/>
      <c r="BF781" s="12">
        <v>0.38</v>
      </c>
      <c r="BG781" s="13">
        <v>374.78451701188499</v>
      </c>
      <c r="BH781" s="96" t="str">
        <f>+VLOOKUP(G781,Liste!$A$7:$G$50,3,FALSE)</f>
        <v>Sapin pectiné</v>
      </c>
      <c r="BI781" s="96" t="str">
        <f>+VLOOKUP(H781,Liste!$B$7:$G$50,5,FALSE)</f>
        <v>GS Arc Jurassien</v>
      </c>
      <c r="BJ781" s="135">
        <f t="shared" si="244"/>
        <v>107</v>
      </c>
      <c r="BK781" s="135" t="str">
        <f t="shared" si="246"/>
        <v>Sapin pectiné_F2_Cas général_GS Arc Jurassien_107_</v>
      </c>
      <c r="BL781" s="322"/>
      <c r="BM781" s="13">
        <v>92.415757159129996</v>
      </c>
      <c r="BN781" s="13">
        <v>467.200274171015</v>
      </c>
      <c r="BO781" s="13" t="s">
        <v>169</v>
      </c>
      <c r="BP781" s="13">
        <v>306.131842885666</v>
      </c>
      <c r="BQ781" s="13" t="s">
        <v>169</v>
      </c>
      <c r="BT781" s="298" t="str">
        <f>+VLOOKUP(G781,Liste!$A$7:$H$50,8,FALSE)</f>
        <v>Résineux</v>
      </c>
      <c r="BU781" s="298">
        <f t="shared" si="247"/>
        <v>0</v>
      </c>
      <c r="BV781" s="300">
        <f t="shared" si="248"/>
        <v>1</v>
      </c>
      <c r="BW781" s="321">
        <v>0</v>
      </c>
      <c r="BX781" s="298">
        <f t="shared" si="249"/>
        <v>0.43</v>
      </c>
      <c r="BY781">
        <f t="shared" si="250"/>
        <v>0</v>
      </c>
      <c r="BZ781" s="304">
        <f t="shared" si="251"/>
        <v>0</v>
      </c>
      <c r="CB781" s="299">
        <v>0.6</v>
      </c>
      <c r="CC781" s="299">
        <v>0.4</v>
      </c>
      <c r="CD781">
        <f t="shared" si="252"/>
        <v>0</v>
      </c>
      <c r="CE781">
        <f t="shared" si="253"/>
        <v>0</v>
      </c>
      <c r="CF781">
        <f t="shared" si="254"/>
        <v>0</v>
      </c>
      <c r="CG781">
        <f t="shared" si="255"/>
        <v>0</v>
      </c>
      <c r="CH781">
        <f t="shared" si="256"/>
        <v>0</v>
      </c>
      <c r="CI781">
        <f t="shared" si="257"/>
        <v>0</v>
      </c>
      <c r="CJ781">
        <f t="shared" si="258"/>
        <v>0</v>
      </c>
      <c r="CK781">
        <f t="shared" si="259"/>
        <v>0</v>
      </c>
      <c r="CL781">
        <f t="shared" si="260"/>
        <v>0</v>
      </c>
      <c r="CM781">
        <f t="shared" si="262"/>
        <v>0</v>
      </c>
      <c r="CN781">
        <f t="shared" si="261"/>
        <v>0</v>
      </c>
      <c r="CO781">
        <f t="shared" si="245"/>
        <v>0</v>
      </c>
    </row>
    <row r="782" spans="1:93" s="12" customFormat="1" x14ac:dyDescent="0.25">
      <c r="A782" s="4">
        <v>2013</v>
      </c>
      <c r="B782" s="318">
        <v>44265</v>
      </c>
      <c r="C782" s="4" t="s">
        <v>430</v>
      </c>
      <c r="D782" s="4" t="s">
        <v>431</v>
      </c>
      <c r="E782" s="4"/>
      <c r="F782" s="4" t="s">
        <v>1493</v>
      </c>
      <c r="G782" s="5" t="s">
        <v>432</v>
      </c>
      <c r="H782" s="5" t="s">
        <v>185</v>
      </c>
      <c r="I782" s="5" t="s">
        <v>222</v>
      </c>
      <c r="J782" s="5" t="s">
        <v>10</v>
      </c>
      <c r="K782" s="5">
        <v>15.5</v>
      </c>
      <c r="L782" s="5" t="s">
        <v>190</v>
      </c>
      <c r="M782" s="5">
        <v>2000</v>
      </c>
      <c r="N782" s="5" t="s">
        <v>171</v>
      </c>
      <c r="O782" s="6" t="s">
        <v>81</v>
      </c>
      <c r="P782" s="6" t="s">
        <v>186</v>
      </c>
      <c r="Q782" s="6"/>
      <c r="R782" s="6"/>
      <c r="S782" s="6">
        <v>57</v>
      </c>
      <c r="T782" s="6">
        <v>18.22</v>
      </c>
      <c r="U782" s="6">
        <v>1862</v>
      </c>
      <c r="V782" s="6">
        <v>45.64</v>
      </c>
      <c r="W782" s="6">
        <v>0</v>
      </c>
      <c r="X782" s="6">
        <v>0</v>
      </c>
      <c r="Y782" s="6">
        <v>1085</v>
      </c>
      <c r="Z782" s="6">
        <v>663</v>
      </c>
      <c r="AA782" s="6">
        <v>114</v>
      </c>
      <c r="AB782" s="6">
        <v>0</v>
      </c>
      <c r="AC782" s="7">
        <v>108</v>
      </c>
      <c r="AD782" s="7" t="s">
        <v>52</v>
      </c>
      <c r="AE782" s="9">
        <v>31.523462246443501</v>
      </c>
      <c r="AF782" s="7">
        <v>281</v>
      </c>
      <c r="AG782" s="7">
        <v>34.19</v>
      </c>
      <c r="AH782" s="9">
        <v>39.361710281033297</v>
      </c>
      <c r="AI782" s="9">
        <v>43.890096496989599</v>
      </c>
      <c r="AJ782" s="9">
        <v>525.18427823291097</v>
      </c>
      <c r="AK782" s="9">
        <v>527.04618226572302</v>
      </c>
      <c r="AL782" s="9">
        <v>579.21189058480604</v>
      </c>
      <c r="AM782" s="9">
        <v>89.054590591028102</v>
      </c>
      <c r="AN782" s="9">
        <v>0.82457954250952004</v>
      </c>
      <c r="AO782" s="9">
        <v>0.54964124816232396</v>
      </c>
      <c r="AP782" s="9">
        <v>1255.8230776842399</v>
      </c>
      <c r="AQ782" s="9">
        <v>11.627991460039199</v>
      </c>
      <c r="AR782" s="9">
        <v>12.030541077604701</v>
      </c>
      <c r="AS782" s="8" t="s">
        <v>169</v>
      </c>
      <c r="AT782" s="8" t="s">
        <v>169</v>
      </c>
      <c r="AU782" s="10" t="s">
        <v>169</v>
      </c>
      <c r="AV782" s="10">
        <v>0</v>
      </c>
      <c r="AW782" s="10" t="s">
        <v>169</v>
      </c>
      <c r="AX782" s="10" t="s">
        <v>169</v>
      </c>
      <c r="AY782" s="10"/>
      <c r="AZ782" s="10"/>
      <c r="BA782" s="10"/>
      <c r="BB782" s="8"/>
      <c r="BC782" s="8"/>
      <c r="BD782" s="8"/>
      <c r="BE782" s="8"/>
      <c r="BF782" s="12">
        <v>0.38</v>
      </c>
      <c r="BG782" s="13">
        <v>383.34173625204397</v>
      </c>
      <c r="BH782" s="96" t="str">
        <f>+VLOOKUP(G782,Liste!$A$7:$G$50,3,FALSE)</f>
        <v>Sapin pectiné</v>
      </c>
      <c r="BI782" s="96" t="str">
        <f>+VLOOKUP(H782,Liste!$B$7:$G$50,5,FALSE)</f>
        <v>GS Arc Jurassien</v>
      </c>
      <c r="BJ782" s="135">
        <f t="shared" si="244"/>
        <v>108</v>
      </c>
      <c r="BK782" s="135" t="str">
        <f t="shared" si="246"/>
        <v>Sapin pectiné_F2_Cas général_GS Arc Jurassien_108_</v>
      </c>
      <c r="BL782" s="322"/>
      <c r="BM782" s="13">
        <v>94.288142127779594</v>
      </c>
      <c r="BN782" s="13">
        <v>477.62987837982303</v>
      </c>
      <c r="BO782" s="13" t="s">
        <v>169</v>
      </c>
      <c r="BP782" s="13">
        <v>306.131842885666</v>
      </c>
      <c r="BQ782" s="13">
        <v>9.5401274239851794</v>
      </c>
      <c r="BT782" s="298" t="str">
        <f>+VLOOKUP(G782,Liste!$A$7:$H$50,8,FALSE)</f>
        <v>Résineux</v>
      </c>
      <c r="BU782" s="298">
        <f t="shared" si="247"/>
        <v>0</v>
      </c>
      <c r="BV782" s="300">
        <f t="shared" si="248"/>
        <v>1</v>
      </c>
      <c r="BW782" s="321">
        <v>0</v>
      </c>
      <c r="BX782" s="298">
        <f t="shared" si="249"/>
        <v>0.43</v>
      </c>
      <c r="BY782">
        <f t="shared" si="250"/>
        <v>0</v>
      </c>
      <c r="BZ782" s="304">
        <f t="shared" si="251"/>
        <v>0</v>
      </c>
      <c r="CB782" s="299">
        <v>0.6</v>
      </c>
      <c r="CC782" s="299">
        <v>0.4</v>
      </c>
      <c r="CD782">
        <f t="shared" si="252"/>
        <v>0</v>
      </c>
      <c r="CE782">
        <f t="shared" si="253"/>
        <v>0</v>
      </c>
      <c r="CF782">
        <f t="shared" si="254"/>
        <v>0</v>
      </c>
      <c r="CG782">
        <f t="shared" si="255"/>
        <v>0</v>
      </c>
      <c r="CH782">
        <f t="shared" si="256"/>
        <v>0</v>
      </c>
      <c r="CI782">
        <f t="shared" si="257"/>
        <v>0</v>
      </c>
      <c r="CJ782">
        <f t="shared" si="258"/>
        <v>0</v>
      </c>
      <c r="CK782">
        <f t="shared" si="259"/>
        <v>0</v>
      </c>
      <c r="CL782">
        <f t="shared" si="260"/>
        <v>0</v>
      </c>
      <c r="CM782">
        <f t="shared" si="262"/>
        <v>0</v>
      </c>
      <c r="CN782">
        <f t="shared" si="261"/>
        <v>0</v>
      </c>
      <c r="CO782">
        <f t="shared" si="245"/>
        <v>0</v>
      </c>
    </row>
    <row r="783" spans="1:93" s="12" customFormat="1" x14ac:dyDescent="0.25">
      <c r="A783" s="4">
        <v>2013</v>
      </c>
      <c r="B783" s="318">
        <v>44265</v>
      </c>
      <c r="C783" s="4" t="s">
        <v>430</v>
      </c>
      <c r="D783" s="4" t="s">
        <v>431</v>
      </c>
      <c r="E783" s="4"/>
      <c r="F783" s="4" t="s">
        <v>1493</v>
      </c>
      <c r="G783" s="5" t="s">
        <v>432</v>
      </c>
      <c r="H783" s="5" t="s">
        <v>185</v>
      </c>
      <c r="I783" s="5" t="s">
        <v>222</v>
      </c>
      <c r="J783" s="5" t="s">
        <v>10</v>
      </c>
      <c r="K783" s="5">
        <v>15.5</v>
      </c>
      <c r="L783" s="5" t="s">
        <v>190</v>
      </c>
      <c r="M783" s="5">
        <v>2000</v>
      </c>
      <c r="N783" s="5" t="s">
        <v>171</v>
      </c>
      <c r="O783" s="6" t="s">
        <v>81</v>
      </c>
      <c r="P783" s="6" t="s">
        <v>186</v>
      </c>
      <c r="Q783" s="6"/>
      <c r="R783" s="6"/>
      <c r="S783" s="6">
        <v>57</v>
      </c>
      <c r="T783" s="6">
        <v>18.22</v>
      </c>
      <c r="U783" s="6">
        <v>1862</v>
      </c>
      <c r="V783" s="6">
        <v>45.64</v>
      </c>
      <c r="W783" s="6">
        <v>0</v>
      </c>
      <c r="X783" s="6">
        <v>0</v>
      </c>
      <c r="Y783" s="6">
        <v>1085</v>
      </c>
      <c r="Z783" s="6">
        <v>663</v>
      </c>
      <c r="AA783" s="6">
        <v>114</v>
      </c>
      <c r="AB783" s="6">
        <v>0</v>
      </c>
      <c r="AC783" s="7">
        <v>108</v>
      </c>
      <c r="AD783" s="7" t="s">
        <v>53</v>
      </c>
      <c r="AE783" s="9">
        <v>31.523462246443501</v>
      </c>
      <c r="AF783" s="7">
        <v>234</v>
      </c>
      <c r="AG783" s="7">
        <v>28.87</v>
      </c>
      <c r="AH783" s="9">
        <v>39.632099212274603</v>
      </c>
      <c r="AI783" s="9">
        <v>43.689820403782399</v>
      </c>
      <c r="AJ783" s="9">
        <v>443.74209568038498</v>
      </c>
      <c r="AK783" s="9">
        <v>445.34165961130498</v>
      </c>
      <c r="AL783" s="9">
        <v>489.530898962636</v>
      </c>
      <c r="AM783" s="9">
        <v>89.054590591028102</v>
      </c>
      <c r="AN783" s="9">
        <v>0.82457954250952004</v>
      </c>
      <c r="AO783" s="9">
        <v>0.54964124816232396</v>
      </c>
      <c r="AP783" s="9">
        <v>1255.8230776842399</v>
      </c>
      <c r="AQ783" s="9">
        <v>11.627991460039199</v>
      </c>
      <c r="AR783" s="9">
        <v>12.030541077604701</v>
      </c>
      <c r="AS783" s="8">
        <v>47</v>
      </c>
      <c r="AT783" s="8">
        <v>5.3199999999999967</v>
      </c>
      <c r="AU783" s="10">
        <v>37.963124263262181</v>
      </c>
      <c r="AV783" s="10">
        <v>81.442182552525992</v>
      </c>
      <c r="AW783" s="10">
        <v>0.93019922242586395</v>
      </c>
      <c r="AX783" s="10">
        <v>1.7328123947345955</v>
      </c>
      <c r="AY783" s="10"/>
      <c r="AZ783" s="10"/>
      <c r="BA783" s="10"/>
      <c r="BB783" s="8"/>
      <c r="BC783" s="8"/>
      <c r="BD783" s="8"/>
      <c r="BE783" s="8"/>
      <c r="BF783" s="12">
        <v>0.38</v>
      </c>
      <c r="BG783" s="13">
        <v>323.98786663010497</v>
      </c>
      <c r="BH783" s="96" t="str">
        <f>+VLOOKUP(G783,Liste!$A$7:$G$50,3,FALSE)</f>
        <v>Sapin pectiné</v>
      </c>
      <c r="BI783" s="96" t="str">
        <f>+VLOOKUP(H783,Liste!$B$7:$G$50,5,FALSE)</f>
        <v>GS Arc Jurassien</v>
      </c>
      <c r="BJ783" s="135">
        <f t="shared" si="244"/>
        <v>108</v>
      </c>
      <c r="BK783" s="135" t="str">
        <f t="shared" si="246"/>
        <v>Sapin pectiné_F2_Cas général_GS Arc Jurassien_108_</v>
      </c>
      <c r="BL783" s="322"/>
      <c r="BM783" s="13">
        <v>81.265010467030507</v>
      </c>
      <c r="BN783" s="13">
        <v>405.25287709713501</v>
      </c>
      <c r="BO783" s="13">
        <v>72.377001282688013</v>
      </c>
      <c r="BP783" s="13">
        <v>306.131842885666</v>
      </c>
      <c r="BQ783" s="13">
        <v>9.5401274239851794</v>
      </c>
      <c r="BT783" s="298" t="str">
        <f>+VLOOKUP(G783,Liste!$A$7:$H$50,8,FALSE)</f>
        <v>Résineux</v>
      </c>
      <c r="BU783" s="298">
        <f t="shared" si="247"/>
        <v>0</v>
      </c>
      <c r="BV783" s="300">
        <f t="shared" si="248"/>
        <v>1</v>
      </c>
      <c r="BW783" s="321">
        <v>0</v>
      </c>
      <c r="BX783" s="298">
        <f t="shared" si="249"/>
        <v>0.43</v>
      </c>
      <c r="BY783">
        <f t="shared" si="250"/>
        <v>0</v>
      </c>
      <c r="BZ783" s="304">
        <f t="shared" si="251"/>
        <v>0</v>
      </c>
      <c r="CB783" s="299">
        <v>0.6</v>
      </c>
      <c r="CC783" s="299">
        <v>0.4</v>
      </c>
      <c r="CD783">
        <f t="shared" si="252"/>
        <v>0</v>
      </c>
      <c r="CE783">
        <f t="shared" si="253"/>
        <v>0</v>
      </c>
      <c r="CF783">
        <f t="shared" si="254"/>
        <v>0</v>
      </c>
      <c r="CG783">
        <f t="shared" si="255"/>
        <v>0</v>
      </c>
      <c r="CH783">
        <f t="shared" si="256"/>
        <v>0</v>
      </c>
      <c r="CI783">
        <f t="shared" si="257"/>
        <v>0</v>
      </c>
      <c r="CJ783">
        <f t="shared" si="258"/>
        <v>0</v>
      </c>
      <c r="CK783">
        <f t="shared" si="259"/>
        <v>0</v>
      </c>
      <c r="CL783">
        <f t="shared" si="260"/>
        <v>0</v>
      </c>
      <c r="CM783">
        <f t="shared" si="262"/>
        <v>0</v>
      </c>
      <c r="CN783">
        <f t="shared" si="261"/>
        <v>0</v>
      </c>
      <c r="CO783">
        <f t="shared" si="245"/>
        <v>0</v>
      </c>
    </row>
    <row r="784" spans="1:93" s="12" customFormat="1" x14ac:dyDescent="0.25">
      <c r="A784" s="4">
        <v>2013</v>
      </c>
      <c r="B784" s="318">
        <v>44265</v>
      </c>
      <c r="C784" s="4" t="s">
        <v>430</v>
      </c>
      <c r="D784" s="4" t="s">
        <v>431</v>
      </c>
      <c r="E784" s="4"/>
      <c r="F784" s="4" t="s">
        <v>1493</v>
      </c>
      <c r="G784" s="5" t="s">
        <v>432</v>
      </c>
      <c r="H784" s="5" t="s">
        <v>185</v>
      </c>
      <c r="I784" s="5" t="s">
        <v>222</v>
      </c>
      <c r="J784" s="5" t="s">
        <v>10</v>
      </c>
      <c r="K784" s="5">
        <v>15.5</v>
      </c>
      <c r="L784" s="5" t="s">
        <v>190</v>
      </c>
      <c r="M784" s="5">
        <v>2000</v>
      </c>
      <c r="N784" s="5" t="s">
        <v>171</v>
      </c>
      <c r="O784" s="6" t="s">
        <v>81</v>
      </c>
      <c r="P784" s="6" t="s">
        <v>186</v>
      </c>
      <c r="Q784" s="6"/>
      <c r="R784" s="6"/>
      <c r="S784" s="6">
        <v>57</v>
      </c>
      <c r="T784" s="6">
        <v>18.22</v>
      </c>
      <c r="U784" s="6">
        <v>1862</v>
      </c>
      <c r="V784" s="6">
        <v>45.64</v>
      </c>
      <c r="W784" s="6">
        <v>0</v>
      </c>
      <c r="X784" s="6">
        <v>0</v>
      </c>
      <c r="Y784" s="6">
        <v>1085</v>
      </c>
      <c r="Z784" s="6">
        <v>663</v>
      </c>
      <c r="AA784" s="6">
        <v>114</v>
      </c>
      <c r="AB784" s="6">
        <v>0</v>
      </c>
      <c r="AC784" s="7">
        <v>109</v>
      </c>
      <c r="AD784" s="7" t="s">
        <v>52</v>
      </c>
      <c r="AE784" s="9">
        <v>31.703068066620499</v>
      </c>
      <c r="AF784" s="7">
        <v>234</v>
      </c>
      <c r="AG784" s="7">
        <v>29.42</v>
      </c>
      <c r="AH784" s="9">
        <v>40.012344761847103</v>
      </c>
      <c r="AI784" s="9">
        <v>44.092467104856297</v>
      </c>
      <c r="AJ784" s="9">
        <v>455.13241897279403</v>
      </c>
      <c r="AK784" s="9">
        <v>456.76820308080499</v>
      </c>
      <c r="AL784" s="9">
        <v>501.561440040241</v>
      </c>
      <c r="AM784" s="9" t="s">
        <v>169</v>
      </c>
      <c r="AN784" s="9" t="s">
        <v>169</v>
      </c>
      <c r="AO784" s="9" t="s">
        <v>169</v>
      </c>
      <c r="AP784" s="9" t="s">
        <v>169</v>
      </c>
      <c r="AQ784" s="9" t="s">
        <v>169</v>
      </c>
      <c r="AR784" s="9" t="s">
        <v>169</v>
      </c>
      <c r="AS784" s="8" t="s">
        <v>169</v>
      </c>
      <c r="AT784" s="8" t="s">
        <v>169</v>
      </c>
      <c r="AU784" s="10" t="s">
        <v>169</v>
      </c>
      <c r="AV784" s="10">
        <v>0</v>
      </c>
      <c r="AW784" s="10" t="s">
        <v>169</v>
      </c>
      <c r="AX784" s="10" t="s">
        <v>169</v>
      </c>
      <c r="AY784" s="10"/>
      <c r="AZ784" s="10"/>
      <c r="BA784" s="10"/>
      <c r="BB784" s="8"/>
      <c r="BC784" s="8"/>
      <c r="BD784" s="8"/>
      <c r="BE784" s="8"/>
      <c r="BF784" s="12">
        <v>0.38</v>
      </c>
      <c r="BG784" s="13">
        <v>331.95007973329899</v>
      </c>
      <c r="BH784" s="96" t="str">
        <f>+VLOOKUP(G784,Liste!$A$7:$G$50,3,FALSE)</f>
        <v>Sapin pectiné</v>
      </c>
      <c r="BI784" s="96" t="str">
        <f>+VLOOKUP(H784,Liste!$B$7:$G$50,5,FALSE)</f>
        <v>GS Arc Jurassien</v>
      </c>
      <c r="BJ784" s="135">
        <f t="shared" si="244"/>
        <v>109</v>
      </c>
      <c r="BK784" s="135" t="str">
        <f t="shared" si="246"/>
        <v>Sapin pectiné_F2_Cas général_GS Arc Jurassien_109_</v>
      </c>
      <c r="BL784" s="322"/>
      <c r="BM784" s="13">
        <v>83.019939079079705</v>
      </c>
      <c r="BN784" s="13">
        <v>414.97001881237901</v>
      </c>
      <c r="BO784" s="13" t="s">
        <v>169</v>
      </c>
      <c r="BP784" s="13">
        <v>306.131842885666</v>
      </c>
      <c r="BQ784" s="13" t="s">
        <v>169</v>
      </c>
      <c r="BT784" s="298" t="str">
        <f>+VLOOKUP(G784,Liste!$A$7:$H$50,8,FALSE)</f>
        <v>Résineux</v>
      </c>
      <c r="BU784" s="298">
        <f t="shared" si="247"/>
        <v>0</v>
      </c>
      <c r="BV784" s="300">
        <f t="shared" si="248"/>
        <v>1</v>
      </c>
      <c r="BW784" s="321">
        <v>0</v>
      </c>
      <c r="BX784" s="298">
        <f t="shared" si="249"/>
        <v>0.43</v>
      </c>
      <c r="BY784">
        <f t="shared" si="250"/>
        <v>0</v>
      </c>
      <c r="BZ784" s="304">
        <f t="shared" si="251"/>
        <v>0</v>
      </c>
      <c r="CB784" s="299">
        <v>0.6</v>
      </c>
      <c r="CC784" s="299">
        <v>0.4</v>
      </c>
      <c r="CD784">
        <f t="shared" si="252"/>
        <v>0</v>
      </c>
      <c r="CE784">
        <f t="shared" si="253"/>
        <v>0</v>
      </c>
      <c r="CF784">
        <f t="shared" si="254"/>
        <v>0</v>
      </c>
      <c r="CG784">
        <f t="shared" si="255"/>
        <v>0</v>
      </c>
      <c r="CH784">
        <f t="shared" si="256"/>
        <v>0</v>
      </c>
      <c r="CI784">
        <f t="shared" si="257"/>
        <v>0</v>
      </c>
      <c r="CJ784">
        <f t="shared" si="258"/>
        <v>0</v>
      </c>
      <c r="CK784">
        <f t="shared" si="259"/>
        <v>0</v>
      </c>
      <c r="CL784">
        <f t="shared" si="260"/>
        <v>0</v>
      </c>
      <c r="CM784">
        <f t="shared" si="262"/>
        <v>0</v>
      </c>
      <c r="CN784">
        <f t="shared" si="261"/>
        <v>0</v>
      </c>
      <c r="CO784">
        <f t="shared" si="245"/>
        <v>0</v>
      </c>
    </row>
    <row r="785" spans="1:93" s="12" customFormat="1" x14ac:dyDescent="0.25">
      <c r="A785" s="4">
        <v>2013</v>
      </c>
      <c r="B785" s="318">
        <v>44265</v>
      </c>
      <c r="C785" s="4" t="s">
        <v>430</v>
      </c>
      <c r="D785" s="4" t="s">
        <v>431</v>
      </c>
      <c r="E785" s="4"/>
      <c r="F785" s="4" t="s">
        <v>1493</v>
      </c>
      <c r="G785" s="5" t="s">
        <v>432</v>
      </c>
      <c r="H785" s="5" t="s">
        <v>185</v>
      </c>
      <c r="I785" s="5" t="s">
        <v>222</v>
      </c>
      <c r="J785" s="5" t="s">
        <v>10</v>
      </c>
      <c r="K785" s="5">
        <v>15.5</v>
      </c>
      <c r="L785" s="5" t="s">
        <v>190</v>
      </c>
      <c r="M785" s="5">
        <v>2000</v>
      </c>
      <c r="N785" s="5" t="s">
        <v>171</v>
      </c>
      <c r="O785" s="6" t="s">
        <v>81</v>
      </c>
      <c r="P785" s="6" t="s">
        <v>186</v>
      </c>
      <c r="Q785" s="6"/>
      <c r="R785" s="6"/>
      <c r="S785" s="6">
        <v>57</v>
      </c>
      <c r="T785" s="6">
        <v>18.22</v>
      </c>
      <c r="U785" s="6">
        <v>1862</v>
      </c>
      <c r="V785" s="6">
        <v>45.64</v>
      </c>
      <c r="W785" s="6">
        <v>0</v>
      </c>
      <c r="X785" s="6">
        <v>0</v>
      </c>
      <c r="Y785" s="6">
        <v>1085</v>
      </c>
      <c r="Z785" s="6">
        <v>663</v>
      </c>
      <c r="AA785" s="6">
        <v>114</v>
      </c>
      <c r="AB785" s="6">
        <v>0</v>
      </c>
      <c r="AC785" s="7">
        <v>110</v>
      </c>
      <c r="AD785" s="7" t="s">
        <v>52</v>
      </c>
      <c r="AE785" s="9">
        <v>31.880402428920501</v>
      </c>
      <c r="AF785" s="7">
        <v>234</v>
      </c>
      <c r="AG785" s="7">
        <v>29.98</v>
      </c>
      <c r="AH785" s="9">
        <v>40.385893539441398</v>
      </c>
      <c r="AI785" s="9">
        <v>44.487672114870499</v>
      </c>
      <c r="AJ785" s="9">
        <v>466.522742265202</v>
      </c>
      <c r="AK785" s="9">
        <v>468.19474655030399</v>
      </c>
      <c r="AL785" s="9">
        <v>513.59198111784497</v>
      </c>
      <c r="AM785" s="9" t="s">
        <v>169</v>
      </c>
      <c r="AN785" s="9" t="s">
        <v>169</v>
      </c>
      <c r="AO785" s="9" t="s">
        <v>169</v>
      </c>
      <c r="AP785" s="9" t="s">
        <v>169</v>
      </c>
      <c r="AQ785" s="9" t="s">
        <v>169</v>
      </c>
      <c r="AR785" s="9" t="s">
        <v>169</v>
      </c>
      <c r="AS785" s="8" t="s">
        <v>169</v>
      </c>
      <c r="AT785" s="8" t="s">
        <v>169</v>
      </c>
      <c r="AU785" s="10" t="s">
        <v>169</v>
      </c>
      <c r="AV785" s="10">
        <v>0</v>
      </c>
      <c r="AW785" s="10" t="s">
        <v>169</v>
      </c>
      <c r="AX785" s="10" t="s">
        <v>169</v>
      </c>
      <c r="AY785" s="10"/>
      <c r="AZ785" s="10"/>
      <c r="BA785" s="10"/>
      <c r="BB785" s="8"/>
      <c r="BC785" s="8"/>
      <c r="BD785" s="8"/>
      <c r="BE785" s="8"/>
      <c r="BF785" s="12">
        <v>0.38</v>
      </c>
      <c r="BG785" s="13">
        <v>339.91229283649398</v>
      </c>
      <c r="BH785" s="96" t="str">
        <f>+VLOOKUP(G785,Liste!$A$7:$G$50,3,FALSE)</f>
        <v>Sapin pectiné</v>
      </c>
      <c r="BI785" s="96" t="str">
        <f>+VLOOKUP(H785,Liste!$B$7:$G$50,5,FALSE)</f>
        <v>GS Arc Jurassien</v>
      </c>
      <c r="BJ785" s="135">
        <f t="shared" si="244"/>
        <v>110</v>
      </c>
      <c r="BK785" s="135" t="str">
        <f t="shared" si="246"/>
        <v>Sapin pectiné_F2_Cas général_GS Arc Jurassien_110_</v>
      </c>
      <c r="BL785" s="322"/>
      <c r="BM785" s="13">
        <v>84.774867691129003</v>
      </c>
      <c r="BN785" s="13">
        <v>424.68716052762301</v>
      </c>
      <c r="BO785" s="13" t="s">
        <v>169</v>
      </c>
      <c r="BP785" s="13">
        <v>306.131842885666</v>
      </c>
      <c r="BQ785" s="13" t="s">
        <v>169</v>
      </c>
      <c r="BT785" s="298" t="str">
        <f>+VLOOKUP(G785,Liste!$A$7:$H$50,8,FALSE)</f>
        <v>Résineux</v>
      </c>
      <c r="BU785" s="298">
        <f t="shared" si="247"/>
        <v>0</v>
      </c>
      <c r="BV785" s="300">
        <f t="shared" si="248"/>
        <v>1</v>
      </c>
      <c r="BW785" s="321">
        <v>0</v>
      </c>
      <c r="BX785" s="298">
        <f t="shared" si="249"/>
        <v>0.43</v>
      </c>
      <c r="BY785">
        <f t="shared" si="250"/>
        <v>0</v>
      </c>
      <c r="BZ785" s="304">
        <f t="shared" si="251"/>
        <v>0</v>
      </c>
      <c r="CB785" s="299">
        <v>0.6</v>
      </c>
      <c r="CC785" s="299">
        <v>0.4</v>
      </c>
      <c r="CD785">
        <f t="shared" si="252"/>
        <v>0</v>
      </c>
      <c r="CE785">
        <f t="shared" si="253"/>
        <v>0</v>
      </c>
      <c r="CF785">
        <f t="shared" si="254"/>
        <v>0</v>
      </c>
      <c r="CG785">
        <f t="shared" si="255"/>
        <v>0</v>
      </c>
      <c r="CH785">
        <f t="shared" si="256"/>
        <v>0</v>
      </c>
      <c r="CI785">
        <f t="shared" si="257"/>
        <v>0</v>
      </c>
      <c r="CJ785">
        <f t="shared" si="258"/>
        <v>0</v>
      </c>
      <c r="CK785">
        <f t="shared" si="259"/>
        <v>0</v>
      </c>
      <c r="CL785">
        <f t="shared" si="260"/>
        <v>0</v>
      </c>
      <c r="CM785">
        <f t="shared" si="262"/>
        <v>0</v>
      </c>
      <c r="CN785">
        <f t="shared" si="261"/>
        <v>0</v>
      </c>
      <c r="CO785">
        <f t="shared" si="245"/>
        <v>0</v>
      </c>
    </row>
    <row r="786" spans="1:93" s="12" customFormat="1" x14ac:dyDescent="0.25">
      <c r="A786" s="4">
        <v>2013</v>
      </c>
      <c r="B786" s="318">
        <v>44265</v>
      </c>
      <c r="C786" s="4" t="s">
        <v>430</v>
      </c>
      <c r="D786" s="4" t="s">
        <v>431</v>
      </c>
      <c r="E786" s="4"/>
      <c r="F786" s="4" t="s">
        <v>1493</v>
      </c>
      <c r="G786" s="5" t="s">
        <v>432</v>
      </c>
      <c r="H786" s="5" t="s">
        <v>185</v>
      </c>
      <c r="I786" s="5" t="s">
        <v>222</v>
      </c>
      <c r="J786" s="5" t="s">
        <v>10</v>
      </c>
      <c r="K786" s="5">
        <v>15.5</v>
      </c>
      <c r="L786" s="5" t="s">
        <v>190</v>
      </c>
      <c r="M786" s="5">
        <v>2000</v>
      </c>
      <c r="N786" s="5" t="s">
        <v>171</v>
      </c>
      <c r="O786" s="6" t="s">
        <v>81</v>
      </c>
      <c r="P786" s="6" t="s">
        <v>186</v>
      </c>
      <c r="Q786" s="6"/>
      <c r="R786" s="6"/>
      <c r="S786" s="6">
        <v>57</v>
      </c>
      <c r="T786" s="6">
        <v>18.22</v>
      </c>
      <c r="U786" s="6">
        <v>1862</v>
      </c>
      <c r="V786" s="6">
        <v>45.64</v>
      </c>
      <c r="W786" s="6">
        <v>0</v>
      </c>
      <c r="X786" s="6">
        <v>0</v>
      </c>
      <c r="Y786" s="6">
        <v>1085</v>
      </c>
      <c r="Z786" s="6">
        <v>663</v>
      </c>
      <c r="AA786" s="6">
        <v>114</v>
      </c>
      <c r="AB786" s="6">
        <v>0</v>
      </c>
      <c r="AC786" s="7">
        <v>111</v>
      </c>
      <c r="AD786" s="7" t="s">
        <v>52</v>
      </c>
      <c r="AE786" s="9">
        <v>32.055503650904797</v>
      </c>
      <c r="AF786" s="7">
        <v>234</v>
      </c>
      <c r="AG786" s="7">
        <v>30.52</v>
      </c>
      <c r="AH786" s="9">
        <v>40.752932624326696</v>
      </c>
      <c r="AI786" s="9">
        <v>44.875659201191702</v>
      </c>
      <c r="AJ786" s="9">
        <v>477.91306555761099</v>
      </c>
      <c r="AK786" s="9">
        <v>479.62129001980298</v>
      </c>
      <c r="AL786" s="9">
        <v>525.62252219544996</v>
      </c>
      <c r="AM786" s="9" t="s">
        <v>169</v>
      </c>
      <c r="AN786" s="9" t="s">
        <v>169</v>
      </c>
      <c r="AO786" s="9" t="s">
        <v>169</v>
      </c>
      <c r="AP786" s="9" t="s">
        <v>169</v>
      </c>
      <c r="AQ786" s="9" t="s">
        <v>169</v>
      </c>
      <c r="AR786" s="9" t="s">
        <v>169</v>
      </c>
      <c r="AS786" s="8" t="s">
        <v>169</v>
      </c>
      <c r="AT786" s="8" t="s">
        <v>169</v>
      </c>
      <c r="AU786" s="10" t="s">
        <v>169</v>
      </c>
      <c r="AV786" s="10">
        <v>0</v>
      </c>
      <c r="AW786" s="10" t="s">
        <v>169</v>
      </c>
      <c r="AX786" s="10" t="s">
        <v>169</v>
      </c>
      <c r="AY786" s="10"/>
      <c r="AZ786" s="10"/>
      <c r="BA786" s="10"/>
      <c r="BB786" s="8"/>
      <c r="BC786" s="8"/>
      <c r="BD786" s="8"/>
      <c r="BE786" s="8"/>
      <c r="BF786" s="12">
        <v>0.38</v>
      </c>
      <c r="BG786" s="13">
        <v>347.87450593968902</v>
      </c>
      <c r="BH786" s="96" t="str">
        <f>+VLOOKUP(G786,Liste!$A$7:$G$50,3,FALSE)</f>
        <v>Sapin pectiné</v>
      </c>
      <c r="BI786" s="96" t="str">
        <f>+VLOOKUP(H786,Liste!$B$7:$G$50,5,FALSE)</f>
        <v>GS Arc Jurassien</v>
      </c>
      <c r="BJ786" s="135">
        <f t="shared" si="244"/>
        <v>111</v>
      </c>
      <c r="BK786" s="135" t="str">
        <f t="shared" si="246"/>
        <v>Sapin pectiné_F2_Cas général_GS Arc Jurassien_111_</v>
      </c>
      <c r="BL786" s="322"/>
      <c r="BM786" s="13">
        <v>86.529796303178301</v>
      </c>
      <c r="BN786" s="13">
        <v>434.404302242867</v>
      </c>
      <c r="BO786" s="13" t="s">
        <v>169</v>
      </c>
      <c r="BP786" s="13">
        <v>306.131842885666</v>
      </c>
      <c r="BQ786" s="13" t="s">
        <v>169</v>
      </c>
      <c r="BT786" s="298" t="str">
        <f>+VLOOKUP(G786,Liste!$A$7:$H$50,8,FALSE)</f>
        <v>Résineux</v>
      </c>
      <c r="BU786" s="298">
        <f t="shared" si="247"/>
        <v>0</v>
      </c>
      <c r="BV786" s="300">
        <f t="shared" si="248"/>
        <v>1</v>
      </c>
      <c r="BW786" s="321">
        <v>0</v>
      </c>
      <c r="BX786" s="298">
        <f t="shared" si="249"/>
        <v>0.43</v>
      </c>
      <c r="BY786">
        <f t="shared" si="250"/>
        <v>0</v>
      </c>
      <c r="BZ786" s="304">
        <f t="shared" si="251"/>
        <v>0</v>
      </c>
      <c r="CB786" s="299">
        <v>0.6</v>
      </c>
      <c r="CC786" s="299">
        <v>0.4</v>
      </c>
      <c r="CD786">
        <f t="shared" si="252"/>
        <v>0</v>
      </c>
      <c r="CE786">
        <f t="shared" si="253"/>
        <v>0</v>
      </c>
      <c r="CF786">
        <f t="shared" si="254"/>
        <v>0</v>
      </c>
      <c r="CG786">
        <f t="shared" si="255"/>
        <v>0</v>
      </c>
      <c r="CH786">
        <f t="shared" si="256"/>
        <v>0</v>
      </c>
      <c r="CI786">
        <f t="shared" si="257"/>
        <v>0</v>
      </c>
      <c r="CJ786">
        <f t="shared" si="258"/>
        <v>0</v>
      </c>
      <c r="CK786">
        <f t="shared" si="259"/>
        <v>0</v>
      </c>
      <c r="CL786">
        <f t="shared" si="260"/>
        <v>0</v>
      </c>
      <c r="CM786">
        <f t="shared" si="262"/>
        <v>0</v>
      </c>
      <c r="CN786">
        <f t="shared" si="261"/>
        <v>0</v>
      </c>
      <c r="CO786">
        <f t="shared" si="245"/>
        <v>0</v>
      </c>
    </row>
    <row r="787" spans="1:93" s="12" customFormat="1" x14ac:dyDescent="0.25">
      <c r="A787" s="4">
        <v>2013</v>
      </c>
      <c r="B787" s="318">
        <v>44265</v>
      </c>
      <c r="C787" s="4" t="s">
        <v>430</v>
      </c>
      <c r="D787" s="4" t="s">
        <v>431</v>
      </c>
      <c r="E787" s="4"/>
      <c r="F787" s="4" t="s">
        <v>1493</v>
      </c>
      <c r="G787" s="5" t="s">
        <v>432</v>
      </c>
      <c r="H787" s="5" t="s">
        <v>185</v>
      </c>
      <c r="I787" s="5" t="s">
        <v>222</v>
      </c>
      <c r="J787" s="5" t="s">
        <v>10</v>
      </c>
      <c r="K787" s="5">
        <v>15.5</v>
      </c>
      <c r="L787" s="5" t="s">
        <v>190</v>
      </c>
      <c r="M787" s="5">
        <v>2000</v>
      </c>
      <c r="N787" s="5" t="s">
        <v>171</v>
      </c>
      <c r="O787" s="6" t="s">
        <v>81</v>
      </c>
      <c r="P787" s="6" t="s">
        <v>186</v>
      </c>
      <c r="Q787" s="6"/>
      <c r="R787" s="6"/>
      <c r="S787" s="6">
        <v>57</v>
      </c>
      <c r="T787" s="6">
        <v>18.22</v>
      </c>
      <c r="U787" s="6">
        <v>1862</v>
      </c>
      <c r="V787" s="6">
        <v>45.64</v>
      </c>
      <c r="W787" s="6">
        <v>0</v>
      </c>
      <c r="X787" s="6">
        <v>0</v>
      </c>
      <c r="Y787" s="6">
        <v>1085</v>
      </c>
      <c r="Z787" s="6">
        <v>663</v>
      </c>
      <c r="AA787" s="6">
        <v>114</v>
      </c>
      <c r="AB787" s="6">
        <v>0</v>
      </c>
      <c r="AC787" s="7">
        <v>112</v>
      </c>
      <c r="AD787" s="7" t="s">
        <v>52</v>
      </c>
      <c r="AE787" s="9">
        <v>32.228409330824</v>
      </c>
      <c r="AF787" s="7">
        <v>234</v>
      </c>
      <c r="AG787" s="7">
        <v>31.07</v>
      </c>
      <c r="AH787" s="9">
        <v>41.113641147505803</v>
      </c>
      <c r="AI787" s="9">
        <v>45.2566418510768</v>
      </c>
      <c r="AJ787" s="9">
        <v>489.30338885001999</v>
      </c>
      <c r="AK787" s="9">
        <v>491.047833489303</v>
      </c>
      <c r="AL787" s="9">
        <v>537.65306327305495</v>
      </c>
      <c r="AM787" s="9">
        <v>91.253155583677398</v>
      </c>
      <c r="AN787" s="9">
        <v>0.814760317711405</v>
      </c>
      <c r="AO787" s="9">
        <v>0.52895529831830901</v>
      </c>
      <c r="AP787" s="9">
        <v>1303.9452419946599</v>
      </c>
      <c r="AQ787" s="9">
        <v>11.6423682320951</v>
      </c>
      <c r="AR787" s="9">
        <v>11.8372857437975</v>
      </c>
      <c r="AS787" s="8" t="s">
        <v>169</v>
      </c>
      <c r="AT787" s="8" t="s">
        <v>169</v>
      </c>
      <c r="AU787" s="10" t="s">
        <v>169</v>
      </c>
      <c r="AV787" s="10">
        <v>0</v>
      </c>
      <c r="AW787" s="10" t="s">
        <v>169</v>
      </c>
      <c r="AX787" s="10" t="s">
        <v>169</v>
      </c>
      <c r="AY787" s="10"/>
      <c r="AZ787" s="10"/>
      <c r="BA787" s="10"/>
      <c r="BB787" s="8"/>
      <c r="BC787" s="8"/>
      <c r="BD787" s="8"/>
      <c r="BE787" s="8"/>
      <c r="BF787" s="12">
        <v>0.38</v>
      </c>
      <c r="BG787" s="13">
        <v>355.83671904288298</v>
      </c>
      <c r="BH787" s="96" t="str">
        <f>+VLOOKUP(G787,Liste!$A$7:$G$50,3,FALSE)</f>
        <v>Sapin pectiné</v>
      </c>
      <c r="BI787" s="96" t="str">
        <f>+VLOOKUP(H787,Liste!$B$7:$G$50,5,FALSE)</f>
        <v>GS Arc Jurassien</v>
      </c>
      <c r="BJ787" s="135">
        <f t="shared" si="244"/>
        <v>112</v>
      </c>
      <c r="BK787" s="135" t="str">
        <f t="shared" si="246"/>
        <v>Sapin pectiné_F2_Cas général_GS Arc Jurassien_112_</v>
      </c>
      <c r="BL787" s="322"/>
      <c r="BM787" s="13">
        <v>88.2847249152275</v>
      </c>
      <c r="BN787" s="13">
        <v>444.121443958111</v>
      </c>
      <c r="BO787" s="13" t="s">
        <v>169</v>
      </c>
      <c r="BP787" s="13">
        <v>306.131842885666</v>
      </c>
      <c r="BQ787" s="13">
        <v>9.3794783221389899</v>
      </c>
      <c r="BT787" s="298" t="str">
        <f>+VLOOKUP(G787,Liste!$A$7:$H$50,8,FALSE)</f>
        <v>Résineux</v>
      </c>
      <c r="BU787" s="298">
        <f t="shared" si="247"/>
        <v>0</v>
      </c>
      <c r="BV787" s="300">
        <f t="shared" si="248"/>
        <v>1</v>
      </c>
      <c r="BW787" s="321">
        <v>0</v>
      </c>
      <c r="BX787" s="298">
        <f t="shared" si="249"/>
        <v>0.43</v>
      </c>
      <c r="BY787">
        <f t="shared" si="250"/>
        <v>0</v>
      </c>
      <c r="BZ787" s="304">
        <f t="shared" si="251"/>
        <v>0</v>
      </c>
      <c r="CB787" s="299">
        <v>0.6</v>
      </c>
      <c r="CC787" s="299">
        <v>0.4</v>
      </c>
      <c r="CD787">
        <f t="shared" si="252"/>
        <v>0</v>
      </c>
      <c r="CE787">
        <f t="shared" si="253"/>
        <v>0</v>
      </c>
      <c r="CF787">
        <f t="shared" si="254"/>
        <v>0</v>
      </c>
      <c r="CG787">
        <f t="shared" si="255"/>
        <v>0</v>
      </c>
      <c r="CH787">
        <f t="shared" si="256"/>
        <v>0</v>
      </c>
      <c r="CI787">
        <f t="shared" si="257"/>
        <v>0</v>
      </c>
      <c r="CJ787">
        <f t="shared" si="258"/>
        <v>0</v>
      </c>
      <c r="CK787">
        <f t="shared" si="259"/>
        <v>0</v>
      </c>
      <c r="CL787">
        <f t="shared" si="260"/>
        <v>0</v>
      </c>
      <c r="CM787">
        <f t="shared" si="262"/>
        <v>0</v>
      </c>
      <c r="CN787">
        <f t="shared" si="261"/>
        <v>0</v>
      </c>
      <c r="CO787">
        <f t="shared" si="245"/>
        <v>0</v>
      </c>
    </row>
    <row r="788" spans="1:93" s="12" customFormat="1" x14ac:dyDescent="0.25">
      <c r="A788" s="4">
        <v>2013</v>
      </c>
      <c r="B788" s="318">
        <v>44265</v>
      </c>
      <c r="C788" s="4" t="s">
        <v>430</v>
      </c>
      <c r="D788" s="4" t="s">
        <v>431</v>
      </c>
      <c r="E788" s="4"/>
      <c r="F788" s="4" t="s">
        <v>1493</v>
      </c>
      <c r="G788" s="5" t="s">
        <v>432</v>
      </c>
      <c r="H788" s="5" t="s">
        <v>185</v>
      </c>
      <c r="I788" s="5" t="s">
        <v>222</v>
      </c>
      <c r="J788" s="5" t="s">
        <v>10</v>
      </c>
      <c r="K788" s="5">
        <v>15.5</v>
      </c>
      <c r="L788" s="5" t="s">
        <v>190</v>
      </c>
      <c r="M788" s="5">
        <v>2000</v>
      </c>
      <c r="N788" s="5" t="s">
        <v>171</v>
      </c>
      <c r="O788" s="6" t="s">
        <v>81</v>
      </c>
      <c r="P788" s="6" t="s">
        <v>186</v>
      </c>
      <c r="Q788" s="6"/>
      <c r="R788" s="6"/>
      <c r="S788" s="6">
        <v>57</v>
      </c>
      <c r="T788" s="6">
        <v>18.22</v>
      </c>
      <c r="U788" s="6">
        <v>1862</v>
      </c>
      <c r="V788" s="6">
        <v>45.64</v>
      </c>
      <c r="W788" s="6">
        <v>0</v>
      </c>
      <c r="X788" s="6">
        <v>0</v>
      </c>
      <c r="Y788" s="6">
        <v>1085</v>
      </c>
      <c r="Z788" s="6">
        <v>663</v>
      </c>
      <c r="AA788" s="6">
        <v>114</v>
      </c>
      <c r="AB788" s="6">
        <v>0</v>
      </c>
      <c r="AC788" s="7">
        <v>113</v>
      </c>
      <c r="AD788" s="7" t="s">
        <v>52</v>
      </c>
      <c r="AE788" s="9">
        <v>32.399156358112499</v>
      </c>
      <c r="AF788" s="7">
        <v>234</v>
      </c>
      <c r="AG788" s="7">
        <v>31.6</v>
      </c>
      <c r="AH788" s="9">
        <v>41.468191195339102</v>
      </c>
      <c r="AI788" s="9">
        <v>45.630824311284002</v>
      </c>
      <c r="AJ788" s="9">
        <v>500.56477377151901</v>
      </c>
      <c r="AK788" s="9">
        <v>502.34249788085498</v>
      </c>
      <c r="AL788" s="9">
        <v>549.49034901685195</v>
      </c>
      <c r="AM788" s="9" t="s">
        <v>169</v>
      </c>
      <c r="AN788" s="9" t="s">
        <v>169</v>
      </c>
      <c r="AO788" s="9" t="s">
        <v>169</v>
      </c>
      <c r="AP788" s="9" t="s">
        <v>169</v>
      </c>
      <c r="AQ788" s="9" t="s">
        <v>169</v>
      </c>
      <c r="AR788" s="9" t="s">
        <v>169</v>
      </c>
      <c r="AS788" s="8" t="s">
        <v>169</v>
      </c>
      <c r="AT788" s="8" t="s">
        <v>169</v>
      </c>
      <c r="AU788" s="10" t="s">
        <v>169</v>
      </c>
      <c r="AV788" s="10">
        <v>0</v>
      </c>
      <c r="AW788" s="10" t="s">
        <v>169</v>
      </c>
      <c r="AX788" s="10" t="s">
        <v>169</v>
      </c>
      <c r="AY788" s="10"/>
      <c r="AZ788" s="10"/>
      <c r="BA788" s="10"/>
      <c r="BB788" s="8"/>
      <c r="BC788" s="8"/>
      <c r="BD788" s="8"/>
      <c r="BE788" s="8"/>
      <c r="BF788" s="12">
        <v>0.38</v>
      </c>
      <c r="BG788" s="13">
        <v>363.67102932431999</v>
      </c>
      <c r="BH788" s="96" t="str">
        <f>+VLOOKUP(G788,Liste!$A$7:$G$50,3,FALSE)</f>
        <v>Sapin pectiné</v>
      </c>
      <c r="BI788" s="96" t="str">
        <f>+VLOOKUP(H788,Liste!$B$7:$G$50,5,FALSE)</f>
        <v>GS Arc Jurassien</v>
      </c>
      <c r="BJ788" s="135">
        <f t="shared" si="244"/>
        <v>113</v>
      </c>
      <c r="BK788" s="135" t="str">
        <f t="shared" si="246"/>
        <v>Sapin pectiné_F2_Cas général_GS Arc Jurassien_113_</v>
      </c>
      <c r="BL788" s="322"/>
      <c r="BM788" s="13">
        <v>89.991625909854093</v>
      </c>
      <c r="BN788" s="13">
        <v>453.662655234174</v>
      </c>
      <c r="BO788" s="13" t="s">
        <v>169</v>
      </c>
      <c r="BP788" s="13">
        <v>306.131842885666</v>
      </c>
      <c r="BQ788" s="13" t="s">
        <v>169</v>
      </c>
      <c r="BT788" s="298" t="str">
        <f>+VLOOKUP(G788,Liste!$A$7:$H$50,8,FALSE)</f>
        <v>Résineux</v>
      </c>
      <c r="BU788" s="298">
        <f t="shared" si="247"/>
        <v>0</v>
      </c>
      <c r="BV788" s="300">
        <f t="shared" si="248"/>
        <v>1</v>
      </c>
      <c r="BW788" s="321">
        <v>0</v>
      </c>
      <c r="BX788" s="298">
        <f t="shared" si="249"/>
        <v>0.43</v>
      </c>
      <c r="BY788">
        <f t="shared" si="250"/>
        <v>0</v>
      </c>
      <c r="BZ788" s="304">
        <f t="shared" si="251"/>
        <v>0</v>
      </c>
      <c r="CB788" s="299">
        <v>0.6</v>
      </c>
      <c r="CC788" s="299">
        <v>0.4</v>
      </c>
      <c r="CD788">
        <f t="shared" si="252"/>
        <v>0</v>
      </c>
      <c r="CE788">
        <f t="shared" si="253"/>
        <v>0</v>
      </c>
      <c r="CF788">
        <f t="shared" si="254"/>
        <v>0</v>
      </c>
      <c r="CG788">
        <f t="shared" si="255"/>
        <v>0</v>
      </c>
      <c r="CH788">
        <f t="shared" si="256"/>
        <v>0</v>
      </c>
      <c r="CI788">
        <f t="shared" si="257"/>
        <v>0</v>
      </c>
      <c r="CJ788">
        <f t="shared" si="258"/>
        <v>0</v>
      </c>
      <c r="CK788">
        <f t="shared" si="259"/>
        <v>0</v>
      </c>
      <c r="CL788">
        <f t="shared" si="260"/>
        <v>0</v>
      </c>
      <c r="CM788">
        <f t="shared" si="262"/>
        <v>0</v>
      </c>
      <c r="CN788">
        <f t="shared" si="261"/>
        <v>0</v>
      </c>
      <c r="CO788">
        <f t="shared" si="245"/>
        <v>0</v>
      </c>
    </row>
    <row r="789" spans="1:93" s="12" customFormat="1" x14ac:dyDescent="0.25">
      <c r="A789" s="4">
        <v>2013</v>
      </c>
      <c r="B789" s="318">
        <v>44265</v>
      </c>
      <c r="C789" s="4" t="s">
        <v>430</v>
      </c>
      <c r="D789" s="4" t="s">
        <v>431</v>
      </c>
      <c r="E789" s="4"/>
      <c r="F789" s="4" t="s">
        <v>1493</v>
      </c>
      <c r="G789" s="5" t="s">
        <v>432</v>
      </c>
      <c r="H789" s="5" t="s">
        <v>185</v>
      </c>
      <c r="I789" s="5" t="s">
        <v>222</v>
      </c>
      <c r="J789" s="5" t="s">
        <v>10</v>
      </c>
      <c r="K789" s="5">
        <v>15.5</v>
      </c>
      <c r="L789" s="5" t="s">
        <v>190</v>
      </c>
      <c r="M789" s="5">
        <v>2000</v>
      </c>
      <c r="N789" s="5" t="s">
        <v>171</v>
      </c>
      <c r="O789" s="6" t="s">
        <v>81</v>
      </c>
      <c r="P789" s="6" t="s">
        <v>186</v>
      </c>
      <c r="Q789" s="6"/>
      <c r="R789" s="6"/>
      <c r="S789" s="6">
        <v>57</v>
      </c>
      <c r="T789" s="6">
        <v>18.22</v>
      </c>
      <c r="U789" s="6">
        <v>1862</v>
      </c>
      <c r="V789" s="6">
        <v>45.64</v>
      </c>
      <c r="W789" s="6">
        <v>0</v>
      </c>
      <c r="X789" s="6">
        <v>0</v>
      </c>
      <c r="Y789" s="6">
        <v>1085</v>
      </c>
      <c r="Z789" s="6">
        <v>663</v>
      </c>
      <c r="AA789" s="6">
        <v>114</v>
      </c>
      <c r="AB789" s="6">
        <v>0</v>
      </c>
      <c r="AC789" s="7">
        <v>114</v>
      </c>
      <c r="AD789" s="7" t="s">
        <v>52</v>
      </c>
      <c r="AE789" s="9">
        <v>32.5677809241188</v>
      </c>
      <c r="AF789" s="7">
        <v>234</v>
      </c>
      <c r="AG789" s="7">
        <v>32.14</v>
      </c>
      <c r="AH789" s="9">
        <v>41.816747946132502</v>
      </c>
      <c r="AI789" s="9">
        <v>45.998401885027498</v>
      </c>
      <c r="AJ789" s="9">
        <v>511.82615869301799</v>
      </c>
      <c r="AK789" s="9">
        <v>513.63716227240695</v>
      </c>
      <c r="AL789" s="9">
        <v>561.32763476064997</v>
      </c>
      <c r="AM789" s="9" t="s">
        <v>169</v>
      </c>
      <c r="AN789" s="9" t="s">
        <v>169</v>
      </c>
      <c r="AO789" s="9" t="s">
        <v>169</v>
      </c>
      <c r="AP789" s="9" t="s">
        <v>169</v>
      </c>
      <c r="AQ789" s="9" t="s">
        <v>169</v>
      </c>
      <c r="AR789" s="9" t="s">
        <v>169</v>
      </c>
      <c r="AS789" s="8" t="s">
        <v>169</v>
      </c>
      <c r="AT789" s="8" t="s">
        <v>169</v>
      </c>
      <c r="AU789" s="10" t="s">
        <v>169</v>
      </c>
      <c r="AV789" s="10">
        <v>0</v>
      </c>
      <c r="AW789" s="10" t="s">
        <v>169</v>
      </c>
      <c r="AX789" s="10" t="s">
        <v>169</v>
      </c>
      <c r="AY789" s="10"/>
      <c r="AZ789" s="10"/>
      <c r="BA789" s="10"/>
      <c r="BB789" s="8"/>
      <c r="BC789" s="8"/>
      <c r="BD789" s="8"/>
      <c r="BE789" s="8"/>
      <c r="BF789" s="12">
        <v>0.38</v>
      </c>
      <c r="BG789" s="13">
        <v>371.505339605757</v>
      </c>
      <c r="BH789" s="96" t="str">
        <f>+VLOOKUP(G789,Liste!$A$7:$G$50,3,FALSE)</f>
        <v>Sapin pectiné</v>
      </c>
      <c r="BI789" s="96" t="str">
        <f>+VLOOKUP(H789,Liste!$B$7:$G$50,5,FALSE)</f>
        <v>GS Arc Jurassien</v>
      </c>
      <c r="BJ789" s="135">
        <f t="shared" si="244"/>
        <v>114</v>
      </c>
      <c r="BK789" s="135" t="str">
        <f t="shared" si="246"/>
        <v>Sapin pectiné_F2_Cas général_GS Arc Jurassien_114_</v>
      </c>
      <c r="BL789" s="322"/>
      <c r="BM789" s="13">
        <v>91.698526904480602</v>
      </c>
      <c r="BN789" s="13">
        <v>463.20386651023699</v>
      </c>
      <c r="BO789" s="13" t="s">
        <v>169</v>
      </c>
      <c r="BP789" s="13">
        <v>306.131842885666</v>
      </c>
      <c r="BQ789" s="13" t="s">
        <v>169</v>
      </c>
      <c r="BT789" s="298" t="str">
        <f>+VLOOKUP(G789,Liste!$A$7:$H$50,8,FALSE)</f>
        <v>Résineux</v>
      </c>
      <c r="BU789" s="298">
        <f t="shared" si="247"/>
        <v>0</v>
      </c>
      <c r="BV789" s="300">
        <f t="shared" si="248"/>
        <v>1</v>
      </c>
      <c r="BW789" s="321">
        <v>0</v>
      </c>
      <c r="BX789" s="298">
        <f t="shared" si="249"/>
        <v>0.43</v>
      </c>
      <c r="BY789">
        <f t="shared" si="250"/>
        <v>0</v>
      </c>
      <c r="BZ789" s="304">
        <f t="shared" si="251"/>
        <v>0</v>
      </c>
      <c r="CB789" s="299">
        <v>0.6</v>
      </c>
      <c r="CC789" s="299">
        <v>0.4</v>
      </c>
      <c r="CD789">
        <f t="shared" si="252"/>
        <v>0</v>
      </c>
      <c r="CE789">
        <f t="shared" si="253"/>
        <v>0</v>
      </c>
      <c r="CF789">
        <f t="shared" si="254"/>
        <v>0</v>
      </c>
      <c r="CG789">
        <f t="shared" si="255"/>
        <v>0</v>
      </c>
      <c r="CH789">
        <f t="shared" si="256"/>
        <v>0</v>
      </c>
      <c r="CI789">
        <f t="shared" si="257"/>
        <v>0</v>
      </c>
      <c r="CJ789">
        <f t="shared" si="258"/>
        <v>0</v>
      </c>
      <c r="CK789">
        <f t="shared" si="259"/>
        <v>0</v>
      </c>
      <c r="CL789">
        <f t="shared" si="260"/>
        <v>0</v>
      </c>
      <c r="CM789">
        <f t="shared" si="262"/>
        <v>0</v>
      </c>
      <c r="CN789">
        <f t="shared" si="261"/>
        <v>0</v>
      </c>
      <c r="CO789">
        <f t="shared" si="245"/>
        <v>0</v>
      </c>
    </row>
    <row r="790" spans="1:93" s="12" customFormat="1" x14ac:dyDescent="0.25">
      <c r="A790" s="4">
        <v>2013</v>
      </c>
      <c r="B790" s="318">
        <v>44265</v>
      </c>
      <c r="C790" s="4" t="s">
        <v>430</v>
      </c>
      <c r="D790" s="4" t="s">
        <v>431</v>
      </c>
      <c r="E790" s="4"/>
      <c r="F790" s="4" t="s">
        <v>1493</v>
      </c>
      <c r="G790" s="5" t="s">
        <v>432</v>
      </c>
      <c r="H790" s="5" t="s">
        <v>185</v>
      </c>
      <c r="I790" s="5" t="s">
        <v>222</v>
      </c>
      <c r="J790" s="5" t="s">
        <v>10</v>
      </c>
      <c r="K790" s="5">
        <v>15.5</v>
      </c>
      <c r="L790" s="5" t="s">
        <v>190</v>
      </c>
      <c r="M790" s="5">
        <v>2000</v>
      </c>
      <c r="N790" s="5" t="s">
        <v>171</v>
      </c>
      <c r="O790" s="6" t="s">
        <v>81</v>
      </c>
      <c r="P790" s="6" t="s">
        <v>186</v>
      </c>
      <c r="Q790" s="6"/>
      <c r="R790" s="6"/>
      <c r="S790" s="6">
        <v>57</v>
      </c>
      <c r="T790" s="6">
        <v>18.22</v>
      </c>
      <c r="U790" s="6">
        <v>1862</v>
      </c>
      <c r="V790" s="6">
        <v>45.64</v>
      </c>
      <c r="W790" s="6">
        <v>0</v>
      </c>
      <c r="X790" s="6">
        <v>0</v>
      </c>
      <c r="Y790" s="6">
        <v>1085</v>
      </c>
      <c r="Z790" s="6">
        <v>663</v>
      </c>
      <c r="AA790" s="6">
        <v>114</v>
      </c>
      <c r="AB790" s="6">
        <v>0</v>
      </c>
      <c r="AC790" s="7">
        <v>115</v>
      </c>
      <c r="AD790" s="7" t="s">
        <v>52</v>
      </c>
      <c r="AE790" s="9">
        <v>32.734318533023398</v>
      </c>
      <c r="AF790" s="7">
        <v>234</v>
      </c>
      <c r="AG790" s="7">
        <v>32.67</v>
      </c>
      <c r="AH790" s="9">
        <v>42.159470008294598</v>
      </c>
      <c r="AI790" s="9">
        <v>46.359561232950398</v>
      </c>
      <c r="AJ790" s="9">
        <v>523.08754361451804</v>
      </c>
      <c r="AK790" s="9">
        <v>524.93182666395899</v>
      </c>
      <c r="AL790" s="9">
        <v>573.16492050444697</v>
      </c>
      <c r="AM790" s="9" t="s">
        <v>169</v>
      </c>
      <c r="AN790" s="9" t="s">
        <v>169</v>
      </c>
      <c r="AO790" s="9" t="s">
        <v>169</v>
      </c>
      <c r="AP790" s="9" t="s">
        <v>169</v>
      </c>
      <c r="AQ790" s="9" t="s">
        <v>169</v>
      </c>
      <c r="AR790" s="9" t="s">
        <v>169</v>
      </c>
      <c r="AS790" s="8" t="s">
        <v>169</v>
      </c>
      <c r="AT790" s="8" t="s">
        <v>169</v>
      </c>
      <c r="AU790" s="10" t="s">
        <v>169</v>
      </c>
      <c r="AV790" s="10">
        <v>0</v>
      </c>
      <c r="AW790" s="10" t="s">
        <v>169</v>
      </c>
      <c r="AX790" s="10" t="s">
        <v>169</v>
      </c>
      <c r="AY790" s="10"/>
      <c r="AZ790" s="10"/>
      <c r="BA790" s="10"/>
      <c r="BB790" s="8"/>
      <c r="BC790" s="8"/>
      <c r="BD790" s="8"/>
      <c r="BE790" s="8"/>
      <c r="BF790" s="12">
        <v>0.38</v>
      </c>
      <c r="BG790" s="13">
        <v>379.33964988719299</v>
      </c>
      <c r="BH790" s="96" t="str">
        <f>+VLOOKUP(G790,Liste!$A$7:$G$50,3,FALSE)</f>
        <v>Sapin pectiné</v>
      </c>
      <c r="BI790" s="96" t="str">
        <f>+VLOOKUP(H790,Liste!$B$7:$G$50,5,FALSE)</f>
        <v>GS Arc Jurassien</v>
      </c>
      <c r="BJ790" s="135">
        <f t="shared" si="244"/>
        <v>115</v>
      </c>
      <c r="BK790" s="135" t="str">
        <f t="shared" si="246"/>
        <v>Sapin pectiné_F2_Cas général_GS Arc Jurassien_115_</v>
      </c>
      <c r="BL790" s="322"/>
      <c r="BM790" s="13">
        <v>93.405427899107195</v>
      </c>
      <c r="BN790" s="13">
        <v>472.74507778629999</v>
      </c>
      <c r="BO790" s="13" t="s">
        <v>169</v>
      </c>
      <c r="BP790" s="13">
        <v>306.131842885666</v>
      </c>
      <c r="BQ790" s="13" t="s">
        <v>169</v>
      </c>
      <c r="BT790" s="298" t="str">
        <f>+VLOOKUP(G790,Liste!$A$7:$H$50,8,FALSE)</f>
        <v>Résineux</v>
      </c>
      <c r="BU790" s="298">
        <f t="shared" si="247"/>
        <v>0</v>
      </c>
      <c r="BV790" s="300">
        <f t="shared" si="248"/>
        <v>1</v>
      </c>
      <c r="BW790" s="321">
        <v>0</v>
      </c>
      <c r="BX790" s="298">
        <f t="shared" si="249"/>
        <v>0.43</v>
      </c>
      <c r="BY790">
        <f t="shared" si="250"/>
        <v>0</v>
      </c>
      <c r="BZ790" s="304">
        <f t="shared" si="251"/>
        <v>0</v>
      </c>
      <c r="CB790" s="299">
        <v>0.6</v>
      </c>
      <c r="CC790" s="299">
        <v>0.4</v>
      </c>
      <c r="CD790">
        <f t="shared" si="252"/>
        <v>0</v>
      </c>
      <c r="CE790">
        <f t="shared" si="253"/>
        <v>0</v>
      </c>
      <c r="CF790">
        <f t="shared" si="254"/>
        <v>0</v>
      </c>
      <c r="CG790">
        <f t="shared" si="255"/>
        <v>0</v>
      </c>
      <c r="CH790">
        <f t="shared" si="256"/>
        <v>0</v>
      </c>
      <c r="CI790">
        <f t="shared" si="257"/>
        <v>0</v>
      </c>
      <c r="CJ790">
        <f t="shared" si="258"/>
        <v>0</v>
      </c>
      <c r="CK790">
        <f t="shared" si="259"/>
        <v>0</v>
      </c>
      <c r="CL790">
        <f t="shared" si="260"/>
        <v>0</v>
      </c>
      <c r="CM790">
        <f t="shared" si="262"/>
        <v>0</v>
      </c>
      <c r="CN790">
        <f t="shared" si="261"/>
        <v>0</v>
      </c>
      <c r="CO790">
        <f t="shared" si="245"/>
        <v>0</v>
      </c>
    </row>
    <row r="791" spans="1:93" s="12" customFormat="1" x14ac:dyDescent="0.25">
      <c r="A791" s="4">
        <v>2013</v>
      </c>
      <c r="B791" s="318">
        <v>44265</v>
      </c>
      <c r="C791" s="4" t="s">
        <v>430</v>
      </c>
      <c r="D791" s="4" t="s">
        <v>431</v>
      </c>
      <c r="E791" s="4"/>
      <c r="F791" s="4" t="s">
        <v>1493</v>
      </c>
      <c r="G791" s="5" t="s">
        <v>432</v>
      </c>
      <c r="H791" s="5" t="s">
        <v>185</v>
      </c>
      <c r="I791" s="5" t="s">
        <v>222</v>
      </c>
      <c r="J791" s="5" t="s">
        <v>10</v>
      </c>
      <c r="K791" s="5">
        <v>15.5</v>
      </c>
      <c r="L791" s="5" t="s">
        <v>190</v>
      </c>
      <c r="M791" s="5">
        <v>2000</v>
      </c>
      <c r="N791" s="5" t="s">
        <v>171</v>
      </c>
      <c r="O791" s="6" t="s">
        <v>81</v>
      </c>
      <c r="P791" s="6" t="s">
        <v>186</v>
      </c>
      <c r="Q791" s="6"/>
      <c r="R791" s="6"/>
      <c r="S791" s="6">
        <v>57</v>
      </c>
      <c r="T791" s="6">
        <v>18.22</v>
      </c>
      <c r="U791" s="6">
        <v>1862</v>
      </c>
      <c r="V791" s="6">
        <v>45.64</v>
      </c>
      <c r="W791" s="6">
        <v>0</v>
      </c>
      <c r="X791" s="6">
        <v>0</v>
      </c>
      <c r="Y791" s="6">
        <v>1085</v>
      </c>
      <c r="Z791" s="6">
        <v>663</v>
      </c>
      <c r="AA791" s="6">
        <v>114</v>
      </c>
      <c r="AB791" s="6">
        <v>0</v>
      </c>
      <c r="AC791" s="7">
        <v>116</v>
      </c>
      <c r="AD791" s="7" t="s">
        <v>52</v>
      </c>
      <c r="AE791" s="9">
        <v>32.898804012904897</v>
      </c>
      <c r="AF791" s="7">
        <v>234</v>
      </c>
      <c r="AG791" s="7">
        <v>33.19</v>
      </c>
      <c r="AH791" s="9">
        <v>42.496510306618703</v>
      </c>
      <c r="AI791" s="9">
        <v>46.714481995286199</v>
      </c>
      <c r="AJ791" s="9">
        <v>534.34892853601696</v>
      </c>
      <c r="AK791" s="9">
        <v>536.22649105551102</v>
      </c>
      <c r="AL791" s="9">
        <v>585.00220624824397</v>
      </c>
      <c r="AM791" s="9" t="s">
        <v>169</v>
      </c>
      <c r="AN791" s="9" t="s">
        <v>169</v>
      </c>
      <c r="AO791" s="9" t="s">
        <v>169</v>
      </c>
      <c r="AP791" s="9" t="s">
        <v>169</v>
      </c>
      <c r="AQ791" s="9" t="s">
        <v>169</v>
      </c>
      <c r="AR791" s="9" t="s">
        <v>169</v>
      </c>
      <c r="AS791" s="8" t="s">
        <v>169</v>
      </c>
      <c r="AT791" s="8" t="s">
        <v>169</v>
      </c>
      <c r="AU791" s="10" t="s">
        <v>169</v>
      </c>
      <c r="AV791" s="10">
        <v>0</v>
      </c>
      <c r="AW791" s="10" t="s">
        <v>169</v>
      </c>
      <c r="AX791" s="10" t="s">
        <v>169</v>
      </c>
      <c r="AY791" s="10"/>
      <c r="AZ791" s="10"/>
      <c r="BA791" s="10"/>
      <c r="BB791" s="8"/>
      <c r="BC791" s="8"/>
      <c r="BD791" s="8"/>
      <c r="BE791" s="8"/>
      <c r="BF791" s="12">
        <v>0.38</v>
      </c>
      <c r="BG791" s="13">
        <v>387.17396016863</v>
      </c>
      <c r="BH791" s="96" t="str">
        <f>+VLOOKUP(G791,Liste!$A$7:$G$50,3,FALSE)</f>
        <v>Sapin pectiné</v>
      </c>
      <c r="BI791" s="96" t="str">
        <f>+VLOOKUP(H791,Liste!$B$7:$G$50,5,FALSE)</f>
        <v>GS Arc Jurassien</v>
      </c>
      <c r="BJ791" s="135">
        <f t="shared" si="244"/>
        <v>116</v>
      </c>
      <c r="BK791" s="135" t="str">
        <f t="shared" si="246"/>
        <v>Sapin pectiné_F2_Cas général_GS Arc Jurassien_116_</v>
      </c>
      <c r="BL791" s="322"/>
      <c r="BM791" s="13">
        <v>95.112328893733704</v>
      </c>
      <c r="BN791" s="13">
        <v>482.28628906236298</v>
      </c>
      <c r="BO791" s="13" t="s">
        <v>169</v>
      </c>
      <c r="BP791" s="13">
        <v>306.131842885666</v>
      </c>
      <c r="BQ791" s="13" t="s">
        <v>169</v>
      </c>
      <c r="BT791" s="298" t="str">
        <f>+VLOOKUP(G791,Liste!$A$7:$H$50,8,FALSE)</f>
        <v>Résineux</v>
      </c>
      <c r="BU791" s="298">
        <f t="shared" si="247"/>
        <v>0</v>
      </c>
      <c r="BV791" s="300">
        <f t="shared" si="248"/>
        <v>1</v>
      </c>
      <c r="BW791" s="321">
        <v>0</v>
      </c>
      <c r="BX791" s="298">
        <f t="shared" si="249"/>
        <v>0.43</v>
      </c>
      <c r="BY791">
        <f t="shared" si="250"/>
        <v>0</v>
      </c>
      <c r="BZ791" s="304">
        <f t="shared" si="251"/>
        <v>0</v>
      </c>
      <c r="CB791" s="299">
        <v>0.6</v>
      </c>
      <c r="CC791" s="299">
        <v>0.4</v>
      </c>
      <c r="CD791">
        <f t="shared" si="252"/>
        <v>0</v>
      </c>
      <c r="CE791">
        <f t="shared" si="253"/>
        <v>0</v>
      </c>
      <c r="CF791">
        <f t="shared" si="254"/>
        <v>0</v>
      </c>
      <c r="CG791">
        <f t="shared" si="255"/>
        <v>0</v>
      </c>
      <c r="CH791">
        <f t="shared" si="256"/>
        <v>0</v>
      </c>
      <c r="CI791">
        <f t="shared" si="257"/>
        <v>0</v>
      </c>
      <c r="CJ791">
        <f t="shared" si="258"/>
        <v>0</v>
      </c>
      <c r="CK791">
        <f t="shared" si="259"/>
        <v>0</v>
      </c>
      <c r="CL791">
        <f t="shared" si="260"/>
        <v>0</v>
      </c>
      <c r="CM791">
        <f t="shared" si="262"/>
        <v>0</v>
      </c>
      <c r="CN791">
        <f t="shared" si="261"/>
        <v>0</v>
      </c>
      <c r="CO791">
        <f t="shared" si="245"/>
        <v>0</v>
      </c>
    </row>
    <row r="792" spans="1:93" s="12" customFormat="1" x14ac:dyDescent="0.25">
      <c r="A792" s="4">
        <v>2013</v>
      </c>
      <c r="B792" s="318">
        <v>44265</v>
      </c>
      <c r="C792" s="4" t="s">
        <v>430</v>
      </c>
      <c r="D792" s="4" t="s">
        <v>431</v>
      </c>
      <c r="E792" s="4"/>
      <c r="F792" s="4" t="s">
        <v>1493</v>
      </c>
      <c r="G792" s="5" t="s">
        <v>432</v>
      </c>
      <c r="H792" s="5" t="s">
        <v>185</v>
      </c>
      <c r="I792" s="5" t="s">
        <v>222</v>
      </c>
      <c r="J792" s="5" t="s">
        <v>10</v>
      </c>
      <c r="K792" s="5">
        <v>15.5</v>
      </c>
      <c r="L792" s="5" t="s">
        <v>190</v>
      </c>
      <c r="M792" s="5">
        <v>2000</v>
      </c>
      <c r="N792" s="5" t="s">
        <v>171</v>
      </c>
      <c r="O792" s="6" t="s">
        <v>81</v>
      </c>
      <c r="P792" s="6" t="s">
        <v>186</v>
      </c>
      <c r="Q792" s="6"/>
      <c r="R792" s="6"/>
      <c r="S792" s="6">
        <v>57</v>
      </c>
      <c r="T792" s="6">
        <v>18.22</v>
      </c>
      <c r="U792" s="6">
        <v>1862</v>
      </c>
      <c r="V792" s="6">
        <v>45.64</v>
      </c>
      <c r="W792" s="6">
        <v>0</v>
      </c>
      <c r="X792" s="6">
        <v>0</v>
      </c>
      <c r="Y792" s="6">
        <v>1085</v>
      </c>
      <c r="Z792" s="6">
        <v>663</v>
      </c>
      <c r="AA792" s="6">
        <v>114</v>
      </c>
      <c r="AB792" s="6">
        <v>0</v>
      </c>
      <c r="AC792" s="7">
        <v>117</v>
      </c>
      <c r="AD792" s="7" t="s">
        <v>52</v>
      </c>
      <c r="AE792" s="9">
        <v>33.061271526917203</v>
      </c>
      <c r="AF792" s="7">
        <v>234</v>
      </c>
      <c r="AG792" s="7">
        <v>33.71</v>
      </c>
      <c r="AH792" s="9">
        <v>42.828015655394402</v>
      </c>
      <c r="AI792" s="9">
        <v>47.063335925858397</v>
      </c>
      <c r="AJ792" s="9">
        <v>545.61031345751701</v>
      </c>
      <c r="AK792" s="9">
        <v>547.52115544706305</v>
      </c>
      <c r="AL792" s="9">
        <v>596.83949199204199</v>
      </c>
      <c r="AM792" s="9">
        <v>93.897932075268997</v>
      </c>
      <c r="AN792" s="9">
        <v>0.80254642799375198</v>
      </c>
      <c r="AO792" s="9">
        <v>0.51532386334614</v>
      </c>
      <c r="AP792" s="9">
        <v>1363.13167071364</v>
      </c>
      <c r="AQ792" s="9">
        <v>11.650698040287599</v>
      </c>
      <c r="AR792" s="9">
        <v>11.744628961590699</v>
      </c>
      <c r="AS792" s="8" t="s">
        <v>169</v>
      </c>
      <c r="AT792" s="8" t="s">
        <v>169</v>
      </c>
      <c r="AU792" s="10" t="s">
        <v>169</v>
      </c>
      <c r="AV792" s="10">
        <v>0</v>
      </c>
      <c r="AW792" s="10" t="s">
        <v>169</v>
      </c>
      <c r="AX792" s="10" t="s">
        <v>169</v>
      </c>
      <c r="AY792" s="10"/>
      <c r="AZ792" s="10"/>
      <c r="BA792" s="10"/>
      <c r="BB792" s="8"/>
      <c r="BC792" s="8"/>
      <c r="BD792" s="8"/>
      <c r="BE792" s="8"/>
      <c r="BF792" s="12">
        <v>0.38</v>
      </c>
      <c r="BG792" s="13">
        <v>395.00827045006599</v>
      </c>
      <c r="BH792" s="96" t="str">
        <f>+VLOOKUP(G792,Liste!$A$7:$G$50,3,FALSE)</f>
        <v>Sapin pectiné</v>
      </c>
      <c r="BI792" s="96" t="str">
        <f>+VLOOKUP(H792,Liste!$B$7:$G$50,5,FALSE)</f>
        <v>GS Arc Jurassien</v>
      </c>
      <c r="BJ792" s="135">
        <f t="shared" si="244"/>
        <v>117</v>
      </c>
      <c r="BK792" s="135" t="str">
        <f t="shared" si="246"/>
        <v>Sapin pectiné_F2_Cas général_GS Arc Jurassien_117_</v>
      </c>
      <c r="BL792" s="322"/>
      <c r="BM792" s="13">
        <v>96.819229888360297</v>
      </c>
      <c r="BN792" s="13">
        <v>491.827500338427</v>
      </c>
      <c r="BO792" s="13" t="s">
        <v>169</v>
      </c>
      <c r="BP792" s="13">
        <v>306.131842885666</v>
      </c>
      <c r="BQ792" s="13">
        <v>9.3013677005080808</v>
      </c>
      <c r="BT792" s="298" t="str">
        <f>+VLOOKUP(G792,Liste!$A$7:$H$50,8,FALSE)</f>
        <v>Résineux</v>
      </c>
      <c r="BU792" s="298">
        <f t="shared" si="247"/>
        <v>0</v>
      </c>
      <c r="BV792" s="300">
        <f t="shared" si="248"/>
        <v>1</v>
      </c>
      <c r="BW792" s="321">
        <v>0</v>
      </c>
      <c r="BX792" s="298">
        <f t="shared" si="249"/>
        <v>0.43</v>
      </c>
      <c r="BY792">
        <f t="shared" si="250"/>
        <v>0</v>
      </c>
      <c r="BZ792" s="304">
        <f t="shared" si="251"/>
        <v>0</v>
      </c>
      <c r="CB792" s="299">
        <v>0.6</v>
      </c>
      <c r="CC792" s="299">
        <v>0.4</v>
      </c>
      <c r="CD792">
        <f t="shared" si="252"/>
        <v>0</v>
      </c>
      <c r="CE792">
        <f t="shared" si="253"/>
        <v>0</v>
      </c>
      <c r="CF792">
        <f t="shared" si="254"/>
        <v>0</v>
      </c>
      <c r="CG792">
        <f t="shared" si="255"/>
        <v>0</v>
      </c>
      <c r="CH792">
        <f t="shared" si="256"/>
        <v>0</v>
      </c>
      <c r="CI792">
        <f t="shared" si="257"/>
        <v>0</v>
      </c>
      <c r="CJ792">
        <f t="shared" si="258"/>
        <v>0</v>
      </c>
      <c r="CK792">
        <f t="shared" si="259"/>
        <v>0</v>
      </c>
      <c r="CL792">
        <f t="shared" si="260"/>
        <v>0</v>
      </c>
      <c r="CM792">
        <f t="shared" si="262"/>
        <v>0</v>
      </c>
      <c r="CN792">
        <f t="shared" si="261"/>
        <v>0</v>
      </c>
      <c r="CO792">
        <f t="shared" si="245"/>
        <v>0</v>
      </c>
    </row>
    <row r="793" spans="1:93" s="12" customFormat="1" x14ac:dyDescent="0.25">
      <c r="A793" s="4">
        <v>2013</v>
      </c>
      <c r="B793" s="318">
        <v>44265</v>
      </c>
      <c r="C793" s="4" t="s">
        <v>430</v>
      </c>
      <c r="D793" s="4" t="s">
        <v>431</v>
      </c>
      <c r="E793" s="4"/>
      <c r="F793" s="4" t="s">
        <v>1493</v>
      </c>
      <c r="G793" s="5" t="s">
        <v>432</v>
      </c>
      <c r="H793" s="5" t="s">
        <v>185</v>
      </c>
      <c r="I793" s="5" t="s">
        <v>222</v>
      </c>
      <c r="J793" s="5" t="s">
        <v>10</v>
      </c>
      <c r="K793" s="5">
        <v>15.5</v>
      </c>
      <c r="L793" s="5" t="s">
        <v>190</v>
      </c>
      <c r="M793" s="5">
        <v>2000</v>
      </c>
      <c r="N793" s="5" t="s">
        <v>171</v>
      </c>
      <c r="O793" s="6" t="s">
        <v>81</v>
      </c>
      <c r="P793" s="6" t="s">
        <v>186</v>
      </c>
      <c r="Q793" s="6"/>
      <c r="R793" s="6"/>
      <c r="S793" s="6">
        <v>57</v>
      </c>
      <c r="T793" s="6">
        <v>18.22</v>
      </c>
      <c r="U793" s="6">
        <v>1862</v>
      </c>
      <c r="V793" s="6">
        <v>45.64</v>
      </c>
      <c r="W793" s="6">
        <v>0</v>
      </c>
      <c r="X793" s="6">
        <v>0</v>
      </c>
      <c r="Y793" s="6">
        <v>1085</v>
      </c>
      <c r="Z793" s="6">
        <v>663</v>
      </c>
      <c r="AA793" s="6">
        <v>114</v>
      </c>
      <c r="AB793" s="6">
        <v>0</v>
      </c>
      <c r="AC793" s="7">
        <v>118</v>
      </c>
      <c r="AD793" s="7" t="s">
        <v>52</v>
      </c>
      <c r="AE793" s="9">
        <v>33.221754584543199</v>
      </c>
      <c r="AF793" s="7">
        <v>234</v>
      </c>
      <c r="AG793" s="7">
        <v>34.229999999999997</v>
      </c>
      <c r="AH793" s="9">
        <v>43.154127258012103</v>
      </c>
      <c r="AI793" s="9">
        <v>47.406287429219098</v>
      </c>
      <c r="AJ793" s="9">
        <v>556.83281742328302</v>
      </c>
      <c r="AK793" s="9">
        <v>558.77414464296203</v>
      </c>
      <c r="AL793" s="9">
        <v>608.58412095363303</v>
      </c>
      <c r="AM793" s="9">
        <v>94.413255938615094</v>
      </c>
      <c r="AN793" s="9">
        <v>0.80011233846284002</v>
      </c>
      <c r="AO793" s="9">
        <v>0.48581443700230398</v>
      </c>
      <c r="AP793" s="9">
        <v>1374.87629967523</v>
      </c>
      <c r="AQ793" s="9">
        <v>11.6514940650444</v>
      </c>
      <c r="AR793" s="9">
        <v>11.280972149481901</v>
      </c>
      <c r="AS793" s="8" t="s">
        <v>169</v>
      </c>
      <c r="AT793" s="8" t="s">
        <v>169</v>
      </c>
      <c r="AU793" s="10" t="s">
        <v>169</v>
      </c>
      <c r="AV793" s="10">
        <v>0</v>
      </c>
      <c r="AW793" s="10" t="s">
        <v>169</v>
      </c>
      <c r="AX793" s="10" t="s">
        <v>169</v>
      </c>
      <c r="AY793" s="10"/>
      <c r="AZ793" s="10"/>
      <c r="BA793" s="10"/>
      <c r="BB793" s="8"/>
      <c r="BC793" s="8"/>
      <c r="BD793" s="8"/>
      <c r="BE793" s="8"/>
      <c r="BF793" s="12">
        <v>0.38</v>
      </c>
      <c r="BG793" s="13">
        <v>402.78125738447898</v>
      </c>
      <c r="BH793" s="96" t="str">
        <f>+VLOOKUP(G793,Liste!$A$7:$G$50,3,FALSE)</f>
        <v>Sapin pectiné</v>
      </c>
      <c r="BI793" s="96" t="str">
        <f>+VLOOKUP(H793,Liste!$B$7:$G$50,5,FALSE)</f>
        <v>GS Arc Jurassien</v>
      </c>
      <c r="BJ793" s="135">
        <f t="shared" si="244"/>
        <v>118</v>
      </c>
      <c r="BK793" s="135" t="str">
        <f t="shared" si="246"/>
        <v>Sapin pectiné_F2_Cas général_GS Arc Jurassien_118_</v>
      </c>
      <c r="BL793" s="322"/>
      <c r="BM793" s="13">
        <v>98.500761449424601</v>
      </c>
      <c r="BN793" s="13">
        <v>501.28201883390398</v>
      </c>
      <c r="BO793" s="13" t="s">
        <v>169</v>
      </c>
      <c r="BP793" s="13">
        <v>306.131842885666</v>
      </c>
      <c r="BQ793" s="13">
        <v>8.9313515509179506</v>
      </c>
      <c r="BT793" s="298" t="str">
        <f>+VLOOKUP(G793,Liste!$A$7:$H$50,8,FALSE)</f>
        <v>Résineux</v>
      </c>
      <c r="BU793" s="298">
        <f t="shared" si="247"/>
        <v>0</v>
      </c>
      <c r="BV793" s="300">
        <f t="shared" si="248"/>
        <v>1</v>
      </c>
      <c r="BW793" s="321">
        <v>0</v>
      </c>
      <c r="BX793" s="298">
        <f t="shared" si="249"/>
        <v>0.43</v>
      </c>
      <c r="BY793">
        <f t="shared" si="250"/>
        <v>0</v>
      </c>
      <c r="BZ793" s="304">
        <f t="shared" si="251"/>
        <v>0</v>
      </c>
      <c r="CB793" s="299">
        <v>0.6</v>
      </c>
      <c r="CC793" s="299">
        <v>0.4</v>
      </c>
      <c r="CD793">
        <f t="shared" si="252"/>
        <v>0</v>
      </c>
      <c r="CE793">
        <f t="shared" si="253"/>
        <v>0</v>
      </c>
      <c r="CF793">
        <f t="shared" si="254"/>
        <v>0</v>
      </c>
      <c r="CG793">
        <f t="shared" si="255"/>
        <v>0</v>
      </c>
      <c r="CH793">
        <f t="shared" si="256"/>
        <v>0</v>
      </c>
      <c r="CI793">
        <f t="shared" si="257"/>
        <v>0</v>
      </c>
      <c r="CJ793">
        <f t="shared" si="258"/>
        <v>0</v>
      </c>
      <c r="CK793">
        <f t="shared" si="259"/>
        <v>0</v>
      </c>
      <c r="CL793">
        <f t="shared" si="260"/>
        <v>0</v>
      </c>
      <c r="CM793">
        <f t="shared" si="262"/>
        <v>0</v>
      </c>
      <c r="CN793">
        <f t="shared" si="261"/>
        <v>0</v>
      </c>
      <c r="CO793">
        <f t="shared" si="245"/>
        <v>0</v>
      </c>
    </row>
    <row r="794" spans="1:93" s="12" customFormat="1" x14ac:dyDescent="0.25">
      <c r="A794" s="4">
        <v>2013</v>
      </c>
      <c r="B794" s="318">
        <v>44265</v>
      </c>
      <c r="C794" s="4" t="s">
        <v>430</v>
      </c>
      <c r="D794" s="4" t="s">
        <v>431</v>
      </c>
      <c r="E794" s="4"/>
      <c r="F794" s="4" t="s">
        <v>1493</v>
      </c>
      <c r="G794" s="5" t="s">
        <v>432</v>
      </c>
      <c r="H794" s="5" t="s">
        <v>185</v>
      </c>
      <c r="I794" s="5" t="s">
        <v>222</v>
      </c>
      <c r="J794" s="5" t="s">
        <v>10</v>
      </c>
      <c r="K794" s="5">
        <v>15.5</v>
      </c>
      <c r="L794" s="5" t="s">
        <v>190</v>
      </c>
      <c r="M794" s="5">
        <v>2000</v>
      </c>
      <c r="N794" s="5" t="s">
        <v>171</v>
      </c>
      <c r="O794" s="6" t="s">
        <v>81</v>
      </c>
      <c r="P794" s="6" t="s">
        <v>186</v>
      </c>
      <c r="Q794" s="6"/>
      <c r="R794" s="6"/>
      <c r="S794" s="6">
        <v>57</v>
      </c>
      <c r="T794" s="6">
        <v>18.22</v>
      </c>
      <c r="U794" s="6">
        <v>1862</v>
      </c>
      <c r="V794" s="6">
        <v>45.64</v>
      </c>
      <c r="W794" s="6">
        <v>0</v>
      </c>
      <c r="X794" s="6">
        <v>0</v>
      </c>
      <c r="Y794" s="6">
        <v>1085</v>
      </c>
      <c r="Z794" s="6">
        <v>663</v>
      </c>
      <c r="AA794" s="6">
        <v>114</v>
      </c>
      <c r="AB794" s="6">
        <v>0</v>
      </c>
      <c r="AC794" s="7">
        <v>118</v>
      </c>
      <c r="AD794" s="7" t="s">
        <v>53</v>
      </c>
      <c r="AE794" s="9">
        <v>33.221754584543199</v>
      </c>
      <c r="AF794" s="7">
        <v>201</v>
      </c>
      <c r="AG794" s="7">
        <v>29.22</v>
      </c>
      <c r="AH794" s="9">
        <v>43.025197619653198</v>
      </c>
      <c r="AI794" s="9">
        <v>46.676070620815601</v>
      </c>
      <c r="AJ794" s="9">
        <v>475.30747706909102</v>
      </c>
      <c r="AK794" s="9">
        <v>476.95567286658098</v>
      </c>
      <c r="AL794" s="9">
        <v>519.43414420957799</v>
      </c>
      <c r="AM794" s="9">
        <v>94.413255938615094</v>
      </c>
      <c r="AN794" s="9">
        <v>0.80011233846284002</v>
      </c>
      <c r="AO794" s="9">
        <v>0.48581443700230398</v>
      </c>
      <c r="AP794" s="9">
        <v>1374.87629967523</v>
      </c>
      <c r="AQ794" s="9">
        <v>11.6514940650444</v>
      </c>
      <c r="AR794" s="9">
        <v>11.280972149481901</v>
      </c>
      <c r="AS794" s="8">
        <v>33</v>
      </c>
      <c r="AT794" s="8">
        <v>5.009999999999998</v>
      </c>
      <c r="AU794" s="10">
        <v>43.965999670279523</v>
      </c>
      <c r="AV794" s="10">
        <v>81.525340354191997</v>
      </c>
      <c r="AW794" s="10">
        <v>1.0379805813324705</v>
      </c>
      <c r="AX794" s="10">
        <v>2.4704648592179392</v>
      </c>
      <c r="AY794" s="10"/>
      <c r="AZ794" s="10"/>
      <c r="BA794" s="10"/>
      <c r="BB794" s="8"/>
      <c r="BC794" s="8"/>
      <c r="BD794" s="8"/>
      <c r="BE794" s="8"/>
      <c r="BF794" s="12">
        <v>0.38</v>
      </c>
      <c r="BG794" s="13">
        <v>343.77883110937199</v>
      </c>
      <c r="BH794" s="96" t="str">
        <f>+VLOOKUP(G794,Liste!$A$7:$G$50,3,FALSE)</f>
        <v>Sapin pectiné</v>
      </c>
      <c r="BI794" s="96" t="str">
        <f>+VLOOKUP(H794,Liste!$B$7:$G$50,5,FALSE)</f>
        <v>GS Arc Jurassien</v>
      </c>
      <c r="BJ794" s="135">
        <f t="shared" si="244"/>
        <v>118</v>
      </c>
      <c r="BK794" s="135" t="str">
        <f t="shared" si="246"/>
        <v>Sapin pectiné_F2_Cas général_GS Arc Jurassien_118_</v>
      </c>
      <c r="BL794" s="322"/>
      <c r="BM794" s="13">
        <v>85.636051629656606</v>
      </c>
      <c r="BN794" s="13">
        <v>429.414882739029</v>
      </c>
      <c r="BO794" s="13">
        <v>71.867136094874979</v>
      </c>
      <c r="BP794" s="13">
        <v>306.131842885666</v>
      </c>
      <c r="BQ794" s="13">
        <v>8.9313515509179506</v>
      </c>
      <c r="BT794" s="298" t="str">
        <f>+VLOOKUP(G794,Liste!$A$7:$H$50,8,FALSE)</f>
        <v>Résineux</v>
      </c>
      <c r="BU794" s="298">
        <f t="shared" si="247"/>
        <v>0</v>
      </c>
      <c r="BV794" s="300">
        <f t="shared" si="248"/>
        <v>1</v>
      </c>
      <c r="BW794" s="321">
        <v>0</v>
      </c>
      <c r="BX794" s="298">
        <f t="shared" si="249"/>
        <v>0.43</v>
      </c>
      <c r="BY794">
        <f t="shared" si="250"/>
        <v>0</v>
      </c>
      <c r="BZ794" s="304">
        <f t="shared" si="251"/>
        <v>0</v>
      </c>
      <c r="CB794" s="299">
        <v>0.6</v>
      </c>
      <c r="CC794" s="299">
        <v>0.4</v>
      </c>
      <c r="CD794">
        <f t="shared" si="252"/>
        <v>0</v>
      </c>
      <c r="CE794">
        <f t="shared" si="253"/>
        <v>0</v>
      </c>
      <c r="CF794">
        <f t="shared" si="254"/>
        <v>0</v>
      </c>
      <c r="CG794">
        <f t="shared" si="255"/>
        <v>0</v>
      </c>
      <c r="CH794">
        <f t="shared" si="256"/>
        <v>0</v>
      </c>
      <c r="CI794">
        <f t="shared" si="257"/>
        <v>0</v>
      </c>
      <c r="CJ794">
        <f t="shared" si="258"/>
        <v>0</v>
      </c>
      <c r="CK794">
        <f t="shared" si="259"/>
        <v>0</v>
      </c>
      <c r="CL794">
        <f t="shared" si="260"/>
        <v>0</v>
      </c>
      <c r="CM794">
        <f t="shared" si="262"/>
        <v>0</v>
      </c>
      <c r="CN794">
        <f t="shared" si="261"/>
        <v>0</v>
      </c>
      <c r="CO794">
        <f t="shared" si="245"/>
        <v>0</v>
      </c>
    </row>
    <row r="795" spans="1:93" s="12" customFormat="1" x14ac:dyDescent="0.25">
      <c r="A795" s="4">
        <v>2013</v>
      </c>
      <c r="B795" s="318">
        <v>44265</v>
      </c>
      <c r="C795" s="4" t="s">
        <v>430</v>
      </c>
      <c r="D795" s="4" t="s">
        <v>431</v>
      </c>
      <c r="E795" s="4"/>
      <c r="F795" s="4" t="s">
        <v>1493</v>
      </c>
      <c r="G795" s="5" t="s">
        <v>432</v>
      </c>
      <c r="H795" s="5" t="s">
        <v>185</v>
      </c>
      <c r="I795" s="5" t="s">
        <v>222</v>
      </c>
      <c r="J795" s="5" t="s">
        <v>10</v>
      </c>
      <c r="K795" s="5">
        <v>15.5</v>
      </c>
      <c r="L795" s="5" t="s">
        <v>190</v>
      </c>
      <c r="M795" s="5">
        <v>2000</v>
      </c>
      <c r="N795" s="5" t="s">
        <v>171</v>
      </c>
      <c r="O795" s="6" t="s">
        <v>81</v>
      </c>
      <c r="P795" s="6" t="s">
        <v>186</v>
      </c>
      <c r="Q795" s="6"/>
      <c r="R795" s="6"/>
      <c r="S795" s="6">
        <v>57</v>
      </c>
      <c r="T795" s="6">
        <v>18.22</v>
      </c>
      <c r="U795" s="6">
        <v>1862</v>
      </c>
      <c r="V795" s="6">
        <v>45.64</v>
      </c>
      <c r="W795" s="6">
        <v>0</v>
      </c>
      <c r="X795" s="6">
        <v>0</v>
      </c>
      <c r="Y795" s="6">
        <v>1085</v>
      </c>
      <c r="Z795" s="6">
        <v>663</v>
      </c>
      <c r="AA795" s="6">
        <v>114</v>
      </c>
      <c r="AB795" s="6">
        <v>0</v>
      </c>
      <c r="AC795" s="7">
        <v>119</v>
      </c>
      <c r="AD795" s="7" t="s">
        <v>52</v>
      </c>
      <c r="AE795" s="9">
        <v>33.380286052896601</v>
      </c>
      <c r="AF795" s="7">
        <v>201</v>
      </c>
      <c r="AG795" s="7">
        <v>29.71</v>
      </c>
      <c r="AH795" s="9">
        <v>43.384328613566403</v>
      </c>
      <c r="AI795" s="9">
        <v>47.051314529160997</v>
      </c>
      <c r="AJ795" s="9">
        <v>486.14229895267698</v>
      </c>
      <c r="AK795" s="9">
        <v>487.816538968359</v>
      </c>
      <c r="AL795" s="9">
        <v>530.71511635905995</v>
      </c>
      <c r="AM795" s="9" t="s">
        <v>169</v>
      </c>
      <c r="AN795" s="9" t="s">
        <v>169</v>
      </c>
      <c r="AO795" s="9" t="s">
        <v>169</v>
      </c>
      <c r="AP795" s="9" t="s">
        <v>169</v>
      </c>
      <c r="AQ795" s="9" t="s">
        <v>169</v>
      </c>
      <c r="AR795" s="9" t="s">
        <v>169</v>
      </c>
      <c r="AS795" s="8" t="s">
        <v>169</v>
      </c>
      <c r="AT795" s="8" t="s">
        <v>169</v>
      </c>
      <c r="AU795" s="10" t="s">
        <v>169</v>
      </c>
      <c r="AV795" s="10">
        <v>0</v>
      </c>
      <c r="AW795" s="10" t="s">
        <v>169</v>
      </c>
      <c r="AX795" s="10" t="s">
        <v>169</v>
      </c>
      <c r="AY795" s="10"/>
      <c r="AZ795" s="10"/>
      <c r="BA795" s="10"/>
      <c r="BB795" s="8"/>
      <c r="BC795" s="8"/>
      <c r="BD795" s="8"/>
      <c r="BE795" s="8"/>
      <c r="BF795" s="12">
        <v>0.38</v>
      </c>
      <c r="BG795" s="13">
        <v>351.24495451030498</v>
      </c>
      <c r="BH795" s="96" t="str">
        <f>+VLOOKUP(G795,Liste!$A$7:$G$50,3,FALSE)</f>
        <v>Sapin pectiné</v>
      </c>
      <c r="BI795" s="96" t="str">
        <f>+VLOOKUP(H795,Liste!$B$7:$G$50,5,FALSE)</f>
        <v>GS Arc Jurassien</v>
      </c>
      <c r="BJ795" s="135">
        <f t="shared" si="244"/>
        <v>119</v>
      </c>
      <c r="BK795" s="135" t="str">
        <f t="shared" si="246"/>
        <v>Sapin pectiné_F2_Cas général_GS Arc Jurassien_119_</v>
      </c>
      <c r="BL795" s="322"/>
      <c r="BM795" s="13">
        <v>87.273309858490705</v>
      </c>
      <c r="BN795" s="13">
        <v>438.51826436879497</v>
      </c>
      <c r="BO795" s="13" t="s">
        <v>169</v>
      </c>
      <c r="BP795" s="13">
        <v>306.131842885666</v>
      </c>
      <c r="BQ795" s="13" t="s">
        <v>169</v>
      </c>
      <c r="BT795" s="298" t="str">
        <f>+VLOOKUP(G795,Liste!$A$7:$H$50,8,FALSE)</f>
        <v>Résineux</v>
      </c>
      <c r="BU795" s="298">
        <f t="shared" si="247"/>
        <v>0</v>
      </c>
      <c r="BV795" s="300">
        <f t="shared" si="248"/>
        <v>1</v>
      </c>
      <c r="BW795" s="321">
        <v>0</v>
      </c>
      <c r="BX795" s="298">
        <f t="shared" si="249"/>
        <v>0.43</v>
      </c>
      <c r="BY795">
        <f t="shared" si="250"/>
        <v>0</v>
      </c>
      <c r="BZ795" s="304">
        <f t="shared" si="251"/>
        <v>0</v>
      </c>
      <c r="CB795" s="299">
        <v>0.6</v>
      </c>
      <c r="CC795" s="299">
        <v>0.4</v>
      </c>
      <c r="CD795">
        <f t="shared" si="252"/>
        <v>0</v>
      </c>
      <c r="CE795">
        <f t="shared" si="253"/>
        <v>0</v>
      </c>
      <c r="CF795">
        <f t="shared" si="254"/>
        <v>0</v>
      </c>
      <c r="CG795">
        <f t="shared" si="255"/>
        <v>0</v>
      </c>
      <c r="CH795">
        <f t="shared" si="256"/>
        <v>0</v>
      </c>
      <c r="CI795">
        <f t="shared" si="257"/>
        <v>0</v>
      </c>
      <c r="CJ795">
        <f t="shared" si="258"/>
        <v>0</v>
      </c>
      <c r="CK795">
        <f t="shared" si="259"/>
        <v>0</v>
      </c>
      <c r="CL795">
        <f t="shared" si="260"/>
        <v>0</v>
      </c>
      <c r="CM795">
        <f t="shared" si="262"/>
        <v>0</v>
      </c>
      <c r="CN795">
        <f t="shared" si="261"/>
        <v>0</v>
      </c>
      <c r="CO795">
        <f t="shared" si="245"/>
        <v>0</v>
      </c>
    </row>
    <row r="796" spans="1:93" s="12" customFormat="1" x14ac:dyDescent="0.25">
      <c r="A796" s="4">
        <v>2013</v>
      </c>
      <c r="B796" s="318">
        <v>44265</v>
      </c>
      <c r="C796" s="4" t="s">
        <v>430</v>
      </c>
      <c r="D796" s="4" t="s">
        <v>431</v>
      </c>
      <c r="E796" s="4"/>
      <c r="F796" s="4" t="s">
        <v>1493</v>
      </c>
      <c r="G796" s="5" t="s">
        <v>432</v>
      </c>
      <c r="H796" s="5" t="s">
        <v>185</v>
      </c>
      <c r="I796" s="5" t="s">
        <v>222</v>
      </c>
      <c r="J796" s="5" t="s">
        <v>10</v>
      </c>
      <c r="K796" s="5">
        <v>15.5</v>
      </c>
      <c r="L796" s="5" t="s">
        <v>190</v>
      </c>
      <c r="M796" s="5">
        <v>2000</v>
      </c>
      <c r="N796" s="5" t="s">
        <v>171</v>
      </c>
      <c r="O796" s="6" t="s">
        <v>81</v>
      </c>
      <c r="P796" s="6" t="s">
        <v>186</v>
      </c>
      <c r="Q796" s="6"/>
      <c r="R796" s="6"/>
      <c r="S796" s="6">
        <v>57</v>
      </c>
      <c r="T796" s="6">
        <v>18.22</v>
      </c>
      <c r="U796" s="6">
        <v>1862</v>
      </c>
      <c r="V796" s="6">
        <v>45.64</v>
      </c>
      <c r="W796" s="6">
        <v>0</v>
      </c>
      <c r="X796" s="6">
        <v>0</v>
      </c>
      <c r="Y796" s="6">
        <v>1085</v>
      </c>
      <c r="Z796" s="6">
        <v>663</v>
      </c>
      <c r="AA796" s="6">
        <v>114</v>
      </c>
      <c r="AB796" s="6">
        <v>0</v>
      </c>
      <c r="AC796" s="7">
        <v>120</v>
      </c>
      <c r="AD796" s="7" t="s">
        <v>52</v>
      </c>
      <c r="AE796" s="9">
        <v>33.5368981680435</v>
      </c>
      <c r="AF796" s="7">
        <v>201</v>
      </c>
      <c r="AG796" s="7">
        <v>30.2</v>
      </c>
      <c r="AH796" s="9">
        <v>43.737554692939398</v>
      </c>
      <c r="AI796" s="9">
        <v>47.4201645736456</v>
      </c>
      <c r="AJ796" s="9">
        <v>496.97712083626402</v>
      </c>
      <c r="AK796" s="9">
        <v>498.67740507013599</v>
      </c>
      <c r="AL796" s="9">
        <v>541.99608850854202</v>
      </c>
      <c r="AM796" s="9" t="s">
        <v>169</v>
      </c>
      <c r="AN796" s="9" t="s">
        <v>169</v>
      </c>
      <c r="AO796" s="9" t="s">
        <v>169</v>
      </c>
      <c r="AP796" s="9" t="s">
        <v>169</v>
      </c>
      <c r="AQ796" s="9" t="s">
        <v>169</v>
      </c>
      <c r="AR796" s="9" t="s">
        <v>169</v>
      </c>
      <c r="AS796" s="8" t="s">
        <v>169</v>
      </c>
      <c r="AT796" s="8" t="s">
        <v>169</v>
      </c>
      <c r="AU796" s="10" t="s">
        <v>169</v>
      </c>
      <c r="AV796" s="10">
        <v>0</v>
      </c>
      <c r="AW796" s="10" t="s">
        <v>169</v>
      </c>
      <c r="AX796" s="10" t="s">
        <v>169</v>
      </c>
      <c r="AY796" s="10"/>
      <c r="AZ796" s="10"/>
      <c r="BA796" s="10"/>
      <c r="BB796" s="8"/>
      <c r="BC796" s="8"/>
      <c r="BD796" s="8"/>
      <c r="BE796" s="8"/>
      <c r="BF796" s="12">
        <v>0.38</v>
      </c>
      <c r="BG796" s="13">
        <v>358.711077911237</v>
      </c>
      <c r="BH796" s="96" t="str">
        <f>+VLOOKUP(G796,Liste!$A$7:$G$50,3,FALSE)</f>
        <v>Sapin pectiné</v>
      </c>
      <c r="BI796" s="96" t="str">
        <f>+VLOOKUP(H796,Liste!$B$7:$G$50,5,FALSE)</f>
        <v>GS Arc Jurassien</v>
      </c>
      <c r="BJ796" s="135">
        <f t="shared" si="244"/>
        <v>120</v>
      </c>
      <c r="BK796" s="135" t="str">
        <f t="shared" si="246"/>
        <v>Sapin pectiné_F2_Cas général_GS Arc Jurassien_120_</v>
      </c>
      <c r="BL796" s="322"/>
      <c r="BM796" s="13">
        <v>88.910568087324805</v>
      </c>
      <c r="BN796" s="13">
        <v>447.62164599856197</v>
      </c>
      <c r="BO796" s="13" t="s">
        <v>169</v>
      </c>
      <c r="BP796" s="13">
        <v>306.131842885666</v>
      </c>
      <c r="BQ796" s="13" t="s">
        <v>169</v>
      </c>
      <c r="BT796" s="298" t="str">
        <f>+VLOOKUP(G796,Liste!$A$7:$H$50,8,FALSE)</f>
        <v>Résineux</v>
      </c>
      <c r="BU796" s="298">
        <f t="shared" si="247"/>
        <v>0</v>
      </c>
      <c r="BV796" s="300">
        <f t="shared" si="248"/>
        <v>1</v>
      </c>
      <c r="BW796" s="321">
        <v>0</v>
      </c>
      <c r="BX796" s="298">
        <f t="shared" si="249"/>
        <v>0.43</v>
      </c>
      <c r="BY796">
        <f t="shared" si="250"/>
        <v>0</v>
      </c>
      <c r="BZ796" s="304">
        <f t="shared" si="251"/>
        <v>0</v>
      </c>
      <c r="CB796" s="299">
        <v>0.6</v>
      </c>
      <c r="CC796" s="299">
        <v>0.4</v>
      </c>
      <c r="CD796">
        <f t="shared" si="252"/>
        <v>0</v>
      </c>
      <c r="CE796">
        <f t="shared" si="253"/>
        <v>0</v>
      </c>
      <c r="CF796">
        <f t="shared" si="254"/>
        <v>0</v>
      </c>
      <c r="CG796">
        <f t="shared" si="255"/>
        <v>0</v>
      </c>
      <c r="CH796">
        <f t="shared" si="256"/>
        <v>0</v>
      </c>
      <c r="CI796">
        <f t="shared" si="257"/>
        <v>0</v>
      </c>
      <c r="CJ796">
        <f t="shared" si="258"/>
        <v>0</v>
      </c>
      <c r="CK796">
        <f t="shared" si="259"/>
        <v>0</v>
      </c>
      <c r="CL796">
        <f t="shared" si="260"/>
        <v>0</v>
      </c>
      <c r="CM796">
        <f t="shared" si="262"/>
        <v>0</v>
      </c>
      <c r="CN796">
        <f t="shared" si="261"/>
        <v>0</v>
      </c>
      <c r="CO796">
        <f t="shared" si="245"/>
        <v>0</v>
      </c>
    </row>
    <row r="797" spans="1:93" s="12" customFormat="1" x14ac:dyDescent="0.25">
      <c r="A797" s="4">
        <v>2013</v>
      </c>
      <c r="B797" s="318">
        <v>44265</v>
      </c>
      <c r="C797" s="4" t="s">
        <v>430</v>
      </c>
      <c r="D797" s="4" t="s">
        <v>431</v>
      </c>
      <c r="E797" s="4"/>
      <c r="F797" s="4" t="s">
        <v>1493</v>
      </c>
      <c r="G797" s="5" t="s">
        <v>432</v>
      </c>
      <c r="H797" s="5" t="s">
        <v>185</v>
      </c>
      <c r="I797" s="5" t="s">
        <v>222</v>
      </c>
      <c r="J797" s="5" t="s">
        <v>10</v>
      </c>
      <c r="K797" s="5">
        <v>15.5</v>
      </c>
      <c r="L797" s="5" t="s">
        <v>190</v>
      </c>
      <c r="M797" s="5">
        <v>2000</v>
      </c>
      <c r="N797" s="5" t="s">
        <v>171</v>
      </c>
      <c r="O797" s="6" t="s">
        <v>81</v>
      </c>
      <c r="P797" s="6" t="s">
        <v>186</v>
      </c>
      <c r="Q797" s="6"/>
      <c r="R797" s="6"/>
      <c r="S797" s="6">
        <v>57</v>
      </c>
      <c r="T797" s="6">
        <v>18.22</v>
      </c>
      <c r="U797" s="6">
        <v>1862</v>
      </c>
      <c r="V797" s="6">
        <v>45.64</v>
      </c>
      <c r="W797" s="6">
        <v>0</v>
      </c>
      <c r="X797" s="6">
        <v>0</v>
      </c>
      <c r="Y797" s="6">
        <v>1085</v>
      </c>
      <c r="Z797" s="6">
        <v>663</v>
      </c>
      <c r="AA797" s="6">
        <v>114</v>
      </c>
      <c r="AB797" s="6">
        <v>0</v>
      </c>
      <c r="AC797" s="7">
        <v>121</v>
      </c>
      <c r="AD797" s="7" t="s">
        <v>52</v>
      </c>
      <c r="AE797" s="9">
        <v>33.691622546320097</v>
      </c>
      <c r="AF797" s="7">
        <v>201</v>
      </c>
      <c r="AG797" s="7">
        <v>30.68</v>
      </c>
      <c r="AH797" s="9">
        <v>44.0850285529689</v>
      </c>
      <c r="AI797" s="9">
        <v>47.782795709666097</v>
      </c>
      <c r="AJ797" s="9">
        <v>507.81194271984998</v>
      </c>
      <c r="AK797" s="9">
        <v>509.538271171914</v>
      </c>
      <c r="AL797" s="9">
        <v>553.27706065802397</v>
      </c>
      <c r="AM797" s="9">
        <v>95.870699249622007</v>
      </c>
      <c r="AN797" s="9">
        <v>0.79231982850927296</v>
      </c>
      <c r="AO797" s="9">
        <v>0.46966905010239901</v>
      </c>
      <c r="AP797" s="9">
        <v>1408.7192161236801</v>
      </c>
      <c r="AQ797" s="9">
        <v>11.6423075712701</v>
      </c>
      <c r="AR797" s="9">
        <v>10.808227485854699</v>
      </c>
      <c r="AS797" s="8" t="s">
        <v>169</v>
      </c>
      <c r="AT797" s="8" t="s">
        <v>169</v>
      </c>
      <c r="AU797" s="10" t="s">
        <v>169</v>
      </c>
      <c r="AV797" s="10">
        <v>0</v>
      </c>
      <c r="AW797" s="10" t="s">
        <v>169</v>
      </c>
      <c r="AX797" s="10" t="s">
        <v>169</v>
      </c>
      <c r="AY797" s="10"/>
      <c r="AZ797" s="10"/>
      <c r="BA797" s="10"/>
      <c r="BB797" s="8"/>
      <c r="BC797" s="8"/>
      <c r="BD797" s="8"/>
      <c r="BE797" s="8"/>
      <c r="BF797" s="12">
        <v>0.38</v>
      </c>
      <c r="BG797" s="13">
        <v>366.17720131216902</v>
      </c>
      <c r="BH797" s="96" t="str">
        <f>+VLOOKUP(G797,Liste!$A$7:$G$50,3,FALSE)</f>
        <v>Sapin pectiné</v>
      </c>
      <c r="BI797" s="96" t="str">
        <f>+VLOOKUP(H797,Liste!$B$7:$G$50,5,FALSE)</f>
        <v>GS Arc Jurassien</v>
      </c>
      <c r="BJ797" s="135">
        <f t="shared" si="244"/>
        <v>121</v>
      </c>
      <c r="BK797" s="135" t="str">
        <f t="shared" si="246"/>
        <v>Sapin pectiné_F2_Cas général_GS Arc Jurassien_121_</v>
      </c>
      <c r="BL797" s="322"/>
      <c r="BM797" s="13">
        <v>90.547826316158904</v>
      </c>
      <c r="BN797" s="13">
        <v>456.72502762832801</v>
      </c>
      <c r="BO797" s="13" t="s">
        <v>169</v>
      </c>
      <c r="BP797" s="13">
        <v>306.131842885666</v>
      </c>
      <c r="BQ797" s="13">
        <v>8.5520071148577692</v>
      </c>
      <c r="BT797" s="298" t="str">
        <f>+VLOOKUP(G797,Liste!$A$7:$H$50,8,FALSE)</f>
        <v>Résineux</v>
      </c>
      <c r="BU797" s="298">
        <f t="shared" si="247"/>
        <v>0</v>
      </c>
      <c r="BV797" s="300">
        <f t="shared" si="248"/>
        <v>1</v>
      </c>
      <c r="BW797" s="321">
        <v>0</v>
      </c>
      <c r="BX797" s="298">
        <f t="shared" si="249"/>
        <v>0.43</v>
      </c>
      <c r="BY797">
        <f t="shared" si="250"/>
        <v>0</v>
      </c>
      <c r="BZ797" s="304">
        <f t="shared" si="251"/>
        <v>0</v>
      </c>
      <c r="CB797" s="299">
        <v>0.6</v>
      </c>
      <c r="CC797" s="299">
        <v>0.4</v>
      </c>
      <c r="CD797">
        <f t="shared" si="252"/>
        <v>0</v>
      </c>
      <c r="CE797">
        <f t="shared" si="253"/>
        <v>0</v>
      </c>
      <c r="CF797">
        <f t="shared" si="254"/>
        <v>0</v>
      </c>
      <c r="CG797">
        <f t="shared" si="255"/>
        <v>0</v>
      </c>
      <c r="CH797">
        <f t="shared" si="256"/>
        <v>0</v>
      </c>
      <c r="CI797">
        <f t="shared" si="257"/>
        <v>0</v>
      </c>
      <c r="CJ797">
        <f t="shared" si="258"/>
        <v>0</v>
      </c>
      <c r="CK797">
        <f t="shared" si="259"/>
        <v>0</v>
      </c>
      <c r="CL797">
        <f t="shared" si="260"/>
        <v>0</v>
      </c>
      <c r="CM797">
        <f t="shared" si="262"/>
        <v>0</v>
      </c>
      <c r="CN797">
        <f t="shared" si="261"/>
        <v>0</v>
      </c>
      <c r="CO797">
        <f t="shared" si="245"/>
        <v>0</v>
      </c>
    </row>
    <row r="798" spans="1:93" s="12" customFormat="1" x14ac:dyDescent="0.25">
      <c r="A798" s="4">
        <v>2013</v>
      </c>
      <c r="B798" s="318">
        <v>44265</v>
      </c>
      <c r="C798" s="4" t="s">
        <v>430</v>
      </c>
      <c r="D798" s="4" t="s">
        <v>431</v>
      </c>
      <c r="E798" s="4"/>
      <c r="F798" s="4" t="s">
        <v>1493</v>
      </c>
      <c r="G798" s="5" t="s">
        <v>432</v>
      </c>
      <c r="H798" s="5" t="s">
        <v>185</v>
      </c>
      <c r="I798" s="5" t="s">
        <v>222</v>
      </c>
      <c r="J798" s="5" t="s">
        <v>10</v>
      </c>
      <c r="K798" s="5">
        <v>15.5</v>
      </c>
      <c r="L798" s="5" t="s">
        <v>190</v>
      </c>
      <c r="M798" s="5">
        <v>2000</v>
      </c>
      <c r="N798" s="5" t="s">
        <v>171</v>
      </c>
      <c r="O798" s="6" t="s">
        <v>81</v>
      </c>
      <c r="P798" s="6" t="s">
        <v>186</v>
      </c>
      <c r="Q798" s="6"/>
      <c r="R798" s="6"/>
      <c r="S798" s="6">
        <v>57</v>
      </c>
      <c r="T798" s="6">
        <v>18.22</v>
      </c>
      <c r="U798" s="6">
        <v>1862</v>
      </c>
      <c r="V798" s="6">
        <v>45.64</v>
      </c>
      <c r="W798" s="6">
        <v>0</v>
      </c>
      <c r="X798" s="6">
        <v>0</v>
      </c>
      <c r="Y798" s="6">
        <v>1085</v>
      </c>
      <c r="Z798" s="6">
        <v>663</v>
      </c>
      <c r="AA798" s="6">
        <v>114</v>
      </c>
      <c r="AB798" s="6">
        <v>0</v>
      </c>
      <c r="AC798" s="7">
        <v>122</v>
      </c>
      <c r="AD798" s="7" t="s">
        <v>52</v>
      </c>
      <c r="AE798" s="9">
        <v>33.844490195624999</v>
      </c>
      <c r="AF798" s="7">
        <v>201</v>
      </c>
      <c r="AG798" s="7">
        <v>31.16</v>
      </c>
      <c r="AH798" s="9">
        <v>44.426897341301597</v>
      </c>
      <c r="AI798" s="9">
        <v>48.139375768891199</v>
      </c>
      <c r="AJ798" s="9">
        <v>518.15330497505602</v>
      </c>
      <c r="AK798" s="9">
        <v>519.90773042096703</v>
      </c>
      <c r="AL798" s="9">
        <v>564.08528814387898</v>
      </c>
      <c r="AM798" s="9" t="s">
        <v>169</v>
      </c>
      <c r="AN798" s="9" t="s">
        <v>169</v>
      </c>
      <c r="AO798" s="9" t="s">
        <v>169</v>
      </c>
      <c r="AP798" s="9" t="s">
        <v>169</v>
      </c>
      <c r="AQ798" s="9" t="s">
        <v>169</v>
      </c>
      <c r="AR798" s="9" t="s">
        <v>169</v>
      </c>
      <c r="AS798" s="8" t="s">
        <v>169</v>
      </c>
      <c r="AT798" s="8" t="s">
        <v>169</v>
      </c>
      <c r="AU798" s="10" t="s">
        <v>169</v>
      </c>
      <c r="AV798" s="10">
        <v>0</v>
      </c>
      <c r="AW798" s="10" t="s">
        <v>169</v>
      </c>
      <c r="AX798" s="10" t="s">
        <v>169</v>
      </c>
      <c r="AY798" s="10"/>
      <c r="AZ798" s="10"/>
      <c r="BA798" s="10"/>
      <c r="BB798" s="8"/>
      <c r="BC798" s="8"/>
      <c r="BD798" s="8"/>
      <c r="BE798" s="8"/>
      <c r="BF798" s="12">
        <v>0.38</v>
      </c>
      <c r="BG798" s="13">
        <v>373.33044653655702</v>
      </c>
      <c r="BH798" s="96" t="str">
        <f>+VLOOKUP(G798,Liste!$A$7:$G$50,3,FALSE)</f>
        <v>Sapin pectiné</v>
      </c>
      <c r="BI798" s="96" t="str">
        <f>+VLOOKUP(H798,Liste!$B$7:$G$50,5,FALSE)</f>
        <v>GS Arc Jurassien</v>
      </c>
      <c r="BJ798" s="135">
        <f t="shared" si="244"/>
        <v>122</v>
      </c>
      <c r="BK798" s="135" t="str">
        <f t="shared" si="246"/>
        <v>Sapin pectiné_F2_Cas général_GS Arc Jurassien_122_</v>
      </c>
      <c r="BL798" s="322"/>
      <c r="BM798" s="13">
        <v>92.102200340455497</v>
      </c>
      <c r="BN798" s="13">
        <v>465.43264687701202</v>
      </c>
      <c r="BO798" s="13" t="s">
        <v>169</v>
      </c>
      <c r="BP798" s="13">
        <v>306.131842885666</v>
      </c>
      <c r="BQ798" s="13" t="s">
        <v>169</v>
      </c>
      <c r="BT798" s="298" t="str">
        <f>+VLOOKUP(G798,Liste!$A$7:$H$50,8,FALSE)</f>
        <v>Résineux</v>
      </c>
      <c r="BU798" s="298">
        <f t="shared" si="247"/>
        <v>0</v>
      </c>
      <c r="BV798" s="300">
        <f t="shared" si="248"/>
        <v>1</v>
      </c>
      <c r="BW798" s="321">
        <v>0</v>
      </c>
      <c r="BX798" s="298">
        <f t="shared" si="249"/>
        <v>0.43</v>
      </c>
      <c r="BY798">
        <f t="shared" si="250"/>
        <v>0</v>
      </c>
      <c r="BZ798" s="304">
        <f t="shared" si="251"/>
        <v>0</v>
      </c>
      <c r="CB798" s="299">
        <v>0.6</v>
      </c>
      <c r="CC798" s="299">
        <v>0.4</v>
      </c>
      <c r="CD798">
        <f t="shared" si="252"/>
        <v>0</v>
      </c>
      <c r="CE798">
        <f t="shared" si="253"/>
        <v>0</v>
      </c>
      <c r="CF798">
        <f t="shared" si="254"/>
        <v>0</v>
      </c>
      <c r="CG798">
        <f t="shared" si="255"/>
        <v>0</v>
      </c>
      <c r="CH798">
        <f t="shared" si="256"/>
        <v>0</v>
      </c>
      <c r="CI798">
        <f t="shared" si="257"/>
        <v>0</v>
      </c>
      <c r="CJ798">
        <f t="shared" si="258"/>
        <v>0</v>
      </c>
      <c r="CK798">
        <f t="shared" si="259"/>
        <v>0</v>
      </c>
      <c r="CL798">
        <f t="shared" si="260"/>
        <v>0</v>
      </c>
      <c r="CM798">
        <f t="shared" si="262"/>
        <v>0</v>
      </c>
      <c r="CN798">
        <f t="shared" si="261"/>
        <v>0</v>
      </c>
      <c r="CO798">
        <f t="shared" si="245"/>
        <v>0</v>
      </c>
    </row>
    <row r="799" spans="1:93" s="12" customFormat="1" x14ac:dyDescent="0.25">
      <c r="A799" s="4">
        <v>2013</v>
      </c>
      <c r="B799" s="318">
        <v>44265</v>
      </c>
      <c r="C799" s="4" t="s">
        <v>430</v>
      </c>
      <c r="D799" s="4" t="s">
        <v>431</v>
      </c>
      <c r="E799" s="4"/>
      <c r="F799" s="4" t="s">
        <v>1493</v>
      </c>
      <c r="G799" s="5" t="s">
        <v>432</v>
      </c>
      <c r="H799" s="5" t="s">
        <v>185</v>
      </c>
      <c r="I799" s="5" t="s">
        <v>222</v>
      </c>
      <c r="J799" s="5" t="s">
        <v>10</v>
      </c>
      <c r="K799" s="5">
        <v>15.5</v>
      </c>
      <c r="L799" s="5" t="s">
        <v>190</v>
      </c>
      <c r="M799" s="5">
        <v>2000</v>
      </c>
      <c r="N799" s="5" t="s">
        <v>171</v>
      </c>
      <c r="O799" s="6" t="s">
        <v>81</v>
      </c>
      <c r="P799" s="6" t="s">
        <v>186</v>
      </c>
      <c r="Q799" s="6"/>
      <c r="R799" s="6"/>
      <c r="S799" s="6">
        <v>57</v>
      </c>
      <c r="T799" s="6">
        <v>18.22</v>
      </c>
      <c r="U799" s="6">
        <v>1862</v>
      </c>
      <c r="V799" s="6">
        <v>45.64</v>
      </c>
      <c r="W799" s="6">
        <v>0</v>
      </c>
      <c r="X799" s="6">
        <v>0</v>
      </c>
      <c r="Y799" s="6">
        <v>1085</v>
      </c>
      <c r="Z799" s="6">
        <v>663</v>
      </c>
      <c r="AA799" s="6">
        <v>114</v>
      </c>
      <c r="AB799" s="6">
        <v>0</v>
      </c>
      <c r="AC799" s="7">
        <v>123</v>
      </c>
      <c r="AD799" s="7" t="s">
        <v>52</v>
      </c>
      <c r="AE799" s="9">
        <v>33.9955315266659</v>
      </c>
      <c r="AF799" s="7">
        <v>201</v>
      </c>
      <c r="AG799" s="7">
        <v>31.63</v>
      </c>
      <c r="AH799" s="9">
        <v>44.763302791654802</v>
      </c>
      <c r="AI799" s="9">
        <v>48.490065998900697</v>
      </c>
      <c r="AJ799" s="9">
        <v>528.49466723026205</v>
      </c>
      <c r="AK799" s="9">
        <v>530.27718967001999</v>
      </c>
      <c r="AL799" s="9">
        <v>574.89351562973297</v>
      </c>
      <c r="AM799" s="9" t="s">
        <v>169</v>
      </c>
      <c r="AN799" s="9" t="s">
        <v>169</v>
      </c>
      <c r="AO799" s="9" t="s">
        <v>169</v>
      </c>
      <c r="AP799" s="9" t="s">
        <v>169</v>
      </c>
      <c r="AQ799" s="9" t="s">
        <v>169</v>
      </c>
      <c r="AR799" s="9" t="s">
        <v>169</v>
      </c>
      <c r="AS799" s="8" t="s">
        <v>169</v>
      </c>
      <c r="AT799" s="8" t="s">
        <v>169</v>
      </c>
      <c r="AU799" s="10" t="s">
        <v>169</v>
      </c>
      <c r="AV799" s="10">
        <v>0</v>
      </c>
      <c r="AW799" s="10" t="s">
        <v>169</v>
      </c>
      <c r="AX799" s="10" t="s">
        <v>169</v>
      </c>
      <c r="AY799" s="10"/>
      <c r="AZ799" s="10"/>
      <c r="BA799" s="10"/>
      <c r="BB799" s="8"/>
      <c r="BC799" s="8"/>
      <c r="BD799" s="8"/>
      <c r="BE799" s="8"/>
      <c r="BF799" s="12">
        <v>0.38</v>
      </c>
      <c r="BG799" s="13">
        <v>380.48369176094502</v>
      </c>
      <c r="BH799" s="96" t="str">
        <f>+VLOOKUP(G799,Liste!$A$7:$G$50,3,FALSE)</f>
        <v>Sapin pectiné</v>
      </c>
      <c r="BI799" s="96" t="str">
        <f>+VLOOKUP(H799,Liste!$B$7:$G$50,5,FALSE)</f>
        <v>GS Arc Jurassien</v>
      </c>
      <c r="BJ799" s="135">
        <f t="shared" si="244"/>
        <v>123</v>
      </c>
      <c r="BK799" s="135" t="str">
        <f t="shared" si="246"/>
        <v>Sapin pectiné_F2_Cas général_GS Arc Jurassien_123_</v>
      </c>
      <c r="BL799" s="322"/>
      <c r="BM799" s="13">
        <v>93.656574364752103</v>
      </c>
      <c r="BN799" s="13">
        <v>474.140266125697</v>
      </c>
      <c r="BO799" s="13" t="s">
        <v>169</v>
      </c>
      <c r="BP799" s="13">
        <v>306.131842885666</v>
      </c>
      <c r="BQ799" s="13" t="s">
        <v>169</v>
      </c>
      <c r="BT799" s="298" t="str">
        <f>+VLOOKUP(G799,Liste!$A$7:$H$50,8,FALSE)</f>
        <v>Résineux</v>
      </c>
      <c r="BU799" s="298">
        <f t="shared" si="247"/>
        <v>0</v>
      </c>
      <c r="BV799" s="300">
        <f t="shared" si="248"/>
        <v>1</v>
      </c>
      <c r="BW799" s="321">
        <v>0</v>
      </c>
      <c r="BX799" s="298">
        <f t="shared" si="249"/>
        <v>0.43</v>
      </c>
      <c r="BY799">
        <f t="shared" si="250"/>
        <v>0</v>
      </c>
      <c r="BZ799" s="304">
        <f t="shared" si="251"/>
        <v>0</v>
      </c>
      <c r="CB799" s="299">
        <v>0.6</v>
      </c>
      <c r="CC799" s="299">
        <v>0.4</v>
      </c>
      <c r="CD799">
        <f t="shared" si="252"/>
        <v>0</v>
      </c>
      <c r="CE799">
        <f t="shared" si="253"/>
        <v>0</v>
      </c>
      <c r="CF799">
        <f t="shared" si="254"/>
        <v>0</v>
      </c>
      <c r="CG799">
        <f t="shared" si="255"/>
        <v>0</v>
      </c>
      <c r="CH799">
        <f t="shared" si="256"/>
        <v>0</v>
      </c>
      <c r="CI799">
        <f t="shared" si="257"/>
        <v>0</v>
      </c>
      <c r="CJ799">
        <f t="shared" si="258"/>
        <v>0</v>
      </c>
      <c r="CK799">
        <f t="shared" si="259"/>
        <v>0</v>
      </c>
      <c r="CL799">
        <f t="shared" si="260"/>
        <v>0</v>
      </c>
      <c r="CM799">
        <f t="shared" si="262"/>
        <v>0</v>
      </c>
      <c r="CN799">
        <f t="shared" si="261"/>
        <v>0</v>
      </c>
      <c r="CO799">
        <f t="shared" si="245"/>
        <v>0</v>
      </c>
    </row>
    <row r="800" spans="1:93" s="12" customFormat="1" x14ac:dyDescent="0.25">
      <c r="A800" s="4">
        <v>2013</v>
      </c>
      <c r="B800" s="318">
        <v>44265</v>
      </c>
      <c r="C800" s="4" t="s">
        <v>430</v>
      </c>
      <c r="D800" s="4" t="s">
        <v>431</v>
      </c>
      <c r="E800" s="4"/>
      <c r="F800" s="4" t="s">
        <v>1493</v>
      </c>
      <c r="G800" s="5" t="s">
        <v>432</v>
      </c>
      <c r="H800" s="5" t="s">
        <v>185</v>
      </c>
      <c r="I800" s="5" t="s">
        <v>222</v>
      </c>
      <c r="J800" s="5" t="s">
        <v>10</v>
      </c>
      <c r="K800" s="5">
        <v>15.5</v>
      </c>
      <c r="L800" s="5" t="s">
        <v>190</v>
      </c>
      <c r="M800" s="5">
        <v>2000</v>
      </c>
      <c r="N800" s="5" t="s">
        <v>171</v>
      </c>
      <c r="O800" s="6" t="s">
        <v>81</v>
      </c>
      <c r="P800" s="6" t="s">
        <v>186</v>
      </c>
      <c r="Q800" s="6"/>
      <c r="R800" s="6"/>
      <c r="S800" s="6">
        <v>57</v>
      </c>
      <c r="T800" s="6">
        <v>18.22</v>
      </c>
      <c r="U800" s="6">
        <v>1862</v>
      </c>
      <c r="V800" s="6">
        <v>45.64</v>
      </c>
      <c r="W800" s="6">
        <v>0</v>
      </c>
      <c r="X800" s="6">
        <v>0</v>
      </c>
      <c r="Y800" s="6">
        <v>1085</v>
      </c>
      <c r="Z800" s="6">
        <v>663</v>
      </c>
      <c r="AA800" s="6">
        <v>114</v>
      </c>
      <c r="AB800" s="6">
        <v>0</v>
      </c>
      <c r="AC800" s="7">
        <v>124</v>
      </c>
      <c r="AD800" s="7" t="s">
        <v>52</v>
      </c>
      <c r="AE800" s="9">
        <v>34.144776364144498</v>
      </c>
      <c r="AF800" s="7">
        <v>201</v>
      </c>
      <c r="AG800" s="7">
        <v>32.1</v>
      </c>
      <c r="AH800" s="9">
        <v>45.094381255202698</v>
      </c>
      <c r="AI800" s="9">
        <v>48.835021081616702</v>
      </c>
      <c r="AJ800" s="9">
        <v>538.83602948546695</v>
      </c>
      <c r="AK800" s="9">
        <v>540.64664891907296</v>
      </c>
      <c r="AL800" s="9">
        <v>585.70174311558799</v>
      </c>
      <c r="AM800" s="9" t="s">
        <v>169</v>
      </c>
      <c r="AN800" s="9" t="s">
        <v>169</v>
      </c>
      <c r="AO800" s="9" t="s">
        <v>169</v>
      </c>
      <c r="AP800" s="9" t="s">
        <v>169</v>
      </c>
      <c r="AQ800" s="9" t="s">
        <v>169</v>
      </c>
      <c r="AR800" s="9" t="s">
        <v>169</v>
      </c>
      <c r="AS800" s="8" t="s">
        <v>169</v>
      </c>
      <c r="AT800" s="8" t="s">
        <v>169</v>
      </c>
      <c r="AU800" s="10" t="s">
        <v>169</v>
      </c>
      <c r="AV800" s="10">
        <v>0</v>
      </c>
      <c r="AW800" s="10" t="s">
        <v>169</v>
      </c>
      <c r="AX800" s="10" t="s">
        <v>169</v>
      </c>
      <c r="AY800" s="10"/>
      <c r="AZ800" s="10"/>
      <c r="BA800" s="10"/>
      <c r="BB800" s="8"/>
      <c r="BC800" s="8"/>
      <c r="BD800" s="8"/>
      <c r="BE800" s="8"/>
      <c r="BF800" s="12">
        <v>0.38</v>
      </c>
      <c r="BG800" s="13">
        <v>387.63693698533302</v>
      </c>
      <c r="BH800" s="96" t="str">
        <f>+VLOOKUP(G800,Liste!$A$7:$G$50,3,FALSE)</f>
        <v>Sapin pectiné</v>
      </c>
      <c r="BI800" s="96" t="str">
        <f>+VLOOKUP(H800,Liste!$B$7:$G$50,5,FALSE)</f>
        <v>GS Arc Jurassien</v>
      </c>
      <c r="BJ800" s="135">
        <f t="shared" si="244"/>
        <v>124</v>
      </c>
      <c r="BK800" s="135" t="str">
        <f t="shared" si="246"/>
        <v>Sapin pectiné_F2_Cas général_GS Arc Jurassien_124_</v>
      </c>
      <c r="BL800" s="322"/>
      <c r="BM800" s="13">
        <v>95.210948389048596</v>
      </c>
      <c r="BN800" s="13">
        <v>482.84788537438197</v>
      </c>
      <c r="BO800" s="13" t="s">
        <v>169</v>
      </c>
      <c r="BP800" s="13">
        <v>306.131842885666</v>
      </c>
      <c r="BQ800" s="13" t="s">
        <v>169</v>
      </c>
      <c r="BT800" s="298" t="str">
        <f>+VLOOKUP(G800,Liste!$A$7:$H$50,8,FALSE)</f>
        <v>Résineux</v>
      </c>
      <c r="BU800" s="298">
        <f t="shared" si="247"/>
        <v>0</v>
      </c>
      <c r="BV800" s="300">
        <f t="shared" si="248"/>
        <v>1</v>
      </c>
      <c r="BW800" s="321">
        <v>0</v>
      </c>
      <c r="BX800" s="298">
        <f t="shared" si="249"/>
        <v>0.43</v>
      </c>
      <c r="BY800">
        <f t="shared" si="250"/>
        <v>0</v>
      </c>
      <c r="BZ800" s="304">
        <f t="shared" si="251"/>
        <v>0</v>
      </c>
      <c r="CB800" s="299">
        <v>0.6</v>
      </c>
      <c r="CC800" s="299">
        <v>0.4</v>
      </c>
      <c r="CD800">
        <f t="shared" si="252"/>
        <v>0</v>
      </c>
      <c r="CE800">
        <f t="shared" si="253"/>
        <v>0</v>
      </c>
      <c r="CF800">
        <f t="shared" si="254"/>
        <v>0</v>
      </c>
      <c r="CG800">
        <f t="shared" si="255"/>
        <v>0</v>
      </c>
      <c r="CH800">
        <f t="shared" si="256"/>
        <v>0</v>
      </c>
      <c r="CI800">
        <f t="shared" si="257"/>
        <v>0</v>
      </c>
      <c r="CJ800">
        <f t="shared" si="258"/>
        <v>0</v>
      </c>
      <c r="CK800">
        <f t="shared" si="259"/>
        <v>0</v>
      </c>
      <c r="CL800">
        <f t="shared" si="260"/>
        <v>0</v>
      </c>
      <c r="CM800">
        <f t="shared" si="262"/>
        <v>0</v>
      </c>
      <c r="CN800">
        <f t="shared" si="261"/>
        <v>0</v>
      </c>
      <c r="CO800">
        <f t="shared" si="245"/>
        <v>0</v>
      </c>
    </row>
    <row r="801" spans="1:93" s="12" customFormat="1" x14ac:dyDescent="0.25">
      <c r="A801" s="4">
        <v>2013</v>
      </c>
      <c r="B801" s="318">
        <v>44265</v>
      </c>
      <c r="C801" s="4" t="s">
        <v>430</v>
      </c>
      <c r="D801" s="4" t="s">
        <v>431</v>
      </c>
      <c r="E801" s="4"/>
      <c r="F801" s="4" t="s">
        <v>1493</v>
      </c>
      <c r="G801" s="5" t="s">
        <v>432</v>
      </c>
      <c r="H801" s="5" t="s">
        <v>185</v>
      </c>
      <c r="I801" s="5" t="s">
        <v>222</v>
      </c>
      <c r="J801" s="5" t="s">
        <v>10</v>
      </c>
      <c r="K801" s="5">
        <v>15.5</v>
      </c>
      <c r="L801" s="5" t="s">
        <v>190</v>
      </c>
      <c r="M801" s="5">
        <v>2000</v>
      </c>
      <c r="N801" s="5" t="s">
        <v>171</v>
      </c>
      <c r="O801" s="6" t="s">
        <v>81</v>
      </c>
      <c r="P801" s="6" t="s">
        <v>186</v>
      </c>
      <c r="Q801" s="6"/>
      <c r="R801" s="6"/>
      <c r="S801" s="6">
        <v>57</v>
      </c>
      <c r="T801" s="6">
        <v>18.22</v>
      </c>
      <c r="U801" s="6">
        <v>1862</v>
      </c>
      <c r="V801" s="6">
        <v>45.64</v>
      </c>
      <c r="W801" s="6">
        <v>0</v>
      </c>
      <c r="X801" s="6">
        <v>0</v>
      </c>
      <c r="Y801" s="6">
        <v>1085</v>
      </c>
      <c r="Z801" s="6">
        <v>663</v>
      </c>
      <c r="AA801" s="6">
        <v>114</v>
      </c>
      <c r="AB801" s="6">
        <v>0</v>
      </c>
      <c r="AC801" s="7">
        <v>125</v>
      </c>
      <c r="AD801" s="7" t="s">
        <v>52</v>
      </c>
      <c r="AE801" s="9">
        <v>34.292253957863402</v>
      </c>
      <c r="AF801" s="7">
        <v>201</v>
      </c>
      <c r="AG801" s="7">
        <v>32.57</v>
      </c>
      <c r="AH801" s="9">
        <v>45.420264124933603</v>
      </c>
      <c r="AI801" s="9">
        <v>49.174389907179602</v>
      </c>
      <c r="AJ801" s="9">
        <v>549.17739174067299</v>
      </c>
      <c r="AK801" s="9">
        <v>551.01610816812604</v>
      </c>
      <c r="AL801" s="9">
        <v>596.509970601443</v>
      </c>
      <c r="AM801" s="9" t="s">
        <v>169</v>
      </c>
      <c r="AN801" s="9" t="s">
        <v>169</v>
      </c>
      <c r="AO801" s="9" t="s">
        <v>169</v>
      </c>
      <c r="AP801" s="9" t="s">
        <v>169</v>
      </c>
      <c r="AQ801" s="9" t="s">
        <v>169</v>
      </c>
      <c r="AR801" s="9" t="s">
        <v>169</v>
      </c>
      <c r="AS801" s="8" t="s">
        <v>169</v>
      </c>
      <c r="AT801" s="8" t="s">
        <v>169</v>
      </c>
      <c r="AU801" s="10" t="s">
        <v>169</v>
      </c>
      <c r="AV801" s="10">
        <v>0</v>
      </c>
      <c r="AW801" s="10" t="s">
        <v>169</v>
      </c>
      <c r="AX801" s="10" t="s">
        <v>169</v>
      </c>
      <c r="AY801" s="10"/>
      <c r="AZ801" s="10"/>
      <c r="BA801" s="10"/>
      <c r="BB801" s="8"/>
      <c r="BC801" s="8"/>
      <c r="BD801" s="8"/>
      <c r="BE801" s="8"/>
      <c r="BF801" s="12">
        <v>0.38</v>
      </c>
      <c r="BG801" s="13">
        <v>394.79018220972199</v>
      </c>
      <c r="BH801" s="96" t="str">
        <f>+VLOOKUP(G801,Liste!$A$7:$G$50,3,FALSE)</f>
        <v>Sapin pectiné</v>
      </c>
      <c r="BI801" s="96" t="str">
        <f>+VLOOKUP(H801,Liste!$B$7:$G$50,5,FALSE)</f>
        <v>GS Arc Jurassien</v>
      </c>
      <c r="BJ801" s="135">
        <f t="shared" si="244"/>
        <v>125</v>
      </c>
      <c r="BK801" s="135" t="str">
        <f t="shared" si="246"/>
        <v>Sapin pectiné_F2_Cas général_GS Arc Jurassien_125_</v>
      </c>
      <c r="BL801" s="322"/>
      <c r="BM801" s="13">
        <v>96.765322413345203</v>
      </c>
      <c r="BN801" s="13">
        <v>491.55550462306701</v>
      </c>
      <c r="BO801" s="13" t="s">
        <v>169</v>
      </c>
      <c r="BP801" s="13">
        <v>306.131842885666</v>
      </c>
      <c r="BQ801" s="13" t="s">
        <v>169</v>
      </c>
      <c r="BT801" s="298" t="str">
        <f>+VLOOKUP(G801,Liste!$A$7:$H$50,8,FALSE)</f>
        <v>Résineux</v>
      </c>
      <c r="BU801" s="298">
        <f t="shared" si="247"/>
        <v>0</v>
      </c>
      <c r="BV801" s="300">
        <f t="shared" si="248"/>
        <v>1</v>
      </c>
      <c r="BW801" s="321">
        <v>0</v>
      </c>
      <c r="BX801" s="298">
        <f t="shared" si="249"/>
        <v>0.43</v>
      </c>
      <c r="BY801">
        <f t="shared" si="250"/>
        <v>0</v>
      </c>
      <c r="BZ801" s="304">
        <f t="shared" si="251"/>
        <v>0</v>
      </c>
      <c r="CB801" s="299">
        <v>0.6</v>
      </c>
      <c r="CC801" s="299">
        <v>0.4</v>
      </c>
      <c r="CD801">
        <f t="shared" si="252"/>
        <v>0</v>
      </c>
      <c r="CE801">
        <f t="shared" si="253"/>
        <v>0</v>
      </c>
      <c r="CF801">
        <f t="shared" si="254"/>
        <v>0</v>
      </c>
      <c r="CG801">
        <f t="shared" si="255"/>
        <v>0</v>
      </c>
      <c r="CH801">
        <f t="shared" si="256"/>
        <v>0</v>
      </c>
      <c r="CI801">
        <f t="shared" si="257"/>
        <v>0</v>
      </c>
      <c r="CJ801">
        <f t="shared" si="258"/>
        <v>0</v>
      </c>
      <c r="CK801">
        <f t="shared" si="259"/>
        <v>0</v>
      </c>
      <c r="CL801">
        <f t="shared" si="260"/>
        <v>0</v>
      </c>
      <c r="CM801">
        <f t="shared" si="262"/>
        <v>0</v>
      </c>
      <c r="CN801">
        <f t="shared" si="261"/>
        <v>0</v>
      </c>
      <c r="CO801">
        <f t="shared" si="245"/>
        <v>0</v>
      </c>
    </row>
    <row r="802" spans="1:93" s="12" customFormat="1" x14ac:dyDescent="0.25">
      <c r="A802" s="4">
        <v>2013</v>
      </c>
      <c r="B802" s="318">
        <v>44265</v>
      </c>
      <c r="C802" s="4" t="s">
        <v>430</v>
      </c>
      <c r="D802" s="4" t="s">
        <v>431</v>
      </c>
      <c r="E802" s="4"/>
      <c r="F802" s="4" t="s">
        <v>1493</v>
      </c>
      <c r="G802" s="5" t="s">
        <v>432</v>
      </c>
      <c r="H802" s="5" t="s">
        <v>185</v>
      </c>
      <c r="I802" s="5" t="s">
        <v>222</v>
      </c>
      <c r="J802" s="5" t="s">
        <v>10</v>
      </c>
      <c r="K802" s="5">
        <v>15.5</v>
      </c>
      <c r="L802" s="5" t="s">
        <v>190</v>
      </c>
      <c r="M802" s="5">
        <v>2000</v>
      </c>
      <c r="N802" s="5" t="s">
        <v>171</v>
      </c>
      <c r="O802" s="6" t="s">
        <v>81</v>
      </c>
      <c r="P802" s="6" t="s">
        <v>186</v>
      </c>
      <c r="Q802" s="6"/>
      <c r="R802" s="6"/>
      <c r="S802" s="6">
        <v>57</v>
      </c>
      <c r="T802" s="6">
        <v>18.22</v>
      </c>
      <c r="U802" s="6">
        <v>1862</v>
      </c>
      <c r="V802" s="6">
        <v>45.64</v>
      </c>
      <c r="W802" s="6">
        <v>0</v>
      </c>
      <c r="X802" s="6">
        <v>0</v>
      </c>
      <c r="Y802" s="6">
        <v>1085</v>
      </c>
      <c r="Z802" s="6">
        <v>663</v>
      </c>
      <c r="AA802" s="6">
        <v>114</v>
      </c>
      <c r="AB802" s="6">
        <v>0</v>
      </c>
      <c r="AC802" s="7">
        <v>126</v>
      </c>
      <c r="AD802" s="7" t="s">
        <v>52</v>
      </c>
      <c r="AE802" s="9">
        <v>34.437992993741503</v>
      </c>
      <c r="AF802" s="7">
        <v>201</v>
      </c>
      <c r="AG802" s="7">
        <v>33.03</v>
      </c>
      <c r="AH802" s="9">
        <v>45.741078494028102</v>
      </c>
      <c r="AI802" s="9">
        <v>49.508315683658601</v>
      </c>
      <c r="AJ802" s="9">
        <v>559.51875399587902</v>
      </c>
      <c r="AK802" s="9">
        <v>561.385567417179</v>
      </c>
      <c r="AL802" s="9">
        <v>607.31819808729801</v>
      </c>
      <c r="AM802" s="9">
        <v>98.219044500134004</v>
      </c>
      <c r="AN802" s="9">
        <v>0.77951622619154004</v>
      </c>
      <c r="AO802" s="9">
        <v>0.45578740718189398</v>
      </c>
      <c r="AP802" s="9">
        <v>1462.7603535529499</v>
      </c>
      <c r="AQ802" s="9">
        <v>11.609209155182199</v>
      </c>
      <c r="AR802" s="9">
        <v>10.682926868052</v>
      </c>
      <c r="AS802" s="8" t="s">
        <v>169</v>
      </c>
      <c r="AT802" s="8" t="s">
        <v>169</v>
      </c>
      <c r="AU802" s="10" t="s">
        <v>169</v>
      </c>
      <c r="AV802" s="10">
        <v>0</v>
      </c>
      <c r="AW802" s="10" t="s">
        <v>169</v>
      </c>
      <c r="AX802" s="10" t="s">
        <v>169</v>
      </c>
      <c r="AY802" s="10"/>
      <c r="AZ802" s="10"/>
      <c r="BA802" s="10"/>
      <c r="BB802" s="8"/>
      <c r="BC802" s="8"/>
      <c r="BD802" s="8"/>
      <c r="BE802" s="8"/>
      <c r="BF802" s="12">
        <v>0.38</v>
      </c>
      <c r="BG802" s="13">
        <v>401.94342743410999</v>
      </c>
      <c r="BH802" s="96" t="str">
        <f>+VLOOKUP(G802,Liste!$A$7:$G$50,3,FALSE)</f>
        <v>Sapin pectiné</v>
      </c>
      <c r="BI802" s="96" t="str">
        <f>+VLOOKUP(H802,Liste!$B$7:$G$50,5,FALSE)</f>
        <v>GS Arc Jurassien</v>
      </c>
      <c r="BJ802" s="135">
        <f t="shared" si="244"/>
        <v>126</v>
      </c>
      <c r="BK802" s="135" t="str">
        <f t="shared" si="246"/>
        <v>Sapin pectiné_F2_Cas général_GS Arc Jurassien_126_</v>
      </c>
      <c r="BL802" s="322"/>
      <c r="BM802" s="13">
        <v>98.319696437641795</v>
      </c>
      <c r="BN802" s="13">
        <v>500.26312387175102</v>
      </c>
      <c r="BO802" s="13" t="s">
        <v>169</v>
      </c>
      <c r="BP802" s="13">
        <v>306.131842885666</v>
      </c>
      <c r="BQ802" s="13">
        <v>8.4486887661828405</v>
      </c>
      <c r="BT802" s="298" t="str">
        <f>+VLOOKUP(G802,Liste!$A$7:$H$50,8,FALSE)</f>
        <v>Résineux</v>
      </c>
      <c r="BU802" s="298">
        <f t="shared" si="247"/>
        <v>0</v>
      </c>
      <c r="BV802" s="300">
        <f t="shared" si="248"/>
        <v>1</v>
      </c>
      <c r="BW802" s="321">
        <v>0</v>
      </c>
      <c r="BX802" s="298">
        <f t="shared" si="249"/>
        <v>0.43</v>
      </c>
      <c r="BY802">
        <f t="shared" si="250"/>
        <v>0</v>
      </c>
      <c r="BZ802" s="304">
        <f t="shared" si="251"/>
        <v>0</v>
      </c>
      <c r="CB802" s="299">
        <v>0.6</v>
      </c>
      <c r="CC802" s="299">
        <v>0.4</v>
      </c>
      <c r="CD802">
        <f t="shared" si="252"/>
        <v>0</v>
      </c>
      <c r="CE802">
        <f t="shared" si="253"/>
        <v>0</v>
      </c>
      <c r="CF802">
        <f t="shared" si="254"/>
        <v>0</v>
      </c>
      <c r="CG802">
        <f t="shared" si="255"/>
        <v>0</v>
      </c>
      <c r="CH802">
        <f t="shared" si="256"/>
        <v>0</v>
      </c>
      <c r="CI802">
        <f t="shared" si="257"/>
        <v>0</v>
      </c>
      <c r="CJ802">
        <f t="shared" si="258"/>
        <v>0</v>
      </c>
      <c r="CK802">
        <f t="shared" si="259"/>
        <v>0</v>
      </c>
      <c r="CL802">
        <f t="shared" si="260"/>
        <v>0</v>
      </c>
      <c r="CM802">
        <f t="shared" si="262"/>
        <v>0</v>
      </c>
      <c r="CN802">
        <f t="shared" si="261"/>
        <v>0</v>
      </c>
      <c r="CO802">
        <f t="shared" si="245"/>
        <v>0</v>
      </c>
    </row>
    <row r="803" spans="1:93" s="12" customFormat="1" x14ac:dyDescent="0.25">
      <c r="A803" s="4">
        <v>2013</v>
      </c>
      <c r="B803" s="318">
        <v>44265</v>
      </c>
      <c r="C803" s="4" t="s">
        <v>430</v>
      </c>
      <c r="D803" s="4" t="s">
        <v>431</v>
      </c>
      <c r="E803" s="4"/>
      <c r="F803" s="4" t="s">
        <v>1493</v>
      </c>
      <c r="G803" s="5" t="s">
        <v>432</v>
      </c>
      <c r="H803" s="5" t="s">
        <v>185</v>
      </c>
      <c r="I803" s="5" t="s">
        <v>222</v>
      </c>
      <c r="J803" s="5" t="s">
        <v>10</v>
      </c>
      <c r="K803" s="5">
        <v>15.5</v>
      </c>
      <c r="L803" s="5" t="s">
        <v>190</v>
      </c>
      <c r="M803" s="5">
        <v>2000</v>
      </c>
      <c r="N803" s="5" t="s">
        <v>171</v>
      </c>
      <c r="O803" s="6" t="s">
        <v>81</v>
      </c>
      <c r="P803" s="6" t="s">
        <v>186</v>
      </c>
      <c r="Q803" s="6"/>
      <c r="R803" s="6"/>
      <c r="S803" s="6">
        <v>57</v>
      </c>
      <c r="T803" s="6">
        <v>18.22</v>
      </c>
      <c r="U803" s="6">
        <v>1862</v>
      </c>
      <c r="V803" s="6">
        <v>45.64</v>
      </c>
      <c r="W803" s="6">
        <v>0</v>
      </c>
      <c r="X803" s="6">
        <v>0</v>
      </c>
      <c r="Y803" s="6">
        <v>1085</v>
      </c>
      <c r="Z803" s="6">
        <v>663</v>
      </c>
      <c r="AA803" s="6">
        <v>114</v>
      </c>
      <c r="AB803" s="6">
        <v>0</v>
      </c>
      <c r="AC803" s="7">
        <v>127</v>
      </c>
      <c r="AD803" s="7" t="s">
        <v>52</v>
      </c>
      <c r="AE803" s="9">
        <v>34.582021604726201</v>
      </c>
      <c r="AF803" s="7">
        <v>201</v>
      </c>
      <c r="AG803" s="7">
        <v>33.49</v>
      </c>
      <c r="AH803" s="9">
        <v>46.056946644815802</v>
      </c>
      <c r="AI803" s="9">
        <v>49.8369363251647</v>
      </c>
      <c r="AJ803" s="9">
        <v>569.78713616962398</v>
      </c>
      <c r="AK803" s="9">
        <v>571.67918738493495</v>
      </c>
      <c r="AL803" s="9">
        <v>618.00112495534904</v>
      </c>
      <c r="AM803" s="9" t="s">
        <v>169</v>
      </c>
      <c r="AN803" s="9" t="s">
        <v>169</v>
      </c>
      <c r="AO803" s="9" t="s">
        <v>169</v>
      </c>
      <c r="AP803" s="9" t="s">
        <v>169</v>
      </c>
      <c r="AQ803" s="9" t="s">
        <v>169</v>
      </c>
      <c r="AR803" s="9" t="s">
        <v>169</v>
      </c>
      <c r="AS803" s="8" t="s">
        <v>169</v>
      </c>
      <c r="AT803" s="8" t="s">
        <v>169</v>
      </c>
      <c r="AU803" s="10" t="s">
        <v>169</v>
      </c>
      <c r="AV803" s="10">
        <v>0</v>
      </c>
      <c r="AW803" s="10" t="s">
        <v>169</v>
      </c>
      <c r="AX803" s="10" t="s">
        <v>169</v>
      </c>
      <c r="AY803" s="10"/>
      <c r="AZ803" s="10"/>
      <c r="BA803" s="10"/>
      <c r="BB803" s="8"/>
      <c r="BC803" s="8"/>
      <c r="BD803" s="8"/>
      <c r="BE803" s="8"/>
      <c r="BF803" s="12">
        <v>0.38</v>
      </c>
      <c r="BG803" s="13">
        <v>409.01374453294898</v>
      </c>
      <c r="BH803" s="96" t="str">
        <f>+VLOOKUP(G803,Liste!$A$7:$G$50,3,FALSE)</f>
        <v>Sapin pectiné</v>
      </c>
      <c r="BI803" s="96" t="str">
        <f>+VLOOKUP(H803,Liste!$B$7:$G$50,5,FALSE)</f>
        <v>GS Arc Jurassien</v>
      </c>
      <c r="BJ803" s="135">
        <f t="shared" si="244"/>
        <v>127</v>
      </c>
      <c r="BK803" s="135" t="str">
        <f t="shared" si="246"/>
        <v>Sapin pectiné_F2_Cas général_GS Arc Jurassien_127_</v>
      </c>
      <c r="BL803" s="322"/>
      <c r="BM803" s="13">
        <v>99.844772533145402</v>
      </c>
      <c r="BN803" s="13">
        <v>508.85851706609401</v>
      </c>
      <c r="BO803" s="13" t="s">
        <v>169</v>
      </c>
      <c r="BP803" s="13">
        <v>306.131842885666</v>
      </c>
      <c r="BQ803" s="13" t="s">
        <v>169</v>
      </c>
      <c r="BT803" s="298" t="str">
        <f>+VLOOKUP(G803,Liste!$A$7:$H$50,8,FALSE)</f>
        <v>Résineux</v>
      </c>
      <c r="BU803" s="298">
        <f t="shared" si="247"/>
        <v>0</v>
      </c>
      <c r="BV803" s="300">
        <f t="shared" si="248"/>
        <v>1</v>
      </c>
      <c r="BW803" s="321">
        <v>0</v>
      </c>
      <c r="BX803" s="298">
        <f t="shared" si="249"/>
        <v>0.43</v>
      </c>
      <c r="BY803">
        <f t="shared" si="250"/>
        <v>0</v>
      </c>
      <c r="BZ803" s="304">
        <f t="shared" si="251"/>
        <v>0</v>
      </c>
      <c r="CB803" s="299">
        <v>0.6</v>
      </c>
      <c r="CC803" s="299">
        <v>0.4</v>
      </c>
      <c r="CD803">
        <f t="shared" si="252"/>
        <v>0</v>
      </c>
      <c r="CE803">
        <f t="shared" si="253"/>
        <v>0</v>
      </c>
      <c r="CF803">
        <f t="shared" si="254"/>
        <v>0</v>
      </c>
      <c r="CG803">
        <f t="shared" si="255"/>
        <v>0</v>
      </c>
      <c r="CH803">
        <f t="shared" si="256"/>
        <v>0</v>
      </c>
      <c r="CI803">
        <f t="shared" si="257"/>
        <v>0</v>
      </c>
      <c r="CJ803">
        <f t="shared" si="258"/>
        <v>0</v>
      </c>
      <c r="CK803">
        <f t="shared" si="259"/>
        <v>0</v>
      </c>
      <c r="CL803">
        <f t="shared" si="260"/>
        <v>0</v>
      </c>
      <c r="CM803">
        <f t="shared" si="262"/>
        <v>0</v>
      </c>
      <c r="CN803">
        <f t="shared" si="261"/>
        <v>0</v>
      </c>
      <c r="CO803">
        <f t="shared" si="245"/>
        <v>0</v>
      </c>
    </row>
    <row r="804" spans="1:93" s="12" customFormat="1" x14ac:dyDescent="0.25">
      <c r="A804" s="4">
        <v>2013</v>
      </c>
      <c r="B804" s="318">
        <v>44265</v>
      </c>
      <c r="C804" s="4" t="s">
        <v>430</v>
      </c>
      <c r="D804" s="4" t="s">
        <v>431</v>
      </c>
      <c r="E804" s="4"/>
      <c r="F804" s="4" t="s">
        <v>1493</v>
      </c>
      <c r="G804" s="5" t="s">
        <v>432</v>
      </c>
      <c r="H804" s="5" t="s">
        <v>185</v>
      </c>
      <c r="I804" s="5" t="s">
        <v>222</v>
      </c>
      <c r="J804" s="5" t="s">
        <v>10</v>
      </c>
      <c r="K804" s="5">
        <v>15.5</v>
      </c>
      <c r="L804" s="5" t="s">
        <v>190</v>
      </c>
      <c r="M804" s="5">
        <v>2000</v>
      </c>
      <c r="N804" s="5" t="s">
        <v>171</v>
      </c>
      <c r="O804" s="6" t="s">
        <v>81</v>
      </c>
      <c r="P804" s="6" t="s">
        <v>186</v>
      </c>
      <c r="Q804" s="6"/>
      <c r="R804" s="6"/>
      <c r="S804" s="6">
        <v>57</v>
      </c>
      <c r="T804" s="6">
        <v>18.22</v>
      </c>
      <c r="U804" s="6">
        <v>1862</v>
      </c>
      <c r="V804" s="6">
        <v>45.64</v>
      </c>
      <c r="W804" s="6">
        <v>0</v>
      </c>
      <c r="X804" s="6">
        <v>0</v>
      </c>
      <c r="Y804" s="6">
        <v>1085</v>
      </c>
      <c r="Z804" s="6">
        <v>663</v>
      </c>
      <c r="AA804" s="6">
        <v>114</v>
      </c>
      <c r="AB804" s="6">
        <v>0</v>
      </c>
      <c r="AC804" s="7">
        <v>128</v>
      </c>
      <c r="AD804" s="7" t="s">
        <v>52</v>
      </c>
      <c r="AE804" s="9">
        <v>34.724367381591698</v>
      </c>
      <c r="AF804" s="7">
        <v>201</v>
      </c>
      <c r="AG804" s="7">
        <v>33.94</v>
      </c>
      <c r="AH804" s="9">
        <v>46.367986770840297</v>
      </c>
      <c r="AI804" s="9">
        <v>50.160384465967397</v>
      </c>
      <c r="AJ804" s="9">
        <v>580.05551834336904</v>
      </c>
      <c r="AK804" s="9">
        <v>581.97280735269101</v>
      </c>
      <c r="AL804" s="9">
        <v>628.684051823402</v>
      </c>
      <c r="AM804" s="9">
        <v>99.130619314497807</v>
      </c>
      <c r="AN804" s="9">
        <v>0.774457963394514</v>
      </c>
      <c r="AO804" s="9" t="s">
        <v>169</v>
      </c>
      <c r="AP804" s="9">
        <v>1484.1262072890599</v>
      </c>
      <c r="AQ804" s="9">
        <v>11.5947359944458</v>
      </c>
      <c r="AR804" s="9" t="s">
        <v>169</v>
      </c>
      <c r="AS804" s="8" t="s">
        <v>169</v>
      </c>
      <c r="AT804" s="8" t="s">
        <v>169</v>
      </c>
      <c r="AU804" s="10" t="s">
        <v>169</v>
      </c>
      <c r="AV804" s="10">
        <v>0</v>
      </c>
      <c r="AW804" s="10" t="s">
        <v>169</v>
      </c>
      <c r="AX804" s="10" t="s">
        <v>169</v>
      </c>
      <c r="AY804" s="10"/>
      <c r="AZ804" s="10"/>
      <c r="BA804" s="10"/>
      <c r="BB804" s="8"/>
      <c r="BC804" s="8"/>
      <c r="BD804" s="8"/>
      <c r="BE804" s="8"/>
      <c r="BF804" s="12">
        <v>0.38</v>
      </c>
      <c r="BG804" s="13">
        <v>416.08406163178802</v>
      </c>
      <c r="BH804" s="96" t="str">
        <f>+VLOOKUP(G804,Liste!$A$7:$G$50,3,FALSE)</f>
        <v>Sapin pectiné</v>
      </c>
      <c r="BI804" s="96" t="str">
        <f>+VLOOKUP(H804,Liste!$B$7:$G$50,5,FALSE)</f>
        <v>GS Arc Jurassien</v>
      </c>
      <c r="BJ804" s="135">
        <f t="shared" si="244"/>
        <v>128</v>
      </c>
      <c r="BK804" s="135" t="str">
        <f t="shared" si="246"/>
        <v>Sapin pectiné_F2_Cas général_GS Arc Jurassien_128_</v>
      </c>
      <c r="BL804" s="322"/>
      <c r="BM804" s="13">
        <v>101.369848628649</v>
      </c>
      <c r="BN804" s="13">
        <v>517.45391026043706</v>
      </c>
      <c r="BO804" s="13" t="s">
        <v>169</v>
      </c>
      <c r="BP804" s="13">
        <v>306.131842885666</v>
      </c>
      <c r="BQ804" s="13" t="s">
        <v>169</v>
      </c>
      <c r="BT804" s="298" t="str">
        <f>+VLOOKUP(G804,Liste!$A$7:$H$50,8,FALSE)</f>
        <v>Résineux</v>
      </c>
      <c r="BU804" s="298">
        <f t="shared" si="247"/>
        <v>0</v>
      </c>
      <c r="BV804" s="300">
        <f t="shared" si="248"/>
        <v>1</v>
      </c>
      <c r="BW804" s="321">
        <v>0</v>
      </c>
      <c r="BX804" s="298">
        <f t="shared" si="249"/>
        <v>0.43</v>
      </c>
      <c r="BY804">
        <f t="shared" si="250"/>
        <v>0</v>
      </c>
      <c r="BZ804" s="304">
        <f t="shared" si="251"/>
        <v>0</v>
      </c>
      <c r="CB804" s="299">
        <v>0.6</v>
      </c>
      <c r="CC804" s="299">
        <v>0.4</v>
      </c>
      <c r="CD804">
        <f t="shared" si="252"/>
        <v>0</v>
      </c>
      <c r="CE804">
        <f t="shared" si="253"/>
        <v>0</v>
      </c>
      <c r="CF804">
        <f t="shared" si="254"/>
        <v>0</v>
      </c>
      <c r="CG804">
        <f t="shared" si="255"/>
        <v>0</v>
      </c>
      <c r="CH804">
        <f t="shared" si="256"/>
        <v>0</v>
      </c>
      <c r="CI804">
        <f t="shared" si="257"/>
        <v>0</v>
      </c>
      <c r="CJ804">
        <f t="shared" si="258"/>
        <v>0</v>
      </c>
      <c r="CK804">
        <f t="shared" si="259"/>
        <v>0</v>
      </c>
      <c r="CL804">
        <f t="shared" si="260"/>
        <v>0</v>
      </c>
      <c r="CM804">
        <f t="shared" si="262"/>
        <v>0</v>
      </c>
      <c r="CN804">
        <f t="shared" si="261"/>
        <v>0</v>
      </c>
      <c r="CO804">
        <f t="shared" si="245"/>
        <v>0</v>
      </c>
    </row>
    <row r="805" spans="1:93" s="12" customFormat="1" x14ac:dyDescent="0.25">
      <c r="A805" s="4">
        <v>2013</v>
      </c>
      <c r="B805" s="318">
        <v>44265</v>
      </c>
      <c r="C805" s="4" t="s">
        <v>430</v>
      </c>
      <c r="D805" s="4" t="s">
        <v>431</v>
      </c>
      <c r="E805" s="4"/>
      <c r="F805" s="4" t="s">
        <v>1493</v>
      </c>
      <c r="G805" s="5" t="s">
        <v>432</v>
      </c>
      <c r="H805" s="5" t="s">
        <v>185</v>
      </c>
      <c r="I805" s="5" t="s">
        <v>222</v>
      </c>
      <c r="J805" s="5" t="s">
        <v>10</v>
      </c>
      <c r="K805" s="5">
        <v>15.5</v>
      </c>
      <c r="L805" s="5" t="s">
        <v>190</v>
      </c>
      <c r="M805" s="5">
        <v>2000</v>
      </c>
      <c r="N805" s="5" t="s">
        <v>171</v>
      </c>
      <c r="O805" s="6" t="s">
        <v>81</v>
      </c>
      <c r="P805" s="6" t="s">
        <v>186</v>
      </c>
      <c r="Q805" s="6"/>
      <c r="R805" s="6"/>
      <c r="S805" s="6">
        <v>57</v>
      </c>
      <c r="T805" s="6">
        <v>18.22</v>
      </c>
      <c r="U805" s="6">
        <v>1862</v>
      </c>
      <c r="V805" s="6">
        <v>45.64</v>
      </c>
      <c r="W805" s="6">
        <v>0</v>
      </c>
      <c r="X805" s="6">
        <v>0</v>
      </c>
      <c r="Y805" s="6">
        <v>1085</v>
      </c>
      <c r="Z805" s="6">
        <v>663</v>
      </c>
      <c r="AA805" s="6">
        <v>114</v>
      </c>
      <c r="AB805" s="6">
        <v>0</v>
      </c>
      <c r="AC805" s="7">
        <v>128</v>
      </c>
      <c r="AD805" s="7" t="s">
        <v>53</v>
      </c>
      <c r="AE805" s="9">
        <v>34.724367381591698</v>
      </c>
      <c r="AF805" s="7">
        <v>0</v>
      </c>
      <c r="AG805" s="7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99.130619314497807</v>
      </c>
      <c r="AN805" s="9">
        <v>0.774457963394514</v>
      </c>
      <c r="AO805" s="9" t="s">
        <v>169</v>
      </c>
      <c r="AP805" s="9">
        <v>1484.1262072890599</v>
      </c>
      <c r="AQ805" s="9">
        <v>11.5947359944458</v>
      </c>
      <c r="AR805" s="9" t="s">
        <v>169</v>
      </c>
      <c r="AS805" s="8">
        <v>201</v>
      </c>
      <c r="AT805" s="8">
        <v>33.94</v>
      </c>
      <c r="AU805" s="10">
        <v>46.367421950373213</v>
      </c>
      <c r="AV805" s="10">
        <v>580.05551834336904</v>
      </c>
      <c r="AW805" s="10">
        <v>0.99997563762991215</v>
      </c>
      <c r="AX805" s="10">
        <v>2.8858483499670102</v>
      </c>
      <c r="AY805" s="10"/>
      <c r="AZ805" s="10"/>
      <c r="BA805" s="10"/>
      <c r="BB805" s="8"/>
      <c r="BC805" s="8"/>
      <c r="BD805" s="8"/>
      <c r="BE805" s="8"/>
      <c r="BF805" s="12">
        <v>0.38</v>
      </c>
      <c r="BG805" s="13">
        <v>0</v>
      </c>
      <c r="BH805" s="96" t="str">
        <f>+VLOOKUP(G805,Liste!$A$7:$G$50,3,FALSE)</f>
        <v>Sapin pectiné</v>
      </c>
      <c r="BI805" s="96" t="str">
        <f>+VLOOKUP(H805,Liste!$B$7:$G$50,5,FALSE)</f>
        <v>GS Arc Jurassien</v>
      </c>
      <c r="BJ805" s="135">
        <f t="shared" si="244"/>
        <v>128</v>
      </c>
      <c r="BK805" s="135" t="str">
        <f t="shared" si="246"/>
        <v>Sapin pectiné_F2_Cas général_GS Arc Jurassien_128_</v>
      </c>
      <c r="BL805" s="322"/>
      <c r="BM805" s="13">
        <v>0</v>
      </c>
      <c r="BN805" s="13">
        <v>0</v>
      </c>
      <c r="BO805" s="13">
        <v>517.45391026043706</v>
      </c>
      <c r="BP805" s="13">
        <v>306.131842885666</v>
      </c>
      <c r="BQ805" s="13" t="s">
        <v>169</v>
      </c>
      <c r="BT805" s="298" t="str">
        <f>+VLOOKUP(G805,Liste!$A$7:$H$50,8,FALSE)</f>
        <v>Résineux</v>
      </c>
      <c r="BU805" s="298">
        <f t="shared" si="247"/>
        <v>0</v>
      </c>
      <c r="BV805" s="300">
        <f t="shared" si="248"/>
        <v>1</v>
      </c>
      <c r="BW805" s="321">
        <v>0</v>
      </c>
      <c r="BX805" s="298">
        <f t="shared" si="249"/>
        <v>0.43</v>
      </c>
      <c r="BY805">
        <f t="shared" si="250"/>
        <v>0</v>
      </c>
      <c r="BZ805" s="304">
        <f t="shared" si="251"/>
        <v>0</v>
      </c>
      <c r="CB805" s="299">
        <v>0.6</v>
      </c>
      <c r="CC805" s="299">
        <v>0.4</v>
      </c>
      <c r="CD805">
        <f t="shared" si="252"/>
        <v>0</v>
      </c>
      <c r="CE805">
        <f t="shared" si="253"/>
        <v>0</v>
      </c>
      <c r="CF805">
        <f t="shared" si="254"/>
        <v>0</v>
      </c>
      <c r="CG805">
        <f t="shared" si="255"/>
        <v>0</v>
      </c>
      <c r="CH805">
        <f t="shared" si="256"/>
        <v>0</v>
      </c>
      <c r="CI805">
        <f t="shared" si="257"/>
        <v>0</v>
      </c>
      <c r="CJ805">
        <f t="shared" si="258"/>
        <v>0</v>
      </c>
      <c r="CK805">
        <f t="shared" si="259"/>
        <v>0</v>
      </c>
      <c r="CL805">
        <f t="shared" si="260"/>
        <v>0</v>
      </c>
      <c r="CM805">
        <f t="shared" si="262"/>
        <v>0</v>
      </c>
      <c r="CN805">
        <f t="shared" si="261"/>
        <v>0</v>
      </c>
      <c r="CO805">
        <f t="shared" si="245"/>
        <v>0</v>
      </c>
    </row>
    <row r="806" spans="1:93" s="12" customFormat="1" x14ac:dyDescent="0.25">
      <c r="A806" s="4">
        <v>2013</v>
      </c>
      <c r="B806" s="318">
        <v>44265</v>
      </c>
      <c r="C806" s="4" t="s">
        <v>430</v>
      </c>
      <c r="D806" s="4" t="s">
        <v>431</v>
      </c>
      <c r="E806" s="4"/>
      <c r="F806" s="4" t="s">
        <v>1493</v>
      </c>
      <c r="G806" s="5" t="s">
        <v>432</v>
      </c>
      <c r="H806" s="5" t="s">
        <v>185</v>
      </c>
      <c r="I806" s="5" t="s">
        <v>222</v>
      </c>
      <c r="J806" s="5" t="s">
        <v>9</v>
      </c>
      <c r="K806" s="5">
        <v>20</v>
      </c>
      <c r="L806" s="5" t="s">
        <v>191</v>
      </c>
      <c r="M806" s="5">
        <v>2000</v>
      </c>
      <c r="N806" s="5" t="s">
        <v>171</v>
      </c>
      <c r="O806" s="6" t="s">
        <v>81</v>
      </c>
      <c r="P806" s="6" t="s">
        <v>186</v>
      </c>
      <c r="Q806" s="6"/>
      <c r="R806" s="6"/>
      <c r="S806" s="6">
        <v>45</v>
      </c>
      <c r="T806" s="6">
        <v>17.7</v>
      </c>
      <c r="U806" s="6">
        <v>1853</v>
      </c>
      <c r="V806" s="6">
        <v>45.68</v>
      </c>
      <c r="W806" s="6">
        <v>0</v>
      </c>
      <c r="X806" s="6">
        <v>0</v>
      </c>
      <c r="Y806" s="6">
        <v>1079</v>
      </c>
      <c r="Z806" s="6">
        <v>672</v>
      </c>
      <c r="AA806" s="6">
        <v>94</v>
      </c>
      <c r="AB806" s="6">
        <v>8</v>
      </c>
      <c r="AC806" s="7">
        <v>30</v>
      </c>
      <c r="AD806" s="7" t="s">
        <v>52</v>
      </c>
      <c r="AE806" s="9"/>
      <c r="AF806" s="7"/>
      <c r="AG806" s="7"/>
      <c r="AH806" s="9"/>
      <c r="AI806" s="9"/>
      <c r="AJ806" s="9">
        <v>231.80074182504501</v>
      </c>
      <c r="AK806" s="9">
        <v>232.520933549841</v>
      </c>
      <c r="AL806" s="9">
        <v>297.71713571403802</v>
      </c>
      <c r="AM806" s="7"/>
      <c r="AN806" s="7"/>
      <c r="AO806" s="7"/>
      <c r="AP806" s="7"/>
      <c r="AQ806" s="7"/>
      <c r="AR806" s="7"/>
      <c r="AS806" s="8"/>
      <c r="AT806" s="8"/>
      <c r="AU806" s="10" t="s">
        <v>169</v>
      </c>
      <c r="AV806" s="10">
        <v>0</v>
      </c>
      <c r="AW806" s="10"/>
      <c r="AX806" s="10"/>
      <c r="AY806" s="10"/>
      <c r="AZ806" s="10"/>
      <c r="BA806" s="10"/>
      <c r="BB806" s="8"/>
      <c r="BC806" s="8"/>
      <c r="BD806" s="8"/>
      <c r="BE806" s="8"/>
      <c r="BF806" s="12">
        <v>0.38</v>
      </c>
      <c r="BG806" s="13">
        <v>197.039124320074</v>
      </c>
      <c r="BH806" s="96" t="str">
        <f>+VLOOKUP(G806,Liste!$A$7:$G$50,3,FALSE)</f>
        <v>Sapin pectiné</v>
      </c>
      <c r="BI806" s="96" t="str">
        <f>+VLOOKUP(H806,Liste!$B$7:$G$50,5,FALSE)</f>
        <v>GS Arc Jurassien</v>
      </c>
      <c r="BJ806" s="135">
        <f t="shared" si="244"/>
        <v>30</v>
      </c>
      <c r="BK806" s="135" t="str">
        <f t="shared" si="246"/>
        <v>Sapin pectiné_F1_Cas général_GS Arc Jurassien_30_</v>
      </c>
      <c r="BL806" s="322"/>
      <c r="BM806" s="13">
        <v>52.3681168382832</v>
      </c>
      <c r="BN806" s="13">
        <v>249.40724115835701</v>
      </c>
      <c r="BP806" s="13">
        <v>359.743735612752</v>
      </c>
      <c r="BQ806" s="13"/>
      <c r="BT806" s="298" t="str">
        <f>+VLOOKUP(G806,Liste!$A$7:$H$50,8,FALSE)</f>
        <v>Résineux</v>
      </c>
      <c r="BU806" s="298">
        <f t="shared" si="247"/>
        <v>0</v>
      </c>
      <c r="BV806" s="300">
        <f t="shared" si="248"/>
        <v>1</v>
      </c>
      <c r="BW806" s="321">
        <v>0</v>
      </c>
      <c r="BX806" s="298">
        <f t="shared" si="249"/>
        <v>0.43</v>
      </c>
      <c r="BY806">
        <f t="shared" si="250"/>
        <v>0</v>
      </c>
      <c r="BZ806" s="304">
        <f t="shared" si="251"/>
        <v>0</v>
      </c>
      <c r="CB806" s="299">
        <v>0.6</v>
      </c>
      <c r="CC806" s="299">
        <v>0.4</v>
      </c>
      <c r="CD806">
        <f t="shared" si="252"/>
        <v>0</v>
      </c>
      <c r="CE806">
        <f t="shared" si="253"/>
        <v>0</v>
      </c>
      <c r="CF806">
        <f t="shared" si="254"/>
        <v>0</v>
      </c>
      <c r="CG806">
        <f t="shared" si="255"/>
        <v>0</v>
      </c>
      <c r="CH806">
        <f t="shared" si="256"/>
        <v>0</v>
      </c>
      <c r="CI806">
        <f t="shared" si="257"/>
        <v>0</v>
      </c>
      <c r="CJ806">
        <f t="shared" si="258"/>
        <v>0</v>
      </c>
      <c r="CK806">
        <f t="shared" si="259"/>
        <v>0</v>
      </c>
      <c r="CL806">
        <f t="shared" si="260"/>
        <v>0</v>
      </c>
      <c r="CM806">
        <f t="shared" si="262"/>
        <v>0</v>
      </c>
      <c r="CN806">
        <f t="shared" si="261"/>
        <v>0</v>
      </c>
      <c r="CO806">
        <f t="shared" si="245"/>
        <v>0</v>
      </c>
    </row>
    <row r="807" spans="1:93" s="12" customFormat="1" x14ac:dyDescent="0.25">
      <c r="A807" s="4">
        <v>2013</v>
      </c>
      <c r="B807" s="318">
        <v>44265</v>
      </c>
      <c r="C807" s="4" t="s">
        <v>430</v>
      </c>
      <c r="D807" s="4" t="s">
        <v>431</v>
      </c>
      <c r="E807" s="4"/>
      <c r="F807" s="4" t="s">
        <v>1493</v>
      </c>
      <c r="G807" s="5" t="s">
        <v>432</v>
      </c>
      <c r="H807" s="5" t="s">
        <v>185</v>
      </c>
      <c r="I807" s="5" t="s">
        <v>222</v>
      </c>
      <c r="J807" s="5" t="s">
        <v>9</v>
      </c>
      <c r="K807" s="5">
        <v>20</v>
      </c>
      <c r="L807" s="5" t="s">
        <v>191</v>
      </c>
      <c r="M807" s="5">
        <v>2000</v>
      </c>
      <c r="N807" s="5" t="s">
        <v>171</v>
      </c>
      <c r="O807" s="6" t="s">
        <v>81</v>
      </c>
      <c r="P807" s="6" t="s">
        <v>186</v>
      </c>
      <c r="Q807" s="6"/>
      <c r="R807" s="6"/>
      <c r="S807" s="6">
        <v>45</v>
      </c>
      <c r="T807" s="6">
        <v>17.7</v>
      </c>
      <c r="U807" s="6">
        <v>1853</v>
      </c>
      <c r="V807" s="6">
        <v>45.68</v>
      </c>
      <c r="W807" s="6">
        <v>0</v>
      </c>
      <c r="X807" s="6">
        <v>0</v>
      </c>
      <c r="Y807" s="6">
        <v>1079</v>
      </c>
      <c r="Z807" s="6">
        <v>672</v>
      </c>
      <c r="AA807" s="6">
        <v>94</v>
      </c>
      <c r="AB807" s="6">
        <v>8</v>
      </c>
      <c r="AC807" s="7">
        <v>45</v>
      </c>
      <c r="AD807" s="7" t="s">
        <v>52</v>
      </c>
      <c r="AE807" s="9">
        <v>17.7049207643812</v>
      </c>
      <c r="AF807" s="7">
        <v>1853</v>
      </c>
      <c r="AG807" s="7">
        <v>45.68</v>
      </c>
      <c r="AH807" s="9">
        <v>17.7161330252233</v>
      </c>
      <c r="AI807" s="9">
        <v>24.5555802808008</v>
      </c>
      <c r="AJ807" s="9">
        <v>347.701112737568</v>
      </c>
      <c r="AK807" s="9">
        <v>348.78140032476199</v>
      </c>
      <c r="AL807" s="9">
        <v>446.57570357105698</v>
      </c>
      <c r="AM807" s="9">
        <v>45.677588309268998</v>
      </c>
      <c r="AN807" s="9">
        <v>1.01505751798376</v>
      </c>
      <c r="AO807" s="9">
        <v>1.56459577039942</v>
      </c>
      <c r="AP807" s="9">
        <v>446.57570357105698</v>
      </c>
      <c r="AQ807" s="9">
        <v>9.9239045238012604</v>
      </c>
      <c r="AR807" s="9">
        <v>24.635823029267499</v>
      </c>
      <c r="AS807" s="8"/>
      <c r="AT807" s="8"/>
      <c r="AU807" s="10" t="s">
        <v>169</v>
      </c>
      <c r="AV807" s="10">
        <v>0</v>
      </c>
      <c r="AW807" s="8"/>
      <c r="AX807" s="8"/>
      <c r="AY807" s="8"/>
      <c r="AZ807" s="8"/>
      <c r="BA807" s="8"/>
      <c r="BB807" s="8"/>
      <c r="BC807" s="8"/>
      <c r="BD807" s="8"/>
      <c r="BE807" s="8"/>
      <c r="BF807" s="12">
        <v>0.38</v>
      </c>
      <c r="BG807" s="13">
        <v>295.55868648011102</v>
      </c>
      <c r="BH807" s="96" t="str">
        <f>+VLOOKUP(G807,Liste!$A$7:$G$50,3,FALSE)</f>
        <v>Sapin pectiné</v>
      </c>
      <c r="BI807" s="96" t="str">
        <f>+VLOOKUP(H807,Liste!$B$7:$G$50,5,FALSE)</f>
        <v>GS Arc Jurassien</v>
      </c>
      <c r="BJ807" s="135">
        <f t="shared" si="244"/>
        <v>45</v>
      </c>
      <c r="BK807" s="135" t="str">
        <f t="shared" si="246"/>
        <v>Sapin pectiné_F1_Cas général_GS Arc Jurassien_45_</v>
      </c>
      <c r="BL807" s="322"/>
      <c r="BM807" s="13">
        <v>74.930942176134906</v>
      </c>
      <c r="BN807" s="13">
        <v>370.489628656246</v>
      </c>
      <c r="BP807" s="13">
        <v>359.743735612752</v>
      </c>
      <c r="BQ807" s="13">
        <v>19.903930441032099</v>
      </c>
      <c r="BT807" s="298" t="str">
        <f>+VLOOKUP(G807,Liste!$A$7:$H$50,8,FALSE)</f>
        <v>Résineux</v>
      </c>
      <c r="BU807" s="298">
        <f t="shared" si="247"/>
        <v>0</v>
      </c>
      <c r="BV807" s="300">
        <f t="shared" si="248"/>
        <v>1</v>
      </c>
      <c r="BW807" s="321">
        <v>0</v>
      </c>
      <c r="BX807" s="298">
        <f t="shared" si="249"/>
        <v>0.43</v>
      </c>
      <c r="BY807">
        <f t="shared" si="250"/>
        <v>0</v>
      </c>
      <c r="BZ807" s="304">
        <f t="shared" si="251"/>
        <v>0</v>
      </c>
      <c r="CB807" s="299">
        <v>0.6</v>
      </c>
      <c r="CC807" s="299">
        <v>0.4</v>
      </c>
      <c r="CD807">
        <f t="shared" si="252"/>
        <v>0</v>
      </c>
      <c r="CE807">
        <f t="shared" si="253"/>
        <v>0</v>
      </c>
      <c r="CF807">
        <f t="shared" si="254"/>
        <v>0</v>
      </c>
      <c r="CG807">
        <f t="shared" si="255"/>
        <v>0</v>
      </c>
      <c r="CH807">
        <f t="shared" si="256"/>
        <v>0</v>
      </c>
      <c r="CI807">
        <f t="shared" si="257"/>
        <v>0</v>
      </c>
      <c r="CJ807">
        <f t="shared" si="258"/>
        <v>0</v>
      </c>
      <c r="CK807">
        <f t="shared" si="259"/>
        <v>0</v>
      </c>
      <c r="CL807">
        <f t="shared" si="260"/>
        <v>0</v>
      </c>
      <c r="CM807">
        <f t="shared" si="262"/>
        <v>0</v>
      </c>
      <c r="CN807">
        <f t="shared" si="261"/>
        <v>0</v>
      </c>
      <c r="CO807">
        <f t="shared" si="245"/>
        <v>0</v>
      </c>
    </row>
    <row r="808" spans="1:93" s="12" customFormat="1" x14ac:dyDescent="0.25">
      <c r="A808" s="4">
        <v>2013</v>
      </c>
      <c r="B808" s="318">
        <v>44265</v>
      </c>
      <c r="C808" s="4" t="s">
        <v>430</v>
      </c>
      <c r="D808" s="4" t="s">
        <v>431</v>
      </c>
      <c r="E808" s="4"/>
      <c r="F808" s="4" t="s">
        <v>1493</v>
      </c>
      <c r="G808" s="5" t="s">
        <v>432</v>
      </c>
      <c r="H808" s="5" t="s">
        <v>185</v>
      </c>
      <c r="I808" s="5" t="s">
        <v>222</v>
      </c>
      <c r="J808" s="5" t="s">
        <v>9</v>
      </c>
      <c r="K808" s="5">
        <v>20</v>
      </c>
      <c r="L808" s="5" t="s">
        <v>191</v>
      </c>
      <c r="M808" s="5">
        <v>2000</v>
      </c>
      <c r="N808" s="5" t="s">
        <v>171</v>
      </c>
      <c r="O808" s="6" t="s">
        <v>81</v>
      </c>
      <c r="P808" s="6" t="s">
        <v>186</v>
      </c>
      <c r="Q808" s="6"/>
      <c r="R808" s="6"/>
      <c r="S808" s="6">
        <v>45</v>
      </c>
      <c r="T808" s="6">
        <v>17.7</v>
      </c>
      <c r="U808" s="6">
        <v>1853</v>
      </c>
      <c r="V808" s="6">
        <v>45.68</v>
      </c>
      <c r="W808" s="6">
        <v>0</v>
      </c>
      <c r="X808" s="6">
        <v>0</v>
      </c>
      <c r="Y808" s="6">
        <v>1079</v>
      </c>
      <c r="Z808" s="6">
        <v>672</v>
      </c>
      <c r="AA808" s="6">
        <v>94</v>
      </c>
      <c r="AB808" s="6">
        <v>8</v>
      </c>
      <c r="AC808" s="7">
        <v>45</v>
      </c>
      <c r="AD808" s="7" t="s">
        <v>53</v>
      </c>
      <c r="AE808" s="9">
        <v>17.7049207643812</v>
      </c>
      <c r="AF808" s="7">
        <v>946</v>
      </c>
      <c r="AG808" s="7">
        <v>25.85</v>
      </c>
      <c r="AH808" s="9">
        <v>18.6510610927096</v>
      </c>
      <c r="AI808" s="9">
        <v>22.428679107357901</v>
      </c>
      <c r="AJ808" s="9">
        <v>200.963137728579</v>
      </c>
      <c r="AK808" s="9">
        <v>201.66596213607801</v>
      </c>
      <c r="AL808" s="9">
        <v>256.42260489988001</v>
      </c>
      <c r="AM808" s="9">
        <v>45.677588309268998</v>
      </c>
      <c r="AN808" s="9">
        <v>1.01505751798376</v>
      </c>
      <c r="AO808" s="9">
        <v>1.56459577039942</v>
      </c>
      <c r="AP808" s="9">
        <v>446.57570357105698</v>
      </c>
      <c r="AQ808" s="9">
        <v>9.9239045238012604</v>
      </c>
      <c r="AR808" s="9">
        <v>24.635823029267499</v>
      </c>
      <c r="AS808" s="8">
        <v>907</v>
      </c>
      <c r="AT808" s="8">
        <v>19.829999999999998</v>
      </c>
      <c r="AU808" s="10">
        <v>16.684483734515187</v>
      </c>
      <c r="AV808" s="10">
        <v>146.737975008989</v>
      </c>
      <c r="AW808" s="10">
        <v>0.88692660090142594</v>
      </c>
      <c r="AX808" s="10">
        <v>0.16178387542336162</v>
      </c>
      <c r="AY808" s="10"/>
      <c r="AZ808" s="10"/>
      <c r="BA808" s="10"/>
      <c r="BB808" s="8"/>
      <c r="BC808" s="8"/>
      <c r="BD808" s="8"/>
      <c r="BE808" s="8"/>
      <c r="BF808" s="12">
        <v>0.38</v>
      </c>
      <c r="BG808" s="13">
        <v>169.70902734290399</v>
      </c>
      <c r="BH808" s="96" t="str">
        <f>+VLOOKUP(G808,Liste!$A$7:$G$50,3,FALSE)</f>
        <v>Sapin pectiné</v>
      </c>
      <c r="BI808" s="96" t="str">
        <f>+VLOOKUP(H808,Liste!$B$7:$G$50,5,FALSE)</f>
        <v>GS Arc Jurassien</v>
      </c>
      <c r="BJ808" s="135">
        <f t="shared" si="244"/>
        <v>45</v>
      </c>
      <c r="BK808" s="135" t="str">
        <f t="shared" si="246"/>
        <v>Sapin pectiné_F1_Cas général_GS Arc Jurassien_45_</v>
      </c>
      <c r="BL808" s="322"/>
      <c r="BM808" s="13">
        <v>45.895244135862399</v>
      </c>
      <c r="BN808" s="13">
        <v>215.60427147876601</v>
      </c>
      <c r="BO808" s="13">
        <v>154.88535717747999</v>
      </c>
      <c r="BP808" s="13">
        <v>359.743735612752</v>
      </c>
      <c r="BQ808" s="13">
        <v>19.903930441032099</v>
      </c>
      <c r="BT808" s="298" t="str">
        <f>+VLOOKUP(G808,Liste!$A$7:$H$50,8,FALSE)</f>
        <v>Résineux</v>
      </c>
      <c r="BU808" s="298">
        <f t="shared" si="247"/>
        <v>0</v>
      </c>
      <c r="BV808" s="300">
        <f t="shared" si="248"/>
        <v>1</v>
      </c>
      <c r="BW808" s="321">
        <v>0</v>
      </c>
      <c r="BX808" s="298">
        <f t="shared" si="249"/>
        <v>0.43</v>
      </c>
      <c r="BY808">
        <f t="shared" si="250"/>
        <v>0</v>
      </c>
      <c r="BZ808" s="304">
        <f t="shared" si="251"/>
        <v>0</v>
      </c>
      <c r="CB808" s="299">
        <v>0.6</v>
      </c>
      <c r="CC808" s="299">
        <v>0.4</v>
      </c>
      <c r="CD808">
        <f t="shared" si="252"/>
        <v>0</v>
      </c>
      <c r="CE808">
        <f t="shared" si="253"/>
        <v>0</v>
      </c>
      <c r="CF808">
        <f t="shared" si="254"/>
        <v>0</v>
      </c>
      <c r="CG808">
        <f t="shared" si="255"/>
        <v>0</v>
      </c>
      <c r="CH808">
        <f t="shared" si="256"/>
        <v>0</v>
      </c>
      <c r="CI808">
        <f t="shared" si="257"/>
        <v>0</v>
      </c>
      <c r="CJ808">
        <f t="shared" si="258"/>
        <v>0</v>
      </c>
      <c r="CK808">
        <f t="shared" si="259"/>
        <v>0</v>
      </c>
      <c r="CL808">
        <f t="shared" si="260"/>
        <v>0</v>
      </c>
      <c r="CM808">
        <f t="shared" si="262"/>
        <v>0</v>
      </c>
      <c r="CN808">
        <f t="shared" si="261"/>
        <v>0</v>
      </c>
      <c r="CO808">
        <f t="shared" si="245"/>
        <v>0</v>
      </c>
    </row>
    <row r="809" spans="1:93" s="12" customFormat="1" x14ac:dyDescent="0.25">
      <c r="A809" s="4">
        <v>2013</v>
      </c>
      <c r="B809" s="318">
        <v>44265</v>
      </c>
      <c r="C809" s="4" t="s">
        <v>430</v>
      </c>
      <c r="D809" s="4" t="s">
        <v>431</v>
      </c>
      <c r="E809" s="4"/>
      <c r="F809" s="4" t="s">
        <v>1493</v>
      </c>
      <c r="G809" s="5" t="s">
        <v>432</v>
      </c>
      <c r="H809" s="5" t="s">
        <v>185</v>
      </c>
      <c r="I809" s="5" t="s">
        <v>222</v>
      </c>
      <c r="J809" s="5" t="s">
        <v>9</v>
      </c>
      <c r="K809" s="5">
        <v>20</v>
      </c>
      <c r="L809" s="5" t="s">
        <v>191</v>
      </c>
      <c r="M809" s="5">
        <v>2000</v>
      </c>
      <c r="N809" s="5" t="s">
        <v>171</v>
      </c>
      <c r="O809" s="6" t="s">
        <v>81</v>
      </c>
      <c r="P809" s="6" t="s">
        <v>186</v>
      </c>
      <c r="Q809" s="6"/>
      <c r="R809" s="6"/>
      <c r="S809" s="6">
        <v>45</v>
      </c>
      <c r="T809" s="6">
        <v>17.7</v>
      </c>
      <c r="U809" s="6">
        <v>1853</v>
      </c>
      <c r="V809" s="6">
        <v>45.68</v>
      </c>
      <c r="W809" s="6">
        <v>0</v>
      </c>
      <c r="X809" s="6">
        <v>0</v>
      </c>
      <c r="Y809" s="6">
        <v>1079</v>
      </c>
      <c r="Z809" s="6">
        <v>672</v>
      </c>
      <c r="AA809" s="6">
        <v>94</v>
      </c>
      <c r="AB809" s="6">
        <v>8</v>
      </c>
      <c r="AC809" s="7">
        <v>46</v>
      </c>
      <c r="AD809" s="7" t="s">
        <v>52</v>
      </c>
      <c r="AE809" s="9">
        <v>18.201953507974601</v>
      </c>
      <c r="AF809" s="7">
        <v>946</v>
      </c>
      <c r="AG809" s="7">
        <v>27.43</v>
      </c>
      <c r="AH809" s="9">
        <v>19.213163420533899</v>
      </c>
      <c r="AI809" s="9">
        <v>23.1402309256592</v>
      </c>
      <c r="AJ809" s="9">
        <v>223.155765573401</v>
      </c>
      <c r="AK809" s="9">
        <v>223.923157474844</v>
      </c>
      <c r="AL809" s="9">
        <v>281.05842792914802</v>
      </c>
      <c r="AM809" s="9" t="s">
        <v>169</v>
      </c>
      <c r="AN809" s="9" t="s">
        <v>169</v>
      </c>
      <c r="AO809" s="9" t="s">
        <v>169</v>
      </c>
      <c r="AP809" s="9" t="s">
        <v>169</v>
      </c>
      <c r="AQ809" s="9" t="s">
        <v>169</v>
      </c>
      <c r="AR809" s="9" t="s">
        <v>169</v>
      </c>
      <c r="AS809" s="8" t="s">
        <v>169</v>
      </c>
      <c r="AT809" s="8" t="s">
        <v>169</v>
      </c>
      <c r="AU809" s="10" t="s">
        <v>169</v>
      </c>
      <c r="AV809" s="10">
        <v>0</v>
      </c>
      <c r="AW809" s="10" t="s">
        <v>169</v>
      </c>
      <c r="AX809" s="10" t="s">
        <v>169</v>
      </c>
      <c r="AY809" s="10"/>
      <c r="AZ809" s="10"/>
      <c r="BA809" s="10"/>
      <c r="BB809" s="8"/>
      <c r="BC809" s="8"/>
      <c r="BD809" s="8"/>
      <c r="BE809" s="8"/>
      <c r="BF809" s="12">
        <v>0.38</v>
      </c>
      <c r="BG809" s="13">
        <v>186.01383621777401</v>
      </c>
      <c r="BH809" s="96" t="str">
        <f>+VLOOKUP(G809,Liste!$A$7:$G$50,3,FALSE)</f>
        <v>Sapin pectiné</v>
      </c>
      <c r="BI809" s="96" t="str">
        <f>+VLOOKUP(H809,Liste!$B$7:$G$50,5,FALSE)</f>
        <v>GS Arc Jurassien</v>
      </c>
      <c r="BJ809" s="135">
        <f t="shared" si="244"/>
        <v>46</v>
      </c>
      <c r="BK809" s="135" t="str">
        <f t="shared" si="246"/>
        <v>Sapin pectiné_F1_Cas général_GS Arc Jurassien_46_</v>
      </c>
      <c r="BL809" s="322"/>
      <c r="BM809" s="13">
        <v>49.698095296601402</v>
      </c>
      <c r="BN809" s="13">
        <v>235.711931514376</v>
      </c>
      <c r="BO809" s="13" t="s">
        <v>169</v>
      </c>
      <c r="BP809" s="13">
        <v>359.743735612752</v>
      </c>
      <c r="BQ809" s="13" t="s">
        <v>169</v>
      </c>
      <c r="BT809" s="298" t="str">
        <f>+VLOOKUP(G809,Liste!$A$7:$H$50,8,FALSE)</f>
        <v>Résineux</v>
      </c>
      <c r="BU809" s="298">
        <f t="shared" si="247"/>
        <v>0</v>
      </c>
      <c r="BV809" s="300">
        <f t="shared" si="248"/>
        <v>1</v>
      </c>
      <c r="BW809" s="321">
        <v>0</v>
      </c>
      <c r="BX809" s="298">
        <f t="shared" si="249"/>
        <v>0.43</v>
      </c>
      <c r="BY809">
        <f t="shared" si="250"/>
        <v>0</v>
      </c>
      <c r="BZ809" s="304">
        <f t="shared" si="251"/>
        <v>0</v>
      </c>
      <c r="CB809" s="299">
        <v>0.6</v>
      </c>
      <c r="CC809" s="299">
        <v>0.4</v>
      </c>
      <c r="CD809">
        <f t="shared" si="252"/>
        <v>0</v>
      </c>
      <c r="CE809">
        <f t="shared" si="253"/>
        <v>0</v>
      </c>
      <c r="CF809">
        <f t="shared" si="254"/>
        <v>0</v>
      </c>
      <c r="CG809">
        <f t="shared" si="255"/>
        <v>0</v>
      </c>
      <c r="CH809">
        <f t="shared" si="256"/>
        <v>0</v>
      </c>
      <c r="CI809">
        <f t="shared" si="257"/>
        <v>0</v>
      </c>
      <c r="CJ809">
        <f t="shared" si="258"/>
        <v>0</v>
      </c>
      <c r="CK809">
        <f t="shared" si="259"/>
        <v>0</v>
      </c>
      <c r="CL809">
        <f t="shared" si="260"/>
        <v>0</v>
      </c>
      <c r="CM809">
        <f t="shared" si="262"/>
        <v>0</v>
      </c>
      <c r="CN809">
        <f t="shared" si="261"/>
        <v>0</v>
      </c>
      <c r="CO809">
        <f t="shared" si="245"/>
        <v>0</v>
      </c>
    </row>
    <row r="810" spans="1:93" s="12" customFormat="1" x14ac:dyDescent="0.25">
      <c r="A810" s="4">
        <v>2013</v>
      </c>
      <c r="B810" s="318">
        <v>44265</v>
      </c>
      <c r="C810" s="4" t="s">
        <v>430</v>
      </c>
      <c r="D810" s="4" t="s">
        <v>431</v>
      </c>
      <c r="E810" s="4"/>
      <c r="F810" s="4" t="s">
        <v>1493</v>
      </c>
      <c r="G810" s="5" t="s">
        <v>432</v>
      </c>
      <c r="H810" s="5" t="s">
        <v>185</v>
      </c>
      <c r="I810" s="5" t="s">
        <v>222</v>
      </c>
      <c r="J810" s="5" t="s">
        <v>9</v>
      </c>
      <c r="K810" s="5">
        <v>20</v>
      </c>
      <c r="L810" s="5" t="s">
        <v>191</v>
      </c>
      <c r="M810" s="5">
        <v>2000</v>
      </c>
      <c r="N810" s="5" t="s">
        <v>171</v>
      </c>
      <c r="O810" s="6" t="s">
        <v>81</v>
      </c>
      <c r="P810" s="6" t="s">
        <v>186</v>
      </c>
      <c r="Q810" s="6"/>
      <c r="R810" s="6"/>
      <c r="S810" s="6">
        <v>45</v>
      </c>
      <c r="T810" s="6">
        <v>17.7</v>
      </c>
      <c r="U810" s="6">
        <v>1853</v>
      </c>
      <c r="V810" s="6">
        <v>45.68</v>
      </c>
      <c r="W810" s="6">
        <v>0</v>
      </c>
      <c r="X810" s="6">
        <v>0</v>
      </c>
      <c r="Y810" s="6">
        <v>1079</v>
      </c>
      <c r="Z810" s="6">
        <v>672</v>
      </c>
      <c r="AA810" s="6">
        <v>94</v>
      </c>
      <c r="AB810" s="6">
        <v>8</v>
      </c>
      <c r="AC810" s="7">
        <v>47</v>
      </c>
      <c r="AD810" s="7" t="s">
        <v>52</v>
      </c>
      <c r="AE810" s="9">
        <v>18.690145887461998</v>
      </c>
      <c r="AF810" s="7">
        <v>946</v>
      </c>
      <c r="AG810" s="7">
        <v>29</v>
      </c>
      <c r="AH810" s="9">
        <v>19.756955166879699</v>
      </c>
      <c r="AI810" s="9">
        <v>23.826358608872599</v>
      </c>
      <c r="AJ810" s="9">
        <v>245.348393418222</v>
      </c>
      <c r="AK810" s="9">
        <v>246.18035281361</v>
      </c>
      <c r="AL810" s="9">
        <v>305.69425095841501</v>
      </c>
      <c r="AM810" s="9" t="s">
        <v>169</v>
      </c>
      <c r="AN810" s="9" t="s">
        <v>169</v>
      </c>
      <c r="AO810" s="9" t="s">
        <v>169</v>
      </c>
      <c r="AP810" s="9" t="s">
        <v>169</v>
      </c>
      <c r="AQ810" s="9" t="s">
        <v>169</v>
      </c>
      <c r="AR810" s="9" t="s">
        <v>169</v>
      </c>
      <c r="AS810" s="8" t="s">
        <v>169</v>
      </c>
      <c r="AT810" s="8" t="s">
        <v>169</v>
      </c>
      <c r="AU810" s="10" t="s">
        <v>169</v>
      </c>
      <c r="AV810" s="10">
        <v>0</v>
      </c>
      <c r="AW810" s="10" t="s">
        <v>169</v>
      </c>
      <c r="AX810" s="10" t="s">
        <v>169</v>
      </c>
      <c r="AY810" s="10"/>
      <c r="AZ810" s="10"/>
      <c r="BA810" s="10"/>
      <c r="BB810" s="8"/>
      <c r="BC810" s="8"/>
      <c r="BD810" s="8"/>
      <c r="BE810" s="8"/>
      <c r="BF810" s="12">
        <v>0.38</v>
      </c>
      <c r="BG810" s="13">
        <v>202.318645092644</v>
      </c>
      <c r="BH810" s="96" t="str">
        <f>+VLOOKUP(G810,Liste!$A$7:$G$50,3,FALSE)</f>
        <v>Sapin pectiné</v>
      </c>
      <c r="BI810" s="96" t="str">
        <f>+VLOOKUP(H810,Liste!$B$7:$G$50,5,FALSE)</f>
        <v>GS Arc Jurassien</v>
      </c>
      <c r="BJ810" s="135">
        <f t="shared" si="244"/>
        <v>47</v>
      </c>
      <c r="BK810" s="135" t="str">
        <f t="shared" si="246"/>
        <v>Sapin pectiné_F1_Cas général_GS Arc Jurassien_47_</v>
      </c>
      <c r="BL810" s="322"/>
      <c r="BM810" s="13">
        <v>53.500946457340397</v>
      </c>
      <c r="BN810" s="13">
        <v>255.81959154998501</v>
      </c>
      <c r="BO810" s="13" t="s">
        <v>169</v>
      </c>
      <c r="BP810" s="13">
        <v>359.743735612752</v>
      </c>
      <c r="BQ810" s="13" t="s">
        <v>169</v>
      </c>
      <c r="BT810" s="298" t="str">
        <f>+VLOOKUP(G810,Liste!$A$7:$H$50,8,FALSE)</f>
        <v>Résineux</v>
      </c>
      <c r="BU810" s="298">
        <f t="shared" si="247"/>
        <v>0</v>
      </c>
      <c r="BV810" s="300">
        <f t="shared" si="248"/>
        <v>1</v>
      </c>
      <c r="BW810" s="321">
        <v>0</v>
      </c>
      <c r="BX810" s="298">
        <f t="shared" si="249"/>
        <v>0.43</v>
      </c>
      <c r="BY810">
        <f t="shared" si="250"/>
        <v>0</v>
      </c>
      <c r="BZ810" s="304">
        <f t="shared" si="251"/>
        <v>0</v>
      </c>
      <c r="CB810" s="299">
        <v>0.6</v>
      </c>
      <c r="CC810" s="299">
        <v>0.4</v>
      </c>
      <c r="CD810">
        <f t="shared" si="252"/>
        <v>0</v>
      </c>
      <c r="CE810">
        <f t="shared" si="253"/>
        <v>0</v>
      </c>
      <c r="CF810">
        <f t="shared" si="254"/>
        <v>0</v>
      </c>
      <c r="CG810">
        <f t="shared" si="255"/>
        <v>0</v>
      </c>
      <c r="CH810">
        <f t="shared" si="256"/>
        <v>0</v>
      </c>
      <c r="CI810">
        <f t="shared" si="257"/>
        <v>0</v>
      </c>
      <c r="CJ810">
        <f t="shared" si="258"/>
        <v>0</v>
      </c>
      <c r="CK810">
        <f t="shared" si="259"/>
        <v>0</v>
      </c>
      <c r="CL810">
        <f t="shared" si="260"/>
        <v>0</v>
      </c>
      <c r="CM810">
        <f t="shared" si="262"/>
        <v>0</v>
      </c>
      <c r="CN810">
        <f t="shared" si="261"/>
        <v>0</v>
      </c>
      <c r="CO810">
        <f t="shared" si="245"/>
        <v>0</v>
      </c>
    </row>
    <row r="811" spans="1:93" s="12" customFormat="1" x14ac:dyDescent="0.25">
      <c r="A811" s="4">
        <v>2013</v>
      </c>
      <c r="B811" s="318">
        <v>44265</v>
      </c>
      <c r="C811" s="4" t="s">
        <v>430</v>
      </c>
      <c r="D811" s="4" t="s">
        <v>431</v>
      </c>
      <c r="E811" s="4"/>
      <c r="F811" s="4" t="s">
        <v>1493</v>
      </c>
      <c r="G811" s="5" t="s">
        <v>432</v>
      </c>
      <c r="H811" s="5" t="s">
        <v>185</v>
      </c>
      <c r="I811" s="5" t="s">
        <v>222</v>
      </c>
      <c r="J811" s="5" t="s">
        <v>9</v>
      </c>
      <c r="K811" s="5">
        <v>20</v>
      </c>
      <c r="L811" s="5" t="s">
        <v>191</v>
      </c>
      <c r="M811" s="5">
        <v>2000</v>
      </c>
      <c r="N811" s="5" t="s">
        <v>171</v>
      </c>
      <c r="O811" s="6" t="s">
        <v>81</v>
      </c>
      <c r="P811" s="6" t="s">
        <v>186</v>
      </c>
      <c r="Q811" s="6"/>
      <c r="R811" s="6"/>
      <c r="S811" s="6">
        <v>45</v>
      </c>
      <c r="T811" s="6">
        <v>17.7</v>
      </c>
      <c r="U811" s="6">
        <v>1853</v>
      </c>
      <c r="V811" s="6">
        <v>45.68</v>
      </c>
      <c r="W811" s="6">
        <v>0</v>
      </c>
      <c r="X811" s="6">
        <v>0</v>
      </c>
      <c r="Y811" s="6">
        <v>1079</v>
      </c>
      <c r="Z811" s="6">
        <v>672</v>
      </c>
      <c r="AA811" s="6">
        <v>94</v>
      </c>
      <c r="AB811" s="6">
        <v>8</v>
      </c>
      <c r="AC811" s="7">
        <v>48</v>
      </c>
      <c r="AD811" s="7" t="s">
        <v>52</v>
      </c>
      <c r="AE811" s="9">
        <v>19.169535956377398</v>
      </c>
      <c r="AF811" s="7">
        <v>946</v>
      </c>
      <c r="AG811" s="7">
        <v>30.57</v>
      </c>
      <c r="AH811" s="9">
        <v>20.2833646108324</v>
      </c>
      <c r="AI811" s="9">
        <v>24.488105263058799</v>
      </c>
      <c r="AJ811" s="9">
        <v>267.54102126304298</v>
      </c>
      <c r="AK811" s="9">
        <v>268.437548152376</v>
      </c>
      <c r="AL811" s="9">
        <v>330.33007398768302</v>
      </c>
      <c r="AM811" s="9" t="s">
        <v>169</v>
      </c>
      <c r="AN811" s="9" t="s">
        <v>169</v>
      </c>
      <c r="AO811" s="9" t="s">
        <v>169</v>
      </c>
      <c r="AP811" s="9" t="s">
        <v>169</v>
      </c>
      <c r="AQ811" s="9" t="s">
        <v>169</v>
      </c>
      <c r="AR811" s="9" t="s">
        <v>169</v>
      </c>
      <c r="AS811" s="8" t="s">
        <v>169</v>
      </c>
      <c r="AT811" s="8" t="s">
        <v>169</v>
      </c>
      <c r="AU811" s="10" t="s">
        <v>169</v>
      </c>
      <c r="AV811" s="10">
        <v>0</v>
      </c>
      <c r="AW811" s="10" t="s">
        <v>169</v>
      </c>
      <c r="AX811" s="10" t="s">
        <v>169</v>
      </c>
      <c r="AY811" s="10"/>
      <c r="AZ811" s="10"/>
      <c r="BA811" s="10"/>
      <c r="BB811" s="8"/>
      <c r="BC811" s="8"/>
      <c r="BD811" s="8"/>
      <c r="BE811" s="8"/>
      <c r="BF811" s="12">
        <v>0.38</v>
      </c>
      <c r="BG811" s="13">
        <v>218.62345396751499</v>
      </c>
      <c r="BH811" s="96" t="str">
        <f>+VLOOKUP(G811,Liste!$A$7:$G$50,3,FALSE)</f>
        <v>Sapin pectiné</v>
      </c>
      <c r="BI811" s="96" t="str">
        <f>+VLOOKUP(H811,Liste!$B$7:$G$50,5,FALSE)</f>
        <v>GS Arc Jurassien</v>
      </c>
      <c r="BJ811" s="135">
        <f t="shared" si="244"/>
        <v>48</v>
      </c>
      <c r="BK811" s="135" t="str">
        <f t="shared" si="246"/>
        <v>Sapin pectiné_F1_Cas général_GS Arc Jurassien_48_</v>
      </c>
      <c r="BL811" s="322"/>
      <c r="BM811" s="13">
        <v>57.3037976180794</v>
      </c>
      <c r="BN811" s="13">
        <v>275.92725158559398</v>
      </c>
      <c r="BO811" s="13" t="s">
        <v>169</v>
      </c>
      <c r="BP811" s="13">
        <v>359.743735612752</v>
      </c>
      <c r="BQ811" s="13" t="s">
        <v>169</v>
      </c>
      <c r="BT811" s="298" t="str">
        <f>+VLOOKUP(G811,Liste!$A$7:$H$50,8,FALSE)</f>
        <v>Résineux</v>
      </c>
      <c r="BU811" s="298">
        <f t="shared" si="247"/>
        <v>0</v>
      </c>
      <c r="BV811" s="300">
        <f t="shared" si="248"/>
        <v>1</v>
      </c>
      <c r="BW811" s="321">
        <v>0</v>
      </c>
      <c r="BX811" s="298">
        <f t="shared" si="249"/>
        <v>0.43</v>
      </c>
      <c r="BY811">
        <f t="shared" si="250"/>
        <v>0</v>
      </c>
      <c r="BZ811" s="304">
        <f t="shared" si="251"/>
        <v>0</v>
      </c>
      <c r="CB811" s="299">
        <v>0.6</v>
      </c>
      <c r="CC811" s="299">
        <v>0.4</v>
      </c>
      <c r="CD811">
        <f t="shared" si="252"/>
        <v>0</v>
      </c>
      <c r="CE811">
        <f t="shared" si="253"/>
        <v>0</v>
      </c>
      <c r="CF811">
        <f t="shared" si="254"/>
        <v>0</v>
      </c>
      <c r="CG811">
        <f t="shared" si="255"/>
        <v>0</v>
      </c>
      <c r="CH811">
        <f t="shared" si="256"/>
        <v>0</v>
      </c>
      <c r="CI811">
        <f t="shared" si="257"/>
        <v>0</v>
      </c>
      <c r="CJ811">
        <f t="shared" si="258"/>
        <v>0</v>
      </c>
      <c r="CK811">
        <f t="shared" si="259"/>
        <v>0</v>
      </c>
      <c r="CL811">
        <f t="shared" si="260"/>
        <v>0</v>
      </c>
      <c r="CM811">
        <f t="shared" si="262"/>
        <v>0</v>
      </c>
      <c r="CN811">
        <f t="shared" si="261"/>
        <v>0</v>
      </c>
      <c r="CO811">
        <f t="shared" si="245"/>
        <v>0</v>
      </c>
    </row>
    <row r="812" spans="1:93" s="12" customFormat="1" x14ac:dyDescent="0.25">
      <c r="A812" s="4">
        <v>2013</v>
      </c>
      <c r="B812" s="318">
        <v>44265</v>
      </c>
      <c r="C812" s="4" t="s">
        <v>430</v>
      </c>
      <c r="D812" s="4" t="s">
        <v>431</v>
      </c>
      <c r="E812" s="4"/>
      <c r="F812" s="4" t="s">
        <v>1493</v>
      </c>
      <c r="G812" s="5" t="s">
        <v>432</v>
      </c>
      <c r="H812" s="5" t="s">
        <v>185</v>
      </c>
      <c r="I812" s="5" t="s">
        <v>222</v>
      </c>
      <c r="J812" s="5" t="s">
        <v>9</v>
      </c>
      <c r="K812" s="5">
        <v>20</v>
      </c>
      <c r="L812" s="5" t="s">
        <v>191</v>
      </c>
      <c r="M812" s="5">
        <v>2000</v>
      </c>
      <c r="N812" s="5" t="s">
        <v>171</v>
      </c>
      <c r="O812" s="6" t="s">
        <v>81</v>
      </c>
      <c r="P812" s="6" t="s">
        <v>186</v>
      </c>
      <c r="Q812" s="6"/>
      <c r="R812" s="6"/>
      <c r="S812" s="6">
        <v>45</v>
      </c>
      <c r="T812" s="6">
        <v>17.7</v>
      </c>
      <c r="U812" s="6">
        <v>1853</v>
      </c>
      <c r="V812" s="6">
        <v>45.68</v>
      </c>
      <c r="W812" s="6">
        <v>0</v>
      </c>
      <c r="X812" s="6">
        <v>0</v>
      </c>
      <c r="Y812" s="6">
        <v>1079</v>
      </c>
      <c r="Z812" s="6">
        <v>672</v>
      </c>
      <c r="AA812" s="6">
        <v>94</v>
      </c>
      <c r="AB812" s="6">
        <v>8</v>
      </c>
      <c r="AC812" s="7">
        <v>49</v>
      </c>
      <c r="AD812" s="7" t="s">
        <v>52</v>
      </c>
      <c r="AE812" s="9">
        <v>19.640182490727199</v>
      </c>
      <c r="AF812" s="7">
        <v>946</v>
      </c>
      <c r="AG812" s="7">
        <v>32.119999999999997</v>
      </c>
      <c r="AH812" s="9">
        <v>20.793246661598101</v>
      </c>
      <c r="AI812" s="9">
        <v>25.126533795238</v>
      </c>
      <c r="AJ812" s="9">
        <v>289.73364910786501</v>
      </c>
      <c r="AK812" s="9">
        <v>290.69474349114199</v>
      </c>
      <c r="AL812" s="9">
        <v>354.96589701695001</v>
      </c>
      <c r="AM812" s="9" t="s">
        <v>169</v>
      </c>
      <c r="AN812" s="9" t="s">
        <v>169</v>
      </c>
      <c r="AO812" s="9" t="s">
        <v>169</v>
      </c>
      <c r="AP812" s="9" t="s">
        <v>169</v>
      </c>
      <c r="AQ812" s="9" t="s">
        <v>169</v>
      </c>
      <c r="AR812" s="9" t="s">
        <v>169</v>
      </c>
      <c r="AS812" s="8" t="s">
        <v>169</v>
      </c>
      <c r="AT812" s="8" t="s">
        <v>169</v>
      </c>
      <c r="AU812" s="10" t="s">
        <v>169</v>
      </c>
      <c r="AV812" s="10">
        <v>0</v>
      </c>
      <c r="AW812" s="10" t="s">
        <v>169</v>
      </c>
      <c r="AX812" s="10" t="s">
        <v>169</v>
      </c>
      <c r="AY812" s="10"/>
      <c r="AZ812" s="10"/>
      <c r="BA812" s="10"/>
      <c r="BB812" s="8"/>
      <c r="BC812" s="8"/>
      <c r="BD812" s="8"/>
      <c r="BE812" s="8"/>
      <c r="BF812" s="12">
        <v>0.38</v>
      </c>
      <c r="BG812" s="13">
        <v>234.92826284238501</v>
      </c>
      <c r="BH812" s="96" t="str">
        <f>+VLOOKUP(G812,Liste!$A$7:$G$50,3,FALSE)</f>
        <v>Sapin pectiné</v>
      </c>
      <c r="BI812" s="96" t="str">
        <f>+VLOOKUP(H812,Liste!$B$7:$G$50,5,FALSE)</f>
        <v>GS Arc Jurassien</v>
      </c>
      <c r="BJ812" s="135">
        <f t="shared" si="244"/>
        <v>49</v>
      </c>
      <c r="BK812" s="135" t="str">
        <f t="shared" si="246"/>
        <v>Sapin pectiné_F1_Cas général_GS Arc Jurassien_49_</v>
      </c>
      <c r="BL812" s="322"/>
      <c r="BM812" s="13">
        <v>61.106648778818403</v>
      </c>
      <c r="BN812" s="13">
        <v>296.03491162120298</v>
      </c>
      <c r="BO812" s="13" t="s">
        <v>169</v>
      </c>
      <c r="BP812" s="13">
        <v>359.743735612752</v>
      </c>
      <c r="BQ812" s="13" t="s">
        <v>169</v>
      </c>
      <c r="BT812" s="298" t="str">
        <f>+VLOOKUP(G812,Liste!$A$7:$H$50,8,FALSE)</f>
        <v>Résineux</v>
      </c>
      <c r="BU812" s="298">
        <f t="shared" si="247"/>
        <v>0</v>
      </c>
      <c r="BV812" s="300">
        <f t="shared" si="248"/>
        <v>1</v>
      </c>
      <c r="BW812" s="321">
        <v>0</v>
      </c>
      <c r="BX812" s="298">
        <f t="shared" si="249"/>
        <v>0.43</v>
      </c>
      <c r="BY812">
        <f t="shared" si="250"/>
        <v>0</v>
      </c>
      <c r="BZ812" s="304">
        <f t="shared" si="251"/>
        <v>0</v>
      </c>
      <c r="CB812" s="299">
        <v>0.6</v>
      </c>
      <c r="CC812" s="299">
        <v>0.4</v>
      </c>
      <c r="CD812">
        <f t="shared" si="252"/>
        <v>0</v>
      </c>
      <c r="CE812">
        <f t="shared" si="253"/>
        <v>0</v>
      </c>
      <c r="CF812">
        <f t="shared" si="254"/>
        <v>0</v>
      </c>
      <c r="CG812">
        <f t="shared" si="255"/>
        <v>0</v>
      </c>
      <c r="CH812">
        <f t="shared" si="256"/>
        <v>0</v>
      </c>
      <c r="CI812">
        <f t="shared" si="257"/>
        <v>0</v>
      </c>
      <c r="CJ812">
        <f t="shared" si="258"/>
        <v>0</v>
      </c>
      <c r="CK812">
        <f t="shared" si="259"/>
        <v>0</v>
      </c>
      <c r="CL812">
        <f t="shared" si="260"/>
        <v>0</v>
      </c>
      <c r="CM812">
        <f t="shared" si="262"/>
        <v>0</v>
      </c>
      <c r="CN812">
        <f t="shared" si="261"/>
        <v>0</v>
      </c>
      <c r="CO812">
        <f t="shared" si="245"/>
        <v>0</v>
      </c>
    </row>
    <row r="813" spans="1:93" s="12" customFormat="1" x14ac:dyDescent="0.25">
      <c r="A813" s="4">
        <v>2013</v>
      </c>
      <c r="B813" s="318">
        <v>44265</v>
      </c>
      <c r="C813" s="4" t="s">
        <v>430</v>
      </c>
      <c r="D813" s="4" t="s">
        <v>431</v>
      </c>
      <c r="E813" s="4"/>
      <c r="F813" s="4" t="s">
        <v>1493</v>
      </c>
      <c r="G813" s="5" t="s">
        <v>432</v>
      </c>
      <c r="H813" s="5" t="s">
        <v>185</v>
      </c>
      <c r="I813" s="5" t="s">
        <v>222</v>
      </c>
      <c r="J813" s="5" t="s">
        <v>9</v>
      </c>
      <c r="K813" s="5">
        <v>20</v>
      </c>
      <c r="L813" s="5" t="s">
        <v>191</v>
      </c>
      <c r="M813" s="5">
        <v>2000</v>
      </c>
      <c r="N813" s="5" t="s">
        <v>171</v>
      </c>
      <c r="O813" s="6" t="s">
        <v>81</v>
      </c>
      <c r="P813" s="6" t="s">
        <v>186</v>
      </c>
      <c r="Q813" s="6"/>
      <c r="R813" s="6"/>
      <c r="S813" s="6">
        <v>45</v>
      </c>
      <c r="T813" s="6">
        <v>17.7</v>
      </c>
      <c r="U813" s="6">
        <v>1853</v>
      </c>
      <c r="V813" s="6">
        <v>45.68</v>
      </c>
      <c r="W813" s="6">
        <v>0</v>
      </c>
      <c r="X813" s="6">
        <v>0</v>
      </c>
      <c r="Y813" s="6">
        <v>1079</v>
      </c>
      <c r="Z813" s="6">
        <v>672</v>
      </c>
      <c r="AA813" s="6">
        <v>94</v>
      </c>
      <c r="AB813" s="6">
        <v>8</v>
      </c>
      <c r="AC813" s="7">
        <v>50</v>
      </c>
      <c r="AD813" s="7" t="s">
        <v>52</v>
      </c>
      <c r="AE813" s="9">
        <v>20.1021618952621</v>
      </c>
      <c r="AF813" s="7">
        <v>946</v>
      </c>
      <c r="AG813" s="7">
        <v>33.67</v>
      </c>
      <c r="AH813" s="9">
        <v>21.287391872497299</v>
      </c>
      <c r="AI813" s="9">
        <v>25.742703191780201</v>
      </c>
      <c r="AJ813" s="9">
        <v>311.92627695268601</v>
      </c>
      <c r="AK813" s="9">
        <v>312.95193882990799</v>
      </c>
      <c r="AL813" s="9">
        <v>379.60172004621802</v>
      </c>
      <c r="AM813" s="9">
        <v>53.500567161266098</v>
      </c>
      <c r="AN813" s="9">
        <v>1.07001134322532</v>
      </c>
      <c r="AO813" s="9">
        <v>1.5261000597921699</v>
      </c>
      <c r="AP813" s="9">
        <v>569.75481871739396</v>
      </c>
      <c r="AQ813" s="9">
        <v>11.395096374347901</v>
      </c>
      <c r="AR813" s="9">
        <v>24.7845251372852</v>
      </c>
      <c r="AS813" s="8" t="s">
        <v>169</v>
      </c>
      <c r="AT813" s="8" t="s">
        <v>169</v>
      </c>
      <c r="AU813" s="10" t="s">
        <v>169</v>
      </c>
      <c r="AV813" s="10">
        <v>0</v>
      </c>
      <c r="AW813" s="10" t="s">
        <v>169</v>
      </c>
      <c r="AX813" s="10" t="s">
        <v>169</v>
      </c>
      <c r="AY813" s="10"/>
      <c r="AZ813" s="10"/>
      <c r="BA813" s="10"/>
      <c r="BB813" s="8"/>
      <c r="BC813" s="8"/>
      <c r="BD813" s="8"/>
      <c r="BE813" s="8"/>
      <c r="BF813" s="12">
        <v>0.38</v>
      </c>
      <c r="BG813" s="13">
        <v>251.233071717255</v>
      </c>
      <c r="BH813" s="96" t="str">
        <f>+VLOOKUP(G813,Liste!$A$7:$G$50,3,FALSE)</f>
        <v>Sapin pectiné</v>
      </c>
      <c r="BI813" s="96" t="str">
        <f>+VLOOKUP(H813,Liste!$B$7:$G$50,5,FALSE)</f>
        <v>GS Arc Jurassien</v>
      </c>
      <c r="BJ813" s="135">
        <f t="shared" si="244"/>
        <v>50</v>
      </c>
      <c r="BK813" s="135" t="str">
        <f t="shared" si="246"/>
        <v>Sapin pectiné_F1_Cas général_GS Arc Jurassien_50_</v>
      </c>
      <c r="BL813" s="322"/>
      <c r="BM813" s="13">
        <v>64.909499939557406</v>
      </c>
      <c r="BN813" s="13">
        <v>316.14257165681198</v>
      </c>
      <c r="BO813" s="13" t="s">
        <v>169</v>
      </c>
      <c r="BP813" s="13">
        <v>359.743735612752</v>
      </c>
      <c r="BQ813" s="13">
        <v>19.9575073074394</v>
      </c>
      <c r="BT813" s="298" t="str">
        <f>+VLOOKUP(G813,Liste!$A$7:$H$50,8,FALSE)</f>
        <v>Résineux</v>
      </c>
      <c r="BU813" s="298">
        <f t="shared" si="247"/>
        <v>0</v>
      </c>
      <c r="BV813" s="300">
        <f t="shared" si="248"/>
        <v>1</v>
      </c>
      <c r="BW813" s="321">
        <v>0</v>
      </c>
      <c r="BX813" s="298">
        <f t="shared" si="249"/>
        <v>0.43</v>
      </c>
      <c r="BY813">
        <f t="shared" si="250"/>
        <v>0</v>
      </c>
      <c r="BZ813" s="304">
        <f t="shared" si="251"/>
        <v>0</v>
      </c>
      <c r="CB813" s="299">
        <v>0.6</v>
      </c>
      <c r="CC813" s="299">
        <v>0.4</v>
      </c>
      <c r="CD813">
        <f t="shared" si="252"/>
        <v>0</v>
      </c>
      <c r="CE813">
        <f t="shared" si="253"/>
        <v>0</v>
      </c>
      <c r="CF813">
        <f t="shared" si="254"/>
        <v>0</v>
      </c>
      <c r="CG813">
        <f t="shared" si="255"/>
        <v>0</v>
      </c>
      <c r="CH813">
        <f t="shared" si="256"/>
        <v>0</v>
      </c>
      <c r="CI813">
        <f t="shared" si="257"/>
        <v>0</v>
      </c>
      <c r="CJ813">
        <f t="shared" si="258"/>
        <v>0</v>
      </c>
      <c r="CK813">
        <f t="shared" si="259"/>
        <v>0</v>
      </c>
      <c r="CL813">
        <f t="shared" si="260"/>
        <v>0</v>
      </c>
      <c r="CM813">
        <f t="shared" si="262"/>
        <v>0</v>
      </c>
      <c r="CN813">
        <f t="shared" si="261"/>
        <v>0</v>
      </c>
      <c r="CO813">
        <f t="shared" si="245"/>
        <v>0</v>
      </c>
    </row>
    <row r="814" spans="1:93" s="12" customFormat="1" x14ac:dyDescent="0.25">
      <c r="A814" s="4">
        <v>2013</v>
      </c>
      <c r="B814" s="318">
        <v>44265</v>
      </c>
      <c r="C814" s="4" t="s">
        <v>430</v>
      </c>
      <c r="D814" s="4" t="s">
        <v>431</v>
      </c>
      <c r="E814" s="4"/>
      <c r="F814" s="4" t="s">
        <v>1493</v>
      </c>
      <c r="G814" s="5" t="s">
        <v>432</v>
      </c>
      <c r="H814" s="5" t="s">
        <v>185</v>
      </c>
      <c r="I814" s="5" t="s">
        <v>222</v>
      </c>
      <c r="J814" s="5" t="s">
        <v>9</v>
      </c>
      <c r="K814" s="5">
        <v>20</v>
      </c>
      <c r="L814" s="5" t="s">
        <v>191</v>
      </c>
      <c r="M814" s="5">
        <v>2000</v>
      </c>
      <c r="N814" s="5" t="s">
        <v>171</v>
      </c>
      <c r="O814" s="6" t="s">
        <v>81</v>
      </c>
      <c r="P814" s="6" t="s">
        <v>186</v>
      </c>
      <c r="Q814" s="6"/>
      <c r="R814" s="6"/>
      <c r="S814" s="6">
        <v>45</v>
      </c>
      <c r="T814" s="6">
        <v>17.7</v>
      </c>
      <c r="U814" s="6">
        <v>1853</v>
      </c>
      <c r="V814" s="6">
        <v>45.68</v>
      </c>
      <c r="W814" s="6">
        <v>0</v>
      </c>
      <c r="X814" s="6">
        <v>0</v>
      </c>
      <c r="Y814" s="6">
        <v>1079</v>
      </c>
      <c r="Z814" s="6">
        <v>672</v>
      </c>
      <c r="AA814" s="6">
        <v>94</v>
      </c>
      <c r="AB814" s="6">
        <v>8</v>
      </c>
      <c r="AC814" s="7">
        <v>51</v>
      </c>
      <c r="AD814" s="7" t="s">
        <v>52</v>
      </c>
      <c r="AE814" s="9">
        <v>20.5555654850567</v>
      </c>
      <c r="AF814" s="7">
        <v>946</v>
      </c>
      <c r="AG814" s="7">
        <v>35.200000000000003</v>
      </c>
      <c r="AH814" s="9">
        <v>21.766534022402301</v>
      </c>
      <c r="AI814" s="9">
        <v>26.3376511495572</v>
      </c>
      <c r="AJ814" s="9">
        <v>334.31030728774198</v>
      </c>
      <c r="AK814" s="9">
        <v>335.412800612517</v>
      </c>
      <c r="AL814" s="9">
        <v>404.38624518350298</v>
      </c>
      <c r="AM814" s="9" t="s">
        <v>169</v>
      </c>
      <c r="AN814" s="9" t="s">
        <v>169</v>
      </c>
      <c r="AO814" s="9" t="s">
        <v>169</v>
      </c>
      <c r="AP814" s="9" t="s">
        <v>169</v>
      </c>
      <c r="AQ814" s="9" t="s">
        <v>169</v>
      </c>
      <c r="AR814" s="9" t="s">
        <v>169</v>
      </c>
      <c r="AS814" s="8" t="s">
        <v>169</v>
      </c>
      <c r="AT814" s="8" t="s">
        <v>169</v>
      </c>
      <c r="AU814" s="10" t="s">
        <v>169</v>
      </c>
      <c r="AV814" s="10">
        <v>0</v>
      </c>
      <c r="AW814" s="10" t="s">
        <v>169</v>
      </c>
      <c r="AX814" s="10" t="s">
        <v>169</v>
      </c>
      <c r="AY814" s="10"/>
      <c r="AZ814" s="10"/>
      <c r="BA814" s="10"/>
      <c r="BB814" s="8"/>
      <c r="BC814" s="8"/>
      <c r="BD814" s="8"/>
      <c r="BE814" s="8"/>
      <c r="BF814" s="12">
        <v>0.38</v>
      </c>
      <c r="BG814" s="13">
        <v>267.63629660394798</v>
      </c>
      <c r="BH814" s="96" t="str">
        <f>+VLOOKUP(G814,Liste!$A$7:$G$50,3,FALSE)</f>
        <v>Sapin pectiné</v>
      </c>
      <c r="BI814" s="96" t="str">
        <f>+VLOOKUP(H814,Liste!$B$7:$G$50,5,FALSE)</f>
        <v>GS Arc Jurassien</v>
      </c>
      <c r="BJ814" s="135">
        <f t="shared" si="244"/>
        <v>51</v>
      </c>
      <c r="BK814" s="135" t="str">
        <f t="shared" si="246"/>
        <v>Sapin pectiné_F1_Cas général_GS Arc Jurassien_51_</v>
      </c>
      <c r="BL814" s="322"/>
      <c r="BM814" s="13">
        <v>68.6270299004929</v>
      </c>
      <c r="BN814" s="13">
        <v>336.26332650444101</v>
      </c>
      <c r="BO814" s="13" t="s">
        <v>169</v>
      </c>
      <c r="BP814" s="13">
        <v>359.743735612752</v>
      </c>
      <c r="BQ814" s="13" t="s">
        <v>169</v>
      </c>
      <c r="BT814" s="298" t="str">
        <f>+VLOOKUP(G814,Liste!$A$7:$H$50,8,FALSE)</f>
        <v>Résineux</v>
      </c>
      <c r="BU814" s="298">
        <f t="shared" si="247"/>
        <v>0</v>
      </c>
      <c r="BV814" s="300">
        <f t="shared" si="248"/>
        <v>1</v>
      </c>
      <c r="BW814" s="321">
        <v>0</v>
      </c>
      <c r="BX814" s="298">
        <f t="shared" si="249"/>
        <v>0.43</v>
      </c>
      <c r="BY814">
        <f t="shared" si="250"/>
        <v>0</v>
      </c>
      <c r="BZ814" s="304">
        <f t="shared" si="251"/>
        <v>0</v>
      </c>
      <c r="CB814" s="299">
        <v>0.6</v>
      </c>
      <c r="CC814" s="299">
        <v>0.4</v>
      </c>
      <c r="CD814">
        <f t="shared" si="252"/>
        <v>0</v>
      </c>
      <c r="CE814">
        <f t="shared" si="253"/>
        <v>0</v>
      </c>
      <c r="CF814">
        <f t="shared" si="254"/>
        <v>0</v>
      </c>
      <c r="CG814">
        <f t="shared" si="255"/>
        <v>0</v>
      </c>
      <c r="CH814">
        <f t="shared" si="256"/>
        <v>0</v>
      </c>
      <c r="CI814">
        <f t="shared" si="257"/>
        <v>0</v>
      </c>
      <c r="CJ814">
        <f t="shared" si="258"/>
        <v>0</v>
      </c>
      <c r="CK814">
        <f t="shared" si="259"/>
        <v>0</v>
      </c>
      <c r="CL814">
        <f t="shared" si="260"/>
        <v>0</v>
      </c>
      <c r="CM814">
        <f t="shared" si="262"/>
        <v>0</v>
      </c>
      <c r="CN814">
        <f t="shared" si="261"/>
        <v>0</v>
      </c>
      <c r="CO814">
        <f t="shared" si="245"/>
        <v>0</v>
      </c>
    </row>
    <row r="815" spans="1:93" s="12" customFormat="1" x14ac:dyDescent="0.25">
      <c r="A815" s="4">
        <v>2013</v>
      </c>
      <c r="B815" s="318">
        <v>44265</v>
      </c>
      <c r="C815" s="4" t="s">
        <v>430</v>
      </c>
      <c r="D815" s="4" t="s">
        <v>431</v>
      </c>
      <c r="E815" s="4"/>
      <c r="F815" s="4" t="s">
        <v>1493</v>
      </c>
      <c r="G815" s="5" t="s">
        <v>432</v>
      </c>
      <c r="H815" s="5" t="s">
        <v>185</v>
      </c>
      <c r="I815" s="5" t="s">
        <v>222</v>
      </c>
      <c r="J815" s="5" t="s">
        <v>9</v>
      </c>
      <c r="K815" s="5">
        <v>20</v>
      </c>
      <c r="L815" s="5" t="s">
        <v>191</v>
      </c>
      <c r="M815" s="5">
        <v>2000</v>
      </c>
      <c r="N815" s="5" t="s">
        <v>171</v>
      </c>
      <c r="O815" s="6" t="s">
        <v>81</v>
      </c>
      <c r="P815" s="6" t="s">
        <v>186</v>
      </c>
      <c r="Q815" s="6"/>
      <c r="R815" s="6"/>
      <c r="S815" s="6">
        <v>45</v>
      </c>
      <c r="T815" s="6">
        <v>17.7</v>
      </c>
      <c r="U815" s="6">
        <v>1853</v>
      </c>
      <c r="V815" s="6">
        <v>45.68</v>
      </c>
      <c r="W815" s="6">
        <v>0</v>
      </c>
      <c r="X815" s="6">
        <v>0</v>
      </c>
      <c r="Y815" s="6">
        <v>1079</v>
      </c>
      <c r="Z815" s="6">
        <v>672</v>
      </c>
      <c r="AA815" s="6">
        <v>94</v>
      </c>
      <c r="AB815" s="6">
        <v>8</v>
      </c>
      <c r="AC815" s="7">
        <v>52</v>
      </c>
      <c r="AD815" s="7" t="s">
        <v>52</v>
      </c>
      <c r="AE815" s="9">
        <v>21.000497099315499</v>
      </c>
      <c r="AF815" s="7">
        <v>946</v>
      </c>
      <c r="AG815" s="7">
        <v>36.72</v>
      </c>
      <c r="AH815" s="9">
        <v>22.231356224236499</v>
      </c>
      <c r="AI815" s="9">
        <v>26.912382485725701</v>
      </c>
      <c r="AJ815" s="9">
        <v>356.69433762279698</v>
      </c>
      <c r="AK815" s="9">
        <v>357.87366239512602</v>
      </c>
      <c r="AL815" s="9">
        <v>429.17077032078799</v>
      </c>
      <c r="AM815" s="9">
        <v>56.552767280850397</v>
      </c>
      <c r="AN815" s="9">
        <v>1.08755321693943</v>
      </c>
      <c r="AO815" s="9">
        <v>1.3975057928916199</v>
      </c>
      <c r="AP815" s="9">
        <v>619.32386899196399</v>
      </c>
      <c r="AQ815" s="9">
        <v>11.910074403691601</v>
      </c>
      <c r="AR815" s="9">
        <v>22.936557015040499</v>
      </c>
      <c r="AS815" s="8" t="s">
        <v>169</v>
      </c>
      <c r="AT815" s="8" t="s">
        <v>169</v>
      </c>
      <c r="AU815" s="10" t="s">
        <v>169</v>
      </c>
      <c r="AV815" s="10">
        <v>0</v>
      </c>
      <c r="AW815" s="10" t="s">
        <v>169</v>
      </c>
      <c r="AX815" s="10" t="s">
        <v>169</v>
      </c>
      <c r="AY815" s="10"/>
      <c r="AZ815" s="10"/>
      <c r="BA815" s="10"/>
      <c r="BB815" s="8"/>
      <c r="BC815" s="8"/>
      <c r="BD815" s="8"/>
      <c r="BE815" s="8"/>
      <c r="BF815" s="12">
        <v>0.38</v>
      </c>
      <c r="BG815" s="13">
        <v>284.03952149064099</v>
      </c>
      <c r="BH815" s="96" t="str">
        <f>+VLOOKUP(G815,Liste!$A$7:$G$50,3,FALSE)</f>
        <v>Sapin pectiné</v>
      </c>
      <c r="BI815" s="96" t="str">
        <f>+VLOOKUP(H815,Liste!$B$7:$G$50,5,FALSE)</f>
        <v>GS Arc Jurassien</v>
      </c>
      <c r="BJ815" s="135">
        <f t="shared" si="244"/>
        <v>52</v>
      </c>
      <c r="BK815" s="135" t="str">
        <f t="shared" si="246"/>
        <v>Sapin pectiné_F1_Cas général_GS Arc Jurassien_52_</v>
      </c>
      <c r="BL815" s="322"/>
      <c r="BM815" s="13">
        <v>72.344559861428493</v>
      </c>
      <c r="BN815" s="13">
        <v>356.38408135206998</v>
      </c>
      <c r="BO815" s="13" t="s">
        <v>169</v>
      </c>
      <c r="BP815" s="13">
        <v>359.743735612752</v>
      </c>
      <c r="BQ815" s="13">
        <v>18.4399876762626</v>
      </c>
      <c r="BT815" s="298" t="str">
        <f>+VLOOKUP(G815,Liste!$A$7:$H$50,8,FALSE)</f>
        <v>Résineux</v>
      </c>
      <c r="BU815" s="298">
        <f t="shared" si="247"/>
        <v>0</v>
      </c>
      <c r="BV815" s="300">
        <f t="shared" si="248"/>
        <v>1</v>
      </c>
      <c r="BW815" s="321">
        <v>0</v>
      </c>
      <c r="BX815" s="298">
        <f t="shared" si="249"/>
        <v>0.43</v>
      </c>
      <c r="BY815">
        <f t="shared" si="250"/>
        <v>0</v>
      </c>
      <c r="BZ815" s="304">
        <f t="shared" si="251"/>
        <v>0</v>
      </c>
      <c r="CB815" s="299">
        <v>0.6</v>
      </c>
      <c r="CC815" s="299">
        <v>0.4</v>
      </c>
      <c r="CD815">
        <f t="shared" si="252"/>
        <v>0</v>
      </c>
      <c r="CE815">
        <f t="shared" si="253"/>
        <v>0</v>
      </c>
      <c r="CF815">
        <f t="shared" si="254"/>
        <v>0</v>
      </c>
      <c r="CG815">
        <f t="shared" si="255"/>
        <v>0</v>
      </c>
      <c r="CH815">
        <f t="shared" si="256"/>
        <v>0</v>
      </c>
      <c r="CI815">
        <f t="shared" si="257"/>
        <v>0</v>
      </c>
      <c r="CJ815">
        <f t="shared" si="258"/>
        <v>0</v>
      </c>
      <c r="CK815">
        <f t="shared" si="259"/>
        <v>0</v>
      </c>
      <c r="CL815">
        <f t="shared" si="260"/>
        <v>0</v>
      </c>
      <c r="CM815">
        <f t="shared" si="262"/>
        <v>0</v>
      </c>
      <c r="CN815">
        <f t="shared" si="261"/>
        <v>0</v>
      </c>
      <c r="CO815">
        <f t="shared" si="245"/>
        <v>0</v>
      </c>
    </row>
    <row r="816" spans="1:93" s="12" customFormat="1" x14ac:dyDescent="0.25">
      <c r="A816" s="4">
        <v>2013</v>
      </c>
      <c r="B816" s="318">
        <v>44265</v>
      </c>
      <c r="C816" s="4" t="s">
        <v>430</v>
      </c>
      <c r="D816" s="4" t="s">
        <v>431</v>
      </c>
      <c r="E816" s="4"/>
      <c r="F816" s="4" t="s">
        <v>1493</v>
      </c>
      <c r="G816" s="5" t="s">
        <v>432</v>
      </c>
      <c r="H816" s="5" t="s">
        <v>185</v>
      </c>
      <c r="I816" s="5" t="s">
        <v>222</v>
      </c>
      <c r="J816" s="5" t="s">
        <v>9</v>
      </c>
      <c r="K816" s="5">
        <v>20</v>
      </c>
      <c r="L816" s="5" t="s">
        <v>191</v>
      </c>
      <c r="M816" s="5">
        <v>2000</v>
      </c>
      <c r="N816" s="5" t="s">
        <v>171</v>
      </c>
      <c r="O816" s="6" t="s">
        <v>81</v>
      </c>
      <c r="P816" s="6" t="s">
        <v>186</v>
      </c>
      <c r="Q816" s="6"/>
      <c r="R816" s="6"/>
      <c r="S816" s="6">
        <v>45</v>
      </c>
      <c r="T816" s="6">
        <v>17.7</v>
      </c>
      <c r="U816" s="6">
        <v>1853</v>
      </c>
      <c r="V816" s="6">
        <v>45.68</v>
      </c>
      <c r="W816" s="6">
        <v>0</v>
      </c>
      <c r="X816" s="6">
        <v>0</v>
      </c>
      <c r="Y816" s="6">
        <v>1079</v>
      </c>
      <c r="Z816" s="6">
        <v>672</v>
      </c>
      <c r="AA816" s="6">
        <v>94</v>
      </c>
      <c r="AB816" s="6">
        <v>8</v>
      </c>
      <c r="AC816" s="7">
        <v>52</v>
      </c>
      <c r="AD816" s="7" t="s">
        <v>53</v>
      </c>
      <c r="AE816" s="9">
        <v>21.000497099315499</v>
      </c>
      <c r="AF816" s="7">
        <v>716</v>
      </c>
      <c r="AG816" s="7">
        <v>28.25</v>
      </c>
      <c r="AH816" s="9">
        <v>22.4123821550087</v>
      </c>
      <c r="AI816" s="9">
        <v>26.752811639837802</v>
      </c>
      <c r="AJ816" s="9">
        <v>275.20524222716398</v>
      </c>
      <c r="AK816" s="9">
        <v>276.13648028519202</v>
      </c>
      <c r="AL816" s="9">
        <v>330.98737704793098</v>
      </c>
      <c r="AM816" s="9">
        <v>56.552767280850397</v>
      </c>
      <c r="AN816" s="9">
        <v>1.08755321693943</v>
      </c>
      <c r="AO816" s="9">
        <v>1.3975057928916199</v>
      </c>
      <c r="AP816" s="9">
        <v>619.32386899196399</v>
      </c>
      <c r="AQ816" s="9">
        <v>11.910074403691601</v>
      </c>
      <c r="AR816" s="9">
        <v>22.936557015040499</v>
      </c>
      <c r="AS816" s="8">
        <v>230</v>
      </c>
      <c r="AT816" s="8">
        <v>8.4699999999999989</v>
      </c>
      <c r="AU816" s="10">
        <v>21.653736442216903</v>
      </c>
      <c r="AV816" s="10">
        <v>81.489095395633001</v>
      </c>
      <c r="AW816" s="10">
        <v>0.94871065383301345</v>
      </c>
      <c r="AX816" s="10">
        <v>0.35430041476362173</v>
      </c>
      <c r="AY816" s="10"/>
      <c r="AZ816" s="10"/>
      <c r="BA816" s="10"/>
      <c r="BB816" s="8"/>
      <c r="BC816" s="8"/>
      <c r="BD816" s="8"/>
      <c r="BE816" s="8"/>
      <c r="BF816" s="12">
        <v>0.38</v>
      </c>
      <c r="BG816" s="13">
        <v>219.05847904288899</v>
      </c>
      <c r="BH816" s="96" t="str">
        <f>+VLOOKUP(G816,Liste!$A$7:$G$50,3,FALSE)</f>
        <v>Sapin pectiné</v>
      </c>
      <c r="BI816" s="96" t="str">
        <f>+VLOOKUP(H816,Liste!$B$7:$G$50,5,FALSE)</f>
        <v>GS Arc Jurassien</v>
      </c>
      <c r="BJ816" s="135">
        <f t="shared" si="244"/>
        <v>52</v>
      </c>
      <c r="BK816" s="135" t="str">
        <f t="shared" si="246"/>
        <v>Sapin pectiné_F1_Cas général_GS Arc Jurassien_52_</v>
      </c>
      <c r="BL816" s="322"/>
      <c r="BM816" s="13">
        <v>57.5068092550882</v>
      </c>
      <c r="BN816" s="13">
        <v>276.56528829797702</v>
      </c>
      <c r="BO816" s="13">
        <v>79.818793054092964</v>
      </c>
      <c r="BP816" s="13">
        <v>359.743735612752</v>
      </c>
      <c r="BQ816" s="13">
        <v>18.4399876762626</v>
      </c>
      <c r="BT816" s="298" t="str">
        <f>+VLOOKUP(G816,Liste!$A$7:$H$50,8,FALSE)</f>
        <v>Résineux</v>
      </c>
      <c r="BU816" s="298">
        <f t="shared" si="247"/>
        <v>0</v>
      </c>
      <c r="BV816" s="300">
        <f t="shared" si="248"/>
        <v>1</v>
      </c>
      <c r="BW816" s="321">
        <v>0</v>
      </c>
      <c r="BX816" s="298">
        <f t="shared" si="249"/>
        <v>0.43</v>
      </c>
      <c r="BY816">
        <f t="shared" si="250"/>
        <v>0</v>
      </c>
      <c r="BZ816" s="304">
        <f t="shared" si="251"/>
        <v>0</v>
      </c>
      <c r="CB816" s="299">
        <v>0.6</v>
      </c>
      <c r="CC816" s="299">
        <v>0.4</v>
      </c>
      <c r="CD816">
        <f t="shared" si="252"/>
        <v>0</v>
      </c>
      <c r="CE816">
        <f t="shared" si="253"/>
        <v>0</v>
      </c>
      <c r="CF816">
        <f t="shared" si="254"/>
        <v>0</v>
      </c>
      <c r="CG816">
        <f t="shared" si="255"/>
        <v>0</v>
      </c>
      <c r="CH816">
        <f t="shared" si="256"/>
        <v>0</v>
      </c>
      <c r="CI816">
        <f t="shared" si="257"/>
        <v>0</v>
      </c>
      <c r="CJ816">
        <f t="shared" si="258"/>
        <v>0</v>
      </c>
      <c r="CK816">
        <f t="shared" si="259"/>
        <v>0</v>
      </c>
      <c r="CL816">
        <f t="shared" si="260"/>
        <v>0</v>
      </c>
      <c r="CM816">
        <f t="shared" si="262"/>
        <v>0</v>
      </c>
      <c r="CN816">
        <f t="shared" si="261"/>
        <v>0</v>
      </c>
      <c r="CO816">
        <f t="shared" si="245"/>
        <v>0</v>
      </c>
    </row>
    <row r="817" spans="1:93" s="12" customFormat="1" x14ac:dyDescent="0.25">
      <c r="A817" s="4">
        <v>2013</v>
      </c>
      <c r="B817" s="318">
        <v>44265</v>
      </c>
      <c r="C817" s="4" t="s">
        <v>430</v>
      </c>
      <c r="D817" s="4" t="s">
        <v>431</v>
      </c>
      <c r="E817" s="4"/>
      <c r="F817" s="4" t="s">
        <v>1493</v>
      </c>
      <c r="G817" s="5" t="s">
        <v>432</v>
      </c>
      <c r="H817" s="5" t="s">
        <v>185</v>
      </c>
      <c r="I817" s="5" t="s">
        <v>222</v>
      </c>
      <c r="J817" s="5" t="s">
        <v>9</v>
      </c>
      <c r="K817" s="5">
        <v>20</v>
      </c>
      <c r="L817" s="5" t="s">
        <v>191</v>
      </c>
      <c r="M817" s="5">
        <v>2000</v>
      </c>
      <c r="N817" s="5" t="s">
        <v>171</v>
      </c>
      <c r="O817" s="6" t="s">
        <v>81</v>
      </c>
      <c r="P817" s="6" t="s">
        <v>186</v>
      </c>
      <c r="Q817" s="6"/>
      <c r="R817" s="6"/>
      <c r="S817" s="6">
        <v>45</v>
      </c>
      <c r="T817" s="6">
        <v>17.7</v>
      </c>
      <c r="U817" s="6">
        <v>1853</v>
      </c>
      <c r="V817" s="6">
        <v>45.68</v>
      </c>
      <c r="W817" s="6">
        <v>0</v>
      </c>
      <c r="X817" s="6">
        <v>0</v>
      </c>
      <c r="Y817" s="6">
        <v>1079</v>
      </c>
      <c r="Z817" s="6">
        <v>672</v>
      </c>
      <c r="AA817" s="6">
        <v>94</v>
      </c>
      <c r="AB817" s="6">
        <v>8</v>
      </c>
      <c r="AC817" s="7">
        <v>53</v>
      </c>
      <c r="AD817" s="7" t="s">
        <v>52</v>
      </c>
      <c r="AE817" s="9">
        <v>21.437071009002</v>
      </c>
      <c r="AF817" s="7">
        <v>716</v>
      </c>
      <c r="AG817" s="7">
        <v>29.65</v>
      </c>
      <c r="AH817" s="9">
        <v>22.962246454399899</v>
      </c>
      <c r="AI817" s="9">
        <v>27.419705916542998</v>
      </c>
      <c r="AJ817" s="9">
        <v>295.89953794953698</v>
      </c>
      <c r="AK817" s="9">
        <v>296.91017365366798</v>
      </c>
      <c r="AL817" s="9">
        <v>353.92393406297202</v>
      </c>
      <c r="AM817" s="9" t="s">
        <v>169</v>
      </c>
      <c r="AN817" s="9" t="s">
        <v>169</v>
      </c>
      <c r="AO817" s="9" t="s">
        <v>169</v>
      </c>
      <c r="AP817" s="9" t="s">
        <v>169</v>
      </c>
      <c r="AQ817" s="9" t="s">
        <v>169</v>
      </c>
      <c r="AR817" s="9" t="s">
        <v>169</v>
      </c>
      <c r="AS817" s="8" t="s">
        <v>169</v>
      </c>
      <c r="AT817" s="8" t="s">
        <v>169</v>
      </c>
      <c r="AU817" s="10" t="s">
        <v>169</v>
      </c>
      <c r="AV817" s="10">
        <v>0</v>
      </c>
      <c r="AW817" s="10" t="s">
        <v>169</v>
      </c>
      <c r="AX817" s="10" t="s">
        <v>169</v>
      </c>
      <c r="AY817" s="10"/>
      <c r="AZ817" s="10"/>
      <c r="BA817" s="10"/>
      <c r="BB817" s="8"/>
      <c r="BC817" s="8"/>
      <c r="BD817" s="8"/>
      <c r="BE817" s="8"/>
      <c r="BF817" s="12">
        <v>0.38</v>
      </c>
      <c r="BG817" s="13">
        <v>234.23865702734301</v>
      </c>
      <c r="BH817" s="96" t="str">
        <f>+VLOOKUP(G817,Liste!$A$7:$G$50,3,FALSE)</f>
        <v>Sapin pectiné</v>
      </c>
      <c r="BI817" s="96" t="str">
        <f>+VLOOKUP(H817,Liste!$B$7:$G$50,5,FALSE)</f>
        <v>GS Arc Jurassien</v>
      </c>
      <c r="BJ817" s="135">
        <f t="shared" si="244"/>
        <v>53</v>
      </c>
      <c r="BK817" s="135" t="str">
        <f t="shared" si="246"/>
        <v>Sapin pectiné_F1_Cas général_GS Arc Jurassien_53_</v>
      </c>
      <c r="BL817" s="322"/>
      <c r="BM817" s="13">
        <v>61.000981148611302</v>
      </c>
      <c r="BN817" s="13">
        <v>295.23963817595501</v>
      </c>
      <c r="BO817" s="13" t="s">
        <v>169</v>
      </c>
      <c r="BP817" s="13">
        <v>359.743735612752</v>
      </c>
      <c r="BQ817" s="13" t="s">
        <v>169</v>
      </c>
      <c r="BT817" s="298" t="str">
        <f>+VLOOKUP(G817,Liste!$A$7:$H$50,8,FALSE)</f>
        <v>Résineux</v>
      </c>
      <c r="BU817" s="298">
        <f t="shared" si="247"/>
        <v>0</v>
      </c>
      <c r="BV817" s="300">
        <f t="shared" si="248"/>
        <v>1</v>
      </c>
      <c r="BW817" s="321">
        <v>0</v>
      </c>
      <c r="BX817" s="298">
        <f t="shared" si="249"/>
        <v>0.43</v>
      </c>
      <c r="BY817">
        <f t="shared" si="250"/>
        <v>0</v>
      </c>
      <c r="BZ817" s="304">
        <f t="shared" si="251"/>
        <v>0</v>
      </c>
      <c r="CB817" s="299">
        <v>0.6</v>
      </c>
      <c r="CC817" s="299">
        <v>0.4</v>
      </c>
      <c r="CD817">
        <f t="shared" si="252"/>
        <v>0</v>
      </c>
      <c r="CE817">
        <f t="shared" si="253"/>
        <v>0</v>
      </c>
      <c r="CF817">
        <f t="shared" si="254"/>
        <v>0</v>
      </c>
      <c r="CG817">
        <f t="shared" si="255"/>
        <v>0</v>
      </c>
      <c r="CH817">
        <f t="shared" si="256"/>
        <v>0</v>
      </c>
      <c r="CI817">
        <f t="shared" si="257"/>
        <v>0</v>
      </c>
      <c r="CJ817">
        <f t="shared" si="258"/>
        <v>0</v>
      </c>
      <c r="CK817">
        <f t="shared" si="259"/>
        <v>0</v>
      </c>
      <c r="CL817">
        <f t="shared" si="260"/>
        <v>0</v>
      </c>
      <c r="CM817">
        <f t="shared" si="262"/>
        <v>0</v>
      </c>
      <c r="CN817">
        <f t="shared" si="261"/>
        <v>0</v>
      </c>
      <c r="CO817">
        <f t="shared" si="245"/>
        <v>0</v>
      </c>
    </row>
    <row r="818" spans="1:93" s="12" customFormat="1" x14ac:dyDescent="0.25">
      <c r="A818" s="4">
        <v>2013</v>
      </c>
      <c r="B818" s="318">
        <v>44265</v>
      </c>
      <c r="C818" s="4" t="s">
        <v>430</v>
      </c>
      <c r="D818" s="4" t="s">
        <v>431</v>
      </c>
      <c r="E818" s="4"/>
      <c r="F818" s="4" t="s">
        <v>1493</v>
      </c>
      <c r="G818" s="5" t="s">
        <v>432</v>
      </c>
      <c r="H818" s="5" t="s">
        <v>185</v>
      </c>
      <c r="I818" s="5" t="s">
        <v>222</v>
      </c>
      <c r="J818" s="5" t="s">
        <v>9</v>
      </c>
      <c r="K818" s="5">
        <v>20</v>
      </c>
      <c r="L818" s="5" t="s">
        <v>191</v>
      </c>
      <c r="M818" s="5">
        <v>2000</v>
      </c>
      <c r="N818" s="5" t="s">
        <v>171</v>
      </c>
      <c r="O818" s="6" t="s">
        <v>81</v>
      </c>
      <c r="P818" s="6" t="s">
        <v>186</v>
      </c>
      <c r="Q818" s="6"/>
      <c r="R818" s="6"/>
      <c r="S818" s="6">
        <v>45</v>
      </c>
      <c r="T818" s="6">
        <v>17.7</v>
      </c>
      <c r="U818" s="6">
        <v>1853</v>
      </c>
      <c r="V818" s="6">
        <v>45.68</v>
      </c>
      <c r="W818" s="6">
        <v>0</v>
      </c>
      <c r="X818" s="6">
        <v>0</v>
      </c>
      <c r="Y818" s="6">
        <v>1079</v>
      </c>
      <c r="Z818" s="6">
        <v>672</v>
      </c>
      <c r="AA818" s="6">
        <v>94</v>
      </c>
      <c r="AB818" s="6">
        <v>8</v>
      </c>
      <c r="AC818" s="7">
        <v>54</v>
      </c>
      <c r="AD818" s="7" t="s">
        <v>52</v>
      </c>
      <c r="AE818" s="9">
        <v>21.865410084126999</v>
      </c>
      <c r="AF818" s="7">
        <v>716</v>
      </c>
      <c r="AG818" s="7">
        <v>31.04</v>
      </c>
      <c r="AH818" s="9">
        <v>23.495056013668801</v>
      </c>
      <c r="AI818" s="9">
        <v>28.062966015031499</v>
      </c>
      <c r="AJ818" s="9">
        <v>316.59383367190998</v>
      </c>
      <c r="AK818" s="9">
        <v>317.68386702214502</v>
      </c>
      <c r="AL818" s="9">
        <v>376.86049107801199</v>
      </c>
      <c r="AM818" s="9">
        <v>59.347778866633703</v>
      </c>
      <c r="AN818" s="9">
        <v>1.0990329419747</v>
      </c>
      <c r="AO818" s="9">
        <v>1.35375412757256</v>
      </c>
      <c r="AP818" s="9">
        <v>665.19698302204597</v>
      </c>
      <c r="AQ818" s="9">
        <v>12.3184626485564</v>
      </c>
      <c r="AR818" s="9">
        <v>23.633379161963202</v>
      </c>
      <c r="AS818" s="8" t="s">
        <v>169</v>
      </c>
      <c r="AT818" s="8" t="s">
        <v>169</v>
      </c>
      <c r="AU818" s="10" t="s">
        <v>169</v>
      </c>
      <c r="AV818" s="10">
        <v>0</v>
      </c>
      <c r="AW818" s="10" t="s">
        <v>169</v>
      </c>
      <c r="AX818" s="10" t="s">
        <v>169</v>
      </c>
      <c r="AY818" s="10"/>
      <c r="AZ818" s="10"/>
      <c r="BA818" s="10"/>
      <c r="BB818" s="8"/>
      <c r="BC818" s="8"/>
      <c r="BD818" s="8"/>
      <c r="BE818" s="8"/>
      <c r="BF818" s="12">
        <v>0.38</v>
      </c>
      <c r="BG818" s="13">
        <v>249.418835011798</v>
      </c>
      <c r="BH818" s="96" t="str">
        <f>+VLOOKUP(G818,Liste!$A$7:$G$50,3,FALSE)</f>
        <v>Sapin pectiné</v>
      </c>
      <c r="BI818" s="96" t="str">
        <f>+VLOOKUP(H818,Liste!$B$7:$G$50,5,FALSE)</f>
        <v>GS Arc Jurassien</v>
      </c>
      <c r="BJ818" s="135">
        <f t="shared" si="244"/>
        <v>54</v>
      </c>
      <c r="BK818" s="135" t="str">
        <f t="shared" si="246"/>
        <v>Sapin pectiné_F1_Cas général_GS Arc Jurassien_54_</v>
      </c>
      <c r="BL818" s="322"/>
      <c r="BM818" s="13">
        <v>64.495153042134405</v>
      </c>
      <c r="BN818" s="13">
        <v>313.91398805393197</v>
      </c>
      <c r="BO818" s="13" t="s">
        <v>169</v>
      </c>
      <c r="BP818" s="13">
        <v>359.743735612752</v>
      </c>
      <c r="BQ818" s="13">
        <v>18.953927624537201</v>
      </c>
      <c r="BT818" s="298" t="str">
        <f>+VLOOKUP(G818,Liste!$A$7:$H$50,8,FALSE)</f>
        <v>Résineux</v>
      </c>
      <c r="BU818" s="298">
        <f t="shared" si="247"/>
        <v>0</v>
      </c>
      <c r="BV818" s="300">
        <f t="shared" si="248"/>
        <v>1</v>
      </c>
      <c r="BW818" s="321">
        <v>0</v>
      </c>
      <c r="BX818" s="298">
        <f t="shared" si="249"/>
        <v>0.43</v>
      </c>
      <c r="BY818">
        <f t="shared" si="250"/>
        <v>0</v>
      </c>
      <c r="BZ818" s="304">
        <f t="shared" si="251"/>
        <v>0</v>
      </c>
      <c r="CB818" s="299">
        <v>0.6</v>
      </c>
      <c r="CC818" s="299">
        <v>0.4</v>
      </c>
      <c r="CD818">
        <f t="shared" si="252"/>
        <v>0</v>
      </c>
      <c r="CE818">
        <f t="shared" si="253"/>
        <v>0</v>
      </c>
      <c r="CF818">
        <f t="shared" si="254"/>
        <v>0</v>
      </c>
      <c r="CG818">
        <f t="shared" si="255"/>
        <v>0</v>
      </c>
      <c r="CH818">
        <f t="shared" si="256"/>
        <v>0</v>
      </c>
      <c r="CI818">
        <f t="shared" si="257"/>
        <v>0</v>
      </c>
      <c r="CJ818">
        <f t="shared" si="258"/>
        <v>0</v>
      </c>
      <c r="CK818">
        <f t="shared" si="259"/>
        <v>0</v>
      </c>
      <c r="CL818">
        <f t="shared" si="260"/>
        <v>0</v>
      </c>
      <c r="CM818">
        <f t="shared" si="262"/>
        <v>0</v>
      </c>
      <c r="CN818">
        <f t="shared" si="261"/>
        <v>0</v>
      </c>
      <c r="CO818">
        <f t="shared" si="245"/>
        <v>0</v>
      </c>
    </row>
    <row r="819" spans="1:93" s="12" customFormat="1" x14ac:dyDescent="0.25">
      <c r="A819" s="4">
        <v>2013</v>
      </c>
      <c r="B819" s="318">
        <v>44265</v>
      </c>
      <c r="C819" s="4" t="s">
        <v>430</v>
      </c>
      <c r="D819" s="4" t="s">
        <v>431</v>
      </c>
      <c r="E819" s="4"/>
      <c r="F819" s="4" t="s">
        <v>1493</v>
      </c>
      <c r="G819" s="5" t="s">
        <v>432</v>
      </c>
      <c r="H819" s="5" t="s">
        <v>185</v>
      </c>
      <c r="I819" s="5" t="s">
        <v>222</v>
      </c>
      <c r="J819" s="5" t="s">
        <v>9</v>
      </c>
      <c r="K819" s="5">
        <v>20</v>
      </c>
      <c r="L819" s="5" t="s">
        <v>191</v>
      </c>
      <c r="M819" s="5">
        <v>2000</v>
      </c>
      <c r="N819" s="5" t="s">
        <v>171</v>
      </c>
      <c r="O819" s="6" t="s">
        <v>81</v>
      </c>
      <c r="P819" s="6" t="s">
        <v>186</v>
      </c>
      <c r="Q819" s="6"/>
      <c r="R819" s="6"/>
      <c r="S819" s="6">
        <v>45</v>
      </c>
      <c r="T819" s="6">
        <v>17.7</v>
      </c>
      <c r="U819" s="6">
        <v>1853</v>
      </c>
      <c r="V819" s="6">
        <v>45.68</v>
      </c>
      <c r="W819" s="6">
        <v>0</v>
      </c>
      <c r="X819" s="6">
        <v>0</v>
      </c>
      <c r="Y819" s="6">
        <v>1079</v>
      </c>
      <c r="Z819" s="6">
        <v>672</v>
      </c>
      <c r="AA819" s="6">
        <v>94</v>
      </c>
      <c r="AB819" s="6">
        <v>8</v>
      </c>
      <c r="AC819" s="7">
        <v>55</v>
      </c>
      <c r="AD819" s="7" t="s">
        <v>52</v>
      </c>
      <c r="AE819" s="9">
        <v>22.285644190358799</v>
      </c>
      <c r="AF819" s="7">
        <v>716</v>
      </c>
      <c r="AG819" s="7">
        <v>32.42</v>
      </c>
      <c r="AH819" s="9">
        <v>24.011642925727301</v>
      </c>
      <c r="AI819" s="9">
        <v>28.683861430415799</v>
      </c>
      <c r="AJ819" s="9">
        <v>338.18252116545199</v>
      </c>
      <c r="AK819" s="9">
        <v>339.348873845198</v>
      </c>
      <c r="AL819" s="9">
        <v>400.49387023997502</v>
      </c>
      <c r="AM819" s="9" t="s">
        <v>169</v>
      </c>
      <c r="AN819" s="9" t="s">
        <v>169</v>
      </c>
      <c r="AO819" s="9" t="s">
        <v>169</v>
      </c>
      <c r="AP819" s="9" t="s">
        <v>169</v>
      </c>
      <c r="AQ819" s="9" t="s">
        <v>169</v>
      </c>
      <c r="AR819" s="9" t="s">
        <v>169</v>
      </c>
      <c r="AS819" s="8" t="s">
        <v>169</v>
      </c>
      <c r="AT819" s="8" t="s">
        <v>169</v>
      </c>
      <c r="AU819" s="10" t="s">
        <v>169</v>
      </c>
      <c r="AV819" s="10">
        <v>0</v>
      </c>
      <c r="AW819" s="10" t="s">
        <v>169</v>
      </c>
      <c r="AX819" s="10" t="s">
        <v>169</v>
      </c>
      <c r="AY819" s="10"/>
      <c r="AZ819" s="10"/>
      <c r="BA819" s="10"/>
      <c r="BB819" s="8"/>
      <c r="BC819" s="8"/>
      <c r="BD819" s="8"/>
      <c r="BE819" s="8"/>
      <c r="BF819" s="12">
        <v>0.38</v>
      </c>
      <c r="BG819" s="13">
        <v>265.06019312049</v>
      </c>
      <c r="BH819" s="96" t="str">
        <f>+VLOOKUP(G819,Liste!$A$7:$G$50,3,FALSE)</f>
        <v>Sapin pectiné</v>
      </c>
      <c r="BI819" s="96" t="str">
        <f>+VLOOKUP(H819,Liste!$B$7:$G$50,5,FALSE)</f>
        <v>GS Arc Jurassien</v>
      </c>
      <c r="BJ819" s="135">
        <f t="shared" si="244"/>
        <v>55</v>
      </c>
      <c r="BK819" s="135" t="str">
        <f t="shared" si="246"/>
        <v>Sapin pectiné_F1_Cas général_GS Arc Jurassien_55_</v>
      </c>
      <c r="BL819" s="322"/>
      <c r="BM819" s="13">
        <v>68.010267641910602</v>
      </c>
      <c r="BN819" s="13">
        <v>333.07046076240101</v>
      </c>
      <c r="BO819" s="13" t="s">
        <v>169</v>
      </c>
      <c r="BP819" s="13">
        <v>359.743735612752</v>
      </c>
      <c r="BQ819" s="13" t="s">
        <v>169</v>
      </c>
      <c r="BT819" s="298" t="str">
        <f>+VLOOKUP(G819,Liste!$A$7:$H$50,8,FALSE)</f>
        <v>Résineux</v>
      </c>
      <c r="BU819" s="298">
        <f t="shared" si="247"/>
        <v>0</v>
      </c>
      <c r="BV819" s="300">
        <f t="shared" si="248"/>
        <v>1</v>
      </c>
      <c r="BW819" s="321">
        <v>0</v>
      </c>
      <c r="BX819" s="298">
        <f t="shared" si="249"/>
        <v>0.43</v>
      </c>
      <c r="BY819">
        <f t="shared" si="250"/>
        <v>0</v>
      </c>
      <c r="BZ819" s="304">
        <f t="shared" si="251"/>
        <v>0</v>
      </c>
      <c r="CB819" s="299">
        <v>0.6</v>
      </c>
      <c r="CC819" s="299">
        <v>0.4</v>
      </c>
      <c r="CD819">
        <f t="shared" si="252"/>
        <v>0</v>
      </c>
      <c r="CE819">
        <f t="shared" si="253"/>
        <v>0</v>
      </c>
      <c r="CF819">
        <f t="shared" si="254"/>
        <v>0</v>
      </c>
      <c r="CG819">
        <f t="shared" si="255"/>
        <v>0</v>
      </c>
      <c r="CH819">
        <f t="shared" si="256"/>
        <v>0</v>
      </c>
      <c r="CI819">
        <f t="shared" si="257"/>
        <v>0</v>
      </c>
      <c r="CJ819">
        <f t="shared" si="258"/>
        <v>0</v>
      </c>
      <c r="CK819">
        <f t="shared" si="259"/>
        <v>0</v>
      </c>
      <c r="CL819">
        <f t="shared" si="260"/>
        <v>0</v>
      </c>
      <c r="CM819">
        <f t="shared" si="262"/>
        <v>0</v>
      </c>
      <c r="CN819">
        <f t="shared" si="261"/>
        <v>0</v>
      </c>
      <c r="CO819">
        <f t="shared" si="245"/>
        <v>0</v>
      </c>
    </row>
    <row r="820" spans="1:93" s="12" customFormat="1" x14ac:dyDescent="0.25">
      <c r="A820" s="4">
        <v>2013</v>
      </c>
      <c r="B820" s="318">
        <v>44265</v>
      </c>
      <c r="C820" s="4" t="s">
        <v>430</v>
      </c>
      <c r="D820" s="4" t="s">
        <v>431</v>
      </c>
      <c r="E820" s="4"/>
      <c r="F820" s="4" t="s">
        <v>1493</v>
      </c>
      <c r="G820" s="5" t="s">
        <v>432</v>
      </c>
      <c r="H820" s="5" t="s">
        <v>185</v>
      </c>
      <c r="I820" s="5" t="s">
        <v>222</v>
      </c>
      <c r="J820" s="5" t="s">
        <v>9</v>
      </c>
      <c r="K820" s="5">
        <v>20</v>
      </c>
      <c r="L820" s="5" t="s">
        <v>191</v>
      </c>
      <c r="M820" s="5">
        <v>2000</v>
      </c>
      <c r="N820" s="5" t="s">
        <v>171</v>
      </c>
      <c r="O820" s="6" t="s">
        <v>81</v>
      </c>
      <c r="P820" s="6" t="s">
        <v>186</v>
      </c>
      <c r="Q820" s="6"/>
      <c r="R820" s="6"/>
      <c r="S820" s="6">
        <v>45</v>
      </c>
      <c r="T820" s="6">
        <v>17.7</v>
      </c>
      <c r="U820" s="6">
        <v>1853</v>
      </c>
      <c r="V820" s="6">
        <v>45.68</v>
      </c>
      <c r="W820" s="6">
        <v>0</v>
      </c>
      <c r="X820" s="6">
        <v>0</v>
      </c>
      <c r="Y820" s="6">
        <v>1079</v>
      </c>
      <c r="Z820" s="6">
        <v>672</v>
      </c>
      <c r="AA820" s="6">
        <v>94</v>
      </c>
      <c r="AB820" s="6">
        <v>8</v>
      </c>
      <c r="AC820" s="7">
        <v>56</v>
      </c>
      <c r="AD820" s="7" t="s">
        <v>52</v>
      </c>
      <c r="AE820" s="9">
        <v>22.697908788050501</v>
      </c>
      <c r="AF820" s="7">
        <v>716</v>
      </c>
      <c r="AG820" s="7">
        <v>33.79</v>
      </c>
      <c r="AH820" s="9">
        <v>24.5127775312043</v>
      </c>
      <c r="AI820" s="9">
        <v>29.283581848269598</v>
      </c>
      <c r="AJ820" s="9">
        <v>359.77120865899502</v>
      </c>
      <c r="AK820" s="9">
        <v>361.013880668252</v>
      </c>
      <c r="AL820" s="9">
        <v>424.12724940193903</v>
      </c>
      <c r="AM820" s="9" t="s">
        <v>169</v>
      </c>
      <c r="AN820" s="9" t="s">
        <v>169</v>
      </c>
      <c r="AO820" s="9" t="s">
        <v>169</v>
      </c>
      <c r="AP820" s="9" t="s">
        <v>169</v>
      </c>
      <c r="AQ820" s="9" t="s">
        <v>169</v>
      </c>
      <c r="AR820" s="9" t="s">
        <v>169</v>
      </c>
      <c r="AS820" s="8" t="s">
        <v>169</v>
      </c>
      <c r="AT820" s="8" t="s">
        <v>169</v>
      </c>
      <c r="AU820" s="10" t="s">
        <v>169</v>
      </c>
      <c r="AV820" s="10">
        <v>0</v>
      </c>
      <c r="AW820" s="10" t="s">
        <v>169</v>
      </c>
      <c r="AX820" s="10" t="s">
        <v>169</v>
      </c>
      <c r="AY820" s="10"/>
      <c r="AZ820" s="10"/>
      <c r="BA820" s="10"/>
      <c r="BB820" s="8"/>
      <c r="BC820" s="8"/>
      <c r="BD820" s="8"/>
      <c r="BE820" s="8"/>
      <c r="BF820" s="12">
        <v>0.38</v>
      </c>
      <c r="BG820" s="13">
        <v>280.701551229183</v>
      </c>
      <c r="BH820" s="96" t="str">
        <f>+VLOOKUP(G820,Liste!$A$7:$G$50,3,FALSE)</f>
        <v>Sapin pectiné</v>
      </c>
      <c r="BI820" s="96" t="str">
        <f>+VLOOKUP(H820,Liste!$B$7:$G$50,5,FALSE)</f>
        <v>GS Arc Jurassien</v>
      </c>
      <c r="BJ820" s="135">
        <f t="shared" si="244"/>
        <v>56</v>
      </c>
      <c r="BK820" s="135" t="str">
        <f t="shared" si="246"/>
        <v>Sapin pectiné_F1_Cas général_GS Arc Jurassien_56_</v>
      </c>
      <c r="BL820" s="322"/>
      <c r="BM820" s="13">
        <v>71.5253822416867</v>
      </c>
      <c r="BN820" s="13">
        <v>352.22693347086999</v>
      </c>
      <c r="BO820" s="13" t="s">
        <v>169</v>
      </c>
      <c r="BP820" s="13">
        <v>359.743735612752</v>
      </c>
      <c r="BQ820" s="13" t="s">
        <v>169</v>
      </c>
      <c r="BT820" s="298" t="str">
        <f>+VLOOKUP(G820,Liste!$A$7:$H$50,8,FALSE)</f>
        <v>Résineux</v>
      </c>
      <c r="BU820" s="298">
        <f t="shared" si="247"/>
        <v>0</v>
      </c>
      <c r="BV820" s="300">
        <f t="shared" si="248"/>
        <v>1</v>
      </c>
      <c r="BW820" s="321">
        <v>0</v>
      </c>
      <c r="BX820" s="298">
        <f t="shared" si="249"/>
        <v>0.43</v>
      </c>
      <c r="BY820">
        <f t="shared" si="250"/>
        <v>0</v>
      </c>
      <c r="BZ820" s="304">
        <f t="shared" si="251"/>
        <v>0</v>
      </c>
      <c r="CB820" s="299">
        <v>0.6</v>
      </c>
      <c r="CC820" s="299">
        <v>0.4</v>
      </c>
      <c r="CD820">
        <f t="shared" si="252"/>
        <v>0</v>
      </c>
      <c r="CE820">
        <f t="shared" si="253"/>
        <v>0</v>
      </c>
      <c r="CF820">
        <f t="shared" si="254"/>
        <v>0</v>
      </c>
      <c r="CG820">
        <f t="shared" si="255"/>
        <v>0</v>
      </c>
      <c r="CH820">
        <f t="shared" si="256"/>
        <v>0</v>
      </c>
      <c r="CI820">
        <f t="shared" si="257"/>
        <v>0</v>
      </c>
      <c r="CJ820">
        <f t="shared" si="258"/>
        <v>0</v>
      </c>
      <c r="CK820">
        <f t="shared" si="259"/>
        <v>0</v>
      </c>
      <c r="CL820">
        <f t="shared" si="260"/>
        <v>0</v>
      </c>
      <c r="CM820">
        <f t="shared" si="262"/>
        <v>0</v>
      </c>
      <c r="CN820">
        <f t="shared" si="261"/>
        <v>0</v>
      </c>
      <c r="CO820">
        <f t="shared" si="245"/>
        <v>0</v>
      </c>
    </row>
    <row r="821" spans="1:93" s="12" customFormat="1" x14ac:dyDescent="0.25">
      <c r="A821" s="4">
        <v>2013</v>
      </c>
      <c r="B821" s="318">
        <v>44265</v>
      </c>
      <c r="C821" s="4" t="s">
        <v>430</v>
      </c>
      <c r="D821" s="4" t="s">
        <v>431</v>
      </c>
      <c r="E821" s="4"/>
      <c r="F821" s="4" t="s">
        <v>1493</v>
      </c>
      <c r="G821" s="5" t="s">
        <v>432</v>
      </c>
      <c r="H821" s="5" t="s">
        <v>185</v>
      </c>
      <c r="I821" s="5" t="s">
        <v>222</v>
      </c>
      <c r="J821" s="5" t="s">
        <v>9</v>
      </c>
      <c r="K821" s="5">
        <v>20</v>
      </c>
      <c r="L821" s="5" t="s">
        <v>191</v>
      </c>
      <c r="M821" s="5">
        <v>2000</v>
      </c>
      <c r="N821" s="5" t="s">
        <v>171</v>
      </c>
      <c r="O821" s="6" t="s">
        <v>81</v>
      </c>
      <c r="P821" s="6" t="s">
        <v>186</v>
      </c>
      <c r="Q821" s="6"/>
      <c r="R821" s="6"/>
      <c r="S821" s="6">
        <v>45</v>
      </c>
      <c r="T821" s="6">
        <v>17.7</v>
      </c>
      <c r="U821" s="6">
        <v>1853</v>
      </c>
      <c r="V821" s="6">
        <v>45.68</v>
      </c>
      <c r="W821" s="6">
        <v>0</v>
      </c>
      <c r="X821" s="6">
        <v>0</v>
      </c>
      <c r="Y821" s="6">
        <v>1079</v>
      </c>
      <c r="Z821" s="6">
        <v>672</v>
      </c>
      <c r="AA821" s="6">
        <v>94</v>
      </c>
      <c r="AB821" s="6">
        <v>8</v>
      </c>
      <c r="AC821" s="7">
        <v>57</v>
      </c>
      <c r="AD821" s="7" t="s">
        <v>52</v>
      </c>
      <c r="AE821" s="9">
        <v>23.102343709851901</v>
      </c>
      <c r="AF821" s="7">
        <v>716</v>
      </c>
      <c r="AG821" s="7">
        <v>35.14</v>
      </c>
      <c r="AH821" s="9">
        <v>24.999174972897499</v>
      </c>
      <c r="AI821" s="9">
        <v>29.863238739463</v>
      </c>
      <c r="AJ821" s="9">
        <v>381.35989615253698</v>
      </c>
      <c r="AK821" s="9">
        <v>382.678887491306</v>
      </c>
      <c r="AL821" s="9">
        <v>447.760628563902</v>
      </c>
      <c r="AM821" s="9" t="s">
        <v>169</v>
      </c>
      <c r="AN821" s="9" t="s">
        <v>169</v>
      </c>
      <c r="AO821" s="9" t="s">
        <v>169</v>
      </c>
      <c r="AP821" s="9" t="s">
        <v>169</v>
      </c>
      <c r="AQ821" s="9" t="s">
        <v>169</v>
      </c>
      <c r="AR821" s="9" t="s">
        <v>169</v>
      </c>
      <c r="AS821" s="8" t="s">
        <v>169</v>
      </c>
      <c r="AT821" s="8" t="s">
        <v>169</v>
      </c>
      <c r="AU821" s="10" t="s">
        <v>169</v>
      </c>
      <c r="AV821" s="10">
        <v>0</v>
      </c>
      <c r="AW821" s="10" t="s">
        <v>169</v>
      </c>
      <c r="AX821" s="10" t="s">
        <v>169</v>
      </c>
      <c r="AY821" s="10"/>
      <c r="AZ821" s="10"/>
      <c r="BA821" s="10"/>
      <c r="BB821" s="8"/>
      <c r="BC821" s="8"/>
      <c r="BD821" s="8"/>
      <c r="BE821" s="8"/>
      <c r="BF821" s="12">
        <v>0.38</v>
      </c>
      <c r="BG821" s="13">
        <v>296.34290933787599</v>
      </c>
      <c r="BH821" s="96" t="str">
        <f>+VLOOKUP(G821,Liste!$A$7:$G$50,3,FALSE)</f>
        <v>Sapin pectiné</v>
      </c>
      <c r="BI821" s="96" t="str">
        <f>+VLOOKUP(H821,Liste!$B$7:$G$50,5,FALSE)</f>
        <v>GS Arc Jurassien</v>
      </c>
      <c r="BJ821" s="135">
        <f t="shared" si="244"/>
        <v>57</v>
      </c>
      <c r="BK821" s="135" t="str">
        <f t="shared" si="246"/>
        <v>Sapin pectiné_F1_Cas général_GS Arc Jurassien_57_</v>
      </c>
      <c r="BL821" s="322"/>
      <c r="BM821" s="13">
        <v>75.040496841462897</v>
      </c>
      <c r="BN821" s="13">
        <v>371.38340617933898</v>
      </c>
      <c r="BO821" s="13" t="s">
        <v>169</v>
      </c>
      <c r="BP821" s="13">
        <v>359.743735612752</v>
      </c>
      <c r="BQ821" s="13" t="s">
        <v>169</v>
      </c>
      <c r="BT821" s="298" t="str">
        <f>+VLOOKUP(G821,Liste!$A$7:$H$50,8,FALSE)</f>
        <v>Résineux</v>
      </c>
      <c r="BU821" s="298">
        <f t="shared" si="247"/>
        <v>0</v>
      </c>
      <c r="BV821" s="300">
        <f t="shared" si="248"/>
        <v>1</v>
      </c>
      <c r="BW821" s="321">
        <v>0</v>
      </c>
      <c r="BX821" s="298">
        <f t="shared" si="249"/>
        <v>0.43</v>
      </c>
      <c r="BY821">
        <f t="shared" si="250"/>
        <v>0</v>
      </c>
      <c r="BZ821" s="304">
        <f t="shared" si="251"/>
        <v>0</v>
      </c>
      <c r="CB821" s="299">
        <v>0.6</v>
      </c>
      <c r="CC821" s="299">
        <v>0.4</v>
      </c>
      <c r="CD821">
        <f t="shared" si="252"/>
        <v>0</v>
      </c>
      <c r="CE821">
        <f t="shared" si="253"/>
        <v>0</v>
      </c>
      <c r="CF821">
        <f t="shared" si="254"/>
        <v>0</v>
      </c>
      <c r="CG821">
        <f t="shared" si="255"/>
        <v>0</v>
      </c>
      <c r="CH821">
        <f t="shared" si="256"/>
        <v>0</v>
      </c>
      <c r="CI821">
        <f t="shared" si="257"/>
        <v>0</v>
      </c>
      <c r="CJ821">
        <f t="shared" si="258"/>
        <v>0</v>
      </c>
      <c r="CK821">
        <f t="shared" si="259"/>
        <v>0</v>
      </c>
      <c r="CL821">
        <f t="shared" si="260"/>
        <v>0</v>
      </c>
      <c r="CM821">
        <f t="shared" si="262"/>
        <v>0</v>
      </c>
      <c r="CN821">
        <f t="shared" si="261"/>
        <v>0</v>
      </c>
      <c r="CO821">
        <f t="shared" si="245"/>
        <v>0</v>
      </c>
    </row>
    <row r="822" spans="1:93" s="12" customFormat="1" x14ac:dyDescent="0.25">
      <c r="A822" s="4">
        <v>2013</v>
      </c>
      <c r="B822" s="318">
        <v>44265</v>
      </c>
      <c r="C822" s="4" t="s">
        <v>430</v>
      </c>
      <c r="D822" s="4" t="s">
        <v>431</v>
      </c>
      <c r="E822" s="4"/>
      <c r="F822" s="4" t="s">
        <v>1493</v>
      </c>
      <c r="G822" s="5" t="s">
        <v>432</v>
      </c>
      <c r="H822" s="5" t="s">
        <v>185</v>
      </c>
      <c r="I822" s="5" t="s">
        <v>222</v>
      </c>
      <c r="J822" s="5" t="s">
        <v>9</v>
      </c>
      <c r="K822" s="5">
        <v>20</v>
      </c>
      <c r="L822" s="5" t="s">
        <v>191</v>
      </c>
      <c r="M822" s="5">
        <v>2000</v>
      </c>
      <c r="N822" s="5" t="s">
        <v>171</v>
      </c>
      <c r="O822" s="6" t="s">
        <v>81</v>
      </c>
      <c r="P822" s="6" t="s">
        <v>186</v>
      </c>
      <c r="Q822" s="6"/>
      <c r="R822" s="6"/>
      <c r="S822" s="6">
        <v>45</v>
      </c>
      <c r="T822" s="6">
        <v>17.7</v>
      </c>
      <c r="U822" s="6">
        <v>1853</v>
      </c>
      <c r="V822" s="6">
        <v>45.68</v>
      </c>
      <c r="W822" s="6">
        <v>0</v>
      </c>
      <c r="X822" s="6">
        <v>0</v>
      </c>
      <c r="Y822" s="6">
        <v>1079</v>
      </c>
      <c r="Z822" s="6">
        <v>672</v>
      </c>
      <c r="AA822" s="6">
        <v>94</v>
      </c>
      <c r="AB822" s="6">
        <v>8</v>
      </c>
      <c r="AC822" s="7">
        <v>58</v>
      </c>
      <c r="AD822" s="7" t="s">
        <v>52</v>
      </c>
      <c r="AE822" s="9">
        <v>23.499092095812301</v>
      </c>
      <c r="AF822" s="7">
        <v>716</v>
      </c>
      <c r="AG822" s="7">
        <v>36.479999999999997</v>
      </c>
      <c r="AH822" s="9">
        <v>25.471501289837899</v>
      </c>
      <c r="AI822" s="9">
        <v>30.423869708439401</v>
      </c>
      <c r="AJ822" s="9">
        <v>402.94858364607899</v>
      </c>
      <c r="AK822" s="9">
        <v>404.34389431436</v>
      </c>
      <c r="AL822" s="9">
        <v>471.39400772586498</v>
      </c>
      <c r="AM822" s="9" t="s">
        <v>169</v>
      </c>
      <c r="AN822" s="9" t="s">
        <v>169</v>
      </c>
      <c r="AO822" s="9" t="s">
        <v>169</v>
      </c>
      <c r="AP822" s="9" t="s">
        <v>169</v>
      </c>
      <c r="AQ822" s="9" t="s">
        <v>169</v>
      </c>
      <c r="AR822" s="9" t="s">
        <v>169</v>
      </c>
      <c r="AS822" s="8" t="s">
        <v>169</v>
      </c>
      <c r="AT822" s="8" t="s">
        <v>169</v>
      </c>
      <c r="AU822" s="10" t="s">
        <v>169</v>
      </c>
      <c r="AV822" s="10">
        <v>0</v>
      </c>
      <c r="AW822" s="10" t="s">
        <v>169</v>
      </c>
      <c r="AX822" s="10" t="s">
        <v>169</v>
      </c>
      <c r="AY822" s="10"/>
      <c r="AZ822" s="10"/>
      <c r="BA822" s="10"/>
      <c r="BB822" s="8"/>
      <c r="BC822" s="8"/>
      <c r="BD822" s="8"/>
      <c r="BE822" s="8"/>
      <c r="BF822" s="12">
        <v>0.38</v>
      </c>
      <c r="BG822" s="13">
        <v>311.98426744656803</v>
      </c>
      <c r="BH822" s="96" t="str">
        <f>+VLOOKUP(G822,Liste!$A$7:$G$50,3,FALSE)</f>
        <v>Sapin pectiné</v>
      </c>
      <c r="BI822" s="96" t="str">
        <f>+VLOOKUP(H822,Liste!$B$7:$G$50,5,FALSE)</f>
        <v>GS Arc Jurassien</v>
      </c>
      <c r="BJ822" s="135">
        <f t="shared" si="244"/>
        <v>58</v>
      </c>
      <c r="BK822" s="135" t="str">
        <f t="shared" si="246"/>
        <v>Sapin pectiné_F1_Cas général_GS Arc Jurassien_58_</v>
      </c>
      <c r="BL822" s="322"/>
      <c r="BM822" s="13">
        <v>78.555611441239094</v>
      </c>
      <c r="BN822" s="13">
        <v>390.53987888780699</v>
      </c>
      <c r="BO822" s="13" t="s">
        <v>169</v>
      </c>
      <c r="BP822" s="13">
        <v>359.743735612752</v>
      </c>
      <c r="BQ822" s="13" t="s">
        <v>169</v>
      </c>
      <c r="BT822" s="298" t="str">
        <f>+VLOOKUP(G822,Liste!$A$7:$H$50,8,FALSE)</f>
        <v>Résineux</v>
      </c>
      <c r="BU822" s="298">
        <f t="shared" si="247"/>
        <v>0</v>
      </c>
      <c r="BV822" s="300">
        <f t="shared" si="248"/>
        <v>1</v>
      </c>
      <c r="BW822" s="321">
        <v>0</v>
      </c>
      <c r="BX822" s="298">
        <f t="shared" si="249"/>
        <v>0.43</v>
      </c>
      <c r="BY822">
        <f t="shared" si="250"/>
        <v>0</v>
      </c>
      <c r="BZ822" s="304">
        <f t="shared" si="251"/>
        <v>0</v>
      </c>
      <c r="CB822" s="299">
        <v>0.6</v>
      </c>
      <c r="CC822" s="299">
        <v>0.4</v>
      </c>
      <c r="CD822">
        <f t="shared" si="252"/>
        <v>0</v>
      </c>
      <c r="CE822">
        <f t="shared" si="253"/>
        <v>0</v>
      </c>
      <c r="CF822">
        <f t="shared" si="254"/>
        <v>0</v>
      </c>
      <c r="CG822">
        <f t="shared" si="255"/>
        <v>0</v>
      </c>
      <c r="CH822">
        <f t="shared" si="256"/>
        <v>0</v>
      </c>
      <c r="CI822">
        <f t="shared" si="257"/>
        <v>0</v>
      </c>
      <c r="CJ822">
        <f t="shared" si="258"/>
        <v>0</v>
      </c>
      <c r="CK822">
        <f t="shared" si="259"/>
        <v>0</v>
      </c>
      <c r="CL822">
        <f t="shared" si="260"/>
        <v>0</v>
      </c>
      <c r="CM822">
        <f t="shared" si="262"/>
        <v>0</v>
      </c>
      <c r="CN822">
        <f t="shared" si="261"/>
        <v>0</v>
      </c>
      <c r="CO822">
        <f t="shared" si="245"/>
        <v>0</v>
      </c>
    </row>
    <row r="823" spans="1:93" s="12" customFormat="1" x14ac:dyDescent="0.25">
      <c r="A823" s="4">
        <v>2013</v>
      </c>
      <c r="B823" s="318">
        <v>44265</v>
      </c>
      <c r="C823" s="4" t="s">
        <v>430</v>
      </c>
      <c r="D823" s="4" t="s">
        <v>431</v>
      </c>
      <c r="E823" s="4"/>
      <c r="F823" s="4" t="s">
        <v>1493</v>
      </c>
      <c r="G823" s="5" t="s">
        <v>432</v>
      </c>
      <c r="H823" s="5" t="s">
        <v>185</v>
      </c>
      <c r="I823" s="5" t="s">
        <v>222</v>
      </c>
      <c r="J823" s="5" t="s">
        <v>9</v>
      </c>
      <c r="K823" s="5">
        <v>20</v>
      </c>
      <c r="L823" s="5" t="s">
        <v>191</v>
      </c>
      <c r="M823" s="5">
        <v>2000</v>
      </c>
      <c r="N823" s="5" t="s">
        <v>171</v>
      </c>
      <c r="O823" s="6" t="s">
        <v>81</v>
      </c>
      <c r="P823" s="6" t="s">
        <v>186</v>
      </c>
      <c r="Q823" s="6"/>
      <c r="R823" s="6"/>
      <c r="S823" s="6">
        <v>45</v>
      </c>
      <c r="T823" s="6">
        <v>17.7</v>
      </c>
      <c r="U823" s="6">
        <v>1853</v>
      </c>
      <c r="V823" s="6">
        <v>45.68</v>
      </c>
      <c r="W823" s="6">
        <v>0</v>
      </c>
      <c r="X823" s="6">
        <v>0</v>
      </c>
      <c r="Y823" s="6">
        <v>1079</v>
      </c>
      <c r="Z823" s="6">
        <v>672</v>
      </c>
      <c r="AA823" s="6">
        <v>94</v>
      </c>
      <c r="AB823" s="6">
        <v>8</v>
      </c>
      <c r="AC823" s="7">
        <v>59</v>
      </c>
      <c r="AD823" s="7" t="s">
        <v>52</v>
      </c>
      <c r="AE823" s="9">
        <v>23.888299467318401</v>
      </c>
      <c r="AF823" s="7">
        <v>716</v>
      </c>
      <c r="AG823" s="7">
        <v>37.81</v>
      </c>
      <c r="AH823" s="9">
        <v>25.930378070687201</v>
      </c>
      <c r="AI823" s="9">
        <v>30.966442031168</v>
      </c>
      <c r="AJ823" s="9">
        <v>424.537271139621</v>
      </c>
      <c r="AK823" s="9">
        <v>426.00890113741298</v>
      </c>
      <c r="AL823" s="9">
        <v>495.02738688782802</v>
      </c>
      <c r="AM823" s="9">
        <v>66.116549504496504</v>
      </c>
      <c r="AN823" s="9">
        <v>1.1206194831270599</v>
      </c>
      <c r="AO823" s="9">
        <v>1.19516465571752</v>
      </c>
      <c r="AP823" s="9">
        <v>783.36387883186103</v>
      </c>
      <c r="AQ823" s="9">
        <v>13.2773538785061</v>
      </c>
      <c r="AR823" s="9">
        <v>21.8093760075968</v>
      </c>
      <c r="AS823" s="8" t="s">
        <v>169</v>
      </c>
      <c r="AT823" s="8" t="s">
        <v>169</v>
      </c>
      <c r="AU823" s="10" t="s">
        <v>169</v>
      </c>
      <c r="AV823" s="10">
        <v>0</v>
      </c>
      <c r="AW823" s="10" t="s">
        <v>169</v>
      </c>
      <c r="AX823" s="10" t="s">
        <v>169</v>
      </c>
      <c r="AY823" s="10"/>
      <c r="AZ823" s="10"/>
      <c r="BA823" s="10"/>
      <c r="BB823" s="8"/>
      <c r="BC823" s="8"/>
      <c r="BD823" s="8"/>
      <c r="BE823" s="8"/>
      <c r="BF823" s="12">
        <v>0.38</v>
      </c>
      <c r="BG823" s="13">
        <v>327.62562555526102</v>
      </c>
      <c r="BH823" s="96" t="str">
        <f>+VLOOKUP(G823,Liste!$A$7:$G$50,3,FALSE)</f>
        <v>Sapin pectiné</v>
      </c>
      <c r="BI823" s="96" t="str">
        <f>+VLOOKUP(H823,Liste!$B$7:$G$50,5,FALSE)</f>
        <v>GS Arc Jurassien</v>
      </c>
      <c r="BJ823" s="135">
        <f t="shared" si="244"/>
        <v>59</v>
      </c>
      <c r="BK823" s="135" t="str">
        <f t="shared" si="246"/>
        <v>Sapin pectiné_F1_Cas général_GS Arc Jurassien_59_</v>
      </c>
      <c r="BL823" s="322"/>
      <c r="BM823" s="13">
        <v>82.070726041015206</v>
      </c>
      <c r="BN823" s="13">
        <v>409.69635159627597</v>
      </c>
      <c r="BO823" s="13" t="s">
        <v>169</v>
      </c>
      <c r="BP823" s="13">
        <v>359.743735612752</v>
      </c>
      <c r="BQ823" s="13">
        <v>17.444005365234901</v>
      </c>
      <c r="BT823" s="298" t="str">
        <f>+VLOOKUP(G823,Liste!$A$7:$H$50,8,FALSE)</f>
        <v>Résineux</v>
      </c>
      <c r="BU823" s="298">
        <f t="shared" si="247"/>
        <v>0</v>
      </c>
      <c r="BV823" s="300">
        <f t="shared" si="248"/>
        <v>1</v>
      </c>
      <c r="BW823" s="321">
        <v>0</v>
      </c>
      <c r="BX823" s="298">
        <f t="shared" si="249"/>
        <v>0.43</v>
      </c>
      <c r="BY823">
        <f t="shared" si="250"/>
        <v>0</v>
      </c>
      <c r="BZ823" s="304">
        <f t="shared" si="251"/>
        <v>0</v>
      </c>
      <c r="CB823" s="299">
        <v>0.6</v>
      </c>
      <c r="CC823" s="299">
        <v>0.4</v>
      </c>
      <c r="CD823">
        <f t="shared" si="252"/>
        <v>0</v>
      </c>
      <c r="CE823">
        <f t="shared" si="253"/>
        <v>0</v>
      </c>
      <c r="CF823">
        <f t="shared" si="254"/>
        <v>0</v>
      </c>
      <c r="CG823">
        <f t="shared" si="255"/>
        <v>0</v>
      </c>
      <c r="CH823">
        <f t="shared" si="256"/>
        <v>0</v>
      </c>
      <c r="CI823">
        <f t="shared" si="257"/>
        <v>0</v>
      </c>
      <c r="CJ823">
        <f t="shared" si="258"/>
        <v>0</v>
      </c>
      <c r="CK823">
        <f t="shared" si="259"/>
        <v>0</v>
      </c>
      <c r="CL823">
        <f t="shared" si="260"/>
        <v>0</v>
      </c>
      <c r="CM823">
        <f t="shared" si="262"/>
        <v>0</v>
      </c>
      <c r="CN823">
        <f t="shared" si="261"/>
        <v>0</v>
      </c>
      <c r="CO823">
        <f t="shared" si="245"/>
        <v>0</v>
      </c>
    </row>
    <row r="824" spans="1:93" s="12" customFormat="1" x14ac:dyDescent="0.25">
      <c r="A824" s="4">
        <v>2013</v>
      </c>
      <c r="B824" s="318">
        <v>44265</v>
      </c>
      <c r="C824" s="4" t="s">
        <v>430</v>
      </c>
      <c r="D824" s="4" t="s">
        <v>431</v>
      </c>
      <c r="E824" s="4"/>
      <c r="F824" s="4" t="s">
        <v>1493</v>
      </c>
      <c r="G824" s="5" t="s">
        <v>432</v>
      </c>
      <c r="H824" s="5" t="s">
        <v>185</v>
      </c>
      <c r="I824" s="5" t="s">
        <v>222</v>
      </c>
      <c r="J824" s="5" t="s">
        <v>9</v>
      </c>
      <c r="K824" s="5">
        <v>20</v>
      </c>
      <c r="L824" s="5" t="s">
        <v>191</v>
      </c>
      <c r="M824" s="5">
        <v>2000</v>
      </c>
      <c r="N824" s="5" t="s">
        <v>171</v>
      </c>
      <c r="O824" s="6" t="s">
        <v>81</v>
      </c>
      <c r="P824" s="6" t="s">
        <v>186</v>
      </c>
      <c r="Q824" s="6"/>
      <c r="R824" s="6"/>
      <c r="S824" s="6">
        <v>45</v>
      </c>
      <c r="T824" s="6">
        <v>17.7</v>
      </c>
      <c r="U824" s="6">
        <v>1853</v>
      </c>
      <c r="V824" s="6">
        <v>45.68</v>
      </c>
      <c r="W824" s="6">
        <v>0</v>
      </c>
      <c r="X824" s="6">
        <v>0</v>
      </c>
      <c r="Y824" s="6">
        <v>1079</v>
      </c>
      <c r="Z824" s="6">
        <v>672</v>
      </c>
      <c r="AA824" s="6">
        <v>94</v>
      </c>
      <c r="AB824" s="6">
        <v>8</v>
      </c>
      <c r="AC824" s="7">
        <v>59</v>
      </c>
      <c r="AD824" s="7" t="s">
        <v>53</v>
      </c>
      <c r="AE824" s="9">
        <v>23.888299467318401</v>
      </c>
      <c r="AF824" s="7">
        <v>513</v>
      </c>
      <c r="AG824" s="7">
        <v>28.33</v>
      </c>
      <c r="AH824" s="9">
        <v>26.518038945588302</v>
      </c>
      <c r="AI824" s="9">
        <v>30.726209898679599</v>
      </c>
      <c r="AJ824" s="9">
        <v>320.05693231631801</v>
      </c>
      <c r="AK824" s="9">
        <v>321.21112796470499</v>
      </c>
      <c r="AL824" s="9">
        <v>372.93809956024199</v>
      </c>
      <c r="AM824" s="9">
        <v>66.116549504496504</v>
      </c>
      <c r="AN824" s="9">
        <v>1.1206194831270599</v>
      </c>
      <c r="AO824" s="9">
        <v>1.19516465571752</v>
      </c>
      <c r="AP824" s="9">
        <v>783.36387883186103</v>
      </c>
      <c r="AQ824" s="9">
        <v>13.2773538785061</v>
      </c>
      <c r="AR824" s="9">
        <v>21.8093760075968</v>
      </c>
      <c r="AS824" s="8">
        <v>203</v>
      </c>
      <c r="AT824" s="8">
        <v>9.480000000000004</v>
      </c>
      <c r="AU824" s="10">
        <v>24.384351442581721</v>
      </c>
      <c r="AV824" s="10">
        <v>104.48033882330299</v>
      </c>
      <c r="AW824" s="10">
        <v>0.88431037476848651</v>
      </c>
      <c r="AX824" s="10">
        <v>0.51468147203597525</v>
      </c>
      <c r="AY824" s="10"/>
      <c r="AZ824" s="10"/>
      <c r="BA824" s="10"/>
      <c r="BB824" s="8"/>
      <c r="BC824" s="8"/>
      <c r="BD824" s="8"/>
      <c r="BE824" s="8"/>
      <c r="BF824" s="12">
        <v>0.38</v>
      </c>
      <c r="BG824" s="13">
        <v>246.82286555895399</v>
      </c>
      <c r="BH824" s="96" t="str">
        <f>+VLOOKUP(G824,Liste!$A$7:$G$50,3,FALSE)</f>
        <v>Sapin pectiné</v>
      </c>
      <c r="BI824" s="96" t="str">
        <f>+VLOOKUP(H824,Liste!$B$7:$G$50,5,FALSE)</f>
        <v>GS Arc Jurassien</v>
      </c>
      <c r="BJ824" s="135">
        <f t="shared" si="244"/>
        <v>59</v>
      </c>
      <c r="BK824" s="135" t="str">
        <f t="shared" si="246"/>
        <v>Sapin pectiné_F1_Cas général_GS Arc Jurassien_59_</v>
      </c>
      <c r="BL824" s="322"/>
      <c r="BM824" s="13">
        <v>63.901657946721798</v>
      </c>
      <c r="BN824" s="13">
        <v>310.72452350567499</v>
      </c>
      <c r="BO824" s="13">
        <v>98.97182809060098</v>
      </c>
      <c r="BP824" s="13">
        <v>359.743735612752</v>
      </c>
      <c r="BQ824" s="13">
        <v>17.444005365234901</v>
      </c>
      <c r="BT824" s="298" t="str">
        <f>+VLOOKUP(G824,Liste!$A$7:$H$50,8,FALSE)</f>
        <v>Résineux</v>
      </c>
      <c r="BU824" s="298">
        <f t="shared" si="247"/>
        <v>0</v>
      </c>
      <c r="BV824" s="300">
        <f t="shared" si="248"/>
        <v>1</v>
      </c>
      <c r="BW824" s="321">
        <v>0</v>
      </c>
      <c r="BX824" s="298">
        <f t="shared" si="249"/>
        <v>0.43</v>
      </c>
      <c r="BY824">
        <f t="shared" si="250"/>
        <v>0</v>
      </c>
      <c r="BZ824" s="304">
        <f t="shared" si="251"/>
        <v>0</v>
      </c>
      <c r="CB824" s="299">
        <v>0.6</v>
      </c>
      <c r="CC824" s="299">
        <v>0.4</v>
      </c>
      <c r="CD824">
        <f t="shared" si="252"/>
        <v>0</v>
      </c>
      <c r="CE824">
        <f t="shared" si="253"/>
        <v>0</v>
      </c>
      <c r="CF824">
        <f t="shared" si="254"/>
        <v>0</v>
      </c>
      <c r="CG824">
        <f t="shared" si="255"/>
        <v>0</v>
      </c>
      <c r="CH824">
        <f t="shared" si="256"/>
        <v>0</v>
      </c>
      <c r="CI824">
        <f t="shared" si="257"/>
        <v>0</v>
      </c>
      <c r="CJ824">
        <f t="shared" si="258"/>
        <v>0</v>
      </c>
      <c r="CK824">
        <f t="shared" si="259"/>
        <v>0</v>
      </c>
      <c r="CL824">
        <f t="shared" si="260"/>
        <v>0</v>
      </c>
      <c r="CM824">
        <f t="shared" si="262"/>
        <v>0</v>
      </c>
      <c r="CN824">
        <f t="shared" si="261"/>
        <v>0</v>
      </c>
      <c r="CO824">
        <f t="shared" si="245"/>
        <v>0</v>
      </c>
    </row>
    <row r="825" spans="1:93" s="12" customFormat="1" x14ac:dyDescent="0.25">
      <c r="A825" s="4">
        <v>2013</v>
      </c>
      <c r="B825" s="318">
        <v>44265</v>
      </c>
      <c r="C825" s="4" t="s">
        <v>430</v>
      </c>
      <c r="D825" s="4" t="s">
        <v>431</v>
      </c>
      <c r="E825" s="4"/>
      <c r="F825" s="4" t="s">
        <v>1493</v>
      </c>
      <c r="G825" s="5" t="s">
        <v>432</v>
      </c>
      <c r="H825" s="5" t="s">
        <v>185</v>
      </c>
      <c r="I825" s="5" t="s">
        <v>222</v>
      </c>
      <c r="J825" s="5" t="s">
        <v>9</v>
      </c>
      <c r="K825" s="5">
        <v>20</v>
      </c>
      <c r="L825" s="5" t="s">
        <v>191</v>
      </c>
      <c r="M825" s="5">
        <v>2000</v>
      </c>
      <c r="N825" s="5" t="s">
        <v>171</v>
      </c>
      <c r="O825" s="6" t="s">
        <v>81</v>
      </c>
      <c r="P825" s="6" t="s">
        <v>186</v>
      </c>
      <c r="Q825" s="6"/>
      <c r="R825" s="6"/>
      <c r="S825" s="6">
        <v>45</v>
      </c>
      <c r="T825" s="6">
        <v>17.7</v>
      </c>
      <c r="U825" s="6">
        <v>1853</v>
      </c>
      <c r="V825" s="6">
        <v>45.68</v>
      </c>
      <c r="W825" s="6">
        <v>0</v>
      </c>
      <c r="X825" s="6">
        <v>0</v>
      </c>
      <c r="Y825" s="6">
        <v>1079</v>
      </c>
      <c r="Z825" s="6">
        <v>672</v>
      </c>
      <c r="AA825" s="6">
        <v>94</v>
      </c>
      <c r="AB825" s="6">
        <v>8</v>
      </c>
      <c r="AC825" s="7">
        <v>60</v>
      </c>
      <c r="AD825" s="7" t="s">
        <v>52</v>
      </c>
      <c r="AE825" s="9">
        <v>24.270112923374899</v>
      </c>
      <c r="AF825" s="7">
        <v>513</v>
      </c>
      <c r="AG825" s="7">
        <v>29.55</v>
      </c>
      <c r="AH825" s="9">
        <v>27.079675238091198</v>
      </c>
      <c r="AI825" s="9">
        <v>31.368074395576699</v>
      </c>
      <c r="AJ825" s="9">
        <v>340.08511310128398</v>
      </c>
      <c r="AK825" s="9">
        <v>341.31428617119798</v>
      </c>
      <c r="AL825" s="9">
        <v>394.74747556783899</v>
      </c>
      <c r="AM825" s="9" t="s">
        <v>169</v>
      </c>
      <c r="AN825" s="9" t="s">
        <v>169</v>
      </c>
      <c r="AO825" s="9" t="s">
        <v>169</v>
      </c>
      <c r="AP825" s="9" t="s">
        <v>169</v>
      </c>
      <c r="AQ825" s="9" t="s">
        <v>169</v>
      </c>
      <c r="AR825" s="9" t="s">
        <v>169</v>
      </c>
      <c r="AS825" s="8" t="s">
        <v>169</v>
      </c>
      <c r="AT825" s="8" t="s">
        <v>169</v>
      </c>
      <c r="AU825" s="10" t="s">
        <v>169</v>
      </c>
      <c r="AV825" s="10">
        <v>0</v>
      </c>
      <c r="AW825" s="10" t="s">
        <v>169</v>
      </c>
      <c r="AX825" s="10" t="s">
        <v>169</v>
      </c>
      <c r="AY825" s="10"/>
      <c r="AZ825" s="10"/>
      <c r="BA825" s="10"/>
      <c r="BB825" s="8"/>
      <c r="BC825" s="8"/>
      <c r="BD825" s="8"/>
      <c r="BE825" s="8"/>
      <c r="BF825" s="12">
        <v>0.38</v>
      </c>
      <c r="BG825" s="13">
        <v>261.25703757998099</v>
      </c>
      <c r="BH825" s="96" t="str">
        <f>+VLOOKUP(G825,Liste!$A$7:$G$50,3,FALSE)</f>
        <v>Sapin pectiné</v>
      </c>
      <c r="BI825" s="96" t="str">
        <f>+VLOOKUP(H825,Liste!$B$7:$G$50,5,FALSE)</f>
        <v>GS Arc Jurassien</v>
      </c>
      <c r="BJ825" s="135">
        <f t="shared" si="244"/>
        <v>60</v>
      </c>
      <c r="BK825" s="135" t="str">
        <f t="shared" si="246"/>
        <v>Sapin pectiné_F1_Cas général_GS Arc Jurassien_60_</v>
      </c>
      <c r="BL825" s="322"/>
      <c r="BM825" s="13">
        <v>67.162173294459606</v>
      </c>
      <c r="BN825" s="13">
        <v>328.41921087444098</v>
      </c>
      <c r="BO825" s="13" t="s">
        <v>169</v>
      </c>
      <c r="BP825" s="13">
        <v>359.743735612752</v>
      </c>
      <c r="BQ825" s="13" t="s">
        <v>169</v>
      </c>
      <c r="BT825" s="298" t="str">
        <f>+VLOOKUP(G825,Liste!$A$7:$H$50,8,FALSE)</f>
        <v>Résineux</v>
      </c>
      <c r="BU825" s="298">
        <f t="shared" si="247"/>
        <v>0</v>
      </c>
      <c r="BV825" s="300">
        <f t="shared" si="248"/>
        <v>1</v>
      </c>
      <c r="BW825" s="321">
        <v>0</v>
      </c>
      <c r="BX825" s="298">
        <f t="shared" si="249"/>
        <v>0.43</v>
      </c>
      <c r="BY825">
        <f t="shared" si="250"/>
        <v>0</v>
      </c>
      <c r="BZ825" s="304">
        <f t="shared" si="251"/>
        <v>0</v>
      </c>
      <c r="CB825" s="299">
        <v>0.6</v>
      </c>
      <c r="CC825" s="299">
        <v>0.4</v>
      </c>
      <c r="CD825">
        <f t="shared" si="252"/>
        <v>0</v>
      </c>
      <c r="CE825">
        <f t="shared" si="253"/>
        <v>0</v>
      </c>
      <c r="CF825">
        <f t="shared" si="254"/>
        <v>0</v>
      </c>
      <c r="CG825">
        <f t="shared" si="255"/>
        <v>0</v>
      </c>
      <c r="CH825">
        <f t="shared" si="256"/>
        <v>0</v>
      </c>
      <c r="CI825">
        <f t="shared" si="257"/>
        <v>0</v>
      </c>
      <c r="CJ825">
        <f t="shared" si="258"/>
        <v>0</v>
      </c>
      <c r="CK825">
        <f t="shared" si="259"/>
        <v>0</v>
      </c>
      <c r="CL825">
        <f t="shared" si="260"/>
        <v>0</v>
      </c>
      <c r="CM825">
        <f t="shared" si="262"/>
        <v>0</v>
      </c>
      <c r="CN825">
        <f t="shared" si="261"/>
        <v>0</v>
      </c>
      <c r="CO825">
        <f t="shared" si="245"/>
        <v>0</v>
      </c>
    </row>
    <row r="826" spans="1:93" s="12" customFormat="1" x14ac:dyDescent="0.25">
      <c r="A826" s="4">
        <v>2013</v>
      </c>
      <c r="B826" s="318">
        <v>44265</v>
      </c>
      <c r="C826" s="4" t="s">
        <v>430</v>
      </c>
      <c r="D826" s="4" t="s">
        <v>431</v>
      </c>
      <c r="E826" s="4"/>
      <c r="F826" s="4" t="s">
        <v>1493</v>
      </c>
      <c r="G826" s="5" t="s">
        <v>432</v>
      </c>
      <c r="H826" s="5" t="s">
        <v>185</v>
      </c>
      <c r="I826" s="5" t="s">
        <v>222</v>
      </c>
      <c r="J826" s="5" t="s">
        <v>9</v>
      </c>
      <c r="K826" s="5">
        <v>20</v>
      </c>
      <c r="L826" s="5" t="s">
        <v>191</v>
      </c>
      <c r="M826" s="5">
        <v>2000</v>
      </c>
      <c r="N826" s="5" t="s">
        <v>171</v>
      </c>
      <c r="O826" s="6" t="s">
        <v>81</v>
      </c>
      <c r="P826" s="6" t="s">
        <v>186</v>
      </c>
      <c r="Q826" s="6"/>
      <c r="R826" s="6"/>
      <c r="S826" s="6">
        <v>45</v>
      </c>
      <c r="T826" s="6">
        <v>17.7</v>
      </c>
      <c r="U826" s="6">
        <v>1853</v>
      </c>
      <c r="V826" s="6">
        <v>45.68</v>
      </c>
      <c r="W826" s="6">
        <v>0</v>
      </c>
      <c r="X826" s="6">
        <v>0</v>
      </c>
      <c r="Y826" s="6">
        <v>1079</v>
      </c>
      <c r="Z826" s="6">
        <v>672</v>
      </c>
      <c r="AA826" s="6">
        <v>94</v>
      </c>
      <c r="AB826" s="6">
        <v>8</v>
      </c>
      <c r="AC826" s="7">
        <v>61</v>
      </c>
      <c r="AD826" s="7" t="s">
        <v>52</v>
      </c>
      <c r="AE826" s="9">
        <v>24.6446804446574</v>
      </c>
      <c r="AF826" s="7">
        <v>513</v>
      </c>
      <c r="AG826" s="7">
        <v>30.75</v>
      </c>
      <c r="AH826" s="9">
        <v>27.624720252330501</v>
      </c>
      <c r="AI826" s="9">
        <v>31.988685241654</v>
      </c>
      <c r="AJ826" s="9">
        <v>360.11329388625097</v>
      </c>
      <c r="AK826" s="9">
        <v>361.41744437769</v>
      </c>
      <c r="AL826" s="9">
        <v>416.55685157543599</v>
      </c>
      <c r="AM826" s="9" t="s">
        <v>169</v>
      </c>
      <c r="AN826" s="9" t="s">
        <v>169</v>
      </c>
      <c r="AO826" s="9" t="s">
        <v>169</v>
      </c>
      <c r="AP826" s="9" t="s">
        <v>169</v>
      </c>
      <c r="AQ826" s="9" t="s">
        <v>169</v>
      </c>
      <c r="AR826" s="9" t="s">
        <v>169</v>
      </c>
      <c r="AS826" s="8" t="s">
        <v>169</v>
      </c>
      <c r="AT826" s="8" t="s">
        <v>169</v>
      </c>
      <c r="AU826" s="10" t="s">
        <v>169</v>
      </c>
      <c r="AV826" s="10">
        <v>0</v>
      </c>
      <c r="AW826" s="10" t="s">
        <v>169</v>
      </c>
      <c r="AX826" s="10" t="s">
        <v>169</v>
      </c>
      <c r="AY826" s="10"/>
      <c r="AZ826" s="10"/>
      <c r="BA826" s="10"/>
      <c r="BB826" s="8"/>
      <c r="BC826" s="8"/>
      <c r="BD826" s="8"/>
      <c r="BE826" s="8"/>
      <c r="BF826" s="12">
        <v>0.38</v>
      </c>
      <c r="BG826" s="13">
        <v>275.69120960100901</v>
      </c>
      <c r="BH826" s="96" t="str">
        <f>+VLOOKUP(G826,Liste!$A$7:$G$50,3,FALSE)</f>
        <v>Sapin pectiné</v>
      </c>
      <c r="BI826" s="96" t="str">
        <f>+VLOOKUP(H826,Liste!$B$7:$G$50,5,FALSE)</f>
        <v>GS Arc Jurassien</v>
      </c>
      <c r="BJ826" s="135">
        <f t="shared" si="244"/>
        <v>61</v>
      </c>
      <c r="BK826" s="135" t="str">
        <f t="shared" si="246"/>
        <v>Sapin pectiné_F1_Cas général_GS Arc Jurassien_61_</v>
      </c>
      <c r="BL826" s="322"/>
      <c r="BM826" s="13">
        <v>70.4226886421974</v>
      </c>
      <c r="BN826" s="13">
        <v>346.11389824320702</v>
      </c>
      <c r="BO826" s="13" t="s">
        <v>169</v>
      </c>
      <c r="BP826" s="13">
        <v>359.743735612752</v>
      </c>
      <c r="BQ826" s="13" t="s">
        <v>169</v>
      </c>
      <c r="BT826" s="298" t="str">
        <f>+VLOOKUP(G826,Liste!$A$7:$H$50,8,FALSE)</f>
        <v>Résineux</v>
      </c>
      <c r="BU826" s="298">
        <f t="shared" si="247"/>
        <v>0</v>
      </c>
      <c r="BV826" s="300">
        <f t="shared" si="248"/>
        <v>1</v>
      </c>
      <c r="BW826" s="321">
        <v>0</v>
      </c>
      <c r="BX826" s="298">
        <f t="shared" si="249"/>
        <v>0.43</v>
      </c>
      <c r="BY826">
        <f t="shared" si="250"/>
        <v>0</v>
      </c>
      <c r="BZ826" s="304">
        <f t="shared" si="251"/>
        <v>0</v>
      </c>
      <c r="CB826" s="299">
        <v>0.6</v>
      </c>
      <c r="CC826" s="299">
        <v>0.4</v>
      </c>
      <c r="CD826">
        <f t="shared" si="252"/>
        <v>0</v>
      </c>
      <c r="CE826">
        <f t="shared" si="253"/>
        <v>0</v>
      </c>
      <c r="CF826">
        <f t="shared" si="254"/>
        <v>0</v>
      </c>
      <c r="CG826">
        <f t="shared" si="255"/>
        <v>0</v>
      </c>
      <c r="CH826">
        <f t="shared" si="256"/>
        <v>0</v>
      </c>
      <c r="CI826">
        <f t="shared" si="257"/>
        <v>0</v>
      </c>
      <c r="CJ826">
        <f t="shared" si="258"/>
        <v>0</v>
      </c>
      <c r="CK826">
        <f t="shared" si="259"/>
        <v>0</v>
      </c>
      <c r="CL826">
        <f t="shared" si="260"/>
        <v>0</v>
      </c>
      <c r="CM826">
        <f t="shared" si="262"/>
        <v>0</v>
      </c>
      <c r="CN826">
        <f t="shared" si="261"/>
        <v>0</v>
      </c>
      <c r="CO826">
        <f t="shared" si="245"/>
        <v>0</v>
      </c>
    </row>
    <row r="827" spans="1:93" s="12" customFormat="1" x14ac:dyDescent="0.25">
      <c r="A827" s="4">
        <v>2013</v>
      </c>
      <c r="B827" s="318">
        <v>44265</v>
      </c>
      <c r="C827" s="4" t="s">
        <v>430</v>
      </c>
      <c r="D827" s="4" t="s">
        <v>431</v>
      </c>
      <c r="E827" s="4"/>
      <c r="F827" s="4" t="s">
        <v>1493</v>
      </c>
      <c r="G827" s="5" t="s">
        <v>432</v>
      </c>
      <c r="H827" s="5" t="s">
        <v>185</v>
      </c>
      <c r="I827" s="5" t="s">
        <v>222</v>
      </c>
      <c r="J827" s="5" t="s">
        <v>9</v>
      </c>
      <c r="K827" s="5">
        <v>20</v>
      </c>
      <c r="L827" s="5" t="s">
        <v>191</v>
      </c>
      <c r="M827" s="5">
        <v>2000</v>
      </c>
      <c r="N827" s="5" t="s">
        <v>171</v>
      </c>
      <c r="O827" s="6" t="s">
        <v>81</v>
      </c>
      <c r="P827" s="6" t="s">
        <v>186</v>
      </c>
      <c r="Q827" s="6"/>
      <c r="R827" s="6"/>
      <c r="S827" s="6">
        <v>45</v>
      </c>
      <c r="T827" s="6">
        <v>17.7</v>
      </c>
      <c r="U827" s="6">
        <v>1853</v>
      </c>
      <c r="V827" s="6">
        <v>45.68</v>
      </c>
      <c r="W827" s="6">
        <v>0</v>
      </c>
      <c r="X827" s="6">
        <v>0</v>
      </c>
      <c r="Y827" s="6">
        <v>1079</v>
      </c>
      <c r="Z827" s="6">
        <v>672</v>
      </c>
      <c r="AA827" s="6">
        <v>94</v>
      </c>
      <c r="AB827" s="6">
        <v>8</v>
      </c>
      <c r="AC827" s="7">
        <v>62</v>
      </c>
      <c r="AD827" s="7" t="s">
        <v>52</v>
      </c>
      <c r="AE827" s="9">
        <v>25.012150292465499</v>
      </c>
      <c r="AF827" s="7">
        <v>513</v>
      </c>
      <c r="AG827" s="7">
        <v>31.94</v>
      </c>
      <c r="AH827" s="9">
        <v>28.1539533550595</v>
      </c>
      <c r="AI827" s="9">
        <v>32.589192677329102</v>
      </c>
      <c r="AJ827" s="9">
        <v>380.141474671217</v>
      </c>
      <c r="AK827" s="9">
        <v>381.520602584183</v>
      </c>
      <c r="AL827" s="9">
        <v>438.36622758303201</v>
      </c>
      <c r="AM827" s="9" t="s">
        <v>169</v>
      </c>
      <c r="AN827" s="9" t="s">
        <v>169</v>
      </c>
      <c r="AO827" s="9" t="s">
        <v>169</v>
      </c>
      <c r="AP827" s="9" t="s">
        <v>169</v>
      </c>
      <c r="AQ827" s="9" t="s">
        <v>169</v>
      </c>
      <c r="AR827" s="9" t="s">
        <v>169</v>
      </c>
      <c r="AS827" s="8" t="s">
        <v>169</v>
      </c>
      <c r="AT827" s="8" t="s">
        <v>169</v>
      </c>
      <c r="AU827" s="10" t="s">
        <v>169</v>
      </c>
      <c r="AV827" s="10">
        <v>0</v>
      </c>
      <c r="AW827" s="10" t="s">
        <v>169</v>
      </c>
      <c r="AX827" s="10" t="s">
        <v>169</v>
      </c>
      <c r="AY827" s="10"/>
      <c r="AZ827" s="10"/>
      <c r="BA827" s="10"/>
      <c r="BB827" s="8"/>
      <c r="BC827" s="8"/>
      <c r="BD827" s="8"/>
      <c r="BE827" s="8"/>
      <c r="BF827" s="12">
        <v>0.38</v>
      </c>
      <c r="BG827" s="13">
        <v>290.12538162203703</v>
      </c>
      <c r="BH827" s="96" t="str">
        <f>+VLOOKUP(G827,Liste!$A$7:$G$50,3,FALSE)</f>
        <v>Sapin pectiné</v>
      </c>
      <c r="BI827" s="96" t="str">
        <f>+VLOOKUP(H827,Liste!$B$7:$G$50,5,FALSE)</f>
        <v>GS Arc Jurassien</v>
      </c>
      <c r="BJ827" s="135">
        <f t="shared" si="244"/>
        <v>62</v>
      </c>
      <c r="BK827" s="135" t="str">
        <f t="shared" si="246"/>
        <v>Sapin pectiné_F1_Cas général_GS Arc Jurassien_62_</v>
      </c>
      <c r="BL827" s="322"/>
      <c r="BM827" s="13">
        <v>73.683203989935194</v>
      </c>
      <c r="BN827" s="13">
        <v>363.80858561197198</v>
      </c>
      <c r="BO827" s="13" t="s">
        <v>169</v>
      </c>
      <c r="BP827" s="13">
        <v>359.743735612752</v>
      </c>
      <c r="BQ827" s="13" t="s">
        <v>169</v>
      </c>
      <c r="BT827" s="298" t="str">
        <f>+VLOOKUP(G827,Liste!$A$7:$H$50,8,FALSE)</f>
        <v>Résineux</v>
      </c>
      <c r="BU827" s="298">
        <f t="shared" si="247"/>
        <v>0</v>
      </c>
      <c r="BV827" s="300">
        <f t="shared" si="248"/>
        <v>1</v>
      </c>
      <c r="BW827" s="321">
        <v>0</v>
      </c>
      <c r="BX827" s="298">
        <f t="shared" si="249"/>
        <v>0.43</v>
      </c>
      <c r="BY827">
        <f t="shared" si="250"/>
        <v>0</v>
      </c>
      <c r="BZ827" s="304">
        <f t="shared" si="251"/>
        <v>0</v>
      </c>
      <c r="CB827" s="299">
        <v>0.6</v>
      </c>
      <c r="CC827" s="299">
        <v>0.4</v>
      </c>
      <c r="CD827">
        <f t="shared" si="252"/>
        <v>0</v>
      </c>
      <c r="CE827">
        <f t="shared" si="253"/>
        <v>0</v>
      </c>
      <c r="CF827">
        <f t="shared" si="254"/>
        <v>0</v>
      </c>
      <c r="CG827">
        <f t="shared" si="255"/>
        <v>0</v>
      </c>
      <c r="CH827">
        <f t="shared" si="256"/>
        <v>0</v>
      </c>
      <c r="CI827">
        <f t="shared" si="257"/>
        <v>0</v>
      </c>
      <c r="CJ827">
        <f t="shared" si="258"/>
        <v>0</v>
      </c>
      <c r="CK827">
        <f t="shared" si="259"/>
        <v>0</v>
      </c>
      <c r="CL827">
        <f t="shared" si="260"/>
        <v>0</v>
      </c>
      <c r="CM827">
        <f t="shared" si="262"/>
        <v>0</v>
      </c>
      <c r="CN827">
        <f t="shared" si="261"/>
        <v>0</v>
      </c>
      <c r="CO827">
        <f t="shared" si="245"/>
        <v>0</v>
      </c>
    </row>
    <row r="828" spans="1:93" s="12" customFormat="1" x14ac:dyDescent="0.25">
      <c r="A828" s="4">
        <v>2013</v>
      </c>
      <c r="B828" s="318">
        <v>44265</v>
      </c>
      <c r="C828" s="4" t="s">
        <v>430</v>
      </c>
      <c r="D828" s="4" t="s">
        <v>431</v>
      </c>
      <c r="E828" s="4"/>
      <c r="F828" s="4" t="s">
        <v>1493</v>
      </c>
      <c r="G828" s="5" t="s">
        <v>432</v>
      </c>
      <c r="H828" s="5" t="s">
        <v>185</v>
      </c>
      <c r="I828" s="5" t="s">
        <v>222</v>
      </c>
      <c r="J828" s="5" t="s">
        <v>9</v>
      </c>
      <c r="K828" s="5">
        <v>20</v>
      </c>
      <c r="L828" s="5" t="s">
        <v>191</v>
      </c>
      <c r="M828" s="5">
        <v>2000</v>
      </c>
      <c r="N828" s="5" t="s">
        <v>171</v>
      </c>
      <c r="O828" s="6" t="s">
        <v>81</v>
      </c>
      <c r="P828" s="6" t="s">
        <v>186</v>
      </c>
      <c r="Q828" s="6"/>
      <c r="R828" s="6"/>
      <c r="S828" s="6">
        <v>45</v>
      </c>
      <c r="T828" s="6">
        <v>17.7</v>
      </c>
      <c r="U828" s="6">
        <v>1853</v>
      </c>
      <c r="V828" s="6">
        <v>45.68</v>
      </c>
      <c r="W828" s="6">
        <v>0</v>
      </c>
      <c r="X828" s="6">
        <v>0</v>
      </c>
      <c r="Y828" s="6">
        <v>1079</v>
      </c>
      <c r="Z828" s="6">
        <v>672</v>
      </c>
      <c r="AA828" s="6">
        <v>94</v>
      </c>
      <c r="AB828" s="6">
        <v>8</v>
      </c>
      <c r="AC828" s="7">
        <v>63</v>
      </c>
      <c r="AD828" s="7" t="s">
        <v>52</v>
      </c>
      <c r="AE828" s="9">
        <v>25.372670491208599</v>
      </c>
      <c r="AF828" s="7">
        <v>513</v>
      </c>
      <c r="AG828" s="7">
        <v>33.11</v>
      </c>
      <c r="AH828" s="9">
        <v>28.668098492302601</v>
      </c>
      <c r="AI828" s="9">
        <v>33.170657227691798</v>
      </c>
      <c r="AJ828" s="9">
        <v>400.16965545618302</v>
      </c>
      <c r="AK828" s="9">
        <v>401.62376079067502</v>
      </c>
      <c r="AL828" s="9">
        <v>460.17560359062901</v>
      </c>
      <c r="AM828" s="9">
        <v>70.897208127366596</v>
      </c>
      <c r="AN828" s="9">
        <v>1.1253525099582</v>
      </c>
      <c r="AO828" s="9">
        <v>1.1450954411462599</v>
      </c>
      <c r="AP828" s="9">
        <v>870.60138286224901</v>
      </c>
      <c r="AQ828" s="9">
        <v>13.819069569242</v>
      </c>
      <c r="AR828" s="9">
        <v>22.125289824407599</v>
      </c>
      <c r="AS828" s="8" t="s">
        <v>169</v>
      </c>
      <c r="AT828" s="8" t="s">
        <v>169</v>
      </c>
      <c r="AU828" s="10" t="s">
        <v>169</v>
      </c>
      <c r="AV828" s="10">
        <v>0</v>
      </c>
      <c r="AW828" s="10" t="s">
        <v>169</v>
      </c>
      <c r="AX828" s="10" t="s">
        <v>169</v>
      </c>
      <c r="AY828" s="10"/>
      <c r="AZ828" s="10"/>
      <c r="BA828" s="10"/>
      <c r="BB828" s="8"/>
      <c r="BC828" s="8"/>
      <c r="BD828" s="8"/>
      <c r="BE828" s="8"/>
      <c r="BF828" s="12">
        <v>0.38</v>
      </c>
      <c r="BG828" s="13">
        <v>304.55955364306499</v>
      </c>
      <c r="BH828" s="96" t="str">
        <f>+VLOOKUP(G828,Liste!$A$7:$G$50,3,FALSE)</f>
        <v>Sapin pectiné</v>
      </c>
      <c r="BI828" s="96" t="str">
        <f>+VLOOKUP(H828,Liste!$B$7:$G$50,5,FALSE)</f>
        <v>GS Arc Jurassien</v>
      </c>
      <c r="BJ828" s="135">
        <f t="shared" si="244"/>
        <v>63</v>
      </c>
      <c r="BK828" s="135" t="str">
        <f t="shared" si="246"/>
        <v>Sapin pectiné_F1_Cas général_GS Arc Jurassien_63_</v>
      </c>
      <c r="BL828" s="322"/>
      <c r="BM828" s="13">
        <v>76.943719337673002</v>
      </c>
      <c r="BN828" s="13">
        <v>381.50327298073802</v>
      </c>
      <c r="BO828" s="13" t="s">
        <v>169</v>
      </c>
      <c r="BP828" s="13">
        <v>359.743735612752</v>
      </c>
      <c r="BQ828" s="13">
        <v>17.660977177126099</v>
      </c>
      <c r="BT828" s="298" t="str">
        <f>+VLOOKUP(G828,Liste!$A$7:$H$50,8,FALSE)</f>
        <v>Résineux</v>
      </c>
      <c r="BU828" s="298">
        <f t="shared" si="247"/>
        <v>0</v>
      </c>
      <c r="BV828" s="300">
        <f t="shared" si="248"/>
        <v>1</v>
      </c>
      <c r="BW828" s="321">
        <v>0</v>
      </c>
      <c r="BX828" s="298">
        <f t="shared" si="249"/>
        <v>0.43</v>
      </c>
      <c r="BY828">
        <f t="shared" si="250"/>
        <v>0</v>
      </c>
      <c r="BZ828" s="304">
        <f t="shared" si="251"/>
        <v>0</v>
      </c>
      <c r="CB828" s="299">
        <v>0.6</v>
      </c>
      <c r="CC828" s="299">
        <v>0.4</v>
      </c>
      <c r="CD828">
        <f t="shared" si="252"/>
        <v>0</v>
      </c>
      <c r="CE828">
        <f t="shared" si="253"/>
        <v>0</v>
      </c>
      <c r="CF828">
        <f t="shared" si="254"/>
        <v>0</v>
      </c>
      <c r="CG828">
        <f t="shared" si="255"/>
        <v>0</v>
      </c>
      <c r="CH828">
        <f t="shared" si="256"/>
        <v>0</v>
      </c>
      <c r="CI828">
        <f t="shared" si="257"/>
        <v>0</v>
      </c>
      <c r="CJ828">
        <f t="shared" si="258"/>
        <v>0</v>
      </c>
      <c r="CK828">
        <f t="shared" si="259"/>
        <v>0</v>
      </c>
      <c r="CL828">
        <f t="shared" si="260"/>
        <v>0</v>
      </c>
      <c r="CM828">
        <f t="shared" si="262"/>
        <v>0</v>
      </c>
      <c r="CN828">
        <f t="shared" si="261"/>
        <v>0</v>
      </c>
      <c r="CO828">
        <f t="shared" si="245"/>
        <v>0</v>
      </c>
    </row>
    <row r="829" spans="1:93" s="12" customFormat="1" x14ac:dyDescent="0.25">
      <c r="A829" s="4">
        <v>2013</v>
      </c>
      <c r="B829" s="318">
        <v>44265</v>
      </c>
      <c r="C829" s="4" t="s">
        <v>430</v>
      </c>
      <c r="D829" s="4" t="s">
        <v>431</v>
      </c>
      <c r="E829" s="4"/>
      <c r="F829" s="4" t="s">
        <v>1493</v>
      </c>
      <c r="G829" s="5" t="s">
        <v>432</v>
      </c>
      <c r="H829" s="5" t="s">
        <v>185</v>
      </c>
      <c r="I829" s="5" t="s">
        <v>222</v>
      </c>
      <c r="J829" s="5" t="s">
        <v>9</v>
      </c>
      <c r="K829" s="5">
        <v>20</v>
      </c>
      <c r="L829" s="5" t="s">
        <v>191</v>
      </c>
      <c r="M829" s="5">
        <v>2000</v>
      </c>
      <c r="N829" s="5" t="s">
        <v>171</v>
      </c>
      <c r="O829" s="6" t="s">
        <v>81</v>
      </c>
      <c r="P829" s="6" t="s">
        <v>186</v>
      </c>
      <c r="Q829" s="6"/>
      <c r="R829" s="6"/>
      <c r="S829" s="6">
        <v>45</v>
      </c>
      <c r="T829" s="6">
        <v>17.7</v>
      </c>
      <c r="U829" s="6">
        <v>1853</v>
      </c>
      <c r="V829" s="6">
        <v>45.68</v>
      </c>
      <c r="W829" s="6">
        <v>0</v>
      </c>
      <c r="X829" s="6">
        <v>0</v>
      </c>
      <c r="Y829" s="6">
        <v>1079</v>
      </c>
      <c r="Z829" s="6">
        <v>672</v>
      </c>
      <c r="AA829" s="6">
        <v>94</v>
      </c>
      <c r="AB829" s="6">
        <v>8</v>
      </c>
      <c r="AC829" s="7">
        <v>64</v>
      </c>
      <c r="AD829" s="7" t="s">
        <v>52</v>
      </c>
      <c r="AE829" s="9">
        <v>25.726388384387999</v>
      </c>
      <c r="AF829" s="7">
        <v>513</v>
      </c>
      <c r="AG829" s="7">
        <v>34.28</v>
      </c>
      <c r="AH829" s="9">
        <v>29.167830181394699</v>
      </c>
      <c r="AI829" s="9">
        <v>33.734059525548503</v>
      </c>
      <c r="AJ829" s="9">
        <v>420.72766587972302</v>
      </c>
      <c r="AK829" s="9">
        <v>422.25046470776903</v>
      </c>
      <c r="AL829" s="9">
        <v>482.30089341503702</v>
      </c>
      <c r="AM829" s="9" t="s">
        <v>169</v>
      </c>
      <c r="AN829" s="9" t="s">
        <v>169</v>
      </c>
      <c r="AO829" s="9" t="s">
        <v>169</v>
      </c>
      <c r="AP829" s="9" t="s">
        <v>169</v>
      </c>
      <c r="AQ829" s="9" t="s">
        <v>169</v>
      </c>
      <c r="AR829" s="9" t="s">
        <v>169</v>
      </c>
      <c r="AS829" s="8" t="s">
        <v>169</v>
      </c>
      <c r="AT829" s="8" t="s">
        <v>169</v>
      </c>
      <c r="AU829" s="10" t="s">
        <v>169</v>
      </c>
      <c r="AV829" s="10">
        <v>0</v>
      </c>
      <c r="AW829" s="10" t="s">
        <v>169</v>
      </c>
      <c r="AX829" s="10" t="s">
        <v>169</v>
      </c>
      <c r="AY829" s="10"/>
      <c r="AZ829" s="10"/>
      <c r="BA829" s="10"/>
      <c r="BB829" s="8"/>
      <c r="BC829" s="8"/>
      <c r="BD829" s="8"/>
      <c r="BE829" s="8"/>
      <c r="BF829" s="12">
        <v>0.38</v>
      </c>
      <c r="BG829" s="13">
        <v>319.20280795851897</v>
      </c>
      <c r="BH829" s="96" t="str">
        <f>+VLOOKUP(G829,Liste!$A$7:$G$50,3,FALSE)</f>
        <v>Sapin pectiné</v>
      </c>
      <c r="BI829" s="96" t="str">
        <f>+VLOOKUP(H829,Liste!$B$7:$G$50,5,FALSE)</f>
        <v>GS Arc Jurassien</v>
      </c>
      <c r="BJ829" s="135">
        <f t="shared" si="244"/>
        <v>64</v>
      </c>
      <c r="BK829" s="135" t="str">
        <f t="shared" si="246"/>
        <v>Sapin pectiné_F1_Cas général_GS Arc Jurassien_64_</v>
      </c>
      <c r="BL829" s="322"/>
      <c r="BM829" s="13">
        <v>80.178355865862599</v>
      </c>
      <c r="BN829" s="13">
        <v>399.38116382438102</v>
      </c>
      <c r="BO829" s="13" t="s">
        <v>169</v>
      </c>
      <c r="BP829" s="13">
        <v>359.743735612752</v>
      </c>
      <c r="BQ829" s="13" t="s">
        <v>169</v>
      </c>
      <c r="BT829" s="298" t="str">
        <f>+VLOOKUP(G829,Liste!$A$7:$H$50,8,FALSE)</f>
        <v>Résineux</v>
      </c>
      <c r="BU829" s="298">
        <f t="shared" si="247"/>
        <v>0</v>
      </c>
      <c r="BV829" s="300">
        <f t="shared" si="248"/>
        <v>1</v>
      </c>
      <c r="BW829" s="321">
        <v>0</v>
      </c>
      <c r="BX829" s="298">
        <f t="shared" si="249"/>
        <v>0.43</v>
      </c>
      <c r="BY829">
        <f t="shared" si="250"/>
        <v>0</v>
      </c>
      <c r="BZ829" s="304">
        <f t="shared" si="251"/>
        <v>0</v>
      </c>
      <c r="CB829" s="299">
        <v>0.6</v>
      </c>
      <c r="CC829" s="299">
        <v>0.4</v>
      </c>
      <c r="CD829">
        <f t="shared" si="252"/>
        <v>0</v>
      </c>
      <c r="CE829">
        <f t="shared" si="253"/>
        <v>0</v>
      </c>
      <c r="CF829">
        <f t="shared" si="254"/>
        <v>0</v>
      </c>
      <c r="CG829">
        <f t="shared" si="255"/>
        <v>0</v>
      </c>
      <c r="CH829">
        <f t="shared" si="256"/>
        <v>0</v>
      </c>
      <c r="CI829">
        <f t="shared" si="257"/>
        <v>0</v>
      </c>
      <c r="CJ829">
        <f t="shared" si="258"/>
        <v>0</v>
      </c>
      <c r="CK829">
        <f t="shared" si="259"/>
        <v>0</v>
      </c>
      <c r="CL829">
        <f t="shared" si="260"/>
        <v>0</v>
      </c>
      <c r="CM829">
        <f t="shared" si="262"/>
        <v>0</v>
      </c>
      <c r="CN829">
        <f t="shared" si="261"/>
        <v>0</v>
      </c>
      <c r="CO829">
        <f t="shared" si="245"/>
        <v>0</v>
      </c>
    </row>
    <row r="830" spans="1:93" s="12" customFormat="1" x14ac:dyDescent="0.25">
      <c r="A830" s="4">
        <v>2013</v>
      </c>
      <c r="B830" s="318">
        <v>44265</v>
      </c>
      <c r="C830" s="4" t="s">
        <v>430</v>
      </c>
      <c r="D830" s="4" t="s">
        <v>431</v>
      </c>
      <c r="E830" s="4"/>
      <c r="F830" s="4" t="s">
        <v>1493</v>
      </c>
      <c r="G830" s="5" t="s">
        <v>432</v>
      </c>
      <c r="H830" s="5" t="s">
        <v>185</v>
      </c>
      <c r="I830" s="5" t="s">
        <v>222</v>
      </c>
      <c r="J830" s="5" t="s">
        <v>9</v>
      </c>
      <c r="K830" s="5">
        <v>20</v>
      </c>
      <c r="L830" s="5" t="s">
        <v>191</v>
      </c>
      <c r="M830" s="5">
        <v>2000</v>
      </c>
      <c r="N830" s="5" t="s">
        <v>171</v>
      </c>
      <c r="O830" s="6" t="s">
        <v>81</v>
      </c>
      <c r="P830" s="6" t="s">
        <v>186</v>
      </c>
      <c r="Q830" s="6"/>
      <c r="R830" s="6"/>
      <c r="S830" s="6">
        <v>45</v>
      </c>
      <c r="T830" s="6">
        <v>17.7</v>
      </c>
      <c r="U830" s="6">
        <v>1853</v>
      </c>
      <c r="V830" s="6">
        <v>45.68</v>
      </c>
      <c r="W830" s="6">
        <v>0</v>
      </c>
      <c r="X830" s="6">
        <v>0</v>
      </c>
      <c r="Y830" s="6">
        <v>1079</v>
      </c>
      <c r="Z830" s="6">
        <v>672</v>
      </c>
      <c r="AA830" s="6">
        <v>94</v>
      </c>
      <c r="AB830" s="6">
        <v>8</v>
      </c>
      <c r="AC830" s="7">
        <v>65</v>
      </c>
      <c r="AD830" s="7" t="s">
        <v>52</v>
      </c>
      <c r="AE830" s="9">
        <v>26.073450255214301</v>
      </c>
      <c r="AF830" s="7">
        <v>513</v>
      </c>
      <c r="AG830" s="7">
        <v>35.43</v>
      </c>
      <c r="AH830" s="9">
        <v>29.653777741974601</v>
      </c>
      <c r="AI830" s="9">
        <v>34.280305483026702</v>
      </c>
      <c r="AJ830" s="9">
        <v>441.28567630326199</v>
      </c>
      <c r="AK830" s="9">
        <v>442.87716862486297</v>
      </c>
      <c r="AL830" s="9">
        <v>504.42618323944498</v>
      </c>
      <c r="AM830" s="9" t="s">
        <v>169</v>
      </c>
      <c r="AN830" s="9" t="s">
        <v>169</v>
      </c>
      <c r="AO830" s="9" t="s">
        <v>169</v>
      </c>
      <c r="AP830" s="9" t="s">
        <v>169</v>
      </c>
      <c r="AQ830" s="9" t="s">
        <v>169</v>
      </c>
      <c r="AR830" s="9" t="s">
        <v>169</v>
      </c>
      <c r="AS830" s="8" t="s">
        <v>169</v>
      </c>
      <c r="AT830" s="8" t="s">
        <v>169</v>
      </c>
      <c r="AU830" s="10" t="s">
        <v>169</v>
      </c>
      <c r="AV830" s="10">
        <v>0</v>
      </c>
      <c r="AW830" s="10" t="s">
        <v>169</v>
      </c>
      <c r="AX830" s="10" t="s">
        <v>169</v>
      </c>
      <c r="AY830" s="10"/>
      <c r="AZ830" s="10"/>
      <c r="BA830" s="10"/>
      <c r="BB830" s="8"/>
      <c r="BC830" s="8"/>
      <c r="BD830" s="8"/>
      <c r="BE830" s="8"/>
      <c r="BF830" s="12">
        <v>0.38</v>
      </c>
      <c r="BG830" s="13">
        <v>333.846062273972</v>
      </c>
      <c r="BH830" s="96" t="str">
        <f>+VLOOKUP(G830,Liste!$A$7:$G$50,3,FALSE)</f>
        <v>Sapin pectiné</v>
      </c>
      <c r="BI830" s="96" t="str">
        <f>+VLOOKUP(H830,Liste!$B$7:$G$50,5,FALSE)</f>
        <v>GS Arc Jurassien</v>
      </c>
      <c r="BJ830" s="135">
        <f t="shared" si="244"/>
        <v>65</v>
      </c>
      <c r="BK830" s="135" t="str">
        <f t="shared" si="246"/>
        <v>Sapin pectiné_F1_Cas général_GS Arc Jurassien_65_</v>
      </c>
      <c r="BL830" s="322"/>
      <c r="BM830" s="13">
        <v>83.412992394052296</v>
      </c>
      <c r="BN830" s="13">
        <v>417.25905466802499</v>
      </c>
      <c r="BO830" s="13" t="s">
        <v>169</v>
      </c>
      <c r="BP830" s="13">
        <v>359.743735612752</v>
      </c>
      <c r="BQ830" s="13" t="s">
        <v>169</v>
      </c>
      <c r="BT830" s="298" t="str">
        <f>+VLOOKUP(G830,Liste!$A$7:$H$50,8,FALSE)</f>
        <v>Résineux</v>
      </c>
      <c r="BU830" s="298">
        <f t="shared" si="247"/>
        <v>0</v>
      </c>
      <c r="BV830" s="300">
        <f t="shared" si="248"/>
        <v>1</v>
      </c>
      <c r="BW830" s="321">
        <v>0</v>
      </c>
      <c r="BX830" s="298">
        <f t="shared" si="249"/>
        <v>0.43</v>
      </c>
      <c r="BY830">
        <f t="shared" si="250"/>
        <v>0</v>
      </c>
      <c r="BZ830" s="304">
        <f t="shared" si="251"/>
        <v>0</v>
      </c>
      <c r="CB830" s="299">
        <v>0.6</v>
      </c>
      <c r="CC830" s="299">
        <v>0.4</v>
      </c>
      <c r="CD830">
        <f t="shared" si="252"/>
        <v>0</v>
      </c>
      <c r="CE830">
        <f t="shared" si="253"/>
        <v>0</v>
      </c>
      <c r="CF830">
        <f t="shared" si="254"/>
        <v>0</v>
      </c>
      <c r="CG830">
        <f t="shared" si="255"/>
        <v>0</v>
      </c>
      <c r="CH830">
        <f t="shared" si="256"/>
        <v>0</v>
      </c>
      <c r="CI830">
        <f t="shared" si="257"/>
        <v>0</v>
      </c>
      <c r="CJ830">
        <f t="shared" si="258"/>
        <v>0</v>
      </c>
      <c r="CK830">
        <f t="shared" si="259"/>
        <v>0</v>
      </c>
      <c r="CL830">
        <f t="shared" si="260"/>
        <v>0</v>
      </c>
      <c r="CM830">
        <f t="shared" si="262"/>
        <v>0</v>
      </c>
      <c r="CN830">
        <f t="shared" si="261"/>
        <v>0</v>
      </c>
      <c r="CO830">
        <f t="shared" si="245"/>
        <v>0</v>
      </c>
    </row>
    <row r="831" spans="1:93" s="12" customFormat="1" x14ac:dyDescent="0.25">
      <c r="A831" s="4">
        <v>2013</v>
      </c>
      <c r="B831" s="318">
        <v>44265</v>
      </c>
      <c r="C831" s="4" t="s">
        <v>430</v>
      </c>
      <c r="D831" s="4" t="s">
        <v>431</v>
      </c>
      <c r="E831" s="4"/>
      <c r="F831" s="4" t="s">
        <v>1493</v>
      </c>
      <c r="G831" s="5" t="s">
        <v>432</v>
      </c>
      <c r="H831" s="5" t="s">
        <v>185</v>
      </c>
      <c r="I831" s="5" t="s">
        <v>222</v>
      </c>
      <c r="J831" s="5" t="s">
        <v>9</v>
      </c>
      <c r="K831" s="5">
        <v>20</v>
      </c>
      <c r="L831" s="5" t="s">
        <v>191</v>
      </c>
      <c r="M831" s="5">
        <v>2000</v>
      </c>
      <c r="N831" s="5" t="s">
        <v>171</v>
      </c>
      <c r="O831" s="6" t="s">
        <v>81</v>
      </c>
      <c r="P831" s="6" t="s">
        <v>186</v>
      </c>
      <c r="Q831" s="6"/>
      <c r="R831" s="6"/>
      <c r="S831" s="6">
        <v>45</v>
      </c>
      <c r="T831" s="6">
        <v>17.7</v>
      </c>
      <c r="U831" s="6">
        <v>1853</v>
      </c>
      <c r="V831" s="6">
        <v>45.68</v>
      </c>
      <c r="W831" s="6">
        <v>0</v>
      </c>
      <c r="X831" s="6">
        <v>0</v>
      </c>
      <c r="Y831" s="6">
        <v>1079</v>
      </c>
      <c r="Z831" s="6">
        <v>672</v>
      </c>
      <c r="AA831" s="6">
        <v>94</v>
      </c>
      <c r="AB831" s="6">
        <v>8</v>
      </c>
      <c r="AC831" s="7">
        <v>66</v>
      </c>
      <c r="AD831" s="7" t="s">
        <v>52</v>
      </c>
      <c r="AE831" s="9">
        <v>26.414001004037299</v>
      </c>
      <c r="AF831" s="7">
        <v>513</v>
      </c>
      <c r="AG831" s="7">
        <v>36.57</v>
      </c>
      <c r="AH831" s="9">
        <v>30.1265304695577</v>
      </c>
      <c r="AI831" s="9">
        <v>34.810236529274</v>
      </c>
      <c r="AJ831" s="9">
        <v>461.84368672680199</v>
      </c>
      <c r="AK831" s="9">
        <v>463.50387254195698</v>
      </c>
      <c r="AL831" s="9">
        <v>526.55147306385197</v>
      </c>
      <c r="AM831" s="9" t="s">
        <v>169</v>
      </c>
      <c r="AN831" s="9" t="s">
        <v>169</v>
      </c>
      <c r="AO831" s="9" t="s">
        <v>169</v>
      </c>
      <c r="AP831" s="9" t="s">
        <v>169</v>
      </c>
      <c r="AQ831" s="9" t="s">
        <v>169</v>
      </c>
      <c r="AR831" s="9" t="s">
        <v>169</v>
      </c>
      <c r="AS831" s="8" t="s">
        <v>169</v>
      </c>
      <c r="AT831" s="8" t="s">
        <v>169</v>
      </c>
      <c r="AU831" s="10" t="s">
        <v>169</v>
      </c>
      <c r="AV831" s="10">
        <v>0</v>
      </c>
      <c r="AW831" s="10" t="s">
        <v>169</v>
      </c>
      <c r="AX831" s="10" t="s">
        <v>169</v>
      </c>
      <c r="AY831" s="10"/>
      <c r="AZ831" s="10"/>
      <c r="BA831" s="10"/>
      <c r="BB831" s="8"/>
      <c r="BC831" s="8"/>
      <c r="BD831" s="8"/>
      <c r="BE831" s="8"/>
      <c r="BF831" s="12">
        <v>0.38</v>
      </c>
      <c r="BG831" s="13">
        <v>348.48931658942598</v>
      </c>
      <c r="BH831" s="96" t="str">
        <f>+VLOOKUP(G831,Liste!$A$7:$G$50,3,FALSE)</f>
        <v>Sapin pectiné</v>
      </c>
      <c r="BI831" s="96" t="str">
        <f>+VLOOKUP(H831,Liste!$B$7:$G$50,5,FALSE)</f>
        <v>GS Arc Jurassien</v>
      </c>
      <c r="BJ831" s="135">
        <f t="shared" si="244"/>
        <v>66</v>
      </c>
      <c r="BK831" s="135" t="str">
        <f t="shared" si="246"/>
        <v>Sapin pectiné_F1_Cas général_GS Arc Jurassien_66_</v>
      </c>
      <c r="BL831" s="322"/>
      <c r="BM831" s="13">
        <v>86.647628922242006</v>
      </c>
      <c r="BN831" s="13">
        <v>435.13694551166799</v>
      </c>
      <c r="BO831" s="13" t="s">
        <v>169</v>
      </c>
      <c r="BP831" s="13">
        <v>359.743735612752</v>
      </c>
      <c r="BQ831" s="13" t="s">
        <v>169</v>
      </c>
      <c r="BT831" s="298" t="str">
        <f>+VLOOKUP(G831,Liste!$A$7:$H$50,8,FALSE)</f>
        <v>Résineux</v>
      </c>
      <c r="BU831" s="298">
        <f t="shared" si="247"/>
        <v>0</v>
      </c>
      <c r="BV831" s="300">
        <f t="shared" si="248"/>
        <v>1</v>
      </c>
      <c r="BW831" s="321">
        <v>0</v>
      </c>
      <c r="BX831" s="298">
        <f t="shared" si="249"/>
        <v>0.43</v>
      </c>
      <c r="BY831">
        <f t="shared" si="250"/>
        <v>0</v>
      </c>
      <c r="BZ831" s="304">
        <f t="shared" si="251"/>
        <v>0</v>
      </c>
      <c r="CB831" s="299">
        <v>0.6</v>
      </c>
      <c r="CC831" s="299">
        <v>0.4</v>
      </c>
      <c r="CD831">
        <f t="shared" si="252"/>
        <v>0</v>
      </c>
      <c r="CE831">
        <f t="shared" si="253"/>
        <v>0</v>
      </c>
      <c r="CF831">
        <f t="shared" si="254"/>
        <v>0</v>
      </c>
      <c r="CG831">
        <f t="shared" si="255"/>
        <v>0</v>
      </c>
      <c r="CH831">
        <f t="shared" si="256"/>
        <v>0</v>
      </c>
      <c r="CI831">
        <f t="shared" si="257"/>
        <v>0</v>
      </c>
      <c r="CJ831">
        <f t="shared" si="258"/>
        <v>0</v>
      </c>
      <c r="CK831">
        <f t="shared" si="259"/>
        <v>0</v>
      </c>
      <c r="CL831">
        <f t="shared" si="260"/>
        <v>0</v>
      </c>
      <c r="CM831">
        <f t="shared" si="262"/>
        <v>0</v>
      </c>
      <c r="CN831">
        <f t="shared" si="261"/>
        <v>0</v>
      </c>
      <c r="CO831">
        <f t="shared" si="245"/>
        <v>0</v>
      </c>
    </row>
    <row r="832" spans="1:93" s="12" customFormat="1" x14ac:dyDescent="0.25">
      <c r="A832" s="4">
        <v>2013</v>
      </c>
      <c r="B832" s="318">
        <v>44265</v>
      </c>
      <c r="C832" s="4" t="s">
        <v>430</v>
      </c>
      <c r="D832" s="4" t="s">
        <v>431</v>
      </c>
      <c r="E832" s="4"/>
      <c r="F832" s="4" t="s">
        <v>1493</v>
      </c>
      <c r="G832" s="5" t="s">
        <v>432</v>
      </c>
      <c r="H832" s="5" t="s">
        <v>185</v>
      </c>
      <c r="I832" s="5" t="s">
        <v>222</v>
      </c>
      <c r="J832" s="5" t="s">
        <v>9</v>
      </c>
      <c r="K832" s="5">
        <v>20</v>
      </c>
      <c r="L832" s="5" t="s">
        <v>191</v>
      </c>
      <c r="M832" s="5">
        <v>2000</v>
      </c>
      <c r="N832" s="5" t="s">
        <v>171</v>
      </c>
      <c r="O832" s="6" t="s">
        <v>81</v>
      </c>
      <c r="P832" s="6" t="s">
        <v>186</v>
      </c>
      <c r="Q832" s="6"/>
      <c r="R832" s="6"/>
      <c r="S832" s="6">
        <v>45</v>
      </c>
      <c r="T832" s="6">
        <v>17.7</v>
      </c>
      <c r="U832" s="6">
        <v>1853</v>
      </c>
      <c r="V832" s="6">
        <v>45.68</v>
      </c>
      <c r="W832" s="6">
        <v>0</v>
      </c>
      <c r="X832" s="6">
        <v>0</v>
      </c>
      <c r="Y832" s="6">
        <v>1079</v>
      </c>
      <c r="Z832" s="6">
        <v>672</v>
      </c>
      <c r="AA832" s="6">
        <v>94</v>
      </c>
      <c r="AB832" s="6">
        <v>8</v>
      </c>
      <c r="AC832" s="7">
        <v>67</v>
      </c>
      <c r="AD832" s="7" t="s">
        <v>52</v>
      </c>
      <c r="AE832" s="9">
        <v>26.748183875682699</v>
      </c>
      <c r="AF832" s="7">
        <v>513</v>
      </c>
      <c r="AG832" s="7">
        <v>37.69</v>
      </c>
      <c r="AH832" s="9">
        <v>30.586640620950099</v>
      </c>
      <c r="AI832" s="9">
        <v>35.324633199062099</v>
      </c>
      <c r="AJ832" s="9">
        <v>482.40169715034102</v>
      </c>
      <c r="AK832" s="9">
        <v>484.13057645905099</v>
      </c>
      <c r="AL832" s="9">
        <v>548.67676288825999</v>
      </c>
      <c r="AM832" s="9">
        <v>75.477589891951595</v>
      </c>
      <c r="AN832" s="9">
        <v>1.1265311924171899</v>
      </c>
      <c r="AO832" s="9">
        <v>1.0175408851372501</v>
      </c>
      <c r="AP832" s="9">
        <v>959.10254215987902</v>
      </c>
      <c r="AQ832" s="9">
        <v>14.314963315819099</v>
      </c>
      <c r="AR832" s="9">
        <v>20.2801986376709</v>
      </c>
      <c r="AS832" s="8" t="s">
        <v>169</v>
      </c>
      <c r="AT832" s="8" t="s">
        <v>169</v>
      </c>
      <c r="AU832" s="10" t="s">
        <v>169</v>
      </c>
      <c r="AV832" s="10">
        <v>0</v>
      </c>
      <c r="AW832" s="10" t="s">
        <v>169</v>
      </c>
      <c r="AX832" s="10" t="s">
        <v>169</v>
      </c>
      <c r="AY832" s="10"/>
      <c r="AZ832" s="10"/>
      <c r="BA832" s="10"/>
      <c r="BB832" s="8"/>
      <c r="BC832" s="8"/>
      <c r="BD832" s="8"/>
      <c r="BE832" s="8"/>
      <c r="BF832" s="12">
        <v>0.38</v>
      </c>
      <c r="BG832" s="13">
        <v>363.13257090488003</v>
      </c>
      <c r="BH832" s="96" t="str">
        <f>+VLOOKUP(G832,Liste!$A$7:$G$50,3,FALSE)</f>
        <v>Sapin pectiné</v>
      </c>
      <c r="BI832" s="96" t="str">
        <f>+VLOOKUP(H832,Liste!$B$7:$G$50,5,FALSE)</f>
        <v>GS Arc Jurassien</v>
      </c>
      <c r="BJ832" s="135">
        <f t="shared" si="244"/>
        <v>67</v>
      </c>
      <c r="BK832" s="135" t="str">
        <f t="shared" si="246"/>
        <v>Sapin pectiné_F1_Cas général_GS Arc Jurassien_67_</v>
      </c>
      <c r="BL832" s="322"/>
      <c r="BM832" s="13">
        <v>89.882265450431603</v>
      </c>
      <c r="BN832" s="13">
        <v>453.01483635531201</v>
      </c>
      <c r="BO832" s="13" t="s">
        <v>169</v>
      </c>
      <c r="BP832" s="13">
        <v>359.743735612752</v>
      </c>
      <c r="BQ832" s="13">
        <v>16.156576561363199</v>
      </c>
      <c r="BT832" s="298" t="str">
        <f>+VLOOKUP(G832,Liste!$A$7:$H$50,8,FALSE)</f>
        <v>Résineux</v>
      </c>
      <c r="BU832" s="298">
        <f t="shared" si="247"/>
        <v>0</v>
      </c>
      <c r="BV832" s="300">
        <f t="shared" si="248"/>
        <v>1</v>
      </c>
      <c r="BW832" s="321">
        <v>0</v>
      </c>
      <c r="BX832" s="298">
        <f t="shared" si="249"/>
        <v>0.43</v>
      </c>
      <c r="BY832">
        <f t="shared" si="250"/>
        <v>0</v>
      </c>
      <c r="BZ832" s="304">
        <f t="shared" si="251"/>
        <v>0</v>
      </c>
      <c r="CB832" s="299">
        <v>0.6</v>
      </c>
      <c r="CC832" s="299">
        <v>0.4</v>
      </c>
      <c r="CD832">
        <f t="shared" si="252"/>
        <v>0</v>
      </c>
      <c r="CE832">
        <f t="shared" si="253"/>
        <v>0</v>
      </c>
      <c r="CF832">
        <f t="shared" si="254"/>
        <v>0</v>
      </c>
      <c r="CG832">
        <f t="shared" si="255"/>
        <v>0</v>
      </c>
      <c r="CH832">
        <f t="shared" si="256"/>
        <v>0</v>
      </c>
      <c r="CI832">
        <f t="shared" si="257"/>
        <v>0</v>
      </c>
      <c r="CJ832">
        <f t="shared" si="258"/>
        <v>0</v>
      </c>
      <c r="CK832">
        <f t="shared" si="259"/>
        <v>0</v>
      </c>
      <c r="CL832">
        <f t="shared" si="260"/>
        <v>0</v>
      </c>
      <c r="CM832">
        <f t="shared" si="262"/>
        <v>0</v>
      </c>
      <c r="CN832">
        <f t="shared" si="261"/>
        <v>0</v>
      </c>
      <c r="CO832">
        <f t="shared" si="245"/>
        <v>0</v>
      </c>
    </row>
    <row r="833" spans="1:93" s="12" customFormat="1" x14ac:dyDescent="0.25">
      <c r="A833" s="4">
        <v>2013</v>
      </c>
      <c r="B833" s="318">
        <v>44265</v>
      </c>
      <c r="C833" s="4" t="s">
        <v>430</v>
      </c>
      <c r="D833" s="4" t="s">
        <v>431</v>
      </c>
      <c r="E833" s="4"/>
      <c r="F833" s="4" t="s">
        <v>1493</v>
      </c>
      <c r="G833" s="5" t="s">
        <v>432</v>
      </c>
      <c r="H833" s="5" t="s">
        <v>185</v>
      </c>
      <c r="I833" s="5" t="s">
        <v>222</v>
      </c>
      <c r="J833" s="5" t="s">
        <v>9</v>
      </c>
      <c r="K833" s="5">
        <v>20</v>
      </c>
      <c r="L833" s="5" t="s">
        <v>191</v>
      </c>
      <c r="M833" s="5">
        <v>2000</v>
      </c>
      <c r="N833" s="5" t="s">
        <v>171</v>
      </c>
      <c r="O833" s="6" t="s">
        <v>81</v>
      </c>
      <c r="P833" s="6" t="s">
        <v>186</v>
      </c>
      <c r="Q833" s="6"/>
      <c r="R833" s="6"/>
      <c r="S833" s="6">
        <v>45</v>
      </c>
      <c r="T833" s="6">
        <v>17.7</v>
      </c>
      <c r="U833" s="6">
        <v>1853</v>
      </c>
      <c r="V833" s="6">
        <v>45.68</v>
      </c>
      <c r="W833" s="6">
        <v>0</v>
      </c>
      <c r="X833" s="6">
        <v>0</v>
      </c>
      <c r="Y833" s="6">
        <v>1079</v>
      </c>
      <c r="Z833" s="6">
        <v>672</v>
      </c>
      <c r="AA833" s="6">
        <v>94</v>
      </c>
      <c r="AB833" s="6">
        <v>8</v>
      </c>
      <c r="AC833" s="7">
        <v>67</v>
      </c>
      <c r="AD833" s="7" t="s">
        <v>53</v>
      </c>
      <c r="AE833" s="9">
        <v>26.748183875682699</v>
      </c>
      <c r="AF833" s="7">
        <v>391</v>
      </c>
      <c r="AG833" s="7">
        <v>29.39</v>
      </c>
      <c r="AH833" s="9">
        <v>30.938139891110101</v>
      </c>
      <c r="AI833" s="9">
        <v>35.007677980047902</v>
      </c>
      <c r="AJ833" s="9">
        <v>377.13161956023998</v>
      </c>
      <c r="AK833" s="9">
        <v>378.51290820037701</v>
      </c>
      <c r="AL833" s="9">
        <v>428.93610482793298</v>
      </c>
      <c r="AM833" s="9">
        <v>75.477589891951595</v>
      </c>
      <c r="AN833" s="9">
        <v>1.1265311924171899</v>
      </c>
      <c r="AO833" s="9">
        <v>1.0175408851372501</v>
      </c>
      <c r="AP833" s="9">
        <v>959.10254215987902</v>
      </c>
      <c r="AQ833" s="9">
        <v>14.314963315819099</v>
      </c>
      <c r="AR833" s="9">
        <v>20.2801986376709</v>
      </c>
      <c r="AS833" s="8">
        <v>122</v>
      </c>
      <c r="AT833" s="8">
        <v>8.2999999999999972</v>
      </c>
      <c r="AU833" s="10">
        <v>29.431621532092791</v>
      </c>
      <c r="AV833" s="10">
        <v>105.27007759010104</v>
      </c>
      <c r="AW833" s="10">
        <v>0.92590156811974855</v>
      </c>
      <c r="AX833" s="10">
        <v>0.86286948844345113</v>
      </c>
      <c r="AY833" s="10"/>
      <c r="AZ833" s="10"/>
      <c r="BA833" s="10"/>
      <c r="BB833" s="8"/>
      <c r="BC833" s="8"/>
      <c r="BD833" s="8"/>
      <c r="BE833" s="8"/>
      <c r="BF833" s="12">
        <v>0.38</v>
      </c>
      <c r="BG833" s="13">
        <v>283.88421204528697</v>
      </c>
      <c r="BH833" s="96" t="str">
        <f>+VLOOKUP(G833,Liste!$A$7:$G$50,3,FALSE)</f>
        <v>Sapin pectiné</v>
      </c>
      <c r="BI833" s="96" t="str">
        <f>+VLOOKUP(H833,Liste!$B$7:$G$50,5,FALSE)</f>
        <v>GS Arc Jurassien</v>
      </c>
      <c r="BJ833" s="135">
        <f t="shared" si="244"/>
        <v>67</v>
      </c>
      <c r="BK833" s="135" t="str">
        <f t="shared" si="246"/>
        <v>Sapin pectiné_F1_Cas général_GS Arc Jurassien_67_</v>
      </c>
      <c r="BL833" s="322"/>
      <c r="BM833" s="13">
        <v>72.309606052687599</v>
      </c>
      <c r="BN833" s="13">
        <v>356.193818097975</v>
      </c>
      <c r="BO833" s="13">
        <v>96.821018257337016</v>
      </c>
      <c r="BP833" s="13">
        <v>359.743735612752</v>
      </c>
      <c r="BQ833" s="13">
        <v>16.156576561363199</v>
      </c>
      <c r="BT833" s="298" t="str">
        <f>+VLOOKUP(G833,Liste!$A$7:$H$50,8,FALSE)</f>
        <v>Résineux</v>
      </c>
      <c r="BU833" s="298">
        <f t="shared" si="247"/>
        <v>0</v>
      </c>
      <c r="BV833" s="300">
        <f t="shared" si="248"/>
        <v>1</v>
      </c>
      <c r="BW833" s="321">
        <v>0</v>
      </c>
      <c r="BX833" s="298">
        <f t="shared" si="249"/>
        <v>0.43</v>
      </c>
      <c r="BY833">
        <f t="shared" si="250"/>
        <v>0</v>
      </c>
      <c r="BZ833" s="304">
        <f t="shared" si="251"/>
        <v>0</v>
      </c>
      <c r="CB833" s="299">
        <v>0.6</v>
      </c>
      <c r="CC833" s="299">
        <v>0.4</v>
      </c>
      <c r="CD833">
        <f t="shared" si="252"/>
        <v>0</v>
      </c>
      <c r="CE833">
        <f t="shared" si="253"/>
        <v>0</v>
      </c>
      <c r="CF833">
        <f t="shared" si="254"/>
        <v>0</v>
      </c>
      <c r="CG833">
        <f t="shared" si="255"/>
        <v>0</v>
      </c>
      <c r="CH833">
        <f t="shared" si="256"/>
        <v>0</v>
      </c>
      <c r="CI833">
        <f t="shared" si="257"/>
        <v>0</v>
      </c>
      <c r="CJ833">
        <f t="shared" si="258"/>
        <v>0</v>
      </c>
      <c r="CK833">
        <f t="shared" si="259"/>
        <v>0</v>
      </c>
      <c r="CL833">
        <f t="shared" si="260"/>
        <v>0</v>
      </c>
      <c r="CM833">
        <f t="shared" si="262"/>
        <v>0</v>
      </c>
      <c r="CN833">
        <f t="shared" si="261"/>
        <v>0</v>
      </c>
      <c r="CO833">
        <f t="shared" si="245"/>
        <v>0</v>
      </c>
    </row>
    <row r="834" spans="1:93" s="12" customFormat="1" x14ac:dyDescent="0.25">
      <c r="A834" s="4">
        <v>2013</v>
      </c>
      <c r="B834" s="318">
        <v>44265</v>
      </c>
      <c r="C834" s="4" t="s">
        <v>430</v>
      </c>
      <c r="D834" s="4" t="s">
        <v>431</v>
      </c>
      <c r="E834" s="4"/>
      <c r="F834" s="4" t="s">
        <v>1493</v>
      </c>
      <c r="G834" s="5" t="s">
        <v>432</v>
      </c>
      <c r="H834" s="5" t="s">
        <v>185</v>
      </c>
      <c r="I834" s="5" t="s">
        <v>222</v>
      </c>
      <c r="J834" s="5" t="s">
        <v>9</v>
      </c>
      <c r="K834" s="5">
        <v>20</v>
      </c>
      <c r="L834" s="5" t="s">
        <v>191</v>
      </c>
      <c r="M834" s="5">
        <v>2000</v>
      </c>
      <c r="N834" s="5" t="s">
        <v>171</v>
      </c>
      <c r="O834" s="6" t="s">
        <v>81</v>
      </c>
      <c r="P834" s="6" t="s">
        <v>186</v>
      </c>
      <c r="Q834" s="6"/>
      <c r="R834" s="6"/>
      <c r="S834" s="6">
        <v>45</v>
      </c>
      <c r="T834" s="6">
        <v>17.7</v>
      </c>
      <c r="U834" s="6">
        <v>1853</v>
      </c>
      <c r="V834" s="6">
        <v>45.68</v>
      </c>
      <c r="W834" s="6">
        <v>0</v>
      </c>
      <c r="X834" s="6">
        <v>0</v>
      </c>
      <c r="Y834" s="6">
        <v>1079</v>
      </c>
      <c r="Z834" s="6">
        <v>672</v>
      </c>
      <c r="AA834" s="6">
        <v>94</v>
      </c>
      <c r="AB834" s="6">
        <v>8</v>
      </c>
      <c r="AC834" s="7">
        <v>68</v>
      </c>
      <c r="AD834" s="7" t="s">
        <v>52</v>
      </c>
      <c r="AE834" s="9">
        <v>27.076140230599901</v>
      </c>
      <c r="AF834" s="7">
        <v>391</v>
      </c>
      <c r="AG834" s="7">
        <v>30.43</v>
      </c>
      <c r="AH834" s="9">
        <v>31.480750482062898</v>
      </c>
      <c r="AI834" s="9">
        <v>35.603213272870001</v>
      </c>
      <c r="AJ834" s="9">
        <v>396.04805151861399</v>
      </c>
      <c r="AK834" s="9">
        <v>397.49411130221398</v>
      </c>
      <c r="AL834" s="9">
        <v>449.21630346560403</v>
      </c>
      <c r="AM834" s="9" t="s">
        <v>169</v>
      </c>
      <c r="AN834" s="9" t="s">
        <v>169</v>
      </c>
      <c r="AO834" s="9" t="s">
        <v>169</v>
      </c>
      <c r="AP834" s="9" t="s">
        <v>169</v>
      </c>
      <c r="AQ834" s="9" t="s">
        <v>169</v>
      </c>
      <c r="AR834" s="9" t="s">
        <v>169</v>
      </c>
      <c r="AS834" s="8" t="s">
        <v>169</v>
      </c>
      <c r="AT834" s="8" t="s">
        <v>169</v>
      </c>
      <c r="AU834" s="10" t="s">
        <v>169</v>
      </c>
      <c r="AV834" s="10">
        <v>0</v>
      </c>
      <c r="AW834" s="10" t="s">
        <v>169</v>
      </c>
      <c r="AX834" s="10" t="s">
        <v>169</v>
      </c>
      <c r="AY834" s="10"/>
      <c r="AZ834" s="10"/>
      <c r="BA834" s="10"/>
      <c r="BB834" s="8"/>
      <c r="BC834" s="8"/>
      <c r="BD834" s="8"/>
      <c r="BE834" s="8"/>
      <c r="BF834" s="12">
        <v>0.38</v>
      </c>
      <c r="BG834" s="13">
        <v>297.30632351031898</v>
      </c>
      <c r="BH834" s="96" t="str">
        <f>+VLOOKUP(G834,Liste!$A$7:$G$50,3,FALSE)</f>
        <v>Sapin pectiné</v>
      </c>
      <c r="BI834" s="96" t="str">
        <f>+VLOOKUP(H834,Liste!$B$7:$G$50,5,FALSE)</f>
        <v>GS Arc Jurassien</v>
      </c>
      <c r="BJ834" s="135">
        <f t="shared" si="244"/>
        <v>68</v>
      </c>
      <c r="BK834" s="135" t="str">
        <f t="shared" si="246"/>
        <v>Sapin pectiné_F1_Cas général_GS Arc Jurassien_68_</v>
      </c>
      <c r="BL834" s="322"/>
      <c r="BM834" s="13">
        <v>75.292165346085596</v>
      </c>
      <c r="BN834" s="13">
        <v>372.59848885640503</v>
      </c>
      <c r="BO834" s="13" t="s">
        <v>169</v>
      </c>
      <c r="BP834" s="13">
        <v>359.743735612752</v>
      </c>
      <c r="BQ834" s="13" t="s">
        <v>169</v>
      </c>
      <c r="BT834" s="298" t="str">
        <f>+VLOOKUP(G834,Liste!$A$7:$H$50,8,FALSE)</f>
        <v>Résineux</v>
      </c>
      <c r="BU834" s="298">
        <f t="shared" si="247"/>
        <v>0</v>
      </c>
      <c r="BV834" s="300">
        <f t="shared" si="248"/>
        <v>1</v>
      </c>
      <c r="BW834" s="321">
        <v>0</v>
      </c>
      <c r="BX834" s="298">
        <f t="shared" si="249"/>
        <v>0.43</v>
      </c>
      <c r="BY834">
        <f t="shared" si="250"/>
        <v>0</v>
      </c>
      <c r="BZ834" s="304">
        <f t="shared" si="251"/>
        <v>0</v>
      </c>
      <c r="CB834" s="299">
        <v>0.6</v>
      </c>
      <c r="CC834" s="299">
        <v>0.4</v>
      </c>
      <c r="CD834">
        <f t="shared" si="252"/>
        <v>0</v>
      </c>
      <c r="CE834">
        <f t="shared" si="253"/>
        <v>0</v>
      </c>
      <c r="CF834">
        <f t="shared" si="254"/>
        <v>0</v>
      </c>
      <c r="CG834">
        <f t="shared" si="255"/>
        <v>0</v>
      </c>
      <c r="CH834">
        <f t="shared" si="256"/>
        <v>0</v>
      </c>
      <c r="CI834">
        <f t="shared" si="257"/>
        <v>0</v>
      </c>
      <c r="CJ834">
        <f t="shared" si="258"/>
        <v>0</v>
      </c>
      <c r="CK834">
        <f t="shared" si="259"/>
        <v>0</v>
      </c>
      <c r="CL834">
        <f t="shared" si="260"/>
        <v>0</v>
      </c>
      <c r="CM834">
        <f t="shared" si="262"/>
        <v>0</v>
      </c>
      <c r="CN834">
        <f t="shared" si="261"/>
        <v>0</v>
      </c>
      <c r="CO834">
        <f t="shared" si="245"/>
        <v>0</v>
      </c>
    </row>
    <row r="835" spans="1:93" s="12" customFormat="1" x14ac:dyDescent="0.25">
      <c r="A835" s="4">
        <v>2013</v>
      </c>
      <c r="B835" s="318">
        <v>44265</v>
      </c>
      <c r="C835" s="4" t="s">
        <v>430</v>
      </c>
      <c r="D835" s="4" t="s">
        <v>431</v>
      </c>
      <c r="E835" s="4"/>
      <c r="F835" s="4" t="s">
        <v>1493</v>
      </c>
      <c r="G835" s="5" t="s">
        <v>432</v>
      </c>
      <c r="H835" s="5" t="s">
        <v>185</v>
      </c>
      <c r="I835" s="5" t="s">
        <v>222</v>
      </c>
      <c r="J835" s="5" t="s">
        <v>9</v>
      </c>
      <c r="K835" s="5">
        <v>20</v>
      </c>
      <c r="L835" s="5" t="s">
        <v>191</v>
      </c>
      <c r="M835" s="5">
        <v>2000</v>
      </c>
      <c r="N835" s="5" t="s">
        <v>171</v>
      </c>
      <c r="O835" s="6" t="s">
        <v>81</v>
      </c>
      <c r="P835" s="6" t="s">
        <v>186</v>
      </c>
      <c r="Q835" s="6"/>
      <c r="R835" s="6"/>
      <c r="S835" s="6">
        <v>45</v>
      </c>
      <c r="T835" s="6">
        <v>17.7</v>
      </c>
      <c r="U835" s="6">
        <v>1853</v>
      </c>
      <c r="V835" s="6">
        <v>45.68</v>
      </c>
      <c r="W835" s="6">
        <v>0</v>
      </c>
      <c r="X835" s="6">
        <v>0</v>
      </c>
      <c r="Y835" s="6">
        <v>1079</v>
      </c>
      <c r="Z835" s="6">
        <v>672</v>
      </c>
      <c r="AA835" s="6">
        <v>94</v>
      </c>
      <c r="AB835" s="6">
        <v>8</v>
      </c>
      <c r="AC835" s="7">
        <v>69</v>
      </c>
      <c r="AD835" s="7" t="s">
        <v>52</v>
      </c>
      <c r="AE835" s="9">
        <v>27.398009354440202</v>
      </c>
      <c r="AF835" s="7">
        <v>391</v>
      </c>
      <c r="AG835" s="7">
        <v>31.46</v>
      </c>
      <c r="AH835" s="9">
        <v>32.0085029186247</v>
      </c>
      <c r="AI835" s="9">
        <v>36.181029677526098</v>
      </c>
      <c r="AJ835" s="9">
        <v>414.96448347698902</v>
      </c>
      <c r="AK835" s="9">
        <v>416.47531440405101</v>
      </c>
      <c r="AL835" s="9">
        <v>469.49650210327502</v>
      </c>
      <c r="AM835" s="9" t="s">
        <v>169</v>
      </c>
      <c r="AN835" s="9" t="s">
        <v>169</v>
      </c>
      <c r="AO835" s="9" t="s">
        <v>169</v>
      </c>
      <c r="AP835" s="9" t="s">
        <v>169</v>
      </c>
      <c r="AQ835" s="9" t="s">
        <v>169</v>
      </c>
      <c r="AR835" s="9" t="s">
        <v>169</v>
      </c>
      <c r="AS835" s="8" t="s">
        <v>169</v>
      </c>
      <c r="AT835" s="8" t="s">
        <v>169</v>
      </c>
      <c r="AU835" s="10" t="s">
        <v>169</v>
      </c>
      <c r="AV835" s="10">
        <v>0</v>
      </c>
      <c r="AW835" s="10" t="s">
        <v>169</v>
      </c>
      <c r="AX835" s="10" t="s">
        <v>169</v>
      </c>
      <c r="AY835" s="10"/>
      <c r="AZ835" s="10"/>
      <c r="BA835" s="10"/>
      <c r="BB835" s="8"/>
      <c r="BC835" s="8"/>
      <c r="BD835" s="8"/>
      <c r="BE835" s="8"/>
      <c r="BF835" s="12">
        <v>0.38</v>
      </c>
      <c r="BG835" s="13">
        <v>310.72843497535098</v>
      </c>
      <c r="BH835" s="96" t="str">
        <f>+VLOOKUP(G835,Liste!$A$7:$G$50,3,FALSE)</f>
        <v>Sapin pectiné</v>
      </c>
      <c r="BI835" s="96" t="str">
        <f>+VLOOKUP(H835,Liste!$B$7:$G$50,5,FALSE)</f>
        <v>GS Arc Jurassien</v>
      </c>
      <c r="BJ835" s="135">
        <f t="shared" ref="BJ835:BJ898" si="263">+AC835</f>
        <v>69</v>
      </c>
      <c r="BK835" s="135" t="str">
        <f t="shared" si="246"/>
        <v>Sapin pectiné_F1_Cas général_GS Arc Jurassien_69_</v>
      </c>
      <c r="BL835" s="322"/>
      <c r="BM835" s="13">
        <v>78.274724639483694</v>
      </c>
      <c r="BN835" s="13">
        <v>389.003159614835</v>
      </c>
      <c r="BO835" s="13" t="s">
        <v>169</v>
      </c>
      <c r="BP835" s="13">
        <v>359.743735612752</v>
      </c>
      <c r="BQ835" s="13" t="s">
        <v>169</v>
      </c>
      <c r="BT835" s="298" t="str">
        <f>+VLOOKUP(G835,Liste!$A$7:$H$50,8,FALSE)</f>
        <v>Résineux</v>
      </c>
      <c r="BU835" s="298">
        <f t="shared" si="247"/>
        <v>0</v>
      </c>
      <c r="BV835" s="300">
        <f t="shared" si="248"/>
        <v>1</v>
      </c>
      <c r="BW835" s="321">
        <v>0</v>
      </c>
      <c r="BX835" s="298">
        <f t="shared" si="249"/>
        <v>0.43</v>
      </c>
      <c r="BY835">
        <f t="shared" si="250"/>
        <v>0</v>
      </c>
      <c r="BZ835" s="304">
        <f t="shared" si="251"/>
        <v>0</v>
      </c>
      <c r="CB835" s="299">
        <v>0.6</v>
      </c>
      <c r="CC835" s="299">
        <v>0.4</v>
      </c>
      <c r="CD835">
        <f t="shared" si="252"/>
        <v>0</v>
      </c>
      <c r="CE835">
        <f t="shared" si="253"/>
        <v>0</v>
      </c>
      <c r="CF835">
        <f t="shared" si="254"/>
        <v>0</v>
      </c>
      <c r="CG835">
        <f t="shared" si="255"/>
        <v>0</v>
      </c>
      <c r="CH835">
        <f t="shared" si="256"/>
        <v>0</v>
      </c>
      <c r="CI835">
        <f t="shared" si="257"/>
        <v>0</v>
      </c>
      <c r="CJ835">
        <f t="shared" si="258"/>
        <v>0</v>
      </c>
      <c r="CK835">
        <f t="shared" si="259"/>
        <v>0</v>
      </c>
      <c r="CL835">
        <f t="shared" si="260"/>
        <v>0</v>
      </c>
      <c r="CM835">
        <f t="shared" si="262"/>
        <v>0</v>
      </c>
      <c r="CN835">
        <f t="shared" si="261"/>
        <v>0</v>
      </c>
      <c r="CO835">
        <f t="shared" ref="CO835:CO898" si="264">+IF(BJ835=30,CN835/30,0)</f>
        <v>0</v>
      </c>
    </row>
    <row r="836" spans="1:93" s="12" customFormat="1" x14ac:dyDescent="0.25">
      <c r="A836" s="4">
        <v>2013</v>
      </c>
      <c r="B836" s="318">
        <v>44265</v>
      </c>
      <c r="C836" s="4" t="s">
        <v>430</v>
      </c>
      <c r="D836" s="4" t="s">
        <v>431</v>
      </c>
      <c r="E836" s="4"/>
      <c r="F836" s="4" t="s">
        <v>1493</v>
      </c>
      <c r="G836" s="5" t="s">
        <v>432</v>
      </c>
      <c r="H836" s="5" t="s">
        <v>185</v>
      </c>
      <c r="I836" s="5" t="s">
        <v>222</v>
      </c>
      <c r="J836" s="5" t="s">
        <v>9</v>
      </c>
      <c r="K836" s="5">
        <v>20</v>
      </c>
      <c r="L836" s="5" t="s">
        <v>191</v>
      </c>
      <c r="M836" s="5">
        <v>2000</v>
      </c>
      <c r="N836" s="5" t="s">
        <v>171</v>
      </c>
      <c r="O836" s="6" t="s">
        <v>81</v>
      </c>
      <c r="P836" s="6" t="s">
        <v>186</v>
      </c>
      <c r="Q836" s="6"/>
      <c r="R836" s="6"/>
      <c r="S836" s="6">
        <v>45</v>
      </c>
      <c r="T836" s="6">
        <v>17.7</v>
      </c>
      <c r="U836" s="6">
        <v>1853</v>
      </c>
      <c r="V836" s="6">
        <v>45.68</v>
      </c>
      <c r="W836" s="6">
        <v>0</v>
      </c>
      <c r="X836" s="6">
        <v>0</v>
      </c>
      <c r="Y836" s="6">
        <v>1079</v>
      </c>
      <c r="Z836" s="6">
        <v>672</v>
      </c>
      <c r="AA836" s="6">
        <v>94</v>
      </c>
      <c r="AB836" s="6">
        <v>8</v>
      </c>
      <c r="AC836" s="7">
        <v>70</v>
      </c>
      <c r="AD836" s="7" t="s">
        <v>52</v>
      </c>
      <c r="AE836" s="9">
        <v>27.713928301314802</v>
      </c>
      <c r="AF836" s="7">
        <v>391</v>
      </c>
      <c r="AG836" s="7">
        <v>32.479999999999997</v>
      </c>
      <c r="AH836" s="9">
        <v>32.522041091765203</v>
      </c>
      <c r="AI836" s="9">
        <v>36.741992814889002</v>
      </c>
      <c r="AJ836" s="9">
        <v>433.88091543536399</v>
      </c>
      <c r="AK836" s="9">
        <v>435.45651750588797</v>
      </c>
      <c r="AL836" s="9">
        <v>489.77670074094601</v>
      </c>
      <c r="AM836" s="9" t="s">
        <v>169</v>
      </c>
      <c r="AN836" s="9" t="s">
        <v>169</v>
      </c>
      <c r="AO836" s="9" t="s">
        <v>169</v>
      </c>
      <c r="AP836" s="9" t="s">
        <v>169</v>
      </c>
      <c r="AQ836" s="9" t="s">
        <v>169</v>
      </c>
      <c r="AR836" s="9" t="s">
        <v>169</v>
      </c>
      <c r="AS836" s="8" t="s">
        <v>169</v>
      </c>
      <c r="AT836" s="8" t="s">
        <v>169</v>
      </c>
      <c r="AU836" s="10" t="s">
        <v>169</v>
      </c>
      <c r="AV836" s="10">
        <v>0</v>
      </c>
      <c r="AW836" s="10" t="s">
        <v>169</v>
      </c>
      <c r="AX836" s="10" t="s">
        <v>169</v>
      </c>
      <c r="AY836" s="10"/>
      <c r="AZ836" s="10"/>
      <c r="BA836" s="10"/>
      <c r="BB836" s="8"/>
      <c r="BC836" s="8"/>
      <c r="BD836" s="8"/>
      <c r="BE836" s="8"/>
      <c r="BF836" s="12">
        <v>0.38</v>
      </c>
      <c r="BG836" s="13">
        <v>324.15054644038298</v>
      </c>
      <c r="BH836" s="96" t="str">
        <f>+VLOOKUP(G836,Liste!$A$7:$G$50,3,FALSE)</f>
        <v>Sapin pectiné</v>
      </c>
      <c r="BI836" s="96" t="str">
        <f>+VLOOKUP(H836,Liste!$B$7:$G$50,5,FALSE)</f>
        <v>GS Arc Jurassien</v>
      </c>
      <c r="BJ836" s="135">
        <f t="shared" si="263"/>
        <v>70</v>
      </c>
      <c r="BK836" s="135" t="str">
        <f t="shared" ref="BK836:BK899" si="265">+_xlfn.CONCAT(BH836,"_",J836,"_",I836,"_",BI836,"_",BJ836,"_")</f>
        <v>Sapin pectiné_F1_Cas général_GS Arc Jurassien_70_</v>
      </c>
      <c r="BL836" s="322"/>
      <c r="BM836" s="13">
        <v>81.257283932881705</v>
      </c>
      <c r="BN836" s="13">
        <v>405.40783037326503</v>
      </c>
      <c r="BO836" s="13" t="s">
        <v>169</v>
      </c>
      <c r="BP836" s="13">
        <v>359.743735612752</v>
      </c>
      <c r="BQ836" s="13" t="s">
        <v>169</v>
      </c>
      <c r="BT836" s="298" t="str">
        <f>+VLOOKUP(G836,Liste!$A$7:$H$50,8,FALSE)</f>
        <v>Résineux</v>
      </c>
      <c r="BU836" s="298">
        <f t="shared" ref="BU836:BU899" si="266">IF(BT836="Résineux",0%,100%)</f>
        <v>0</v>
      </c>
      <c r="BV836" s="300">
        <f t="shared" ref="BV836:BV899" si="267">+IF(BT836="Résineux",100%,0%)</f>
        <v>1</v>
      </c>
      <c r="BW836" s="321">
        <v>0</v>
      </c>
      <c r="BX836" s="298">
        <f t="shared" ref="BX836:BX899" si="268">+IF(BV836&lt;&gt;0,0.43,0.25)</f>
        <v>0.43</v>
      </c>
      <c r="BY836">
        <f t="shared" ref="BY836:BY899" si="269">+IF(BJ836&lt;=30,AV836*BX836,0)</f>
        <v>0</v>
      </c>
      <c r="BZ836" s="304">
        <f t="shared" ref="BZ836:BZ899" si="270">+IF(BJ836&gt;=31,0,BY836+BZ835)</f>
        <v>0</v>
      </c>
      <c r="CB836" s="299">
        <v>0.6</v>
      </c>
      <c r="CC836" s="299">
        <v>0.4</v>
      </c>
      <c r="CD836">
        <f t="shared" ref="CD836:CD899" si="271">+IF(BJ836&lt;=31,AV836*CA836*0.5,0)</f>
        <v>0</v>
      </c>
      <c r="CE836">
        <f t="shared" ref="CE836:CE899" si="272">IF(BJ836&lt;=31,AV836*CB836,0)</f>
        <v>0</v>
      </c>
      <c r="CF836">
        <f t="shared" ref="CF836:CF899" si="273">IF(BJ836&lt;=31,AV836*CC836,0)</f>
        <v>0</v>
      </c>
      <c r="CG836">
        <f t="shared" ref="CG836:CG899" si="274">CD836*44/12*0.475*BF836</f>
        <v>0</v>
      </c>
      <c r="CH836">
        <f t="shared" ref="CH836:CH899" si="275">CE836*44/12*0.475*BF836</f>
        <v>0</v>
      </c>
      <c r="CI836">
        <f t="shared" ref="CI836:CI899" si="276">CF836*44/12*0.475*BF836</f>
        <v>0</v>
      </c>
      <c r="CJ836">
        <f t="shared" ref="CJ836:CJ899" si="277">+IF(BJ836&lt;=31,CJ835*EXP(-$CJ$1)+CG835*(1-EXP(-$CJ$1))/$CJ$1,0)</f>
        <v>0</v>
      </c>
      <c r="CK836">
        <f t="shared" ref="CK836:CK899" si="278">+IF(BJ836&lt;=31,CK835*EXP(-$CK$1)+CH835*(1-EXP(-$CK$1))/$CK$1,0)</f>
        <v>0</v>
      </c>
      <c r="CL836">
        <f t="shared" ref="CL836:CL899" si="279">+IF(BJ836&lt;=31,CL835*EXP(-$CL$1)+CI835*(1-EXP(-$CL$1))/$CL$1,0)</f>
        <v>0</v>
      </c>
      <c r="CM836">
        <f t="shared" si="262"/>
        <v>0</v>
      </c>
      <c r="CN836">
        <f t="shared" ref="CN836:CN899" si="280">+IF(BJ836&lt;=31,CM836+CN835,0)</f>
        <v>0</v>
      </c>
      <c r="CO836">
        <f t="shared" si="264"/>
        <v>0</v>
      </c>
    </row>
    <row r="837" spans="1:93" s="12" customFormat="1" x14ac:dyDescent="0.25">
      <c r="A837" s="4">
        <v>2013</v>
      </c>
      <c r="B837" s="318">
        <v>44265</v>
      </c>
      <c r="C837" s="4" t="s">
        <v>430</v>
      </c>
      <c r="D837" s="4" t="s">
        <v>431</v>
      </c>
      <c r="E837" s="4"/>
      <c r="F837" s="4" t="s">
        <v>1493</v>
      </c>
      <c r="G837" s="5" t="s">
        <v>432</v>
      </c>
      <c r="H837" s="5" t="s">
        <v>185</v>
      </c>
      <c r="I837" s="5" t="s">
        <v>222</v>
      </c>
      <c r="J837" s="5" t="s">
        <v>9</v>
      </c>
      <c r="K837" s="5">
        <v>20</v>
      </c>
      <c r="L837" s="5" t="s">
        <v>191</v>
      </c>
      <c r="M837" s="5">
        <v>2000</v>
      </c>
      <c r="N837" s="5" t="s">
        <v>171</v>
      </c>
      <c r="O837" s="6" t="s">
        <v>81</v>
      </c>
      <c r="P837" s="6" t="s">
        <v>186</v>
      </c>
      <c r="Q837" s="6"/>
      <c r="R837" s="6"/>
      <c r="S837" s="6">
        <v>45</v>
      </c>
      <c r="T837" s="6">
        <v>17.7</v>
      </c>
      <c r="U837" s="6">
        <v>1853</v>
      </c>
      <c r="V837" s="6">
        <v>45.68</v>
      </c>
      <c r="W837" s="6">
        <v>0</v>
      </c>
      <c r="X837" s="6">
        <v>0</v>
      </c>
      <c r="Y837" s="6">
        <v>1079</v>
      </c>
      <c r="Z837" s="6">
        <v>672</v>
      </c>
      <c r="AA837" s="6">
        <v>94</v>
      </c>
      <c r="AB837" s="6">
        <v>8</v>
      </c>
      <c r="AC837" s="7">
        <v>71</v>
      </c>
      <c r="AD837" s="7" t="s">
        <v>52</v>
      </c>
      <c r="AE837" s="9">
        <v>28.024031766541199</v>
      </c>
      <c r="AF837" s="7">
        <v>391</v>
      </c>
      <c r="AG837" s="7">
        <v>33.49</v>
      </c>
      <c r="AH837" s="9">
        <v>33.0219675204727</v>
      </c>
      <c r="AI837" s="9">
        <v>37.286905371917101</v>
      </c>
      <c r="AJ837" s="9">
        <v>452.79734739373799</v>
      </c>
      <c r="AK837" s="9">
        <v>454.437720607725</v>
      </c>
      <c r="AL837" s="9">
        <v>510.056899378617</v>
      </c>
      <c r="AM837" s="9" t="s">
        <v>169</v>
      </c>
      <c r="AN837" s="9" t="s">
        <v>169</v>
      </c>
      <c r="AO837" s="9" t="s">
        <v>169</v>
      </c>
      <c r="AP837" s="9" t="s">
        <v>169</v>
      </c>
      <c r="AQ837" s="9" t="s">
        <v>169</v>
      </c>
      <c r="AR837" s="9" t="s">
        <v>169</v>
      </c>
      <c r="AS837" s="8" t="s">
        <v>169</v>
      </c>
      <c r="AT837" s="8" t="s">
        <v>169</v>
      </c>
      <c r="AU837" s="10" t="s">
        <v>169</v>
      </c>
      <c r="AV837" s="10">
        <v>0</v>
      </c>
      <c r="AW837" s="10" t="s">
        <v>169</v>
      </c>
      <c r="AX837" s="10" t="s">
        <v>169</v>
      </c>
      <c r="AY837" s="10"/>
      <c r="AZ837" s="10"/>
      <c r="BA837" s="10"/>
      <c r="BB837" s="8"/>
      <c r="BC837" s="8"/>
      <c r="BD837" s="8"/>
      <c r="BE837" s="8"/>
      <c r="BF837" s="12">
        <v>0.38</v>
      </c>
      <c r="BG837" s="13">
        <v>337.57265790541499</v>
      </c>
      <c r="BH837" s="96" t="str">
        <f>+VLOOKUP(G837,Liste!$A$7:$G$50,3,FALSE)</f>
        <v>Sapin pectiné</v>
      </c>
      <c r="BI837" s="96" t="str">
        <f>+VLOOKUP(H837,Liste!$B$7:$G$50,5,FALSE)</f>
        <v>GS Arc Jurassien</v>
      </c>
      <c r="BJ837" s="135">
        <f t="shared" si="263"/>
        <v>71</v>
      </c>
      <c r="BK837" s="135" t="str">
        <f t="shared" si="265"/>
        <v>Sapin pectiné_F1_Cas général_GS Arc Jurassien_71_</v>
      </c>
      <c r="BL837" s="322"/>
      <c r="BM837" s="13">
        <v>84.239843226279703</v>
      </c>
      <c r="BN837" s="13">
        <v>421.81250113169398</v>
      </c>
      <c r="BO837" s="13" t="s">
        <v>169</v>
      </c>
      <c r="BP837" s="13">
        <v>359.743735612752</v>
      </c>
      <c r="BQ837" s="13" t="s">
        <v>169</v>
      </c>
      <c r="BT837" s="298" t="str">
        <f>+VLOOKUP(G837,Liste!$A$7:$H$50,8,FALSE)</f>
        <v>Résineux</v>
      </c>
      <c r="BU837" s="298">
        <f t="shared" si="266"/>
        <v>0</v>
      </c>
      <c r="BV837" s="300">
        <f t="shared" si="267"/>
        <v>1</v>
      </c>
      <c r="BW837" s="321">
        <v>0</v>
      </c>
      <c r="BX837" s="298">
        <f t="shared" si="268"/>
        <v>0.43</v>
      </c>
      <c r="BY837">
        <f t="shared" si="269"/>
        <v>0</v>
      </c>
      <c r="BZ837" s="304">
        <f t="shared" si="270"/>
        <v>0</v>
      </c>
      <c r="CB837" s="299">
        <v>0.6</v>
      </c>
      <c r="CC837" s="299">
        <v>0.4</v>
      </c>
      <c r="CD837">
        <f t="shared" si="271"/>
        <v>0</v>
      </c>
      <c r="CE837">
        <f t="shared" si="272"/>
        <v>0</v>
      </c>
      <c r="CF837">
        <f t="shared" si="273"/>
        <v>0</v>
      </c>
      <c r="CG837">
        <f t="shared" si="274"/>
        <v>0</v>
      </c>
      <c r="CH837">
        <f t="shared" si="275"/>
        <v>0</v>
      </c>
      <c r="CI837">
        <f t="shared" si="276"/>
        <v>0</v>
      </c>
      <c r="CJ837">
        <f t="shared" si="277"/>
        <v>0</v>
      </c>
      <c r="CK837">
        <f t="shared" si="278"/>
        <v>0</v>
      </c>
      <c r="CL837">
        <f t="shared" si="279"/>
        <v>0</v>
      </c>
      <c r="CM837">
        <f t="shared" ref="CM837:CM900" si="281">+CJ837+CK837+CL837</f>
        <v>0</v>
      </c>
      <c r="CN837">
        <f t="shared" si="280"/>
        <v>0</v>
      </c>
      <c r="CO837">
        <f t="shared" si="264"/>
        <v>0</v>
      </c>
    </row>
    <row r="838" spans="1:93" s="12" customFormat="1" x14ac:dyDescent="0.25">
      <c r="A838" s="4">
        <v>2013</v>
      </c>
      <c r="B838" s="318">
        <v>44265</v>
      </c>
      <c r="C838" s="4" t="s">
        <v>430</v>
      </c>
      <c r="D838" s="4" t="s">
        <v>431</v>
      </c>
      <c r="E838" s="4"/>
      <c r="F838" s="4" t="s">
        <v>1493</v>
      </c>
      <c r="G838" s="5" t="s">
        <v>432</v>
      </c>
      <c r="H838" s="5" t="s">
        <v>185</v>
      </c>
      <c r="I838" s="5" t="s">
        <v>222</v>
      </c>
      <c r="J838" s="5" t="s">
        <v>9</v>
      </c>
      <c r="K838" s="5">
        <v>20</v>
      </c>
      <c r="L838" s="5" t="s">
        <v>191</v>
      </c>
      <c r="M838" s="5">
        <v>2000</v>
      </c>
      <c r="N838" s="5" t="s">
        <v>171</v>
      </c>
      <c r="O838" s="6" t="s">
        <v>81</v>
      </c>
      <c r="P838" s="6" t="s">
        <v>186</v>
      </c>
      <c r="Q838" s="6"/>
      <c r="R838" s="6"/>
      <c r="S838" s="6">
        <v>45</v>
      </c>
      <c r="T838" s="6">
        <v>17.7</v>
      </c>
      <c r="U838" s="6">
        <v>1853</v>
      </c>
      <c r="V838" s="6">
        <v>45.68</v>
      </c>
      <c r="W838" s="6">
        <v>0</v>
      </c>
      <c r="X838" s="6">
        <v>0</v>
      </c>
      <c r="Y838" s="6">
        <v>1079</v>
      </c>
      <c r="Z838" s="6">
        <v>672</v>
      </c>
      <c r="AA838" s="6">
        <v>94</v>
      </c>
      <c r="AB838" s="6">
        <v>8</v>
      </c>
      <c r="AC838" s="7">
        <v>72</v>
      </c>
      <c r="AD838" s="7" t="s">
        <v>52</v>
      </c>
      <c r="AE838" s="9">
        <v>28.328451985175999</v>
      </c>
      <c r="AF838" s="7">
        <v>391</v>
      </c>
      <c r="AG838" s="7">
        <v>34.479999999999997</v>
      </c>
      <c r="AH838" s="9">
        <v>33.5088471018748</v>
      </c>
      <c r="AI838" s="9">
        <v>37.816512986526398</v>
      </c>
      <c r="AJ838" s="9">
        <v>471.71377935211302</v>
      </c>
      <c r="AK838" s="9">
        <v>473.41892370956202</v>
      </c>
      <c r="AL838" s="9">
        <v>530.337098016288</v>
      </c>
      <c r="AM838" s="9">
        <v>80.565294317637793</v>
      </c>
      <c r="AN838" s="9">
        <v>1.1189624210783</v>
      </c>
      <c r="AO838" s="9">
        <v>0.97156005178706994</v>
      </c>
      <c r="AP838" s="9">
        <v>1060.5035353482299</v>
      </c>
      <c r="AQ838" s="9">
        <v>14.729215768725499</v>
      </c>
      <c r="AR838" s="9">
        <v>20.218850568204701</v>
      </c>
      <c r="AS838" s="8" t="s">
        <v>169</v>
      </c>
      <c r="AT838" s="8" t="s">
        <v>169</v>
      </c>
      <c r="AU838" s="10" t="s">
        <v>169</v>
      </c>
      <c r="AV838" s="10">
        <v>0</v>
      </c>
      <c r="AW838" s="10" t="s">
        <v>169</v>
      </c>
      <c r="AX838" s="10" t="s">
        <v>169</v>
      </c>
      <c r="AY838" s="10"/>
      <c r="AZ838" s="10"/>
      <c r="BA838" s="10"/>
      <c r="BB838" s="8"/>
      <c r="BC838" s="8"/>
      <c r="BD838" s="8"/>
      <c r="BE838" s="8"/>
      <c r="BF838" s="12">
        <v>0.38</v>
      </c>
      <c r="BG838" s="13">
        <v>350.99476937044699</v>
      </c>
      <c r="BH838" s="96" t="str">
        <f>+VLOOKUP(G838,Liste!$A$7:$G$50,3,FALSE)</f>
        <v>Sapin pectiné</v>
      </c>
      <c r="BI838" s="96" t="str">
        <f>+VLOOKUP(H838,Liste!$B$7:$G$50,5,FALSE)</f>
        <v>GS Arc Jurassien</v>
      </c>
      <c r="BJ838" s="135">
        <f t="shared" si="263"/>
        <v>72</v>
      </c>
      <c r="BK838" s="135" t="str">
        <f t="shared" si="265"/>
        <v>Sapin pectiné_F1_Cas général_GS Arc Jurassien_72_</v>
      </c>
      <c r="BL838" s="322"/>
      <c r="BM838" s="13">
        <v>87.2224025196778</v>
      </c>
      <c r="BN838" s="13">
        <v>438.21717189012401</v>
      </c>
      <c r="BO838" s="13" t="s">
        <v>169</v>
      </c>
      <c r="BP838" s="13">
        <v>359.743735612752</v>
      </c>
      <c r="BQ838" s="13">
        <v>16.083216752831301</v>
      </c>
      <c r="BT838" s="298" t="str">
        <f>+VLOOKUP(G838,Liste!$A$7:$H$50,8,FALSE)</f>
        <v>Résineux</v>
      </c>
      <c r="BU838" s="298">
        <f t="shared" si="266"/>
        <v>0</v>
      </c>
      <c r="BV838" s="300">
        <f t="shared" si="267"/>
        <v>1</v>
      </c>
      <c r="BW838" s="321">
        <v>0</v>
      </c>
      <c r="BX838" s="298">
        <f t="shared" si="268"/>
        <v>0.43</v>
      </c>
      <c r="BY838">
        <f t="shared" si="269"/>
        <v>0</v>
      </c>
      <c r="BZ838" s="304">
        <f t="shared" si="270"/>
        <v>0</v>
      </c>
      <c r="CB838" s="299">
        <v>0.6</v>
      </c>
      <c r="CC838" s="299">
        <v>0.4</v>
      </c>
      <c r="CD838">
        <f t="shared" si="271"/>
        <v>0</v>
      </c>
      <c r="CE838">
        <f t="shared" si="272"/>
        <v>0</v>
      </c>
      <c r="CF838">
        <f t="shared" si="273"/>
        <v>0</v>
      </c>
      <c r="CG838">
        <f t="shared" si="274"/>
        <v>0</v>
      </c>
      <c r="CH838">
        <f t="shared" si="275"/>
        <v>0</v>
      </c>
      <c r="CI838">
        <f t="shared" si="276"/>
        <v>0</v>
      </c>
      <c r="CJ838">
        <f t="shared" si="277"/>
        <v>0</v>
      </c>
      <c r="CK838">
        <f t="shared" si="278"/>
        <v>0</v>
      </c>
      <c r="CL838">
        <f t="shared" si="279"/>
        <v>0</v>
      </c>
      <c r="CM838">
        <f t="shared" si="281"/>
        <v>0</v>
      </c>
      <c r="CN838">
        <f t="shared" si="280"/>
        <v>0</v>
      </c>
      <c r="CO838">
        <f t="shared" si="264"/>
        <v>0</v>
      </c>
    </row>
    <row r="839" spans="1:93" s="12" customFormat="1" x14ac:dyDescent="0.25">
      <c r="A839" s="4">
        <v>2013</v>
      </c>
      <c r="B839" s="318">
        <v>44265</v>
      </c>
      <c r="C839" s="4" t="s">
        <v>430</v>
      </c>
      <c r="D839" s="4" t="s">
        <v>431</v>
      </c>
      <c r="E839" s="4"/>
      <c r="F839" s="4" t="s">
        <v>1493</v>
      </c>
      <c r="G839" s="5" t="s">
        <v>432</v>
      </c>
      <c r="H839" s="5" t="s">
        <v>185</v>
      </c>
      <c r="I839" s="5" t="s">
        <v>222</v>
      </c>
      <c r="J839" s="5" t="s">
        <v>9</v>
      </c>
      <c r="K839" s="5">
        <v>20</v>
      </c>
      <c r="L839" s="5" t="s">
        <v>191</v>
      </c>
      <c r="M839" s="5">
        <v>2000</v>
      </c>
      <c r="N839" s="5" t="s">
        <v>171</v>
      </c>
      <c r="O839" s="6" t="s">
        <v>81</v>
      </c>
      <c r="P839" s="6" t="s">
        <v>186</v>
      </c>
      <c r="Q839" s="6"/>
      <c r="R839" s="6"/>
      <c r="S839" s="6">
        <v>45</v>
      </c>
      <c r="T839" s="6">
        <v>17.7</v>
      </c>
      <c r="U839" s="6">
        <v>1853</v>
      </c>
      <c r="V839" s="6">
        <v>45.68</v>
      </c>
      <c r="W839" s="6">
        <v>0</v>
      </c>
      <c r="X839" s="6">
        <v>0</v>
      </c>
      <c r="Y839" s="6">
        <v>1079</v>
      </c>
      <c r="Z839" s="6">
        <v>672</v>
      </c>
      <c r="AA839" s="6">
        <v>94</v>
      </c>
      <c r="AB839" s="6">
        <v>8</v>
      </c>
      <c r="AC839" s="7">
        <v>73</v>
      </c>
      <c r="AD839" s="7" t="s">
        <v>52</v>
      </c>
      <c r="AE839" s="9">
        <v>28.627318653068301</v>
      </c>
      <c r="AF839" s="7">
        <v>391</v>
      </c>
      <c r="AG839" s="7">
        <v>35.46</v>
      </c>
      <c r="AH839" s="9">
        <v>33.983210100629698</v>
      </c>
      <c r="AI839" s="9">
        <v>38.331509765206697</v>
      </c>
      <c r="AJ839" s="9">
        <v>490.74430702694099</v>
      </c>
      <c r="AK839" s="9">
        <v>492.50774009563901</v>
      </c>
      <c r="AL839" s="9">
        <v>550.55594858449297</v>
      </c>
      <c r="AM839" s="9" t="s">
        <v>169</v>
      </c>
      <c r="AN839" s="9" t="s">
        <v>169</v>
      </c>
      <c r="AO839" s="9" t="s">
        <v>169</v>
      </c>
      <c r="AP839" s="9" t="s">
        <v>169</v>
      </c>
      <c r="AQ839" s="9" t="s">
        <v>169</v>
      </c>
      <c r="AR839" s="9" t="s">
        <v>169</v>
      </c>
      <c r="AS839" s="8" t="s">
        <v>169</v>
      </c>
      <c r="AT839" s="8" t="s">
        <v>169</v>
      </c>
      <c r="AU839" s="10" t="s">
        <v>169</v>
      </c>
      <c r="AV839" s="10">
        <v>0</v>
      </c>
      <c r="AW839" s="10" t="s">
        <v>169</v>
      </c>
      <c r="AX839" s="10" t="s">
        <v>169</v>
      </c>
      <c r="AY839" s="10"/>
      <c r="AZ839" s="10"/>
      <c r="BA839" s="10"/>
      <c r="BB839" s="8"/>
      <c r="BC839" s="8"/>
      <c r="BD839" s="8"/>
      <c r="BE839" s="8"/>
      <c r="BF839" s="12">
        <v>0.38</v>
      </c>
      <c r="BG839" s="13">
        <v>364.37627863816999</v>
      </c>
      <c r="BH839" s="96" t="str">
        <f>+VLOOKUP(G839,Liste!$A$7:$G$50,3,FALSE)</f>
        <v>Sapin pectiné</v>
      </c>
      <c r="BI839" s="96" t="str">
        <f>+VLOOKUP(H839,Liste!$B$7:$G$50,5,FALSE)</f>
        <v>GS Arc Jurassien</v>
      </c>
      <c r="BJ839" s="135">
        <f t="shared" si="263"/>
        <v>73</v>
      </c>
      <c r="BK839" s="135" t="str">
        <f t="shared" si="265"/>
        <v>Sapin pectiné_F1_Cas général_GS Arc Jurassien_73_</v>
      </c>
      <c r="BL839" s="322"/>
      <c r="BM839" s="13">
        <v>90.141875730049307</v>
      </c>
      <c r="BN839" s="13">
        <v>454.51815436821897</v>
      </c>
      <c r="BO839" s="13" t="s">
        <v>169</v>
      </c>
      <c r="BP839" s="13">
        <v>359.743735612752</v>
      </c>
      <c r="BQ839" s="13" t="s">
        <v>169</v>
      </c>
      <c r="BT839" s="298" t="str">
        <f>+VLOOKUP(G839,Liste!$A$7:$H$50,8,FALSE)</f>
        <v>Résineux</v>
      </c>
      <c r="BU839" s="298">
        <f t="shared" si="266"/>
        <v>0</v>
      </c>
      <c r="BV839" s="300">
        <f t="shared" si="267"/>
        <v>1</v>
      </c>
      <c r="BW839" s="321">
        <v>0</v>
      </c>
      <c r="BX839" s="298">
        <f t="shared" si="268"/>
        <v>0.43</v>
      </c>
      <c r="BY839">
        <f t="shared" si="269"/>
        <v>0</v>
      </c>
      <c r="BZ839" s="304">
        <f t="shared" si="270"/>
        <v>0</v>
      </c>
      <c r="CB839" s="299">
        <v>0.6</v>
      </c>
      <c r="CC839" s="299">
        <v>0.4</v>
      </c>
      <c r="CD839">
        <f t="shared" si="271"/>
        <v>0</v>
      </c>
      <c r="CE839">
        <f t="shared" si="272"/>
        <v>0</v>
      </c>
      <c r="CF839">
        <f t="shared" si="273"/>
        <v>0</v>
      </c>
      <c r="CG839">
        <f t="shared" si="274"/>
        <v>0</v>
      </c>
      <c r="CH839">
        <f t="shared" si="275"/>
        <v>0</v>
      </c>
      <c r="CI839">
        <f t="shared" si="276"/>
        <v>0</v>
      </c>
      <c r="CJ839">
        <f t="shared" si="277"/>
        <v>0</v>
      </c>
      <c r="CK839">
        <f t="shared" si="278"/>
        <v>0</v>
      </c>
      <c r="CL839">
        <f t="shared" si="279"/>
        <v>0</v>
      </c>
      <c r="CM839">
        <f t="shared" si="281"/>
        <v>0</v>
      </c>
      <c r="CN839">
        <f t="shared" si="280"/>
        <v>0</v>
      </c>
      <c r="CO839">
        <f t="shared" si="264"/>
        <v>0</v>
      </c>
    </row>
    <row r="840" spans="1:93" s="12" customFormat="1" x14ac:dyDescent="0.25">
      <c r="A840" s="4">
        <v>2013</v>
      </c>
      <c r="B840" s="318">
        <v>44265</v>
      </c>
      <c r="C840" s="4" t="s">
        <v>430</v>
      </c>
      <c r="D840" s="4" t="s">
        <v>431</v>
      </c>
      <c r="E840" s="4"/>
      <c r="F840" s="4" t="s">
        <v>1493</v>
      </c>
      <c r="G840" s="5" t="s">
        <v>432</v>
      </c>
      <c r="H840" s="5" t="s">
        <v>185</v>
      </c>
      <c r="I840" s="5" t="s">
        <v>222</v>
      </c>
      <c r="J840" s="5" t="s">
        <v>9</v>
      </c>
      <c r="K840" s="5">
        <v>20</v>
      </c>
      <c r="L840" s="5" t="s">
        <v>191</v>
      </c>
      <c r="M840" s="5">
        <v>2000</v>
      </c>
      <c r="N840" s="5" t="s">
        <v>171</v>
      </c>
      <c r="O840" s="6" t="s">
        <v>81</v>
      </c>
      <c r="P840" s="6" t="s">
        <v>186</v>
      </c>
      <c r="Q840" s="6"/>
      <c r="R840" s="6"/>
      <c r="S840" s="6">
        <v>45</v>
      </c>
      <c r="T840" s="6">
        <v>17.7</v>
      </c>
      <c r="U840" s="6">
        <v>1853</v>
      </c>
      <c r="V840" s="6">
        <v>45.68</v>
      </c>
      <c r="W840" s="6">
        <v>0</v>
      </c>
      <c r="X840" s="6">
        <v>0</v>
      </c>
      <c r="Y840" s="6">
        <v>1079</v>
      </c>
      <c r="Z840" s="6">
        <v>672</v>
      </c>
      <c r="AA840" s="6">
        <v>94</v>
      </c>
      <c r="AB840" s="6">
        <v>8</v>
      </c>
      <c r="AC840" s="7">
        <v>74</v>
      </c>
      <c r="AD840" s="7" t="s">
        <v>52</v>
      </c>
      <c r="AE840" s="9">
        <v>28.9207588675506</v>
      </c>
      <c r="AF840" s="7">
        <v>391</v>
      </c>
      <c r="AG840" s="7">
        <v>36.44</v>
      </c>
      <c r="AH840" s="9">
        <v>34.445555657709797</v>
      </c>
      <c r="AI840" s="9">
        <v>38.832543404146897</v>
      </c>
      <c r="AJ840" s="9">
        <v>509.77483470176901</v>
      </c>
      <c r="AK840" s="9">
        <v>511.59655648171702</v>
      </c>
      <c r="AL840" s="9">
        <v>570.77479915269805</v>
      </c>
      <c r="AM840" s="9" t="s">
        <v>169</v>
      </c>
      <c r="AN840" s="9" t="s">
        <v>169</v>
      </c>
      <c r="AO840" s="9" t="s">
        <v>169</v>
      </c>
      <c r="AP840" s="9" t="s">
        <v>169</v>
      </c>
      <c r="AQ840" s="9" t="s">
        <v>169</v>
      </c>
      <c r="AR840" s="9" t="s">
        <v>169</v>
      </c>
      <c r="AS840" s="8" t="s">
        <v>169</v>
      </c>
      <c r="AT840" s="8" t="s">
        <v>169</v>
      </c>
      <c r="AU840" s="10" t="s">
        <v>169</v>
      </c>
      <c r="AV840" s="10">
        <v>0</v>
      </c>
      <c r="AW840" s="10" t="s">
        <v>169</v>
      </c>
      <c r="AX840" s="10" t="s">
        <v>169</v>
      </c>
      <c r="AY840" s="10"/>
      <c r="AZ840" s="10"/>
      <c r="BA840" s="10"/>
      <c r="BB840" s="8"/>
      <c r="BC840" s="8"/>
      <c r="BD840" s="8"/>
      <c r="BE840" s="8"/>
      <c r="BF840" s="12">
        <v>0.38</v>
      </c>
      <c r="BG840" s="13">
        <v>377.75778790589402</v>
      </c>
      <c r="BH840" s="96" t="str">
        <f>+VLOOKUP(G840,Liste!$A$7:$G$50,3,FALSE)</f>
        <v>Sapin pectiné</v>
      </c>
      <c r="BI840" s="96" t="str">
        <f>+VLOOKUP(H840,Liste!$B$7:$G$50,5,FALSE)</f>
        <v>GS Arc Jurassien</v>
      </c>
      <c r="BJ840" s="135">
        <f t="shared" si="263"/>
        <v>74</v>
      </c>
      <c r="BK840" s="135" t="str">
        <f t="shared" si="265"/>
        <v>Sapin pectiné_F1_Cas général_GS Arc Jurassien_74_</v>
      </c>
      <c r="BL840" s="322"/>
      <c r="BM840" s="13">
        <v>93.0613489404207</v>
      </c>
      <c r="BN840" s="13">
        <v>470.819136846314</v>
      </c>
      <c r="BO840" s="13" t="s">
        <v>169</v>
      </c>
      <c r="BP840" s="13">
        <v>359.743735612752</v>
      </c>
      <c r="BQ840" s="13" t="s">
        <v>169</v>
      </c>
      <c r="BT840" s="298" t="str">
        <f>+VLOOKUP(G840,Liste!$A$7:$H$50,8,FALSE)</f>
        <v>Résineux</v>
      </c>
      <c r="BU840" s="298">
        <f t="shared" si="266"/>
        <v>0</v>
      </c>
      <c r="BV840" s="300">
        <f t="shared" si="267"/>
        <v>1</v>
      </c>
      <c r="BW840" s="321">
        <v>0</v>
      </c>
      <c r="BX840" s="298">
        <f t="shared" si="268"/>
        <v>0.43</v>
      </c>
      <c r="BY840">
        <f t="shared" si="269"/>
        <v>0</v>
      </c>
      <c r="BZ840" s="304">
        <f t="shared" si="270"/>
        <v>0</v>
      </c>
      <c r="CB840" s="299">
        <v>0.6</v>
      </c>
      <c r="CC840" s="299">
        <v>0.4</v>
      </c>
      <c r="CD840">
        <f t="shared" si="271"/>
        <v>0</v>
      </c>
      <c r="CE840">
        <f t="shared" si="272"/>
        <v>0</v>
      </c>
      <c r="CF840">
        <f t="shared" si="273"/>
        <v>0</v>
      </c>
      <c r="CG840">
        <f t="shared" si="274"/>
        <v>0</v>
      </c>
      <c r="CH840">
        <f t="shared" si="275"/>
        <v>0</v>
      </c>
      <c r="CI840">
        <f t="shared" si="276"/>
        <v>0</v>
      </c>
      <c r="CJ840">
        <f t="shared" si="277"/>
        <v>0</v>
      </c>
      <c r="CK840">
        <f t="shared" si="278"/>
        <v>0</v>
      </c>
      <c r="CL840">
        <f t="shared" si="279"/>
        <v>0</v>
      </c>
      <c r="CM840">
        <f t="shared" si="281"/>
        <v>0</v>
      </c>
      <c r="CN840">
        <f t="shared" si="280"/>
        <v>0</v>
      </c>
      <c r="CO840">
        <f t="shared" si="264"/>
        <v>0</v>
      </c>
    </row>
    <row r="841" spans="1:93" s="12" customFormat="1" x14ac:dyDescent="0.25">
      <c r="A841" s="4">
        <v>2013</v>
      </c>
      <c r="B841" s="318">
        <v>44265</v>
      </c>
      <c r="C841" s="4" t="s">
        <v>430</v>
      </c>
      <c r="D841" s="4" t="s">
        <v>431</v>
      </c>
      <c r="E841" s="4"/>
      <c r="F841" s="4" t="s">
        <v>1493</v>
      </c>
      <c r="G841" s="5" t="s">
        <v>432</v>
      </c>
      <c r="H841" s="5" t="s">
        <v>185</v>
      </c>
      <c r="I841" s="5" t="s">
        <v>222</v>
      </c>
      <c r="J841" s="5" t="s">
        <v>9</v>
      </c>
      <c r="K841" s="5">
        <v>20</v>
      </c>
      <c r="L841" s="5" t="s">
        <v>191</v>
      </c>
      <c r="M841" s="5">
        <v>2000</v>
      </c>
      <c r="N841" s="5" t="s">
        <v>171</v>
      </c>
      <c r="O841" s="6" t="s">
        <v>81</v>
      </c>
      <c r="P841" s="6" t="s">
        <v>186</v>
      </c>
      <c r="Q841" s="6"/>
      <c r="R841" s="6"/>
      <c r="S841" s="6">
        <v>45</v>
      </c>
      <c r="T841" s="6">
        <v>17.7</v>
      </c>
      <c r="U841" s="6">
        <v>1853</v>
      </c>
      <c r="V841" s="6">
        <v>45.68</v>
      </c>
      <c r="W841" s="6">
        <v>0</v>
      </c>
      <c r="X841" s="6">
        <v>0</v>
      </c>
      <c r="Y841" s="6">
        <v>1079</v>
      </c>
      <c r="Z841" s="6">
        <v>672</v>
      </c>
      <c r="AA841" s="6">
        <v>94</v>
      </c>
      <c r="AB841" s="6">
        <v>8</v>
      </c>
      <c r="AC841" s="7">
        <v>75</v>
      </c>
      <c r="AD841" s="7" t="s">
        <v>52</v>
      </c>
      <c r="AE841" s="9">
        <v>29.208897085223398</v>
      </c>
      <c r="AF841" s="7">
        <v>391</v>
      </c>
      <c r="AG841" s="7">
        <v>37.4</v>
      </c>
      <c r="AH841" s="9">
        <v>34.896353969790198</v>
      </c>
      <c r="AI841" s="9">
        <v>39.320219322677801</v>
      </c>
      <c r="AJ841" s="9">
        <v>528.80536237659703</v>
      </c>
      <c r="AK841" s="9">
        <v>530.68537286779497</v>
      </c>
      <c r="AL841" s="9">
        <v>590.993649720902</v>
      </c>
      <c r="AM841" s="9">
        <v>83.479974472999004</v>
      </c>
      <c r="AN841" s="9">
        <v>1.11306632630665</v>
      </c>
      <c r="AO841" s="9">
        <v>0.89534729093806198</v>
      </c>
      <c r="AP841" s="9">
        <v>1121.16008705285</v>
      </c>
      <c r="AQ841" s="9">
        <v>14.948801160704599</v>
      </c>
      <c r="AR841" s="9">
        <v>19.198193358429801</v>
      </c>
      <c r="AS841" s="8" t="s">
        <v>169</v>
      </c>
      <c r="AT841" s="8" t="s">
        <v>169</v>
      </c>
      <c r="AU841" s="10" t="s">
        <v>169</v>
      </c>
      <c r="AV841" s="10">
        <v>0</v>
      </c>
      <c r="AW841" s="10" t="s">
        <v>169</v>
      </c>
      <c r="AX841" s="10" t="s">
        <v>169</v>
      </c>
      <c r="AY841" s="10"/>
      <c r="AZ841" s="10"/>
      <c r="BA841" s="10"/>
      <c r="BB841" s="8"/>
      <c r="BC841" s="8"/>
      <c r="BD841" s="8"/>
      <c r="BE841" s="8"/>
      <c r="BF841" s="12">
        <v>0.38</v>
      </c>
      <c r="BG841" s="13">
        <v>391.13929717361702</v>
      </c>
      <c r="BH841" s="96" t="str">
        <f>+VLOOKUP(G841,Liste!$A$7:$G$50,3,FALSE)</f>
        <v>Sapin pectiné</v>
      </c>
      <c r="BI841" s="96" t="str">
        <f>+VLOOKUP(H841,Liste!$B$7:$G$50,5,FALSE)</f>
        <v>GS Arc Jurassien</v>
      </c>
      <c r="BJ841" s="135">
        <f t="shared" si="263"/>
        <v>75</v>
      </c>
      <c r="BK841" s="135" t="str">
        <f t="shared" si="265"/>
        <v>Sapin pectiné_F1_Cas général_GS Arc Jurassien_75_</v>
      </c>
      <c r="BL841" s="322"/>
      <c r="BM841" s="13">
        <v>95.980822150792207</v>
      </c>
      <c r="BN841" s="13">
        <v>487.12011932440902</v>
      </c>
      <c r="BO841" s="13" t="s">
        <v>169</v>
      </c>
      <c r="BP841" s="13">
        <v>359.743735612752</v>
      </c>
      <c r="BQ841" s="13">
        <v>15.2605775239319</v>
      </c>
      <c r="BT841" s="298" t="str">
        <f>+VLOOKUP(G841,Liste!$A$7:$H$50,8,FALSE)</f>
        <v>Résineux</v>
      </c>
      <c r="BU841" s="298">
        <f t="shared" si="266"/>
        <v>0</v>
      </c>
      <c r="BV841" s="300">
        <f t="shared" si="267"/>
        <v>1</v>
      </c>
      <c r="BW841" s="321">
        <v>0</v>
      </c>
      <c r="BX841" s="298">
        <f t="shared" si="268"/>
        <v>0.43</v>
      </c>
      <c r="BY841">
        <f t="shared" si="269"/>
        <v>0</v>
      </c>
      <c r="BZ841" s="304">
        <f t="shared" si="270"/>
        <v>0</v>
      </c>
      <c r="CB841" s="299">
        <v>0.6</v>
      </c>
      <c r="CC841" s="299">
        <v>0.4</v>
      </c>
      <c r="CD841">
        <f t="shared" si="271"/>
        <v>0</v>
      </c>
      <c r="CE841">
        <f t="shared" si="272"/>
        <v>0</v>
      </c>
      <c r="CF841">
        <f t="shared" si="273"/>
        <v>0</v>
      </c>
      <c r="CG841">
        <f t="shared" si="274"/>
        <v>0</v>
      </c>
      <c r="CH841">
        <f t="shared" si="275"/>
        <v>0</v>
      </c>
      <c r="CI841">
        <f t="shared" si="276"/>
        <v>0</v>
      </c>
      <c r="CJ841">
        <f t="shared" si="277"/>
        <v>0</v>
      </c>
      <c r="CK841">
        <f t="shared" si="278"/>
        <v>0</v>
      </c>
      <c r="CL841">
        <f t="shared" si="279"/>
        <v>0</v>
      </c>
      <c r="CM841">
        <f t="shared" si="281"/>
        <v>0</v>
      </c>
      <c r="CN841">
        <f t="shared" si="280"/>
        <v>0</v>
      </c>
      <c r="CO841">
        <f t="shared" si="264"/>
        <v>0</v>
      </c>
    </row>
    <row r="842" spans="1:93" s="12" customFormat="1" x14ac:dyDescent="0.25">
      <c r="A842" s="4">
        <v>2013</v>
      </c>
      <c r="B842" s="318">
        <v>44265</v>
      </c>
      <c r="C842" s="4" t="s">
        <v>430</v>
      </c>
      <c r="D842" s="4" t="s">
        <v>431</v>
      </c>
      <c r="E842" s="4"/>
      <c r="F842" s="4" t="s">
        <v>1493</v>
      </c>
      <c r="G842" s="5" t="s">
        <v>432</v>
      </c>
      <c r="H842" s="5" t="s">
        <v>185</v>
      </c>
      <c r="I842" s="5" t="s">
        <v>222</v>
      </c>
      <c r="J842" s="5" t="s">
        <v>9</v>
      </c>
      <c r="K842" s="5">
        <v>20</v>
      </c>
      <c r="L842" s="5" t="s">
        <v>191</v>
      </c>
      <c r="M842" s="5">
        <v>2000</v>
      </c>
      <c r="N842" s="5" t="s">
        <v>171</v>
      </c>
      <c r="O842" s="6" t="s">
        <v>81</v>
      </c>
      <c r="P842" s="6" t="s">
        <v>186</v>
      </c>
      <c r="Q842" s="6"/>
      <c r="R842" s="6"/>
      <c r="S842" s="6">
        <v>45</v>
      </c>
      <c r="T842" s="6">
        <v>17.7</v>
      </c>
      <c r="U842" s="6">
        <v>1853</v>
      </c>
      <c r="V842" s="6">
        <v>45.68</v>
      </c>
      <c r="W842" s="6">
        <v>0</v>
      </c>
      <c r="X842" s="6">
        <v>0</v>
      </c>
      <c r="Y842" s="6">
        <v>1079</v>
      </c>
      <c r="Z842" s="6">
        <v>672</v>
      </c>
      <c r="AA842" s="6">
        <v>94</v>
      </c>
      <c r="AB842" s="6">
        <v>8</v>
      </c>
      <c r="AC842" s="7">
        <v>75</v>
      </c>
      <c r="AD842" s="7" t="s">
        <v>53</v>
      </c>
      <c r="AE842" s="9">
        <v>29.208897085223398</v>
      </c>
      <c r="AF842" s="7">
        <v>311</v>
      </c>
      <c r="AG842" s="7">
        <v>30.2</v>
      </c>
      <c r="AH842" s="9">
        <v>35.1620204224253</v>
      </c>
      <c r="AI842" s="9">
        <v>38.965713570818501</v>
      </c>
      <c r="AJ842" s="9">
        <v>427.60401591287803</v>
      </c>
      <c r="AK842" s="9">
        <v>429.14771607593099</v>
      </c>
      <c r="AL842" s="9">
        <v>477.95532907777198</v>
      </c>
      <c r="AM842" s="9">
        <v>83.479974472999004</v>
      </c>
      <c r="AN842" s="9">
        <v>1.11306632630665</v>
      </c>
      <c r="AO842" s="9">
        <v>0.89534729093806198</v>
      </c>
      <c r="AP842" s="9">
        <v>1121.16008705285</v>
      </c>
      <c r="AQ842" s="9">
        <v>14.948801160704599</v>
      </c>
      <c r="AR842" s="9">
        <v>19.198193358429801</v>
      </c>
      <c r="AS842" s="8">
        <v>80</v>
      </c>
      <c r="AT842" s="8">
        <v>7.1999999999999993</v>
      </c>
      <c r="AU842" s="10">
        <v>33.851375012865375</v>
      </c>
      <c r="AV842" s="10">
        <v>101.20134646371901</v>
      </c>
      <c r="AW842" s="10">
        <v>0.94100627841905438</v>
      </c>
      <c r="AX842" s="10">
        <v>1.2650168307964875</v>
      </c>
      <c r="AY842" s="10"/>
      <c r="AZ842" s="10"/>
      <c r="BA842" s="10"/>
      <c r="BB842" s="8"/>
      <c r="BC842" s="8"/>
      <c r="BD842" s="8"/>
      <c r="BE842" s="8"/>
      <c r="BF842" s="12">
        <v>0.38</v>
      </c>
      <c r="BG842" s="13">
        <v>316.326768627972</v>
      </c>
      <c r="BH842" s="96" t="str">
        <f>+VLOOKUP(G842,Liste!$A$7:$G$50,3,FALSE)</f>
        <v>Sapin pectiné</v>
      </c>
      <c r="BI842" s="96" t="str">
        <f>+VLOOKUP(H842,Liste!$B$7:$G$50,5,FALSE)</f>
        <v>GS Arc Jurassien</v>
      </c>
      <c r="BJ842" s="135">
        <f t="shared" si="263"/>
        <v>75</v>
      </c>
      <c r="BK842" s="135" t="str">
        <f t="shared" si="265"/>
        <v>Sapin pectiné_F1_Cas général_GS Arc Jurassien_75_</v>
      </c>
      <c r="BL842" s="322"/>
      <c r="BM842" s="13">
        <v>79.564715913517105</v>
      </c>
      <c r="BN842" s="13">
        <v>395.89148454148898</v>
      </c>
      <c r="BO842" s="13">
        <v>91.228634782920039</v>
      </c>
      <c r="BP842" s="13">
        <v>359.743735612752</v>
      </c>
      <c r="BQ842" s="13">
        <v>15.2605775239319</v>
      </c>
      <c r="BT842" s="298" t="str">
        <f>+VLOOKUP(G842,Liste!$A$7:$H$50,8,FALSE)</f>
        <v>Résineux</v>
      </c>
      <c r="BU842" s="298">
        <f t="shared" si="266"/>
        <v>0</v>
      </c>
      <c r="BV842" s="300">
        <f t="shared" si="267"/>
        <v>1</v>
      </c>
      <c r="BW842" s="321">
        <v>0</v>
      </c>
      <c r="BX842" s="298">
        <f t="shared" si="268"/>
        <v>0.43</v>
      </c>
      <c r="BY842">
        <f t="shared" si="269"/>
        <v>0</v>
      </c>
      <c r="BZ842" s="304">
        <f t="shared" si="270"/>
        <v>0</v>
      </c>
      <c r="CB842" s="299">
        <v>0.6</v>
      </c>
      <c r="CC842" s="299">
        <v>0.4</v>
      </c>
      <c r="CD842">
        <f t="shared" si="271"/>
        <v>0</v>
      </c>
      <c r="CE842">
        <f t="shared" si="272"/>
        <v>0</v>
      </c>
      <c r="CF842">
        <f t="shared" si="273"/>
        <v>0</v>
      </c>
      <c r="CG842">
        <f t="shared" si="274"/>
        <v>0</v>
      </c>
      <c r="CH842">
        <f t="shared" si="275"/>
        <v>0</v>
      </c>
      <c r="CI842">
        <f t="shared" si="276"/>
        <v>0</v>
      </c>
      <c r="CJ842">
        <f t="shared" si="277"/>
        <v>0</v>
      </c>
      <c r="CK842">
        <f t="shared" si="278"/>
        <v>0</v>
      </c>
      <c r="CL842">
        <f t="shared" si="279"/>
        <v>0</v>
      </c>
      <c r="CM842">
        <f t="shared" si="281"/>
        <v>0</v>
      </c>
      <c r="CN842">
        <f t="shared" si="280"/>
        <v>0</v>
      </c>
      <c r="CO842">
        <f t="shared" si="264"/>
        <v>0</v>
      </c>
    </row>
    <row r="843" spans="1:93" s="12" customFormat="1" x14ac:dyDescent="0.25">
      <c r="A843" s="4">
        <v>2013</v>
      </c>
      <c r="B843" s="318">
        <v>44265</v>
      </c>
      <c r="C843" s="4" t="s">
        <v>430</v>
      </c>
      <c r="D843" s="4" t="s">
        <v>431</v>
      </c>
      <c r="E843" s="4"/>
      <c r="F843" s="4" t="s">
        <v>1493</v>
      </c>
      <c r="G843" s="5" t="s">
        <v>432</v>
      </c>
      <c r="H843" s="5" t="s">
        <v>185</v>
      </c>
      <c r="I843" s="5" t="s">
        <v>222</v>
      </c>
      <c r="J843" s="5" t="s">
        <v>9</v>
      </c>
      <c r="K843" s="5">
        <v>20</v>
      </c>
      <c r="L843" s="5" t="s">
        <v>191</v>
      </c>
      <c r="M843" s="5">
        <v>2000</v>
      </c>
      <c r="N843" s="5" t="s">
        <v>171</v>
      </c>
      <c r="O843" s="6" t="s">
        <v>81</v>
      </c>
      <c r="P843" s="6" t="s">
        <v>186</v>
      </c>
      <c r="Q843" s="6"/>
      <c r="R843" s="6"/>
      <c r="S843" s="6">
        <v>45</v>
      </c>
      <c r="T843" s="6">
        <v>17.7</v>
      </c>
      <c r="U843" s="6">
        <v>1853</v>
      </c>
      <c r="V843" s="6">
        <v>45.68</v>
      </c>
      <c r="W843" s="6">
        <v>0</v>
      </c>
      <c r="X843" s="6">
        <v>0</v>
      </c>
      <c r="Y843" s="6">
        <v>1079</v>
      </c>
      <c r="Z843" s="6">
        <v>672</v>
      </c>
      <c r="AA843" s="6">
        <v>94</v>
      </c>
      <c r="AB843" s="6">
        <v>8</v>
      </c>
      <c r="AC843" s="7">
        <v>76</v>
      </c>
      <c r="AD843" s="7" t="s">
        <v>52</v>
      </c>
      <c r="AE843" s="9">
        <v>29.4918550945889</v>
      </c>
      <c r="AF843" s="7">
        <v>311</v>
      </c>
      <c r="AG843" s="7">
        <v>31.09</v>
      </c>
      <c r="AH843" s="9">
        <v>35.679452881428098</v>
      </c>
      <c r="AI843" s="9">
        <v>39.518803437753803</v>
      </c>
      <c r="AJ843" s="9">
        <v>445.79205702472899</v>
      </c>
      <c r="AK843" s="9">
        <v>447.385962134149</v>
      </c>
      <c r="AL843" s="9">
        <v>497.153522436201</v>
      </c>
      <c r="AM843" s="9">
        <v>84.375321763937094</v>
      </c>
      <c r="AN843" s="9">
        <v>1.11020160215707</v>
      </c>
      <c r="AO843" s="9">
        <v>0.86495880664326097</v>
      </c>
      <c r="AP843" s="9">
        <v>1140.35828041128</v>
      </c>
      <c r="AQ843" s="9">
        <v>15.0047142159379</v>
      </c>
      <c r="AR843" s="9">
        <v>18.383039932634102</v>
      </c>
      <c r="AS843" s="8" t="s">
        <v>169</v>
      </c>
      <c r="AT843" s="8" t="s">
        <v>169</v>
      </c>
      <c r="AU843" s="10" t="s">
        <v>169</v>
      </c>
      <c r="AV843" s="10">
        <v>0</v>
      </c>
      <c r="AW843" s="10" t="s">
        <v>169</v>
      </c>
      <c r="AX843" s="10" t="s">
        <v>169</v>
      </c>
      <c r="AY843" s="10"/>
      <c r="AZ843" s="10"/>
      <c r="BA843" s="10"/>
      <c r="BB843" s="8"/>
      <c r="BC843" s="8"/>
      <c r="BD843" s="8"/>
      <c r="BE843" s="8"/>
      <c r="BF843" s="12">
        <v>0.38</v>
      </c>
      <c r="BG843" s="13">
        <v>329.03277293235902</v>
      </c>
      <c r="BH843" s="96" t="str">
        <f>+VLOOKUP(G843,Liste!$A$7:$G$50,3,FALSE)</f>
        <v>Sapin pectiné</v>
      </c>
      <c r="BI843" s="96" t="str">
        <f>+VLOOKUP(H843,Liste!$B$7:$G$50,5,FALSE)</f>
        <v>GS Arc Jurassien</v>
      </c>
      <c r="BJ843" s="135">
        <f t="shared" si="263"/>
        <v>76</v>
      </c>
      <c r="BK843" s="135" t="str">
        <f t="shared" si="265"/>
        <v>Sapin pectiné_F1_Cas général_GS Arc Jurassien_76_</v>
      </c>
      <c r="BL843" s="322"/>
      <c r="BM843" s="13">
        <v>82.382110766263693</v>
      </c>
      <c r="BN843" s="13">
        <v>411.41488369862299</v>
      </c>
      <c r="BO843" s="13" t="s">
        <v>169</v>
      </c>
      <c r="BP843" s="13">
        <v>359.743735612752</v>
      </c>
      <c r="BQ843" s="13">
        <v>14.599071791344301</v>
      </c>
      <c r="BT843" s="298" t="str">
        <f>+VLOOKUP(G843,Liste!$A$7:$H$50,8,FALSE)</f>
        <v>Résineux</v>
      </c>
      <c r="BU843" s="298">
        <f t="shared" si="266"/>
        <v>0</v>
      </c>
      <c r="BV843" s="300">
        <f t="shared" si="267"/>
        <v>1</v>
      </c>
      <c r="BW843" s="321">
        <v>0</v>
      </c>
      <c r="BX843" s="298">
        <f t="shared" si="268"/>
        <v>0.43</v>
      </c>
      <c r="BY843">
        <f t="shared" si="269"/>
        <v>0</v>
      </c>
      <c r="BZ843" s="304">
        <f t="shared" si="270"/>
        <v>0</v>
      </c>
      <c r="CB843" s="299">
        <v>0.6</v>
      </c>
      <c r="CC843" s="299">
        <v>0.4</v>
      </c>
      <c r="CD843">
        <f t="shared" si="271"/>
        <v>0</v>
      </c>
      <c r="CE843">
        <f t="shared" si="272"/>
        <v>0</v>
      </c>
      <c r="CF843">
        <f t="shared" si="273"/>
        <v>0</v>
      </c>
      <c r="CG843">
        <f t="shared" si="274"/>
        <v>0</v>
      </c>
      <c r="CH843">
        <f t="shared" si="275"/>
        <v>0</v>
      </c>
      <c r="CI843">
        <f t="shared" si="276"/>
        <v>0</v>
      </c>
      <c r="CJ843">
        <f t="shared" si="277"/>
        <v>0</v>
      </c>
      <c r="CK843">
        <f t="shared" si="278"/>
        <v>0</v>
      </c>
      <c r="CL843">
        <f t="shared" si="279"/>
        <v>0</v>
      </c>
      <c r="CM843">
        <f t="shared" si="281"/>
        <v>0</v>
      </c>
      <c r="CN843">
        <f t="shared" si="280"/>
        <v>0</v>
      </c>
      <c r="CO843">
        <f t="shared" si="264"/>
        <v>0</v>
      </c>
    </row>
    <row r="844" spans="1:93" s="12" customFormat="1" x14ac:dyDescent="0.25">
      <c r="A844" s="4">
        <v>2013</v>
      </c>
      <c r="B844" s="318">
        <v>44265</v>
      </c>
      <c r="C844" s="4" t="s">
        <v>430</v>
      </c>
      <c r="D844" s="4" t="s">
        <v>431</v>
      </c>
      <c r="E844" s="4"/>
      <c r="F844" s="4" t="s">
        <v>1493</v>
      </c>
      <c r="G844" s="5" t="s">
        <v>432</v>
      </c>
      <c r="H844" s="5" t="s">
        <v>185</v>
      </c>
      <c r="I844" s="5" t="s">
        <v>222</v>
      </c>
      <c r="J844" s="5" t="s">
        <v>9</v>
      </c>
      <c r="K844" s="5">
        <v>20</v>
      </c>
      <c r="L844" s="5" t="s">
        <v>191</v>
      </c>
      <c r="M844" s="5">
        <v>2000</v>
      </c>
      <c r="N844" s="5" t="s">
        <v>171</v>
      </c>
      <c r="O844" s="6" t="s">
        <v>81</v>
      </c>
      <c r="P844" s="6" t="s">
        <v>186</v>
      </c>
      <c r="Q844" s="6"/>
      <c r="R844" s="6"/>
      <c r="S844" s="6">
        <v>45</v>
      </c>
      <c r="T844" s="6">
        <v>17.7</v>
      </c>
      <c r="U844" s="6">
        <v>1853</v>
      </c>
      <c r="V844" s="6">
        <v>45.68</v>
      </c>
      <c r="W844" s="6">
        <v>0</v>
      </c>
      <c r="X844" s="6">
        <v>0</v>
      </c>
      <c r="Y844" s="6">
        <v>1079</v>
      </c>
      <c r="Z844" s="6">
        <v>672</v>
      </c>
      <c r="AA844" s="6">
        <v>94</v>
      </c>
      <c r="AB844" s="6">
        <v>8</v>
      </c>
      <c r="AC844" s="7">
        <v>77</v>
      </c>
      <c r="AD844" s="7" t="s">
        <v>52</v>
      </c>
      <c r="AE844" s="9">
        <v>29.769752001552401</v>
      </c>
      <c r="AF844" s="7">
        <v>311</v>
      </c>
      <c r="AG844" s="7">
        <v>31.98</v>
      </c>
      <c r="AH844" s="9">
        <v>36.183772449269</v>
      </c>
      <c r="AI844" s="9">
        <v>40.057034258099698</v>
      </c>
      <c r="AJ844" s="9">
        <v>463.13292754083199</v>
      </c>
      <c r="AK844" s="9">
        <v>464.78150020263899</v>
      </c>
      <c r="AL844" s="9">
        <v>515.53656236883501</v>
      </c>
      <c r="AM844" s="9" t="s">
        <v>169</v>
      </c>
      <c r="AN844" s="9" t="s">
        <v>169</v>
      </c>
      <c r="AO844" s="9" t="s">
        <v>169</v>
      </c>
      <c r="AP844" s="9" t="s">
        <v>169</v>
      </c>
      <c r="AQ844" s="9" t="s">
        <v>169</v>
      </c>
      <c r="AR844" s="9" t="s">
        <v>169</v>
      </c>
      <c r="AS844" s="8" t="s">
        <v>169</v>
      </c>
      <c r="AT844" s="8" t="s">
        <v>169</v>
      </c>
      <c r="AU844" s="10" t="s">
        <v>169</v>
      </c>
      <c r="AV844" s="10">
        <v>0</v>
      </c>
      <c r="AW844" s="10" t="s">
        <v>169</v>
      </c>
      <c r="AX844" s="10" t="s">
        <v>169</v>
      </c>
      <c r="AY844" s="10"/>
      <c r="AZ844" s="10"/>
      <c r="BA844" s="10"/>
      <c r="BB844" s="8"/>
      <c r="BC844" s="8"/>
      <c r="BD844" s="8"/>
      <c r="BE844" s="8"/>
      <c r="BF844" s="12">
        <v>0.38</v>
      </c>
      <c r="BG844" s="13">
        <v>341.19928152777402</v>
      </c>
      <c r="BH844" s="96" t="str">
        <f>+VLOOKUP(G844,Liste!$A$7:$G$50,3,FALSE)</f>
        <v>Sapin pectiné</v>
      </c>
      <c r="BI844" s="96" t="str">
        <f>+VLOOKUP(H844,Liste!$B$7:$G$50,5,FALSE)</f>
        <v>GS Arc Jurassien</v>
      </c>
      <c r="BJ844" s="135">
        <f t="shared" si="263"/>
        <v>77</v>
      </c>
      <c r="BK844" s="135" t="str">
        <f t="shared" si="265"/>
        <v>Sapin pectiné_F1_Cas général_GS Arc Jurassien_77_</v>
      </c>
      <c r="BL844" s="322"/>
      <c r="BM844" s="13">
        <v>85.046596440841597</v>
      </c>
      <c r="BN844" s="13">
        <v>426.24587796861601</v>
      </c>
      <c r="BO844" s="13" t="s">
        <v>169</v>
      </c>
      <c r="BP844" s="13">
        <v>359.743735612752</v>
      </c>
      <c r="BQ844" s="13" t="s">
        <v>169</v>
      </c>
      <c r="BT844" s="298" t="str">
        <f>+VLOOKUP(G844,Liste!$A$7:$H$50,8,FALSE)</f>
        <v>Résineux</v>
      </c>
      <c r="BU844" s="298">
        <f t="shared" si="266"/>
        <v>0</v>
      </c>
      <c r="BV844" s="300">
        <f t="shared" si="267"/>
        <v>1</v>
      </c>
      <c r="BW844" s="321">
        <v>0</v>
      </c>
      <c r="BX844" s="298">
        <f t="shared" si="268"/>
        <v>0.43</v>
      </c>
      <c r="BY844">
        <f t="shared" si="269"/>
        <v>0</v>
      </c>
      <c r="BZ844" s="304">
        <f t="shared" si="270"/>
        <v>0</v>
      </c>
      <c r="CB844" s="299">
        <v>0.6</v>
      </c>
      <c r="CC844" s="299">
        <v>0.4</v>
      </c>
      <c r="CD844">
        <f t="shared" si="271"/>
        <v>0</v>
      </c>
      <c r="CE844">
        <f t="shared" si="272"/>
        <v>0</v>
      </c>
      <c r="CF844">
        <f t="shared" si="273"/>
        <v>0</v>
      </c>
      <c r="CG844">
        <f t="shared" si="274"/>
        <v>0</v>
      </c>
      <c r="CH844">
        <f t="shared" si="275"/>
        <v>0</v>
      </c>
      <c r="CI844">
        <f t="shared" si="276"/>
        <v>0</v>
      </c>
      <c r="CJ844">
        <f t="shared" si="277"/>
        <v>0</v>
      </c>
      <c r="CK844">
        <f t="shared" si="278"/>
        <v>0</v>
      </c>
      <c r="CL844">
        <f t="shared" si="279"/>
        <v>0</v>
      </c>
      <c r="CM844">
        <f t="shared" si="281"/>
        <v>0</v>
      </c>
      <c r="CN844">
        <f t="shared" si="280"/>
        <v>0</v>
      </c>
      <c r="CO844">
        <f t="shared" si="264"/>
        <v>0</v>
      </c>
    </row>
    <row r="845" spans="1:93" s="12" customFormat="1" x14ac:dyDescent="0.25">
      <c r="A845" s="4">
        <v>2013</v>
      </c>
      <c r="B845" s="318">
        <v>44265</v>
      </c>
      <c r="C845" s="4" t="s">
        <v>430</v>
      </c>
      <c r="D845" s="4" t="s">
        <v>431</v>
      </c>
      <c r="E845" s="4"/>
      <c r="F845" s="4" t="s">
        <v>1493</v>
      </c>
      <c r="G845" s="5" t="s">
        <v>432</v>
      </c>
      <c r="H845" s="5" t="s">
        <v>185</v>
      </c>
      <c r="I845" s="5" t="s">
        <v>222</v>
      </c>
      <c r="J845" s="5" t="s">
        <v>9</v>
      </c>
      <c r="K845" s="5">
        <v>20</v>
      </c>
      <c r="L845" s="5" t="s">
        <v>191</v>
      </c>
      <c r="M845" s="5">
        <v>2000</v>
      </c>
      <c r="N845" s="5" t="s">
        <v>171</v>
      </c>
      <c r="O845" s="6" t="s">
        <v>81</v>
      </c>
      <c r="P845" s="6" t="s">
        <v>186</v>
      </c>
      <c r="Q845" s="6"/>
      <c r="R845" s="6"/>
      <c r="S845" s="6">
        <v>45</v>
      </c>
      <c r="T845" s="6">
        <v>17.7</v>
      </c>
      <c r="U845" s="6">
        <v>1853</v>
      </c>
      <c r="V845" s="6">
        <v>45.68</v>
      </c>
      <c r="W845" s="6">
        <v>0</v>
      </c>
      <c r="X845" s="6">
        <v>0</v>
      </c>
      <c r="Y845" s="6">
        <v>1079</v>
      </c>
      <c r="Z845" s="6">
        <v>672</v>
      </c>
      <c r="AA845" s="6">
        <v>94</v>
      </c>
      <c r="AB845" s="6">
        <v>8</v>
      </c>
      <c r="AC845" s="7">
        <v>78</v>
      </c>
      <c r="AD845" s="7" t="s">
        <v>52</v>
      </c>
      <c r="AE845" s="9">
        <v>30.042704226045998</v>
      </c>
      <c r="AF845" s="7">
        <v>311</v>
      </c>
      <c r="AG845" s="7">
        <v>32.86</v>
      </c>
      <c r="AH845" s="9">
        <v>36.675501754483101</v>
      </c>
      <c r="AI845" s="9">
        <v>40.581053389118502</v>
      </c>
      <c r="AJ845" s="9">
        <v>480.47379805693402</v>
      </c>
      <c r="AK845" s="9">
        <v>482.17703827112803</v>
      </c>
      <c r="AL845" s="9">
        <v>533.91960230146901</v>
      </c>
      <c r="AM845" s="9" t="s">
        <v>169</v>
      </c>
      <c r="AN845" s="9" t="s">
        <v>169</v>
      </c>
      <c r="AO845" s="9" t="s">
        <v>169</v>
      </c>
      <c r="AP845" s="9" t="s">
        <v>169</v>
      </c>
      <c r="AQ845" s="9" t="s">
        <v>169</v>
      </c>
      <c r="AR845" s="9" t="s">
        <v>169</v>
      </c>
      <c r="AS845" s="8" t="s">
        <v>169</v>
      </c>
      <c r="AT845" s="8" t="s">
        <v>169</v>
      </c>
      <c r="AU845" s="10" t="s">
        <v>169</v>
      </c>
      <c r="AV845" s="10">
        <v>0</v>
      </c>
      <c r="AW845" s="10" t="s">
        <v>169</v>
      </c>
      <c r="AX845" s="10" t="s">
        <v>169</v>
      </c>
      <c r="AY845" s="10"/>
      <c r="AZ845" s="10"/>
      <c r="BA845" s="10"/>
      <c r="BB845" s="8"/>
      <c r="BC845" s="8"/>
      <c r="BD845" s="8"/>
      <c r="BE845" s="8"/>
      <c r="BF845" s="12">
        <v>0.38</v>
      </c>
      <c r="BG845" s="13">
        <v>353.36579012318902</v>
      </c>
      <c r="BH845" s="96" t="str">
        <f>+VLOOKUP(G845,Liste!$A$7:$G$50,3,FALSE)</f>
        <v>Sapin pectiné</v>
      </c>
      <c r="BI845" s="96" t="str">
        <f>+VLOOKUP(H845,Liste!$B$7:$G$50,5,FALSE)</f>
        <v>GS Arc Jurassien</v>
      </c>
      <c r="BJ845" s="135">
        <f t="shared" si="263"/>
        <v>78</v>
      </c>
      <c r="BK845" s="135" t="str">
        <f t="shared" si="265"/>
        <v>Sapin pectiné_F1_Cas général_GS Arc Jurassien_78_</v>
      </c>
      <c r="BL845" s="322"/>
      <c r="BM845" s="13">
        <v>87.711082115419501</v>
      </c>
      <c r="BN845" s="13">
        <v>441.07687223860898</v>
      </c>
      <c r="BO845" s="13" t="s">
        <v>169</v>
      </c>
      <c r="BP845" s="13">
        <v>359.743735612752</v>
      </c>
      <c r="BQ845" s="13" t="s">
        <v>169</v>
      </c>
      <c r="BT845" s="298" t="str">
        <f>+VLOOKUP(G845,Liste!$A$7:$H$50,8,FALSE)</f>
        <v>Résineux</v>
      </c>
      <c r="BU845" s="298">
        <f t="shared" si="266"/>
        <v>0</v>
      </c>
      <c r="BV845" s="300">
        <f t="shared" si="267"/>
        <v>1</v>
      </c>
      <c r="BW845" s="321">
        <v>0</v>
      </c>
      <c r="BX845" s="298">
        <f t="shared" si="268"/>
        <v>0.43</v>
      </c>
      <c r="BY845">
        <f t="shared" si="269"/>
        <v>0</v>
      </c>
      <c r="BZ845" s="304">
        <f t="shared" si="270"/>
        <v>0</v>
      </c>
      <c r="CB845" s="299">
        <v>0.6</v>
      </c>
      <c r="CC845" s="299">
        <v>0.4</v>
      </c>
      <c r="CD845">
        <f t="shared" si="271"/>
        <v>0</v>
      </c>
      <c r="CE845">
        <f t="shared" si="272"/>
        <v>0</v>
      </c>
      <c r="CF845">
        <f t="shared" si="273"/>
        <v>0</v>
      </c>
      <c r="CG845">
        <f t="shared" si="274"/>
        <v>0</v>
      </c>
      <c r="CH845">
        <f t="shared" si="275"/>
        <v>0</v>
      </c>
      <c r="CI845">
        <f t="shared" si="276"/>
        <v>0</v>
      </c>
      <c r="CJ845">
        <f t="shared" si="277"/>
        <v>0</v>
      </c>
      <c r="CK845">
        <f t="shared" si="278"/>
        <v>0</v>
      </c>
      <c r="CL845">
        <f t="shared" si="279"/>
        <v>0</v>
      </c>
      <c r="CM845">
        <f t="shared" si="281"/>
        <v>0</v>
      </c>
      <c r="CN845">
        <f t="shared" si="280"/>
        <v>0</v>
      </c>
      <c r="CO845">
        <f t="shared" si="264"/>
        <v>0</v>
      </c>
    </row>
    <row r="846" spans="1:93" s="12" customFormat="1" x14ac:dyDescent="0.25">
      <c r="A846" s="4">
        <v>2013</v>
      </c>
      <c r="B846" s="318">
        <v>44265</v>
      </c>
      <c r="C846" s="4" t="s">
        <v>430</v>
      </c>
      <c r="D846" s="4" t="s">
        <v>431</v>
      </c>
      <c r="E846" s="4"/>
      <c r="F846" s="4" t="s">
        <v>1493</v>
      </c>
      <c r="G846" s="5" t="s">
        <v>432</v>
      </c>
      <c r="H846" s="5" t="s">
        <v>185</v>
      </c>
      <c r="I846" s="5" t="s">
        <v>222</v>
      </c>
      <c r="J846" s="5" t="s">
        <v>9</v>
      </c>
      <c r="K846" s="5">
        <v>20</v>
      </c>
      <c r="L846" s="5" t="s">
        <v>191</v>
      </c>
      <c r="M846" s="5">
        <v>2000</v>
      </c>
      <c r="N846" s="5" t="s">
        <v>171</v>
      </c>
      <c r="O846" s="6" t="s">
        <v>81</v>
      </c>
      <c r="P846" s="6" t="s">
        <v>186</v>
      </c>
      <c r="Q846" s="6"/>
      <c r="R846" s="6"/>
      <c r="S846" s="6">
        <v>45</v>
      </c>
      <c r="T846" s="6">
        <v>17.7</v>
      </c>
      <c r="U846" s="6">
        <v>1853</v>
      </c>
      <c r="V846" s="6">
        <v>45.68</v>
      </c>
      <c r="W846" s="6">
        <v>0</v>
      </c>
      <c r="X846" s="6">
        <v>0</v>
      </c>
      <c r="Y846" s="6">
        <v>1079</v>
      </c>
      <c r="Z846" s="6">
        <v>672</v>
      </c>
      <c r="AA846" s="6">
        <v>94</v>
      </c>
      <c r="AB846" s="6">
        <v>8</v>
      </c>
      <c r="AC846" s="7">
        <v>79</v>
      </c>
      <c r="AD846" s="7" t="s">
        <v>52</v>
      </c>
      <c r="AE846" s="9">
        <v>30.310825508234402</v>
      </c>
      <c r="AF846" s="7">
        <v>311</v>
      </c>
      <c r="AG846" s="7">
        <v>33.72</v>
      </c>
      <c r="AH846" s="9">
        <v>37.155132929525102</v>
      </c>
      <c r="AI846" s="9">
        <v>41.0914662096379</v>
      </c>
      <c r="AJ846" s="9">
        <v>497.81466857303701</v>
      </c>
      <c r="AK846" s="9">
        <v>499.572576339617</v>
      </c>
      <c r="AL846" s="9">
        <v>552.30264223410404</v>
      </c>
      <c r="AM846" s="9" t="s">
        <v>169</v>
      </c>
      <c r="AN846" s="9" t="s">
        <v>169</v>
      </c>
      <c r="AO846" s="9" t="s">
        <v>169</v>
      </c>
      <c r="AP846" s="9" t="s">
        <v>169</v>
      </c>
      <c r="AQ846" s="9" t="s">
        <v>169</v>
      </c>
      <c r="AR846" s="9" t="s">
        <v>169</v>
      </c>
      <c r="AS846" s="8" t="s">
        <v>169</v>
      </c>
      <c r="AT846" s="8" t="s">
        <v>169</v>
      </c>
      <c r="AU846" s="10" t="s">
        <v>169</v>
      </c>
      <c r="AV846" s="10">
        <v>0</v>
      </c>
      <c r="AW846" s="10" t="s">
        <v>169</v>
      </c>
      <c r="AX846" s="10" t="s">
        <v>169</v>
      </c>
      <c r="AY846" s="10"/>
      <c r="AZ846" s="10"/>
      <c r="BA846" s="10"/>
      <c r="BB846" s="8"/>
      <c r="BC846" s="8"/>
      <c r="BD846" s="8"/>
      <c r="BE846" s="8"/>
      <c r="BF846" s="12">
        <v>0.38</v>
      </c>
      <c r="BG846" s="13">
        <v>365.53229871860401</v>
      </c>
      <c r="BH846" s="96" t="str">
        <f>+VLOOKUP(G846,Liste!$A$7:$G$50,3,FALSE)</f>
        <v>Sapin pectiné</v>
      </c>
      <c r="BI846" s="96" t="str">
        <f>+VLOOKUP(H846,Liste!$B$7:$G$50,5,FALSE)</f>
        <v>GS Arc Jurassien</v>
      </c>
      <c r="BJ846" s="135">
        <f t="shared" si="263"/>
        <v>79</v>
      </c>
      <c r="BK846" s="135" t="str">
        <f t="shared" si="265"/>
        <v>Sapin pectiné_F1_Cas général_GS Arc Jurassien_79_</v>
      </c>
      <c r="BL846" s="322"/>
      <c r="BM846" s="13">
        <v>90.375567789997405</v>
      </c>
      <c r="BN846" s="13">
        <v>455.90786650860201</v>
      </c>
      <c r="BO846" s="13" t="s">
        <v>169</v>
      </c>
      <c r="BP846" s="13">
        <v>359.743735612752</v>
      </c>
      <c r="BQ846" s="13" t="s">
        <v>169</v>
      </c>
      <c r="BT846" s="298" t="str">
        <f>+VLOOKUP(G846,Liste!$A$7:$H$50,8,FALSE)</f>
        <v>Résineux</v>
      </c>
      <c r="BU846" s="298">
        <f t="shared" si="266"/>
        <v>0</v>
      </c>
      <c r="BV846" s="300">
        <f t="shared" si="267"/>
        <v>1</v>
      </c>
      <c r="BW846" s="321">
        <v>0</v>
      </c>
      <c r="BX846" s="298">
        <f t="shared" si="268"/>
        <v>0.43</v>
      </c>
      <c r="BY846">
        <f t="shared" si="269"/>
        <v>0</v>
      </c>
      <c r="BZ846" s="304">
        <f t="shared" si="270"/>
        <v>0</v>
      </c>
      <c r="CB846" s="299">
        <v>0.6</v>
      </c>
      <c r="CC846" s="299">
        <v>0.4</v>
      </c>
      <c r="CD846">
        <f t="shared" si="271"/>
        <v>0</v>
      </c>
      <c r="CE846">
        <f t="shared" si="272"/>
        <v>0</v>
      </c>
      <c r="CF846">
        <f t="shared" si="273"/>
        <v>0</v>
      </c>
      <c r="CG846">
        <f t="shared" si="274"/>
        <v>0</v>
      </c>
      <c r="CH846">
        <f t="shared" si="275"/>
        <v>0</v>
      </c>
      <c r="CI846">
        <f t="shared" si="276"/>
        <v>0</v>
      </c>
      <c r="CJ846">
        <f t="shared" si="277"/>
        <v>0</v>
      </c>
      <c r="CK846">
        <f t="shared" si="278"/>
        <v>0</v>
      </c>
      <c r="CL846">
        <f t="shared" si="279"/>
        <v>0</v>
      </c>
      <c r="CM846">
        <f t="shared" si="281"/>
        <v>0</v>
      </c>
      <c r="CN846">
        <f t="shared" si="280"/>
        <v>0</v>
      </c>
      <c r="CO846">
        <f t="shared" si="264"/>
        <v>0</v>
      </c>
    </row>
    <row r="847" spans="1:93" s="12" customFormat="1" x14ac:dyDescent="0.25">
      <c r="A847" s="4">
        <v>2013</v>
      </c>
      <c r="B847" s="318">
        <v>44265</v>
      </c>
      <c r="C847" s="4" t="s">
        <v>430</v>
      </c>
      <c r="D847" s="4" t="s">
        <v>431</v>
      </c>
      <c r="E847" s="4"/>
      <c r="F847" s="4" t="s">
        <v>1493</v>
      </c>
      <c r="G847" s="5" t="s">
        <v>432</v>
      </c>
      <c r="H847" s="5" t="s">
        <v>185</v>
      </c>
      <c r="I847" s="5" t="s">
        <v>222</v>
      </c>
      <c r="J847" s="5" t="s">
        <v>9</v>
      </c>
      <c r="K847" s="5">
        <v>20</v>
      </c>
      <c r="L847" s="5" t="s">
        <v>191</v>
      </c>
      <c r="M847" s="5">
        <v>2000</v>
      </c>
      <c r="N847" s="5" t="s">
        <v>171</v>
      </c>
      <c r="O847" s="6" t="s">
        <v>81</v>
      </c>
      <c r="P847" s="6" t="s">
        <v>186</v>
      </c>
      <c r="Q847" s="6"/>
      <c r="R847" s="6"/>
      <c r="S847" s="6">
        <v>45</v>
      </c>
      <c r="T847" s="6">
        <v>17.7</v>
      </c>
      <c r="U847" s="6">
        <v>1853</v>
      </c>
      <c r="V847" s="6">
        <v>45.68</v>
      </c>
      <c r="W847" s="6">
        <v>0</v>
      </c>
      <c r="X847" s="6">
        <v>0</v>
      </c>
      <c r="Y847" s="6">
        <v>1079</v>
      </c>
      <c r="Z847" s="6">
        <v>672</v>
      </c>
      <c r="AA847" s="6">
        <v>94</v>
      </c>
      <c r="AB847" s="6">
        <v>8</v>
      </c>
      <c r="AC847" s="7">
        <v>80</v>
      </c>
      <c r="AD847" s="7" t="s">
        <v>52</v>
      </c>
      <c r="AE847" s="9">
        <v>30.5742269229439</v>
      </c>
      <c r="AF847" s="7">
        <v>311</v>
      </c>
      <c r="AG847" s="7">
        <v>34.57</v>
      </c>
      <c r="AH847" s="9">
        <v>37.623130191139701</v>
      </c>
      <c r="AI847" s="9">
        <v>41.588839877917799</v>
      </c>
      <c r="AJ847" s="9">
        <v>515.15553908913898</v>
      </c>
      <c r="AK847" s="9">
        <v>516.968114408107</v>
      </c>
      <c r="AL847" s="9">
        <v>570.68568216673805</v>
      </c>
      <c r="AM847" s="9" t="s">
        <v>169</v>
      </c>
      <c r="AN847" s="9" t="s">
        <v>169</v>
      </c>
      <c r="AO847" s="9" t="s">
        <v>169</v>
      </c>
      <c r="AP847" s="9" t="s">
        <v>169</v>
      </c>
      <c r="AQ847" s="9" t="s">
        <v>169</v>
      </c>
      <c r="AR847" s="9" t="s">
        <v>169</v>
      </c>
      <c r="AS847" s="8" t="s">
        <v>169</v>
      </c>
      <c r="AT847" s="8" t="s">
        <v>169</v>
      </c>
      <c r="AU847" s="10" t="s">
        <v>169</v>
      </c>
      <c r="AV847" s="10">
        <v>0</v>
      </c>
      <c r="AW847" s="10" t="s">
        <v>169</v>
      </c>
      <c r="AX847" s="10" t="s">
        <v>169</v>
      </c>
      <c r="AY847" s="10"/>
      <c r="AZ847" s="10"/>
      <c r="BA847" s="10"/>
      <c r="BB847" s="8"/>
      <c r="BC847" s="8"/>
      <c r="BD847" s="8"/>
      <c r="BE847" s="8"/>
      <c r="BF847" s="12">
        <v>0.38</v>
      </c>
      <c r="BG847" s="13">
        <v>377.69880731401901</v>
      </c>
      <c r="BH847" s="96" t="str">
        <f>+VLOOKUP(G847,Liste!$A$7:$G$50,3,FALSE)</f>
        <v>Sapin pectiné</v>
      </c>
      <c r="BI847" s="96" t="str">
        <f>+VLOOKUP(H847,Liste!$B$7:$G$50,5,FALSE)</f>
        <v>GS Arc Jurassien</v>
      </c>
      <c r="BJ847" s="135">
        <f t="shared" si="263"/>
        <v>80</v>
      </c>
      <c r="BK847" s="135" t="str">
        <f t="shared" si="265"/>
        <v>Sapin pectiné_F1_Cas général_GS Arc Jurassien_80_</v>
      </c>
      <c r="BL847" s="322"/>
      <c r="BM847" s="13">
        <v>93.040053464575294</v>
      </c>
      <c r="BN847" s="13">
        <v>470.73886077859498</v>
      </c>
      <c r="BO847" s="13" t="s">
        <v>169</v>
      </c>
      <c r="BP847" s="13">
        <v>359.743735612752</v>
      </c>
      <c r="BQ847" s="13" t="s">
        <v>169</v>
      </c>
      <c r="BT847" s="298" t="str">
        <f>+VLOOKUP(G847,Liste!$A$7:$H$50,8,FALSE)</f>
        <v>Résineux</v>
      </c>
      <c r="BU847" s="298">
        <f t="shared" si="266"/>
        <v>0</v>
      </c>
      <c r="BV847" s="300">
        <f t="shared" si="267"/>
        <v>1</v>
      </c>
      <c r="BW847" s="321">
        <v>0</v>
      </c>
      <c r="BX847" s="298">
        <f t="shared" si="268"/>
        <v>0.43</v>
      </c>
      <c r="BY847">
        <f t="shared" si="269"/>
        <v>0</v>
      </c>
      <c r="BZ847" s="304">
        <f t="shared" si="270"/>
        <v>0</v>
      </c>
      <c r="CB847" s="299">
        <v>0.6</v>
      </c>
      <c r="CC847" s="299">
        <v>0.4</v>
      </c>
      <c r="CD847">
        <f t="shared" si="271"/>
        <v>0</v>
      </c>
      <c r="CE847">
        <f t="shared" si="272"/>
        <v>0</v>
      </c>
      <c r="CF847">
        <f t="shared" si="273"/>
        <v>0</v>
      </c>
      <c r="CG847">
        <f t="shared" si="274"/>
        <v>0</v>
      </c>
      <c r="CH847">
        <f t="shared" si="275"/>
        <v>0</v>
      </c>
      <c r="CI847">
        <f t="shared" si="276"/>
        <v>0</v>
      </c>
      <c r="CJ847">
        <f t="shared" si="277"/>
        <v>0</v>
      </c>
      <c r="CK847">
        <f t="shared" si="278"/>
        <v>0</v>
      </c>
      <c r="CL847">
        <f t="shared" si="279"/>
        <v>0</v>
      </c>
      <c r="CM847">
        <f t="shared" si="281"/>
        <v>0</v>
      </c>
      <c r="CN847">
        <f t="shared" si="280"/>
        <v>0</v>
      </c>
      <c r="CO847">
        <f t="shared" si="264"/>
        <v>0</v>
      </c>
    </row>
    <row r="848" spans="1:93" s="12" customFormat="1" x14ac:dyDescent="0.25">
      <c r="A848" s="4">
        <v>2013</v>
      </c>
      <c r="B848" s="318">
        <v>44265</v>
      </c>
      <c r="C848" s="4" t="s">
        <v>430</v>
      </c>
      <c r="D848" s="4" t="s">
        <v>431</v>
      </c>
      <c r="E848" s="4"/>
      <c r="F848" s="4" t="s">
        <v>1493</v>
      </c>
      <c r="G848" s="5" t="s">
        <v>432</v>
      </c>
      <c r="H848" s="5" t="s">
        <v>185</v>
      </c>
      <c r="I848" s="5" t="s">
        <v>222</v>
      </c>
      <c r="J848" s="5" t="s">
        <v>9</v>
      </c>
      <c r="K848" s="5">
        <v>20</v>
      </c>
      <c r="L848" s="5" t="s">
        <v>191</v>
      </c>
      <c r="M848" s="5">
        <v>2000</v>
      </c>
      <c r="N848" s="5" t="s">
        <v>171</v>
      </c>
      <c r="O848" s="6" t="s">
        <v>81</v>
      </c>
      <c r="P848" s="6" t="s">
        <v>186</v>
      </c>
      <c r="Q848" s="6"/>
      <c r="R848" s="6"/>
      <c r="S848" s="6">
        <v>45</v>
      </c>
      <c r="T848" s="6">
        <v>17.7</v>
      </c>
      <c r="U848" s="6">
        <v>1853</v>
      </c>
      <c r="V848" s="6">
        <v>45.68</v>
      </c>
      <c r="W848" s="6">
        <v>0</v>
      </c>
      <c r="X848" s="6">
        <v>0</v>
      </c>
      <c r="Y848" s="6">
        <v>1079</v>
      </c>
      <c r="Z848" s="6">
        <v>672</v>
      </c>
      <c r="AA848" s="6">
        <v>94</v>
      </c>
      <c r="AB848" s="6">
        <v>8</v>
      </c>
      <c r="AC848" s="7">
        <v>81</v>
      </c>
      <c r="AD848" s="7" t="s">
        <v>52</v>
      </c>
      <c r="AE848" s="9">
        <v>30.833016901120502</v>
      </c>
      <c r="AF848" s="7">
        <v>311</v>
      </c>
      <c r="AG848" s="7">
        <v>35.42</v>
      </c>
      <c r="AH848" s="9">
        <v>38.079931678946302</v>
      </c>
      <c r="AI848" s="9">
        <v>42.073706536482497</v>
      </c>
      <c r="AJ848" s="9">
        <v>532.49640960524198</v>
      </c>
      <c r="AK848" s="9">
        <v>534.36365247659603</v>
      </c>
      <c r="AL848" s="9">
        <v>589.06872209937205</v>
      </c>
      <c r="AM848" s="9">
        <v>88.700115797153401</v>
      </c>
      <c r="AN848" s="9">
        <v>1.09506315798955</v>
      </c>
      <c r="AO848" s="9">
        <v>0.82954980208359097</v>
      </c>
      <c r="AP848" s="9">
        <v>1232.2734800744499</v>
      </c>
      <c r="AQ848" s="9">
        <v>15.2132528404253</v>
      </c>
      <c r="AR848" s="9">
        <v>18.270212737974202</v>
      </c>
      <c r="AS848" s="8" t="s">
        <v>169</v>
      </c>
      <c r="AT848" s="8" t="s">
        <v>169</v>
      </c>
      <c r="AU848" s="10" t="s">
        <v>169</v>
      </c>
      <c r="AV848" s="10">
        <v>0</v>
      </c>
      <c r="AW848" s="10" t="s">
        <v>169</v>
      </c>
      <c r="AX848" s="10" t="s">
        <v>169</v>
      </c>
      <c r="AY848" s="10"/>
      <c r="AZ848" s="10"/>
      <c r="BA848" s="10"/>
      <c r="BB848" s="8"/>
      <c r="BC848" s="8"/>
      <c r="BD848" s="8"/>
      <c r="BE848" s="8"/>
      <c r="BF848" s="12">
        <v>0.38</v>
      </c>
      <c r="BG848" s="13">
        <v>389.865315909434</v>
      </c>
      <c r="BH848" s="96" t="str">
        <f>+VLOOKUP(G848,Liste!$A$7:$G$50,3,FALSE)</f>
        <v>Sapin pectiné</v>
      </c>
      <c r="BI848" s="96" t="str">
        <f>+VLOOKUP(H848,Liste!$B$7:$G$50,5,FALSE)</f>
        <v>GS Arc Jurassien</v>
      </c>
      <c r="BJ848" s="135">
        <f t="shared" si="263"/>
        <v>81</v>
      </c>
      <c r="BK848" s="135" t="str">
        <f t="shared" si="265"/>
        <v>Sapin pectiné_F1_Cas général_GS Arc Jurassien_81_</v>
      </c>
      <c r="BL848" s="322"/>
      <c r="BM848" s="13">
        <v>95.704539139153198</v>
      </c>
      <c r="BN848" s="13">
        <v>485.56985504858699</v>
      </c>
      <c r="BO848" s="13" t="s">
        <v>169</v>
      </c>
      <c r="BP848" s="13">
        <v>359.743735612752</v>
      </c>
      <c r="BQ848" s="13">
        <v>14.4946096745805</v>
      </c>
      <c r="BT848" s="298" t="str">
        <f>+VLOOKUP(G848,Liste!$A$7:$H$50,8,FALSE)</f>
        <v>Résineux</v>
      </c>
      <c r="BU848" s="298">
        <f t="shared" si="266"/>
        <v>0</v>
      </c>
      <c r="BV848" s="300">
        <f t="shared" si="267"/>
        <v>1</v>
      </c>
      <c r="BW848" s="321">
        <v>0</v>
      </c>
      <c r="BX848" s="298">
        <f t="shared" si="268"/>
        <v>0.43</v>
      </c>
      <c r="BY848">
        <f t="shared" si="269"/>
        <v>0</v>
      </c>
      <c r="BZ848" s="304">
        <f t="shared" si="270"/>
        <v>0</v>
      </c>
      <c r="CB848" s="299">
        <v>0.6</v>
      </c>
      <c r="CC848" s="299">
        <v>0.4</v>
      </c>
      <c r="CD848">
        <f t="shared" si="271"/>
        <v>0</v>
      </c>
      <c r="CE848">
        <f t="shared" si="272"/>
        <v>0</v>
      </c>
      <c r="CF848">
        <f t="shared" si="273"/>
        <v>0</v>
      </c>
      <c r="CG848">
        <f t="shared" si="274"/>
        <v>0</v>
      </c>
      <c r="CH848">
        <f t="shared" si="275"/>
        <v>0</v>
      </c>
      <c r="CI848">
        <f t="shared" si="276"/>
        <v>0</v>
      </c>
      <c r="CJ848">
        <f t="shared" si="277"/>
        <v>0</v>
      </c>
      <c r="CK848">
        <f t="shared" si="278"/>
        <v>0</v>
      </c>
      <c r="CL848">
        <f t="shared" si="279"/>
        <v>0</v>
      </c>
      <c r="CM848">
        <f t="shared" si="281"/>
        <v>0</v>
      </c>
      <c r="CN848">
        <f t="shared" si="280"/>
        <v>0</v>
      </c>
      <c r="CO848">
        <f t="shared" si="264"/>
        <v>0</v>
      </c>
    </row>
    <row r="849" spans="1:93" s="12" customFormat="1" x14ac:dyDescent="0.25">
      <c r="A849" s="4">
        <v>2013</v>
      </c>
      <c r="B849" s="318">
        <v>44265</v>
      </c>
      <c r="C849" s="4" t="s">
        <v>430</v>
      </c>
      <c r="D849" s="4" t="s">
        <v>431</v>
      </c>
      <c r="E849" s="4"/>
      <c r="F849" s="4" t="s">
        <v>1493</v>
      </c>
      <c r="G849" s="5" t="s">
        <v>432</v>
      </c>
      <c r="H849" s="5" t="s">
        <v>185</v>
      </c>
      <c r="I849" s="5" t="s">
        <v>222</v>
      </c>
      <c r="J849" s="5" t="s">
        <v>9</v>
      </c>
      <c r="K849" s="5">
        <v>20</v>
      </c>
      <c r="L849" s="5" t="s">
        <v>191</v>
      </c>
      <c r="M849" s="5">
        <v>2000</v>
      </c>
      <c r="N849" s="5" t="s">
        <v>171</v>
      </c>
      <c r="O849" s="6" t="s">
        <v>81</v>
      </c>
      <c r="P849" s="6" t="s">
        <v>186</v>
      </c>
      <c r="Q849" s="6"/>
      <c r="R849" s="6"/>
      <c r="S849" s="6">
        <v>45</v>
      </c>
      <c r="T849" s="6">
        <v>17.7</v>
      </c>
      <c r="U849" s="6">
        <v>1853</v>
      </c>
      <c r="V849" s="6">
        <v>45.68</v>
      </c>
      <c r="W849" s="6">
        <v>0</v>
      </c>
      <c r="X849" s="6">
        <v>0</v>
      </c>
      <c r="Y849" s="6">
        <v>1079</v>
      </c>
      <c r="Z849" s="6">
        <v>672</v>
      </c>
      <c r="AA849" s="6">
        <v>94</v>
      </c>
      <c r="AB849" s="6">
        <v>8</v>
      </c>
      <c r="AC849" s="7">
        <v>82</v>
      </c>
      <c r="AD849" s="7" t="s">
        <v>52</v>
      </c>
      <c r="AE849" s="9">
        <v>31.087301257262599</v>
      </c>
      <c r="AF849" s="7">
        <v>311</v>
      </c>
      <c r="AG849" s="7">
        <v>36.25</v>
      </c>
      <c r="AH849" s="9">
        <v>38.525952248099102</v>
      </c>
      <c r="AI849" s="9">
        <v>42.546566321364999</v>
      </c>
      <c r="AJ849" s="9">
        <v>549.87261692542495</v>
      </c>
      <c r="AK849" s="9">
        <v>551.78758513857895</v>
      </c>
      <c r="AL849" s="9">
        <v>607.33893483734596</v>
      </c>
      <c r="AM849" s="9" t="s">
        <v>169</v>
      </c>
      <c r="AN849" s="9" t="s">
        <v>169</v>
      </c>
      <c r="AO849" s="9" t="s">
        <v>169</v>
      </c>
      <c r="AP849" s="9" t="s">
        <v>169</v>
      </c>
      <c r="AQ849" s="9" t="s">
        <v>169</v>
      </c>
      <c r="AR849" s="9" t="s">
        <v>169</v>
      </c>
      <c r="AS849" s="8" t="s">
        <v>169</v>
      </c>
      <c r="AT849" s="8" t="s">
        <v>169</v>
      </c>
      <c r="AU849" s="10" t="s">
        <v>169</v>
      </c>
      <c r="AV849" s="10">
        <v>0</v>
      </c>
      <c r="AW849" s="10" t="s">
        <v>169</v>
      </c>
      <c r="AX849" s="10" t="s">
        <v>169</v>
      </c>
      <c r="AY849" s="10"/>
      <c r="AZ849" s="10"/>
      <c r="BA849" s="10"/>
      <c r="BB849" s="8"/>
      <c r="BC849" s="8"/>
      <c r="BD849" s="8"/>
      <c r="BE849" s="8"/>
      <c r="BF849" s="12">
        <v>0.38</v>
      </c>
      <c r="BG849" s="13">
        <v>401.95715170651698</v>
      </c>
      <c r="BH849" s="96" t="str">
        <f>+VLOOKUP(G849,Liste!$A$7:$G$50,3,FALSE)</f>
        <v>Sapin pectiné</v>
      </c>
      <c r="BI849" s="96" t="str">
        <f>+VLOOKUP(H849,Liste!$B$7:$G$50,5,FALSE)</f>
        <v>GS Arc Jurassien</v>
      </c>
      <c r="BJ849" s="135">
        <f t="shared" si="263"/>
        <v>82</v>
      </c>
      <c r="BK849" s="135" t="str">
        <f t="shared" si="265"/>
        <v>Sapin pectiné_F1_Cas général_GS Arc Jurassien_82_</v>
      </c>
      <c r="BL849" s="322"/>
      <c r="BM849" s="13">
        <v>98.318086256836693</v>
      </c>
      <c r="BN849" s="13">
        <v>500.27523796335299</v>
      </c>
      <c r="BO849" s="13" t="s">
        <v>169</v>
      </c>
      <c r="BP849" s="13">
        <v>359.743735612752</v>
      </c>
      <c r="BQ849" s="13" t="s">
        <v>169</v>
      </c>
      <c r="BT849" s="298" t="str">
        <f>+VLOOKUP(G849,Liste!$A$7:$H$50,8,FALSE)</f>
        <v>Résineux</v>
      </c>
      <c r="BU849" s="298">
        <f t="shared" si="266"/>
        <v>0</v>
      </c>
      <c r="BV849" s="300">
        <f t="shared" si="267"/>
        <v>1</v>
      </c>
      <c r="BW849" s="321">
        <v>0</v>
      </c>
      <c r="BX849" s="298">
        <f t="shared" si="268"/>
        <v>0.43</v>
      </c>
      <c r="BY849">
        <f t="shared" si="269"/>
        <v>0</v>
      </c>
      <c r="BZ849" s="304">
        <f t="shared" si="270"/>
        <v>0</v>
      </c>
      <c r="CB849" s="299">
        <v>0.6</v>
      </c>
      <c r="CC849" s="299">
        <v>0.4</v>
      </c>
      <c r="CD849">
        <f t="shared" si="271"/>
        <v>0</v>
      </c>
      <c r="CE849">
        <f t="shared" si="272"/>
        <v>0</v>
      </c>
      <c r="CF849">
        <f t="shared" si="273"/>
        <v>0</v>
      </c>
      <c r="CG849">
        <f t="shared" si="274"/>
        <v>0</v>
      </c>
      <c r="CH849">
        <f t="shared" si="275"/>
        <v>0</v>
      </c>
      <c r="CI849">
        <f t="shared" si="276"/>
        <v>0</v>
      </c>
      <c r="CJ849">
        <f t="shared" si="277"/>
        <v>0</v>
      </c>
      <c r="CK849">
        <f t="shared" si="278"/>
        <v>0</v>
      </c>
      <c r="CL849">
        <f t="shared" si="279"/>
        <v>0</v>
      </c>
      <c r="CM849">
        <f t="shared" si="281"/>
        <v>0</v>
      </c>
      <c r="CN849">
        <f t="shared" si="280"/>
        <v>0</v>
      </c>
      <c r="CO849">
        <f t="shared" si="264"/>
        <v>0</v>
      </c>
    </row>
    <row r="850" spans="1:93" s="12" customFormat="1" x14ac:dyDescent="0.25">
      <c r="A850" s="4">
        <v>2013</v>
      </c>
      <c r="B850" s="318">
        <v>44265</v>
      </c>
      <c r="C850" s="4" t="s">
        <v>430</v>
      </c>
      <c r="D850" s="4" t="s">
        <v>431</v>
      </c>
      <c r="E850" s="4"/>
      <c r="F850" s="4" t="s">
        <v>1493</v>
      </c>
      <c r="G850" s="5" t="s">
        <v>432</v>
      </c>
      <c r="H850" s="5" t="s">
        <v>185</v>
      </c>
      <c r="I850" s="5" t="s">
        <v>222</v>
      </c>
      <c r="J850" s="5" t="s">
        <v>9</v>
      </c>
      <c r="K850" s="5">
        <v>20</v>
      </c>
      <c r="L850" s="5" t="s">
        <v>191</v>
      </c>
      <c r="M850" s="5">
        <v>2000</v>
      </c>
      <c r="N850" s="5" t="s">
        <v>171</v>
      </c>
      <c r="O850" s="6" t="s">
        <v>81</v>
      </c>
      <c r="P850" s="6" t="s">
        <v>186</v>
      </c>
      <c r="Q850" s="6"/>
      <c r="R850" s="6"/>
      <c r="S850" s="6">
        <v>45</v>
      </c>
      <c r="T850" s="6">
        <v>17.7</v>
      </c>
      <c r="U850" s="6">
        <v>1853</v>
      </c>
      <c r="V850" s="6">
        <v>45.68</v>
      </c>
      <c r="W850" s="6">
        <v>0</v>
      </c>
      <c r="X850" s="6">
        <v>0</v>
      </c>
      <c r="Y850" s="6">
        <v>1079</v>
      </c>
      <c r="Z850" s="6">
        <v>672</v>
      </c>
      <c r="AA850" s="6">
        <v>94</v>
      </c>
      <c r="AB850" s="6">
        <v>8</v>
      </c>
      <c r="AC850" s="7">
        <v>83</v>
      </c>
      <c r="AD850" s="7" t="s">
        <v>52</v>
      </c>
      <c r="AE850" s="9">
        <v>31.337183221901899</v>
      </c>
      <c r="AF850" s="7">
        <v>311</v>
      </c>
      <c r="AG850" s="7">
        <v>37.08</v>
      </c>
      <c r="AH850" s="9">
        <v>38.961584031782202</v>
      </c>
      <c r="AI850" s="9">
        <v>43.007890196620998</v>
      </c>
      <c r="AJ850" s="9">
        <v>567.24882424560803</v>
      </c>
      <c r="AK850" s="9">
        <v>569.21151780056198</v>
      </c>
      <c r="AL850" s="9">
        <v>625.60914757531998</v>
      </c>
      <c r="AM850" s="9">
        <v>90.359215401320597</v>
      </c>
      <c r="AN850" s="9">
        <v>1.08866524579904</v>
      </c>
      <c r="AO850" s="9">
        <v>0.76514511395434703</v>
      </c>
      <c r="AP850" s="9">
        <v>1268.8139055504</v>
      </c>
      <c r="AQ850" s="9">
        <v>15.286914524703599</v>
      </c>
      <c r="AR850" s="9">
        <v>16.7674005786291</v>
      </c>
      <c r="AS850" s="8" t="s">
        <v>169</v>
      </c>
      <c r="AT850" s="8" t="s">
        <v>169</v>
      </c>
      <c r="AU850" s="10" t="s">
        <v>169</v>
      </c>
      <c r="AV850" s="10">
        <v>0</v>
      </c>
      <c r="AW850" s="10" t="s">
        <v>169</v>
      </c>
      <c r="AX850" s="10" t="s">
        <v>169</v>
      </c>
      <c r="AY850" s="10"/>
      <c r="AZ850" s="10"/>
      <c r="BA850" s="10"/>
      <c r="BB850" s="8"/>
      <c r="BC850" s="8"/>
      <c r="BD850" s="8"/>
      <c r="BE850" s="8"/>
      <c r="BF850" s="12">
        <v>0.38</v>
      </c>
      <c r="BG850" s="13">
        <v>414.04898750359899</v>
      </c>
      <c r="BH850" s="96" t="str">
        <f>+VLOOKUP(G850,Liste!$A$7:$G$50,3,FALSE)</f>
        <v>Sapin pectiné</v>
      </c>
      <c r="BI850" s="96" t="str">
        <f>+VLOOKUP(H850,Liste!$B$7:$G$50,5,FALSE)</f>
        <v>GS Arc Jurassien</v>
      </c>
      <c r="BJ850" s="135">
        <f t="shared" si="263"/>
        <v>83</v>
      </c>
      <c r="BK850" s="135" t="str">
        <f t="shared" si="265"/>
        <v>Sapin pectiné_F1_Cas général_GS Arc Jurassien_83_</v>
      </c>
      <c r="BL850" s="322"/>
      <c r="BM850" s="13">
        <v>100.93163337452</v>
      </c>
      <c r="BN850" s="13">
        <v>514.98062087812002</v>
      </c>
      <c r="BO850" s="13" t="s">
        <v>169</v>
      </c>
      <c r="BP850" s="13">
        <v>359.743735612752</v>
      </c>
      <c r="BQ850" s="13">
        <v>13.295275544536301</v>
      </c>
      <c r="BT850" s="298" t="str">
        <f>+VLOOKUP(G850,Liste!$A$7:$H$50,8,FALSE)</f>
        <v>Résineux</v>
      </c>
      <c r="BU850" s="298">
        <f t="shared" si="266"/>
        <v>0</v>
      </c>
      <c r="BV850" s="300">
        <f t="shared" si="267"/>
        <v>1</v>
      </c>
      <c r="BW850" s="321">
        <v>0</v>
      </c>
      <c r="BX850" s="298">
        <f t="shared" si="268"/>
        <v>0.43</v>
      </c>
      <c r="BY850">
        <f t="shared" si="269"/>
        <v>0</v>
      </c>
      <c r="BZ850" s="304">
        <f t="shared" si="270"/>
        <v>0</v>
      </c>
      <c r="CB850" s="299">
        <v>0.6</v>
      </c>
      <c r="CC850" s="299">
        <v>0.4</v>
      </c>
      <c r="CD850">
        <f t="shared" si="271"/>
        <v>0</v>
      </c>
      <c r="CE850">
        <f t="shared" si="272"/>
        <v>0</v>
      </c>
      <c r="CF850">
        <f t="shared" si="273"/>
        <v>0</v>
      </c>
      <c r="CG850">
        <f t="shared" si="274"/>
        <v>0</v>
      </c>
      <c r="CH850">
        <f t="shared" si="275"/>
        <v>0</v>
      </c>
      <c r="CI850">
        <f t="shared" si="276"/>
        <v>0</v>
      </c>
      <c r="CJ850">
        <f t="shared" si="277"/>
        <v>0</v>
      </c>
      <c r="CK850">
        <f t="shared" si="278"/>
        <v>0</v>
      </c>
      <c r="CL850">
        <f t="shared" si="279"/>
        <v>0</v>
      </c>
      <c r="CM850">
        <f t="shared" si="281"/>
        <v>0</v>
      </c>
      <c r="CN850">
        <f t="shared" si="280"/>
        <v>0</v>
      </c>
      <c r="CO850">
        <f t="shared" si="264"/>
        <v>0</v>
      </c>
    </row>
    <row r="851" spans="1:93" s="12" customFormat="1" x14ac:dyDescent="0.25">
      <c r="A851" s="4">
        <v>2013</v>
      </c>
      <c r="B851" s="318">
        <v>44265</v>
      </c>
      <c r="C851" s="4" t="s">
        <v>430</v>
      </c>
      <c r="D851" s="4" t="s">
        <v>431</v>
      </c>
      <c r="E851" s="4"/>
      <c r="F851" s="4" t="s">
        <v>1493</v>
      </c>
      <c r="G851" s="5" t="s">
        <v>432</v>
      </c>
      <c r="H851" s="5" t="s">
        <v>185</v>
      </c>
      <c r="I851" s="5" t="s">
        <v>222</v>
      </c>
      <c r="J851" s="5" t="s">
        <v>9</v>
      </c>
      <c r="K851" s="5">
        <v>20</v>
      </c>
      <c r="L851" s="5" t="s">
        <v>191</v>
      </c>
      <c r="M851" s="5">
        <v>2000</v>
      </c>
      <c r="N851" s="5" t="s">
        <v>171</v>
      </c>
      <c r="O851" s="6" t="s">
        <v>81</v>
      </c>
      <c r="P851" s="6" t="s">
        <v>186</v>
      </c>
      <c r="Q851" s="6"/>
      <c r="R851" s="6"/>
      <c r="S851" s="6">
        <v>45</v>
      </c>
      <c r="T851" s="6">
        <v>17.7</v>
      </c>
      <c r="U851" s="6">
        <v>1853</v>
      </c>
      <c r="V851" s="6">
        <v>45.68</v>
      </c>
      <c r="W851" s="6">
        <v>0</v>
      </c>
      <c r="X851" s="6">
        <v>0</v>
      </c>
      <c r="Y851" s="6">
        <v>1079</v>
      </c>
      <c r="Z851" s="6">
        <v>672</v>
      </c>
      <c r="AA851" s="6">
        <v>94</v>
      </c>
      <c r="AB851" s="6">
        <v>8</v>
      </c>
      <c r="AC851" s="7">
        <v>83</v>
      </c>
      <c r="AD851" s="7" t="s">
        <v>53</v>
      </c>
      <c r="AE851" s="9">
        <v>31.337183221901899</v>
      </c>
      <c r="AF851" s="7">
        <v>248</v>
      </c>
      <c r="AG851" s="7">
        <v>30.02</v>
      </c>
      <c r="AH851" s="9">
        <v>39.257156622754003</v>
      </c>
      <c r="AI851" s="9">
        <v>42.824190746140303</v>
      </c>
      <c r="AJ851" s="9">
        <v>459.66787046598301</v>
      </c>
      <c r="AK851" s="9">
        <v>461.28819145806801</v>
      </c>
      <c r="AL851" s="9">
        <v>507.11400155607902</v>
      </c>
      <c r="AM851" s="9">
        <v>90.359215401320597</v>
      </c>
      <c r="AN851" s="9">
        <v>1.08866524579904</v>
      </c>
      <c r="AO851" s="9">
        <v>0.76514511395434703</v>
      </c>
      <c r="AP851" s="9">
        <v>1268.8139055504</v>
      </c>
      <c r="AQ851" s="9">
        <v>15.286914524703599</v>
      </c>
      <c r="AR851" s="9">
        <v>16.7674005786291</v>
      </c>
      <c r="AS851" s="8">
        <v>63</v>
      </c>
      <c r="AT851" s="8">
        <v>7.0599999999999987</v>
      </c>
      <c r="AU851" s="10">
        <v>37.773491977358027</v>
      </c>
      <c r="AV851" s="10">
        <v>107.58095377962502</v>
      </c>
      <c r="AW851" s="10">
        <v>0.93994200790880011</v>
      </c>
      <c r="AX851" s="10">
        <v>1.7076341869781748</v>
      </c>
      <c r="AY851" s="10"/>
      <c r="AZ851" s="10"/>
      <c r="BA851" s="10"/>
      <c r="BB851" s="8"/>
      <c r="BC851" s="8"/>
      <c r="BD851" s="8"/>
      <c r="BE851" s="8"/>
      <c r="BF851" s="12">
        <v>0.38</v>
      </c>
      <c r="BG851" s="13">
        <v>335.62495002986498</v>
      </c>
      <c r="BH851" s="96" t="str">
        <f>+VLOOKUP(G851,Liste!$A$7:$G$50,3,FALSE)</f>
        <v>Sapin pectiné</v>
      </c>
      <c r="BI851" s="96" t="str">
        <f>+VLOOKUP(H851,Liste!$B$7:$G$50,5,FALSE)</f>
        <v>GS Arc Jurassien</v>
      </c>
      <c r="BJ851" s="135">
        <f t="shared" si="263"/>
        <v>83</v>
      </c>
      <c r="BK851" s="135" t="str">
        <f t="shared" si="265"/>
        <v>Sapin pectiné_F1_Cas général_GS Arc Jurassien_83_</v>
      </c>
      <c r="BL851" s="322"/>
      <c r="BM851" s="13">
        <v>83.838828381599896</v>
      </c>
      <c r="BN851" s="13">
        <v>419.463778411465</v>
      </c>
      <c r="BO851" s="13">
        <v>95.516842466655021</v>
      </c>
      <c r="BP851" s="13">
        <v>359.743735612752</v>
      </c>
      <c r="BQ851" s="13">
        <v>13.295275544536301</v>
      </c>
      <c r="BT851" s="298" t="str">
        <f>+VLOOKUP(G851,Liste!$A$7:$H$50,8,FALSE)</f>
        <v>Résineux</v>
      </c>
      <c r="BU851" s="298">
        <f t="shared" si="266"/>
        <v>0</v>
      </c>
      <c r="BV851" s="300">
        <f t="shared" si="267"/>
        <v>1</v>
      </c>
      <c r="BW851" s="321">
        <v>0</v>
      </c>
      <c r="BX851" s="298">
        <f t="shared" si="268"/>
        <v>0.43</v>
      </c>
      <c r="BY851">
        <f t="shared" si="269"/>
        <v>0</v>
      </c>
      <c r="BZ851" s="304">
        <f t="shared" si="270"/>
        <v>0</v>
      </c>
      <c r="CB851" s="299">
        <v>0.6</v>
      </c>
      <c r="CC851" s="299">
        <v>0.4</v>
      </c>
      <c r="CD851">
        <f t="shared" si="271"/>
        <v>0</v>
      </c>
      <c r="CE851">
        <f t="shared" si="272"/>
        <v>0</v>
      </c>
      <c r="CF851">
        <f t="shared" si="273"/>
        <v>0</v>
      </c>
      <c r="CG851">
        <f t="shared" si="274"/>
        <v>0</v>
      </c>
      <c r="CH851">
        <f t="shared" si="275"/>
        <v>0</v>
      </c>
      <c r="CI851">
        <f t="shared" si="276"/>
        <v>0</v>
      </c>
      <c r="CJ851">
        <f t="shared" si="277"/>
        <v>0</v>
      </c>
      <c r="CK851">
        <f t="shared" si="278"/>
        <v>0</v>
      </c>
      <c r="CL851">
        <f t="shared" si="279"/>
        <v>0</v>
      </c>
      <c r="CM851">
        <f t="shared" si="281"/>
        <v>0</v>
      </c>
      <c r="CN851">
        <f t="shared" si="280"/>
        <v>0</v>
      </c>
      <c r="CO851">
        <f t="shared" si="264"/>
        <v>0</v>
      </c>
    </row>
    <row r="852" spans="1:93" s="12" customFormat="1" x14ac:dyDescent="0.25">
      <c r="A852" s="4">
        <v>2013</v>
      </c>
      <c r="B852" s="318">
        <v>44265</v>
      </c>
      <c r="C852" s="4" t="s">
        <v>430</v>
      </c>
      <c r="D852" s="4" t="s">
        <v>431</v>
      </c>
      <c r="E852" s="4"/>
      <c r="F852" s="4" t="s">
        <v>1493</v>
      </c>
      <c r="G852" s="5" t="s">
        <v>432</v>
      </c>
      <c r="H852" s="5" t="s">
        <v>185</v>
      </c>
      <c r="I852" s="5" t="s">
        <v>222</v>
      </c>
      <c r="J852" s="5" t="s">
        <v>9</v>
      </c>
      <c r="K852" s="5">
        <v>20</v>
      </c>
      <c r="L852" s="5" t="s">
        <v>191</v>
      </c>
      <c r="M852" s="5">
        <v>2000</v>
      </c>
      <c r="N852" s="5" t="s">
        <v>171</v>
      </c>
      <c r="O852" s="6" t="s">
        <v>81</v>
      </c>
      <c r="P852" s="6" t="s">
        <v>186</v>
      </c>
      <c r="Q852" s="6"/>
      <c r="R852" s="6"/>
      <c r="S852" s="6">
        <v>45</v>
      </c>
      <c r="T852" s="6">
        <v>17.7</v>
      </c>
      <c r="U852" s="6">
        <v>1853</v>
      </c>
      <c r="V852" s="6">
        <v>45.68</v>
      </c>
      <c r="W852" s="6">
        <v>0</v>
      </c>
      <c r="X852" s="6">
        <v>0</v>
      </c>
      <c r="Y852" s="6">
        <v>1079</v>
      </c>
      <c r="Z852" s="6">
        <v>672</v>
      </c>
      <c r="AA852" s="6">
        <v>94</v>
      </c>
      <c r="AB852" s="6">
        <v>8</v>
      </c>
      <c r="AC852" s="7">
        <v>84</v>
      </c>
      <c r="AD852" s="7" t="s">
        <v>52</v>
      </c>
      <c r="AE852" s="9">
        <v>31.582763478316799</v>
      </c>
      <c r="AF852" s="7">
        <v>248</v>
      </c>
      <c r="AG852" s="7">
        <v>30.79</v>
      </c>
      <c r="AH852" s="9">
        <v>39.757165710958098</v>
      </c>
      <c r="AI852" s="9">
        <v>43.349851986620997</v>
      </c>
      <c r="AJ852" s="9">
        <v>475.56626693190998</v>
      </c>
      <c r="AK852" s="9">
        <v>477.23471740491101</v>
      </c>
      <c r="AL852" s="9">
        <v>523.88140213470797</v>
      </c>
      <c r="AM852" s="9" t="s">
        <v>169</v>
      </c>
      <c r="AN852" s="9" t="s">
        <v>169</v>
      </c>
      <c r="AO852" s="9" t="s">
        <v>169</v>
      </c>
      <c r="AP852" s="9" t="s">
        <v>169</v>
      </c>
      <c r="AQ852" s="9" t="s">
        <v>169</v>
      </c>
      <c r="AR852" s="9" t="s">
        <v>169</v>
      </c>
      <c r="AS852" s="8" t="s">
        <v>169</v>
      </c>
      <c r="AT852" s="8" t="s">
        <v>169</v>
      </c>
      <c r="AU852" s="10" t="s">
        <v>169</v>
      </c>
      <c r="AV852" s="10">
        <v>0</v>
      </c>
      <c r="AW852" s="10" t="s">
        <v>169</v>
      </c>
      <c r="AX852" s="10" t="s">
        <v>169</v>
      </c>
      <c r="AY852" s="10"/>
      <c r="AZ852" s="10"/>
      <c r="BA852" s="10"/>
      <c r="BB852" s="8"/>
      <c r="BC852" s="8"/>
      <c r="BD852" s="8"/>
      <c r="BE852" s="8"/>
      <c r="BF852" s="12">
        <v>0.38</v>
      </c>
      <c r="BG852" s="13">
        <v>346.72217464615397</v>
      </c>
      <c r="BH852" s="96" t="str">
        <f>+VLOOKUP(G852,Liste!$A$7:$G$50,3,FALSE)</f>
        <v>Sapin pectiné</v>
      </c>
      <c r="BI852" s="96" t="str">
        <f>+VLOOKUP(H852,Liste!$B$7:$G$50,5,FALSE)</f>
        <v>GS Arc Jurassien</v>
      </c>
      <c r="BJ852" s="135">
        <f t="shared" si="263"/>
        <v>84</v>
      </c>
      <c r="BK852" s="135" t="str">
        <f t="shared" si="265"/>
        <v>Sapin pectiné_F1_Cas général_GS Arc Jurassien_84_</v>
      </c>
      <c r="BL852" s="322"/>
      <c r="BM852" s="13">
        <v>86.279033072061694</v>
      </c>
      <c r="BN852" s="13">
        <v>433.00120771821599</v>
      </c>
      <c r="BO852" s="13" t="s">
        <v>169</v>
      </c>
      <c r="BP852" s="13">
        <v>359.743735612752</v>
      </c>
      <c r="BQ852" s="13" t="s">
        <v>169</v>
      </c>
      <c r="BT852" s="298" t="str">
        <f>+VLOOKUP(G852,Liste!$A$7:$H$50,8,FALSE)</f>
        <v>Résineux</v>
      </c>
      <c r="BU852" s="298">
        <f t="shared" si="266"/>
        <v>0</v>
      </c>
      <c r="BV852" s="300">
        <f t="shared" si="267"/>
        <v>1</v>
      </c>
      <c r="BW852" s="321">
        <v>0</v>
      </c>
      <c r="BX852" s="298">
        <f t="shared" si="268"/>
        <v>0.43</v>
      </c>
      <c r="BY852">
        <f t="shared" si="269"/>
        <v>0</v>
      </c>
      <c r="BZ852" s="304">
        <f t="shared" si="270"/>
        <v>0</v>
      </c>
      <c r="CB852" s="299">
        <v>0.6</v>
      </c>
      <c r="CC852" s="299">
        <v>0.4</v>
      </c>
      <c r="CD852">
        <f t="shared" si="271"/>
        <v>0</v>
      </c>
      <c r="CE852">
        <f t="shared" si="272"/>
        <v>0</v>
      </c>
      <c r="CF852">
        <f t="shared" si="273"/>
        <v>0</v>
      </c>
      <c r="CG852">
        <f t="shared" si="274"/>
        <v>0</v>
      </c>
      <c r="CH852">
        <f t="shared" si="275"/>
        <v>0</v>
      </c>
      <c r="CI852">
        <f t="shared" si="276"/>
        <v>0</v>
      </c>
      <c r="CJ852">
        <f t="shared" si="277"/>
        <v>0</v>
      </c>
      <c r="CK852">
        <f t="shared" si="278"/>
        <v>0</v>
      </c>
      <c r="CL852">
        <f t="shared" si="279"/>
        <v>0</v>
      </c>
      <c r="CM852">
        <f t="shared" si="281"/>
        <v>0</v>
      </c>
      <c r="CN852">
        <f t="shared" si="280"/>
        <v>0</v>
      </c>
      <c r="CO852">
        <f t="shared" si="264"/>
        <v>0</v>
      </c>
    </row>
    <row r="853" spans="1:93" s="12" customFormat="1" x14ac:dyDescent="0.25">
      <c r="A853" s="4">
        <v>2013</v>
      </c>
      <c r="B853" s="318">
        <v>44265</v>
      </c>
      <c r="C853" s="4" t="s">
        <v>430</v>
      </c>
      <c r="D853" s="4" t="s">
        <v>431</v>
      </c>
      <c r="E853" s="4"/>
      <c r="F853" s="4" t="s">
        <v>1493</v>
      </c>
      <c r="G853" s="5" t="s">
        <v>432</v>
      </c>
      <c r="H853" s="5" t="s">
        <v>185</v>
      </c>
      <c r="I853" s="5" t="s">
        <v>222</v>
      </c>
      <c r="J853" s="5" t="s">
        <v>9</v>
      </c>
      <c r="K853" s="5">
        <v>20</v>
      </c>
      <c r="L853" s="5" t="s">
        <v>191</v>
      </c>
      <c r="M853" s="5">
        <v>2000</v>
      </c>
      <c r="N853" s="5" t="s">
        <v>171</v>
      </c>
      <c r="O853" s="6" t="s">
        <v>81</v>
      </c>
      <c r="P853" s="6" t="s">
        <v>186</v>
      </c>
      <c r="Q853" s="6"/>
      <c r="R853" s="6"/>
      <c r="S853" s="6">
        <v>45</v>
      </c>
      <c r="T853" s="6">
        <v>17.7</v>
      </c>
      <c r="U853" s="6">
        <v>1853</v>
      </c>
      <c r="V853" s="6">
        <v>45.68</v>
      </c>
      <c r="W853" s="6">
        <v>0</v>
      </c>
      <c r="X853" s="6">
        <v>0</v>
      </c>
      <c r="Y853" s="6">
        <v>1079</v>
      </c>
      <c r="Z853" s="6">
        <v>672</v>
      </c>
      <c r="AA853" s="6">
        <v>94</v>
      </c>
      <c r="AB853" s="6">
        <v>8</v>
      </c>
      <c r="AC853" s="7">
        <v>85</v>
      </c>
      <c r="AD853" s="7" t="s">
        <v>52</v>
      </c>
      <c r="AE853" s="9">
        <v>31.824140202762401</v>
      </c>
      <c r="AF853" s="7">
        <v>248</v>
      </c>
      <c r="AG853" s="7">
        <v>31.55</v>
      </c>
      <c r="AH853" s="9">
        <v>40.245371311325599</v>
      </c>
      <c r="AI853" s="9">
        <v>43.862563977105196</v>
      </c>
      <c r="AJ853" s="9">
        <v>491.464663397837</v>
      </c>
      <c r="AK853" s="9">
        <v>493.18124335175298</v>
      </c>
      <c r="AL853" s="9">
        <v>540.64880271333698</v>
      </c>
      <c r="AM853" s="9">
        <v>91.889505629229305</v>
      </c>
      <c r="AN853" s="9">
        <v>1.0810530074027001</v>
      </c>
      <c r="AO853" s="9">
        <v>0.73465815697893799</v>
      </c>
      <c r="AP853" s="9">
        <v>1302.3487067076601</v>
      </c>
      <c r="AQ853" s="9">
        <v>15.3217494906783</v>
      </c>
      <c r="AR853" s="9">
        <v>16.439121511525901</v>
      </c>
      <c r="AS853" s="8" t="s">
        <v>169</v>
      </c>
      <c r="AT853" s="8" t="s">
        <v>169</v>
      </c>
      <c r="AU853" s="10" t="s">
        <v>169</v>
      </c>
      <c r="AV853" s="10">
        <v>0</v>
      </c>
      <c r="AW853" s="10" t="s">
        <v>169</v>
      </c>
      <c r="AX853" s="10" t="s">
        <v>169</v>
      </c>
      <c r="AY853" s="10"/>
      <c r="AZ853" s="10"/>
      <c r="BA853" s="10"/>
      <c r="BB853" s="8"/>
      <c r="BC853" s="8"/>
      <c r="BD853" s="8"/>
      <c r="BE853" s="8"/>
      <c r="BF853" s="12">
        <v>0.38</v>
      </c>
      <c r="BG853" s="13">
        <v>357.81939926244399</v>
      </c>
      <c r="BH853" s="96" t="str">
        <f>+VLOOKUP(G853,Liste!$A$7:$G$50,3,FALSE)</f>
        <v>Sapin pectiné</v>
      </c>
      <c r="BI853" s="96" t="str">
        <f>+VLOOKUP(H853,Liste!$B$7:$G$50,5,FALSE)</f>
        <v>GS Arc Jurassien</v>
      </c>
      <c r="BJ853" s="135">
        <f t="shared" si="263"/>
        <v>85</v>
      </c>
      <c r="BK853" s="135" t="str">
        <f t="shared" si="265"/>
        <v>Sapin pectiné_F1_Cas général_GS Arc Jurassien_85_</v>
      </c>
      <c r="BL853" s="322"/>
      <c r="BM853" s="13">
        <v>88.719237762523505</v>
      </c>
      <c r="BN853" s="13">
        <v>446.53863702496699</v>
      </c>
      <c r="BO853" s="13" t="s">
        <v>169</v>
      </c>
      <c r="BP853" s="13">
        <v>359.743735612752</v>
      </c>
      <c r="BQ853" s="13">
        <v>13.0239949985734</v>
      </c>
      <c r="BT853" s="298" t="str">
        <f>+VLOOKUP(G853,Liste!$A$7:$H$50,8,FALSE)</f>
        <v>Résineux</v>
      </c>
      <c r="BU853" s="298">
        <f t="shared" si="266"/>
        <v>0</v>
      </c>
      <c r="BV853" s="300">
        <f t="shared" si="267"/>
        <v>1</v>
      </c>
      <c r="BW853" s="321">
        <v>0</v>
      </c>
      <c r="BX853" s="298">
        <f t="shared" si="268"/>
        <v>0.43</v>
      </c>
      <c r="BY853">
        <f t="shared" si="269"/>
        <v>0</v>
      </c>
      <c r="BZ853" s="304">
        <f t="shared" si="270"/>
        <v>0</v>
      </c>
      <c r="CB853" s="299">
        <v>0.6</v>
      </c>
      <c r="CC853" s="299">
        <v>0.4</v>
      </c>
      <c r="CD853">
        <f t="shared" si="271"/>
        <v>0</v>
      </c>
      <c r="CE853">
        <f t="shared" si="272"/>
        <v>0</v>
      </c>
      <c r="CF853">
        <f t="shared" si="273"/>
        <v>0</v>
      </c>
      <c r="CG853">
        <f t="shared" si="274"/>
        <v>0</v>
      </c>
      <c r="CH853">
        <f t="shared" si="275"/>
        <v>0</v>
      </c>
      <c r="CI853">
        <f t="shared" si="276"/>
        <v>0</v>
      </c>
      <c r="CJ853">
        <f t="shared" si="277"/>
        <v>0</v>
      </c>
      <c r="CK853">
        <f t="shared" si="278"/>
        <v>0</v>
      </c>
      <c r="CL853">
        <f t="shared" si="279"/>
        <v>0</v>
      </c>
      <c r="CM853">
        <f t="shared" si="281"/>
        <v>0</v>
      </c>
      <c r="CN853">
        <f t="shared" si="280"/>
        <v>0</v>
      </c>
      <c r="CO853">
        <f t="shared" si="264"/>
        <v>0</v>
      </c>
    </row>
    <row r="854" spans="1:93" s="12" customFormat="1" x14ac:dyDescent="0.25">
      <c r="A854" s="4">
        <v>2013</v>
      </c>
      <c r="B854" s="318">
        <v>44265</v>
      </c>
      <c r="C854" s="4" t="s">
        <v>430</v>
      </c>
      <c r="D854" s="4" t="s">
        <v>431</v>
      </c>
      <c r="E854" s="4"/>
      <c r="F854" s="4" t="s">
        <v>1493</v>
      </c>
      <c r="G854" s="5" t="s">
        <v>432</v>
      </c>
      <c r="H854" s="5" t="s">
        <v>185</v>
      </c>
      <c r="I854" s="5" t="s">
        <v>222</v>
      </c>
      <c r="J854" s="5" t="s">
        <v>9</v>
      </c>
      <c r="K854" s="5">
        <v>20</v>
      </c>
      <c r="L854" s="5" t="s">
        <v>191</v>
      </c>
      <c r="M854" s="5">
        <v>2000</v>
      </c>
      <c r="N854" s="5" t="s">
        <v>171</v>
      </c>
      <c r="O854" s="6" t="s">
        <v>81</v>
      </c>
      <c r="P854" s="6" t="s">
        <v>186</v>
      </c>
      <c r="Q854" s="6"/>
      <c r="R854" s="6"/>
      <c r="S854" s="6">
        <v>45</v>
      </c>
      <c r="T854" s="6">
        <v>17.7</v>
      </c>
      <c r="U854" s="6">
        <v>1853</v>
      </c>
      <c r="V854" s="6">
        <v>45.68</v>
      </c>
      <c r="W854" s="6">
        <v>0</v>
      </c>
      <c r="X854" s="6">
        <v>0</v>
      </c>
      <c r="Y854" s="6">
        <v>1079</v>
      </c>
      <c r="Z854" s="6">
        <v>672</v>
      </c>
      <c r="AA854" s="6">
        <v>94</v>
      </c>
      <c r="AB854" s="6">
        <v>8</v>
      </c>
      <c r="AC854" s="7">
        <v>86</v>
      </c>
      <c r="AD854" s="7" t="s">
        <v>52</v>
      </c>
      <c r="AE854" s="9">
        <v>32.061409107588297</v>
      </c>
      <c r="AF854" s="7">
        <v>248</v>
      </c>
      <c r="AG854" s="7">
        <v>32.299999999999997</v>
      </c>
      <c r="AH854" s="9">
        <v>40.722210184306398</v>
      </c>
      <c r="AI854" s="9">
        <v>44.362838880335197</v>
      </c>
      <c r="AJ854" s="9">
        <v>507.11985894247402</v>
      </c>
      <c r="AK854" s="9">
        <v>508.88089473258901</v>
      </c>
      <c r="AL854" s="9">
        <v>557.08792422486295</v>
      </c>
      <c r="AM854" s="9" t="s">
        <v>169</v>
      </c>
      <c r="AN854" s="9" t="s">
        <v>169</v>
      </c>
      <c r="AO854" s="9" t="s">
        <v>169</v>
      </c>
      <c r="AP854" s="9" t="s">
        <v>169</v>
      </c>
      <c r="AQ854" s="9" t="s">
        <v>169</v>
      </c>
      <c r="AR854" s="9" t="s">
        <v>169</v>
      </c>
      <c r="AS854" s="8" t="s">
        <v>169</v>
      </c>
      <c r="AT854" s="8" t="s">
        <v>169</v>
      </c>
      <c r="AU854" s="10" t="s">
        <v>169</v>
      </c>
      <c r="AV854" s="10">
        <v>0</v>
      </c>
      <c r="AW854" s="10" t="s">
        <v>169</v>
      </c>
      <c r="AX854" s="10" t="s">
        <v>169</v>
      </c>
      <c r="AY854" s="10"/>
      <c r="AZ854" s="10"/>
      <c r="BA854" s="10"/>
      <c r="BB854" s="8"/>
      <c r="BC854" s="8"/>
      <c r="BD854" s="8"/>
      <c r="BE854" s="8"/>
      <c r="BF854" s="12">
        <v>0.38</v>
      </c>
      <c r="BG854" s="13">
        <v>368.69935784948899</v>
      </c>
      <c r="BH854" s="96" t="str">
        <f>+VLOOKUP(G854,Liste!$A$7:$G$50,3,FALSE)</f>
        <v>Sapin pectiné</v>
      </c>
      <c r="BI854" s="96" t="str">
        <f>+VLOOKUP(H854,Liste!$B$7:$G$50,5,FALSE)</f>
        <v>GS Arc Jurassien</v>
      </c>
      <c r="BJ854" s="135">
        <f t="shared" si="263"/>
        <v>86</v>
      </c>
      <c r="BK854" s="135" t="str">
        <f t="shared" si="265"/>
        <v>Sapin pectiné_F1_Cas général_GS Arc Jurassien_86_</v>
      </c>
      <c r="BL854" s="322"/>
      <c r="BM854" s="13">
        <v>91.0828716126031</v>
      </c>
      <c r="BN854" s="13">
        <v>459.782229462092</v>
      </c>
      <c r="BO854" s="13" t="s">
        <v>169</v>
      </c>
      <c r="BP854" s="13">
        <v>359.743735612752</v>
      </c>
      <c r="BQ854" s="13" t="s">
        <v>169</v>
      </c>
      <c r="BT854" s="298" t="str">
        <f>+VLOOKUP(G854,Liste!$A$7:$H$50,8,FALSE)</f>
        <v>Résineux</v>
      </c>
      <c r="BU854" s="298">
        <f t="shared" si="266"/>
        <v>0</v>
      </c>
      <c r="BV854" s="300">
        <f t="shared" si="267"/>
        <v>1</v>
      </c>
      <c r="BW854" s="321">
        <v>0</v>
      </c>
      <c r="BX854" s="298">
        <f t="shared" si="268"/>
        <v>0.43</v>
      </c>
      <c r="BY854">
        <f t="shared" si="269"/>
        <v>0</v>
      </c>
      <c r="BZ854" s="304">
        <f t="shared" si="270"/>
        <v>0</v>
      </c>
      <c r="CB854" s="299">
        <v>0.6</v>
      </c>
      <c r="CC854" s="299">
        <v>0.4</v>
      </c>
      <c r="CD854">
        <f t="shared" si="271"/>
        <v>0</v>
      </c>
      <c r="CE854">
        <f t="shared" si="272"/>
        <v>0</v>
      </c>
      <c r="CF854">
        <f t="shared" si="273"/>
        <v>0</v>
      </c>
      <c r="CG854">
        <f t="shared" si="274"/>
        <v>0</v>
      </c>
      <c r="CH854">
        <f t="shared" si="275"/>
        <v>0</v>
      </c>
      <c r="CI854">
        <f t="shared" si="276"/>
        <v>0</v>
      </c>
      <c r="CJ854">
        <f t="shared" si="277"/>
        <v>0</v>
      </c>
      <c r="CK854">
        <f t="shared" si="278"/>
        <v>0</v>
      </c>
      <c r="CL854">
        <f t="shared" si="279"/>
        <v>0</v>
      </c>
      <c r="CM854">
        <f t="shared" si="281"/>
        <v>0</v>
      </c>
      <c r="CN854">
        <f t="shared" si="280"/>
        <v>0</v>
      </c>
      <c r="CO854">
        <f t="shared" si="264"/>
        <v>0</v>
      </c>
    </row>
    <row r="855" spans="1:93" s="12" customFormat="1" x14ac:dyDescent="0.25">
      <c r="A855" s="4">
        <v>2013</v>
      </c>
      <c r="B855" s="318">
        <v>44265</v>
      </c>
      <c r="C855" s="4" t="s">
        <v>430</v>
      </c>
      <c r="D855" s="4" t="s">
        <v>431</v>
      </c>
      <c r="E855" s="4"/>
      <c r="F855" s="4" t="s">
        <v>1493</v>
      </c>
      <c r="G855" s="5" t="s">
        <v>432</v>
      </c>
      <c r="H855" s="5" t="s">
        <v>185</v>
      </c>
      <c r="I855" s="5" t="s">
        <v>222</v>
      </c>
      <c r="J855" s="5" t="s">
        <v>9</v>
      </c>
      <c r="K855" s="5">
        <v>20</v>
      </c>
      <c r="L855" s="5" t="s">
        <v>191</v>
      </c>
      <c r="M855" s="5">
        <v>2000</v>
      </c>
      <c r="N855" s="5" t="s">
        <v>171</v>
      </c>
      <c r="O855" s="6" t="s">
        <v>81</v>
      </c>
      <c r="P855" s="6" t="s">
        <v>186</v>
      </c>
      <c r="Q855" s="6"/>
      <c r="R855" s="6"/>
      <c r="S855" s="6">
        <v>45</v>
      </c>
      <c r="T855" s="6">
        <v>17.7</v>
      </c>
      <c r="U855" s="6">
        <v>1853</v>
      </c>
      <c r="V855" s="6">
        <v>45.68</v>
      </c>
      <c r="W855" s="6">
        <v>0</v>
      </c>
      <c r="X855" s="6">
        <v>0</v>
      </c>
      <c r="Y855" s="6">
        <v>1079</v>
      </c>
      <c r="Z855" s="6">
        <v>672</v>
      </c>
      <c r="AA855" s="6">
        <v>94</v>
      </c>
      <c r="AB855" s="6">
        <v>8</v>
      </c>
      <c r="AC855" s="7">
        <v>87</v>
      </c>
      <c r="AD855" s="7" t="s">
        <v>52</v>
      </c>
      <c r="AE855" s="9">
        <v>32.294663486691299</v>
      </c>
      <c r="AF855" s="7">
        <v>248</v>
      </c>
      <c r="AG855" s="7">
        <v>33.04</v>
      </c>
      <c r="AH855" s="9">
        <v>41.188095760591899</v>
      </c>
      <c r="AI855" s="9">
        <v>44.851158740821603</v>
      </c>
      <c r="AJ855" s="9">
        <v>522.77505448710997</v>
      </c>
      <c r="AK855" s="9">
        <v>524.58054611342504</v>
      </c>
      <c r="AL855" s="9">
        <v>573.52704573638903</v>
      </c>
      <c r="AM855" s="9" t="s">
        <v>169</v>
      </c>
      <c r="AN855" s="9" t="s">
        <v>169</v>
      </c>
      <c r="AO855" s="9" t="s">
        <v>169</v>
      </c>
      <c r="AP855" s="9" t="s">
        <v>169</v>
      </c>
      <c r="AQ855" s="9" t="s">
        <v>169</v>
      </c>
      <c r="AR855" s="9" t="s">
        <v>169</v>
      </c>
      <c r="AS855" s="8" t="s">
        <v>169</v>
      </c>
      <c r="AT855" s="8" t="s">
        <v>169</v>
      </c>
      <c r="AU855" s="10" t="s">
        <v>169</v>
      </c>
      <c r="AV855" s="10">
        <v>0</v>
      </c>
      <c r="AW855" s="10" t="s">
        <v>169</v>
      </c>
      <c r="AX855" s="10" t="s">
        <v>169</v>
      </c>
      <c r="AY855" s="10"/>
      <c r="AZ855" s="10"/>
      <c r="BA855" s="10"/>
      <c r="BB855" s="8"/>
      <c r="BC855" s="8"/>
      <c r="BD855" s="8"/>
      <c r="BE855" s="8"/>
      <c r="BF855" s="12">
        <v>0.38</v>
      </c>
      <c r="BG855" s="13">
        <v>379.57931643653399</v>
      </c>
      <c r="BH855" s="96" t="str">
        <f>+VLOOKUP(G855,Liste!$A$7:$G$50,3,FALSE)</f>
        <v>Sapin pectiné</v>
      </c>
      <c r="BI855" s="96" t="str">
        <f>+VLOOKUP(H855,Liste!$B$7:$G$50,5,FALSE)</f>
        <v>GS Arc Jurassien</v>
      </c>
      <c r="BJ855" s="135">
        <f t="shared" si="263"/>
        <v>87</v>
      </c>
      <c r="BK855" s="135" t="str">
        <f t="shared" si="265"/>
        <v>Sapin pectiné_F1_Cas général_GS Arc Jurassien_87_</v>
      </c>
      <c r="BL855" s="322"/>
      <c r="BM855" s="13">
        <v>93.446505462682595</v>
      </c>
      <c r="BN855" s="13">
        <v>473.025821899216</v>
      </c>
      <c r="BO855" s="13" t="s">
        <v>169</v>
      </c>
      <c r="BP855" s="13">
        <v>359.743735612752</v>
      </c>
      <c r="BQ855" s="13" t="s">
        <v>169</v>
      </c>
      <c r="BT855" s="298" t="str">
        <f>+VLOOKUP(G855,Liste!$A$7:$H$50,8,FALSE)</f>
        <v>Résineux</v>
      </c>
      <c r="BU855" s="298">
        <f t="shared" si="266"/>
        <v>0</v>
      </c>
      <c r="BV855" s="300">
        <f t="shared" si="267"/>
        <v>1</v>
      </c>
      <c r="BW855" s="321">
        <v>0</v>
      </c>
      <c r="BX855" s="298">
        <f t="shared" si="268"/>
        <v>0.43</v>
      </c>
      <c r="BY855">
        <f t="shared" si="269"/>
        <v>0</v>
      </c>
      <c r="BZ855" s="304">
        <f t="shared" si="270"/>
        <v>0</v>
      </c>
      <c r="CB855" s="299">
        <v>0.6</v>
      </c>
      <c r="CC855" s="299">
        <v>0.4</v>
      </c>
      <c r="CD855">
        <f t="shared" si="271"/>
        <v>0</v>
      </c>
      <c r="CE855">
        <f t="shared" si="272"/>
        <v>0</v>
      </c>
      <c r="CF855">
        <f t="shared" si="273"/>
        <v>0</v>
      </c>
      <c r="CG855">
        <f t="shared" si="274"/>
        <v>0</v>
      </c>
      <c r="CH855">
        <f t="shared" si="275"/>
        <v>0</v>
      </c>
      <c r="CI855">
        <f t="shared" si="276"/>
        <v>0</v>
      </c>
      <c r="CJ855">
        <f t="shared" si="277"/>
        <v>0</v>
      </c>
      <c r="CK855">
        <f t="shared" si="278"/>
        <v>0</v>
      </c>
      <c r="CL855">
        <f t="shared" si="279"/>
        <v>0</v>
      </c>
      <c r="CM855">
        <f t="shared" si="281"/>
        <v>0</v>
      </c>
      <c r="CN855">
        <f t="shared" si="280"/>
        <v>0</v>
      </c>
      <c r="CO855">
        <f t="shared" si="264"/>
        <v>0</v>
      </c>
    </row>
    <row r="856" spans="1:93" s="12" customFormat="1" x14ac:dyDescent="0.25">
      <c r="A856" s="4">
        <v>2013</v>
      </c>
      <c r="B856" s="318">
        <v>44265</v>
      </c>
      <c r="C856" s="4" t="s">
        <v>430</v>
      </c>
      <c r="D856" s="4" t="s">
        <v>431</v>
      </c>
      <c r="E856" s="4"/>
      <c r="F856" s="4" t="s">
        <v>1493</v>
      </c>
      <c r="G856" s="5" t="s">
        <v>432</v>
      </c>
      <c r="H856" s="5" t="s">
        <v>185</v>
      </c>
      <c r="I856" s="5" t="s">
        <v>222</v>
      </c>
      <c r="J856" s="5" t="s">
        <v>9</v>
      </c>
      <c r="K856" s="5">
        <v>20</v>
      </c>
      <c r="L856" s="5" t="s">
        <v>191</v>
      </c>
      <c r="M856" s="5">
        <v>2000</v>
      </c>
      <c r="N856" s="5" t="s">
        <v>171</v>
      </c>
      <c r="O856" s="6" t="s">
        <v>81</v>
      </c>
      <c r="P856" s="6" t="s">
        <v>186</v>
      </c>
      <c r="Q856" s="6"/>
      <c r="R856" s="6"/>
      <c r="S856" s="6">
        <v>45</v>
      </c>
      <c r="T856" s="6">
        <v>17.7</v>
      </c>
      <c r="U856" s="6">
        <v>1853</v>
      </c>
      <c r="V856" s="6">
        <v>45.68</v>
      </c>
      <c r="W856" s="6">
        <v>0</v>
      </c>
      <c r="X856" s="6">
        <v>0</v>
      </c>
      <c r="Y856" s="6">
        <v>1079</v>
      </c>
      <c r="Z856" s="6">
        <v>672</v>
      </c>
      <c r="AA856" s="6">
        <v>94</v>
      </c>
      <c r="AB856" s="6">
        <v>8</v>
      </c>
      <c r="AC856" s="7">
        <v>88</v>
      </c>
      <c r="AD856" s="7" t="s">
        <v>52</v>
      </c>
      <c r="AE856" s="9">
        <v>32.5239942628222</v>
      </c>
      <c r="AF856" s="7">
        <v>248</v>
      </c>
      <c r="AG856" s="7">
        <v>33.78</v>
      </c>
      <c r="AH856" s="9">
        <v>41.643419527539599</v>
      </c>
      <c r="AI856" s="9">
        <v>45.327978294534297</v>
      </c>
      <c r="AJ856" s="9">
        <v>538.43025003174603</v>
      </c>
      <c r="AK856" s="9">
        <v>540.28019749426096</v>
      </c>
      <c r="AL856" s="9">
        <v>589.966167247915</v>
      </c>
      <c r="AM856" s="9" t="s">
        <v>169</v>
      </c>
      <c r="AN856" s="9" t="s">
        <v>169</v>
      </c>
      <c r="AO856" s="9" t="s">
        <v>169</v>
      </c>
      <c r="AP856" s="9" t="s">
        <v>169</v>
      </c>
      <c r="AQ856" s="9" t="s">
        <v>169</v>
      </c>
      <c r="AR856" s="9" t="s">
        <v>169</v>
      </c>
      <c r="AS856" s="8" t="s">
        <v>169</v>
      </c>
      <c r="AT856" s="8" t="s">
        <v>169</v>
      </c>
      <c r="AU856" s="10" t="s">
        <v>169</v>
      </c>
      <c r="AV856" s="10">
        <v>0</v>
      </c>
      <c r="AW856" s="10" t="s">
        <v>169</v>
      </c>
      <c r="AX856" s="10" t="s">
        <v>169</v>
      </c>
      <c r="AY856" s="10"/>
      <c r="AZ856" s="10"/>
      <c r="BA856" s="10"/>
      <c r="BB856" s="8"/>
      <c r="BC856" s="8"/>
      <c r="BD856" s="8"/>
      <c r="BE856" s="8"/>
      <c r="BF856" s="12">
        <v>0.38</v>
      </c>
      <c r="BG856" s="13">
        <v>390.45927502357898</v>
      </c>
      <c r="BH856" s="96" t="str">
        <f>+VLOOKUP(G856,Liste!$A$7:$G$50,3,FALSE)</f>
        <v>Sapin pectiné</v>
      </c>
      <c r="BI856" s="96" t="str">
        <f>+VLOOKUP(H856,Liste!$B$7:$G$50,5,FALSE)</f>
        <v>GS Arc Jurassien</v>
      </c>
      <c r="BJ856" s="135">
        <f t="shared" si="263"/>
        <v>88</v>
      </c>
      <c r="BK856" s="135" t="str">
        <f t="shared" si="265"/>
        <v>Sapin pectiné_F1_Cas général_GS Arc Jurassien_88_</v>
      </c>
      <c r="BL856" s="322"/>
      <c r="BM856" s="13">
        <v>95.810139312762203</v>
      </c>
      <c r="BN856" s="13">
        <v>486.26941433634101</v>
      </c>
      <c r="BO856" s="13" t="s">
        <v>169</v>
      </c>
      <c r="BP856" s="13">
        <v>359.743735612752</v>
      </c>
      <c r="BQ856" s="13" t="s">
        <v>169</v>
      </c>
      <c r="BT856" s="298" t="str">
        <f>+VLOOKUP(G856,Liste!$A$7:$H$50,8,FALSE)</f>
        <v>Résineux</v>
      </c>
      <c r="BU856" s="298">
        <f t="shared" si="266"/>
        <v>0</v>
      </c>
      <c r="BV856" s="300">
        <f t="shared" si="267"/>
        <v>1</v>
      </c>
      <c r="BW856" s="321">
        <v>0</v>
      </c>
      <c r="BX856" s="298">
        <f t="shared" si="268"/>
        <v>0.43</v>
      </c>
      <c r="BY856">
        <f t="shared" si="269"/>
        <v>0</v>
      </c>
      <c r="BZ856" s="304">
        <f t="shared" si="270"/>
        <v>0</v>
      </c>
      <c r="CB856" s="299">
        <v>0.6</v>
      </c>
      <c r="CC856" s="299">
        <v>0.4</v>
      </c>
      <c r="CD856">
        <f t="shared" si="271"/>
        <v>0</v>
      </c>
      <c r="CE856">
        <f t="shared" si="272"/>
        <v>0</v>
      </c>
      <c r="CF856">
        <f t="shared" si="273"/>
        <v>0</v>
      </c>
      <c r="CG856">
        <f t="shared" si="274"/>
        <v>0</v>
      </c>
      <c r="CH856">
        <f t="shared" si="275"/>
        <v>0</v>
      </c>
      <c r="CI856">
        <f t="shared" si="276"/>
        <v>0</v>
      </c>
      <c r="CJ856">
        <f t="shared" si="277"/>
        <v>0</v>
      </c>
      <c r="CK856">
        <f t="shared" si="278"/>
        <v>0</v>
      </c>
      <c r="CL856">
        <f t="shared" si="279"/>
        <v>0</v>
      </c>
      <c r="CM856">
        <f t="shared" si="281"/>
        <v>0</v>
      </c>
      <c r="CN856">
        <f t="shared" si="280"/>
        <v>0</v>
      </c>
      <c r="CO856">
        <f t="shared" si="264"/>
        <v>0</v>
      </c>
    </row>
    <row r="857" spans="1:93" s="12" customFormat="1" x14ac:dyDescent="0.25">
      <c r="A857" s="4">
        <v>2013</v>
      </c>
      <c r="B857" s="318">
        <v>44265</v>
      </c>
      <c r="C857" s="4" t="s">
        <v>430</v>
      </c>
      <c r="D857" s="4" t="s">
        <v>431</v>
      </c>
      <c r="E857" s="4"/>
      <c r="F857" s="4" t="s">
        <v>1493</v>
      </c>
      <c r="G857" s="5" t="s">
        <v>432</v>
      </c>
      <c r="H857" s="5" t="s">
        <v>185</v>
      </c>
      <c r="I857" s="5" t="s">
        <v>222</v>
      </c>
      <c r="J857" s="5" t="s">
        <v>9</v>
      </c>
      <c r="K857" s="5">
        <v>20</v>
      </c>
      <c r="L857" s="5" t="s">
        <v>191</v>
      </c>
      <c r="M857" s="5">
        <v>2000</v>
      </c>
      <c r="N857" s="5" t="s">
        <v>171</v>
      </c>
      <c r="O857" s="6" t="s">
        <v>81</v>
      </c>
      <c r="P857" s="6" t="s">
        <v>186</v>
      </c>
      <c r="Q857" s="6"/>
      <c r="R857" s="6"/>
      <c r="S857" s="6">
        <v>45</v>
      </c>
      <c r="T857" s="6">
        <v>17.7</v>
      </c>
      <c r="U857" s="6">
        <v>1853</v>
      </c>
      <c r="V857" s="6">
        <v>45.68</v>
      </c>
      <c r="W857" s="6">
        <v>0</v>
      </c>
      <c r="X857" s="6">
        <v>0</v>
      </c>
      <c r="Y857" s="6">
        <v>1079</v>
      </c>
      <c r="Z857" s="6">
        <v>672</v>
      </c>
      <c r="AA857" s="6">
        <v>94</v>
      </c>
      <c r="AB857" s="6">
        <v>8</v>
      </c>
      <c r="AC857" s="7">
        <v>89</v>
      </c>
      <c r="AD857" s="7" t="s">
        <v>52</v>
      </c>
      <c r="AE857" s="9">
        <v>32.749490036321802</v>
      </c>
      <c r="AF857" s="7">
        <v>248</v>
      </c>
      <c r="AG857" s="7">
        <v>34.5</v>
      </c>
      <c r="AH857" s="9">
        <v>42.088553263971697</v>
      </c>
      <c r="AI857" s="9">
        <v>45.793726968800897</v>
      </c>
      <c r="AJ857" s="9">
        <v>554.08544557638299</v>
      </c>
      <c r="AK857" s="9">
        <v>555.97984887509699</v>
      </c>
      <c r="AL857" s="9">
        <v>606.40528875944096</v>
      </c>
      <c r="AM857" s="9" t="s">
        <v>169</v>
      </c>
      <c r="AN857" s="9" t="s">
        <v>169</v>
      </c>
      <c r="AO857" s="9" t="s">
        <v>169</v>
      </c>
      <c r="AP857" s="9" t="s">
        <v>169</v>
      </c>
      <c r="AQ857" s="9" t="s">
        <v>169</v>
      </c>
      <c r="AR857" s="9" t="s">
        <v>169</v>
      </c>
      <c r="AS857" s="8" t="s">
        <v>169</v>
      </c>
      <c r="AT857" s="8" t="s">
        <v>169</v>
      </c>
      <c r="AU857" s="10" t="s">
        <v>169</v>
      </c>
      <c r="AV857" s="10">
        <v>0</v>
      </c>
      <c r="AW857" s="10" t="s">
        <v>169</v>
      </c>
      <c r="AX857" s="10" t="s">
        <v>169</v>
      </c>
      <c r="AY857" s="10"/>
      <c r="AZ857" s="10"/>
      <c r="BA857" s="10"/>
      <c r="BB857" s="8"/>
      <c r="BC857" s="8"/>
      <c r="BD857" s="8"/>
      <c r="BE857" s="8"/>
      <c r="BF857" s="12">
        <v>0.38</v>
      </c>
      <c r="BG857" s="13">
        <v>401.33923361062301</v>
      </c>
      <c r="BH857" s="96" t="str">
        <f>+VLOOKUP(G857,Liste!$A$7:$G$50,3,FALSE)</f>
        <v>Sapin pectiné</v>
      </c>
      <c r="BI857" s="96" t="str">
        <f>+VLOOKUP(H857,Liste!$B$7:$G$50,5,FALSE)</f>
        <v>GS Arc Jurassien</v>
      </c>
      <c r="BJ857" s="135">
        <f t="shared" si="263"/>
        <v>89</v>
      </c>
      <c r="BK857" s="135" t="str">
        <f t="shared" si="265"/>
        <v>Sapin pectiné_F1_Cas général_GS Arc Jurassien_89_</v>
      </c>
      <c r="BL857" s="322"/>
      <c r="BM857" s="13">
        <v>98.173773162841698</v>
      </c>
      <c r="BN857" s="13">
        <v>499.51300677346501</v>
      </c>
      <c r="BO857" s="13" t="s">
        <v>169</v>
      </c>
      <c r="BP857" s="13">
        <v>359.743735612752</v>
      </c>
      <c r="BQ857" s="13" t="s">
        <v>169</v>
      </c>
      <c r="BT857" s="298" t="str">
        <f>+VLOOKUP(G857,Liste!$A$7:$H$50,8,FALSE)</f>
        <v>Résineux</v>
      </c>
      <c r="BU857" s="298">
        <f t="shared" si="266"/>
        <v>0</v>
      </c>
      <c r="BV857" s="300">
        <f t="shared" si="267"/>
        <v>1</v>
      </c>
      <c r="BW857" s="321">
        <v>0</v>
      </c>
      <c r="BX857" s="298">
        <f t="shared" si="268"/>
        <v>0.43</v>
      </c>
      <c r="BY857">
        <f t="shared" si="269"/>
        <v>0</v>
      </c>
      <c r="BZ857" s="304">
        <f t="shared" si="270"/>
        <v>0</v>
      </c>
      <c r="CB857" s="299">
        <v>0.6</v>
      </c>
      <c r="CC857" s="299">
        <v>0.4</v>
      </c>
      <c r="CD857">
        <f t="shared" si="271"/>
        <v>0</v>
      </c>
      <c r="CE857">
        <f t="shared" si="272"/>
        <v>0</v>
      </c>
      <c r="CF857">
        <f t="shared" si="273"/>
        <v>0</v>
      </c>
      <c r="CG857">
        <f t="shared" si="274"/>
        <v>0</v>
      </c>
      <c r="CH857">
        <f t="shared" si="275"/>
        <v>0</v>
      </c>
      <c r="CI857">
        <f t="shared" si="276"/>
        <v>0</v>
      </c>
      <c r="CJ857">
        <f t="shared" si="277"/>
        <v>0</v>
      </c>
      <c r="CK857">
        <f t="shared" si="278"/>
        <v>0</v>
      </c>
      <c r="CL857">
        <f t="shared" si="279"/>
        <v>0</v>
      </c>
      <c r="CM857">
        <f t="shared" si="281"/>
        <v>0</v>
      </c>
      <c r="CN857">
        <f t="shared" si="280"/>
        <v>0</v>
      </c>
      <c r="CO857">
        <f t="shared" si="264"/>
        <v>0</v>
      </c>
    </row>
    <row r="858" spans="1:93" s="12" customFormat="1" x14ac:dyDescent="0.25">
      <c r="A858" s="4">
        <v>2013</v>
      </c>
      <c r="B858" s="318">
        <v>44265</v>
      </c>
      <c r="C858" s="4" t="s">
        <v>430</v>
      </c>
      <c r="D858" s="4" t="s">
        <v>431</v>
      </c>
      <c r="E858" s="4"/>
      <c r="F858" s="4" t="s">
        <v>1493</v>
      </c>
      <c r="G858" s="5" t="s">
        <v>432</v>
      </c>
      <c r="H858" s="5" t="s">
        <v>185</v>
      </c>
      <c r="I858" s="5" t="s">
        <v>222</v>
      </c>
      <c r="J858" s="5" t="s">
        <v>9</v>
      </c>
      <c r="K858" s="5">
        <v>20</v>
      </c>
      <c r="L858" s="5" t="s">
        <v>191</v>
      </c>
      <c r="M858" s="5">
        <v>2000</v>
      </c>
      <c r="N858" s="5" t="s">
        <v>171</v>
      </c>
      <c r="O858" s="6" t="s">
        <v>81</v>
      </c>
      <c r="P858" s="6" t="s">
        <v>186</v>
      </c>
      <c r="Q858" s="6"/>
      <c r="R858" s="6"/>
      <c r="S858" s="6">
        <v>45</v>
      </c>
      <c r="T858" s="6">
        <v>17.7</v>
      </c>
      <c r="U858" s="6">
        <v>1853</v>
      </c>
      <c r="V858" s="6">
        <v>45.68</v>
      </c>
      <c r="W858" s="6">
        <v>0</v>
      </c>
      <c r="X858" s="6">
        <v>0</v>
      </c>
      <c r="Y858" s="6">
        <v>1079</v>
      </c>
      <c r="Z858" s="6">
        <v>672</v>
      </c>
      <c r="AA858" s="6">
        <v>94</v>
      </c>
      <c r="AB858" s="6">
        <v>8</v>
      </c>
      <c r="AC858" s="7">
        <v>90</v>
      </c>
      <c r="AD858" s="7" t="s">
        <v>52</v>
      </c>
      <c r="AE858" s="9">
        <v>32.971237134918397</v>
      </c>
      <c r="AF858" s="7">
        <v>248</v>
      </c>
      <c r="AG858" s="7">
        <v>35.22</v>
      </c>
      <c r="AH858" s="9">
        <v>42.523849524554997</v>
      </c>
      <c r="AI858" s="9">
        <v>46.248810591766599</v>
      </c>
      <c r="AJ858" s="9">
        <v>569.74064112101905</v>
      </c>
      <c r="AK858" s="9">
        <v>571.67950025593302</v>
      </c>
      <c r="AL858" s="9">
        <v>622.84441027096705</v>
      </c>
      <c r="AM858" s="9">
        <v>95.562796414123994</v>
      </c>
      <c r="AN858" s="9">
        <v>1.06180884904582</v>
      </c>
      <c r="AO858" s="9">
        <v>0.70888028254954305</v>
      </c>
      <c r="AP858" s="9">
        <v>1384.54431426528</v>
      </c>
      <c r="AQ858" s="9">
        <v>15.3838257140587</v>
      </c>
      <c r="AR858" s="9">
        <v>16.262568524380399</v>
      </c>
      <c r="AS858" s="8" t="s">
        <v>169</v>
      </c>
      <c r="AT858" s="8" t="s">
        <v>169</v>
      </c>
      <c r="AU858" s="10" t="s">
        <v>169</v>
      </c>
      <c r="AV858" s="10">
        <v>0</v>
      </c>
      <c r="AW858" s="10" t="s">
        <v>169</v>
      </c>
      <c r="AX858" s="10" t="s">
        <v>169</v>
      </c>
      <c r="AY858" s="10"/>
      <c r="AZ858" s="10"/>
      <c r="BA858" s="10"/>
      <c r="BB858" s="8"/>
      <c r="BC858" s="8"/>
      <c r="BD858" s="8"/>
      <c r="BE858" s="8"/>
      <c r="BF858" s="12">
        <v>0.38</v>
      </c>
      <c r="BG858" s="13">
        <v>412.21919219766801</v>
      </c>
      <c r="BH858" s="96" t="str">
        <f>+VLOOKUP(G858,Liste!$A$7:$G$50,3,FALSE)</f>
        <v>Sapin pectiné</v>
      </c>
      <c r="BI858" s="96" t="str">
        <f>+VLOOKUP(H858,Liste!$B$7:$G$50,5,FALSE)</f>
        <v>GS Arc Jurassien</v>
      </c>
      <c r="BJ858" s="135">
        <f t="shared" si="263"/>
        <v>90</v>
      </c>
      <c r="BK858" s="135" t="str">
        <f t="shared" si="265"/>
        <v>Sapin pectiné_F1_Cas général_GS Arc Jurassien_90_</v>
      </c>
      <c r="BL858" s="322"/>
      <c r="BM858" s="13">
        <v>100.53740701292099</v>
      </c>
      <c r="BN858" s="13">
        <v>512.75659921059002</v>
      </c>
      <c r="BO858" s="13" t="s">
        <v>169</v>
      </c>
      <c r="BP858" s="13">
        <v>359.743735612752</v>
      </c>
      <c r="BQ858" s="13">
        <v>12.8752121023581</v>
      </c>
      <c r="BT858" s="298" t="str">
        <f>+VLOOKUP(G858,Liste!$A$7:$H$50,8,FALSE)</f>
        <v>Résineux</v>
      </c>
      <c r="BU858" s="298">
        <f t="shared" si="266"/>
        <v>0</v>
      </c>
      <c r="BV858" s="300">
        <f t="shared" si="267"/>
        <v>1</v>
      </c>
      <c r="BW858" s="321">
        <v>0</v>
      </c>
      <c r="BX858" s="298">
        <f t="shared" si="268"/>
        <v>0.43</v>
      </c>
      <c r="BY858">
        <f t="shared" si="269"/>
        <v>0</v>
      </c>
      <c r="BZ858" s="304">
        <f t="shared" si="270"/>
        <v>0</v>
      </c>
      <c r="CB858" s="299">
        <v>0.6</v>
      </c>
      <c r="CC858" s="299">
        <v>0.4</v>
      </c>
      <c r="CD858">
        <f t="shared" si="271"/>
        <v>0</v>
      </c>
      <c r="CE858">
        <f t="shared" si="272"/>
        <v>0</v>
      </c>
      <c r="CF858">
        <f t="shared" si="273"/>
        <v>0</v>
      </c>
      <c r="CG858">
        <f t="shared" si="274"/>
        <v>0</v>
      </c>
      <c r="CH858">
        <f t="shared" si="275"/>
        <v>0</v>
      </c>
      <c r="CI858">
        <f t="shared" si="276"/>
        <v>0</v>
      </c>
      <c r="CJ858">
        <f t="shared" si="277"/>
        <v>0</v>
      </c>
      <c r="CK858">
        <f t="shared" si="278"/>
        <v>0</v>
      </c>
      <c r="CL858">
        <f t="shared" si="279"/>
        <v>0</v>
      </c>
      <c r="CM858">
        <f t="shared" si="281"/>
        <v>0</v>
      </c>
      <c r="CN858">
        <f t="shared" si="280"/>
        <v>0</v>
      </c>
      <c r="CO858">
        <f t="shared" si="264"/>
        <v>0</v>
      </c>
    </row>
    <row r="859" spans="1:93" s="12" customFormat="1" x14ac:dyDescent="0.25">
      <c r="A859" s="4">
        <v>2013</v>
      </c>
      <c r="B859" s="318">
        <v>44265</v>
      </c>
      <c r="C859" s="4" t="s">
        <v>430</v>
      </c>
      <c r="D859" s="4" t="s">
        <v>431</v>
      </c>
      <c r="E859" s="4"/>
      <c r="F859" s="4" t="s">
        <v>1493</v>
      </c>
      <c r="G859" s="5" t="s">
        <v>432</v>
      </c>
      <c r="H859" s="5" t="s">
        <v>185</v>
      </c>
      <c r="I859" s="5" t="s">
        <v>222</v>
      </c>
      <c r="J859" s="5" t="s">
        <v>9</v>
      </c>
      <c r="K859" s="5">
        <v>20</v>
      </c>
      <c r="L859" s="5" t="s">
        <v>191</v>
      </c>
      <c r="M859" s="5">
        <v>2000</v>
      </c>
      <c r="N859" s="5" t="s">
        <v>171</v>
      </c>
      <c r="O859" s="6" t="s">
        <v>81</v>
      </c>
      <c r="P859" s="6" t="s">
        <v>186</v>
      </c>
      <c r="Q859" s="6"/>
      <c r="R859" s="6"/>
      <c r="S859" s="6">
        <v>45</v>
      </c>
      <c r="T859" s="6">
        <v>17.7</v>
      </c>
      <c r="U859" s="6">
        <v>1853</v>
      </c>
      <c r="V859" s="6">
        <v>45.68</v>
      </c>
      <c r="W859" s="6">
        <v>0</v>
      </c>
      <c r="X859" s="6">
        <v>0</v>
      </c>
      <c r="Y859" s="6">
        <v>1079</v>
      </c>
      <c r="Z859" s="6">
        <v>672</v>
      </c>
      <c r="AA859" s="6">
        <v>94</v>
      </c>
      <c r="AB859" s="6">
        <v>8</v>
      </c>
      <c r="AC859" s="7">
        <v>91</v>
      </c>
      <c r="AD859" s="7" t="s">
        <v>52</v>
      </c>
      <c r="AE859" s="9">
        <v>33.189319664265597</v>
      </c>
      <c r="AF859" s="7">
        <v>248</v>
      </c>
      <c r="AG859" s="7">
        <v>35.93</v>
      </c>
      <c r="AH859" s="9">
        <v>42.949643860634197</v>
      </c>
      <c r="AI859" s="9">
        <v>46.693613623215398</v>
      </c>
      <c r="AJ859" s="9">
        <v>585.32091314653405</v>
      </c>
      <c r="AK859" s="9">
        <v>587.29899086054797</v>
      </c>
      <c r="AL859" s="9">
        <v>639.106978795347</v>
      </c>
      <c r="AM859" s="9">
        <v>96.271676696673495</v>
      </c>
      <c r="AN859" s="9">
        <v>1.0579305131502601</v>
      </c>
      <c r="AO859" s="9">
        <v>0.65653524706803501</v>
      </c>
      <c r="AP859" s="9">
        <v>1400.80688278967</v>
      </c>
      <c r="AQ859" s="9">
        <v>15.3934822284579</v>
      </c>
      <c r="AR859" s="9">
        <v>15.0069465628975</v>
      </c>
      <c r="AS859" s="8" t="s">
        <v>169</v>
      </c>
      <c r="AT859" s="8" t="s">
        <v>169</v>
      </c>
      <c r="AU859" s="10" t="s">
        <v>169</v>
      </c>
      <c r="AV859" s="10">
        <v>0</v>
      </c>
      <c r="AW859" s="10" t="s">
        <v>169</v>
      </c>
      <c r="AX859" s="10" t="s">
        <v>169</v>
      </c>
      <c r="AY859" s="10"/>
      <c r="AZ859" s="10"/>
      <c r="BA859" s="10"/>
      <c r="BB859" s="8"/>
      <c r="BC859" s="8"/>
      <c r="BD859" s="8"/>
      <c r="BE859" s="8"/>
      <c r="BF859" s="12">
        <v>0.38</v>
      </c>
      <c r="BG859" s="13">
        <v>422.98230213272097</v>
      </c>
      <c r="BH859" s="96" t="str">
        <f>+VLOOKUP(G859,Liste!$A$7:$G$50,3,FALSE)</f>
        <v>Sapin pectiné</v>
      </c>
      <c r="BI859" s="96" t="str">
        <f>+VLOOKUP(H859,Liste!$B$7:$G$50,5,FALSE)</f>
        <v>GS Arc Jurassien</v>
      </c>
      <c r="BJ859" s="135">
        <f t="shared" si="263"/>
        <v>91</v>
      </c>
      <c r="BK859" s="135" t="str">
        <f t="shared" si="265"/>
        <v>Sapin pectiné_F1_Cas général_GS Arc Jurassien_91_</v>
      </c>
      <c r="BL859" s="322"/>
      <c r="BM859" s="13">
        <v>102.853408477039</v>
      </c>
      <c r="BN859" s="13">
        <v>525.83571060975896</v>
      </c>
      <c r="BO859" s="13" t="s">
        <v>169</v>
      </c>
      <c r="BP859" s="13">
        <v>359.743735612752</v>
      </c>
      <c r="BQ859" s="13">
        <v>11.8762035798912</v>
      </c>
      <c r="BT859" s="298" t="str">
        <f>+VLOOKUP(G859,Liste!$A$7:$H$50,8,FALSE)</f>
        <v>Résineux</v>
      </c>
      <c r="BU859" s="298">
        <f t="shared" si="266"/>
        <v>0</v>
      </c>
      <c r="BV859" s="300">
        <f t="shared" si="267"/>
        <v>1</v>
      </c>
      <c r="BW859" s="321">
        <v>0</v>
      </c>
      <c r="BX859" s="298">
        <f t="shared" si="268"/>
        <v>0.43</v>
      </c>
      <c r="BY859">
        <f t="shared" si="269"/>
        <v>0</v>
      </c>
      <c r="BZ859" s="304">
        <f t="shared" si="270"/>
        <v>0</v>
      </c>
      <c r="CB859" s="299">
        <v>0.6</v>
      </c>
      <c r="CC859" s="299">
        <v>0.4</v>
      </c>
      <c r="CD859">
        <f t="shared" si="271"/>
        <v>0</v>
      </c>
      <c r="CE859">
        <f t="shared" si="272"/>
        <v>0</v>
      </c>
      <c r="CF859">
        <f t="shared" si="273"/>
        <v>0</v>
      </c>
      <c r="CG859">
        <f t="shared" si="274"/>
        <v>0</v>
      </c>
      <c r="CH859">
        <f t="shared" si="275"/>
        <v>0</v>
      </c>
      <c r="CI859">
        <f t="shared" si="276"/>
        <v>0</v>
      </c>
      <c r="CJ859">
        <f t="shared" si="277"/>
        <v>0</v>
      </c>
      <c r="CK859">
        <f t="shared" si="278"/>
        <v>0</v>
      </c>
      <c r="CL859">
        <f t="shared" si="279"/>
        <v>0</v>
      </c>
      <c r="CM859">
        <f t="shared" si="281"/>
        <v>0</v>
      </c>
      <c r="CN859">
        <f t="shared" si="280"/>
        <v>0</v>
      </c>
      <c r="CO859">
        <f t="shared" si="264"/>
        <v>0</v>
      </c>
    </row>
    <row r="860" spans="1:93" s="12" customFormat="1" x14ac:dyDescent="0.25">
      <c r="A860" s="4">
        <v>2013</v>
      </c>
      <c r="B860" s="318">
        <v>44265</v>
      </c>
      <c r="C860" s="4" t="s">
        <v>430</v>
      </c>
      <c r="D860" s="4" t="s">
        <v>431</v>
      </c>
      <c r="E860" s="4"/>
      <c r="F860" s="4" t="s">
        <v>1493</v>
      </c>
      <c r="G860" s="5" t="s">
        <v>432</v>
      </c>
      <c r="H860" s="5" t="s">
        <v>185</v>
      </c>
      <c r="I860" s="5" t="s">
        <v>222</v>
      </c>
      <c r="J860" s="5" t="s">
        <v>9</v>
      </c>
      <c r="K860" s="5">
        <v>20</v>
      </c>
      <c r="L860" s="5" t="s">
        <v>191</v>
      </c>
      <c r="M860" s="5">
        <v>2000</v>
      </c>
      <c r="N860" s="5" t="s">
        <v>171</v>
      </c>
      <c r="O860" s="6" t="s">
        <v>81</v>
      </c>
      <c r="P860" s="6" t="s">
        <v>186</v>
      </c>
      <c r="Q860" s="6"/>
      <c r="R860" s="6"/>
      <c r="S860" s="6">
        <v>45</v>
      </c>
      <c r="T860" s="6">
        <v>17.7</v>
      </c>
      <c r="U860" s="6">
        <v>1853</v>
      </c>
      <c r="V860" s="6">
        <v>45.68</v>
      </c>
      <c r="W860" s="6">
        <v>0</v>
      </c>
      <c r="X860" s="6">
        <v>0</v>
      </c>
      <c r="Y860" s="6">
        <v>1079</v>
      </c>
      <c r="Z860" s="6">
        <v>672</v>
      </c>
      <c r="AA860" s="6">
        <v>94</v>
      </c>
      <c r="AB860" s="6">
        <v>8</v>
      </c>
      <c r="AC860" s="7">
        <v>91</v>
      </c>
      <c r="AD860" s="7" t="s">
        <v>53</v>
      </c>
      <c r="AE860" s="9">
        <v>33.189319664265597</v>
      </c>
      <c r="AF860" s="7">
        <v>200</v>
      </c>
      <c r="AG860" s="7">
        <v>29.47</v>
      </c>
      <c r="AH860" s="9">
        <v>43.316903192710598</v>
      </c>
      <c r="AI860" s="9">
        <v>46.353507129771202</v>
      </c>
      <c r="AJ860" s="9">
        <v>480.53118681790897</v>
      </c>
      <c r="AK860" s="9">
        <v>482.18510076422098</v>
      </c>
      <c r="AL860" s="9">
        <v>524.864476938449</v>
      </c>
      <c r="AM860" s="9">
        <v>96.271676696673495</v>
      </c>
      <c r="AN860" s="9">
        <v>1.0579305131502601</v>
      </c>
      <c r="AO860" s="9">
        <v>0.65653524706803501</v>
      </c>
      <c r="AP860" s="9">
        <v>1400.80688278967</v>
      </c>
      <c r="AQ860" s="9">
        <v>15.3934822284579</v>
      </c>
      <c r="AR860" s="9">
        <v>15.0069465628975</v>
      </c>
      <c r="AS860" s="8">
        <v>48</v>
      </c>
      <c r="AT860" s="8">
        <v>6.4600000000000009</v>
      </c>
      <c r="AU860" s="10">
        <v>41.395268094587088</v>
      </c>
      <c r="AV860" s="10">
        <v>104.78972632862508</v>
      </c>
      <c r="AW860" s="10">
        <v>0.92892845248990297</v>
      </c>
      <c r="AX860" s="10">
        <v>2.1831192985130223</v>
      </c>
      <c r="AY860" s="10"/>
      <c r="AZ860" s="10"/>
      <c r="BA860" s="10"/>
      <c r="BB860" s="8"/>
      <c r="BC860" s="8"/>
      <c r="BD860" s="8"/>
      <c r="BE860" s="8"/>
      <c r="BF860" s="12">
        <v>0.38</v>
      </c>
      <c r="BG860" s="13">
        <v>347.37280632043002</v>
      </c>
      <c r="BH860" s="96" t="str">
        <f>+VLOOKUP(G860,Liste!$A$7:$G$50,3,FALSE)</f>
        <v>Sapin pectiné</v>
      </c>
      <c r="BI860" s="96" t="str">
        <f>+VLOOKUP(H860,Liste!$B$7:$G$50,5,FALSE)</f>
        <v>GS Arc Jurassien</v>
      </c>
      <c r="BJ860" s="135">
        <f t="shared" si="263"/>
        <v>91</v>
      </c>
      <c r="BK860" s="135" t="str">
        <f t="shared" si="265"/>
        <v>Sapin pectiné_F1_Cas général_GS Arc Jurassien_91_</v>
      </c>
      <c r="BL860" s="322"/>
      <c r="BM860" s="13">
        <v>86.426630110601707</v>
      </c>
      <c r="BN860" s="13">
        <v>433.79943643103201</v>
      </c>
      <c r="BO860" s="13">
        <v>92.036274178726956</v>
      </c>
      <c r="BP860" s="13">
        <v>359.743735612752</v>
      </c>
      <c r="BQ860" s="13">
        <v>11.8762035798912</v>
      </c>
      <c r="BT860" s="298" t="str">
        <f>+VLOOKUP(G860,Liste!$A$7:$H$50,8,FALSE)</f>
        <v>Résineux</v>
      </c>
      <c r="BU860" s="298">
        <f t="shared" si="266"/>
        <v>0</v>
      </c>
      <c r="BV860" s="300">
        <f t="shared" si="267"/>
        <v>1</v>
      </c>
      <c r="BW860" s="321">
        <v>0</v>
      </c>
      <c r="BX860" s="298">
        <f t="shared" si="268"/>
        <v>0.43</v>
      </c>
      <c r="BY860">
        <f t="shared" si="269"/>
        <v>0</v>
      </c>
      <c r="BZ860" s="304">
        <f t="shared" si="270"/>
        <v>0</v>
      </c>
      <c r="CB860" s="299">
        <v>0.6</v>
      </c>
      <c r="CC860" s="299">
        <v>0.4</v>
      </c>
      <c r="CD860">
        <f t="shared" si="271"/>
        <v>0</v>
      </c>
      <c r="CE860">
        <f t="shared" si="272"/>
        <v>0</v>
      </c>
      <c r="CF860">
        <f t="shared" si="273"/>
        <v>0</v>
      </c>
      <c r="CG860">
        <f t="shared" si="274"/>
        <v>0</v>
      </c>
      <c r="CH860">
        <f t="shared" si="275"/>
        <v>0</v>
      </c>
      <c r="CI860">
        <f t="shared" si="276"/>
        <v>0</v>
      </c>
      <c r="CJ860">
        <f t="shared" si="277"/>
        <v>0</v>
      </c>
      <c r="CK860">
        <f t="shared" si="278"/>
        <v>0</v>
      </c>
      <c r="CL860">
        <f t="shared" si="279"/>
        <v>0</v>
      </c>
      <c r="CM860">
        <f t="shared" si="281"/>
        <v>0</v>
      </c>
      <c r="CN860">
        <f t="shared" si="280"/>
        <v>0</v>
      </c>
      <c r="CO860">
        <f t="shared" si="264"/>
        <v>0</v>
      </c>
    </row>
    <row r="861" spans="1:93" s="12" customFormat="1" x14ac:dyDescent="0.25">
      <c r="A861" s="4">
        <v>2013</v>
      </c>
      <c r="B861" s="318">
        <v>44265</v>
      </c>
      <c r="C861" s="4" t="s">
        <v>430</v>
      </c>
      <c r="D861" s="4" t="s">
        <v>431</v>
      </c>
      <c r="E861" s="4"/>
      <c r="F861" s="4" t="s">
        <v>1493</v>
      </c>
      <c r="G861" s="5" t="s">
        <v>432</v>
      </c>
      <c r="H861" s="5" t="s">
        <v>185</v>
      </c>
      <c r="I861" s="5" t="s">
        <v>222</v>
      </c>
      <c r="J861" s="5" t="s">
        <v>9</v>
      </c>
      <c r="K861" s="5">
        <v>20</v>
      </c>
      <c r="L861" s="5" t="s">
        <v>191</v>
      </c>
      <c r="M861" s="5">
        <v>2000</v>
      </c>
      <c r="N861" s="5" t="s">
        <v>171</v>
      </c>
      <c r="O861" s="6" t="s">
        <v>81</v>
      </c>
      <c r="P861" s="6" t="s">
        <v>186</v>
      </c>
      <c r="Q861" s="6"/>
      <c r="R861" s="6"/>
      <c r="S861" s="6">
        <v>45</v>
      </c>
      <c r="T861" s="6">
        <v>17.7</v>
      </c>
      <c r="U861" s="6">
        <v>1853</v>
      </c>
      <c r="V861" s="6">
        <v>45.68</v>
      </c>
      <c r="W861" s="6">
        <v>0</v>
      </c>
      <c r="X861" s="6">
        <v>0</v>
      </c>
      <c r="Y861" s="6">
        <v>1079</v>
      </c>
      <c r="Z861" s="6">
        <v>672</v>
      </c>
      <c r="AA861" s="6">
        <v>94</v>
      </c>
      <c r="AB861" s="6">
        <v>8</v>
      </c>
      <c r="AC861" s="7">
        <v>92</v>
      </c>
      <c r="AD861" s="7" t="s">
        <v>52</v>
      </c>
      <c r="AE861" s="9">
        <v>33.403819558939297</v>
      </c>
      <c r="AF861" s="7">
        <v>200</v>
      </c>
      <c r="AG861" s="7">
        <v>30.14</v>
      </c>
      <c r="AH861" s="9">
        <v>43.802133844861899</v>
      </c>
      <c r="AI861" s="9">
        <v>46.8561013712985</v>
      </c>
      <c r="AJ861" s="9">
        <v>494.87252448152702</v>
      </c>
      <c r="AK861" s="9">
        <v>496.56582997484799</v>
      </c>
      <c r="AL861" s="9">
        <v>539.87142350134695</v>
      </c>
      <c r="AM861" s="9" t="s">
        <v>169</v>
      </c>
      <c r="AN861" s="9" t="s">
        <v>169</v>
      </c>
      <c r="AO861" s="9" t="s">
        <v>169</v>
      </c>
      <c r="AP861" s="9" t="s">
        <v>169</v>
      </c>
      <c r="AQ861" s="9" t="s">
        <v>169</v>
      </c>
      <c r="AR861" s="9" t="s">
        <v>169</v>
      </c>
      <c r="AS861" s="8" t="s">
        <v>169</v>
      </c>
      <c r="AT861" s="8" t="s">
        <v>169</v>
      </c>
      <c r="AU861" s="10" t="s">
        <v>169</v>
      </c>
      <c r="AV861" s="10">
        <v>0</v>
      </c>
      <c r="AW861" s="10" t="s">
        <v>169</v>
      </c>
      <c r="AX861" s="10" t="s">
        <v>169</v>
      </c>
      <c r="AY861" s="10"/>
      <c r="AZ861" s="10"/>
      <c r="BA861" s="10"/>
      <c r="BB861" s="8"/>
      <c r="BC861" s="8"/>
      <c r="BD861" s="8"/>
      <c r="BE861" s="8"/>
      <c r="BF861" s="12">
        <v>0.38</v>
      </c>
      <c r="BG861" s="13">
        <v>357.30490378730798</v>
      </c>
      <c r="BH861" s="96" t="str">
        <f>+VLOOKUP(G861,Liste!$A$7:$G$50,3,FALSE)</f>
        <v>Sapin pectiné</v>
      </c>
      <c r="BI861" s="96" t="str">
        <f>+VLOOKUP(H861,Liste!$B$7:$G$50,5,FALSE)</f>
        <v>GS Arc Jurassien</v>
      </c>
      <c r="BJ861" s="135">
        <f t="shared" si="263"/>
        <v>92</v>
      </c>
      <c r="BK861" s="135" t="str">
        <f t="shared" si="265"/>
        <v>Sapin pectiné_F1_Cas général_GS Arc Jurassien_92_</v>
      </c>
      <c r="BL861" s="322"/>
      <c r="BM861" s="13">
        <v>88.599538870443993</v>
      </c>
      <c r="BN861" s="13">
        <v>445.90444265775199</v>
      </c>
      <c r="BO861" s="13" t="s">
        <v>169</v>
      </c>
      <c r="BP861" s="13">
        <v>359.743735612752</v>
      </c>
      <c r="BQ861" s="13" t="s">
        <v>169</v>
      </c>
      <c r="BT861" s="298" t="str">
        <f>+VLOOKUP(G861,Liste!$A$7:$H$50,8,FALSE)</f>
        <v>Résineux</v>
      </c>
      <c r="BU861" s="298">
        <f t="shared" si="266"/>
        <v>0</v>
      </c>
      <c r="BV861" s="300">
        <f t="shared" si="267"/>
        <v>1</v>
      </c>
      <c r="BW861" s="321">
        <v>0</v>
      </c>
      <c r="BX861" s="298">
        <f t="shared" si="268"/>
        <v>0.43</v>
      </c>
      <c r="BY861">
        <f t="shared" si="269"/>
        <v>0</v>
      </c>
      <c r="BZ861" s="304">
        <f t="shared" si="270"/>
        <v>0</v>
      </c>
      <c r="CB861" s="299">
        <v>0.6</v>
      </c>
      <c r="CC861" s="299">
        <v>0.4</v>
      </c>
      <c r="CD861">
        <f t="shared" si="271"/>
        <v>0</v>
      </c>
      <c r="CE861">
        <f t="shared" si="272"/>
        <v>0</v>
      </c>
      <c r="CF861">
        <f t="shared" si="273"/>
        <v>0</v>
      </c>
      <c r="CG861">
        <f t="shared" si="274"/>
        <v>0</v>
      </c>
      <c r="CH861">
        <f t="shared" si="275"/>
        <v>0</v>
      </c>
      <c r="CI861">
        <f t="shared" si="276"/>
        <v>0</v>
      </c>
      <c r="CJ861">
        <f t="shared" si="277"/>
        <v>0</v>
      </c>
      <c r="CK861">
        <f t="shared" si="278"/>
        <v>0</v>
      </c>
      <c r="CL861">
        <f t="shared" si="279"/>
        <v>0</v>
      </c>
      <c r="CM861">
        <f t="shared" si="281"/>
        <v>0</v>
      </c>
      <c r="CN861">
        <f t="shared" si="280"/>
        <v>0</v>
      </c>
      <c r="CO861">
        <f t="shared" si="264"/>
        <v>0</v>
      </c>
    </row>
    <row r="862" spans="1:93" s="12" customFormat="1" x14ac:dyDescent="0.25">
      <c r="A862" s="4">
        <v>2013</v>
      </c>
      <c r="B862" s="318">
        <v>44265</v>
      </c>
      <c r="C862" s="4" t="s">
        <v>430</v>
      </c>
      <c r="D862" s="4" t="s">
        <v>431</v>
      </c>
      <c r="E862" s="4"/>
      <c r="F862" s="4" t="s">
        <v>1493</v>
      </c>
      <c r="G862" s="5" t="s">
        <v>432</v>
      </c>
      <c r="H862" s="5" t="s">
        <v>185</v>
      </c>
      <c r="I862" s="5" t="s">
        <v>222</v>
      </c>
      <c r="J862" s="5" t="s">
        <v>9</v>
      </c>
      <c r="K862" s="5">
        <v>20</v>
      </c>
      <c r="L862" s="5" t="s">
        <v>191</v>
      </c>
      <c r="M862" s="5">
        <v>2000</v>
      </c>
      <c r="N862" s="5" t="s">
        <v>171</v>
      </c>
      <c r="O862" s="6" t="s">
        <v>81</v>
      </c>
      <c r="P862" s="6" t="s">
        <v>186</v>
      </c>
      <c r="Q862" s="6"/>
      <c r="R862" s="6"/>
      <c r="S862" s="6">
        <v>45</v>
      </c>
      <c r="T862" s="6">
        <v>17.7</v>
      </c>
      <c r="U862" s="6">
        <v>1853</v>
      </c>
      <c r="V862" s="6">
        <v>45.68</v>
      </c>
      <c r="W862" s="6">
        <v>0</v>
      </c>
      <c r="X862" s="6">
        <v>0</v>
      </c>
      <c r="Y862" s="6">
        <v>1079</v>
      </c>
      <c r="Z862" s="6">
        <v>672</v>
      </c>
      <c r="AA862" s="6">
        <v>94</v>
      </c>
      <c r="AB862" s="6">
        <v>8</v>
      </c>
      <c r="AC862" s="7">
        <v>93</v>
      </c>
      <c r="AD862" s="7" t="s">
        <v>52</v>
      </c>
      <c r="AE862" s="9">
        <v>33.6148166336529</v>
      </c>
      <c r="AF862" s="7">
        <v>200</v>
      </c>
      <c r="AG862" s="7">
        <v>30.79</v>
      </c>
      <c r="AH862" s="9">
        <v>44.276657440631197</v>
      </c>
      <c r="AI862" s="9">
        <v>47.3472770446254</v>
      </c>
      <c r="AJ862" s="9">
        <v>509.21386214514501</v>
      </c>
      <c r="AK862" s="9">
        <v>510.94655918547602</v>
      </c>
      <c r="AL862" s="9">
        <v>554.878370064244</v>
      </c>
      <c r="AM862" s="9" t="s">
        <v>169</v>
      </c>
      <c r="AN862" s="9" t="s">
        <v>169</v>
      </c>
      <c r="AO862" s="9" t="s">
        <v>169</v>
      </c>
      <c r="AP862" s="9" t="s">
        <v>169</v>
      </c>
      <c r="AQ862" s="9" t="s">
        <v>169</v>
      </c>
      <c r="AR862" s="9" t="s">
        <v>169</v>
      </c>
      <c r="AS862" s="8" t="s">
        <v>169</v>
      </c>
      <c r="AT862" s="8" t="s">
        <v>169</v>
      </c>
      <c r="AU862" s="10" t="s">
        <v>169</v>
      </c>
      <c r="AV862" s="10">
        <v>0</v>
      </c>
      <c r="AW862" s="10" t="s">
        <v>169</v>
      </c>
      <c r="AX862" s="10" t="s">
        <v>169</v>
      </c>
      <c r="AY862" s="10"/>
      <c r="AZ862" s="10"/>
      <c r="BA862" s="10"/>
      <c r="BB862" s="8"/>
      <c r="BC862" s="8"/>
      <c r="BD862" s="8"/>
      <c r="BE862" s="8"/>
      <c r="BF862" s="12">
        <v>0.38</v>
      </c>
      <c r="BG862" s="13">
        <v>367.237001254186</v>
      </c>
      <c r="BH862" s="96" t="str">
        <f>+VLOOKUP(G862,Liste!$A$7:$G$50,3,FALSE)</f>
        <v>Sapin pectiné</v>
      </c>
      <c r="BI862" s="96" t="str">
        <f>+VLOOKUP(H862,Liste!$B$7:$G$50,5,FALSE)</f>
        <v>GS Arc Jurassien</v>
      </c>
      <c r="BJ862" s="135">
        <f t="shared" si="263"/>
        <v>93</v>
      </c>
      <c r="BK862" s="135" t="str">
        <f t="shared" si="265"/>
        <v>Sapin pectiné_F1_Cas général_GS Arc Jurassien_93_</v>
      </c>
      <c r="BL862" s="322"/>
      <c r="BM862" s="13">
        <v>90.772447630286393</v>
      </c>
      <c r="BN862" s="13">
        <v>458.00944888447202</v>
      </c>
      <c r="BO862" s="13" t="s">
        <v>169</v>
      </c>
      <c r="BP862" s="13">
        <v>359.743735612752</v>
      </c>
      <c r="BQ862" s="13" t="s">
        <v>169</v>
      </c>
      <c r="BT862" s="298" t="str">
        <f>+VLOOKUP(G862,Liste!$A$7:$H$50,8,FALSE)</f>
        <v>Résineux</v>
      </c>
      <c r="BU862" s="298">
        <f t="shared" si="266"/>
        <v>0</v>
      </c>
      <c r="BV862" s="300">
        <f t="shared" si="267"/>
        <v>1</v>
      </c>
      <c r="BW862" s="321">
        <v>0</v>
      </c>
      <c r="BX862" s="298">
        <f t="shared" si="268"/>
        <v>0.43</v>
      </c>
      <c r="BY862">
        <f t="shared" si="269"/>
        <v>0</v>
      </c>
      <c r="BZ862" s="304">
        <f t="shared" si="270"/>
        <v>0</v>
      </c>
      <c r="CB862" s="299">
        <v>0.6</v>
      </c>
      <c r="CC862" s="299">
        <v>0.4</v>
      </c>
      <c r="CD862">
        <f t="shared" si="271"/>
        <v>0</v>
      </c>
      <c r="CE862">
        <f t="shared" si="272"/>
        <v>0</v>
      </c>
      <c r="CF862">
        <f t="shared" si="273"/>
        <v>0</v>
      </c>
      <c r="CG862">
        <f t="shared" si="274"/>
        <v>0</v>
      </c>
      <c r="CH862">
        <f t="shared" si="275"/>
        <v>0</v>
      </c>
      <c r="CI862">
        <f t="shared" si="276"/>
        <v>0</v>
      </c>
      <c r="CJ862">
        <f t="shared" si="277"/>
        <v>0</v>
      </c>
      <c r="CK862">
        <f t="shared" si="278"/>
        <v>0</v>
      </c>
      <c r="CL862">
        <f t="shared" si="279"/>
        <v>0</v>
      </c>
      <c r="CM862">
        <f t="shared" si="281"/>
        <v>0</v>
      </c>
      <c r="CN862">
        <f t="shared" si="280"/>
        <v>0</v>
      </c>
      <c r="CO862">
        <f t="shared" si="264"/>
        <v>0</v>
      </c>
    </row>
    <row r="863" spans="1:93" s="12" customFormat="1" x14ac:dyDescent="0.25">
      <c r="A863" s="4">
        <v>2013</v>
      </c>
      <c r="B863" s="318">
        <v>44265</v>
      </c>
      <c r="C863" s="4" t="s">
        <v>430</v>
      </c>
      <c r="D863" s="4" t="s">
        <v>431</v>
      </c>
      <c r="E863" s="4"/>
      <c r="F863" s="4" t="s">
        <v>1493</v>
      </c>
      <c r="G863" s="5" t="s">
        <v>432</v>
      </c>
      <c r="H863" s="5" t="s">
        <v>185</v>
      </c>
      <c r="I863" s="5" t="s">
        <v>222</v>
      </c>
      <c r="J863" s="5" t="s">
        <v>9</v>
      </c>
      <c r="K863" s="5">
        <v>20</v>
      </c>
      <c r="L863" s="5" t="s">
        <v>191</v>
      </c>
      <c r="M863" s="5">
        <v>2000</v>
      </c>
      <c r="N863" s="5" t="s">
        <v>171</v>
      </c>
      <c r="O863" s="6" t="s">
        <v>81</v>
      </c>
      <c r="P863" s="6" t="s">
        <v>186</v>
      </c>
      <c r="Q863" s="6"/>
      <c r="R863" s="6"/>
      <c r="S863" s="6">
        <v>45</v>
      </c>
      <c r="T863" s="6">
        <v>17.7</v>
      </c>
      <c r="U863" s="6">
        <v>1853</v>
      </c>
      <c r="V863" s="6">
        <v>45.68</v>
      </c>
      <c r="W863" s="6">
        <v>0</v>
      </c>
      <c r="X863" s="6">
        <v>0</v>
      </c>
      <c r="Y863" s="6">
        <v>1079</v>
      </c>
      <c r="Z863" s="6">
        <v>672</v>
      </c>
      <c r="AA863" s="6">
        <v>94</v>
      </c>
      <c r="AB863" s="6">
        <v>8</v>
      </c>
      <c r="AC863" s="7">
        <v>94</v>
      </c>
      <c r="AD863" s="7" t="s">
        <v>52</v>
      </c>
      <c r="AE863" s="9">
        <v>33.822388634480397</v>
      </c>
      <c r="AF863" s="7">
        <v>200</v>
      </c>
      <c r="AG863" s="7">
        <v>31.44</v>
      </c>
      <c r="AH863" s="9">
        <v>44.740843733992598</v>
      </c>
      <c r="AI863" s="9">
        <v>47.827446860675003</v>
      </c>
      <c r="AJ863" s="9">
        <v>523.55519980876295</v>
      </c>
      <c r="AK863" s="9">
        <v>525.32728839610297</v>
      </c>
      <c r="AL863" s="9">
        <v>569.88531662714195</v>
      </c>
      <c r="AM863" s="9">
        <v>98.241282437877601</v>
      </c>
      <c r="AN863" s="9">
        <v>1.0451200259348701</v>
      </c>
      <c r="AO863" s="9">
        <v>0.62704744185518602</v>
      </c>
      <c r="AP863" s="9">
        <v>1445.8277224783601</v>
      </c>
      <c r="AQ863" s="9">
        <v>15.381145983812299</v>
      </c>
      <c r="AR863" s="9">
        <v>14.5915997321358</v>
      </c>
      <c r="AS863" s="8" t="s">
        <v>169</v>
      </c>
      <c r="AT863" s="8" t="s">
        <v>169</v>
      </c>
      <c r="AU863" s="10" t="s">
        <v>169</v>
      </c>
      <c r="AV863" s="10">
        <v>0</v>
      </c>
      <c r="AW863" s="10" t="s">
        <v>169</v>
      </c>
      <c r="AX863" s="10" t="s">
        <v>169</v>
      </c>
      <c r="AY863" s="10"/>
      <c r="AZ863" s="10"/>
      <c r="BA863" s="10"/>
      <c r="BB863" s="8"/>
      <c r="BC863" s="8"/>
      <c r="BD863" s="8"/>
      <c r="BE863" s="8"/>
      <c r="BF863" s="12">
        <v>0.38</v>
      </c>
      <c r="BG863" s="13">
        <v>377.16909872106299</v>
      </c>
      <c r="BH863" s="96" t="str">
        <f>+VLOOKUP(G863,Liste!$A$7:$G$50,3,FALSE)</f>
        <v>Sapin pectiné</v>
      </c>
      <c r="BI863" s="96" t="str">
        <f>+VLOOKUP(H863,Liste!$B$7:$G$50,5,FALSE)</f>
        <v>GS Arc Jurassien</v>
      </c>
      <c r="BJ863" s="135">
        <f t="shared" si="263"/>
        <v>94</v>
      </c>
      <c r="BK863" s="135" t="str">
        <f t="shared" si="265"/>
        <v>Sapin pectiné_F1_Cas général_GS Arc Jurassien_94_</v>
      </c>
      <c r="BL863" s="322"/>
      <c r="BM863" s="13">
        <v>92.945356390128694</v>
      </c>
      <c r="BN863" s="13">
        <v>470.114455111192</v>
      </c>
      <c r="BO863" s="13" t="s">
        <v>169</v>
      </c>
      <c r="BP863" s="13">
        <v>359.743735612752</v>
      </c>
      <c r="BQ863" s="13">
        <v>11.538606533487499</v>
      </c>
      <c r="BT863" s="298" t="str">
        <f>+VLOOKUP(G863,Liste!$A$7:$H$50,8,FALSE)</f>
        <v>Résineux</v>
      </c>
      <c r="BU863" s="298">
        <f t="shared" si="266"/>
        <v>0</v>
      </c>
      <c r="BV863" s="300">
        <f t="shared" si="267"/>
        <v>1</v>
      </c>
      <c r="BW863" s="321">
        <v>0</v>
      </c>
      <c r="BX863" s="298">
        <f t="shared" si="268"/>
        <v>0.43</v>
      </c>
      <c r="BY863">
        <f t="shared" si="269"/>
        <v>0</v>
      </c>
      <c r="BZ863" s="304">
        <f t="shared" si="270"/>
        <v>0</v>
      </c>
      <c r="CB863" s="299">
        <v>0.6</v>
      </c>
      <c r="CC863" s="299">
        <v>0.4</v>
      </c>
      <c r="CD863">
        <f t="shared" si="271"/>
        <v>0</v>
      </c>
      <c r="CE863">
        <f t="shared" si="272"/>
        <v>0</v>
      </c>
      <c r="CF863">
        <f t="shared" si="273"/>
        <v>0</v>
      </c>
      <c r="CG863">
        <f t="shared" si="274"/>
        <v>0</v>
      </c>
      <c r="CH863">
        <f t="shared" si="275"/>
        <v>0</v>
      </c>
      <c r="CI863">
        <f t="shared" si="276"/>
        <v>0</v>
      </c>
      <c r="CJ863">
        <f t="shared" si="277"/>
        <v>0</v>
      </c>
      <c r="CK863">
        <f t="shared" si="278"/>
        <v>0</v>
      </c>
      <c r="CL863">
        <f t="shared" si="279"/>
        <v>0</v>
      </c>
      <c r="CM863">
        <f t="shared" si="281"/>
        <v>0</v>
      </c>
      <c r="CN863">
        <f t="shared" si="280"/>
        <v>0</v>
      </c>
      <c r="CO863">
        <f t="shared" si="264"/>
        <v>0</v>
      </c>
    </row>
    <row r="864" spans="1:93" s="12" customFormat="1" x14ac:dyDescent="0.25">
      <c r="A864" s="4">
        <v>2013</v>
      </c>
      <c r="B864" s="318">
        <v>44265</v>
      </c>
      <c r="C864" s="4" t="s">
        <v>430</v>
      </c>
      <c r="D864" s="4" t="s">
        <v>431</v>
      </c>
      <c r="E864" s="4"/>
      <c r="F864" s="4" t="s">
        <v>1493</v>
      </c>
      <c r="G864" s="5" t="s">
        <v>432</v>
      </c>
      <c r="H864" s="5" t="s">
        <v>185</v>
      </c>
      <c r="I864" s="5" t="s">
        <v>222</v>
      </c>
      <c r="J864" s="5" t="s">
        <v>9</v>
      </c>
      <c r="K864" s="5">
        <v>20</v>
      </c>
      <c r="L864" s="5" t="s">
        <v>191</v>
      </c>
      <c r="M864" s="5">
        <v>2000</v>
      </c>
      <c r="N864" s="5" t="s">
        <v>171</v>
      </c>
      <c r="O864" s="6" t="s">
        <v>81</v>
      </c>
      <c r="P864" s="6" t="s">
        <v>186</v>
      </c>
      <c r="Q864" s="6"/>
      <c r="R864" s="6"/>
      <c r="S864" s="6">
        <v>45</v>
      </c>
      <c r="T864" s="6">
        <v>17.7</v>
      </c>
      <c r="U864" s="6">
        <v>1853</v>
      </c>
      <c r="V864" s="6">
        <v>45.68</v>
      </c>
      <c r="W864" s="6">
        <v>0</v>
      </c>
      <c r="X864" s="6">
        <v>0</v>
      </c>
      <c r="Y864" s="6">
        <v>1079</v>
      </c>
      <c r="Z864" s="6">
        <v>672</v>
      </c>
      <c r="AA864" s="6">
        <v>94</v>
      </c>
      <c r="AB864" s="6">
        <v>8</v>
      </c>
      <c r="AC864" s="7">
        <v>95</v>
      </c>
      <c r="AD864" s="7" t="s">
        <v>52</v>
      </c>
      <c r="AE864" s="9">
        <v>34.026611289906</v>
      </c>
      <c r="AF864" s="7">
        <v>200</v>
      </c>
      <c r="AG864" s="7">
        <v>32.08</v>
      </c>
      <c r="AH864" s="9">
        <v>45.195043530600202</v>
      </c>
      <c r="AI864" s="9">
        <v>48.297001279867999</v>
      </c>
      <c r="AJ864" s="9">
        <v>537.55294497906095</v>
      </c>
      <c r="AK864" s="9">
        <v>539.36101086660301</v>
      </c>
      <c r="AL864" s="9">
        <v>584.47691635927697</v>
      </c>
      <c r="AM864" s="9" t="s">
        <v>169</v>
      </c>
      <c r="AN864" s="9" t="s">
        <v>169</v>
      </c>
      <c r="AO864" s="9" t="s">
        <v>169</v>
      </c>
      <c r="AP864" s="9" t="s">
        <v>169</v>
      </c>
      <c r="AQ864" s="9" t="s">
        <v>169</v>
      </c>
      <c r="AR864" s="9" t="s">
        <v>169</v>
      </c>
      <c r="AS864" s="8" t="s">
        <v>169</v>
      </c>
      <c r="AT864" s="8" t="s">
        <v>169</v>
      </c>
      <c r="AU864" s="10" t="s">
        <v>169</v>
      </c>
      <c r="AV864" s="10">
        <v>0</v>
      </c>
      <c r="AW864" s="10" t="s">
        <v>169</v>
      </c>
      <c r="AX864" s="10" t="s">
        <v>169</v>
      </c>
      <c r="AY864" s="10"/>
      <c r="AZ864" s="10"/>
      <c r="BA864" s="10"/>
      <c r="BB864" s="8"/>
      <c r="BC864" s="8"/>
      <c r="BD864" s="8"/>
      <c r="BE864" s="8"/>
      <c r="BF864" s="12">
        <v>0.38</v>
      </c>
      <c r="BG864" s="13">
        <v>386.82630581044901</v>
      </c>
      <c r="BH864" s="96" t="str">
        <f>+VLOOKUP(G864,Liste!$A$7:$G$50,3,FALSE)</f>
        <v>Sapin pectiné</v>
      </c>
      <c r="BI864" s="96" t="str">
        <f>+VLOOKUP(H864,Liste!$B$7:$G$50,5,FALSE)</f>
        <v>GS Arc Jurassien</v>
      </c>
      <c r="BJ864" s="135">
        <f t="shared" si="263"/>
        <v>95</v>
      </c>
      <c r="BK864" s="135" t="str">
        <f t="shared" si="265"/>
        <v>Sapin pectiné_F1_Cas général_GS Arc Jurassien_95_</v>
      </c>
      <c r="BL864" s="322"/>
      <c r="BM864" s="13">
        <v>95.033192443687796</v>
      </c>
      <c r="BN864" s="13">
        <v>481.85949825413599</v>
      </c>
      <c r="BO864" s="13" t="s">
        <v>169</v>
      </c>
      <c r="BP864" s="13">
        <v>359.743735612752</v>
      </c>
      <c r="BQ864" s="13" t="s">
        <v>169</v>
      </c>
      <c r="BT864" s="298" t="str">
        <f>+VLOOKUP(G864,Liste!$A$7:$H$50,8,FALSE)</f>
        <v>Résineux</v>
      </c>
      <c r="BU864" s="298">
        <f t="shared" si="266"/>
        <v>0</v>
      </c>
      <c r="BV864" s="300">
        <f t="shared" si="267"/>
        <v>1</v>
      </c>
      <c r="BW864" s="321">
        <v>0</v>
      </c>
      <c r="BX864" s="298">
        <f t="shared" si="268"/>
        <v>0.43</v>
      </c>
      <c r="BY864">
        <f t="shared" si="269"/>
        <v>0</v>
      </c>
      <c r="BZ864" s="304">
        <f t="shared" si="270"/>
        <v>0</v>
      </c>
      <c r="CB864" s="299">
        <v>0.6</v>
      </c>
      <c r="CC864" s="299">
        <v>0.4</v>
      </c>
      <c r="CD864">
        <f t="shared" si="271"/>
        <v>0</v>
      </c>
      <c r="CE864">
        <f t="shared" si="272"/>
        <v>0</v>
      </c>
      <c r="CF864">
        <f t="shared" si="273"/>
        <v>0</v>
      </c>
      <c r="CG864">
        <f t="shared" si="274"/>
        <v>0</v>
      </c>
      <c r="CH864">
        <f t="shared" si="275"/>
        <v>0</v>
      </c>
      <c r="CI864">
        <f t="shared" si="276"/>
        <v>0</v>
      </c>
      <c r="CJ864">
        <f t="shared" si="277"/>
        <v>0</v>
      </c>
      <c r="CK864">
        <f t="shared" si="278"/>
        <v>0</v>
      </c>
      <c r="CL864">
        <f t="shared" si="279"/>
        <v>0</v>
      </c>
      <c r="CM864">
        <f t="shared" si="281"/>
        <v>0</v>
      </c>
      <c r="CN864">
        <f t="shared" si="280"/>
        <v>0</v>
      </c>
      <c r="CO864">
        <f t="shared" si="264"/>
        <v>0</v>
      </c>
    </row>
    <row r="865" spans="1:93" s="12" customFormat="1" x14ac:dyDescent="0.25">
      <c r="A865" s="4">
        <v>2013</v>
      </c>
      <c r="B865" s="318">
        <v>44265</v>
      </c>
      <c r="C865" s="4" t="s">
        <v>430</v>
      </c>
      <c r="D865" s="4" t="s">
        <v>431</v>
      </c>
      <c r="E865" s="4"/>
      <c r="F865" s="4" t="s">
        <v>1493</v>
      </c>
      <c r="G865" s="5" t="s">
        <v>432</v>
      </c>
      <c r="H865" s="5" t="s">
        <v>185</v>
      </c>
      <c r="I865" s="5" t="s">
        <v>222</v>
      </c>
      <c r="J865" s="5" t="s">
        <v>9</v>
      </c>
      <c r="K865" s="5">
        <v>20</v>
      </c>
      <c r="L865" s="5" t="s">
        <v>191</v>
      </c>
      <c r="M865" s="5">
        <v>2000</v>
      </c>
      <c r="N865" s="5" t="s">
        <v>171</v>
      </c>
      <c r="O865" s="6" t="s">
        <v>81</v>
      </c>
      <c r="P865" s="6" t="s">
        <v>186</v>
      </c>
      <c r="Q865" s="6"/>
      <c r="R865" s="6"/>
      <c r="S865" s="6">
        <v>45</v>
      </c>
      <c r="T865" s="6">
        <v>17.7</v>
      </c>
      <c r="U865" s="6">
        <v>1853</v>
      </c>
      <c r="V865" s="6">
        <v>45.68</v>
      </c>
      <c r="W865" s="6">
        <v>0</v>
      </c>
      <c r="X865" s="6">
        <v>0</v>
      </c>
      <c r="Y865" s="6">
        <v>1079</v>
      </c>
      <c r="Z865" s="6">
        <v>672</v>
      </c>
      <c r="AA865" s="6">
        <v>94</v>
      </c>
      <c r="AB865" s="6">
        <v>8</v>
      </c>
      <c r="AC865" s="7">
        <v>96</v>
      </c>
      <c r="AD865" s="7" t="s">
        <v>52</v>
      </c>
      <c r="AE865" s="9">
        <v>34.227558361545697</v>
      </c>
      <c r="AF865" s="7">
        <v>200</v>
      </c>
      <c r="AG865" s="7">
        <v>32.72</v>
      </c>
      <c r="AH865" s="9">
        <v>45.639590864221901</v>
      </c>
      <c r="AI865" s="9">
        <v>48.7563112227161</v>
      </c>
      <c r="AJ865" s="9">
        <v>551.55069014935896</v>
      </c>
      <c r="AK865" s="9">
        <v>553.39473333710396</v>
      </c>
      <c r="AL865" s="9">
        <v>599.06851609141302</v>
      </c>
      <c r="AM865" s="9" t="s">
        <v>169</v>
      </c>
      <c r="AN865" s="9" t="s">
        <v>169</v>
      </c>
      <c r="AO865" s="9" t="s">
        <v>169</v>
      </c>
      <c r="AP865" s="9" t="s">
        <v>169</v>
      </c>
      <c r="AQ865" s="9" t="s">
        <v>169</v>
      </c>
      <c r="AR865" s="9" t="s">
        <v>169</v>
      </c>
      <c r="AS865" s="8" t="s">
        <v>169</v>
      </c>
      <c r="AT865" s="8" t="s">
        <v>169</v>
      </c>
      <c r="AU865" s="10" t="s">
        <v>169</v>
      </c>
      <c r="AV865" s="10">
        <v>0</v>
      </c>
      <c r="AW865" s="10" t="s">
        <v>169</v>
      </c>
      <c r="AX865" s="10" t="s">
        <v>169</v>
      </c>
      <c r="AY865" s="10"/>
      <c r="AZ865" s="10"/>
      <c r="BA865" s="10"/>
      <c r="BB865" s="8"/>
      <c r="BC865" s="8"/>
      <c r="BD865" s="8"/>
      <c r="BE865" s="8"/>
      <c r="BF865" s="12">
        <v>0.38</v>
      </c>
      <c r="BG865" s="13">
        <v>396.48351289983401</v>
      </c>
      <c r="BH865" s="96" t="str">
        <f>+VLOOKUP(G865,Liste!$A$7:$G$50,3,FALSE)</f>
        <v>Sapin pectiné</v>
      </c>
      <c r="BI865" s="96" t="str">
        <f>+VLOOKUP(H865,Liste!$B$7:$G$50,5,FALSE)</f>
        <v>GS Arc Jurassien</v>
      </c>
      <c r="BJ865" s="135">
        <f t="shared" si="263"/>
        <v>96</v>
      </c>
      <c r="BK865" s="135" t="str">
        <f t="shared" si="265"/>
        <v>Sapin pectiné_F1_Cas général_GS Arc Jurassien_96_</v>
      </c>
      <c r="BL865" s="322"/>
      <c r="BM865" s="13">
        <v>97.121028497246996</v>
      </c>
      <c r="BN865" s="13">
        <v>493.60454139708099</v>
      </c>
      <c r="BO865" s="13" t="s">
        <v>169</v>
      </c>
      <c r="BP865" s="13">
        <v>359.743735612752</v>
      </c>
      <c r="BQ865" s="13" t="s">
        <v>169</v>
      </c>
      <c r="BT865" s="298" t="str">
        <f>+VLOOKUP(G865,Liste!$A$7:$H$50,8,FALSE)</f>
        <v>Résineux</v>
      </c>
      <c r="BU865" s="298">
        <f t="shared" si="266"/>
        <v>0</v>
      </c>
      <c r="BV865" s="300">
        <f t="shared" si="267"/>
        <v>1</v>
      </c>
      <c r="BW865" s="321">
        <v>0</v>
      </c>
      <c r="BX865" s="298">
        <f t="shared" si="268"/>
        <v>0.43</v>
      </c>
      <c r="BY865">
        <f t="shared" si="269"/>
        <v>0</v>
      </c>
      <c r="BZ865" s="304">
        <f t="shared" si="270"/>
        <v>0</v>
      </c>
      <c r="CB865" s="299">
        <v>0.6</v>
      </c>
      <c r="CC865" s="299">
        <v>0.4</v>
      </c>
      <c r="CD865">
        <f t="shared" si="271"/>
        <v>0</v>
      </c>
      <c r="CE865">
        <f t="shared" si="272"/>
        <v>0</v>
      </c>
      <c r="CF865">
        <f t="shared" si="273"/>
        <v>0</v>
      </c>
      <c r="CG865">
        <f t="shared" si="274"/>
        <v>0</v>
      </c>
      <c r="CH865">
        <f t="shared" si="275"/>
        <v>0</v>
      </c>
      <c r="CI865">
        <f t="shared" si="276"/>
        <v>0</v>
      </c>
      <c r="CJ865">
        <f t="shared" si="277"/>
        <v>0</v>
      </c>
      <c r="CK865">
        <f t="shared" si="278"/>
        <v>0</v>
      </c>
      <c r="CL865">
        <f t="shared" si="279"/>
        <v>0</v>
      </c>
      <c r="CM865">
        <f t="shared" si="281"/>
        <v>0</v>
      </c>
      <c r="CN865">
        <f t="shared" si="280"/>
        <v>0</v>
      </c>
      <c r="CO865">
        <f t="shared" si="264"/>
        <v>0</v>
      </c>
    </row>
    <row r="866" spans="1:93" s="12" customFormat="1" x14ac:dyDescent="0.25">
      <c r="A866" s="4">
        <v>2013</v>
      </c>
      <c r="B866" s="318">
        <v>44265</v>
      </c>
      <c r="C866" s="4" t="s">
        <v>430</v>
      </c>
      <c r="D866" s="4" t="s">
        <v>431</v>
      </c>
      <c r="E866" s="4"/>
      <c r="F866" s="4" t="s">
        <v>1493</v>
      </c>
      <c r="G866" s="5" t="s">
        <v>432</v>
      </c>
      <c r="H866" s="5" t="s">
        <v>185</v>
      </c>
      <c r="I866" s="5" t="s">
        <v>222</v>
      </c>
      <c r="J866" s="5" t="s">
        <v>9</v>
      </c>
      <c r="K866" s="5">
        <v>20</v>
      </c>
      <c r="L866" s="5" t="s">
        <v>191</v>
      </c>
      <c r="M866" s="5">
        <v>2000</v>
      </c>
      <c r="N866" s="5" t="s">
        <v>171</v>
      </c>
      <c r="O866" s="6" t="s">
        <v>81</v>
      </c>
      <c r="P866" s="6" t="s">
        <v>186</v>
      </c>
      <c r="Q866" s="6"/>
      <c r="R866" s="6"/>
      <c r="S866" s="6">
        <v>45</v>
      </c>
      <c r="T866" s="6">
        <v>17.7</v>
      </c>
      <c r="U866" s="6">
        <v>1853</v>
      </c>
      <c r="V866" s="6">
        <v>45.68</v>
      </c>
      <c r="W866" s="6">
        <v>0</v>
      </c>
      <c r="X866" s="6">
        <v>0</v>
      </c>
      <c r="Y866" s="6">
        <v>1079</v>
      </c>
      <c r="Z866" s="6">
        <v>672</v>
      </c>
      <c r="AA866" s="6">
        <v>94</v>
      </c>
      <c r="AB866" s="6">
        <v>8</v>
      </c>
      <c r="AC866" s="7">
        <v>97</v>
      </c>
      <c r="AD866" s="7" t="s">
        <v>52</v>
      </c>
      <c r="AE866" s="9">
        <v>34.425301694408603</v>
      </c>
      <c r="AF866" s="7">
        <v>200</v>
      </c>
      <c r="AG866" s="7">
        <v>33.35</v>
      </c>
      <c r="AH866" s="9">
        <v>46.074803816769403</v>
      </c>
      <c r="AI866" s="9">
        <v>49.205728316219499</v>
      </c>
      <c r="AJ866" s="9">
        <v>565.54843531965696</v>
      </c>
      <c r="AK866" s="9">
        <v>567.428455807604</v>
      </c>
      <c r="AL866" s="9">
        <v>613.66011582354895</v>
      </c>
      <c r="AM866" s="9" t="s">
        <v>169</v>
      </c>
      <c r="AN866" s="9" t="s">
        <v>169</v>
      </c>
      <c r="AO866" s="9" t="s">
        <v>169</v>
      </c>
      <c r="AP866" s="9" t="s">
        <v>169</v>
      </c>
      <c r="AQ866" s="9" t="s">
        <v>169</v>
      </c>
      <c r="AR866" s="9" t="s">
        <v>169</v>
      </c>
      <c r="AS866" s="8" t="s">
        <v>169</v>
      </c>
      <c r="AT866" s="8" t="s">
        <v>169</v>
      </c>
      <c r="AU866" s="10" t="s">
        <v>169</v>
      </c>
      <c r="AV866" s="10">
        <v>0</v>
      </c>
      <c r="AW866" s="10" t="s">
        <v>169</v>
      </c>
      <c r="AX866" s="10" t="s">
        <v>169</v>
      </c>
      <c r="AY866" s="10"/>
      <c r="AZ866" s="10"/>
      <c r="BA866" s="10"/>
      <c r="BB866" s="8"/>
      <c r="BC866" s="8"/>
      <c r="BD866" s="8"/>
      <c r="BE866" s="8"/>
      <c r="BF866" s="12">
        <v>0.38</v>
      </c>
      <c r="BG866" s="13">
        <v>406.14071998921901</v>
      </c>
      <c r="BH866" s="96" t="str">
        <f>+VLOOKUP(G866,Liste!$A$7:$G$50,3,FALSE)</f>
        <v>Sapin pectiné</v>
      </c>
      <c r="BI866" s="96" t="str">
        <f>+VLOOKUP(H866,Liste!$B$7:$G$50,5,FALSE)</f>
        <v>GS Arc Jurassien</v>
      </c>
      <c r="BJ866" s="135">
        <f t="shared" si="263"/>
        <v>97</v>
      </c>
      <c r="BK866" s="135" t="str">
        <f t="shared" si="265"/>
        <v>Sapin pectiné_F1_Cas général_GS Arc Jurassien_97_</v>
      </c>
      <c r="BL866" s="322"/>
      <c r="BM866" s="13">
        <v>99.208864550806197</v>
      </c>
      <c r="BN866" s="13">
        <v>505.34958454002498</v>
      </c>
      <c r="BO866" s="13" t="s">
        <v>169</v>
      </c>
      <c r="BP866" s="13">
        <v>359.743735612752</v>
      </c>
      <c r="BQ866" s="13" t="s">
        <v>169</v>
      </c>
      <c r="BT866" s="298" t="str">
        <f>+VLOOKUP(G866,Liste!$A$7:$H$50,8,FALSE)</f>
        <v>Résineux</v>
      </c>
      <c r="BU866" s="298">
        <f t="shared" si="266"/>
        <v>0</v>
      </c>
      <c r="BV866" s="300">
        <f t="shared" si="267"/>
        <v>1</v>
      </c>
      <c r="BW866" s="321">
        <v>0</v>
      </c>
      <c r="BX866" s="298">
        <f t="shared" si="268"/>
        <v>0.43</v>
      </c>
      <c r="BY866">
        <f t="shared" si="269"/>
        <v>0</v>
      </c>
      <c r="BZ866" s="304">
        <f t="shared" si="270"/>
        <v>0</v>
      </c>
      <c r="CB866" s="299">
        <v>0.6</v>
      </c>
      <c r="CC866" s="299">
        <v>0.4</v>
      </c>
      <c r="CD866">
        <f t="shared" si="271"/>
        <v>0</v>
      </c>
      <c r="CE866">
        <f t="shared" si="272"/>
        <v>0</v>
      </c>
      <c r="CF866">
        <f t="shared" si="273"/>
        <v>0</v>
      </c>
      <c r="CG866">
        <f t="shared" si="274"/>
        <v>0</v>
      </c>
      <c r="CH866">
        <f t="shared" si="275"/>
        <v>0</v>
      </c>
      <c r="CI866">
        <f t="shared" si="276"/>
        <v>0</v>
      </c>
      <c r="CJ866">
        <f t="shared" si="277"/>
        <v>0</v>
      </c>
      <c r="CK866">
        <f t="shared" si="278"/>
        <v>0</v>
      </c>
      <c r="CL866">
        <f t="shared" si="279"/>
        <v>0</v>
      </c>
      <c r="CM866">
        <f t="shared" si="281"/>
        <v>0</v>
      </c>
      <c r="CN866">
        <f t="shared" si="280"/>
        <v>0</v>
      </c>
      <c r="CO866">
        <f t="shared" si="264"/>
        <v>0</v>
      </c>
    </row>
    <row r="867" spans="1:93" s="12" customFormat="1" x14ac:dyDescent="0.25">
      <c r="A867" s="4">
        <v>2013</v>
      </c>
      <c r="B867" s="318">
        <v>44265</v>
      </c>
      <c r="C867" s="4" t="s">
        <v>430</v>
      </c>
      <c r="D867" s="4" t="s">
        <v>431</v>
      </c>
      <c r="E867" s="4"/>
      <c r="F867" s="4" t="s">
        <v>1493</v>
      </c>
      <c r="G867" s="5" t="s">
        <v>432</v>
      </c>
      <c r="H867" s="5" t="s">
        <v>185</v>
      </c>
      <c r="I867" s="5" t="s">
        <v>222</v>
      </c>
      <c r="J867" s="5" t="s">
        <v>9</v>
      </c>
      <c r="K867" s="5">
        <v>20</v>
      </c>
      <c r="L867" s="5" t="s">
        <v>191</v>
      </c>
      <c r="M867" s="5">
        <v>2000</v>
      </c>
      <c r="N867" s="5" t="s">
        <v>171</v>
      </c>
      <c r="O867" s="6" t="s">
        <v>81</v>
      </c>
      <c r="P867" s="6" t="s">
        <v>186</v>
      </c>
      <c r="Q867" s="6"/>
      <c r="R867" s="6"/>
      <c r="S867" s="6">
        <v>45</v>
      </c>
      <c r="T867" s="6">
        <v>17.7</v>
      </c>
      <c r="U867" s="6">
        <v>1853</v>
      </c>
      <c r="V867" s="6">
        <v>45.68</v>
      </c>
      <c r="W867" s="6">
        <v>0</v>
      </c>
      <c r="X867" s="6">
        <v>0</v>
      </c>
      <c r="Y867" s="6">
        <v>1079</v>
      </c>
      <c r="Z867" s="6">
        <v>672</v>
      </c>
      <c r="AA867" s="6">
        <v>94</v>
      </c>
      <c r="AB867" s="6">
        <v>8</v>
      </c>
      <c r="AC867" s="7">
        <v>98</v>
      </c>
      <c r="AD867" s="7" t="s">
        <v>52</v>
      </c>
      <c r="AE867" s="9">
        <v>34.619911266584303</v>
      </c>
      <c r="AF867" s="7">
        <v>200</v>
      </c>
      <c r="AG867" s="7">
        <v>33.97</v>
      </c>
      <c r="AH867" s="9">
        <v>46.500985054777402</v>
      </c>
      <c r="AI867" s="9">
        <v>49.645586533865497</v>
      </c>
      <c r="AJ867" s="9">
        <v>579.54618048995496</v>
      </c>
      <c r="AK867" s="9">
        <v>581.46217827810403</v>
      </c>
      <c r="AL867" s="9">
        <v>628.251715555685</v>
      </c>
      <c r="AM867" s="9" t="s">
        <v>169</v>
      </c>
      <c r="AN867" s="9" t="s">
        <v>169</v>
      </c>
      <c r="AO867" s="9" t="s">
        <v>169</v>
      </c>
      <c r="AP867" s="9" t="s">
        <v>169</v>
      </c>
      <c r="AQ867" s="9" t="s">
        <v>169</v>
      </c>
      <c r="AR867" s="9" t="s">
        <v>169</v>
      </c>
      <c r="AS867" s="8" t="s">
        <v>169</v>
      </c>
      <c r="AT867" s="8" t="s">
        <v>169</v>
      </c>
      <c r="AU867" s="10" t="s">
        <v>169</v>
      </c>
      <c r="AV867" s="10">
        <v>0</v>
      </c>
      <c r="AW867" s="10" t="s">
        <v>169</v>
      </c>
      <c r="AX867" s="10" t="s">
        <v>169</v>
      </c>
      <c r="AY867" s="10"/>
      <c r="AZ867" s="10"/>
      <c r="BA867" s="10"/>
      <c r="BB867" s="8"/>
      <c r="BC867" s="8"/>
      <c r="BD867" s="8"/>
      <c r="BE867" s="8"/>
      <c r="BF867" s="12">
        <v>0.38</v>
      </c>
      <c r="BG867" s="13">
        <v>415.797927078604</v>
      </c>
      <c r="BH867" s="96" t="str">
        <f>+VLOOKUP(G867,Liste!$A$7:$G$50,3,FALSE)</f>
        <v>Sapin pectiné</v>
      </c>
      <c r="BI867" s="96" t="str">
        <f>+VLOOKUP(H867,Liste!$B$7:$G$50,5,FALSE)</f>
        <v>GS Arc Jurassien</v>
      </c>
      <c r="BJ867" s="135">
        <f t="shared" si="263"/>
        <v>98</v>
      </c>
      <c r="BK867" s="135" t="str">
        <f t="shared" si="265"/>
        <v>Sapin pectiné_F1_Cas général_GS Arc Jurassien_98_</v>
      </c>
      <c r="BL867" s="322"/>
      <c r="BM867" s="13">
        <v>101.296700604365</v>
      </c>
      <c r="BN867" s="13">
        <v>517.09462768296896</v>
      </c>
      <c r="BO867" s="13" t="s">
        <v>169</v>
      </c>
      <c r="BP867" s="13">
        <v>359.743735612752</v>
      </c>
      <c r="BQ867" s="13" t="s">
        <v>169</v>
      </c>
      <c r="BT867" s="298" t="str">
        <f>+VLOOKUP(G867,Liste!$A$7:$H$50,8,FALSE)</f>
        <v>Résineux</v>
      </c>
      <c r="BU867" s="298">
        <f t="shared" si="266"/>
        <v>0</v>
      </c>
      <c r="BV867" s="300">
        <f t="shared" si="267"/>
        <v>1</v>
      </c>
      <c r="BW867" s="321">
        <v>0</v>
      </c>
      <c r="BX867" s="298">
        <f t="shared" si="268"/>
        <v>0.43</v>
      </c>
      <c r="BY867">
        <f t="shared" si="269"/>
        <v>0</v>
      </c>
      <c r="BZ867" s="304">
        <f t="shared" si="270"/>
        <v>0</v>
      </c>
      <c r="CB867" s="299">
        <v>0.6</v>
      </c>
      <c r="CC867" s="299">
        <v>0.4</v>
      </c>
      <c r="CD867">
        <f t="shared" si="271"/>
        <v>0</v>
      </c>
      <c r="CE867">
        <f t="shared" si="272"/>
        <v>0</v>
      </c>
      <c r="CF867">
        <f t="shared" si="273"/>
        <v>0</v>
      </c>
      <c r="CG867">
        <f t="shared" si="274"/>
        <v>0</v>
      </c>
      <c r="CH867">
        <f t="shared" si="275"/>
        <v>0</v>
      </c>
      <c r="CI867">
        <f t="shared" si="276"/>
        <v>0</v>
      </c>
      <c r="CJ867">
        <f t="shared" si="277"/>
        <v>0</v>
      </c>
      <c r="CK867">
        <f t="shared" si="278"/>
        <v>0</v>
      </c>
      <c r="CL867">
        <f t="shared" si="279"/>
        <v>0</v>
      </c>
      <c r="CM867">
        <f t="shared" si="281"/>
        <v>0</v>
      </c>
      <c r="CN867">
        <f t="shared" si="280"/>
        <v>0</v>
      </c>
      <c r="CO867">
        <f t="shared" si="264"/>
        <v>0</v>
      </c>
    </row>
    <row r="868" spans="1:93" s="12" customFormat="1" x14ac:dyDescent="0.25">
      <c r="A868" s="4">
        <v>2013</v>
      </c>
      <c r="B868" s="318">
        <v>44265</v>
      </c>
      <c r="C868" s="4" t="s">
        <v>430</v>
      </c>
      <c r="D868" s="4" t="s">
        <v>431</v>
      </c>
      <c r="E868" s="4"/>
      <c r="F868" s="4" t="s">
        <v>1493</v>
      </c>
      <c r="G868" s="5" t="s">
        <v>432</v>
      </c>
      <c r="H868" s="5" t="s">
        <v>185</v>
      </c>
      <c r="I868" s="5" t="s">
        <v>222</v>
      </c>
      <c r="J868" s="5" t="s">
        <v>9</v>
      </c>
      <c r="K868" s="5">
        <v>20</v>
      </c>
      <c r="L868" s="5" t="s">
        <v>191</v>
      </c>
      <c r="M868" s="5">
        <v>2000</v>
      </c>
      <c r="N868" s="5" t="s">
        <v>171</v>
      </c>
      <c r="O868" s="6" t="s">
        <v>81</v>
      </c>
      <c r="P868" s="6" t="s">
        <v>186</v>
      </c>
      <c r="Q868" s="6"/>
      <c r="R868" s="6"/>
      <c r="S868" s="6">
        <v>45</v>
      </c>
      <c r="T868" s="6">
        <v>17.7</v>
      </c>
      <c r="U868" s="6">
        <v>1853</v>
      </c>
      <c r="V868" s="6">
        <v>45.68</v>
      </c>
      <c r="W868" s="6">
        <v>0</v>
      </c>
      <c r="X868" s="6">
        <v>0</v>
      </c>
      <c r="Y868" s="6">
        <v>1079</v>
      </c>
      <c r="Z868" s="6">
        <v>672</v>
      </c>
      <c r="AA868" s="6">
        <v>94</v>
      </c>
      <c r="AB868" s="6">
        <v>8</v>
      </c>
      <c r="AC868" s="7">
        <v>99</v>
      </c>
      <c r="AD868" s="7" t="s">
        <v>52</v>
      </c>
      <c r="AE868" s="9">
        <v>34.811455238261601</v>
      </c>
      <c r="AF868" s="7">
        <v>200</v>
      </c>
      <c r="AG868" s="7">
        <v>34.58</v>
      </c>
      <c r="AH868" s="9">
        <v>46.9184238641215</v>
      </c>
      <c r="AI868" s="9">
        <v>50.076203946001101</v>
      </c>
      <c r="AJ868" s="9">
        <v>593.54392566025297</v>
      </c>
      <c r="AK868" s="9">
        <v>595.49590074860498</v>
      </c>
      <c r="AL868" s="9">
        <v>642.84331528782002</v>
      </c>
      <c r="AM868" s="9">
        <v>101.376519647154</v>
      </c>
      <c r="AN868" s="9">
        <v>1.02400524896115</v>
      </c>
      <c r="AO868" s="9">
        <v>0.57144444445883402</v>
      </c>
      <c r="AP868" s="9">
        <v>1518.7857211390401</v>
      </c>
      <c r="AQ868" s="9">
        <v>15.341269910495299</v>
      </c>
      <c r="AR868" s="9">
        <v>13.5175136434399</v>
      </c>
      <c r="AS868" s="8" t="s">
        <v>169</v>
      </c>
      <c r="AT868" s="8" t="s">
        <v>169</v>
      </c>
      <c r="AU868" s="10" t="s">
        <v>169</v>
      </c>
      <c r="AV868" s="10">
        <v>0</v>
      </c>
      <c r="AW868" s="10" t="s">
        <v>169</v>
      </c>
      <c r="AX868" s="10" t="s">
        <v>169</v>
      </c>
      <c r="AY868" s="10"/>
      <c r="AZ868" s="10"/>
      <c r="BA868" s="10"/>
      <c r="BB868" s="8"/>
      <c r="BC868" s="8"/>
      <c r="BD868" s="8"/>
      <c r="BE868" s="8"/>
      <c r="BF868" s="12">
        <v>0.38</v>
      </c>
      <c r="BG868" s="13">
        <v>425.455134167989</v>
      </c>
      <c r="BH868" s="96" t="str">
        <f>+VLOOKUP(G868,Liste!$A$7:$G$50,3,FALSE)</f>
        <v>Sapin pectiné</v>
      </c>
      <c r="BI868" s="96" t="str">
        <f>+VLOOKUP(H868,Liste!$B$7:$G$50,5,FALSE)</f>
        <v>GS Arc Jurassien</v>
      </c>
      <c r="BJ868" s="135">
        <f t="shared" si="263"/>
        <v>99</v>
      </c>
      <c r="BK868" s="135" t="str">
        <f t="shared" si="265"/>
        <v>Sapin pectiné_F1_Cas général_GS Arc Jurassien_99_</v>
      </c>
      <c r="BL868" s="322"/>
      <c r="BM868" s="13">
        <v>103.384536657925</v>
      </c>
      <c r="BN868" s="13">
        <v>528.83967082591403</v>
      </c>
      <c r="BO868" s="13" t="s">
        <v>169</v>
      </c>
      <c r="BP868" s="13">
        <v>359.743735612752</v>
      </c>
      <c r="BQ868" s="13">
        <v>10.6807487173828</v>
      </c>
      <c r="BT868" s="298" t="str">
        <f>+VLOOKUP(G868,Liste!$A$7:$H$50,8,FALSE)</f>
        <v>Résineux</v>
      </c>
      <c r="BU868" s="298">
        <f t="shared" si="266"/>
        <v>0</v>
      </c>
      <c r="BV868" s="300">
        <f t="shared" si="267"/>
        <v>1</v>
      </c>
      <c r="BW868" s="321">
        <v>0</v>
      </c>
      <c r="BX868" s="298">
        <f t="shared" si="268"/>
        <v>0.43</v>
      </c>
      <c r="BY868">
        <f t="shared" si="269"/>
        <v>0</v>
      </c>
      <c r="BZ868" s="304">
        <f t="shared" si="270"/>
        <v>0</v>
      </c>
      <c r="CB868" s="299">
        <v>0.6</v>
      </c>
      <c r="CC868" s="299">
        <v>0.4</v>
      </c>
      <c r="CD868">
        <f t="shared" si="271"/>
        <v>0</v>
      </c>
      <c r="CE868">
        <f t="shared" si="272"/>
        <v>0</v>
      </c>
      <c r="CF868">
        <f t="shared" si="273"/>
        <v>0</v>
      </c>
      <c r="CG868">
        <f t="shared" si="274"/>
        <v>0</v>
      </c>
      <c r="CH868">
        <f t="shared" si="275"/>
        <v>0</v>
      </c>
      <c r="CI868">
        <f t="shared" si="276"/>
        <v>0</v>
      </c>
      <c r="CJ868">
        <f t="shared" si="277"/>
        <v>0</v>
      </c>
      <c r="CK868">
        <f t="shared" si="278"/>
        <v>0</v>
      </c>
      <c r="CL868">
        <f t="shared" si="279"/>
        <v>0</v>
      </c>
      <c r="CM868">
        <f t="shared" si="281"/>
        <v>0</v>
      </c>
      <c r="CN868">
        <f t="shared" si="280"/>
        <v>0</v>
      </c>
      <c r="CO868">
        <f t="shared" si="264"/>
        <v>0</v>
      </c>
    </row>
    <row r="869" spans="1:93" s="12" customFormat="1" x14ac:dyDescent="0.25">
      <c r="A869" s="4">
        <v>2013</v>
      </c>
      <c r="B869" s="318">
        <v>44265</v>
      </c>
      <c r="C869" s="4" t="s">
        <v>430</v>
      </c>
      <c r="D869" s="4" t="s">
        <v>431</v>
      </c>
      <c r="E869" s="4"/>
      <c r="F869" s="4" t="s">
        <v>1493</v>
      </c>
      <c r="G869" s="5" t="s">
        <v>432</v>
      </c>
      <c r="H869" s="5" t="s">
        <v>185</v>
      </c>
      <c r="I869" s="5" t="s">
        <v>222</v>
      </c>
      <c r="J869" s="5" t="s">
        <v>9</v>
      </c>
      <c r="K869" s="5">
        <v>20</v>
      </c>
      <c r="L869" s="5" t="s">
        <v>191</v>
      </c>
      <c r="M869" s="5">
        <v>2000</v>
      </c>
      <c r="N869" s="5" t="s">
        <v>171</v>
      </c>
      <c r="O869" s="6" t="s">
        <v>81</v>
      </c>
      <c r="P869" s="6" t="s">
        <v>186</v>
      </c>
      <c r="Q869" s="6"/>
      <c r="R869" s="6"/>
      <c r="S869" s="6">
        <v>45</v>
      </c>
      <c r="T869" s="6">
        <v>17.7</v>
      </c>
      <c r="U869" s="6">
        <v>1853</v>
      </c>
      <c r="V869" s="6">
        <v>45.68</v>
      </c>
      <c r="W869" s="6">
        <v>0</v>
      </c>
      <c r="X869" s="6">
        <v>0</v>
      </c>
      <c r="Y869" s="6">
        <v>1079</v>
      </c>
      <c r="Z869" s="6">
        <v>672</v>
      </c>
      <c r="AA869" s="6">
        <v>94</v>
      </c>
      <c r="AB869" s="6">
        <v>8</v>
      </c>
      <c r="AC869" s="7">
        <v>99</v>
      </c>
      <c r="AD869" s="7" t="s">
        <v>53</v>
      </c>
      <c r="AE869" s="9">
        <v>34.811455238261601</v>
      </c>
      <c r="AF869" s="7">
        <v>170</v>
      </c>
      <c r="AG869" s="7">
        <v>29.69</v>
      </c>
      <c r="AH869" s="9">
        <v>47.154246992608002</v>
      </c>
      <c r="AI869" s="9">
        <v>49.6917532577732</v>
      </c>
      <c r="AJ869" s="9">
        <v>509.76726850167699</v>
      </c>
      <c r="AK869" s="9">
        <v>511.46232180981502</v>
      </c>
      <c r="AL869" s="9">
        <v>552.23536304941604</v>
      </c>
      <c r="AM869" s="9">
        <v>101.376519647154</v>
      </c>
      <c r="AN869" s="9">
        <v>1.02400524896115</v>
      </c>
      <c r="AO869" s="9">
        <v>0.57144444445883402</v>
      </c>
      <c r="AP869" s="9">
        <v>1518.7857211390401</v>
      </c>
      <c r="AQ869" s="9">
        <v>15.341269910495299</v>
      </c>
      <c r="AR869" s="9">
        <v>13.5175136434399</v>
      </c>
      <c r="AS869" s="8">
        <v>30</v>
      </c>
      <c r="AT869" s="8">
        <v>4.889999999999997</v>
      </c>
      <c r="AU869" s="10">
        <v>45.556343772501258</v>
      </c>
      <c r="AV869" s="10">
        <v>83.776657158575972</v>
      </c>
      <c r="AW869" s="10">
        <v>0.94278115787481531</v>
      </c>
      <c r="AX869" s="10">
        <v>2.7925552386191992</v>
      </c>
      <c r="AY869" s="10"/>
      <c r="AZ869" s="10"/>
      <c r="BA869" s="10"/>
      <c r="BB869" s="8"/>
      <c r="BC869" s="8"/>
      <c r="BD869" s="8"/>
      <c r="BE869" s="8"/>
      <c r="BF869" s="12">
        <v>0.38</v>
      </c>
      <c r="BG869" s="13">
        <v>365.487771111538</v>
      </c>
      <c r="BH869" s="96" t="str">
        <f>+VLOOKUP(G869,Liste!$A$7:$G$50,3,FALSE)</f>
        <v>Sapin pectiné</v>
      </c>
      <c r="BI869" s="96" t="str">
        <f>+VLOOKUP(H869,Liste!$B$7:$G$50,5,FALSE)</f>
        <v>GS Arc Jurassien</v>
      </c>
      <c r="BJ869" s="135">
        <f t="shared" si="263"/>
        <v>99</v>
      </c>
      <c r="BK869" s="135" t="str">
        <f t="shared" si="265"/>
        <v>Sapin pectiné_F1_Cas général_GS Arc Jurassien_99_</v>
      </c>
      <c r="BL869" s="322"/>
      <c r="BM869" s="13">
        <v>90.397172423072206</v>
      </c>
      <c r="BN869" s="13">
        <v>455.88494353461101</v>
      </c>
      <c r="BO869" s="13">
        <v>72.954727291303016</v>
      </c>
      <c r="BP869" s="13">
        <v>359.743735612752</v>
      </c>
      <c r="BQ869" s="13">
        <v>10.6807487173828</v>
      </c>
      <c r="BT869" s="298" t="str">
        <f>+VLOOKUP(G869,Liste!$A$7:$H$50,8,FALSE)</f>
        <v>Résineux</v>
      </c>
      <c r="BU869" s="298">
        <f t="shared" si="266"/>
        <v>0</v>
      </c>
      <c r="BV869" s="300">
        <f t="shared" si="267"/>
        <v>1</v>
      </c>
      <c r="BW869" s="321">
        <v>0</v>
      </c>
      <c r="BX869" s="298">
        <f t="shared" si="268"/>
        <v>0.43</v>
      </c>
      <c r="BY869">
        <f t="shared" si="269"/>
        <v>0</v>
      </c>
      <c r="BZ869" s="304">
        <f t="shared" si="270"/>
        <v>0</v>
      </c>
      <c r="CB869" s="299">
        <v>0.6</v>
      </c>
      <c r="CC869" s="299">
        <v>0.4</v>
      </c>
      <c r="CD869">
        <f t="shared" si="271"/>
        <v>0</v>
      </c>
      <c r="CE869">
        <f t="shared" si="272"/>
        <v>0</v>
      </c>
      <c r="CF869">
        <f t="shared" si="273"/>
        <v>0</v>
      </c>
      <c r="CG869">
        <f t="shared" si="274"/>
        <v>0</v>
      </c>
      <c r="CH869">
        <f t="shared" si="275"/>
        <v>0</v>
      </c>
      <c r="CI869">
        <f t="shared" si="276"/>
        <v>0</v>
      </c>
      <c r="CJ869">
        <f t="shared" si="277"/>
        <v>0</v>
      </c>
      <c r="CK869">
        <f t="shared" si="278"/>
        <v>0</v>
      </c>
      <c r="CL869">
        <f t="shared" si="279"/>
        <v>0</v>
      </c>
      <c r="CM869">
        <f t="shared" si="281"/>
        <v>0</v>
      </c>
      <c r="CN869">
        <f t="shared" si="280"/>
        <v>0</v>
      </c>
      <c r="CO869">
        <f t="shared" si="264"/>
        <v>0</v>
      </c>
    </row>
    <row r="870" spans="1:93" s="12" customFormat="1" x14ac:dyDescent="0.25">
      <c r="A870" s="4">
        <v>2013</v>
      </c>
      <c r="B870" s="318">
        <v>44265</v>
      </c>
      <c r="C870" s="4" t="s">
        <v>430</v>
      </c>
      <c r="D870" s="4" t="s">
        <v>431</v>
      </c>
      <c r="E870" s="4"/>
      <c r="F870" s="4" t="s">
        <v>1493</v>
      </c>
      <c r="G870" s="5" t="s">
        <v>432</v>
      </c>
      <c r="H870" s="5" t="s">
        <v>185</v>
      </c>
      <c r="I870" s="5" t="s">
        <v>222</v>
      </c>
      <c r="J870" s="5" t="s">
        <v>9</v>
      </c>
      <c r="K870" s="5">
        <v>20</v>
      </c>
      <c r="L870" s="5" t="s">
        <v>191</v>
      </c>
      <c r="M870" s="5">
        <v>2000</v>
      </c>
      <c r="N870" s="5" t="s">
        <v>171</v>
      </c>
      <c r="O870" s="6" t="s">
        <v>81</v>
      </c>
      <c r="P870" s="6" t="s">
        <v>186</v>
      </c>
      <c r="Q870" s="6"/>
      <c r="R870" s="6"/>
      <c r="S870" s="6">
        <v>45</v>
      </c>
      <c r="T870" s="6">
        <v>17.7</v>
      </c>
      <c r="U870" s="6">
        <v>1853</v>
      </c>
      <c r="V870" s="6">
        <v>45.68</v>
      </c>
      <c r="W870" s="6">
        <v>0</v>
      </c>
      <c r="X870" s="6">
        <v>0</v>
      </c>
      <c r="Y870" s="6">
        <v>1079</v>
      </c>
      <c r="Z870" s="6">
        <v>672</v>
      </c>
      <c r="AA870" s="6">
        <v>94</v>
      </c>
      <c r="AB870" s="6">
        <v>8</v>
      </c>
      <c r="AC870" s="7">
        <v>100</v>
      </c>
      <c r="AD870" s="7" t="s">
        <v>52</v>
      </c>
      <c r="AE870" s="9">
        <v>34.999999999999901</v>
      </c>
      <c r="AF870" s="7">
        <v>170</v>
      </c>
      <c r="AG870" s="7">
        <v>30.27</v>
      </c>
      <c r="AH870" s="9">
        <v>47.613528434917598</v>
      </c>
      <c r="AI870" s="9">
        <v>50.162606206933198</v>
      </c>
      <c r="AJ870" s="9">
        <v>522.774575698891</v>
      </c>
      <c r="AK870" s="9">
        <v>524.50148023776103</v>
      </c>
      <c r="AL870" s="9">
        <v>565.75287669285603</v>
      </c>
      <c r="AM870" s="9" t="s">
        <v>169</v>
      </c>
      <c r="AN870" s="9" t="s">
        <v>169</v>
      </c>
      <c r="AO870" s="9" t="s">
        <v>169</v>
      </c>
      <c r="AP870" s="9" t="s">
        <v>169</v>
      </c>
      <c r="AQ870" s="9" t="s">
        <v>169</v>
      </c>
      <c r="AR870" s="9" t="s">
        <v>169</v>
      </c>
      <c r="AS870" s="8" t="s">
        <v>169</v>
      </c>
      <c r="AT870" s="8" t="s">
        <v>169</v>
      </c>
      <c r="AU870" s="10" t="s">
        <v>169</v>
      </c>
      <c r="AV870" s="10">
        <v>0</v>
      </c>
      <c r="AW870" s="10" t="s">
        <v>169</v>
      </c>
      <c r="AX870" s="10" t="s">
        <v>169</v>
      </c>
      <c r="AY870" s="10"/>
      <c r="AZ870" s="10"/>
      <c r="BA870" s="10"/>
      <c r="BB870" s="8"/>
      <c r="BC870" s="8"/>
      <c r="BD870" s="8"/>
      <c r="BE870" s="8"/>
      <c r="BF870" s="12">
        <v>0.38</v>
      </c>
      <c r="BG870" s="13">
        <v>374.43411222455501</v>
      </c>
      <c r="BH870" s="96" t="str">
        <f>+VLOOKUP(G870,Liste!$A$7:$G$50,3,FALSE)</f>
        <v>Sapin pectiné</v>
      </c>
      <c r="BI870" s="96" t="str">
        <f>+VLOOKUP(H870,Liste!$B$7:$G$50,5,FALSE)</f>
        <v>GS Arc Jurassien</v>
      </c>
      <c r="BJ870" s="135">
        <f t="shared" si="263"/>
        <v>100</v>
      </c>
      <c r="BK870" s="135" t="str">
        <f t="shared" si="265"/>
        <v>Sapin pectiné_F1_Cas général_GS Arc Jurassien_100_</v>
      </c>
      <c r="BL870" s="322"/>
      <c r="BM870" s="13">
        <v>92.341581008498295</v>
      </c>
      <c r="BN870" s="13">
        <v>466.775693233053</v>
      </c>
      <c r="BO870" s="13" t="s">
        <v>169</v>
      </c>
      <c r="BP870" s="13">
        <v>359.743735612752</v>
      </c>
      <c r="BQ870" s="13" t="s">
        <v>169</v>
      </c>
      <c r="BT870" s="298" t="str">
        <f>+VLOOKUP(G870,Liste!$A$7:$H$50,8,FALSE)</f>
        <v>Résineux</v>
      </c>
      <c r="BU870" s="298">
        <f t="shared" si="266"/>
        <v>0</v>
      </c>
      <c r="BV870" s="300">
        <f t="shared" si="267"/>
        <v>1</v>
      </c>
      <c r="BW870" s="321">
        <v>0</v>
      </c>
      <c r="BX870" s="298">
        <f t="shared" si="268"/>
        <v>0.43</v>
      </c>
      <c r="BY870">
        <f t="shared" si="269"/>
        <v>0</v>
      </c>
      <c r="BZ870" s="304">
        <f t="shared" si="270"/>
        <v>0</v>
      </c>
      <c r="CB870" s="299">
        <v>0.6</v>
      </c>
      <c r="CC870" s="299">
        <v>0.4</v>
      </c>
      <c r="CD870">
        <f t="shared" si="271"/>
        <v>0</v>
      </c>
      <c r="CE870">
        <f t="shared" si="272"/>
        <v>0</v>
      </c>
      <c r="CF870">
        <f t="shared" si="273"/>
        <v>0</v>
      </c>
      <c r="CG870">
        <f t="shared" si="274"/>
        <v>0</v>
      </c>
      <c r="CH870">
        <f t="shared" si="275"/>
        <v>0</v>
      </c>
      <c r="CI870">
        <f t="shared" si="276"/>
        <v>0</v>
      </c>
      <c r="CJ870">
        <f t="shared" si="277"/>
        <v>0</v>
      </c>
      <c r="CK870">
        <f t="shared" si="278"/>
        <v>0</v>
      </c>
      <c r="CL870">
        <f t="shared" si="279"/>
        <v>0</v>
      </c>
      <c r="CM870">
        <f t="shared" si="281"/>
        <v>0</v>
      </c>
      <c r="CN870">
        <f t="shared" si="280"/>
        <v>0</v>
      </c>
      <c r="CO870">
        <f t="shared" si="264"/>
        <v>0</v>
      </c>
    </row>
    <row r="871" spans="1:93" s="12" customFormat="1" x14ac:dyDescent="0.25">
      <c r="A871" s="4">
        <v>2013</v>
      </c>
      <c r="B871" s="318">
        <v>44265</v>
      </c>
      <c r="C871" s="4" t="s">
        <v>430</v>
      </c>
      <c r="D871" s="4" t="s">
        <v>431</v>
      </c>
      <c r="E871" s="4"/>
      <c r="F871" s="4" t="s">
        <v>1493</v>
      </c>
      <c r="G871" s="5" t="s">
        <v>432</v>
      </c>
      <c r="H871" s="5" t="s">
        <v>185</v>
      </c>
      <c r="I871" s="5" t="s">
        <v>222</v>
      </c>
      <c r="J871" s="5" t="s">
        <v>9</v>
      </c>
      <c r="K871" s="5">
        <v>20</v>
      </c>
      <c r="L871" s="5" t="s">
        <v>191</v>
      </c>
      <c r="M871" s="5">
        <v>2000</v>
      </c>
      <c r="N871" s="5" t="s">
        <v>171</v>
      </c>
      <c r="O871" s="6" t="s">
        <v>81</v>
      </c>
      <c r="P871" s="6" t="s">
        <v>186</v>
      </c>
      <c r="Q871" s="6"/>
      <c r="R871" s="6"/>
      <c r="S871" s="6">
        <v>45</v>
      </c>
      <c r="T871" s="6">
        <v>17.7</v>
      </c>
      <c r="U871" s="6">
        <v>1853</v>
      </c>
      <c r="V871" s="6">
        <v>45.68</v>
      </c>
      <c r="W871" s="6">
        <v>0</v>
      </c>
      <c r="X871" s="6">
        <v>0</v>
      </c>
      <c r="Y871" s="6">
        <v>1079</v>
      </c>
      <c r="Z871" s="6">
        <v>672</v>
      </c>
      <c r="AA871" s="6">
        <v>94</v>
      </c>
      <c r="AB871" s="6">
        <v>8</v>
      </c>
      <c r="AC871" s="7">
        <v>101</v>
      </c>
      <c r="AD871" s="7" t="s">
        <v>52</v>
      </c>
      <c r="AE871" s="9">
        <v>35.185610220185701</v>
      </c>
      <c r="AF871" s="7">
        <v>170</v>
      </c>
      <c r="AG871" s="7">
        <v>30.84</v>
      </c>
      <c r="AH871" s="9">
        <v>48.063360671970301</v>
      </c>
      <c r="AI871" s="9">
        <v>50.6235781603582</v>
      </c>
      <c r="AJ871" s="9">
        <v>535.781882896105</v>
      </c>
      <c r="AK871" s="9">
        <v>537.540638665708</v>
      </c>
      <c r="AL871" s="9">
        <v>579.27039033629603</v>
      </c>
      <c r="AM871" s="9" t="s">
        <v>169</v>
      </c>
      <c r="AN871" s="9" t="s">
        <v>169</v>
      </c>
      <c r="AO871" s="9" t="s">
        <v>169</v>
      </c>
      <c r="AP871" s="9" t="s">
        <v>169</v>
      </c>
      <c r="AQ871" s="9" t="s">
        <v>169</v>
      </c>
      <c r="AR871" s="9" t="s">
        <v>169</v>
      </c>
      <c r="AS871" s="8" t="s">
        <v>169</v>
      </c>
      <c r="AT871" s="8" t="s">
        <v>169</v>
      </c>
      <c r="AU871" s="10" t="s">
        <v>169</v>
      </c>
      <c r="AV871" s="10">
        <v>0</v>
      </c>
      <c r="AW871" s="10" t="s">
        <v>169</v>
      </c>
      <c r="AX871" s="10" t="s">
        <v>169</v>
      </c>
      <c r="AY871" s="10"/>
      <c r="AZ871" s="10"/>
      <c r="BA871" s="10"/>
      <c r="BB871" s="8"/>
      <c r="BC871" s="8"/>
      <c r="BD871" s="8"/>
      <c r="BE871" s="8"/>
      <c r="BF871" s="12">
        <v>0.38</v>
      </c>
      <c r="BG871" s="13">
        <v>383.38045333757202</v>
      </c>
      <c r="BH871" s="96" t="str">
        <f>+VLOOKUP(G871,Liste!$A$7:$G$50,3,FALSE)</f>
        <v>Sapin pectiné</v>
      </c>
      <c r="BI871" s="96" t="str">
        <f>+VLOOKUP(H871,Liste!$B$7:$G$50,5,FALSE)</f>
        <v>GS Arc Jurassien</v>
      </c>
      <c r="BJ871" s="135">
        <f t="shared" si="263"/>
        <v>101</v>
      </c>
      <c r="BK871" s="135" t="str">
        <f t="shared" si="265"/>
        <v>Sapin pectiné_F1_Cas général_GS Arc Jurassien_101_</v>
      </c>
      <c r="BL871" s="322"/>
      <c r="BM871" s="13">
        <v>94.285989593924498</v>
      </c>
      <c r="BN871" s="13">
        <v>477.66644293149602</v>
      </c>
      <c r="BO871" s="13" t="s">
        <v>169</v>
      </c>
      <c r="BP871" s="13">
        <v>359.743735612752</v>
      </c>
      <c r="BQ871" s="13" t="s">
        <v>169</v>
      </c>
      <c r="BT871" s="298" t="str">
        <f>+VLOOKUP(G871,Liste!$A$7:$H$50,8,FALSE)</f>
        <v>Résineux</v>
      </c>
      <c r="BU871" s="298">
        <f t="shared" si="266"/>
        <v>0</v>
      </c>
      <c r="BV871" s="300">
        <f t="shared" si="267"/>
        <v>1</v>
      </c>
      <c r="BW871" s="321">
        <v>0</v>
      </c>
      <c r="BX871" s="298">
        <f t="shared" si="268"/>
        <v>0.43</v>
      </c>
      <c r="BY871">
        <f t="shared" si="269"/>
        <v>0</v>
      </c>
      <c r="BZ871" s="304">
        <f t="shared" si="270"/>
        <v>0</v>
      </c>
      <c r="CB871" s="299">
        <v>0.6</v>
      </c>
      <c r="CC871" s="299">
        <v>0.4</v>
      </c>
      <c r="CD871">
        <f t="shared" si="271"/>
        <v>0</v>
      </c>
      <c r="CE871">
        <f t="shared" si="272"/>
        <v>0</v>
      </c>
      <c r="CF871">
        <f t="shared" si="273"/>
        <v>0</v>
      </c>
      <c r="CG871">
        <f t="shared" si="274"/>
        <v>0</v>
      </c>
      <c r="CH871">
        <f t="shared" si="275"/>
        <v>0</v>
      </c>
      <c r="CI871">
        <f t="shared" si="276"/>
        <v>0</v>
      </c>
      <c r="CJ871">
        <f t="shared" si="277"/>
        <v>0</v>
      </c>
      <c r="CK871">
        <f t="shared" si="278"/>
        <v>0</v>
      </c>
      <c r="CL871">
        <f t="shared" si="279"/>
        <v>0</v>
      </c>
      <c r="CM871">
        <f t="shared" si="281"/>
        <v>0</v>
      </c>
      <c r="CN871">
        <f t="shared" si="280"/>
        <v>0</v>
      </c>
      <c r="CO871">
        <f t="shared" si="264"/>
        <v>0</v>
      </c>
    </row>
    <row r="872" spans="1:93" s="12" customFormat="1" x14ac:dyDescent="0.25">
      <c r="A872" s="4">
        <v>2013</v>
      </c>
      <c r="B872" s="318">
        <v>44265</v>
      </c>
      <c r="C872" s="4" t="s">
        <v>430</v>
      </c>
      <c r="D872" s="4" t="s">
        <v>431</v>
      </c>
      <c r="E872" s="4"/>
      <c r="F872" s="4" t="s">
        <v>1493</v>
      </c>
      <c r="G872" s="5" t="s">
        <v>432</v>
      </c>
      <c r="H872" s="5" t="s">
        <v>185</v>
      </c>
      <c r="I872" s="5" t="s">
        <v>222</v>
      </c>
      <c r="J872" s="5" t="s">
        <v>9</v>
      </c>
      <c r="K872" s="5">
        <v>20</v>
      </c>
      <c r="L872" s="5" t="s">
        <v>191</v>
      </c>
      <c r="M872" s="5">
        <v>2000</v>
      </c>
      <c r="N872" s="5" t="s">
        <v>171</v>
      </c>
      <c r="O872" s="6" t="s">
        <v>81</v>
      </c>
      <c r="P872" s="6" t="s">
        <v>186</v>
      </c>
      <c r="Q872" s="6"/>
      <c r="R872" s="6"/>
      <c r="S872" s="6">
        <v>45</v>
      </c>
      <c r="T872" s="6">
        <v>17.7</v>
      </c>
      <c r="U872" s="6">
        <v>1853</v>
      </c>
      <c r="V872" s="6">
        <v>45.68</v>
      </c>
      <c r="W872" s="6">
        <v>0</v>
      </c>
      <c r="X872" s="6">
        <v>0</v>
      </c>
      <c r="Y872" s="6">
        <v>1079</v>
      </c>
      <c r="Z872" s="6">
        <v>672</v>
      </c>
      <c r="AA872" s="6">
        <v>94</v>
      </c>
      <c r="AB872" s="6">
        <v>8</v>
      </c>
      <c r="AC872" s="7">
        <v>102</v>
      </c>
      <c r="AD872" s="7" t="s">
        <v>52</v>
      </c>
      <c r="AE872" s="9">
        <v>35.368348891621302</v>
      </c>
      <c r="AF872" s="7">
        <v>170</v>
      </c>
      <c r="AG872" s="7">
        <v>31.41</v>
      </c>
      <c r="AH872" s="9">
        <v>48.504045970446597</v>
      </c>
      <c r="AI872" s="9">
        <v>51.074995430426497</v>
      </c>
      <c r="AJ872" s="9">
        <v>548.78919009331798</v>
      </c>
      <c r="AK872" s="9">
        <v>550.57979709365497</v>
      </c>
      <c r="AL872" s="9">
        <v>592.78790397973603</v>
      </c>
      <c r="AM872" s="9" t="s">
        <v>169</v>
      </c>
      <c r="AN872" s="9" t="s">
        <v>169</v>
      </c>
      <c r="AO872" s="9" t="s">
        <v>169</v>
      </c>
      <c r="AP872" s="9" t="s">
        <v>169</v>
      </c>
      <c r="AQ872" s="9" t="s">
        <v>169</v>
      </c>
      <c r="AR872" s="9" t="s">
        <v>169</v>
      </c>
      <c r="AS872" s="8" t="s">
        <v>169</v>
      </c>
      <c r="AT872" s="8" t="s">
        <v>169</v>
      </c>
      <c r="AU872" s="10" t="s">
        <v>169</v>
      </c>
      <c r="AV872" s="10">
        <v>0</v>
      </c>
      <c r="AW872" s="10" t="s">
        <v>169</v>
      </c>
      <c r="AX872" s="10" t="s">
        <v>169</v>
      </c>
      <c r="AY872" s="10"/>
      <c r="AZ872" s="10"/>
      <c r="BA872" s="10"/>
      <c r="BB872" s="8"/>
      <c r="BC872" s="8"/>
      <c r="BD872" s="8"/>
      <c r="BE872" s="8"/>
      <c r="BF872" s="12">
        <v>0.38</v>
      </c>
      <c r="BG872" s="13">
        <v>392.32679445058801</v>
      </c>
      <c r="BH872" s="96" t="str">
        <f>+VLOOKUP(G872,Liste!$A$7:$G$50,3,FALSE)</f>
        <v>Sapin pectiné</v>
      </c>
      <c r="BI872" s="96" t="str">
        <f>+VLOOKUP(H872,Liste!$B$7:$G$50,5,FALSE)</f>
        <v>GS Arc Jurassien</v>
      </c>
      <c r="BJ872" s="135">
        <f t="shared" si="263"/>
        <v>102</v>
      </c>
      <c r="BK872" s="135" t="str">
        <f t="shared" si="265"/>
        <v>Sapin pectiné_F1_Cas général_GS Arc Jurassien_102_</v>
      </c>
      <c r="BL872" s="322"/>
      <c r="BM872" s="13">
        <v>96.230398179350701</v>
      </c>
      <c r="BN872" s="13">
        <v>488.55719262993898</v>
      </c>
      <c r="BO872" s="13" t="s">
        <v>169</v>
      </c>
      <c r="BP872" s="13">
        <v>359.743735612752</v>
      </c>
      <c r="BQ872" s="13" t="s">
        <v>169</v>
      </c>
      <c r="BT872" s="298" t="str">
        <f>+VLOOKUP(G872,Liste!$A$7:$H$50,8,FALSE)</f>
        <v>Résineux</v>
      </c>
      <c r="BU872" s="298">
        <f t="shared" si="266"/>
        <v>0</v>
      </c>
      <c r="BV872" s="300">
        <f t="shared" si="267"/>
        <v>1</v>
      </c>
      <c r="BW872" s="321">
        <v>0</v>
      </c>
      <c r="BX872" s="298">
        <f t="shared" si="268"/>
        <v>0.43</v>
      </c>
      <c r="BY872">
        <f t="shared" si="269"/>
        <v>0</v>
      </c>
      <c r="BZ872" s="304">
        <f t="shared" si="270"/>
        <v>0</v>
      </c>
      <c r="CB872" s="299">
        <v>0.6</v>
      </c>
      <c r="CC872" s="299">
        <v>0.4</v>
      </c>
      <c r="CD872">
        <f t="shared" si="271"/>
        <v>0</v>
      </c>
      <c r="CE872">
        <f t="shared" si="272"/>
        <v>0</v>
      </c>
      <c r="CF872">
        <f t="shared" si="273"/>
        <v>0</v>
      </c>
      <c r="CG872">
        <f t="shared" si="274"/>
        <v>0</v>
      </c>
      <c r="CH872">
        <f t="shared" si="275"/>
        <v>0</v>
      </c>
      <c r="CI872">
        <f t="shared" si="276"/>
        <v>0</v>
      </c>
      <c r="CJ872">
        <f t="shared" si="277"/>
        <v>0</v>
      </c>
      <c r="CK872">
        <f t="shared" si="278"/>
        <v>0</v>
      </c>
      <c r="CL872">
        <f t="shared" si="279"/>
        <v>0</v>
      </c>
      <c r="CM872">
        <f t="shared" si="281"/>
        <v>0</v>
      </c>
      <c r="CN872">
        <f t="shared" si="280"/>
        <v>0</v>
      </c>
      <c r="CO872">
        <f t="shared" si="264"/>
        <v>0</v>
      </c>
    </row>
    <row r="873" spans="1:93" s="12" customFormat="1" x14ac:dyDescent="0.25">
      <c r="A873" s="4">
        <v>2013</v>
      </c>
      <c r="B873" s="318">
        <v>44265</v>
      </c>
      <c r="C873" s="4" t="s">
        <v>430</v>
      </c>
      <c r="D873" s="4" t="s">
        <v>431</v>
      </c>
      <c r="E873" s="4"/>
      <c r="F873" s="4" t="s">
        <v>1493</v>
      </c>
      <c r="G873" s="5" t="s">
        <v>432</v>
      </c>
      <c r="H873" s="5" t="s">
        <v>185</v>
      </c>
      <c r="I873" s="5" t="s">
        <v>222</v>
      </c>
      <c r="J873" s="5" t="s">
        <v>9</v>
      </c>
      <c r="K873" s="5">
        <v>20</v>
      </c>
      <c r="L873" s="5" t="s">
        <v>191</v>
      </c>
      <c r="M873" s="5">
        <v>2000</v>
      </c>
      <c r="N873" s="5" t="s">
        <v>171</v>
      </c>
      <c r="O873" s="6" t="s">
        <v>81</v>
      </c>
      <c r="P873" s="6" t="s">
        <v>186</v>
      </c>
      <c r="Q873" s="6"/>
      <c r="R873" s="6"/>
      <c r="S873" s="6">
        <v>45</v>
      </c>
      <c r="T873" s="6">
        <v>17.7</v>
      </c>
      <c r="U873" s="6">
        <v>1853</v>
      </c>
      <c r="V873" s="6">
        <v>45.68</v>
      </c>
      <c r="W873" s="6">
        <v>0</v>
      </c>
      <c r="X873" s="6">
        <v>0</v>
      </c>
      <c r="Y873" s="6">
        <v>1079</v>
      </c>
      <c r="Z873" s="6">
        <v>672</v>
      </c>
      <c r="AA873" s="6">
        <v>94</v>
      </c>
      <c r="AB873" s="6">
        <v>8</v>
      </c>
      <c r="AC873" s="7">
        <v>103</v>
      </c>
      <c r="AD873" s="7" t="s">
        <v>52</v>
      </c>
      <c r="AE873" s="9">
        <v>35.548277377202801</v>
      </c>
      <c r="AF873" s="7">
        <v>170</v>
      </c>
      <c r="AG873" s="7">
        <v>31.97</v>
      </c>
      <c r="AH873" s="9">
        <v>48.935872693878999</v>
      </c>
      <c r="AI873" s="9">
        <v>51.517168388975897</v>
      </c>
      <c r="AJ873" s="9">
        <v>561.79649729053199</v>
      </c>
      <c r="AK873" s="9">
        <v>563.61895552160195</v>
      </c>
      <c r="AL873" s="9">
        <v>606.30541762317603</v>
      </c>
      <c r="AM873" s="9">
        <v>103.66229742498901</v>
      </c>
      <c r="AN873" s="9">
        <v>1.0064300720872701</v>
      </c>
      <c r="AO873" s="9">
        <v>0.54611813045286095</v>
      </c>
      <c r="AP873" s="9">
        <v>1572.8557757128001</v>
      </c>
      <c r="AQ873" s="9">
        <v>15.2704444243961</v>
      </c>
      <c r="AR873" s="9">
        <v>13.1228127180761</v>
      </c>
      <c r="AS873" s="8" t="s">
        <v>169</v>
      </c>
      <c r="AT873" s="8" t="s">
        <v>169</v>
      </c>
      <c r="AU873" s="10" t="s">
        <v>169</v>
      </c>
      <c r="AV873" s="10">
        <v>0</v>
      </c>
      <c r="AW873" s="10" t="s">
        <v>169</v>
      </c>
      <c r="AX873" s="10" t="s">
        <v>169</v>
      </c>
      <c r="AY873" s="10"/>
      <c r="AZ873" s="10"/>
      <c r="BA873" s="10"/>
      <c r="BB873" s="8"/>
      <c r="BC873" s="8"/>
      <c r="BD873" s="8"/>
      <c r="BE873" s="8"/>
      <c r="BF873" s="12">
        <v>0.38</v>
      </c>
      <c r="BG873" s="13">
        <v>401.27313556360502</v>
      </c>
      <c r="BH873" s="96" t="str">
        <f>+VLOOKUP(G873,Liste!$A$7:$G$50,3,FALSE)</f>
        <v>Sapin pectiné</v>
      </c>
      <c r="BI873" s="96" t="str">
        <f>+VLOOKUP(H873,Liste!$B$7:$G$50,5,FALSE)</f>
        <v>GS Arc Jurassien</v>
      </c>
      <c r="BJ873" s="135">
        <f t="shared" si="263"/>
        <v>103</v>
      </c>
      <c r="BK873" s="135" t="str">
        <f t="shared" si="265"/>
        <v>Sapin pectiné_F1_Cas général_GS Arc Jurassien_103_</v>
      </c>
      <c r="BL873" s="322"/>
      <c r="BM873" s="13">
        <v>98.174806764776903</v>
      </c>
      <c r="BN873" s="13">
        <v>499.447942328382</v>
      </c>
      <c r="BO873" s="13" t="s">
        <v>169</v>
      </c>
      <c r="BP873" s="13">
        <v>359.743735612752</v>
      </c>
      <c r="BQ873" s="13">
        <v>10.362249396584</v>
      </c>
      <c r="BT873" s="298" t="str">
        <f>+VLOOKUP(G873,Liste!$A$7:$H$50,8,FALSE)</f>
        <v>Résineux</v>
      </c>
      <c r="BU873" s="298">
        <f t="shared" si="266"/>
        <v>0</v>
      </c>
      <c r="BV873" s="300">
        <f t="shared" si="267"/>
        <v>1</v>
      </c>
      <c r="BW873" s="321">
        <v>0</v>
      </c>
      <c r="BX873" s="298">
        <f t="shared" si="268"/>
        <v>0.43</v>
      </c>
      <c r="BY873">
        <f t="shared" si="269"/>
        <v>0</v>
      </c>
      <c r="BZ873" s="304">
        <f t="shared" si="270"/>
        <v>0</v>
      </c>
      <c r="CB873" s="299">
        <v>0.6</v>
      </c>
      <c r="CC873" s="299">
        <v>0.4</v>
      </c>
      <c r="CD873">
        <f t="shared" si="271"/>
        <v>0</v>
      </c>
      <c r="CE873">
        <f t="shared" si="272"/>
        <v>0</v>
      </c>
      <c r="CF873">
        <f t="shared" si="273"/>
        <v>0</v>
      </c>
      <c r="CG873">
        <f t="shared" si="274"/>
        <v>0</v>
      </c>
      <c r="CH873">
        <f t="shared" si="275"/>
        <v>0</v>
      </c>
      <c r="CI873">
        <f t="shared" si="276"/>
        <v>0</v>
      </c>
      <c r="CJ873">
        <f t="shared" si="277"/>
        <v>0</v>
      </c>
      <c r="CK873">
        <f t="shared" si="278"/>
        <v>0</v>
      </c>
      <c r="CL873">
        <f t="shared" si="279"/>
        <v>0</v>
      </c>
      <c r="CM873">
        <f t="shared" si="281"/>
        <v>0</v>
      </c>
      <c r="CN873">
        <f t="shared" si="280"/>
        <v>0</v>
      </c>
      <c r="CO873">
        <f t="shared" si="264"/>
        <v>0</v>
      </c>
    </row>
    <row r="874" spans="1:93" s="12" customFormat="1" x14ac:dyDescent="0.25">
      <c r="A874" s="4">
        <v>2013</v>
      </c>
      <c r="B874" s="318">
        <v>44265</v>
      </c>
      <c r="C874" s="4" t="s">
        <v>430</v>
      </c>
      <c r="D874" s="4" t="s">
        <v>431</v>
      </c>
      <c r="E874" s="4"/>
      <c r="F874" s="4" t="s">
        <v>1493</v>
      </c>
      <c r="G874" s="5" t="s">
        <v>432</v>
      </c>
      <c r="H874" s="5" t="s">
        <v>185</v>
      </c>
      <c r="I874" s="5" t="s">
        <v>222</v>
      </c>
      <c r="J874" s="5" t="s">
        <v>9</v>
      </c>
      <c r="K874" s="5">
        <v>20</v>
      </c>
      <c r="L874" s="5" t="s">
        <v>191</v>
      </c>
      <c r="M874" s="5">
        <v>2000</v>
      </c>
      <c r="N874" s="5" t="s">
        <v>171</v>
      </c>
      <c r="O874" s="6" t="s">
        <v>81</v>
      </c>
      <c r="P874" s="6" t="s">
        <v>186</v>
      </c>
      <c r="Q874" s="6"/>
      <c r="R874" s="6"/>
      <c r="S874" s="6">
        <v>45</v>
      </c>
      <c r="T874" s="6">
        <v>17.7</v>
      </c>
      <c r="U874" s="6">
        <v>1853</v>
      </c>
      <c r="V874" s="6">
        <v>45.68</v>
      </c>
      <c r="W874" s="6">
        <v>0</v>
      </c>
      <c r="X874" s="6">
        <v>0</v>
      </c>
      <c r="Y874" s="6">
        <v>1079</v>
      </c>
      <c r="Z874" s="6">
        <v>672</v>
      </c>
      <c r="AA874" s="6">
        <v>94</v>
      </c>
      <c r="AB874" s="6">
        <v>8</v>
      </c>
      <c r="AC874" s="7">
        <v>104</v>
      </c>
      <c r="AD874" s="7" t="s">
        <v>52</v>
      </c>
      <c r="AE874" s="9">
        <v>35.725455454651303</v>
      </c>
      <c r="AF874" s="7">
        <v>170</v>
      </c>
      <c r="AG874" s="7">
        <v>32.53</v>
      </c>
      <c r="AH874" s="9">
        <v>49.3591163169826</v>
      </c>
      <c r="AI874" s="9">
        <v>51.950392986367902</v>
      </c>
      <c r="AJ874" s="9">
        <v>574.47005835611299</v>
      </c>
      <c r="AK874" s="9">
        <v>576.32112658247502</v>
      </c>
      <c r="AL874" s="9">
        <v>619.42823034125195</v>
      </c>
      <c r="AM874" s="9" t="s">
        <v>169</v>
      </c>
      <c r="AN874" s="9" t="s">
        <v>169</v>
      </c>
      <c r="AO874" s="9" t="s">
        <v>169</v>
      </c>
      <c r="AP874" s="9" t="s">
        <v>169</v>
      </c>
      <c r="AQ874" s="9" t="s">
        <v>169</v>
      </c>
      <c r="AR874" s="9" t="s">
        <v>169</v>
      </c>
      <c r="AS874" s="8" t="s">
        <v>169</v>
      </c>
      <c r="AT874" s="8" t="s">
        <v>169</v>
      </c>
      <c r="AU874" s="10" t="s">
        <v>169</v>
      </c>
      <c r="AV874" s="10">
        <v>0</v>
      </c>
      <c r="AW874" s="10" t="s">
        <v>169</v>
      </c>
      <c r="AX874" s="10" t="s">
        <v>169</v>
      </c>
      <c r="AY874" s="10"/>
      <c r="AZ874" s="10"/>
      <c r="BA874" s="10"/>
      <c r="BB874" s="8"/>
      <c r="BC874" s="8"/>
      <c r="BD874" s="8"/>
      <c r="BE874" s="8"/>
      <c r="BF874" s="12">
        <v>0.38</v>
      </c>
      <c r="BG874" s="13">
        <v>409.95825044751803</v>
      </c>
      <c r="BH874" s="96" t="str">
        <f>+VLOOKUP(G874,Liste!$A$7:$G$50,3,FALSE)</f>
        <v>Sapin pectiné</v>
      </c>
      <c r="BI874" s="96" t="str">
        <f>+VLOOKUP(H874,Liste!$B$7:$G$50,5,FALSE)</f>
        <v>GS Arc Jurassien</v>
      </c>
      <c r="BJ874" s="135">
        <f t="shared" si="263"/>
        <v>104</v>
      </c>
      <c r="BK874" s="135" t="str">
        <f t="shared" si="265"/>
        <v>Sapin pectiné_F1_Cas général_GS Arc Jurassien_104_</v>
      </c>
      <c r="BL874" s="322"/>
      <c r="BM874" s="13">
        <v>100.043186747888</v>
      </c>
      <c r="BN874" s="13">
        <v>510.00143719540699</v>
      </c>
      <c r="BO874" s="13" t="s">
        <v>169</v>
      </c>
      <c r="BP874" s="13">
        <v>359.743735612752</v>
      </c>
      <c r="BQ874" s="13" t="s">
        <v>169</v>
      </c>
      <c r="BT874" s="298" t="str">
        <f>+VLOOKUP(G874,Liste!$A$7:$H$50,8,FALSE)</f>
        <v>Résineux</v>
      </c>
      <c r="BU874" s="298">
        <f t="shared" si="266"/>
        <v>0</v>
      </c>
      <c r="BV874" s="300">
        <f t="shared" si="267"/>
        <v>1</v>
      </c>
      <c r="BW874" s="321">
        <v>0</v>
      </c>
      <c r="BX874" s="298">
        <f t="shared" si="268"/>
        <v>0.43</v>
      </c>
      <c r="BY874">
        <f t="shared" si="269"/>
        <v>0</v>
      </c>
      <c r="BZ874" s="304">
        <f t="shared" si="270"/>
        <v>0</v>
      </c>
      <c r="CB874" s="299">
        <v>0.6</v>
      </c>
      <c r="CC874" s="299">
        <v>0.4</v>
      </c>
      <c r="CD874">
        <f t="shared" si="271"/>
        <v>0</v>
      </c>
      <c r="CE874">
        <f t="shared" si="272"/>
        <v>0</v>
      </c>
      <c r="CF874">
        <f t="shared" si="273"/>
        <v>0</v>
      </c>
      <c r="CG874">
        <f t="shared" si="274"/>
        <v>0</v>
      </c>
      <c r="CH874">
        <f t="shared" si="275"/>
        <v>0</v>
      </c>
      <c r="CI874">
        <f t="shared" si="276"/>
        <v>0</v>
      </c>
      <c r="CJ874">
        <f t="shared" si="277"/>
        <v>0</v>
      </c>
      <c r="CK874">
        <f t="shared" si="278"/>
        <v>0</v>
      </c>
      <c r="CL874">
        <f t="shared" si="279"/>
        <v>0</v>
      </c>
      <c r="CM874">
        <f t="shared" si="281"/>
        <v>0</v>
      </c>
      <c r="CN874">
        <f t="shared" si="280"/>
        <v>0</v>
      </c>
      <c r="CO874">
        <f t="shared" si="264"/>
        <v>0</v>
      </c>
    </row>
    <row r="875" spans="1:93" s="12" customFormat="1" x14ac:dyDescent="0.25">
      <c r="A875" s="4">
        <v>2013</v>
      </c>
      <c r="B875" s="318">
        <v>44265</v>
      </c>
      <c r="C875" s="4" t="s">
        <v>430</v>
      </c>
      <c r="D875" s="4" t="s">
        <v>431</v>
      </c>
      <c r="E875" s="4"/>
      <c r="F875" s="4" t="s">
        <v>1493</v>
      </c>
      <c r="G875" s="5" t="s">
        <v>432</v>
      </c>
      <c r="H875" s="5" t="s">
        <v>185</v>
      </c>
      <c r="I875" s="5" t="s">
        <v>222</v>
      </c>
      <c r="J875" s="5" t="s">
        <v>9</v>
      </c>
      <c r="K875" s="5">
        <v>20</v>
      </c>
      <c r="L875" s="5" t="s">
        <v>191</v>
      </c>
      <c r="M875" s="5">
        <v>2000</v>
      </c>
      <c r="N875" s="5" t="s">
        <v>171</v>
      </c>
      <c r="O875" s="6" t="s">
        <v>81</v>
      </c>
      <c r="P875" s="6" t="s">
        <v>186</v>
      </c>
      <c r="Q875" s="6"/>
      <c r="R875" s="6"/>
      <c r="S875" s="6">
        <v>45</v>
      </c>
      <c r="T875" s="6">
        <v>17.7</v>
      </c>
      <c r="U875" s="6">
        <v>1853</v>
      </c>
      <c r="V875" s="6">
        <v>45.68</v>
      </c>
      <c r="W875" s="6">
        <v>0</v>
      </c>
      <c r="X875" s="6">
        <v>0</v>
      </c>
      <c r="Y875" s="6">
        <v>1079</v>
      </c>
      <c r="Z875" s="6">
        <v>672</v>
      </c>
      <c r="AA875" s="6">
        <v>94</v>
      </c>
      <c r="AB875" s="6">
        <v>8</v>
      </c>
      <c r="AC875" s="7">
        <v>105</v>
      </c>
      <c r="AD875" s="7" t="s">
        <v>52</v>
      </c>
      <c r="AE875" s="9">
        <v>35.899941360273502</v>
      </c>
      <c r="AF875" s="7">
        <v>170</v>
      </c>
      <c r="AG875" s="7">
        <v>33.08</v>
      </c>
      <c r="AH875" s="9">
        <v>49.774040158643402</v>
      </c>
      <c r="AI875" s="9">
        <v>52.374951677574998</v>
      </c>
      <c r="AJ875" s="9">
        <v>587.14361942169398</v>
      </c>
      <c r="AK875" s="9">
        <v>589.02329764334695</v>
      </c>
      <c r="AL875" s="9">
        <v>632.55104305932798</v>
      </c>
      <c r="AM875" s="9" t="s">
        <v>169</v>
      </c>
      <c r="AN875" s="9" t="s">
        <v>169</v>
      </c>
      <c r="AO875" s="9" t="s">
        <v>169</v>
      </c>
      <c r="AP875" s="9" t="s">
        <v>169</v>
      </c>
      <c r="AQ875" s="9" t="s">
        <v>169</v>
      </c>
      <c r="AR875" s="9" t="s">
        <v>169</v>
      </c>
      <c r="AS875" s="8" t="s">
        <v>169</v>
      </c>
      <c r="AT875" s="8" t="s">
        <v>169</v>
      </c>
      <c r="AU875" s="10" t="s">
        <v>169</v>
      </c>
      <c r="AV875" s="10">
        <v>0</v>
      </c>
      <c r="AW875" s="10" t="s">
        <v>169</v>
      </c>
      <c r="AX875" s="10" t="s">
        <v>169</v>
      </c>
      <c r="AY875" s="10"/>
      <c r="AZ875" s="10"/>
      <c r="BA875" s="10"/>
      <c r="BB875" s="8"/>
      <c r="BC875" s="8"/>
      <c r="BD875" s="8"/>
      <c r="BE875" s="8"/>
      <c r="BF875" s="12">
        <v>0.38</v>
      </c>
      <c r="BG875" s="13">
        <v>418.64336533143199</v>
      </c>
      <c r="BH875" s="96" t="str">
        <f>+VLOOKUP(G875,Liste!$A$7:$G$50,3,FALSE)</f>
        <v>Sapin pectiné</v>
      </c>
      <c r="BI875" s="96" t="str">
        <f>+VLOOKUP(H875,Liste!$B$7:$G$50,5,FALSE)</f>
        <v>GS Arc Jurassien</v>
      </c>
      <c r="BJ875" s="135">
        <f t="shared" si="263"/>
        <v>105</v>
      </c>
      <c r="BK875" s="135" t="str">
        <f t="shared" si="265"/>
        <v>Sapin pectiné_F1_Cas général_GS Arc Jurassien_105_</v>
      </c>
      <c r="BL875" s="322"/>
      <c r="BM875" s="13">
        <v>101.911566730999</v>
      </c>
      <c r="BN875" s="13">
        <v>520.55493206243102</v>
      </c>
      <c r="BO875" s="13" t="s">
        <v>169</v>
      </c>
      <c r="BP875" s="13">
        <v>359.743735612752</v>
      </c>
      <c r="BQ875" s="13" t="s">
        <v>169</v>
      </c>
      <c r="BT875" s="298" t="str">
        <f>+VLOOKUP(G875,Liste!$A$7:$H$50,8,FALSE)</f>
        <v>Résineux</v>
      </c>
      <c r="BU875" s="298">
        <f t="shared" si="266"/>
        <v>0</v>
      </c>
      <c r="BV875" s="300">
        <f t="shared" si="267"/>
        <v>1</v>
      </c>
      <c r="BW875" s="321">
        <v>0</v>
      </c>
      <c r="BX875" s="298">
        <f t="shared" si="268"/>
        <v>0.43</v>
      </c>
      <c r="BY875">
        <f t="shared" si="269"/>
        <v>0</v>
      </c>
      <c r="BZ875" s="304">
        <f t="shared" si="270"/>
        <v>0</v>
      </c>
      <c r="CB875" s="299">
        <v>0.6</v>
      </c>
      <c r="CC875" s="299">
        <v>0.4</v>
      </c>
      <c r="CD875">
        <f t="shared" si="271"/>
        <v>0</v>
      </c>
      <c r="CE875">
        <f t="shared" si="272"/>
        <v>0</v>
      </c>
      <c r="CF875">
        <f t="shared" si="273"/>
        <v>0</v>
      </c>
      <c r="CG875">
        <f t="shared" si="274"/>
        <v>0</v>
      </c>
      <c r="CH875">
        <f t="shared" si="275"/>
        <v>0</v>
      </c>
      <c r="CI875">
        <f t="shared" si="276"/>
        <v>0</v>
      </c>
      <c r="CJ875">
        <f t="shared" si="277"/>
        <v>0</v>
      </c>
      <c r="CK875">
        <f t="shared" si="278"/>
        <v>0</v>
      </c>
      <c r="CL875">
        <f t="shared" si="279"/>
        <v>0</v>
      </c>
      <c r="CM875">
        <f t="shared" si="281"/>
        <v>0</v>
      </c>
      <c r="CN875">
        <f t="shared" si="280"/>
        <v>0</v>
      </c>
      <c r="CO875">
        <f t="shared" si="264"/>
        <v>0</v>
      </c>
    </row>
    <row r="876" spans="1:93" s="12" customFormat="1" x14ac:dyDescent="0.25">
      <c r="A876" s="4">
        <v>2013</v>
      </c>
      <c r="B876" s="318">
        <v>44265</v>
      </c>
      <c r="C876" s="4" t="s">
        <v>430</v>
      </c>
      <c r="D876" s="4" t="s">
        <v>431</v>
      </c>
      <c r="E876" s="4"/>
      <c r="F876" s="4" t="s">
        <v>1493</v>
      </c>
      <c r="G876" s="5" t="s">
        <v>432</v>
      </c>
      <c r="H876" s="5" t="s">
        <v>185</v>
      </c>
      <c r="I876" s="5" t="s">
        <v>222</v>
      </c>
      <c r="J876" s="5" t="s">
        <v>9</v>
      </c>
      <c r="K876" s="5">
        <v>20</v>
      </c>
      <c r="L876" s="5" t="s">
        <v>191</v>
      </c>
      <c r="M876" s="5">
        <v>2000</v>
      </c>
      <c r="N876" s="5" t="s">
        <v>171</v>
      </c>
      <c r="O876" s="6" t="s">
        <v>81</v>
      </c>
      <c r="P876" s="6" t="s">
        <v>186</v>
      </c>
      <c r="Q876" s="6"/>
      <c r="R876" s="6"/>
      <c r="S876" s="6">
        <v>45</v>
      </c>
      <c r="T876" s="6">
        <v>17.7</v>
      </c>
      <c r="U876" s="6">
        <v>1853</v>
      </c>
      <c r="V876" s="6">
        <v>45.68</v>
      </c>
      <c r="W876" s="6">
        <v>0</v>
      </c>
      <c r="X876" s="6">
        <v>0</v>
      </c>
      <c r="Y876" s="6">
        <v>1079</v>
      </c>
      <c r="Z876" s="6">
        <v>672</v>
      </c>
      <c r="AA876" s="6">
        <v>94</v>
      </c>
      <c r="AB876" s="6">
        <v>8</v>
      </c>
      <c r="AC876" s="7">
        <v>106</v>
      </c>
      <c r="AD876" s="7" t="s">
        <v>52</v>
      </c>
      <c r="AE876" s="9">
        <v>36.0717918317307</v>
      </c>
      <c r="AF876" s="7">
        <v>170</v>
      </c>
      <c r="AG876" s="7">
        <v>33.619999999999997</v>
      </c>
      <c r="AH876" s="9">
        <v>50.180896101241203</v>
      </c>
      <c r="AI876" s="9">
        <v>52.791114149200297</v>
      </c>
      <c r="AJ876" s="9">
        <v>599.81718048727396</v>
      </c>
      <c r="AK876" s="9">
        <v>601.725468704219</v>
      </c>
      <c r="AL876" s="9">
        <v>645.67385577740401</v>
      </c>
      <c r="AM876" s="9" t="s">
        <v>169</v>
      </c>
      <c r="AN876" s="9" t="s">
        <v>169</v>
      </c>
      <c r="AO876" s="9" t="s">
        <v>169</v>
      </c>
      <c r="AP876" s="9" t="s">
        <v>169</v>
      </c>
      <c r="AQ876" s="9" t="s">
        <v>169</v>
      </c>
      <c r="AR876" s="9" t="s">
        <v>169</v>
      </c>
      <c r="AS876" s="8" t="s">
        <v>169</v>
      </c>
      <c r="AT876" s="8" t="s">
        <v>169</v>
      </c>
      <c r="AU876" s="10" t="s">
        <v>169</v>
      </c>
      <c r="AV876" s="10">
        <v>0</v>
      </c>
      <c r="AW876" s="10" t="s">
        <v>169</v>
      </c>
      <c r="AX876" s="10" t="s">
        <v>169</v>
      </c>
      <c r="AY876" s="10"/>
      <c r="AZ876" s="10"/>
      <c r="BA876" s="10"/>
      <c r="BB876" s="8"/>
      <c r="BC876" s="8"/>
      <c r="BD876" s="8"/>
      <c r="BE876" s="8"/>
      <c r="BF876" s="12">
        <v>0.38</v>
      </c>
      <c r="BG876" s="13">
        <v>427.328480215345</v>
      </c>
      <c r="BH876" s="96" t="str">
        <f>+VLOOKUP(G876,Liste!$A$7:$G$50,3,FALSE)</f>
        <v>Sapin pectiné</v>
      </c>
      <c r="BI876" s="96" t="str">
        <f>+VLOOKUP(H876,Liste!$B$7:$G$50,5,FALSE)</f>
        <v>GS Arc Jurassien</v>
      </c>
      <c r="BJ876" s="135">
        <f t="shared" si="263"/>
        <v>106</v>
      </c>
      <c r="BK876" s="135" t="str">
        <f t="shared" si="265"/>
        <v>Sapin pectiné_F1_Cas général_GS Arc Jurassien_106_</v>
      </c>
      <c r="BL876" s="322"/>
      <c r="BM876" s="13">
        <v>103.77994671411101</v>
      </c>
      <c r="BN876" s="13">
        <v>531.10842692945596</v>
      </c>
      <c r="BO876" s="13" t="s">
        <v>169</v>
      </c>
      <c r="BP876" s="13">
        <v>359.743735612752</v>
      </c>
      <c r="BQ876" s="13" t="s">
        <v>169</v>
      </c>
      <c r="BT876" s="298" t="str">
        <f>+VLOOKUP(G876,Liste!$A$7:$H$50,8,FALSE)</f>
        <v>Résineux</v>
      </c>
      <c r="BU876" s="298">
        <f t="shared" si="266"/>
        <v>0</v>
      </c>
      <c r="BV876" s="300">
        <f t="shared" si="267"/>
        <v>1</v>
      </c>
      <c r="BW876" s="321">
        <v>0</v>
      </c>
      <c r="BX876" s="298">
        <f t="shared" si="268"/>
        <v>0.43</v>
      </c>
      <c r="BY876">
        <f t="shared" si="269"/>
        <v>0</v>
      </c>
      <c r="BZ876" s="304">
        <f t="shared" si="270"/>
        <v>0</v>
      </c>
      <c r="CB876" s="299">
        <v>0.6</v>
      </c>
      <c r="CC876" s="299">
        <v>0.4</v>
      </c>
      <c r="CD876">
        <f t="shared" si="271"/>
        <v>0</v>
      </c>
      <c r="CE876">
        <f t="shared" si="272"/>
        <v>0</v>
      </c>
      <c r="CF876">
        <f t="shared" si="273"/>
        <v>0</v>
      </c>
      <c r="CG876">
        <f t="shared" si="274"/>
        <v>0</v>
      </c>
      <c r="CH876">
        <f t="shared" si="275"/>
        <v>0</v>
      </c>
      <c r="CI876">
        <f t="shared" si="276"/>
        <v>0</v>
      </c>
      <c r="CJ876">
        <f t="shared" si="277"/>
        <v>0</v>
      </c>
      <c r="CK876">
        <f t="shared" si="278"/>
        <v>0</v>
      </c>
      <c r="CL876">
        <f t="shared" si="279"/>
        <v>0</v>
      </c>
      <c r="CM876">
        <f t="shared" si="281"/>
        <v>0</v>
      </c>
      <c r="CN876">
        <f t="shared" si="280"/>
        <v>0</v>
      </c>
      <c r="CO876">
        <f t="shared" si="264"/>
        <v>0</v>
      </c>
    </row>
    <row r="877" spans="1:93" s="12" customFormat="1" x14ac:dyDescent="0.25">
      <c r="A877" s="4">
        <v>2013</v>
      </c>
      <c r="B877" s="318">
        <v>44265</v>
      </c>
      <c r="C877" s="4" t="s">
        <v>430</v>
      </c>
      <c r="D877" s="4" t="s">
        <v>431</v>
      </c>
      <c r="E877" s="4"/>
      <c r="F877" s="4" t="s">
        <v>1493</v>
      </c>
      <c r="G877" s="5" t="s">
        <v>432</v>
      </c>
      <c r="H877" s="5" t="s">
        <v>185</v>
      </c>
      <c r="I877" s="5" t="s">
        <v>222</v>
      </c>
      <c r="J877" s="5" t="s">
        <v>9</v>
      </c>
      <c r="K877" s="5">
        <v>20</v>
      </c>
      <c r="L877" s="5" t="s">
        <v>191</v>
      </c>
      <c r="M877" s="5">
        <v>2000</v>
      </c>
      <c r="N877" s="5" t="s">
        <v>171</v>
      </c>
      <c r="O877" s="6" t="s">
        <v>81</v>
      </c>
      <c r="P877" s="6" t="s">
        <v>186</v>
      </c>
      <c r="Q877" s="6"/>
      <c r="R877" s="6"/>
      <c r="S877" s="6">
        <v>45</v>
      </c>
      <c r="T877" s="6">
        <v>17.7</v>
      </c>
      <c r="U877" s="6">
        <v>1853</v>
      </c>
      <c r="V877" s="6">
        <v>45.68</v>
      </c>
      <c r="W877" s="6">
        <v>0</v>
      </c>
      <c r="X877" s="6">
        <v>0</v>
      </c>
      <c r="Y877" s="6">
        <v>1079</v>
      </c>
      <c r="Z877" s="6">
        <v>672</v>
      </c>
      <c r="AA877" s="6">
        <v>94</v>
      </c>
      <c r="AB877" s="6">
        <v>8</v>
      </c>
      <c r="AC877" s="7">
        <v>107</v>
      </c>
      <c r="AD877" s="7" t="s">
        <v>52</v>
      </c>
      <c r="AE877" s="9">
        <v>36.241062149804897</v>
      </c>
      <c r="AF877" s="7">
        <v>170</v>
      </c>
      <c r="AG877" s="7">
        <v>34.159999999999997</v>
      </c>
      <c r="AH877" s="9">
        <v>50.579925463136</v>
      </c>
      <c r="AI877" s="9">
        <v>53.199138427188998</v>
      </c>
      <c r="AJ877" s="9">
        <v>612.49074155285496</v>
      </c>
      <c r="AK877" s="9">
        <v>614.42763976509104</v>
      </c>
      <c r="AL877" s="9">
        <v>658.79666849548005</v>
      </c>
      <c r="AM877" s="9">
        <v>105.84676994679999</v>
      </c>
      <c r="AN877" s="9">
        <v>0.98922214903551697</v>
      </c>
      <c r="AO877" s="9">
        <v>0.49712608267477099</v>
      </c>
      <c r="AP877" s="9">
        <v>1625.3470265850999</v>
      </c>
      <c r="AQ877" s="9">
        <v>15.1901591269636</v>
      </c>
      <c r="AR877" s="9">
        <v>12.112131917597299</v>
      </c>
      <c r="AS877" s="8" t="s">
        <v>169</v>
      </c>
      <c r="AT877" s="8" t="s">
        <v>169</v>
      </c>
      <c r="AU877" s="10" t="s">
        <v>169</v>
      </c>
      <c r="AV877" s="10">
        <v>0</v>
      </c>
      <c r="AW877" s="10" t="s">
        <v>169</v>
      </c>
      <c r="AX877" s="10" t="s">
        <v>169</v>
      </c>
      <c r="AY877" s="10"/>
      <c r="AZ877" s="10"/>
      <c r="BA877" s="10"/>
      <c r="BB877" s="8"/>
      <c r="BC877" s="8"/>
      <c r="BD877" s="8"/>
      <c r="BE877" s="8"/>
      <c r="BF877" s="12">
        <v>0.38</v>
      </c>
      <c r="BG877" s="13">
        <v>436.01359509925902</v>
      </c>
      <c r="BH877" s="96" t="str">
        <f>+VLOOKUP(G877,Liste!$A$7:$G$50,3,FALSE)</f>
        <v>Sapin pectiné</v>
      </c>
      <c r="BI877" s="96" t="str">
        <f>+VLOOKUP(H877,Liste!$B$7:$G$50,5,FALSE)</f>
        <v>GS Arc Jurassien</v>
      </c>
      <c r="BJ877" s="135">
        <f t="shared" si="263"/>
        <v>107</v>
      </c>
      <c r="BK877" s="135" t="str">
        <f t="shared" si="265"/>
        <v>Sapin pectiné_F1_Cas général_GS Arc Jurassien_107_</v>
      </c>
      <c r="BL877" s="322"/>
      <c r="BM877" s="13">
        <v>105.648326697222</v>
      </c>
      <c r="BN877" s="13">
        <v>541.66192179648101</v>
      </c>
      <c r="BO877" s="13" t="s">
        <v>169</v>
      </c>
      <c r="BP877" s="13">
        <v>359.743735612752</v>
      </c>
      <c r="BQ877" s="13">
        <v>9.5579347165946302</v>
      </c>
      <c r="BT877" s="298" t="str">
        <f>+VLOOKUP(G877,Liste!$A$7:$H$50,8,FALSE)</f>
        <v>Résineux</v>
      </c>
      <c r="BU877" s="298">
        <f t="shared" si="266"/>
        <v>0</v>
      </c>
      <c r="BV877" s="300">
        <f t="shared" si="267"/>
        <v>1</v>
      </c>
      <c r="BW877" s="321">
        <v>0</v>
      </c>
      <c r="BX877" s="298">
        <f t="shared" si="268"/>
        <v>0.43</v>
      </c>
      <c r="BY877">
        <f t="shared" si="269"/>
        <v>0</v>
      </c>
      <c r="BZ877" s="304">
        <f t="shared" si="270"/>
        <v>0</v>
      </c>
      <c r="CB877" s="299">
        <v>0.6</v>
      </c>
      <c r="CC877" s="299">
        <v>0.4</v>
      </c>
      <c r="CD877">
        <f t="shared" si="271"/>
        <v>0</v>
      </c>
      <c r="CE877">
        <f t="shared" si="272"/>
        <v>0</v>
      </c>
      <c r="CF877">
        <f t="shared" si="273"/>
        <v>0</v>
      </c>
      <c r="CG877">
        <f t="shared" si="274"/>
        <v>0</v>
      </c>
      <c r="CH877">
        <f t="shared" si="275"/>
        <v>0</v>
      </c>
      <c r="CI877">
        <f t="shared" si="276"/>
        <v>0</v>
      </c>
      <c r="CJ877">
        <f t="shared" si="277"/>
        <v>0</v>
      </c>
      <c r="CK877">
        <f t="shared" si="278"/>
        <v>0</v>
      </c>
      <c r="CL877">
        <f t="shared" si="279"/>
        <v>0</v>
      </c>
      <c r="CM877">
        <f t="shared" si="281"/>
        <v>0</v>
      </c>
      <c r="CN877">
        <f t="shared" si="280"/>
        <v>0</v>
      </c>
      <c r="CO877">
        <f t="shared" si="264"/>
        <v>0</v>
      </c>
    </row>
    <row r="878" spans="1:93" s="12" customFormat="1" x14ac:dyDescent="0.25">
      <c r="A878" s="4">
        <v>2013</v>
      </c>
      <c r="B878" s="318">
        <v>44265</v>
      </c>
      <c r="C878" s="4" t="s">
        <v>430</v>
      </c>
      <c r="D878" s="4" t="s">
        <v>431</v>
      </c>
      <c r="E878" s="4"/>
      <c r="F878" s="4" t="s">
        <v>1493</v>
      </c>
      <c r="G878" s="5" t="s">
        <v>432</v>
      </c>
      <c r="H878" s="5" t="s">
        <v>185</v>
      </c>
      <c r="I878" s="5" t="s">
        <v>222</v>
      </c>
      <c r="J878" s="5" t="s">
        <v>9</v>
      </c>
      <c r="K878" s="5">
        <v>20</v>
      </c>
      <c r="L878" s="5" t="s">
        <v>191</v>
      </c>
      <c r="M878" s="5">
        <v>2000</v>
      </c>
      <c r="N878" s="5" t="s">
        <v>171</v>
      </c>
      <c r="O878" s="6" t="s">
        <v>81</v>
      </c>
      <c r="P878" s="6" t="s">
        <v>186</v>
      </c>
      <c r="Q878" s="6"/>
      <c r="R878" s="6"/>
      <c r="S878" s="6">
        <v>45</v>
      </c>
      <c r="T878" s="6">
        <v>17.7</v>
      </c>
      <c r="U878" s="6">
        <v>1853</v>
      </c>
      <c r="V878" s="6">
        <v>45.68</v>
      </c>
      <c r="W878" s="6">
        <v>0</v>
      </c>
      <c r="X878" s="6">
        <v>0</v>
      </c>
      <c r="Y878" s="6">
        <v>1079</v>
      </c>
      <c r="Z878" s="6">
        <v>672</v>
      </c>
      <c r="AA878" s="6">
        <v>94</v>
      </c>
      <c r="AB878" s="6">
        <v>8</v>
      </c>
      <c r="AC878" s="7">
        <v>107</v>
      </c>
      <c r="AD878" s="7" t="s">
        <v>53</v>
      </c>
      <c r="AE878" s="9">
        <v>36.241062149804897</v>
      </c>
      <c r="AF878" s="7">
        <v>144</v>
      </c>
      <c r="AG878" s="7">
        <v>29.01</v>
      </c>
      <c r="AH878" s="9">
        <v>50.6484796921712</v>
      </c>
      <c r="AI878" s="9">
        <v>52.5024937445693</v>
      </c>
      <c r="AJ878" s="9">
        <v>520.27011659737002</v>
      </c>
      <c r="AK878" s="9">
        <v>521.91833624417302</v>
      </c>
      <c r="AL878" s="9">
        <v>559.624155863449</v>
      </c>
      <c r="AM878" s="9">
        <v>105.84676994679999</v>
      </c>
      <c r="AN878" s="9">
        <v>0.98922214903551697</v>
      </c>
      <c r="AO878" s="9">
        <v>0.49712608267477099</v>
      </c>
      <c r="AP878" s="9">
        <v>1625.3470265850999</v>
      </c>
      <c r="AQ878" s="9">
        <v>15.1901591269636</v>
      </c>
      <c r="AR878" s="9">
        <v>12.112131917597299</v>
      </c>
      <c r="AS878" s="8">
        <v>26</v>
      </c>
      <c r="AT878" s="8">
        <v>5.149999999999995</v>
      </c>
      <c r="AU878" s="10">
        <v>50.219455528809064</v>
      </c>
      <c r="AV878" s="10">
        <v>92.220624955484936</v>
      </c>
      <c r="AW878" s="10">
        <v>0.98579731213742317</v>
      </c>
      <c r="AX878" s="10">
        <v>3.5469471136724975</v>
      </c>
      <c r="AY878" s="10"/>
      <c r="AZ878" s="10"/>
      <c r="BA878" s="10"/>
      <c r="BB878" s="8"/>
      <c r="BC878" s="8"/>
      <c r="BD878" s="8"/>
      <c r="BE878" s="8"/>
      <c r="BF878" s="12">
        <v>0.38</v>
      </c>
      <c r="BG878" s="13">
        <v>370.37792048895898</v>
      </c>
      <c r="BH878" s="96" t="str">
        <f>+VLOOKUP(G878,Liste!$A$7:$G$50,3,FALSE)</f>
        <v>Sapin pectiné</v>
      </c>
      <c r="BI878" s="96" t="str">
        <f>+VLOOKUP(H878,Liste!$B$7:$G$50,5,FALSE)</f>
        <v>GS Arc Jurassien</v>
      </c>
      <c r="BJ878" s="135">
        <f t="shared" si="263"/>
        <v>107</v>
      </c>
      <c r="BK878" s="135" t="str">
        <f t="shared" si="265"/>
        <v>Sapin pectiné_F1_Cas général_GS Arc Jurassien_107_</v>
      </c>
      <c r="BL878" s="322"/>
      <c r="BM878" s="13">
        <v>91.465054219340303</v>
      </c>
      <c r="BN878" s="13">
        <v>461.84297470830001</v>
      </c>
      <c r="BO878" s="13">
        <v>79.818947088181005</v>
      </c>
      <c r="BP878" s="13">
        <v>359.743735612752</v>
      </c>
      <c r="BQ878" s="13">
        <v>9.5579347165946302</v>
      </c>
      <c r="BT878" s="298" t="str">
        <f>+VLOOKUP(G878,Liste!$A$7:$H$50,8,FALSE)</f>
        <v>Résineux</v>
      </c>
      <c r="BU878" s="298">
        <f t="shared" si="266"/>
        <v>0</v>
      </c>
      <c r="BV878" s="300">
        <f t="shared" si="267"/>
        <v>1</v>
      </c>
      <c r="BW878" s="321">
        <v>0</v>
      </c>
      <c r="BX878" s="298">
        <f t="shared" si="268"/>
        <v>0.43</v>
      </c>
      <c r="BY878">
        <f t="shared" si="269"/>
        <v>0</v>
      </c>
      <c r="BZ878" s="304">
        <f t="shared" si="270"/>
        <v>0</v>
      </c>
      <c r="CB878" s="299">
        <v>0.6</v>
      </c>
      <c r="CC878" s="299">
        <v>0.4</v>
      </c>
      <c r="CD878">
        <f t="shared" si="271"/>
        <v>0</v>
      </c>
      <c r="CE878">
        <f t="shared" si="272"/>
        <v>0</v>
      </c>
      <c r="CF878">
        <f t="shared" si="273"/>
        <v>0</v>
      </c>
      <c r="CG878">
        <f t="shared" si="274"/>
        <v>0</v>
      </c>
      <c r="CH878">
        <f t="shared" si="275"/>
        <v>0</v>
      </c>
      <c r="CI878">
        <f t="shared" si="276"/>
        <v>0</v>
      </c>
      <c r="CJ878">
        <f t="shared" si="277"/>
        <v>0</v>
      </c>
      <c r="CK878">
        <f t="shared" si="278"/>
        <v>0</v>
      </c>
      <c r="CL878">
        <f t="shared" si="279"/>
        <v>0</v>
      </c>
      <c r="CM878">
        <f t="shared" si="281"/>
        <v>0</v>
      </c>
      <c r="CN878">
        <f t="shared" si="280"/>
        <v>0</v>
      </c>
      <c r="CO878">
        <f t="shared" si="264"/>
        <v>0</v>
      </c>
    </row>
    <row r="879" spans="1:93" s="12" customFormat="1" x14ac:dyDescent="0.25">
      <c r="A879" s="4">
        <v>2013</v>
      </c>
      <c r="B879" s="318">
        <v>44265</v>
      </c>
      <c r="C879" s="4" t="s">
        <v>430</v>
      </c>
      <c r="D879" s="4" t="s">
        <v>431</v>
      </c>
      <c r="E879" s="4"/>
      <c r="F879" s="4" t="s">
        <v>1493</v>
      </c>
      <c r="G879" s="5" t="s">
        <v>432</v>
      </c>
      <c r="H879" s="5" t="s">
        <v>185</v>
      </c>
      <c r="I879" s="5" t="s">
        <v>222</v>
      </c>
      <c r="J879" s="5" t="s">
        <v>9</v>
      </c>
      <c r="K879" s="5">
        <v>20</v>
      </c>
      <c r="L879" s="5" t="s">
        <v>191</v>
      </c>
      <c r="M879" s="5">
        <v>2000</v>
      </c>
      <c r="N879" s="5" t="s">
        <v>171</v>
      </c>
      <c r="O879" s="6" t="s">
        <v>81</v>
      </c>
      <c r="P879" s="6" t="s">
        <v>186</v>
      </c>
      <c r="Q879" s="6"/>
      <c r="R879" s="6"/>
      <c r="S879" s="6">
        <v>45</v>
      </c>
      <c r="T879" s="6">
        <v>17.7</v>
      </c>
      <c r="U879" s="6">
        <v>1853</v>
      </c>
      <c r="V879" s="6">
        <v>45.68</v>
      </c>
      <c r="W879" s="6">
        <v>0</v>
      </c>
      <c r="X879" s="6">
        <v>0</v>
      </c>
      <c r="Y879" s="6">
        <v>1079</v>
      </c>
      <c r="Z879" s="6">
        <v>672</v>
      </c>
      <c r="AA879" s="6">
        <v>94</v>
      </c>
      <c r="AB879" s="6">
        <v>8</v>
      </c>
      <c r="AC879" s="7">
        <v>108</v>
      </c>
      <c r="AD879" s="7" t="s">
        <v>52</v>
      </c>
      <c r="AE879" s="9">
        <v>36.407806179153503</v>
      </c>
      <c r="AF879" s="7">
        <v>144</v>
      </c>
      <c r="AG879" s="7">
        <v>29.52</v>
      </c>
      <c r="AH879" s="9">
        <v>51.090067982026497</v>
      </c>
      <c r="AI879" s="9">
        <v>52.951144324098301</v>
      </c>
      <c r="AJ879" s="9">
        <v>532.003454104806</v>
      </c>
      <c r="AK879" s="9">
        <v>533.67634978827698</v>
      </c>
      <c r="AL879" s="9">
        <v>571.73628778104603</v>
      </c>
      <c r="AM879" s="9" t="s">
        <v>169</v>
      </c>
      <c r="AN879" s="9" t="s">
        <v>169</v>
      </c>
      <c r="AO879" s="9" t="s">
        <v>169</v>
      </c>
      <c r="AP879" s="9" t="s">
        <v>169</v>
      </c>
      <c r="AQ879" s="9" t="s">
        <v>169</v>
      </c>
      <c r="AR879" s="9" t="s">
        <v>169</v>
      </c>
      <c r="AS879" s="8" t="s">
        <v>169</v>
      </c>
      <c r="AT879" s="8" t="s">
        <v>169</v>
      </c>
      <c r="AU879" s="10" t="s">
        <v>169</v>
      </c>
      <c r="AV879" s="10">
        <v>0</v>
      </c>
      <c r="AW879" s="10" t="s">
        <v>169</v>
      </c>
      <c r="AX879" s="10" t="s">
        <v>169</v>
      </c>
      <c r="AY879" s="10"/>
      <c r="AZ879" s="10"/>
      <c r="BA879" s="10"/>
      <c r="BB879" s="8"/>
      <c r="BC879" s="8"/>
      <c r="BD879" s="8"/>
      <c r="BE879" s="8"/>
      <c r="BF879" s="12">
        <v>0.38</v>
      </c>
      <c r="BG879" s="13">
        <v>378.39413312975603</v>
      </c>
      <c r="BH879" s="96" t="str">
        <f>+VLOOKUP(G879,Liste!$A$7:$G$50,3,FALSE)</f>
        <v>Sapin pectiné</v>
      </c>
      <c r="BI879" s="96" t="str">
        <f>+VLOOKUP(H879,Liste!$B$7:$G$50,5,FALSE)</f>
        <v>GS Arc Jurassien</v>
      </c>
      <c r="BJ879" s="135">
        <f t="shared" si="263"/>
        <v>108</v>
      </c>
      <c r="BK879" s="135" t="str">
        <f t="shared" si="265"/>
        <v>Sapin pectiné_F1_Cas général_GS Arc Jurassien_108_</v>
      </c>
      <c r="BL879" s="322"/>
      <c r="BM879" s="13">
        <v>93.203639526398206</v>
      </c>
      <c r="BN879" s="13">
        <v>471.59777265615401</v>
      </c>
      <c r="BO879" s="13" t="s">
        <v>169</v>
      </c>
      <c r="BP879" s="13">
        <v>359.743735612752</v>
      </c>
      <c r="BQ879" s="13" t="s">
        <v>169</v>
      </c>
      <c r="BT879" s="298" t="str">
        <f>+VLOOKUP(G879,Liste!$A$7:$H$50,8,FALSE)</f>
        <v>Résineux</v>
      </c>
      <c r="BU879" s="298">
        <f t="shared" si="266"/>
        <v>0</v>
      </c>
      <c r="BV879" s="300">
        <f t="shared" si="267"/>
        <v>1</v>
      </c>
      <c r="BW879" s="321">
        <v>0</v>
      </c>
      <c r="BX879" s="298">
        <f t="shared" si="268"/>
        <v>0.43</v>
      </c>
      <c r="BY879">
        <f t="shared" si="269"/>
        <v>0</v>
      </c>
      <c r="BZ879" s="304">
        <f t="shared" si="270"/>
        <v>0</v>
      </c>
      <c r="CB879" s="299">
        <v>0.6</v>
      </c>
      <c r="CC879" s="299">
        <v>0.4</v>
      </c>
      <c r="CD879">
        <f t="shared" si="271"/>
        <v>0</v>
      </c>
      <c r="CE879">
        <f t="shared" si="272"/>
        <v>0</v>
      </c>
      <c r="CF879">
        <f t="shared" si="273"/>
        <v>0</v>
      </c>
      <c r="CG879">
        <f t="shared" si="274"/>
        <v>0</v>
      </c>
      <c r="CH879">
        <f t="shared" si="275"/>
        <v>0</v>
      </c>
      <c r="CI879">
        <f t="shared" si="276"/>
        <v>0</v>
      </c>
      <c r="CJ879">
        <f t="shared" si="277"/>
        <v>0</v>
      </c>
      <c r="CK879">
        <f t="shared" si="278"/>
        <v>0</v>
      </c>
      <c r="CL879">
        <f t="shared" si="279"/>
        <v>0</v>
      </c>
      <c r="CM879">
        <f t="shared" si="281"/>
        <v>0</v>
      </c>
      <c r="CN879">
        <f t="shared" si="280"/>
        <v>0</v>
      </c>
      <c r="CO879">
        <f t="shared" si="264"/>
        <v>0</v>
      </c>
    </row>
    <row r="880" spans="1:93" s="12" customFormat="1" x14ac:dyDescent="0.25">
      <c r="A880" s="4">
        <v>2013</v>
      </c>
      <c r="B880" s="318">
        <v>44265</v>
      </c>
      <c r="C880" s="4" t="s">
        <v>430</v>
      </c>
      <c r="D880" s="4" t="s">
        <v>431</v>
      </c>
      <c r="E880" s="4"/>
      <c r="F880" s="4" t="s">
        <v>1493</v>
      </c>
      <c r="G880" s="5" t="s">
        <v>432</v>
      </c>
      <c r="H880" s="5" t="s">
        <v>185</v>
      </c>
      <c r="I880" s="5" t="s">
        <v>222</v>
      </c>
      <c r="J880" s="5" t="s">
        <v>9</v>
      </c>
      <c r="K880" s="5">
        <v>20</v>
      </c>
      <c r="L880" s="5" t="s">
        <v>191</v>
      </c>
      <c r="M880" s="5">
        <v>2000</v>
      </c>
      <c r="N880" s="5" t="s">
        <v>171</v>
      </c>
      <c r="O880" s="6" t="s">
        <v>81</v>
      </c>
      <c r="P880" s="6" t="s">
        <v>186</v>
      </c>
      <c r="Q880" s="6"/>
      <c r="R880" s="6"/>
      <c r="S880" s="6">
        <v>45</v>
      </c>
      <c r="T880" s="6">
        <v>17.7</v>
      </c>
      <c r="U880" s="6">
        <v>1853</v>
      </c>
      <c r="V880" s="6">
        <v>45.68</v>
      </c>
      <c r="W880" s="6">
        <v>0</v>
      </c>
      <c r="X880" s="6">
        <v>0</v>
      </c>
      <c r="Y880" s="6">
        <v>1079</v>
      </c>
      <c r="Z880" s="6">
        <v>672</v>
      </c>
      <c r="AA880" s="6">
        <v>94</v>
      </c>
      <c r="AB880" s="6">
        <v>8</v>
      </c>
      <c r="AC880" s="7">
        <v>109</v>
      </c>
      <c r="AD880" s="7" t="s">
        <v>52</v>
      </c>
      <c r="AE880" s="9">
        <v>36.572076408050201</v>
      </c>
      <c r="AF880" s="7">
        <v>144</v>
      </c>
      <c r="AG880" s="7">
        <v>30.02</v>
      </c>
      <c r="AH880" s="9">
        <v>51.523117455254599</v>
      </c>
      <c r="AI880" s="9">
        <v>53.3910121859127</v>
      </c>
      <c r="AJ880" s="9">
        <v>543.73679161224197</v>
      </c>
      <c r="AK880" s="9">
        <v>545.43436333238003</v>
      </c>
      <c r="AL880" s="9">
        <v>583.84841969864397</v>
      </c>
      <c r="AM880" s="9" t="s">
        <v>169</v>
      </c>
      <c r="AN880" s="9" t="s">
        <v>169</v>
      </c>
      <c r="AO880" s="9" t="s">
        <v>169</v>
      </c>
      <c r="AP880" s="9" t="s">
        <v>169</v>
      </c>
      <c r="AQ880" s="9" t="s">
        <v>169</v>
      </c>
      <c r="AR880" s="9" t="s">
        <v>169</v>
      </c>
      <c r="AS880" s="8" t="s">
        <v>169</v>
      </c>
      <c r="AT880" s="8" t="s">
        <v>169</v>
      </c>
      <c r="AU880" s="10" t="s">
        <v>169</v>
      </c>
      <c r="AV880" s="10">
        <v>0</v>
      </c>
      <c r="AW880" s="10" t="s">
        <v>169</v>
      </c>
      <c r="AX880" s="10" t="s">
        <v>169</v>
      </c>
      <c r="AY880" s="10"/>
      <c r="AZ880" s="10"/>
      <c r="BA880" s="10"/>
      <c r="BB880" s="8"/>
      <c r="BC880" s="8"/>
      <c r="BD880" s="8"/>
      <c r="BE880" s="8"/>
      <c r="BF880" s="12">
        <v>0.38</v>
      </c>
      <c r="BG880" s="13">
        <v>386.410345770552</v>
      </c>
      <c r="BH880" s="96" t="str">
        <f>+VLOOKUP(G880,Liste!$A$7:$G$50,3,FALSE)</f>
        <v>Sapin pectiné</v>
      </c>
      <c r="BI880" s="96" t="str">
        <f>+VLOOKUP(H880,Liste!$B$7:$G$50,5,FALSE)</f>
        <v>GS Arc Jurassien</v>
      </c>
      <c r="BJ880" s="135">
        <f t="shared" si="263"/>
        <v>109</v>
      </c>
      <c r="BK880" s="135" t="str">
        <f t="shared" si="265"/>
        <v>Sapin pectiné_F1_Cas général_GS Arc Jurassien_109_</v>
      </c>
      <c r="BL880" s="322"/>
      <c r="BM880" s="13">
        <v>94.942224833456095</v>
      </c>
      <c r="BN880" s="13">
        <v>481.35257060400801</v>
      </c>
      <c r="BO880" s="13" t="s">
        <v>169</v>
      </c>
      <c r="BP880" s="13">
        <v>359.743735612752</v>
      </c>
      <c r="BQ880" s="13" t="s">
        <v>169</v>
      </c>
      <c r="BT880" s="298" t="str">
        <f>+VLOOKUP(G880,Liste!$A$7:$H$50,8,FALSE)</f>
        <v>Résineux</v>
      </c>
      <c r="BU880" s="298">
        <f t="shared" si="266"/>
        <v>0</v>
      </c>
      <c r="BV880" s="300">
        <f t="shared" si="267"/>
        <v>1</v>
      </c>
      <c r="BW880" s="321">
        <v>0</v>
      </c>
      <c r="BX880" s="298">
        <f t="shared" si="268"/>
        <v>0.43</v>
      </c>
      <c r="BY880">
        <f t="shared" si="269"/>
        <v>0</v>
      </c>
      <c r="BZ880" s="304">
        <f t="shared" si="270"/>
        <v>0</v>
      </c>
      <c r="CB880" s="299">
        <v>0.6</v>
      </c>
      <c r="CC880" s="299">
        <v>0.4</v>
      </c>
      <c r="CD880">
        <f t="shared" si="271"/>
        <v>0</v>
      </c>
      <c r="CE880">
        <f t="shared" si="272"/>
        <v>0</v>
      </c>
      <c r="CF880">
        <f t="shared" si="273"/>
        <v>0</v>
      </c>
      <c r="CG880">
        <f t="shared" si="274"/>
        <v>0</v>
      </c>
      <c r="CH880">
        <f t="shared" si="275"/>
        <v>0</v>
      </c>
      <c r="CI880">
        <f t="shared" si="276"/>
        <v>0</v>
      </c>
      <c r="CJ880">
        <f t="shared" si="277"/>
        <v>0</v>
      </c>
      <c r="CK880">
        <f t="shared" si="278"/>
        <v>0</v>
      </c>
      <c r="CL880">
        <f t="shared" si="279"/>
        <v>0</v>
      </c>
      <c r="CM880">
        <f t="shared" si="281"/>
        <v>0</v>
      </c>
      <c r="CN880">
        <f t="shared" si="280"/>
        <v>0</v>
      </c>
      <c r="CO880">
        <f t="shared" si="264"/>
        <v>0</v>
      </c>
    </row>
    <row r="881" spans="1:93" s="12" customFormat="1" x14ac:dyDescent="0.25">
      <c r="A881" s="4">
        <v>2013</v>
      </c>
      <c r="B881" s="318">
        <v>44265</v>
      </c>
      <c r="C881" s="4" t="s">
        <v>430</v>
      </c>
      <c r="D881" s="4" t="s">
        <v>431</v>
      </c>
      <c r="E881" s="4"/>
      <c r="F881" s="4" t="s">
        <v>1493</v>
      </c>
      <c r="G881" s="5" t="s">
        <v>432</v>
      </c>
      <c r="H881" s="5" t="s">
        <v>185</v>
      </c>
      <c r="I881" s="5" t="s">
        <v>222</v>
      </c>
      <c r="J881" s="5" t="s">
        <v>9</v>
      </c>
      <c r="K881" s="5">
        <v>20</v>
      </c>
      <c r="L881" s="5" t="s">
        <v>191</v>
      </c>
      <c r="M881" s="5">
        <v>2000</v>
      </c>
      <c r="N881" s="5" t="s">
        <v>171</v>
      </c>
      <c r="O881" s="6" t="s">
        <v>81</v>
      </c>
      <c r="P881" s="6" t="s">
        <v>186</v>
      </c>
      <c r="Q881" s="6"/>
      <c r="R881" s="6"/>
      <c r="S881" s="6">
        <v>45</v>
      </c>
      <c r="T881" s="6">
        <v>17.7</v>
      </c>
      <c r="U881" s="6">
        <v>1853</v>
      </c>
      <c r="V881" s="6">
        <v>45.68</v>
      </c>
      <c r="W881" s="6">
        <v>0</v>
      </c>
      <c r="X881" s="6">
        <v>0</v>
      </c>
      <c r="Y881" s="6">
        <v>1079</v>
      </c>
      <c r="Z881" s="6">
        <v>672</v>
      </c>
      <c r="AA881" s="6">
        <v>94</v>
      </c>
      <c r="AB881" s="6">
        <v>8</v>
      </c>
      <c r="AC881" s="7">
        <v>110</v>
      </c>
      <c r="AD881" s="7" t="s">
        <v>52</v>
      </c>
      <c r="AE881" s="9">
        <v>36.733923987113101</v>
      </c>
      <c r="AF881" s="7">
        <v>144</v>
      </c>
      <c r="AG881" s="7">
        <v>30.52</v>
      </c>
      <c r="AH881" s="9">
        <v>51.947884258203104</v>
      </c>
      <c r="AI881" s="9">
        <v>53.822366079070299</v>
      </c>
      <c r="AJ881" s="9">
        <v>555.47012911967897</v>
      </c>
      <c r="AK881" s="9">
        <v>557.19237687648399</v>
      </c>
      <c r="AL881" s="9">
        <v>595.96055161624099</v>
      </c>
      <c r="AM881" s="9" t="s">
        <v>169</v>
      </c>
      <c r="AN881" s="9" t="s">
        <v>169</v>
      </c>
      <c r="AO881" s="9" t="s">
        <v>169</v>
      </c>
      <c r="AP881" s="9" t="s">
        <v>169</v>
      </c>
      <c r="AQ881" s="9" t="s">
        <v>169</v>
      </c>
      <c r="AR881" s="9" t="s">
        <v>169</v>
      </c>
      <c r="AS881" s="8" t="s">
        <v>169</v>
      </c>
      <c r="AT881" s="8" t="s">
        <v>169</v>
      </c>
      <c r="AU881" s="10" t="s">
        <v>169</v>
      </c>
      <c r="AV881" s="10">
        <v>0</v>
      </c>
      <c r="AW881" s="10" t="s">
        <v>169</v>
      </c>
      <c r="AX881" s="10" t="s">
        <v>169</v>
      </c>
      <c r="AY881" s="10"/>
      <c r="AZ881" s="10"/>
      <c r="BA881" s="10"/>
      <c r="BB881" s="8"/>
      <c r="BC881" s="8"/>
      <c r="BD881" s="8"/>
      <c r="BE881" s="8"/>
      <c r="BF881" s="12">
        <v>0.38</v>
      </c>
      <c r="BG881" s="13">
        <v>394.42655841134899</v>
      </c>
      <c r="BH881" s="96" t="str">
        <f>+VLOOKUP(G881,Liste!$A$7:$G$50,3,FALSE)</f>
        <v>Sapin pectiné</v>
      </c>
      <c r="BI881" s="96" t="str">
        <f>+VLOOKUP(H881,Liste!$B$7:$G$50,5,FALSE)</f>
        <v>GS Arc Jurassien</v>
      </c>
      <c r="BJ881" s="135">
        <f t="shared" si="263"/>
        <v>110</v>
      </c>
      <c r="BK881" s="135" t="str">
        <f t="shared" si="265"/>
        <v>Sapin pectiné_F1_Cas général_GS Arc Jurassien_110_</v>
      </c>
      <c r="BL881" s="322"/>
      <c r="BM881" s="13">
        <v>96.680810140513998</v>
      </c>
      <c r="BN881" s="13">
        <v>491.10736855186298</v>
      </c>
      <c r="BO881" s="13" t="s">
        <v>169</v>
      </c>
      <c r="BP881" s="13">
        <v>359.743735612752</v>
      </c>
      <c r="BQ881" s="13" t="s">
        <v>169</v>
      </c>
      <c r="BT881" s="298" t="str">
        <f>+VLOOKUP(G881,Liste!$A$7:$H$50,8,FALSE)</f>
        <v>Résineux</v>
      </c>
      <c r="BU881" s="298">
        <f t="shared" si="266"/>
        <v>0</v>
      </c>
      <c r="BV881" s="300">
        <f t="shared" si="267"/>
        <v>1</v>
      </c>
      <c r="BW881" s="321">
        <v>0</v>
      </c>
      <c r="BX881" s="298">
        <f t="shared" si="268"/>
        <v>0.43</v>
      </c>
      <c r="BY881">
        <f t="shared" si="269"/>
        <v>0</v>
      </c>
      <c r="BZ881" s="304">
        <f t="shared" si="270"/>
        <v>0</v>
      </c>
      <c r="CB881" s="299">
        <v>0.6</v>
      </c>
      <c r="CC881" s="299">
        <v>0.4</v>
      </c>
      <c r="CD881">
        <f t="shared" si="271"/>
        <v>0</v>
      </c>
      <c r="CE881">
        <f t="shared" si="272"/>
        <v>0</v>
      </c>
      <c r="CF881">
        <f t="shared" si="273"/>
        <v>0</v>
      </c>
      <c r="CG881">
        <f t="shared" si="274"/>
        <v>0</v>
      </c>
      <c r="CH881">
        <f t="shared" si="275"/>
        <v>0</v>
      </c>
      <c r="CI881">
        <f t="shared" si="276"/>
        <v>0</v>
      </c>
      <c r="CJ881">
        <f t="shared" si="277"/>
        <v>0</v>
      </c>
      <c r="CK881">
        <f t="shared" si="278"/>
        <v>0</v>
      </c>
      <c r="CL881">
        <f t="shared" si="279"/>
        <v>0</v>
      </c>
      <c r="CM881">
        <f t="shared" si="281"/>
        <v>0</v>
      </c>
      <c r="CN881">
        <f t="shared" si="280"/>
        <v>0</v>
      </c>
      <c r="CO881">
        <f t="shared" si="264"/>
        <v>0</v>
      </c>
    </row>
    <row r="882" spans="1:93" s="12" customFormat="1" x14ac:dyDescent="0.25">
      <c r="A882" s="4">
        <v>2013</v>
      </c>
      <c r="B882" s="318">
        <v>44265</v>
      </c>
      <c r="C882" s="4" t="s">
        <v>430</v>
      </c>
      <c r="D882" s="4" t="s">
        <v>431</v>
      </c>
      <c r="E882" s="4"/>
      <c r="F882" s="4" t="s">
        <v>1493</v>
      </c>
      <c r="G882" s="5" t="s">
        <v>432</v>
      </c>
      <c r="H882" s="5" t="s">
        <v>185</v>
      </c>
      <c r="I882" s="5" t="s">
        <v>222</v>
      </c>
      <c r="J882" s="5" t="s">
        <v>9</v>
      </c>
      <c r="K882" s="5">
        <v>20</v>
      </c>
      <c r="L882" s="5" t="s">
        <v>191</v>
      </c>
      <c r="M882" s="5">
        <v>2000</v>
      </c>
      <c r="N882" s="5" t="s">
        <v>171</v>
      </c>
      <c r="O882" s="6" t="s">
        <v>81</v>
      </c>
      <c r="P882" s="6" t="s">
        <v>186</v>
      </c>
      <c r="Q882" s="6"/>
      <c r="R882" s="6"/>
      <c r="S882" s="6">
        <v>45</v>
      </c>
      <c r="T882" s="6">
        <v>17.7</v>
      </c>
      <c r="U882" s="6">
        <v>1853</v>
      </c>
      <c r="V882" s="6">
        <v>45.68</v>
      </c>
      <c r="W882" s="6">
        <v>0</v>
      </c>
      <c r="X882" s="6">
        <v>0</v>
      </c>
      <c r="Y882" s="6">
        <v>1079</v>
      </c>
      <c r="Z882" s="6">
        <v>672</v>
      </c>
      <c r="AA882" s="6">
        <v>94</v>
      </c>
      <c r="AB882" s="6">
        <v>8</v>
      </c>
      <c r="AC882" s="7">
        <v>111</v>
      </c>
      <c r="AD882" s="7" t="s">
        <v>52</v>
      </c>
      <c r="AE882" s="9">
        <v>36.893398767025403</v>
      </c>
      <c r="AF882" s="7">
        <v>144</v>
      </c>
      <c r="AG882" s="7">
        <v>31.01</v>
      </c>
      <c r="AH882" s="9">
        <v>52.3646132547603</v>
      </c>
      <c r="AI882" s="9">
        <v>54.245462562443102</v>
      </c>
      <c r="AJ882" s="9">
        <v>567.20346662711495</v>
      </c>
      <c r="AK882" s="9">
        <v>568.95039042058704</v>
      </c>
      <c r="AL882" s="9">
        <v>608.07268353383802</v>
      </c>
      <c r="AM882" s="9" t="s">
        <v>169</v>
      </c>
      <c r="AN882" s="9" t="s">
        <v>169</v>
      </c>
      <c r="AO882" s="9" t="s">
        <v>169</v>
      </c>
      <c r="AP882" s="9" t="s">
        <v>169</v>
      </c>
      <c r="AQ882" s="9" t="s">
        <v>169</v>
      </c>
      <c r="AR882" s="9" t="s">
        <v>169</v>
      </c>
      <c r="AS882" s="8" t="s">
        <v>169</v>
      </c>
      <c r="AT882" s="8" t="s">
        <v>169</v>
      </c>
      <c r="AU882" s="10" t="s">
        <v>169</v>
      </c>
      <c r="AV882" s="10">
        <v>0</v>
      </c>
      <c r="AW882" s="10" t="s">
        <v>169</v>
      </c>
      <c r="AX882" s="10" t="s">
        <v>169</v>
      </c>
      <c r="AY882" s="10"/>
      <c r="AZ882" s="10"/>
      <c r="BA882" s="10"/>
      <c r="BB882" s="8"/>
      <c r="BC882" s="8"/>
      <c r="BD882" s="8"/>
      <c r="BE882" s="8"/>
      <c r="BF882" s="12">
        <v>0.38</v>
      </c>
      <c r="BG882" s="13">
        <v>402.44277105214502</v>
      </c>
      <c r="BH882" s="96" t="str">
        <f>+VLOOKUP(G882,Liste!$A$7:$G$50,3,FALSE)</f>
        <v>Sapin pectiné</v>
      </c>
      <c r="BI882" s="96" t="str">
        <f>+VLOOKUP(H882,Liste!$B$7:$G$50,5,FALSE)</f>
        <v>GS Arc Jurassien</v>
      </c>
      <c r="BJ882" s="135">
        <f t="shared" si="263"/>
        <v>111</v>
      </c>
      <c r="BK882" s="135" t="str">
        <f t="shared" si="265"/>
        <v>Sapin pectiné_F1_Cas général_GS Arc Jurassien_111_</v>
      </c>
      <c r="BL882" s="322"/>
      <c r="BM882" s="13">
        <v>98.419395447571901</v>
      </c>
      <c r="BN882" s="13">
        <v>500.86216649971698</v>
      </c>
      <c r="BO882" s="13" t="s">
        <v>169</v>
      </c>
      <c r="BP882" s="13">
        <v>359.743735612752</v>
      </c>
      <c r="BQ882" s="13" t="s">
        <v>169</v>
      </c>
      <c r="BT882" s="298" t="str">
        <f>+VLOOKUP(G882,Liste!$A$7:$H$50,8,FALSE)</f>
        <v>Résineux</v>
      </c>
      <c r="BU882" s="298">
        <f t="shared" si="266"/>
        <v>0</v>
      </c>
      <c r="BV882" s="300">
        <f t="shared" si="267"/>
        <v>1</v>
      </c>
      <c r="BW882" s="321">
        <v>0</v>
      </c>
      <c r="BX882" s="298">
        <f t="shared" si="268"/>
        <v>0.43</v>
      </c>
      <c r="BY882">
        <f t="shared" si="269"/>
        <v>0</v>
      </c>
      <c r="BZ882" s="304">
        <f t="shared" si="270"/>
        <v>0</v>
      </c>
      <c r="CB882" s="299">
        <v>0.6</v>
      </c>
      <c r="CC882" s="299">
        <v>0.4</v>
      </c>
      <c r="CD882">
        <f t="shared" si="271"/>
        <v>0</v>
      </c>
      <c r="CE882">
        <f t="shared" si="272"/>
        <v>0</v>
      </c>
      <c r="CF882">
        <f t="shared" si="273"/>
        <v>0</v>
      </c>
      <c r="CG882">
        <f t="shared" si="274"/>
        <v>0</v>
      </c>
      <c r="CH882">
        <f t="shared" si="275"/>
        <v>0</v>
      </c>
      <c r="CI882">
        <f t="shared" si="276"/>
        <v>0</v>
      </c>
      <c r="CJ882">
        <f t="shared" si="277"/>
        <v>0</v>
      </c>
      <c r="CK882">
        <f t="shared" si="278"/>
        <v>0</v>
      </c>
      <c r="CL882">
        <f t="shared" si="279"/>
        <v>0</v>
      </c>
      <c r="CM882">
        <f t="shared" si="281"/>
        <v>0</v>
      </c>
      <c r="CN882">
        <f t="shared" si="280"/>
        <v>0</v>
      </c>
      <c r="CO882">
        <f t="shared" si="264"/>
        <v>0</v>
      </c>
    </row>
    <row r="883" spans="1:93" s="12" customFormat="1" x14ac:dyDescent="0.25">
      <c r="A883" s="4">
        <v>2013</v>
      </c>
      <c r="B883" s="318">
        <v>44265</v>
      </c>
      <c r="C883" s="4" t="s">
        <v>430</v>
      </c>
      <c r="D883" s="4" t="s">
        <v>431</v>
      </c>
      <c r="E883" s="4"/>
      <c r="F883" s="4" t="s">
        <v>1493</v>
      </c>
      <c r="G883" s="5" t="s">
        <v>432</v>
      </c>
      <c r="H883" s="5" t="s">
        <v>185</v>
      </c>
      <c r="I883" s="5" t="s">
        <v>222</v>
      </c>
      <c r="J883" s="5" t="s">
        <v>9</v>
      </c>
      <c r="K883" s="5">
        <v>20</v>
      </c>
      <c r="L883" s="5" t="s">
        <v>191</v>
      </c>
      <c r="M883" s="5">
        <v>2000</v>
      </c>
      <c r="N883" s="5" t="s">
        <v>171</v>
      </c>
      <c r="O883" s="6" t="s">
        <v>81</v>
      </c>
      <c r="P883" s="6" t="s">
        <v>186</v>
      </c>
      <c r="Q883" s="6"/>
      <c r="R883" s="6"/>
      <c r="S883" s="6">
        <v>45</v>
      </c>
      <c r="T883" s="6">
        <v>17.7</v>
      </c>
      <c r="U883" s="6">
        <v>1853</v>
      </c>
      <c r="V883" s="6">
        <v>45.68</v>
      </c>
      <c r="W883" s="6">
        <v>0</v>
      </c>
      <c r="X883" s="6">
        <v>0</v>
      </c>
      <c r="Y883" s="6">
        <v>1079</v>
      </c>
      <c r="Z883" s="6">
        <v>672</v>
      </c>
      <c r="AA883" s="6">
        <v>94</v>
      </c>
      <c r="AB883" s="6">
        <v>8</v>
      </c>
      <c r="AC883" s="7">
        <v>112</v>
      </c>
      <c r="AD883" s="7" t="s">
        <v>52</v>
      </c>
      <c r="AE883" s="9">
        <v>37.0505493352549</v>
      </c>
      <c r="AF883" s="7">
        <v>144</v>
      </c>
      <c r="AG883" s="7">
        <v>31.5</v>
      </c>
      <c r="AH883" s="9">
        <v>52.773539551216501</v>
      </c>
      <c r="AI883" s="9">
        <v>54.660547615015801</v>
      </c>
      <c r="AJ883" s="9">
        <v>578.93680413455104</v>
      </c>
      <c r="AK883" s="9">
        <v>580.70840396468998</v>
      </c>
      <c r="AL883" s="9">
        <v>620.18481545143595</v>
      </c>
      <c r="AM883" s="9">
        <v>108.33240036017401</v>
      </c>
      <c r="AN883" s="9">
        <v>0.96725357464441197</v>
      </c>
      <c r="AO883" s="9">
        <v>0.47305667482812602</v>
      </c>
      <c r="AP883" s="9">
        <v>1685.90768617309</v>
      </c>
      <c r="AQ883" s="9">
        <v>15.052747197974</v>
      </c>
      <c r="AR883" s="9">
        <v>11.659676953885</v>
      </c>
      <c r="AS883" s="8" t="s">
        <v>169</v>
      </c>
      <c r="AT883" s="8" t="s">
        <v>169</v>
      </c>
      <c r="AU883" s="10" t="s">
        <v>169</v>
      </c>
      <c r="AV883" s="10">
        <v>0</v>
      </c>
      <c r="AW883" s="10" t="s">
        <v>169</v>
      </c>
      <c r="AX883" s="10" t="s">
        <v>169</v>
      </c>
      <c r="AY883" s="10"/>
      <c r="AZ883" s="10"/>
      <c r="BA883" s="10"/>
      <c r="BB883" s="8"/>
      <c r="BC883" s="8"/>
      <c r="BD883" s="8"/>
      <c r="BE883" s="8"/>
      <c r="BF883" s="12">
        <v>0.38</v>
      </c>
      <c r="BG883" s="13">
        <v>410.45898369294201</v>
      </c>
      <c r="BH883" s="96" t="str">
        <f>+VLOOKUP(G883,Liste!$A$7:$G$50,3,FALSE)</f>
        <v>Sapin pectiné</v>
      </c>
      <c r="BI883" s="96" t="str">
        <f>+VLOOKUP(H883,Liste!$B$7:$G$50,5,FALSE)</f>
        <v>GS Arc Jurassien</v>
      </c>
      <c r="BJ883" s="135">
        <f t="shared" si="263"/>
        <v>112</v>
      </c>
      <c r="BK883" s="135" t="str">
        <f t="shared" si="265"/>
        <v>Sapin pectiné_F1_Cas général_GS Arc Jurassien_112_</v>
      </c>
      <c r="BL883" s="322"/>
      <c r="BM883" s="13">
        <v>100.15798075463</v>
      </c>
      <c r="BN883" s="13">
        <v>510.616964447572</v>
      </c>
      <c r="BO883" s="13" t="s">
        <v>169</v>
      </c>
      <c r="BP883" s="13">
        <v>359.743735612752</v>
      </c>
      <c r="BQ883" s="13">
        <v>9.1953944372819993</v>
      </c>
      <c r="BT883" s="298" t="str">
        <f>+VLOOKUP(G883,Liste!$A$7:$H$50,8,FALSE)</f>
        <v>Résineux</v>
      </c>
      <c r="BU883" s="298">
        <f t="shared" si="266"/>
        <v>0</v>
      </c>
      <c r="BV883" s="300">
        <f t="shared" si="267"/>
        <v>1</v>
      </c>
      <c r="BW883" s="321">
        <v>0</v>
      </c>
      <c r="BX883" s="298">
        <f t="shared" si="268"/>
        <v>0.43</v>
      </c>
      <c r="BY883">
        <f t="shared" si="269"/>
        <v>0</v>
      </c>
      <c r="BZ883" s="304">
        <f t="shared" si="270"/>
        <v>0</v>
      </c>
      <c r="CB883" s="299">
        <v>0.6</v>
      </c>
      <c r="CC883" s="299">
        <v>0.4</v>
      </c>
      <c r="CD883">
        <f t="shared" si="271"/>
        <v>0</v>
      </c>
      <c r="CE883">
        <f t="shared" si="272"/>
        <v>0</v>
      </c>
      <c r="CF883">
        <f t="shared" si="273"/>
        <v>0</v>
      </c>
      <c r="CG883">
        <f t="shared" si="274"/>
        <v>0</v>
      </c>
      <c r="CH883">
        <f t="shared" si="275"/>
        <v>0</v>
      </c>
      <c r="CI883">
        <f t="shared" si="276"/>
        <v>0</v>
      </c>
      <c r="CJ883">
        <f t="shared" si="277"/>
        <v>0</v>
      </c>
      <c r="CK883">
        <f t="shared" si="278"/>
        <v>0</v>
      </c>
      <c r="CL883">
        <f t="shared" si="279"/>
        <v>0</v>
      </c>
      <c r="CM883">
        <f t="shared" si="281"/>
        <v>0</v>
      </c>
      <c r="CN883">
        <f t="shared" si="280"/>
        <v>0</v>
      </c>
      <c r="CO883">
        <f t="shared" si="264"/>
        <v>0</v>
      </c>
    </row>
    <row r="884" spans="1:93" s="12" customFormat="1" x14ac:dyDescent="0.25">
      <c r="A884" s="4">
        <v>2013</v>
      </c>
      <c r="B884" s="318">
        <v>44265</v>
      </c>
      <c r="C884" s="4" t="s">
        <v>430</v>
      </c>
      <c r="D884" s="4" t="s">
        <v>431</v>
      </c>
      <c r="E884" s="4"/>
      <c r="F884" s="4" t="s">
        <v>1493</v>
      </c>
      <c r="G884" s="5" t="s">
        <v>432</v>
      </c>
      <c r="H884" s="5" t="s">
        <v>185</v>
      </c>
      <c r="I884" s="5" t="s">
        <v>222</v>
      </c>
      <c r="J884" s="5" t="s">
        <v>9</v>
      </c>
      <c r="K884" s="5">
        <v>20</v>
      </c>
      <c r="L884" s="5" t="s">
        <v>191</v>
      </c>
      <c r="M884" s="5">
        <v>2000</v>
      </c>
      <c r="N884" s="5" t="s">
        <v>171</v>
      </c>
      <c r="O884" s="6" t="s">
        <v>81</v>
      </c>
      <c r="P884" s="6" t="s">
        <v>186</v>
      </c>
      <c r="Q884" s="6"/>
      <c r="R884" s="6"/>
      <c r="S884" s="6">
        <v>45</v>
      </c>
      <c r="T884" s="6">
        <v>17.7</v>
      </c>
      <c r="U884" s="6">
        <v>1853</v>
      </c>
      <c r="V884" s="6">
        <v>45.68</v>
      </c>
      <c r="W884" s="6">
        <v>0</v>
      </c>
      <c r="X884" s="6">
        <v>0</v>
      </c>
      <c r="Y884" s="6">
        <v>1079</v>
      </c>
      <c r="Z884" s="6">
        <v>672</v>
      </c>
      <c r="AA884" s="6">
        <v>94</v>
      </c>
      <c r="AB884" s="6">
        <v>8</v>
      </c>
      <c r="AC884" s="7">
        <v>113</v>
      </c>
      <c r="AD884" s="7" t="s">
        <v>52</v>
      </c>
      <c r="AE884" s="9">
        <v>37.205423051784202</v>
      </c>
      <c r="AF884" s="7">
        <v>144</v>
      </c>
      <c r="AG884" s="7">
        <v>31.98</v>
      </c>
      <c r="AH884" s="9">
        <v>53.174888448423999</v>
      </c>
      <c r="AI884" s="9">
        <v>55.067856636437703</v>
      </c>
      <c r="AJ884" s="9">
        <v>590.26127190861598</v>
      </c>
      <c r="AK884" s="9">
        <v>592.05517257854694</v>
      </c>
      <c r="AL884" s="9">
        <v>631.84449240532103</v>
      </c>
      <c r="AM884" s="9" t="s">
        <v>169</v>
      </c>
      <c r="AN884" s="9" t="s">
        <v>169</v>
      </c>
      <c r="AO884" s="9" t="s">
        <v>169</v>
      </c>
      <c r="AP884" s="9" t="s">
        <v>169</v>
      </c>
      <c r="AQ884" s="9" t="s">
        <v>169</v>
      </c>
      <c r="AR884" s="9" t="s">
        <v>169</v>
      </c>
      <c r="AS884" s="8" t="s">
        <v>169</v>
      </c>
      <c r="AT884" s="8" t="s">
        <v>169</v>
      </c>
      <c r="AU884" s="10" t="s">
        <v>169</v>
      </c>
      <c r="AV884" s="10">
        <v>0</v>
      </c>
      <c r="AW884" s="10" t="s">
        <v>169</v>
      </c>
      <c r="AX884" s="10" t="s">
        <v>169</v>
      </c>
      <c r="AY884" s="10"/>
      <c r="AZ884" s="10"/>
      <c r="BA884" s="10"/>
      <c r="BB884" s="8"/>
      <c r="BC884" s="8"/>
      <c r="BD884" s="8"/>
      <c r="BE884" s="8"/>
      <c r="BF884" s="12">
        <v>0.38</v>
      </c>
      <c r="BG884" s="13">
        <v>418.17574655692101</v>
      </c>
      <c r="BH884" s="96" t="str">
        <f>+VLOOKUP(G884,Liste!$A$7:$G$50,3,FALSE)</f>
        <v>Sapin pectiné</v>
      </c>
      <c r="BI884" s="96" t="str">
        <f>+VLOOKUP(H884,Liste!$B$7:$G$50,5,FALSE)</f>
        <v>GS Arc Jurassien</v>
      </c>
      <c r="BJ884" s="135">
        <f t="shared" si="263"/>
        <v>113</v>
      </c>
      <c r="BK884" s="135" t="str">
        <f t="shared" si="265"/>
        <v>Sapin pectiné_F1_Cas général_GS Arc Jurassien_113_</v>
      </c>
      <c r="BL884" s="322"/>
      <c r="BM884" s="13">
        <v>101.814715934158</v>
      </c>
      <c r="BN884" s="13">
        <v>519.99046249108005</v>
      </c>
      <c r="BO884" s="13" t="s">
        <v>169</v>
      </c>
      <c r="BP884" s="13">
        <v>359.743735612752</v>
      </c>
      <c r="BQ884" s="13" t="s">
        <v>169</v>
      </c>
      <c r="BT884" s="298" t="str">
        <f>+VLOOKUP(G884,Liste!$A$7:$H$50,8,FALSE)</f>
        <v>Résineux</v>
      </c>
      <c r="BU884" s="298">
        <f t="shared" si="266"/>
        <v>0</v>
      </c>
      <c r="BV884" s="300">
        <f t="shared" si="267"/>
        <v>1</v>
      </c>
      <c r="BW884" s="321">
        <v>0</v>
      </c>
      <c r="BX884" s="298">
        <f t="shared" si="268"/>
        <v>0.43</v>
      </c>
      <c r="BY884">
        <f t="shared" si="269"/>
        <v>0</v>
      </c>
      <c r="BZ884" s="304">
        <f t="shared" si="270"/>
        <v>0</v>
      </c>
      <c r="CB884" s="299">
        <v>0.6</v>
      </c>
      <c r="CC884" s="299">
        <v>0.4</v>
      </c>
      <c r="CD884">
        <f t="shared" si="271"/>
        <v>0</v>
      </c>
      <c r="CE884">
        <f t="shared" si="272"/>
        <v>0</v>
      </c>
      <c r="CF884">
        <f t="shared" si="273"/>
        <v>0</v>
      </c>
      <c r="CG884">
        <f t="shared" si="274"/>
        <v>0</v>
      </c>
      <c r="CH884">
        <f t="shared" si="275"/>
        <v>0</v>
      </c>
      <c r="CI884">
        <f t="shared" si="276"/>
        <v>0</v>
      </c>
      <c r="CJ884">
        <f t="shared" si="277"/>
        <v>0</v>
      </c>
      <c r="CK884">
        <f t="shared" si="278"/>
        <v>0</v>
      </c>
      <c r="CL884">
        <f t="shared" si="279"/>
        <v>0</v>
      </c>
      <c r="CM884">
        <f t="shared" si="281"/>
        <v>0</v>
      </c>
      <c r="CN884">
        <f t="shared" si="280"/>
        <v>0</v>
      </c>
      <c r="CO884">
        <f t="shared" si="264"/>
        <v>0</v>
      </c>
    </row>
    <row r="885" spans="1:93" s="12" customFormat="1" x14ac:dyDescent="0.25">
      <c r="A885" s="4">
        <v>2013</v>
      </c>
      <c r="B885" s="318">
        <v>44265</v>
      </c>
      <c r="C885" s="4" t="s">
        <v>430</v>
      </c>
      <c r="D885" s="4" t="s">
        <v>431</v>
      </c>
      <c r="E885" s="4"/>
      <c r="F885" s="4" t="s">
        <v>1493</v>
      </c>
      <c r="G885" s="5" t="s">
        <v>432</v>
      </c>
      <c r="H885" s="5" t="s">
        <v>185</v>
      </c>
      <c r="I885" s="5" t="s">
        <v>222</v>
      </c>
      <c r="J885" s="5" t="s">
        <v>9</v>
      </c>
      <c r="K885" s="5">
        <v>20</v>
      </c>
      <c r="L885" s="5" t="s">
        <v>191</v>
      </c>
      <c r="M885" s="5">
        <v>2000</v>
      </c>
      <c r="N885" s="5" t="s">
        <v>171</v>
      </c>
      <c r="O885" s="6" t="s">
        <v>81</v>
      </c>
      <c r="P885" s="6" t="s">
        <v>186</v>
      </c>
      <c r="Q885" s="6"/>
      <c r="R885" s="6"/>
      <c r="S885" s="6">
        <v>45</v>
      </c>
      <c r="T885" s="6">
        <v>17.7</v>
      </c>
      <c r="U885" s="6">
        <v>1853</v>
      </c>
      <c r="V885" s="6">
        <v>45.68</v>
      </c>
      <c r="W885" s="6">
        <v>0</v>
      </c>
      <c r="X885" s="6">
        <v>0</v>
      </c>
      <c r="Y885" s="6">
        <v>1079</v>
      </c>
      <c r="Z885" s="6">
        <v>672</v>
      </c>
      <c r="AA885" s="6">
        <v>94</v>
      </c>
      <c r="AB885" s="6">
        <v>8</v>
      </c>
      <c r="AC885" s="7">
        <v>114</v>
      </c>
      <c r="AD885" s="7" t="s">
        <v>52</v>
      </c>
      <c r="AE885" s="9">
        <v>37.358066083862603</v>
      </c>
      <c r="AF885" s="7">
        <v>144</v>
      </c>
      <c r="AG885" s="7">
        <v>32.450000000000003</v>
      </c>
      <c r="AH885" s="9">
        <v>53.568875827331802</v>
      </c>
      <c r="AI885" s="9">
        <v>55.467614829647097</v>
      </c>
      <c r="AJ885" s="9">
        <v>601.58573968268104</v>
      </c>
      <c r="AK885" s="9">
        <v>603.401941192403</v>
      </c>
      <c r="AL885" s="9">
        <v>643.504169359206</v>
      </c>
      <c r="AM885" s="9" t="s">
        <v>169</v>
      </c>
      <c r="AN885" s="9" t="s">
        <v>169</v>
      </c>
      <c r="AO885" s="9" t="s">
        <v>169</v>
      </c>
      <c r="AP885" s="9" t="s">
        <v>169</v>
      </c>
      <c r="AQ885" s="9" t="s">
        <v>169</v>
      </c>
      <c r="AR885" s="9" t="s">
        <v>169</v>
      </c>
      <c r="AS885" s="8" t="s">
        <v>169</v>
      </c>
      <c r="AT885" s="8" t="s">
        <v>169</v>
      </c>
      <c r="AU885" s="10" t="s">
        <v>169</v>
      </c>
      <c r="AV885" s="10">
        <v>0</v>
      </c>
      <c r="AW885" s="10" t="s">
        <v>169</v>
      </c>
      <c r="AX885" s="10" t="s">
        <v>169</v>
      </c>
      <c r="AY885" s="10"/>
      <c r="AZ885" s="10"/>
      <c r="BA885" s="10"/>
      <c r="BB885" s="8"/>
      <c r="BC885" s="8"/>
      <c r="BD885" s="8"/>
      <c r="BE885" s="8"/>
      <c r="BF885" s="12">
        <v>0.38</v>
      </c>
      <c r="BG885" s="13">
        <v>425.89250942090098</v>
      </c>
      <c r="BH885" s="96" t="str">
        <f>+VLOOKUP(G885,Liste!$A$7:$G$50,3,FALSE)</f>
        <v>Sapin pectiné</v>
      </c>
      <c r="BI885" s="96" t="str">
        <f>+VLOOKUP(H885,Liste!$B$7:$G$50,5,FALSE)</f>
        <v>GS Arc Jurassien</v>
      </c>
      <c r="BJ885" s="135">
        <f t="shared" si="263"/>
        <v>114</v>
      </c>
      <c r="BK885" s="135" t="str">
        <f t="shared" si="265"/>
        <v>Sapin pectiné_F1_Cas général_GS Arc Jurassien_114_</v>
      </c>
      <c r="BL885" s="322"/>
      <c r="BM885" s="13">
        <v>103.471451113686</v>
      </c>
      <c r="BN885" s="13">
        <v>529.36396053458702</v>
      </c>
      <c r="BO885" s="13" t="s">
        <v>169</v>
      </c>
      <c r="BP885" s="13">
        <v>359.743735612752</v>
      </c>
      <c r="BQ885" s="13" t="s">
        <v>169</v>
      </c>
      <c r="BT885" s="298" t="str">
        <f>+VLOOKUP(G885,Liste!$A$7:$H$50,8,FALSE)</f>
        <v>Résineux</v>
      </c>
      <c r="BU885" s="298">
        <f t="shared" si="266"/>
        <v>0</v>
      </c>
      <c r="BV885" s="300">
        <f t="shared" si="267"/>
        <v>1</v>
      </c>
      <c r="BW885" s="321">
        <v>0</v>
      </c>
      <c r="BX885" s="298">
        <f t="shared" si="268"/>
        <v>0.43</v>
      </c>
      <c r="BY885">
        <f t="shared" si="269"/>
        <v>0</v>
      </c>
      <c r="BZ885" s="304">
        <f t="shared" si="270"/>
        <v>0</v>
      </c>
      <c r="CB885" s="299">
        <v>0.6</v>
      </c>
      <c r="CC885" s="299">
        <v>0.4</v>
      </c>
      <c r="CD885">
        <f t="shared" si="271"/>
        <v>0</v>
      </c>
      <c r="CE885">
        <f t="shared" si="272"/>
        <v>0</v>
      </c>
      <c r="CF885">
        <f t="shared" si="273"/>
        <v>0</v>
      </c>
      <c r="CG885">
        <f t="shared" si="274"/>
        <v>0</v>
      </c>
      <c r="CH885">
        <f t="shared" si="275"/>
        <v>0</v>
      </c>
      <c r="CI885">
        <f t="shared" si="276"/>
        <v>0</v>
      </c>
      <c r="CJ885">
        <f t="shared" si="277"/>
        <v>0</v>
      </c>
      <c r="CK885">
        <f t="shared" si="278"/>
        <v>0</v>
      </c>
      <c r="CL885">
        <f t="shared" si="279"/>
        <v>0</v>
      </c>
      <c r="CM885">
        <f t="shared" si="281"/>
        <v>0</v>
      </c>
      <c r="CN885">
        <f t="shared" si="280"/>
        <v>0</v>
      </c>
      <c r="CO885">
        <f t="shared" si="264"/>
        <v>0</v>
      </c>
    </row>
    <row r="886" spans="1:93" s="12" customFormat="1" x14ac:dyDescent="0.25">
      <c r="A886" s="4">
        <v>2013</v>
      </c>
      <c r="B886" s="318">
        <v>44265</v>
      </c>
      <c r="C886" s="4" t="s">
        <v>430</v>
      </c>
      <c r="D886" s="4" t="s">
        <v>431</v>
      </c>
      <c r="E886" s="4"/>
      <c r="F886" s="4" t="s">
        <v>1493</v>
      </c>
      <c r="G886" s="5" t="s">
        <v>432</v>
      </c>
      <c r="H886" s="5" t="s">
        <v>185</v>
      </c>
      <c r="I886" s="5" t="s">
        <v>222</v>
      </c>
      <c r="J886" s="5" t="s">
        <v>9</v>
      </c>
      <c r="K886" s="5">
        <v>20</v>
      </c>
      <c r="L886" s="5" t="s">
        <v>191</v>
      </c>
      <c r="M886" s="5">
        <v>2000</v>
      </c>
      <c r="N886" s="5" t="s">
        <v>171</v>
      </c>
      <c r="O886" s="6" t="s">
        <v>81</v>
      </c>
      <c r="P886" s="6" t="s">
        <v>186</v>
      </c>
      <c r="Q886" s="6"/>
      <c r="R886" s="6"/>
      <c r="S886" s="6">
        <v>45</v>
      </c>
      <c r="T886" s="6">
        <v>17.7</v>
      </c>
      <c r="U886" s="6">
        <v>1853</v>
      </c>
      <c r="V886" s="6">
        <v>45.68</v>
      </c>
      <c r="W886" s="6">
        <v>0</v>
      </c>
      <c r="X886" s="6">
        <v>0</v>
      </c>
      <c r="Y886" s="6">
        <v>1079</v>
      </c>
      <c r="Z886" s="6">
        <v>672</v>
      </c>
      <c r="AA886" s="6">
        <v>94</v>
      </c>
      <c r="AB886" s="6">
        <v>8</v>
      </c>
      <c r="AC886" s="7">
        <v>115</v>
      </c>
      <c r="AD886" s="7" t="s">
        <v>52</v>
      </c>
      <c r="AE886" s="9">
        <v>37.508523439794899</v>
      </c>
      <c r="AF886" s="7">
        <v>144</v>
      </c>
      <c r="AG886" s="7">
        <v>32.93</v>
      </c>
      <c r="AH886" s="9">
        <v>53.955709032686997</v>
      </c>
      <c r="AI886" s="9">
        <v>55.860038707598797</v>
      </c>
      <c r="AJ886" s="9">
        <v>612.91020745674598</v>
      </c>
      <c r="AK886" s="9">
        <v>614.74870980625894</v>
      </c>
      <c r="AL886" s="9">
        <v>655.16384631309097</v>
      </c>
      <c r="AM886" s="9" t="s">
        <v>169</v>
      </c>
      <c r="AN886" s="9" t="s">
        <v>169</v>
      </c>
      <c r="AO886" s="9" t="s">
        <v>169</v>
      </c>
      <c r="AP886" s="9" t="s">
        <v>169</v>
      </c>
      <c r="AQ886" s="9" t="s">
        <v>169</v>
      </c>
      <c r="AR886" s="9" t="s">
        <v>169</v>
      </c>
      <c r="AS886" s="8" t="s">
        <v>169</v>
      </c>
      <c r="AT886" s="8" t="s">
        <v>169</v>
      </c>
      <c r="AU886" s="10" t="s">
        <v>169</v>
      </c>
      <c r="AV886" s="10">
        <v>0</v>
      </c>
      <c r="AW886" s="10" t="s">
        <v>169</v>
      </c>
      <c r="AX886" s="10" t="s">
        <v>169</v>
      </c>
      <c r="AY886" s="10"/>
      <c r="AZ886" s="10"/>
      <c r="BA886" s="10"/>
      <c r="BB886" s="8"/>
      <c r="BC886" s="8"/>
      <c r="BD886" s="8"/>
      <c r="BE886" s="8"/>
      <c r="BF886" s="12">
        <v>0.38</v>
      </c>
      <c r="BG886" s="13">
        <v>433.609272284881</v>
      </c>
      <c r="BH886" s="96" t="str">
        <f>+VLOOKUP(G886,Liste!$A$7:$G$50,3,FALSE)</f>
        <v>Sapin pectiné</v>
      </c>
      <c r="BI886" s="96" t="str">
        <f>+VLOOKUP(H886,Liste!$B$7:$G$50,5,FALSE)</f>
        <v>GS Arc Jurassien</v>
      </c>
      <c r="BJ886" s="135">
        <f t="shared" si="263"/>
        <v>115</v>
      </c>
      <c r="BK886" s="135" t="str">
        <f t="shared" si="265"/>
        <v>Sapin pectiné_F1_Cas général_GS Arc Jurassien_115_</v>
      </c>
      <c r="BL886" s="322"/>
      <c r="BM886" s="13">
        <v>105.12818629321499</v>
      </c>
      <c r="BN886" s="13">
        <v>538.73745857809502</v>
      </c>
      <c r="BO886" s="13" t="s">
        <v>169</v>
      </c>
      <c r="BP886" s="13">
        <v>359.743735612752</v>
      </c>
      <c r="BQ886" s="13" t="s">
        <v>169</v>
      </c>
      <c r="BT886" s="298" t="str">
        <f>+VLOOKUP(G886,Liste!$A$7:$H$50,8,FALSE)</f>
        <v>Résineux</v>
      </c>
      <c r="BU886" s="298">
        <f t="shared" si="266"/>
        <v>0</v>
      </c>
      <c r="BV886" s="300">
        <f t="shared" si="267"/>
        <v>1</v>
      </c>
      <c r="BW886" s="321">
        <v>0</v>
      </c>
      <c r="BX886" s="298">
        <f t="shared" si="268"/>
        <v>0.43</v>
      </c>
      <c r="BY886">
        <f t="shared" si="269"/>
        <v>0</v>
      </c>
      <c r="BZ886" s="304">
        <f t="shared" si="270"/>
        <v>0</v>
      </c>
      <c r="CB886" s="299">
        <v>0.6</v>
      </c>
      <c r="CC886" s="299">
        <v>0.4</v>
      </c>
      <c r="CD886">
        <f t="shared" si="271"/>
        <v>0</v>
      </c>
      <c r="CE886">
        <f t="shared" si="272"/>
        <v>0</v>
      </c>
      <c r="CF886">
        <f t="shared" si="273"/>
        <v>0</v>
      </c>
      <c r="CG886">
        <f t="shared" si="274"/>
        <v>0</v>
      </c>
      <c r="CH886">
        <f t="shared" si="275"/>
        <v>0</v>
      </c>
      <c r="CI886">
        <f t="shared" si="276"/>
        <v>0</v>
      </c>
      <c r="CJ886">
        <f t="shared" si="277"/>
        <v>0</v>
      </c>
      <c r="CK886">
        <f t="shared" si="278"/>
        <v>0</v>
      </c>
      <c r="CL886">
        <f t="shared" si="279"/>
        <v>0</v>
      </c>
      <c r="CM886">
        <f t="shared" si="281"/>
        <v>0</v>
      </c>
      <c r="CN886">
        <f t="shared" si="280"/>
        <v>0</v>
      </c>
      <c r="CO886">
        <f t="shared" si="264"/>
        <v>0</v>
      </c>
    </row>
    <row r="887" spans="1:93" s="12" customFormat="1" x14ac:dyDescent="0.25">
      <c r="A887" s="4">
        <v>2013</v>
      </c>
      <c r="B887" s="318">
        <v>44265</v>
      </c>
      <c r="C887" s="4" t="s">
        <v>430</v>
      </c>
      <c r="D887" s="4" t="s">
        <v>431</v>
      </c>
      <c r="E887" s="4"/>
      <c r="F887" s="4" t="s">
        <v>1493</v>
      </c>
      <c r="G887" s="5" t="s">
        <v>432</v>
      </c>
      <c r="H887" s="5" t="s">
        <v>185</v>
      </c>
      <c r="I887" s="5" t="s">
        <v>222</v>
      </c>
      <c r="J887" s="5" t="s">
        <v>9</v>
      </c>
      <c r="K887" s="5">
        <v>20</v>
      </c>
      <c r="L887" s="5" t="s">
        <v>191</v>
      </c>
      <c r="M887" s="5">
        <v>2000</v>
      </c>
      <c r="N887" s="5" t="s">
        <v>171</v>
      </c>
      <c r="O887" s="6" t="s">
        <v>81</v>
      </c>
      <c r="P887" s="6" t="s">
        <v>186</v>
      </c>
      <c r="Q887" s="6"/>
      <c r="R887" s="6"/>
      <c r="S887" s="6">
        <v>45</v>
      </c>
      <c r="T887" s="6">
        <v>17.7</v>
      </c>
      <c r="U887" s="6">
        <v>1853</v>
      </c>
      <c r="V887" s="6">
        <v>45.68</v>
      </c>
      <c r="W887" s="6">
        <v>0</v>
      </c>
      <c r="X887" s="6">
        <v>0</v>
      </c>
      <c r="Y887" s="6">
        <v>1079</v>
      </c>
      <c r="Z887" s="6">
        <v>672</v>
      </c>
      <c r="AA887" s="6">
        <v>94</v>
      </c>
      <c r="AB887" s="6">
        <v>8</v>
      </c>
      <c r="AC887" s="7">
        <v>116</v>
      </c>
      <c r="AD887" s="7" t="s">
        <v>52</v>
      </c>
      <c r="AE887" s="9">
        <v>37.656839001781897</v>
      </c>
      <c r="AF887" s="7">
        <v>144</v>
      </c>
      <c r="AG887" s="7">
        <v>33.39</v>
      </c>
      <c r="AH887" s="9">
        <v>54.335587328792002</v>
      </c>
      <c r="AI887" s="9">
        <v>56.245335834191899</v>
      </c>
      <c r="AJ887" s="9">
        <v>624.23467523081104</v>
      </c>
      <c r="AK887" s="9">
        <v>626.095478420115</v>
      </c>
      <c r="AL887" s="9">
        <v>666.82352326697605</v>
      </c>
      <c r="AM887" s="9">
        <v>110.22462705948701</v>
      </c>
      <c r="AN887" s="9">
        <v>0.95021230223695397</v>
      </c>
      <c r="AO887" s="9">
        <v>0.43077800844703501</v>
      </c>
      <c r="AP887" s="9">
        <v>1732.5463939886299</v>
      </c>
      <c r="AQ887" s="9">
        <v>14.935744775764</v>
      </c>
      <c r="AR887" s="9">
        <v>10.6675145291708</v>
      </c>
      <c r="AS887" s="8" t="s">
        <v>169</v>
      </c>
      <c r="AT887" s="8" t="s">
        <v>169</v>
      </c>
      <c r="AU887" s="10" t="s">
        <v>169</v>
      </c>
      <c r="AV887" s="10">
        <v>0</v>
      </c>
      <c r="AW887" s="10" t="s">
        <v>169</v>
      </c>
      <c r="AX887" s="10" t="s">
        <v>169</v>
      </c>
      <c r="AY887" s="10"/>
      <c r="AZ887" s="10"/>
      <c r="BA887" s="10"/>
      <c r="BB887" s="8"/>
      <c r="BC887" s="8"/>
      <c r="BD887" s="8"/>
      <c r="BE887" s="8"/>
      <c r="BF887" s="12">
        <v>0.38</v>
      </c>
      <c r="BG887" s="13">
        <v>441.32603514886</v>
      </c>
      <c r="BH887" s="96" t="str">
        <f>+VLOOKUP(G887,Liste!$A$7:$G$50,3,FALSE)</f>
        <v>Sapin pectiné</v>
      </c>
      <c r="BI887" s="96" t="str">
        <f>+VLOOKUP(H887,Liste!$B$7:$G$50,5,FALSE)</f>
        <v>GS Arc Jurassien</v>
      </c>
      <c r="BJ887" s="135">
        <f t="shared" si="263"/>
        <v>116</v>
      </c>
      <c r="BK887" s="135" t="str">
        <f t="shared" si="265"/>
        <v>Sapin pectiné_F1_Cas général_GS Arc Jurassien_116_</v>
      </c>
      <c r="BL887" s="322"/>
      <c r="BM887" s="13">
        <v>106.78492147274299</v>
      </c>
      <c r="BN887" s="13">
        <v>548.11095662160301</v>
      </c>
      <c r="BO887" s="13" t="s">
        <v>169</v>
      </c>
      <c r="BP887" s="13">
        <v>359.743735612752</v>
      </c>
      <c r="BQ887" s="13">
        <v>8.4083960259493296</v>
      </c>
      <c r="BT887" s="298" t="str">
        <f>+VLOOKUP(G887,Liste!$A$7:$H$50,8,FALSE)</f>
        <v>Résineux</v>
      </c>
      <c r="BU887" s="298">
        <f t="shared" si="266"/>
        <v>0</v>
      </c>
      <c r="BV887" s="300">
        <f t="shared" si="267"/>
        <v>1</v>
      </c>
      <c r="BW887" s="321">
        <v>0</v>
      </c>
      <c r="BX887" s="298">
        <f t="shared" si="268"/>
        <v>0.43</v>
      </c>
      <c r="BY887">
        <f t="shared" si="269"/>
        <v>0</v>
      </c>
      <c r="BZ887" s="304">
        <f t="shared" si="270"/>
        <v>0</v>
      </c>
      <c r="CB887" s="299">
        <v>0.6</v>
      </c>
      <c r="CC887" s="299">
        <v>0.4</v>
      </c>
      <c r="CD887">
        <f t="shared" si="271"/>
        <v>0</v>
      </c>
      <c r="CE887">
        <f t="shared" si="272"/>
        <v>0</v>
      </c>
      <c r="CF887">
        <f t="shared" si="273"/>
        <v>0</v>
      </c>
      <c r="CG887">
        <f t="shared" si="274"/>
        <v>0</v>
      </c>
      <c r="CH887">
        <f t="shared" si="275"/>
        <v>0</v>
      </c>
      <c r="CI887">
        <f t="shared" si="276"/>
        <v>0</v>
      </c>
      <c r="CJ887">
        <f t="shared" si="277"/>
        <v>0</v>
      </c>
      <c r="CK887">
        <f t="shared" si="278"/>
        <v>0</v>
      </c>
      <c r="CL887">
        <f t="shared" si="279"/>
        <v>0</v>
      </c>
      <c r="CM887">
        <f t="shared" si="281"/>
        <v>0</v>
      </c>
      <c r="CN887">
        <f t="shared" si="280"/>
        <v>0</v>
      </c>
      <c r="CO887">
        <f t="shared" si="264"/>
        <v>0</v>
      </c>
    </row>
    <row r="888" spans="1:93" s="12" customFormat="1" x14ac:dyDescent="0.25">
      <c r="A888" s="4">
        <v>2013</v>
      </c>
      <c r="B888" s="318">
        <v>44265</v>
      </c>
      <c r="C888" s="4" t="s">
        <v>430</v>
      </c>
      <c r="D888" s="4" t="s">
        <v>431</v>
      </c>
      <c r="E888" s="4"/>
      <c r="F888" s="4" t="s">
        <v>1493</v>
      </c>
      <c r="G888" s="5" t="s">
        <v>432</v>
      </c>
      <c r="H888" s="5" t="s">
        <v>185</v>
      </c>
      <c r="I888" s="5" t="s">
        <v>222</v>
      </c>
      <c r="J888" s="5" t="s">
        <v>9</v>
      </c>
      <c r="K888" s="5">
        <v>20</v>
      </c>
      <c r="L888" s="5" t="s">
        <v>191</v>
      </c>
      <c r="M888" s="5">
        <v>2000</v>
      </c>
      <c r="N888" s="5" t="s">
        <v>171</v>
      </c>
      <c r="O888" s="6" t="s">
        <v>81</v>
      </c>
      <c r="P888" s="6" t="s">
        <v>186</v>
      </c>
      <c r="Q888" s="6"/>
      <c r="R888" s="6"/>
      <c r="S888" s="6">
        <v>45</v>
      </c>
      <c r="T888" s="6">
        <v>17.7</v>
      </c>
      <c r="U888" s="6">
        <v>1853</v>
      </c>
      <c r="V888" s="6">
        <v>45.68</v>
      </c>
      <c r="W888" s="6">
        <v>0</v>
      </c>
      <c r="X888" s="6">
        <v>0</v>
      </c>
      <c r="Y888" s="6">
        <v>1079</v>
      </c>
      <c r="Z888" s="6">
        <v>672</v>
      </c>
      <c r="AA888" s="6">
        <v>94</v>
      </c>
      <c r="AB888" s="6">
        <v>8</v>
      </c>
      <c r="AC888" s="7">
        <v>116</v>
      </c>
      <c r="AD888" s="7" t="s">
        <v>53</v>
      </c>
      <c r="AE888" s="9">
        <v>37.656839001781897</v>
      </c>
      <c r="AF888" s="7">
        <v>120</v>
      </c>
      <c r="AG888" s="7">
        <v>28.29</v>
      </c>
      <c r="AH888" s="9">
        <v>54.782629155879</v>
      </c>
      <c r="AI888" s="9">
        <v>55.860184831911397</v>
      </c>
      <c r="AJ888" s="9">
        <v>528.89048860591902</v>
      </c>
      <c r="AK888" s="9">
        <v>530.49852145204795</v>
      </c>
      <c r="AL888" s="9">
        <v>565.23327528217703</v>
      </c>
      <c r="AM888" s="9">
        <v>110.22462705948701</v>
      </c>
      <c r="AN888" s="9">
        <v>0.95021230223695397</v>
      </c>
      <c r="AO888" s="9">
        <v>0.43077800844703501</v>
      </c>
      <c r="AP888" s="9">
        <v>1732.5463939886299</v>
      </c>
      <c r="AQ888" s="9">
        <v>14.935744775764</v>
      </c>
      <c r="AR888" s="9">
        <v>10.6675145291708</v>
      </c>
      <c r="AS888" s="8">
        <v>24</v>
      </c>
      <c r="AT888" s="8">
        <v>5.1000000000000014</v>
      </c>
      <c r="AU888" s="10">
        <v>52.015709478600996</v>
      </c>
      <c r="AV888" s="10">
        <v>95.344186624892018</v>
      </c>
      <c r="AW888" s="10">
        <v>0.9164321600803953</v>
      </c>
      <c r="AX888" s="10">
        <v>3.9726744427038341</v>
      </c>
      <c r="AY888" s="10"/>
      <c r="AZ888" s="10"/>
      <c r="BA888" s="10"/>
      <c r="BB888" s="8"/>
      <c r="BC888" s="8"/>
      <c r="BD888" s="8"/>
      <c r="BE888" s="8"/>
      <c r="BF888" s="12">
        <v>0.38</v>
      </c>
      <c r="BG888" s="13">
        <v>374.090222690921</v>
      </c>
      <c r="BH888" s="96" t="str">
        <f>+VLOOKUP(G888,Liste!$A$7:$G$50,3,FALSE)</f>
        <v>Sapin pectiné</v>
      </c>
      <c r="BI888" s="96" t="str">
        <f>+VLOOKUP(H888,Liste!$B$7:$G$50,5,FALSE)</f>
        <v>GS Arc Jurassien</v>
      </c>
      <c r="BJ888" s="135">
        <f t="shared" si="263"/>
        <v>116</v>
      </c>
      <c r="BK888" s="135" t="str">
        <f t="shared" si="265"/>
        <v>Sapin pectiné_F1_Cas général_GS Arc Jurassien_116_</v>
      </c>
      <c r="BL888" s="322"/>
      <c r="BM888" s="13">
        <v>92.274628425927602</v>
      </c>
      <c r="BN888" s="13">
        <v>466.36485111684902</v>
      </c>
      <c r="BO888" s="13">
        <v>81.746105504753984</v>
      </c>
      <c r="BP888" s="13">
        <v>359.743735612752</v>
      </c>
      <c r="BQ888" s="13">
        <v>8.4083960259493296</v>
      </c>
      <c r="BT888" s="298" t="str">
        <f>+VLOOKUP(G888,Liste!$A$7:$H$50,8,FALSE)</f>
        <v>Résineux</v>
      </c>
      <c r="BU888" s="298">
        <f t="shared" si="266"/>
        <v>0</v>
      </c>
      <c r="BV888" s="300">
        <f t="shared" si="267"/>
        <v>1</v>
      </c>
      <c r="BW888" s="321">
        <v>0</v>
      </c>
      <c r="BX888" s="298">
        <f t="shared" si="268"/>
        <v>0.43</v>
      </c>
      <c r="BY888">
        <f t="shared" si="269"/>
        <v>0</v>
      </c>
      <c r="BZ888" s="304">
        <f t="shared" si="270"/>
        <v>0</v>
      </c>
      <c r="CB888" s="299">
        <v>0.6</v>
      </c>
      <c r="CC888" s="299">
        <v>0.4</v>
      </c>
      <c r="CD888">
        <f t="shared" si="271"/>
        <v>0</v>
      </c>
      <c r="CE888">
        <f t="shared" si="272"/>
        <v>0</v>
      </c>
      <c r="CF888">
        <f t="shared" si="273"/>
        <v>0</v>
      </c>
      <c r="CG888">
        <f t="shared" si="274"/>
        <v>0</v>
      </c>
      <c r="CH888">
        <f t="shared" si="275"/>
        <v>0</v>
      </c>
      <c r="CI888">
        <f t="shared" si="276"/>
        <v>0</v>
      </c>
      <c r="CJ888">
        <f t="shared" si="277"/>
        <v>0</v>
      </c>
      <c r="CK888">
        <f t="shared" si="278"/>
        <v>0</v>
      </c>
      <c r="CL888">
        <f t="shared" si="279"/>
        <v>0</v>
      </c>
      <c r="CM888">
        <f t="shared" si="281"/>
        <v>0</v>
      </c>
      <c r="CN888">
        <f t="shared" si="280"/>
        <v>0</v>
      </c>
      <c r="CO888">
        <f t="shared" si="264"/>
        <v>0</v>
      </c>
    </row>
    <row r="889" spans="1:93" s="12" customFormat="1" x14ac:dyDescent="0.25">
      <c r="A889" s="4">
        <v>2013</v>
      </c>
      <c r="B889" s="318">
        <v>44265</v>
      </c>
      <c r="C889" s="4" t="s">
        <v>430</v>
      </c>
      <c r="D889" s="4" t="s">
        <v>431</v>
      </c>
      <c r="E889" s="4"/>
      <c r="F889" s="4" t="s">
        <v>1493</v>
      </c>
      <c r="G889" s="5" t="s">
        <v>432</v>
      </c>
      <c r="H889" s="5" t="s">
        <v>185</v>
      </c>
      <c r="I889" s="5" t="s">
        <v>222</v>
      </c>
      <c r="J889" s="5" t="s">
        <v>9</v>
      </c>
      <c r="K889" s="5">
        <v>20</v>
      </c>
      <c r="L889" s="5" t="s">
        <v>191</v>
      </c>
      <c r="M889" s="5">
        <v>2000</v>
      </c>
      <c r="N889" s="5" t="s">
        <v>171</v>
      </c>
      <c r="O889" s="6" t="s">
        <v>81</v>
      </c>
      <c r="P889" s="6" t="s">
        <v>186</v>
      </c>
      <c r="Q889" s="6"/>
      <c r="R889" s="6"/>
      <c r="S889" s="6">
        <v>45</v>
      </c>
      <c r="T889" s="6">
        <v>17.7</v>
      </c>
      <c r="U889" s="6">
        <v>1853</v>
      </c>
      <c r="V889" s="6">
        <v>45.68</v>
      </c>
      <c r="W889" s="6">
        <v>0</v>
      </c>
      <c r="X889" s="6">
        <v>0</v>
      </c>
      <c r="Y889" s="6">
        <v>1079</v>
      </c>
      <c r="Z889" s="6">
        <v>672</v>
      </c>
      <c r="AA889" s="6">
        <v>94</v>
      </c>
      <c r="AB889" s="6">
        <v>8</v>
      </c>
      <c r="AC889" s="7">
        <v>117</v>
      </c>
      <c r="AD889" s="7" t="s">
        <v>52</v>
      </c>
      <c r="AE889" s="9">
        <v>37.803055557830497</v>
      </c>
      <c r="AF889" s="7">
        <v>120</v>
      </c>
      <c r="AG889" s="7">
        <v>28.73</v>
      </c>
      <c r="AH889" s="9">
        <v>55.207073050987901</v>
      </c>
      <c r="AI889" s="9">
        <v>56.288075183520299</v>
      </c>
      <c r="AJ889" s="9">
        <v>539.25002491416103</v>
      </c>
      <c r="AK889" s="9">
        <v>540.87908640227295</v>
      </c>
      <c r="AL889" s="9">
        <v>575.90078981134798</v>
      </c>
      <c r="AM889" s="9" t="s">
        <v>169</v>
      </c>
      <c r="AN889" s="9" t="s">
        <v>169</v>
      </c>
      <c r="AO889" s="9" t="s">
        <v>169</v>
      </c>
      <c r="AP889" s="9" t="s">
        <v>169</v>
      </c>
      <c r="AQ889" s="9" t="s">
        <v>169</v>
      </c>
      <c r="AR889" s="9" t="s">
        <v>169</v>
      </c>
      <c r="AS889" s="8" t="s">
        <v>169</v>
      </c>
      <c r="AT889" s="8" t="s">
        <v>169</v>
      </c>
      <c r="AU889" s="10" t="s">
        <v>169</v>
      </c>
      <c r="AV889" s="10">
        <v>0</v>
      </c>
      <c r="AW889" s="10" t="s">
        <v>169</v>
      </c>
      <c r="AX889" s="10" t="s">
        <v>169</v>
      </c>
      <c r="AY889" s="10"/>
      <c r="AZ889" s="10"/>
      <c r="BA889" s="10"/>
      <c r="BB889" s="8"/>
      <c r="BC889" s="8"/>
      <c r="BD889" s="8"/>
      <c r="BE889" s="8"/>
      <c r="BF889" s="12">
        <v>0.38</v>
      </c>
      <c r="BG889" s="13">
        <v>381.15033939014398</v>
      </c>
      <c r="BH889" s="96" t="str">
        <f>+VLOOKUP(G889,Liste!$A$7:$G$50,3,FALSE)</f>
        <v>Sapin pectiné</v>
      </c>
      <c r="BI889" s="96" t="str">
        <f>+VLOOKUP(H889,Liste!$B$7:$G$50,5,FALSE)</f>
        <v>GS Arc Jurassien</v>
      </c>
      <c r="BJ889" s="135">
        <f t="shared" si="263"/>
        <v>117</v>
      </c>
      <c r="BK889" s="135" t="str">
        <f t="shared" si="265"/>
        <v>Sapin pectiné_F1_Cas général_GS Arc Jurassien_117_</v>
      </c>
      <c r="BL889" s="322"/>
      <c r="BM889" s="13">
        <v>93.805229681907704</v>
      </c>
      <c r="BN889" s="13">
        <v>474.95556907205201</v>
      </c>
      <c r="BO889" s="13" t="s">
        <v>169</v>
      </c>
      <c r="BP889" s="13">
        <v>359.743735612752</v>
      </c>
      <c r="BQ889" s="13" t="s">
        <v>169</v>
      </c>
      <c r="BT889" s="298" t="str">
        <f>+VLOOKUP(G889,Liste!$A$7:$H$50,8,FALSE)</f>
        <v>Résineux</v>
      </c>
      <c r="BU889" s="298">
        <f t="shared" si="266"/>
        <v>0</v>
      </c>
      <c r="BV889" s="300">
        <f t="shared" si="267"/>
        <v>1</v>
      </c>
      <c r="BW889" s="321">
        <v>0</v>
      </c>
      <c r="BX889" s="298">
        <f t="shared" si="268"/>
        <v>0.43</v>
      </c>
      <c r="BY889">
        <f t="shared" si="269"/>
        <v>0</v>
      </c>
      <c r="BZ889" s="304">
        <f t="shared" si="270"/>
        <v>0</v>
      </c>
      <c r="CB889" s="299">
        <v>0.6</v>
      </c>
      <c r="CC889" s="299">
        <v>0.4</v>
      </c>
      <c r="CD889">
        <f t="shared" si="271"/>
        <v>0</v>
      </c>
      <c r="CE889">
        <f t="shared" si="272"/>
        <v>0</v>
      </c>
      <c r="CF889">
        <f t="shared" si="273"/>
        <v>0</v>
      </c>
      <c r="CG889">
        <f t="shared" si="274"/>
        <v>0</v>
      </c>
      <c r="CH889">
        <f t="shared" si="275"/>
        <v>0</v>
      </c>
      <c r="CI889">
        <f t="shared" si="276"/>
        <v>0</v>
      </c>
      <c r="CJ889">
        <f t="shared" si="277"/>
        <v>0</v>
      </c>
      <c r="CK889">
        <f t="shared" si="278"/>
        <v>0</v>
      </c>
      <c r="CL889">
        <f t="shared" si="279"/>
        <v>0</v>
      </c>
      <c r="CM889">
        <f t="shared" si="281"/>
        <v>0</v>
      </c>
      <c r="CN889">
        <f t="shared" si="280"/>
        <v>0</v>
      </c>
      <c r="CO889">
        <f t="shared" si="264"/>
        <v>0</v>
      </c>
    </row>
    <row r="890" spans="1:93" s="12" customFormat="1" x14ac:dyDescent="0.25">
      <c r="A890" s="4">
        <v>2013</v>
      </c>
      <c r="B890" s="318">
        <v>44265</v>
      </c>
      <c r="C890" s="4" t="s">
        <v>430</v>
      </c>
      <c r="D890" s="4" t="s">
        <v>431</v>
      </c>
      <c r="E890" s="4"/>
      <c r="F890" s="4" t="s">
        <v>1493</v>
      </c>
      <c r="G890" s="5" t="s">
        <v>432</v>
      </c>
      <c r="H890" s="5" t="s">
        <v>185</v>
      </c>
      <c r="I890" s="5" t="s">
        <v>222</v>
      </c>
      <c r="J890" s="5" t="s">
        <v>9</v>
      </c>
      <c r="K890" s="5">
        <v>20</v>
      </c>
      <c r="L890" s="5" t="s">
        <v>191</v>
      </c>
      <c r="M890" s="5">
        <v>2000</v>
      </c>
      <c r="N890" s="5" t="s">
        <v>171</v>
      </c>
      <c r="O890" s="6" t="s">
        <v>81</v>
      </c>
      <c r="P890" s="6" t="s">
        <v>186</v>
      </c>
      <c r="Q890" s="6"/>
      <c r="R890" s="6"/>
      <c r="S890" s="6">
        <v>45</v>
      </c>
      <c r="T890" s="6">
        <v>17.7</v>
      </c>
      <c r="U890" s="6">
        <v>1853</v>
      </c>
      <c r="V890" s="6">
        <v>45.68</v>
      </c>
      <c r="W890" s="6">
        <v>0</v>
      </c>
      <c r="X890" s="6">
        <v>0</v>
      </c>
      <c r="Y890" s="6">
        <v>1079</v>
      </c>
      <c r="Z890" s="6">
        <v>672</v>
      </c>
      <c r="AA890" s="6">
        <v>94</v>
      </c>
      <c r="AB890" s="6">
        <v>8</v>
      </c>
      <c r="AC890" s="7">
        <v>118</v>
      </c>
      <c r="AD890" s="7" t="s">
        <v>52</v>
      </c>
      <c r="AE890" s="9">
        <v>37.947214832750703</v>
      </c>
      <c r="AF890" s="7">
        <v>120</v>
      </c>
      <c r="AG890" s="7">
        <v>29.16</v>
      </c>
      <c r="AH890" s="9">
        <v>55.623841194330602</v>
      </c>
      <c r="AI890" s="9">
        <v>56.7081806228624</v>
      </c>
      <c r="AJ890" s="9">
        <v>549.60956122240395</v>
      </c>
      <c r="AK890" s="9">
        <v>551.25965135249703</v>
      </c>
      <c r="AL890" s="9">
        <v>586.56830434051903</v>
      </c>
      <c r="AM890" s="9" t="s">
        <v>169</v>
      </c>
      <c r="AN890" s="9" t="s">
        <v>169</v>
      </c>
      <c r="AO890" s="9" t="s">
        <v>169</v>
      </c>
      <c r="AP890" s="9" t="s">
        <v>169</v>
      </c>
      <c r="AQ890" s="9" t="s">
        <v>169</v>
      </c>
      <c r="AR890" s="9" t="s">
        <v>169</v>
      </c>
      <c r="AS890" s="8" t="s">
        <v>169</v>
      </c>
      <c r="AT890" s="8" t="s">
        <v>169</v>
      </c>
      <c r="AU890" s="10" t="s">
        <v>169</v>
      </c>
      <c r="AV890" s="10">
        <v>0</v>
      </c>
      <c r="AW890" s="10" t="s">
        <v>169</v>
      </c>
      <c r="AX890" s="10" t="s">
        <v>169</v>
      </c>
      <c r="AY890" s="10"/>
      <c r="AZ890" s="10"/>
      <c r="BA890" s="10"/>
      <c r="BB890" s="8"/>
      <c r="BC890" s="8"/>
      <c r="BD890" s="8"/>
      <c r="BE890" s="8"/>
      <c r="BF890" s="12">
        <v>0.38</v>
      </c>
      <c r="BG890" s="13">
        <v>388.21045608936703</v>
      </c>
      <c r="BH890" s="96" t="str">
        <f>+VLOOKUP(G890,Liste!$A$7:$G$50,3,FALSE)</f>
        <v>Sapin pectiné</v>
      </c>
      <c r="BI890" s="96" t="str">
        <f>+VLOOKUP(H890,Liste!$B$7:$G$50,5,FALSE)</f>
        <v>GS Arc Jurassien</v>
      </c>
      <c r="BJ890" s="135">
        <f t="shared" si="263"/>
        <v>118</v>
      </c>
      <c r="BK890" s="135" t="str">
        <f t="shared" si="265"/>
        <v>Sapin pectiné_F1_Cas général_GS Arc Jurassien_118_</v>
      </c>
      <c r="BL890" s="322"/>
      <c r="BM890" s="13">
        <v>95.335830937887806</v>
      </c>
      <c r="BN890" s="13">
        <v>483.546287027255</v>
      </c>
      <c r="BO890" s="13" t="s">
        <v>169</v>
      </c>
      <c r="BP890" s="13">
        <v>359.743735612752</v>
      </c>
      <c r="BQ890" s="13" t="s">
        <v>169</v>
      </c>
      <c r="BT890" s="298" t="str">
        <f>+VLOOKUP(G890,Liste!$A$7:$H$50,8,FALSE)</f>
        <v>Résineux</v>
      </c>
      <c r="BU890" s="298">
        <f t="shared" si="266"/>
        <v>0</v>
      </c>
      <c r="BV890" s="300">
        <f t="shared" si="267"/>
        <v>1</v>
      </c>
      <c r="BW890" s="321">
        <v>0</v>
      </c>
      <c r="BX890" s="298">
        <f t="shared" si="268"/>
        <v>0.43</v>
      </c>
      <c r="BY890">
        <f t="shared" si="269"/>
        <v>0</v>
      </c>
      <c r="BZ890" s="304">
        <f t="shared" si="270"/>
        <v>0</v>
      </c>
      <c r="CB890" s="299">
        <v>0.6</v>
      </c>
      <c r="CC890" s="299">
        <v>0.4</v>
      </c>
      <c r="CD890">
        <f t="shared" si="271"/>
        <v>0</v>
      </c>
      <c r="CE890">
        <f t="shared" si="272"/>
        <v>0</v>
      </c>
      <c r="CF890">
        <f t="shared" si="273"/>
        <v>0</v>
      </c>
      <c r="CG890">
        <f t="shared" si="274"/>
        <v>0</v>
      </c>
      <c r="CH890">
        <f t="shared" si="275"/>
        <v>0</v>
      </c>
      <c r="CI890">
        <f t="shared" si="276"/>
        <v>0</v>
      </c>
      <c r="CJ890">
        <f t="shared" si="277"/>
        <v>0</v>
      </c>
      <c r="CK890">
        <f t="shared" si="278"/>
        <v>0</v>
      </c>
      <c r="CL890">
        <f t="shared" si="279"/>
        <v>0</v>
      </c>
      <c r="CM890">
        <f t="shared" si="281"/>
        <v>0</v>
      </c>
      <c r="CN890">
        <f t="shared" si="280"/>
        <v>0</v>
      </c>
      <c r="CO890">
        <f t="shared" si="264"/>
        <v>0</v>
      </c>
    </row>
    <row r="891" spans="1:93" s="12" customFormat="1" x14ac:dyDescent="0.25">
      <c r="A891" s="4">
        <v>2013</v>
      </c>
      <c r="B891" s="318">
        <v>44265</v>
      </c>
      <c r="C891" s="4" t="s">
        <v>430</v>
      </c>
      <c r="D891" s="4" t="s">
        <v>431</v>
      </c>
      <c r="E891" s="4"/>
      <c r="F891" s="4" t="s">
        <v>1493</v>
      </c>
      <c r="G891" s="5" t="s">
        <v>432</v>
      </c>
      <c r="H891" s="5" t="s">
        <v>185</v>
      </c>
      <c r="I891" s="5" t="s">
        <v>222</v>
      </c>
      <c r="J891" s="5" t="s">
        <v>9</v>
      </c>
      <c r="K891" s="5">
        <v>20</v>
      </c>
      <c r="L891" s="5" t="s">
        <v>191</v>
      </c>
      <c r="M891" s="5">
        <v>2000</v>
      </c>
      <c r="N891" s="5" t="s">
        <v>171</v>
      </c>
      <c r="O891" s="6" t="s">
        <v>81</v>
      </c>
      <c r="P891" s="6" t="s">
        <v>186</v>
      </c>
      <c r="Q891" s="6"/>
      <c r="R891" s="6"/>
      <c r="S891" s="6">
        <v>45</v>
      </c>
      <c r="T891" s="6">
        <v>17.7</v>
      </c>
      <c r="U891" s="6">
        <v>1853</v>
      </c>
      <c r="V891" s="6">
        <v>45.68</v>
      </c>
      <c r="W891" s="6">
        <v>0</v>
      </c>
      <c r="X891" s="6">
        <v>0</v>
      </c>
      <c r="Y891" s="6">
        <v>1079</v>
      </c>
      <c r="Z891" s="6">
        <v>672</v>
      </c>
      <c r="AA891" s="6">
        <v>94</v>
      </c>
      <c r="AB891" s="6">
        <v>8</v>
      </c>
      <c r="AC891" s="7">
        <v>119</v>
      </c>
      <c r="AD891" s="7" t="s">
        <v>52</v>
      </c>
      <c r="AE891" s="9">
        <v>38.089357518258304</v>
      </c>
      <c r="AF891" s="7">
        <v>120</v>
      </c>
      <c r="AG891" s="7">
        <v>29.59</v>
      </c>
      <c r="AH891" s="9">
        <v>56.033148575371797</v>
      </c>
      <c r="AI891" s="9">
        <v>57.120721355034199</v>
      </c>
      <c r="AJ891" s="9">
        <v>559.96909753064597</v>
      </c>
      <c r="AK891" s="9">
        <v>561.64021630272202</v>
      </c>
      <c r="AL891" s="9">
        <v>597.23581886968998</v>
      </c>
      <c r="AM891" s="9" t="s">
        <v>169</v>
      </c>
      <c r="AN891" s="9" t="s">
        <v>169</v>
      </c>
      <c r="AO891" s="9" t="s">
        <v>169</v>
      </c>
      <c r="AP891" s="9" t="s">
        <v>169</v>
      </c>
      <c r="AQ891" s="9" t="s">
        <v>169</v>
      </c>
      <c r="AR891" s="9" t="s">
        <v>169</v>
      </c>
      <c r="AS891" s="8" t="s">
        <v>169</v>
      </c>
      <c r="AT891" s="8" t="s">
        <v>169</v>
      </c>
      <c r="AU891" s="10" t="s">
        <v>169</v>
      </c>
      <c r="AV891" s="10">
        <v>0</v>
      </c>
      <c r="AW891" s="10" t="s">
        <v>169</v>
      </c>
      <c r="AX891" s="10" t="s">
        <v>169</v>
      </c>
      <c r="AY891" s="10"/>
      <c r="AZ891" s="10"/>
      <c r="BA891" s="10"/>
      <c r="BB891" s="8"/>
      <c r="BC891" s="8"/>
      <c r="BD891" s="8"/>
      <c r="BE891" s="8"/>
      <c r="BF891" s="12">
        <v>0.38</v>
      </c>
      <c r="BG891" s="13">
        <v>395.27057278859002</v>
      </c>
      <c r="BH891" s="96" t="str">
        <f>+VLOOKUP(G891,Liste!$A$7:$G$50,3,FALSE)</f>
        <v>Sapin pectiné</v>
      </c>
      <c r="BI891" s="96" t="str">
        <f>+VLOOKUP(H891,Liste!$B$7:$G$50,5,FALSE)</f>
        <v>GS Arc Jurassien</v>
      </c>
      <c r="BJ891" s="135">
        <f t="shared" si="263"/>
        <v>119</v>
      </c>
      <c r="BK891" s="135" t="str">
        <f t="shared" si="265"/>
        <v>Sapin pectiné_F1_Cas général_GS Arc Jurassien_119_</v>
      </c>
      <c r="BL891" s="322"/>
      <c r="BM891" s="13">
        <v>96.866432193867993</v>
      </c>
      <c r="BN891" s="13">
        <v>492.137004982458</v>
      </c>
      <c r="BO891" s="13" t="s">
        <v>169</v>
      </c>
      <c r="BP891" s="13">
        <v>359.743735612752</v>
      </c>
      <c r="BQ891" s="13" t="s">
        <v>169</v>
      </c>
      <c r="BT891" s="298" t="str">
        <f>+VLOOKUP(G891,Liste!$A$7:$H$50,8,FALSE)</f>
        <v>Résineux</v>
      </c>
      <c r="BU891" s="298">
        <f t="shared" si="266"/>
        <v>0</v>
      </c>
      <c r="BV891" s="300">
        <f t="shared" si="267"/>
        <v>1</v>
      </c>
      <c r="BW891" s="321">
        <v>0</v>
      </c>
      <c r="BX891" s="298">
        <f t="shared" si="268"/>
        <v>0.43</v>
      </c>
      <c r="BY891">
        <f t="shared" si="269"/>
        <v>0</v>
      </c>
      <c r="BZ891" s="304">
        <f t="shared" si="270"/>
        <v>0</v>
      </c>
      <c r="CB891" s="299">
        <v>0.6</v>
      </c>
      <c r="CC891" s="299">
        <v>0.4</v>
      </c>
      <c r="CD891">
        <f t="shared" si="271"/>
        <v>0</v>
      </c>
      <c r="CE891">
        <f t="shared" si="272"/>
        <v>0</v>
      </c>
      <c r="CF891">
        <f t="shared" si="273"/>
        <v>0</v>
      </c>
      <c r="CG891">
        <f t="shared" si="274"/>
        <v>0</v>
      </c>
      <c r="CH891">
        <f t="shared" si="275"/>
        <v>0</v>
      </c>
      <c r="CI891">
        <f t="shared" si="276"/>
        <v>0</v>
      </c>
      <c r="CJ891">
        <f t="shared" si="277"/>
        <v>0</v>
      </c>
      <c r="CK891">
        <f t="shared" si="278"/>
        <v>0</v>
      </c>
      <c r="CL891">
        <f t="shared" si="279"/>
        <v>0</v>
      </c>
      <c r="CM891">
        <f t="shared" si="281"/>
        <v>0</v>
      </c>
      <c r="CN891">
        <f t="shared" si="280"/>
        <v>0</v>
      </c>
      <c r="CO891">
        <f t="shared" si="264"/>
        <v>0</v>
      </c>
    </row>
    <row r="892" spans="1:93" s="12" customFormat="1" x14ac:dyDescent="0.25">
      <c r="A892" s="4">
        <v>2013</v>
      </c>
      <c r="B892" s="318">
        <v>44265</v>
      </c>
      <c r="C892" s="4" t="s">
        <v>430</v>
      </c>
      <c r="D892" s="4" t="s">
        <v>431</v>
      </c>
      <c r="E892" s="4"/>
      <c r="F892" s="4" t="s">
        <v>1493</v>
      </c>
      <c r="G892" s="5" t="s">
        <v>432</v>
      </c>
      <c r="H892" s="5" t="s">
        <v>185</v>
      </c>
      <c r="I892" s="5" t="s">
        <v>222</v>
      </c>
      <c r="J892" s="5" t="s">
        <v>9</v>
      </c>
      <c r="K892" s="5">
        <v>20</v>
      </c>
      <c r="L892" s="5" t="s">
        <v>191</v>
      </c>
      <c r="M892" s="5">
        <v>2000</v>
      </c>
      <c r="N892" s="5" t="s">
        <v>171</v>
      </c>
      <c r="O892" s="6" t="s">
        <v>81</v>
      </c>
      <c r="P892" s="6" t="s">
        <v>186</v>
      </c>
      <c r="Q892" s="6"/>
      <c r="R892" s="6"/>
      <c r="S892" s="6">
        <v>45</v>
      </c>
      <c r="T892" s="6">
        <v>17.7</v>
      </c>
      <c r="U892" s="6">
        <v>1853</v>
      </c>
      <c r="V892" s="6">
        <v>45.68</v>
      </c>
      <c r="W892" s="6">
        <v>0</v>
      </c>
      <c r="X892" s="6">
        <v>0</v>
      </c>
      <c r="Y892" s="6">
        <v>1079</v>
      </c>
      <c r="Z892" s="6">
        <v>672</v>
      </c>
      <c r="AA892" s="6">
        <v>94</v>
      </c>
      <c r="AB892" s="6">
        <v>8</v>
      </c>
      <c r="AC892" s="7">
        <v>120</v>
      </c>
      <c r="AD892" s="7" t="s">
        <v>52</v>
      </c>
      <c r="AE892" s="9">
        <v>38.229523302203503</v>
      </c>
      <c r="AF892" s="7">
        <v>120</v>
      </c>
      <c r="AG892" s="7">
        <v>30.02</v>
      </c>
      <c r="AH892" s="9">
        <v>56.435201144482598</v>
      </c>
      <c r="AI892" s="9">
        <v>57.525908013198801</v>
      </c>
      <c r="AJ892" s="9">
        <v>570.328633838889</v>
      </c>
      <c r="AK892" s="9">
        <v>572.02078125294599</v>
      </c>
      <c r="AL892" s="9">
        <v>607.90333339886104</v>
      </c>
      <c r="AM892" s="9" t="s">
        <v>169</v>
      </c>
      <c r="AN892" s="9" t="s">
        <v>169</v>
      </c>
      <c r="AO892" s="9" t="s">
        <v>169</v>
      </c>
      <c r="AP892" s="9" t="s">
        <v>169</v>
      </c>
      <c r="AQ892" s="9" t="s">
        <v>169</v>
      </c>
      <c r="AR892" s="9" t="s">
        <v>169</v>
      </c>
      <c r="AS892" s="8" t="s">
        <v>169</v>
      </c>
      <c r="AT892" s="8" t="s">
        <v>169</v>
      </c>
      <c r="AU892" s="10" t="s">
        <v>169</v>
      </c>
      <c r="AV892" s="10">
        <v>0</v>
      </c>
      <c r="AW892" s="10" t="s">
        <v>169</v>
      </c>
      <c r="AX892" s="10" t="s">
        <v>169</v>
      </c>
      <c r="AY892" s="10"/>
      <c r="AZ892" s="10"/>
      <c r="BA892" s="10"/>
      <c r="BB892" s="8"/>
      <c r="BC892" s="8"/>
      <c r="BD892" s="8"/>
      <c r="BE892" s="8"/>
      <c r="BF892" s="12">
        <v>0.38</v>
      </c>
      <c r="BG892" s="13">
        <v>402.330689487813</v>
      </c>
      <c r="BH892" s="96" t="str">
        <f>+VLOOKUP(G892,Liste!$A$7:$G$50,3,FALSE)</f>
        <v>Sapin pectiné</v>
      </c>
      <c r="BI892" s="96" t="str">
        <f>+VLOOKUP(H892,Liste!$B$7:$G$50,5,FALSE)</f>
        <v>GS Arc Jurassien</v>
      </c>
      <c r="BJ892" s="135">
        <f t="shared" si="263"/>
        <v>120</v>
      </c>
      <c r="BK892" s="135" t="str">
        <f t="shared" si="265"/>
        <v>Sapin pectiné_F1_Cas général_GS Arc Jurassien_120_</v>
      </c>
      <c r="BL892" s="322"/>
      <c r="BM892" s="13">
        <v>98.397033449848095</v>
      </c>
      <c r="BN892" s="13">
        <v>500.72772293766099</v>
      </c>
      <c r="BO892" s="13" t="s">
        <v>169</v>
      </c>
      <c r="BP892" s="13">
        <v>359.743735612752</v>
      </c>
      <c r="BQ892" s="13" t="s">
        <v>169</v>
      </c>
      <c r="BT892" s="298" t="str">
        <f>+VLOOKUP(G892,Liste!$A$7:$H$50,8,FALSE)</f>
        <v>Résineux</v>
      </c>
      <c r="BU892" s="298">
        <f t="shared" si="266"/>
        <v>0</v>
      </c>
      <c r="BV892" s="300">
        <f t="shared" si="267"/>
        <v>1</v>
      </c>
      <c r="BW892" s="321">
        <v>0</v>
      </c>
      <c r="BX892" s="298">
        <f t="shared" si="268"/>
        <v>0.43</v>
      </c>
      <c r="BY892">
        <f t="shared" si="269"/>
        <v>0</v>
      </c>
      <c r="BZ892" s="304">
        <f t="shared" si="270"/>
        <v>0</v>
      </c>
      <c r="CB892" s="299">
        <v>0.6</v>
      </c>
      <c r="CC892" s="299">
        <v>0.4</v>
      </c>
      <c r="CD892">
        <f t="shared" si="271"/>
        <v>0</v>
      </c>
      <c r="CE892">
        <f t="shared" si="272"/>
        <v>0</v>
      </c>
      <c r="CF892">
        <f t="shared" si="273"/>
        <v>0</v>
      </c>
      <c r="CG892">
        <f t="shared" si="274"/>
        <v>0</v>
      </c>
      <c r="CH892">
        <f t="shared" si="275"/>
        <v>0</v>
      </c>
      <c r="CI892">
        <f t="shared" si="276"/>
        <v>0</v>
      </c>
      <c r="CJ892">
        <f t="shared" si="277"/>
        <v>0</v>
      </c>
      <c r="CK892">
        <f t="shared" si="278"/>
        <v>0</v>
      </c>
      <c r="CL892">
        <f t="shared" si="279"/>
        <v>0</v>
      </c>
      <c r="CM892">
        <f t="shared" si="281"/>
        <v>0</v>
      </c>
      <c r="CN892">
        <f t="shared" si="280"/>
        <v>0</v>
      </c>
      <c r="CO892">
        <f t="shared" si="264"/>
        <v>0</v>
      </c>
    </row>
    <row r="893" spans="1:93" s="12" customFormat="1" x14ac:dyDescent="0.25">
      <c r="A893" s="4">
        <v>2013</v>
      </c>
      <c r="B893" s="318">
        <v>44265</v>
      </c>
      <c r="C893" s="4" t="s">
        <v>430</v>
      </c>
      <c r="D893" s="4" t="s">
        <v>431</v>
      </c>
      <c r="E893" s="4"/>
      <c r="F893" s="4" t="s">
        <v>1493</v>
      </c>
      <c r="G893" s="5" t="s">
        <v>432</v>
      </c>
      <c r="H893" s="5" t="s">
        <v>185</v>
      </c>
      <c r="I893" s="5" t="s">
        <v>222</v>
      </c>
      <c r="J893" s="5" t="s">
        <v>9</v>
      </c>
      <c r="K893" s="5">
        <v>20</v>
      </c>
      <c r="L893" s="5" t="s">
        <v>191</v>
      </c>
      <c r="M893" s="5">
        <v>2000</v>
      </c>
      <c r="N893" s="5" t="s">
        <v>171</v>
      </c>
      <c r="O893" s="6" t="s">
        <v>81</v>
      </c>
      <c r="P893" s="6" t="s">
        <v>186</v>
      </c>
      <c r="Q893" s="6"/>
      <c r="R893" s="6"/>
      <c r="S893" s="6">
        <v>45</v>
      </c>
      <c r="T893" s="6">
        <v>17.7</v>
      </c>
      <c r="U893" s="6">
        <v>1853</v>
      </c>
      <c r="V893" s="6">
        <v>45.68</v>
      </c>
      <c r="W893" s="6">
        <v>0</v>
      </c>
      <c r="X893" s="6">
        <v>0</v>
      </c>
      <c r="Y893" s="6">
        <v>1079</v>
      </c>
      <c r="Z893" s="6">
        <v>672</v>
      </c>
      <c r="AA893" s="6">
        <v>94</v>
      </c>
      <c r="AB893" s="6">
        <v>8</v>
      </c>
      <c r="AC893" s="7">
        <v>121</v>
      </c>
      <c r="AD893" s="7" t="s">
        <v>52</v>
      </c>
      <c r="AE893" s="9">
        <v>38.367750896943903</v>
      </c>
      <c r="AF893" s="7">
        <v>120</v>
      </c>
      <c r="AG893" s="7">
        <v>30.44</v>
      </c>
      <c r="AH893" s="9">
        <v>56.830196979108401</v>
      </c>
      <c r="AI893" s="9">
        <v>57.923943333953503</v>
      </c>
      <c r="AJ893" s="9">
        <v>580.68817014713102</v>
      </c>
      <c r="AK893" s="9">
        <v>582.40134620317099</v>
      </c>
      <c r="AL893" s="9">
        <v>618.57084792803198</v>
      </c>
      <c r="AM893" s="9">
        <v>112.378517101722</v>
      </c>
      <c r="AN893" s="9">
        <v>0.92874807522084202</v>
      </c>
      <c r="AO893" s="9">
        <v>0.410617655079275</v>
      </c>
      <c r="AP893" s="9">
        <v>1785.88396663448</v>
      </c>
      <c r="AQ893" s="9">
        <v>14.7593716250784</v>
      </c>
      <c r="AR893" s="9">
        <v>10.313142386980299</v>
      </c>
      <c r="AS893" s="8" t="s">
        <v>169</v>
      </c>
      <c r="AT893" s="8" t="s">
        <v>169</v>
      </c>
      <c r="AU893" s="10" t="s">
        <v>169</v>
      </c>
      <c r="AV893" s="10">
        <v>0</v>
      </c>
      <c r="AW893" s="10" t="s">
        <v>169</v>
      </c>
      <c r="AX893" s="10" t="s">
        <v>169</v>
      </c>
      <c r="AY893" s="10"/>
      <c r="AZ893" s="10"/>
      <c r="BA893" s="10"/>
      <c r="BB893" s="8"/>
      <c r="BC893" s="8"/>
      <c r="BD893" s="8"/>
      <c r="BE893" s="8"/>
      <c r="BF893" s="12">
        <v>0.38</v>
      </c>
      <c r="BG893" s="13">
        <v>409.39080618703503</v>
      </c>
      <c r="BH893" s="96" t="str">
        <f>+VLOOKUP(G893,Liste!$A$7:$G$50,3,FALSE)</f>
        <v>Sapin pectiné</v>
      </c>
      <c r="BI893" s="96" t="str">
        <f>+VLOOKUP(H893,Liste!$B$7:$G$50,5,FALSE)</f>
        <v>GS Arc Jurassien</v>
      </c>
      <c r="BJ893" s="135">
        <f t="shared" si="263"/>
        <v>121</v>
      </c>
      <c r="BK893" s="135" t="str">
        <f t="shared" si="265"/>
        <v>Sapin pectiné_F1_Cas général_GS Arc Jurassien_121_</v>
      </c>
      <c r="BL893" s="322"/>
      <c r="BM893" s="13">
        <v>99.927634705828197</v>
      </c>
      <c r="BN893" s="13">
        <v>509.31844089286398</v>
      </c>
      <c r="BO893" s="13" t="s">
        <v>169</v>
      </c>
      <c r="BP893" s="13">
        <v>359.743735612752</v>
      </c>
      <c r="BQ893" s="13">
        <v>8.1250494714055908</v>
      </c>
      <c r="BT893" s="298" t="str">
        <f>+VLOOKUP(G893,Liste!$A$7:$H$50,8,FALSE)</f>
        <v>Résineux</v>
      </c>
      <c r="BU893" s="298">
        <f t="shared" si="266"/>
        <v>0</v>
      </c>
      <c r="BV893" s="300">
        <f t="shared" si="267"/>
        <v>1</v>
      </c>
      <c r="BW893" s="321">
        <v>0</v>
      </c>
      <c r="BX893" s="298">
        <f t="shared" si="268"/>
        <v>0.43</v>
      </c>
      <c r="BY893">
        <f t="shared" si="269"/>
        <v>0</v>
      </c>
      <c r="BZ893" s="304">
        <f t="shared" si="270"/>
        <v>0</v>
      </c>
      <c r="CB893" s="299">
        <v>0.6</v>
      </c>
      <c r="CC893" s="299">
        <v>0.4</v>
      </c>
      <c r="CD893">
        <f t="shared" si="271"/>
        <v>0</v>
      </c>
      <c r="CE893">
        <f t="shared" si="272"/>
        <v>0</v>
      </c>
      <c r="CF893">
        <f t="shared" si="273"/>
        <v>0</v>
      </c>
      <c r="CG893">
        <f t="shared" si="274"/>
        <v>0</v>
      </c>
      <c r="CH893">
        <f t="shared" si="275"/>
        <v>0</v>
      </c>
      <c r="CI893">
        <f t="shared" si="276"/>
        <v>0</v>
      </c>
      <c r="CJ893">
        <f t="shared" si="277"/>
        <v>0</v>
      </c>
      <c r="CK893">
        <f t="shared" si="278"/>
        <v>0</v>
      </c>
      <c r="CL893">
        <f t="shared" si="279"/>
        <v>0</v>
      </c>
      <c r="CM893">
        <f t="shared" si="281"/>
        <v>0</v>
      </c>
      <c r="CN893">
        <f t="shared" si="280"/>
        <v>0</v>
      </c>
      <c r="CO893">
        <f t="shared" si="264"/>
        <v>0</v>
      </c>
    </row>
    <row r="894" spans="1:93" s="12" customFormat="1" x14ac:dyDescent="0.25">
      <c r="A894" s="4">
        <v>2013</v>
      </c>
      <c r="B894" s="318">
        <v>44265</v>
      </c>
      <c r="C894" s="4" t="s">
        <v>430</v>
      </c>
      <c r="D894" s="4" t="s">
        <v>431</v>
      </c>
      <c r="E894" s="4"/>
      <c r="F894" s="4" t="s">
        <v>1493</v>
      </c>
      <c r="G894" s="5" t="s">
        <v>432</v>
      </c>
      <c r="H894" s="5" t="s">
        <v>185</v>
      </c>
      <c r="I894" s="5" t="s">
        <v>222</v>
      </c>
      <c r="J894" s="5" t="s">
        <v>9</v>
      </c>
      <c r="K894" s="5">
        <v>20</v>
      </c>
      <c r="L894" s="5" t="s">
        <v>191</v>
      </c>
      <c r="M894" s="5">
        <v>2000</v>
      </c>
      <c r="N894" s="5" t="s">
        <v>171</v>
      </c>
      <c r="O894" s="6" t="s">
        <v>81</v>
      </c>
      <c r="P894" s="6" t="s">
        <v>186</v>
      </c>
      <c r="Q894" s="6"/>
      <c r="R894" s="6"/>
      <c r="S894" s="6">
        <v>45</v>
      </c>
      <c r="T894" s="6">
        <v>17.7</v>
      </c>
      <c r="U894" s="6">
        <v>1853</v>
      </c>
      <c r="V894" s="6">
        <v>45.68</v>
      </c>
      <c r="W894" s="6">
        <v>0</v>
      </c>
      <c r="X894" s="6">
        <v>0</v>
      </c>
      <c r="Y894" s="6">
        <v>1079</v>
      </c>
      <c r="Z894" s="6">
        <v>672</v>
      </c>
      <c r="AA894" s="6">
        <v>94</v>
      </c>
      <c r="AB894" s="6">
        <v>8</v>
      </c>
      <c r="AC894" s="7">
        <v>122</v>
      </c>
      <c r="AD894" s="7" t="s">
        <v>52</v>
      </c>
      <c r="AE894" s="9">
        <v>38.504078066884098</v>
      </c>
      <c r="AF894" s="7">
        <v>120</v>
      </c>
      <c r="AG894" s="7">
        <v>30.86</v>
      </c>
      <c r="AH894" s="9">
        <v>57.2183267357319</v>
      </c>
      <c r="AI894" s="9">
        <v>58.315022115440797</v>
      </c>
      <c r="AJ894" s="9">
        <v>590.27032876162002</v>
      </c>
      <c r="AK894" s="9">
        <v>592.03519261226404</v>
      </c>
      <c r="AL894" s="9">
        <v>628.88399031501206</v>
      </c>
      <c r="AM894" s="9" t="s">
        <v>169</v>
      </c>
      <c r="AN894" s="9" t="s">
        <v>169</v>
      </c>
      <c r="AO894" s="9" t="s">
        <v>169</v>
      </c>
      <c r="AP894" s="9" t="s">
        <v>169</v>
      </c>
      <c r="AQ894" s="9" t="s">
        <v>169</v>
      </c>
      <c r="AR894" s="9" t="s">
        <v>169</v>
      </c>
      <c r="AS894" s="8" t="s">
        <v>169</v>
      </c>
      <c r="AT894" s="8" t="s">
        <v>169</v>
      </c>
      <c r="AU894" s="10" t="s">
        <v>169</v>
      </c>
      <c r="AV894" s="10">
        <v>0</v>
      </c>
      <c r="AW894" s="10" t="s">
        <v>169</v>
      </c>
      <c r="AX894" s="10" t="s">
        <v>169</v>
      </c>
      <c r="AY894" s="10"/>
      <c r="AZ894" s="10"/>
      <c r="BA894" s="10"/>
      <c r="BB894" s="8"/>
      <c r="BC894" s="8"/>
      <c r="BD894" s="8"/>
      <c r="BE894" s="8"/>
      <c r="BF894" s="12">
        <v>0.38</v>
      </c>
      <c r="BG894" s="13">
        <v>416.21638759015201</v>
      </c>
      <c r="BH894" s="96" t="str">
        <f>+VLOOKUP(G894,Liste!$A$7:$G$50,3,FALSE)</f>
        <v>Sapin pectiné</v>
      </c>
      <c r="BI894" s="96" t="str">
        <f>+VLOOKUP(H894,Liste!$B$7:$G$50,5,FALSE)</f>
        <v>GS Arc Jurassien</v>
      </c>
      <c r="BJ894" s="135">
        <f t="shared" si="263"/>
        <v>122</v>
      </c>
      <c r="BK894" s="135" t="str">
        <f t="shared" si="265"/>
        <v>Sapin pectiné_F1_Cas général_GS Arc Jurassien_122_</v>
      </c>
      <c r="BL894" s="322"/>
      <c r="BM894" s="13">
        <v>101.394176744947</v>
      </c>
      <c r="BN894" s="13">
        <v>517.61056433509896</v>
      </c>
      <c r="BO894" s="13" t="s">
        <v>169</v>
      </c>
      <c r="BP894" s="13">
        <v>359.743735612752</v>
      </c>
      <c r="BQ894" s="13" t="s">
        <v>169</v>
      </c>
      <c r="BT894" s="298" t="str">
        <f>+VLOOKUP(G894,Liste!$A$7:$H$50,8,FALSE)</f>
        <v>Résineux</v>
      </c>
      <c r="BU894" s="298">
        <f t="shared" si="266"/>
        <v>0</v>
      </c>
      <c r="BV894" s="300">
        <f t="shared" si="267"/>
        <v>1</v>
      </c>
      <c r="BW894" s="321">
        <v>0</v>
      </c>
      <c r="BX894" s="298">
        <f t="shared" si="268"/>
        <v>0.43</v>
      </c>
      <c r="BY894">
        <f t="shared" si="269"/>
        <v>0</v>
      </c>
      <c r="BZ894" s="304">
        <f t="shared" si="270"/>
        <v>0</v>
      </c>
      <c r="CB894" s="299">
        <v>0.6</v>
      </c>
      <c r="CC894" s="299">
        <v>0.4</v>
      </c>
      <c r="CD894">
        <f t="shared" si="271"/>
        <v>0</v>
      </c>
      <c r="CE894">
        <f t="shared" si="272"/>
        <v>0</v>
      </c>
      <c r="CF894">
        <f t="shared" si="273"/>
        <v>0</v>
      </c>
      <c r="CG894">
        <f t="shared" si="274"/>
        <v>0</v>
      </c>
      <c r="CH894">
        <f t="shared" si="275"/>
        <v>0</v>
      </c>
      <c r="CI894">
        <f t="shared" si="276"/>
        <v>0</v>
      </c>
      <c r="CJ894">
        <f t="shared" si="277"/>
        <v>0</v>
      </c>
      <c r="CK894">
        <f t="shared" si="278"/>
        <v>0</v>
      </c>
      <c r="CL894">
        <f t="shared" si="279"/>
        <v>0</v>
      </c>
      <c r="CM894">
        <f t="shared" si="281"/>
        <v>0</v>
      </c>
      <c r="CN894">
        <f t="shared" si="280"/>
        <v>0</v>
      </c>
      <c r="CO894">
        <f t="shared" si="264"/>
        <v>0</v>
      </c>
    </row>
    <row r="895" spans="1:93" s="12" customFormat="1" x14ac:dyDescent="0.25">
      <c r="A895" s="4">
        <v>2013</v>
      </c>
      <c r="B895" s="318">
        <v>44265</v>
      </c>
      <c r="C895" s="4" t="s">
        <v>430</v>
      </c>
      <c r="D895" s="4" t="s">
        <v>431</v>
      </c>
      <c r="E895" s="4"/>
      <c r="F895" s="4" t="s">
        <v>1493</v>
      </c>
      <c r="G895" s="5" t="s">
        <v>432</v>
      </c>
      <c r="H895" s="5" t="s">
        <v>185</v>
      </c>
      <c r="I895" s="5" t="s">
        <v>222</v>
      </c>
      <c r="J895" s="5" t="s">
        <v>9</v>
      </c>
      <c r="K895" s="5">
        <v>20</v>
      </c>
      <c r="L895" s="5" t="s">
        <v>191</v>
      </c>
      <c r="M895" s="5">
        <v>2000</v>
      </c>
      <c r="N895" s="5" t="s">
        <v>171</v>
      </c>
      <c r="O895" s="6" t="s">
        <v>81</v>
      </c>
      <c r="P895" s="6" t="s">
        <v>186</v>
      </c>
      <c r="Q895" s="6"/>
      <c r="R895" s="6"/>
      <c r="S895" s="6">
        <v>45</v>
      </c>
      <c r="T895" s="6">
        <v>17.7</v>
      </c>
      <c r="U895" s="6">
        <v>1853</v>
      </c>
      <c r="V895" s="6">
        <v>45.68</v>
      </c>
      <c r="W895" s="6">
        <v>0</v>
      </c>
      <c r="X895" s="6">
        <v>0</v>
      </c>
      <c r="Y895" s="6">
        <v>1079</v>
      </c>
      <c r="Z895" s="6">
        <v>672</v>
      </c>
      <c r="AA895" s="6">
        <v>94</v>
      </c>
      <c r="AB895" s="6">
        <v>8</v>
      </c>
      <c r="AC895" s="7">
        <v>123</v>
      </c>
      <c r="AD895" s="7" t="s">
        <v>52</v>
      </c>
      <c r="AE895" s="9">
        <v>38.638541655200299</v>
      </c>
      <c r="AF895" s="7">
        <v>120</v>
      </c>
      <c r="AG895" s="7">
        <v>31.27</v>
      </c>
      <c r="AH895" s="9">
        <v>57.599773786879403</v>
      </c>
      <c r="AI895" s="9">
        <v>58.699331790155597</v>
      </c>
      <c r="AJ895" s="9">
        <v>599.852487376108</v>
      </c>
      <c r="AK895" s="9">
        <v>601.66903902135698</v>
      </c>
      <c r="AL895" s="9">
        <v>639.19713270199202</v>
      </c>
      <c r="AM895" s="9" t="s">
        <v>169</v>
      </c>
      <c r="AN895" s="9" t="s">
        <v>169</v>
      </c>
      <c r="AO895" s="9" t="s">
        <v>169</v>
      </c>
      <c r="AP895" s="9" t="s">
        <v>169</v>
      </c>
      <c r="AQ895" s="9" t="s">
        <v>169</v>
      </c>
      <c r="AR895" s="9" t="s">
        <v>169</v>
      </c>
      <c r="AS895" s="8" t="s">
        <v>169</v>
      </c>
      <c r="AT895" s="8" t="s">
        <v>169</v>
      </c>
      <c r="AU895" s="10" t="s">
        <v>169</v>
      </c>
      <c r="AV895" s="10">
        <v>0</v>
      </c>
      <c r="AW895" s="10" t="s">
        <v>169</v>
      </c>
      <c r="AX895" s="10" t="s">
        <v>169</v>
      </c>
      <c r="AY895" s="10"/>
      <c r="AZ895" s="10"/>
      <c r="BA895" s="10"/>
      <c r="BB895" s="8"/>
      <c r="BC895" s="8"/>
      <c r="BD895" s="8"/>
      <c r="BE895" s="8"/>
      <c r="BF895" s="12">
        <v>0.38</v>
      </c>
      <c r="BG895" s="13">
        <v>423.04196899326797</v>
      </c>
      <c r="BH895" s="96" t="str">
        <f>+VLOOKUP(G895,Liste!$A$7:$G$50,3,FALSE)</f>
        <v>Sapin pectiné</v>
      </c>
      <c r="BI895" s="96" t="str">
        <f>+VLOOKUP(H895,Liste!$B$7:$G$50,5,FALSE)</f>
        <v>GS Arc Jurassien</v>
      </c>
      <c r="BJ895" s="135">
        <f t="shared" si="263"/>
        <v>123</v>
      </c>
      <c r="BK895" s="135" t="str">
        <f t="shared" si="265"/>
        <v>Sapin pectiné_F1_Cas général_GS Arc Jurassien_123_</v>
      </c>
      <c r="BL895" s="322"/>
      <c r="BM895" s="13">
        <v>102.86071878406599</v>
      </c>
      <c r="BN895" s="13">
        <v>525.90268777733399</v>
      </c>
      <c r="BO895" s="13" t="s">
        <v>169</v>
      </c>
      <c r="BP895" s="13">
        <v>359.743735612752</v>
      </c>
      <c r="BQ895" s="13" t="s">
        <v>169</v>
      </c>
      <c r="BT895" s="298" t="str">
        <f>+VLOOKUP(G895,Liste!$A$7:$H$50,8,FALSE)</f>
        <v>Résineux</v>
      </c>
      <c r="BU895" s="298">
        <f t="shared" si="266"/>
        <v>0</v>
      </c>
      <c r="BV895" s="300">
        <f t="shared" si="267"/>
        <v>1</v>
      </c>
      <c r="BW895" s="321">
        <v>0</v>
      </c>
      <c r="BX895" s="298">
        <f t="shared" si="268"/>
        <v>0.43</v>
      </c>
      <c r="BY895">
        <f t="shared" si="269"/>
        <v>0</v>
      </c>
      <c r="BZ895" s="304">
        <f t="shared" si="270"/>
        <v>0</v>
      </c>
      <c r="CB895" s="299">
        <v>0.6</v>
      </c>
      <c r="CC895" s="299">
        <v>0.4</v>
      </c>
      <c r="CD895">
        <f t="shared" si="271"/>
        <v>0</v>
      </c>
      <c r="CE895">
        <f t="shared" si="272"/>
        <v>0</v>
      </c>
      <c r="CF895">
        <f t="shared" si="273"/>
        <v>0</v>
      </c>
      <c r="CG895">
        <f t="shared" si="274"/>
        <v>0</v>
      </c>
      <c r="CH895">
        <f t="shared" si="275"/>
        <v>0</v>
      </c>
      <c r="CI895">
        <f t="shared" si="276"/>
        <v>0</v>
      </c>
      <c r="CJ895">
        <f t="shared" si="277"/>
        <v>0</v>
      </c>
      <c r="CK895">
        <f t="shared" si="278"/>
        <v>0</v>
      </c>
      <c r="CL895">
        <f t="shared" si="279"/>
        <v>0</v>
      </c>
      <c r="CM895">
        <f t="shared" si="281"/>
        <v>0</v>
      </c>
      <c r="CN895">
        <f t="shared" si="280"/>
        <v>0</v>
      </c>
      <c r="CO895">
        <f t="shared" si="264"/>
        <v>0</v>
      </c>
    </row>
    <row r="896" spans="1:93" s="12" customFormat="1" x14ac:dyDescent="0.25">
      <c r="A896" s="4">
        <v>2013</v>
      </c>
      <c r="B896" s="318">
        <v>44265</v>
      </c>
      <c r="C896" s="4" t="s">
        <v>430</v>
      </c>
      <c r="D896" s="4" t="s">
        <v>431</v>
      </c>
      <c r="E896" s="4"/>
      <c r="F896" s="4" t="s">
        <v>1493</v>
      </c>
      <c r="G896" s="5" t="s">
        <v>432</v>
      </c>
      <c r="H896" s="5" t="s">
        <v>185</v>
      </c>
      <c r="I896" s="5" t="s">
        <v>222</v>
      </c>
      <c r="J896" s="5" t="s">
        <v>9</v>
      </c>
      <c r="K896" s="5">
        <v>20</v>
      </c>
      <c r="L896" s="5" t="s">
        <v>191</v>
      </c>
      <c r="M896" s="5">
        <v>2000</v>
      </c>
      <c r="N896" s="5" t="s">
        <v>171</v>
      </c>
      <c r="O896" s="6" t="s">
        <v>81</v>
      </c>
      <c r="P896" s="6" t="s">
        <v>186</v>
      </c>
      <c r="Q896" s="6"/>
      <c r="R896" s="6"/>
      <c r="S896" s="6">
        <v>45</v>
      </c>
      <c r="T896" s="6">
        <v>17.7</v>
      </c>
      <c r="U896" s="6">
        <v>1853</v>
      </c>
      <c r="V896" s="6">
        <v>45.68</v>
      </c>
      <c r="W896" s="6">
        <v>0</v>
      </c>
      <c r="X896" s="6">
        <v>0</v>
      </c>
      <c r="Y896" s="6">
        <v>1079</v>
      </c>
      <c r="Z896" s="6">
        <v>672</v>
      </c>
      <c r="AA896" s="6">
        <v>94</v>
      </c>
      <c r="AB896" s="6">
        <v>8</v>
      </c>
      <c r="AC896" s="7">
        <v>124</v>
      </c>
      <c r="AD896" s="7" t="s">
        <v>52</v>
      </c>
      <c r="AE896" s="9">
        <v>38.771177609772202</v>
      </c>
      <c r="AF896" s="7">
        <v>120</v>
      </c>
      <c r="AG896" s="7">
        <v>31.68</v>
      </c>
      <c r="AH896" s="9">
        <v>57.974714508875401</v>
      </c>
      <c r="AI896" s="9">
        <v>59.077052448332701</v>
      </c>
      <c r="AJ896" s="9">
        <v>609.43464599059701</v>
      </c>
      <c r="AK896" s="9">
        <v>611.30288543045106</v>
      </c>
      <c r="AL896" s="9">
        <v>649.51027508897198</v>
      </c>
      <c r="AM896" s="9" t="s">
        <v>169</v>
      </c>
      <c r="AN896" s="9" t="s">
        <v>169</v>
      </c>
      <c r="AO896" s="9" t="s">
        <v>169</v>
      </c>
      <c r="AP896" s="9" t="s">
        <v>169</v>
      </c>
      <c r="AQ896" s="9" t="s">
        <v>169</v>
      </c>
      <c r="AR896" s="9" t="s">
        <v>169</v>
      </c>
      <c r="AS896" s="8" t="s">
        <v>169</v>
      </c>
      <c r="AT896" s="8" t="s">
        <v>169</v>
      </c>
      <c r="AU896" s="10" t="s">
        <v>169</v>
      </c>
      <c r="AV896" s="10">
        <v>0</v>
      </c>
      <c r="AW896" s="10" t="s">
        <v>169</v>
      </c>
      <c r="AX896" s="10" t="s">
        <v>169</v>
      </c>
      <c r="AY896" s="10"/>
      <c r="AZ896" s="10"/>
      <c r="BA896" s="10"/>
      <c r="BB896" s="8"/>
      <c r="BC896" s="8"/>
      <c r="BD896" s="8"/>
      <c r="BE896" s="8"/>
      <c r="BF896" s="12">
        <v>0.38</v>
      </c>
      <c r="BG896" s="13">
        <v>429.86755039638501</v>
      </c>
      <c r="BH896" s="96" t="str">
        <f>+VLOOKUP(G896,Liste!$A$7:$G$50,3,FALSE)</f>
        <v>Sapin pectiné</v>
      </c>
      <c r="BI896" s="96" t="str">
        <f>+VLOOKUP(H896,Liste!$B$7:$G$50,5,FALSE)</f>
        <v>GS Arc Jurassien</v>
      </c>
      <c r="BJ896" s="135">
        <f t="shared" si="263"/>
        <v>124</v>
      </c>
      <c r="BK896" s="135" t="str">
        <f t="shared" si="265"/>
        <v>Sapin pectiné_F1_Cas général_GS Arc Jurassien_124_</v>
      </c>
      <c r="BL896" s="322"/>
      <c r="BM896" s="13">
        <v>104.327260823185</v>
      </c>
      <c r="BN896" s="13">
        <v>534.19481121957006</v>
      </c>
      <c r="BO896" s="13" t="s">
        <v>169</v>
      </c>
      <c r="BP896" s="13">
        <v>359.743735612752</v>
      </c>
      <c r="BQ896" s="13" t="s">
        <v>169</v>
      </c>
      <c r="BT896" s="298" t="str">
        <f>+VLOOKUP(G896,Liste!$A$7:$H$50,8,FALSE)</f>
        <v>Résineux</v>
      </c>
      <c r="BU896" s="298">
        <f t="shared" si="266"/>
        <v>0</v>
      </c>
      <c r="BV896" s="300">
        <f t="shared" si="267"/>
        <v>1</v>
      </c>
      <c r="BW896" s="321">
        <v>0</v>
      </c>
      <c r="BX896" s="298">
        <f t="shared" si="268"/>
        <v>0.43</v>
      </c>
      <c r="BY896">
        <f t="shared" si="269"/>
        <v>0</v>
      </c>
      <c r="BZ896" s="304">
        <f t="shared" si="270"/>
        <v>0</v>
      </c>
      <c r="CB896" s="299">
        <v>0.6</v>
      </c>
      <c r="CC896" s="299">
        <v>0.4</v>
      </c>
      <c r="CD896">
        <f t="shared" si="271"/>
        <v>0</v>
      </c>
      <c r="CE896">
        <f t="shared" si="272"/>
        <v>0</v>
      </c>
      <c r="CF896">
        <f t="shared" si="273"/>
        <v>0</v>
      </c>
      <c r="CG896">
        <f t="shared" si="274"/>
        <v>0</v>
      </c>
      <c r="CH896">
        <f t="shared" si="275"/>
        <v>0</v>
      </c>
      <c r="CI896">
        <f t="shared" si="276"/>
        <v>0</v>
      </c>
      <c r="CJ896">
        <f t="shared" si="277"/>
        <v>0</v>
      </c>
      <c r="CK896">
        <f t="shared" si="278"/>
        <v>0</v>
      </c>
      <c r="CL896">
        <f t="shared" si="279"/>
        <v>0</v>
      </c>
      <c r="CM896">
        <f t="shared" si="281"/>
        <v>0</v>
      </c>
      <c r="CN896">
        <f t="shared" si="280"/>
        <v>0</v>
      </c>
      <c r="CO896">
        <f t="shared" si="264"/>
        <v>0</v>
      </c>
    </row>
    <row r="897" spans="1:93" s="12" customFormat="1" x14ac:dyDescent="0.25">
      <c r="A897" s="4">
        <v>2013</v>
      </c>
      <c r="B897" s="318">
        <v>44265</v>
      </c>
      <c r="C897" s="4" t="s">
        <v>430</v>
      </c>
      <c r="D897" s="4" t="s">
        <v>431</v>
      </c>
      <c r="E897" s="4"/>
      <c r="F897" s="4" t="s">
        <v>1493</v>
      </c>
      <c r="G897" s="5" t="s">
        <v>432</v>
      </c>
      <c r="H897" s="5" t="s">
        <v>185</v>
      </c>
      <c r="I897" s="5" t="s">
        <v>222</v>
      </c>
      <c r="J897" s="5" t="s">
        <v>9</v>
      </c>
      <c r="K897" s="5">
        <v>20</v>
      </c>
      <c r="L897" s="5" t="s">
        <v>191</v>
      </c>
      <c r="M897" s="5">
        <v>2000</v>
      </c>
      <c r="N897" s="5" t="s">
        <v>171</v>
      </c>
      <c r="O897" s="6" t="s">
        <v>81</v>
      </c>
      <c r="P897" s="6" t="s">
        <v>186</v>
      </c>
      <c r="Q897" s="6"/>
      <c r="R897" s="6"/>
      <c r="S897" s="6">
        <v>45</v>
      </c>
      <c r="T897" s="6">
        <v>17.7</v>
      </c>
      <c r="U897" s="6">
        <v>1853</v>
      </c>
      <c r="V897" s="6">
        <v>45.68</v>
      </c>
      <c r="W897" s="6">
        <v>0</v>
      </c>
      <c r="X897" s="6">
        <v>0</v>
      </c>
      <c r="Y897" s="6">
        <v>1079</v>
      </c>
      <c r="Z897" s="6">
        <v>672</v>
      </c>
      <c r="AA897" s="6">
        <v>94</v>
      </c>
      <c r="AB897" s="6">
        <v>8</v>
      </c>
      <c r="AC897" s="7">
        <v>125</v>
      </c>
      <c r="AD897" s="7" t="s">
        <v>52</v>
      </c>
      <c r="AE897" s="9">
        <v>38.902021008341599</v>
      </c>
      <c r="AF897" s="7">
        <v>120</v>
      </c>
      <c r="AG897" s="7">
        <v>32.08</v>
      </c>
      <c r="AH897" s="9">
        <v>58.343318675932899</v>
      </c>
      <c r="AI897" s="9">
        <v>59.448357517448997</v>
      </c>
      <c r="AJ897" s="9">
        <v>619.01680460508601</v>
      </c>
      <c r="AK897" s="9">
        <v>620.936731839544</v>
      </c>
      <c r="AL897" s="9">
        <v>659.82341747595297</v>
      </c>
      <c r="AM897" s="9">
        <v>114.020987722039</v>
      </c>
      <c r="AN897" s="9">
        <v>0.91216790177631102</v>
      </c>
      <c r="AO897" s="9">
        <v>0.37747793833016502</v>
      </c>
      <c r="AP897" s="9">
        <v>1827.1365361824001</v>
      </c>
      <c r="AQ897" s="9">
        <v>14.617092289459199</v>
      </c>
      <c r="AR897" s="9">
        <v>9.6170795069619999</v>
      </c>
      <c r="AS897" s="8" t="s">
        <v>169</v>
      </c>
      <c r="AT897" s="8" t="s">
        <v>169</v>
      </c>
      <c r="AU897" s="10" t="s">
        <v>169</v>
      </c>
      <c r="AV897" s="10">
        <v>0</v>
      </c>
      <c r="AW897" s="10" t="s">
        <v>169</v>
      </c>
      <c r="AX897" s="10" t="s">
        <v>169</v>
      </c>
      <c r="AY897" s="10"/>
      <c r="AZ897" s="10"/>
      <c r="BA897" s="10"/>
      <c r="BB897" s="8"/>
      <c r="BC897" s="8"/>
      <c r="BD897" s="8"/>
      <c r="BE897" s="8"/>
      <c r="BF897" s="12">
        <v>0.38</v>
      </c>
      <c r="BG897" s="13">
        <v>436.69313179950097</v>
      </c>
      <c r="BH897" s="96" t="str">
        <f>+VLOOKUP(G897,Liste!$A$7:$G$50,3,FALSE)</f>
        <v>Sapin pectiné</v>
      </c>
      <c r="BI897" s="96" t="str">
        <f>+VLOOKUP(H897,Liste!$B$7:$G$50,5,FALSE)</f>
        <v>GS Arc Jurassien</v>
      </c>
      <c r="BJ897" s="135">
        <f t="shared" si="263"/>
        <v>125</v>
      </c>
      <c r="BK897" s="135" t="str">
        <f t="shared" si="265"/>
        <v>Sapin pectiné_F1_Cas général_GS Arc Jurassien_125_</v>
      </c>
      <c r="BL897" s="322"/>
      <c r="BM897" s="13">
        <v>105.79380286230401</v>
      </c>
      <c r="BN897" s="13">
        <v>542.48693466180498</v>
      </c>
      <c r="BO897" s="13" t="s">
        <v>169</v>
      </c>
      <c r="BP897" s="13">
        <v>359.743735612752</v>
      </c>
      <c r="BQ897" s="13">
        <v>7.5732277529885801</v>
      </c>
      <c r="BT897" s="298" t="str">
        <f>+VLOOKUP(G897,Liste!$A$7:$H$50,8,FALSE)</f>
        <v>Résineux</v>
      </c>
      <c r="BU897" s="298">
        <f t="shared" si="266"/>
        <v>0</v>
      </c>
      <c r="BV897" s="300">
        <f t="shared" si="267"/>
        <v>1</v>
      </c>
      <c r="BW897" s="321">
        <v>0</v>
      </c>
      <c r="BX897" s="298">
        <f t="shared" si="268"/>
        <v>0.43</v>
      </c>
      <c r="BY897">
        <f t="shared" si="269"/>
        <v>0</v>
      </c>
      <c r="BZ897" s="304">
        <f t="shared" si="270"/>
        <v>0</v>
      </c>
      <c r="CB897" s="299">
        <v>0.6</v>
      </c>
      <c r="CC897" s="299">
        <v>0.4</v>
      </c>
      <c r="CD897">
        <f t="shared" si="271"/>
        <v>0</v>
      </c>
      <c r="CE897">
        <f t="shared" si="272"/>
        <v>0</v>
      </c>
      <c r="CF897">
        <f t="shared" si="273"/>
        <v>0</v>
      </c>
      <c r="CG897">
        <f t="shared" si="274"/>
        <v>0</v>
      </c>
      <c r="CH897">
        <f t="shared" si="275"/>
        <v>0</v>
      </c>
      <c r="CI897">
        <f t="shared" si="276"/>
        <v>0</v>
      </c>
      <c r="CJ897">
        <f t="shared" si="277"/>
        <v>0</v>
      </c>
      <c r="CK897">
        <f t="shared" si="278"/>
        <v>0</v>
      </c>
      <c r="CL897">
        <f t="shared" si="279"/>
        <v>0</v>
      </c>
      <c r="CM897">
        <f t="shared" si="281"/>
        <v>0</v>
      </c>
      <c r="CN897">
        <f t="shared" si="280"/>
        <v>0</v>
      </c>
      <c r="CO897">
        <f t="shared" si="264"/>
        <v>0</v>
      </c>
    </row>
    <row r="898" spans="1:93" s="12" customFormat="1" x14ac:dyDescent="0.25">
      <c r="A898" s="4">
        <v>2013</v>
      </c>
      <c r="B898" s="318">
        <v>44265</v>
      </c>
      <c r="C898" s="4" t="s">
        <v>430</v>
      </c>
      <c r="D898" s="4" t="s">
        <v>431</v>
      </c>
      <c r="E898" s="4"/>
      <c r="F898" s="4" t="s">
        <v>1493</v>
      </c>
      <c r="G898" s="5" t="s">
        <v>432</v>
      </c>
      <c r="H898" s="5" t="s">
        <v>185</v>
      </c>
      <c r="I898" s="5" t="s">
        <v>222</v>
      </c>
      <c r="J898" s="5" t="s">
        <v>9</v>
      </c>
      <c r="K898" s="5">
        <v>20</v>
      </c>
      <c r="L898" s="5" t="s">
        <v>191</v>
      </c>
      <c r="M898" s="5">
        <v>2000</v>
      </c>
      <c r="N898" s="5" t="s">
        <v>171</v>
      </c>
      <c r="O898" s="6" t="s">
        <v>81</v>
      </c>
      <c r="P898" s="6" t="s">
        <v>186</v>
      </c>
      <c r="Q898" s="6"/>
      <c r="R898" s="6"/>
      <c r="S898" s="6">
        <v>45</v>
      </c>
      <c r="T898" s="6">
        <v>17.7</v>
      </c>
      <c r="U898" s="6">
        <v>1853</v>
      </c>
      <c r="V898" s="6">
        <v>45.68</v>
      </c>
      <c r="W898" s="6">
        <v>0</v>
      </c>
      <c r="X898" s="6">
        <v>0</v>
      </c>
      <c r="Y898" s="6">
        <v>1079</v>
      </c>
      <c r="Z898" s="6">
        <v>672</v>
      </c>
      <c r="AA898" s="6">
        <v>94</v>
      </c>
      <c r="AB898" s="6">
        <v>8</v>
      </c>
      <c r="AC898" s="7">
        <v>125</v>
      </c>
      <c r="AD898" s="7" t="s">
        <v>53</v>
      </c>
      <c r="AE898" s="9">
        <v>38.902021008341599</v>
      </c>
      <c r="AF898" s="7">
        <v>105</v>
      </c>
      <c r="AG898" s="7">
        <v>27.9</v>
      </c>
      <c r="AH898" s="9">
        <v>58.160192513241597</v>
      </c>
      <c r="AI898" s="9">
        <v>58.478102963629802</v>
      </c>
      <c r="AJ898" s="9">
        <v>538.00179862372602</v>
      </c>
      <c r="AK898" s="9">
        <v>539.67457627701503</v>
      </c>
      <c r="AL898" s="9">
        <v>573.60664508514799</v>
      </c>
      <c r="AM898" s="9">
        <v>114.020987722039</v>
      </c>
      <c r="AN898" s="9">
        <v>0.91216790177631102</v>
      </c>
      <c r="AO898" s="9">
        <v>0.37747793833016502</v>
      </c>
      <c r="AP898" s="9">
        <v>1827.1365361824001</v>
      </c>
      <c r="AQ898" s="9">
        <v>14.617092289459199</v>
      </c>
      <c r="AR898" s="9">
        <v>9.6170795069619999</v>
      </c>
      <c r="AS898" s="8">
        <v>15</v>
      </c>
      <c r="AT898" s="8">
        <v>4.18</v>
      </c>
      <c r="AU898" s="10">
        <v>59.565881156878056</v>
      </c>
      <c r="AV898" s="10">
        <v>81.015005981359991</v>
      </c>
      <c r="AW898" s="10">
        <v>1.0423483503979185</v>
      </c>
      <c r="AX898" s="10">
        <v>5.4010003987573327</v>
      </c>
      <c r="AY898" s="10"/>
      <c r="AZ898" s="10"/>
      <c r="BA898" s="10"/>
      <c r="BB898" s="8"/>
      <c r="BC898" s="8"/>
      <c r="BD898" s="8"/>
      <c r="BE898" s="8"/>
      <c r="BF898" s="12">
        <v>0.38</v>
      </c>
      <c r="BG898" s="13">
        <v>379.631997938854</v>
      </c>
      <c r="BH898" s="96" t="str">
        <f>+VLOOKUP(G898,Liste!$A$7:$G$50,3,FALSE)</f>
        <v>Sapin pectiné</v>
      </c>
      <c r="BI898" s="96" t="str">
        <f>+VLOOKUP(H898,Liste!$B$7:$G$50,5,FALSE)</f>
        <v>GS Arc Jurassien</v>
      </c>
      <c r="BJ898" s="135">
        <f t="shared" si="263"/>
        <v>125</v>
      </c>
      <c r="BK898" s="135" t="str">
        <f t="shared" si="265"/>
        <v>Sapin pectiné_F1_Cas général_GS Arc Jurassien_125_</v>
      </c>
      <c r="BL898" s="322"/>
      <c r="BM898" s="13">
        <v>93.481435962676301</v>
      </c>
      <c r="BN898" s="13">
        <v>473.11343390153002</v>
      </c>
      <c r="BO898" s="13">
        <v>69.373500760274965</v>
      </c>
      <c r="BP898" s="13">
        <v>359.743735612752</v>
      </c>
      <c r="BQ898" s="13">
        <v>7.5732277529885801</v>
      </c>
      <c r="BT898" s="298" t="str">
        <f>+VLOOKUP(G898,Liste!$A$7:$H$50,8,FALSE)</f>
        <v>Résineux</v>
      </c>
      <c r="BU898" s="298">
        <f t="shared" si="266"/>
        <v>0</v>
      </c>
      <c r="BV898" s="300">
        <f t="shared" si="267"/>
        <v>1</v>
      </c>
      <c r="BW898" s="321">
        <v>0</v>
      </c>
      <c r="BX898" s="298">
        <f t="shared" si="268"/>
        <v>0.43</v>
      </c>
      <c r="BY898">
        <f t="shared" si="269"/>
        <v>0</v>
      </c>
      <c r="BZ898" s="304">
        <f t="shared" si="270"/>
        <v>0</v>
      </c>
      <c r="CB898" s="299">
        <v>0.6</v>
      </c>
      <c r="CC898" s="299">
        <v>0.4</v>
      </c>
      <c r="CD898">
        <f t="shared" si="271"/>
        <v>0</v>
      </c>
      <c r="CE898">
        <f t="shared" si="272"/>
        <v>0</v>
      </c>
      <c r="CF898">
        <f t="shared" si="273"/>
        <v>0</v>
      </c>
      <c r="CG898">
        <f t="shared" si="274"/>
        <v>0</v>
      </c>
      <c r="CH898">
        <f t="shared" si="275"/>
        <v>0</v>
      </c>
      <c r="CI898">
        <f t="shared" si="276"/>
        <v>0</v>
      </c>
      <c r="CJ898">
        <f t="shared" si="277"/>
        <v>0</v>
      </c>
      <c r="CK898">
        <f t="shared" si="278"/>
        <v>0</v>
      </c>
      <c r="CL898">
        <f t="shared" si="279"/>
        <v>0</v>
      </c>
      <c r="CM898">
        <f t="shared" si="281"/>
        <v>0</v>
      </c>
      <c r="CN898">
        <f t="shared" si="280"/>
        <v>0</v>
      </c>
      <c r="CO898">
        <f t="shared" si="264"/>
        <v>0</v>
      </c>
    </row>
    <row r="899" spans="1:93" s="12" customFormat="1" x14ac:dyDescent="0.25">
      <c r="A899" s="4">
        <v>2013</v>
      </c>
      <c r="B899" s="318">
        <v>44265</v>
      </c>
      <c r="C899" s="4" t="s">
        <v>430</v>
      </c>
      <c r="D899" s="4" t="s">
        <v>431</v>
      </c>
      <c r="E899" s="4"/>
      <c r="F899" s="4" t="s">
        <v>1493</v>
      </c>
      <c r="G899" s="5" t="s">
        <v>432</v>
      </c>
      <c r="H899" s="5" t="s">
        <v>185</v>
      </c>
      <c r="I899" s="5" t="s">
        <v>222</v>
      </c>
      <c r="J899" s="5" t="s">
        <v>9</v>
      </c>
      <c r="K899" s="5">
        <v>20</v>
      </c>
      <c r="L899" s="5" t="s">
        <v>191</v>
      </c>
      <c r="M899" s="5">
        <v>2000</v>
      </c>
      <c r="N899" s="5" t="s">
        <v>171</v>
      </c>
      <c r="O899" s="6" t="s">
        <v>81</v>
      </c>
      <c r="P899" s="6" t="s">
        <v>186</v>
      </c>
      <c r="Q899" s="6"/>
      <c r="R899" s="6"/>
      <c r="S899" s="6">
        <v>45</v>
      </c>
      <c r="T899" s="6">
        <v>17.7</v>
      </c>
      <c r="U899" s="6">
        <v>1853</v>
      </c>
      <c r="V899" s="6">
        <v>45.68</v>
      </c>
      <c r="W899" s="6">
        <v>0</v>
      </c>
      <c r="X899" s="6">
        <v>0</v>
      </c>
      <c r="Y899" s="6">
        <v>1079</v>
      </c>
      <c r="Z899" s="6">
        <v>672</v>
      </c>
      <c r="AA899" s="6">
        <v>94</v>
      </c>
      <c r="AB899" s="6">
        <v>8</v>
      </c>
      <c r="AC899" s="7">
        <v>126</v>
      </c>
      <c r="AD899" s="7" t="s">
        <v>52</v>
      </c>
      <c r="AE899" s="9">
        <v>39.031106082919202</v>
      </c>
      <c r="AF899" s="7">
        <v>105</v>
      </c>
      <c r="AG899" s="7">
        <v>28.28</v>
      </c>
      <c r="AH899" s="9">
        <v>58.5604769620385</v>
      </c>
      <c r="AI899" s="9">
        <v>58.879253397941703</v>
      </c>
      <c r="AJ899" s="9">
        <v>544.56012901153997</v>
      </c>
      <c r="AK899" s="9">
        <v>546.46033553229699</v>
      </c>
      <c r="AL899" s="9">
        <v>583.22372459210999</v>
      </c>
      <c r="AM899" s="9" t="s">
        <v>169</v>
      </c>
      <c r="AN899" s="9" t="s">
        <v>169</v>
      </c>
      <c r="AO899" s="9" t="s">
        <v>169</v>
      </c>
      <c r="AP899" s="9" t="s">
        <v>169</v>
      </c>
      <c r="AQ899" s="9" t="s">
        <v>169</v>
      </c>
      <c r="AR899" s="9" t="s">
        <v>169</v>
      </c>
      <c r="AS899" s="8" t="s">
        <v>169</v>
      </c>
      <c r="AT899" s="8" t="s">
        <v>169</v>
      </c>
      <c r="AU899" s="10" t="s">
        <v>169</v>
      </c>
      <c r="AV899" s="10">
        <v>0</v>
      </c>
      <c r="AW899" s="10" t="s">
        <v>169</v>
      </c>
      <c r="AX899" s="10" t="s">
        <v>169</v>
      </c>
      <c r="AY899" s="10"/>
      <c r="AZ899" s="10"/>
      <c r="BA899" s="10"/>
      <c r="BB899" s="8"/>
      <c r="BC899" s="8"/>
      <c r="BD899" s="8"/>
      <c r="BE899" s="8"/>
      <c r="BF899" s="12">
        <v>0.38</v>
      </c>
      <c r="BG899" s="13">
        <v>385.99690172587799</v>
      </c>
      <c r="BH899" s="96" t="str">
        <f>+VLOOKUP(G899,Liste!$A$7:$G$50,3,FALSE)</f>
        <v>Sapin pectiné</v>
      </c>
      <c r="BI899" s="96" t="str">
        <f>+VLOOKUP(H899,Liste!$B$7:$G$50,5,FALSE)</f>
        <v>GS Arc Jurassien</v>
      </c>
      <c r="BJ899" s="135">
        <f t="shared" ref="BJ899:BJ962" si="282">+AC899</f>
        <v>126</v>
      </c>
      <c r="BK899" s="135" t="str">
        <f t="shared" si="265"/>
        <v>Sapin pectiné_F1_Cas général_GS Arc Jurassien_126_</v>
      </c>
      <c r="BL899" s="322"/>
      <c r="BM899" s="13">
        <v>94.859754725878204</v>
      </c>
      <c r="BN899" s="13">
        <v>480.85665645175601</v>
      </c>
      <c r="BO899" s="13" t="s">
        <v>169</v>
      </c>
      <c r="BP899" s="13">
        <v>359.743735612752</v>
      </c>
      <c r="BQ899" s="13" t="s">
        <v>169</v>
      </c>
      <c r="BT899" s="298" t="str">
        <f>+VLOOKUP(G899,Liste!$A$7:$H$50,8,FALSE)</f>
        <v>Résineux</v>
      </c>
      <c r="BU899" s="298">
        <f t="shared" si="266"/>
        <v>0</v>
      </c>
      <c r="BV899" s="300">
        <f t="shared" si="267"/>
        <v>1</v>
      </c>
      <c r="BW899" s="321">
        <v>0</v>
      </c>
      <c r="BX899" s="298">
        <f t="shared" si="268"/>
        <v>0.43</v>
      </c>
      <c r="BY899">
        <f t="shared" si="269"/>
        <v>0</v>
      </c>
      <c r="BZ899" s="304">
        <f t="shared" si="270"/>
        <v>0</v>
      </c>
      <c r="CB899" s="299">
        <v>0.6</v>
      </c>
      <c r="CC899" s="299">
        <v>0.4</v>
      </c>
      <c r="CD899">
        <f t="shared" si="271"/>
        <v>0</v>
      </c>
      <c r="CE899">
        <f t="shared" si="272"/>
        <v>0</v>
      </c>
      <c r="CF899">
        <f t="shared" si="273"/>
        <v>0</v>
      </c>
      <c r="CG899">
        <f t="shared" si="274"/>
        <v>0</v>
      </c>
      <c r="CH899">
        <f t="shared" si="275"/>
        <v>0</v>
      </c>
      <c r="CI899">
        <f t="shared" si="276"/>
        <v>0</v>
      </c>
      <c r="CJ899">
        <f t="shared" si="277"/>
        <v>0</v>
      </c>
      <c r="CK899">
        <f t="shared" si="278"/>
        <v>0</v>
      </c>
      <c r="CL899">
        <f t="shared" si="279"/>
        <v>0</v>
      </c>
      <c r="CM899">
        <f t="shared" si="281"/>
        <v>0</v>
      </c>
      <c r="CN899">
        <f t="shared" si="280"/>
        <v>0</v>
      </c>
      <c r="CO899">
        <f t="shared" ref="CO899:CO962" si="283">+IF(BJ899=30,CN899/30,0)</f>
        <v>0</v>
      </c>
    </row>
    <row r="900" spans="1:93" s="12" customFormat="1" x14ac:dyDescent="0.25">
      <c r="A900" s="4">
        <v>2013</v>
      </c>
      <c r="B900" s="318">
        <v>44265</v>
      </c>
      <c r="C900" s="4" t="s">
        <v>430</v>
      </c>
      <c r="D900" s="4" t="s">
        <v>431</v>
      </c>
      <c r="E900" s="4"/>
      <c r="F900" s="4" t="s">
        <v>1493</v>
      </c>
      <c r="G900" s="5" t="s">
        <v>432</v>
      </c>
      <c r="H900" s="5" t="s">
        <v>185</v>
      </c>
      <c r="I900" s="5" t="s">
        <v>222</v>
      </c>
      <c r="J900" s="5" t="s">
        <v>9</v>
      </c>
      <c r="K900" s="5">
        <v>20</v>
      </c>
      <c r="L900" s="5" t="s">
        <v>191</v>
      </c>
      <c r="M900" s="5">
        <v>2000</v>
      </c>
      <c r="N900" s="5" t="s">
        <v>171</v>
      </c>
      <c r="O900" s="6" t="s">
        <v>81</v>
      </c>
      <c r="P900" s="6" t="s">
        <v>186</v>
      </c>
      <c r="Q900" s="6"/>
      <c r="R900" s="6"/>
      <c r="S900" s="6">
        <v>45</v>
      </c>
      <c r="T900" s="6">
        <v>17.7</v>
      </c>
      <c r="U900" s="6">
        <v>1853</v>
      </c>
      <c r="V900" s="6">
        <v>45.68</v>
      </c>
      <c r="W900" s="6">
        <v>0</v>
      </c>
      <c r="X900" s="6">
        <v>0</v>
      </c>
      <c r="Y900" s="6">
        <v>1079</v>
      </c>
      <c r="Z900" s="6">
        <v>672</v>
      </c>
      <c r="AA900" s="6">
        <v>94</v>
      </c>
      <c r="AB900" s="6">
        <v>8</v>
      </c>
      <c r="AC900" s="7">
        <v>127</v>
      </c>
      <c r="AD900" s="7" t="s">
        <v>52</v>
      </c>
      <c r="AE900" s="9">
        <v>39.158466243459003</v>
      </c>
      <c r="AF900" s="7">
        <v>105</v>
      </c>
      <c r="AG900" s="7">
        <v>28.66</v>
      </c>
      <c r="AH900" s="9">
        <v>58.953980500538798</v>
      </c>
      <c r="AI900" s="9">
        <v>59.273597744877002</v>
      </c>
      <c r="AJ900" s="9">
        <v>551.11845939935404</v>
      </c>
      <c r="AK900" s="9">
        <v>553.24609478757998</v>
      </c>
      <c r="AL900" s="9">
        <v>592.84080409907199</v>
      </c>
      <c r="AM900" s="9" t="s">
        <v>169</v>
      </c>
      <c r="AN900" s="9" t="s">
        <v>169</v>
      </c>
      <c r="AO900" s="9" t="s">
        <v>169</v>
      </c>
      <c r="AP900" s="9" t="s">
        <v>169</v>
      </c>
      <c r="AQ900" s="9" t="s">
        <v>169</v>
      </c>
      <c r="AR900" s="9" t="s">
        <v>169</v>
      </c>
      <c r="AS900" s="8" t="s">
        <v>169</v>
      </c>
      <c r="AT900" s="8" t="s">
        <v>169</v>
      </c>
      <c r="AU900" s="10" t="s">
        <v>169</v>
      </c>
      <c r="AV900" s="10">
        <v>0</v>
      </c>
      <c r="AW900" s="10" t="s">
        <v>169</v>
      </c>
      <c r="AX900" s="10" t="s">
        <v>169</v>
      </c>
      <c r="AY900" s="10"/>
      <c r="AZ900" s="10"/>
      <c r="BA900" s="10"/>
      <c r="BB900" s="8"/>
      <c r="BC900" s="8"/>
      <c r="BD900" s="8"/>
      <c r="BE900" s="8"/>
      <c r="BF900" s="12">
        <v>0.38</v>
      </c>
      <c r="BG900" s="13">
        <v>392.36180551290198</v>
      </c>
      <c r="BH900" s="96" t="str">
        <f>+VLOOKUP(G900,Liste!$A$7:$G$50,3,FALSE)</f>
        <v>Sapin pectiné</v>
      </c>
      <c r="BI900" s="96" t="str">
        <f>+VLOOKUP(H900,Liste!$B$7:$G$50,5,FALSE)</f>
        <v>GS Arc Jurassien</v>
      </c>
      <c r="BJ900" s="135">
        <f t="shared" si="282"/>
        <v>127</v>
      </c>
      <c r="BK900" s="135" t="str">
        <f t="shared" ref="BK900:BK963" si="284">+_xlfn.CONCAT(BH900,"_",J900,"_",I900,"_",BI900,"_",BJ900,"_")</f>
        <v>Sapin pectiné_F1_Cas général_GS Arc Jurassien_127_</v>
      </c>
      <c r="BL900" s="322"/>
      <c r="BM900" s="13">
        <v>96.238073489080094</v>
      </c>
      <c r="BN900" s="13">
        <v>488.59987900198303</v>
      </c>
      <c r="BO900" s="13" t="s">
        <v>169</v>
      </c>
      <c r="BP900" s="13">
        <v>359.743735612752</v>
      </c>
      <c r="BQ900" s="13" t="s">
        <v>169</v>
      </c>
      <c r="BT900" s="298" t="str">
        <f>+VLOOKUP(G900,Liste!$A$7:$H$50,8,FALSE)</f>
        <v>Résineux</v>
      </c>
      <c r="BU900" s="298">
        <f t="shared" ref="BU900:BU963" si="285">IF(BT900="Résineux",0%,100%)</f>
        <v>0</v>
      </c>
      <c r="BV900" s="300">
        <f t="shared" ref="BV900:BV963" si="286">+IF(BT900="Résineux",100%,0%)</f>
        <v>1</v>
      </c>
      <c r="BW900" s="321">
        <v>0</v>
      </c>
      <c r="BX900" s="298">
        <f t="shared" ref="BX900:BX963" si="287">+IF(BV900&lt;&gt;0,0.43,0.25)</f>
        <v>0.43</v>
      </c>
      <c r="BY900">
        <f t="shared" ref="BY900:BY963" si="288">+IF(BJ900&lt;=30,AV900*BX900,0)</f>
        <v>0</v>
      </c>
      <c r="BZ900" s="304">
        <f t="shared" ref="BZ900:BZ963" si="289">+IF(BJ900&gt;=31,0,BY900+BZ899)</f>
        <v>0</v>
      </c>
      <c r="CB900" s="299">
        <v>0.6</v>
      </c>
      <c r="CC900" s="299">
        <v>0.4</v>
      </c>
      <c r="CD900">
        <f t="shared" ref="CD900:CD963" si="290">+IF(BJ900&lt;=31,AV900*CA900*0.5,0)</f>
        <v>0</v>
      </c>
      <c r="CE900">
        <f t="shared" ref="CE900:CE963" si="291">IF(BJ900&lt;=31,AV900*CB900,0)</f>
        <v>0</v>
      </c>
      <c r="CF900">
        <f t="shared" ref="CF900:CF963" si="292">IF(BJ900&lt;=31,AV900*CC900,0)</f>
        <v>0</v>
      </c>
      <c r="CG900">
        <f t="shared" ref="CG900:CG963" si="293">CD900*44/12*0.475*BF900</f>
        <v>0</v>
      </c>
      <c r="CH900">
        <f t="shared" ref="CH900:CH963" si="294">CE900*44/12*0.475*BF900</f>
        <v>0</v>
      </c>
      <c r="CI900">
        <f t="shared" ref="CI900:CI963" si="295">CF900*44/12*0.475*BF900</f>
        <v>0</v>
      </c>
      <c r="CJ900">
        <f t="shared" ref="CJ900:CJ963" si="296">+IF(BJ900&lt;=31,CJ899*EXP(-$CJ$1)+CG899*(1-EXP(-$CJ$1))/$CJ$1,0)</f>
        <v>0</v>
      </c>
      <c r="CK900">
        <f t="shared" ref="CK900:CK963" si="297">+IF(BJ900&lt;=31,CK899*EXP(-$CK$1)+CH899*(1-EXP(-$CK$1))/$CK$1,0)</f>
        <v>0</v>
      </c>
      <c r="CL900">
        <f t="shared" ref="CL900:CL963" si="298">+IF(BJ900&lt;=31,CL899*EXP(-$CL$1)+CI899*(1-EXP(-$CL$1))/$CL$1,0)</f>
        <v>0</v>
      </c>
      <c r="CM900">
        <f t="shared" si="281"/>
        <v>0</v>
      </c>
      <c r="CN900">
        <f t="shared" ref="CN900:CN963" si="299">+IF(BJ900&lt;=31,CM900+CN899,0)</f>
        <v>0</v>
      </c>
      <c r="CO900">
        <f t="shared" si="283"/>
        <v>0</v>
      </c>
    </row>
    <row r="901" spans="1:93" s="12" customFormat="1" x14ac:dyDescent="0.25">
      <c r="A901" s="4">
        <v>2013</v>
      </c>
      <c r="B901" s="318">
        <v>44265</v>
      </c>
      <c r="C901" s="4" t="s">
        <v>430</v>
      </c>
      <c r="D901" s="4" t="s">
        <v>431</v>
      </c>
      <c r="E901" s="4"/>
      <c r="F901" s="4" t="s">
        <v>1493</v>
      </c>
      <c r="G901" s="5" t="s">
        <v>432</v>
      </c>
      <c r="H901" s="5" t="s">
        <v>185</v>
      </c>
      <c r="I901" s="5" t="s">
        <v>222</v>
      </c>
      <c r="J901" s="5" t="s">
        <v>9</v>
      </c>
      <c r="K901" s="5">
        <v>20</v>
      </c>
      <c r="L901" s="5" t="s">
        <v>191</v>
      </c>
      <c r="M901" s="5">
        <v>2000</v>
      </c>
      <c r="N901" s="5" t="s">
        <v>171</v>
      </c>
      <c r="O901" s="6" t="s">
        <v>81</v>
      </c>
      <c r="P901" s="6" t="s">
        <v>186</v>
      </c>
      <c r="Q901" s="6"/>
      <c r="R901" s="6"/>
      <c r="S901" s="6">
        <v>45</v>
      </c>
      <c r="T901" s="6">
        <v>17.7</v>
      </c>
      <c r="U901" s="6">
        <v>1853</v>
      </c>
      <c r="V901" s="6">
        <v>45.68</v>
      </c>
      <c r="W901" s="6">
        <v>0</v>
      </c>
      <c r="X901" s="6">
        <v>0</v>
      </c>
      <c r="Y901" s="6">
        <v>1079</v>
      </c>
      <c r="Z901" s="6">
        <v>672</v>
      </c>
      <c r="AA901" s="6">
        <v>94</v>
      </c>
      <c r="AB901" s="6">
        <v>8</v>
      </c>
      <c r="AC901" s="7">
        <v>128</v>
      </c>
      <c r="AD901" s="7" t="s">
        <v>52</v>
      </c>
      <c r="AE901" s="9">
        <v>39.284134100822001</v>
      </c>
      <c r="AF901" s="7">
        <v>105</v>
      </c>
      <c r="AG901" s="7">
        <v>29.04</v>
      </c>
      <c r="AH901" s="9">
        <v>59.340880550213598</v>
      </c>
      <c r="AI901" s="9">
        <v>59.661314515955397</v>
      </c>
      <c r="AJ901" s="9">
        <v>557.67678978716799</v>
      </c>
      <c r="AK901" s="9">
        <v>560.03185404286205</v>
      </c>
      <c r="AL901" s="9">
        <v>602.45788360603399</v>
      </c>
      <c r="AM901" s="9" t="s">
        <v>169</v>
      </c>
      <c r="AN901" s="9" t="s">
        <v>169</v>
      </c>
      <c r="AO901" s="9" t="s">
        <v>169</v>
      </c>
      <c r="AP901" s="9" t="s">
        <v>169</v>
      </c>
      <c r="AQ901" s="9" t="s">
        <v>169</v>
      </c>
      <c r="AR901" s="9" t="s">
        <v>169</v>
      </c>
      <c r="AS901" s="8" t="s">
        <v>169</v>
      </c>
      <c r="AT901" s="8" t="s">
        <v>169</v>
      </c>
      <c r="AU901" s="10" t="s">
        <v>169</v>
      </c>
      <c r="AV901" s="10">
        <v>0</v>
      </c>
      <c r="AW901" s="10" t="s">
        <v>169</v>
      </c>
      <c r="AX901" s="10" t="s">
        <v>169</v>
      </c>
      <c r="AY901" s="10"/>
      <c r="AZ901" s="10"/>
      <c r="BA901" s="10"/>
      <c r="BB901" s="8"/>
      <c r="BC901" s="8"/>
      <c r="BD901" s="8"/>
      <c r="BE901" s="8"/>
      <c r="BF901" s="12">
        <v>0.38</v>
      </c>
      <c r="BG901" s="13">
        <v>398.72670929992699</v>
      </c>
      <c r="BH901" s="96" t="str">
        <f>+VLOOKUP(G901,Liste!$A$7:$G$50,3,FALSE)</f>
        <v>Sapin pectiné</v>
      </c>
      <c r="BI901" s="96" t="str">
        <f>+VLOOKUP(H901,Liste!$B$7:$G$50,5,FALSE)</f>
        <v>GS Arc Jurassien</v>
      </c>
      <c r="BJ901" s="135">
        <f t="shared" si="282"/>
        <v>128</v>
      </c>
      <c r="BK901" s="135" t="str">
        <f t="shared" si="284"/>
        <v>Sapin pectiné_F1_Cas général_GS Arc Jurassien_128_</v>
      </c>
      <c r="BL901" s="322"/>
      <c r="BM901" s="13">
        <v>97.616392252281997</v>
      </c>
      <c r="BN901" s="13">
        <v>496.34310155220902</v>
      </c>
      <c r="BO901" s="13" t="s">
        <v>169</v>
      </c>
      <c r="BP901" s="13">
        <v>359.743735612752</v>
      </c>
      <c r="BQ901" s="13" t="s">
        <v>169</v>
      </c>
      <c r="BT901" s="298" t="str">
        <f>+VLOOKUP(G901,Liste!$A$7:$H$50,8,FALSE)</f>
        <v>Résineux</v>
      </c>
      <c r="BU901" s="298">
        <f t="shared" si="285"/>
        <v>0</v>
      </c>
      <c r="BV901" s="300">
        <f t="shared" si="286"/>
        <v>1</v>
      </c>
      <c r="BW901" s="321">
        <v>0</v>
      </c>
      <c r="BX901" s="298">
        <f t="shared" si="287"/>
        <v>0.43</v>
      </c>
      <c r="BY901">
        <f t="shared" si="288"/>
        <v>0</v>
      </c>
      <c r="BZ901" s="304">
        <f t="shared" si="289"/>
        <v>0</v>
      </c>
      <c r="CB901" s="299">
        <v>0.6</v>
      </c>
      <c r="CC901" s="299">
        <v>0.4</v>
      </c>
      <c r="CD901">
        <f t="shared" si="290"/>
        <v>0</v>
      </c>
      <c r="CE901">
        <f t="shared" si="291"/>
        <v>0</v>
      </c>
      <c r="CF901">
        <f t="shared" si="292"/>
        <v>0</v>
      </c>
      <c r="CG901">
        <f t="shared" si="293"/>
        <v>0</v>
      </c>
      <c r="CH901">
        <f t="shared" si="294"/>
        <v>0</v>
      </c>
      <c r="CI901">
        <f t="shared" si="295"/>
        <v>0</v>
      </c>
      <c r="CJ901">
        <f t="shared" si="296"/>
        <v>0</v>
      </c>
      <c r="CK901">
        <f t="shared" si="297"/>
        <v>0</v>
      </c>
      <c r="CL901">
        <f t="shared" si="298"/>
        <v>0</v>
      </c>
      <c r="CM901">
        <f t="shared" ref="CM901:CM964" si="300">+CJ901+CK901+CL901</f>
        <v>0</v>
      </c>
      <c r="CN901">
        <f t="shared" si="299"/>
        <v>0</v>
      </c>
      <c r="CO901">
        <f t="shared" si="283"/>
        <v>0</v>
      </c>
    </row>
    <row r="902" spans="1:93" s="12" customFormat="1" x14ac:dyDescent="0.25">
      <c r="A902" s="4">
        <v>2013</v>
      </c>
      <c r="B902" s="318">
        <v>44265</v>
      </c>
      <c r="C902" s="4" t="s">
        <v>430</v>
      </c>
      <c r="D902" s="4" t="s">
        <v>431</v>
      </c>
      <c r="E902" s="4"/>
      <c r="F902" s="4" t="s">
        <v>1493</v>
      </c>
      <c r="G902" s="5" t="s">
        <v>432</v>
      </c>
      <c r="H902" s="5" t="s">
        <v>185</v>
      </c>
      <c r="I902" s="5" t="s">
        <v>222</v>
      </c>
      <c r="J902" s="5" t="s">
        <v>9</v>
      </c>
      <c r="K902" s="5">
        <v>20</v>
      </c>
      <c r="L902" s="5" t="s">
        <v>191</v>
      </c>
      <c r="M902" s="5">
        <v>2000</v>
      </c>
      <c r="N902" s="5" t="s">
        <v>171</v>
      </c>
      <c r="O902" s="6" t="s">
        <v>81</v>
      </c>
      <c r="P902" s="6" t="s">
        <v>186</v>
      </c>
      <c r="Q902" s="6"/>
      <c r="R902" s="6"/>
      <c r="S902" s="6">
        <v>45</v>
      </c>
      <c r="T902" s="6">
        <v>17.7</v>
      </c>
      <c r="U902" s="6">
        <v>1853</v>
      </c>
      <c r="V902" s="6">
        <v>45.68</v>
      </c>
      <c r="W902" s="6">
        <v>0</v>
      </c>
      <c r="X902" s="6">
        <v>0</v>
      </c>
      <c r="Y902" s="6">
        <v>1079</v>
      </c>
      <c r="Z902" s="6">
        <v>672</v>
      </c>
      <c r="AA902" s="6">
        <v>94</v>
      </c>
      <c r="AB902" s="6">
        <v>8</v>
      </c>
      <c r="AC902" s="7">
        <v>129</v>
      </c>
      <c r="AD902" s="7" t="s">
        <v>52</v>
      </c>
      <c r="AE902" s="9">
        <v>39.408141489047303</v>
      </c>
      <c r="AF902" s="7">
        <v>105</v>
      </c>
      <c r="AG902" s="7">
        <v>29.41</v>
      </c>
      <c r="AH902" s="9">
        <v>59.7213476126798</v>
      </c>
      <c r="AI902" s="9">
        <v>60.0425752298069</v>
      </c>
      <c r="AJ902" s="9">
        <v>564.23512017498194</v>
      </c>
      <c r="AK902" s="9">
        <v>566.81761329814503</v>
      </c>
      <c r="AL902" s="9">
        <v>612.07496311299599</v>
      </c>
      <c r="AM902" s="9" t="s">
        <v>169</v>
      </c>
      <c r="AN902" s="9" t="s">
        <v>169</v>
      </c>
      <c r="AO902" s="9" t="s">
        <v>169</v>
      </c>
      <c r="AP902" s="9" t="s">
        <v>169</v>
      </c>
      <c r="AQ902" s="9" t="s">
        <v>169</v>
      </c>
      <c r="AR902" s="9" t="s">
        <v>169</v>
      </c>
      <c r="AS902" s="8" t="s">
        <v>169</v>
      </c>
      <c r="AT902" s="8" t="s">
        <v>169</v>
      </c>
      <c r="AU902" s="10" t="s">
        <v>169</v>
      </c>
      <c r="AV902" s="10">
        <v>0</v>
      </c>
      <c r="AW902" s="10" t="s">
        <v>169</v>
      </c>
      <c r="AX902" s="10" t="s">
        <v>169</v>
      </c>
      <c r="AY902" s="10"/>
      <c r="AZ902" s="10"/>
      <c r="BA902" s="10"/>
      <c r="BB902" s="8"/>
      <c r="BC902" s="8"/>
      <c r="BD902" s="8"/>
      <c r="BE902" s="8"/>
      <c r="BF902" s="12">
        <v>0.38</v>
      </c>
      <c r="BG902" s="13">
        <v>405.09161308695099</v>
      </c>
      <c r="BH902" s="96" t="str">
        <f>+VLOOKUP(G902,Liste!$A$7:$G$50,3,FALSE)</f>
        <v>Sapin pectiné</v>
      </c>
      <c r="BI902" s="96" t="str">
        <f>+VLOOKUP(H902,Liste!$B$7:$G$50,5,FALSE)</f>
        <v>GS Arc Jurassien</v>
      </c>
      <c r="BJ902" s="135">
        <f t="shared" si="282"/>
        <v>129</v>
      </c>
      <c r="BK902" s="135" t="str">
        <f t="shared" si="284"/>
        <v>Sapin pectiné_F1_Cas général_GS Arc Jurassien_129_</v>
      </c>
      <c r="BL902" s="322"/>
      <c r="BM902" s="13">
        <v>98.994711015483901</v>
      </c>
      <c r="BN902" s="13">
        <v>504.08632410243501</v>
      </c>
      <c r="BO902" s="13" t="s">
        <v>169</v>
      </c>
      <c r="BP902" s="13">
        <v>359.743735612752</v>
      </c>
      <c r="BQ902" s="13" t="s">
        <v>169</v>
      </c>
      <c r="BT902" s="298" t="str">
        <f>+VLOOKUP(G902,Liste!$A$7:$H$50,8,FALSE)</f>
        <v>Résineux</v>
      </c>
      <c r="BU902" s="298">
        <f t="shared" si="285"/>
        <v>0</v>
      </c>
      <c r="BV902" s="300">
        <f t="shared" si="286"/>
        <v>1</v>
      </c>
      <c r="BW902" s="321">
        <v>0</v>
      </c>
      <c r="BX902" s="298">
        <f t="shared" si="287"/>
        <v>0.43</v>
      </c>
      <c r="BY902">
        <f t="shared" si="288"/>
        <v>0</v>
      </c>
      <c r="BZ902" s="304">
        <f t="shared" si="289"/>
        <v>0</v>
      </c>
      <c r="CB902" s="299">
        <v>0.6</v>
      </c>
      <c r="CC902" s="299">
        <v>0.4</v>
      </c>
      <c r="CD902">
        <f t="shared" si="290"/>
        <v>0</v>
      </c>
      <c r="CE902">
        <f t="shared" si="291"/>
        <v>0</v>
      </c>
      <c r="CF902">
        <f t="shared" si="292"/>
        <v>0</v>
      </c>
      <c r="CG902">
        <f t="shared" si="293"/>
        <v>0</v>
      </c>
      <c r="CH902">
        <f t="shared" si="294"/>
        <v>0</v>
      </c>
      <c r="CI902">
        <f t="shared" si="295"/>
        <v>0</v>
      </c>
      <c r="CJ902">
        <f t="shared" si="296"/>
        <v>0</v>
      </c>
      <c r="CK902">
        <f t="shared" si="297"/>
        <v>0</v>
      </c>
      <c r="CL902">
        <f t="shared" si="298"/>
        <v>0</v>
      </c>
      <c r="CM902">
        <f t="shared" si="300"/>
        <v>0</v>
      </c>
      <c r="CN902">
        <f t="shared" si="299"/>
        <v>0</v>
      </c>
      <c r="CO902">
        <f t="shared" si="283"/>
        <v>0</v>
      </c>
    </row>
    <row r="903" spans="1:93" s="12" customFormat="1" x14ac:dyDescent="0.25">
      <c r="A903" s="4">
        <v>2013</v>
      </c>
      <c r="B903" s="318">
        <v>44265</v>
      </c>
      <c r="C903" s="4" t="s">
        <v>430</v>
      </c>
      <c r="D903" s="4" t="s">
        <v>431</v>
      </c>
      <c r="E903" s="4"/>
      <c r="F903" s="4" t="s">
        <v>1493</v>
      </c>
      <c r="G903" s="5" t="s">
        <v>432</v>
      </c>
      <c r="H903" s="5" t="s">
        <v>185</v>
      </c>
      <c r="I903" s="5" t="s">
        <v>222</v>
      </c>
      <c r="J903" s="5" t="s">
        <v>9</v>
      </c>
      <c r="K903" s="5">
        <v>20</v>
      </c>
      <c r="L903" s="5" t="s">
        <v>191</v>
      </c>
      <c r="M903" s="5">
        <v>2000</v>
      </c>
      <c r="N903" s="5" t="s">
        <v>171</v>
      </c>
      <c r="O903" s="6" t="s">
        <v>81</v>
      </c>
      <c r="P903" s="6" t="s">
        <v>186</v>
      </c>
      <c r="Q903" s="6"/>
      <c r="R903" s="6"/>
      <c r="S903" s="6">
        <v>45</v>
      </c>
      <c r="T903" s="6">
        <v>17.7</v>
      </c>
      <c r="U903" s="6">
        <v>1853</v>
      </c>
      <c r="V903" s="6">
        <v>45.68</v>
      </c>
      <c r="W903" s="6">
        <v>0</v>
      </c>
      <c r="X903" s="6">
        <v>0</v>
      </c>
      <c r="Y903" s="6">
        <v>1079</v>
      </c>
      <c r="Z903" s="6">
        <v>672</v>
      </c>
      <c r="AA903" s="6">
        <v>94</v>
      </c>
      <c r="AB903" s="6">
        <v>8</v>
      </c>
      <c r="AC903" s="7">
        <v>130</v>
      </c>
      <c r="AD903" s="7" t="s">
        <v>52</v>
      </c>
      <c r="AE903" s="9">
        <v>39.530519486952599</v>
      </c>
      <c r="AF903" s="7">
        <v>105</v>
      </c>
      <c r="AG903" s="7">
        <v>29.78</v>
      </c>
      <c r="AH903" s="9">
        <v>60.095545449469597</v>
      </c>
      <c r="AI903" s="9">
        <v>60.417544599721602</v>
      </c>
      <c r="AJ903" s="9">
        <v>570.79345056279601</v>
      </c>
      <c r="AK903" s="9">
        <v>573.60337255342699</v>
      </c>
      <c r="AL903" s="9">
        <v>621.69204261995799</v>
      </c>
      <c r="AM903" s="9">
        <v>115.90837741369</v>
      </c>
      <c r="AN903" s="9">
        <v>0.89160290318222901</v>
      </c>
      <c r="AO903" s="9">
        <v>0.36038611115242603</v>
      </c>
      <c r="AP903" s="9">
        <v>1875.22193371721</v>
      </c>
      <c r="AQ903" s="9">
        <v>14.424784105517</v>
      </c>
      <c r="AR903" s="9">
        <v>9.2097915178676395</v>
      </c>
      <c r="AS903" s="8" t="s">
        <v>169</v>
      </c>
      <c r="AT903" s="8" t="s">
        <v>169</v>
      </c>
      <c r="AU903" s="10" t="s">
        <v>169</v>
      </c>
      <c r="AV903" s="10">
        <v>0</v>
      </c>
      <c r="AW903" s="10" t="s">
        <v>169</v>
      </c>
      <c r="AX903" s="10" t="s">
        <v>169</v>
      </c>
      <c r="AY903" s="10"/>
      <c r="AZ903" s="10"/>
      <c r="BA903" s="10"/>
      <c r="BB903" s="8"/>
      <c r="BC903" s="8"/>
      <c r="BD903" s="8"/>
      <c r="BE903" s="8"/>
      <c r="BF903" s="12">
        <v>0.38</v>
      </c>
      <c r="BG903" s="13">
        <v>411.456516873976</v>
      </c>
      <c r="BH903" s="96" t="str">
        <f>+VLOOKUP(G903,Liste!$A$7:$G$50,3,FALSE)</f>
        <v>Sapin pectiné</v>
      </c>
      <c r="BI903" s="96" t="str">
        <f>+VLOOKUP(H903,Liste!$B$7:$G$50,5,FALSE)</f>
        <v>GS Arc Jurassien</v>
      </c>
      <c r="BJ903" s="135">
        <f t="shared" si="282"/>
        <v>130</v>
      </c>
      <c r="BK903" s="135" t="str">
        <f t="shared" si="284"/>
        <v>Sapin pectiné_F1_Cas général_GS Arc Jurassien_130_</v>
      </c>
      <c r="BL903" s="322"/>
      <c r="BM903" s="13">
        <v>100.373029778686</v>
      </c>
      <c r="BN903" s="13">
        <v>511.82954665266101</v>
      </c>
      <c r="BO903" s="13" t="s">
        <v>169</v>
      </c>
      <c r="BP903" s="13">
        <v>359.743735612752</v>
      </c>
      <c r="BQ903" s="13">
        <v>7.2494453884750696</v>
      </c>
      <c r="BT903" s="298" t="str">
        <f>+VLOOKUP(G903,Liste!$A$7:$H$50,8,FALSE)</f>
        <v>Résineux</v>
      </c>
      <c r="BU903" s="298">
        <f t="shared" si="285"/>
        <v>0</v>
      </c>
      <c r="BV903" s="300">
        <f t="shared" si="286"/>
        <v>1</v>
      </c>
      <c r="BW903" s="321">
        <v>0</v>
      </c>
      <c r="BX903" s="298">
        <f t="shared" si="287"/>
        <v>0.43</v>
      </c>
      <c r="BY903">
        <f t="shared" si="288"/>
        <v>0</v>
      </c>
      <c r="BZ903" s="304">
        <f t="shared" si="289"/>
        <v>0</v>
      </c>
      <c r="CB903" s="299">
        <v>0.6</v>
      </c>
      <c r="CC903" s="299">
        <v>0.4</v>
      </c>
      <c r="CD903">
        <f t="shared" si="290"/>
        <v>0</v>
      </c>
      <c r="CE903">
        <f t="shared" si="291"/>
        <v>0</v>
      </c>
      <c r="CF903">
        <f t="shared" si="292"/>
        <v>0</v>
      </c>
      <c r="CG903">
        <f t="shared" si="293"/>
        <v>0</v>
      </c>
      <c r="CH903">
        <f t="shared" si="294"/>
        <v>0</v>
      </c>
      <c r="CI903">
        <f t="shared" si="295"/>
        <v>0</v>
      </c>
      <c r="CJ903">
        <f t="shared" si="296"/>
        <v>0</v>
      </c>
      <c r="CK903">
        <f t="shared" si="297"/>
        <v>0</v>
      </c>
      <c r="CL903">
        <f t="shared" si="298"/>
        <v>0</v>
      </c>
      <c r="CM903">
        <f t="shared" si="300"/>
        <v>0</v>
      </c>
      <c r="CN903">
        <f t="shared" si="299"/>
        <v>0</v>
      </c>
      <c r="CO903">
        <f t="shared" si="283"/>
        <v>0</v>
      </c>
    </row>
    <row r="904" spans="1:93" s="12" customFormat="1" x14ac:dyDescent="0.25">
      <c r="A904" s="4">
        <v>2013</v>
      </c>
      <c r="B904" s="318">
        <v>44265</v>
      </c>
      <c r="C904" s="4" t="s">
        <v>430</v>
      </c>
      <c r="D904" s="4" t="s">
        <v>431</v>
      </c>
      <c r="E904" s="4"/>
      <c r="F904" s="4" t="s">
        <v>1493</v>
      </c>
      <c r="G904" s="5" t="s">
        <v>432</v>
      </c>
      <c r="H904" s="5" t="s">
        <v>185</v>
      </c>
      <c r="I904" s="5" t="s">
        <v>222</v>
      </c>
      <c r="J904" s="5" t="s">
        <v>9</v>
      </c>
      <c r="K904" s="5">
        <v>20</v>
      </c>
      <c r="L904" s="5" t="s">
        <v>191</v>
      </c>
      <c r="M904" s="5">
        <v>2000</v>
      </c>
      <c r="N904" s="5" t="s">
        <v>171</v>
      </c>
      <c r="O904" s="6" t="s">
        <v>81</v>
      </c>
      <c r="P904" s="6" t="s">
        <v>186</v>
      </c>
      <c r="Q904" s="6"/>
      <c r="R904" s="6"/>
      <c r="S904" s="6">
        <v>45</v>
      </c>
      <c r="T904" s="6">
        <v>17.7</v>
      </c>
      <c r="U904" s="6">
        <v>1853</v>
      </c>
      <c r="V904" s="6">
        <v>45.68</v>
      </c>
      <c r="W904" s="6">
        <v>0</v>
      </c>
      <c r="X904" s="6">
        <v>0</v>
      </c>
      <c r="Y904" s="6">
        <v>1079</v>
      </c>
      <c r="Z904" s="6">
        <v>672</v>
      </c>
      <c r="AA904" s="6">
        <v>94</v>
      </c>
      <c r="AB904" s="6">
        <v>8</v>
      </c>
      <c r="AC904" s="7">
        <v>131</v>
      </c>
      <c r="AD904" s="7" t="s">
        <v>52</v>
      </c>
      <c r="AE904" s="9">
        <v>39.651298439081202</v>
      </c>
      <c r="AF904" s="7">
        <v>105</v>
      </c>
      <c r="AG904" s="7">
        <v>30.15</v>
      </c>
      <c r="AH904" s="9">
        <v>60.463633040197202</v>
      </c>
      <c r="AI904" s="9">
        <v>60.786382545160201</v>
      </c>
      <c r="AJ904" s="9">
        <v>575.45761960358698</v>
      </c>
      <c r="AK904" s="9">
        <v>578.62170555509999</v>
      </c>
      <c r="AL904" s="9">
        <v>630.90183413782597</v>
      </c>
      <c r="AM904" s="9" t="s">
        <v>169</v>
      </c>
      <c r="AN904" s="9" t="s">
        <v>169</v>
      </c>
      <c r="AO904" s="9" t="s">
        <v>169</v>
      </c>
      <c r="AP904" s="9" t="s">
        <v>169</v>
      </c>
      <c r="AQ904" s="9" t="s">
        <v>169</v>
      </c>
      <c r="AR904" s="9" t="s">
        <v>169</v>
      </c>
      <c r="AS904" s="8" t="s">
        <v>169</v>
      </c>
      <c r="AT904" s="8" t="s">
        <v>169</v>
      </c>
      <c r="AU904" s="10" t="s">
        <v>169</v>
      </c>
      <c r="AV904" s="10">
        <v>0</v>
      </c>
      <c r="AW904" s="10" t="s">
        <v>169</v>
      </c>
      <c r="AX904" s="10" t="s">
        <v>169</v>
      </c>
      <c r="AY904" s="10"/>
      <c r="AZ904" s="10"/>
      <c r="BA904" s="10"/>
      <c r="BB904" s="8"/>
      <c r="BC904" s="8"/>
      <c r="BD904" s="8"/>
      <c r="BE904" s="8"/>
      <c r="BF904" s="12">
        <v>0.38</v>
      </c>
      <c r="BG904" s="13">
        <v>417.551863893551</v>
      </c>
      <c r="BH904" s="96" t="str">
        <f>+VLOOKUP(G904,Liste!$A$7:$G$50,3,FALSE)</f>
        <v>Sapin pectiné</v>
      </c>
      <c r="BI904" s="96" t="str">
        <f>+VLOOKUP(H904,Liste!$B$7:$G$50,5,FALSE)</f>
        <v>GS Arc Jurassien</v>
      </c>
      <c r="BJ904" s="135">
        <f t="shared" si="282"/>
        <v>131</v>
      </c>
      <c r="BK904" s="135" t="str">
        <f t="shared" si="284"/>
        <v>Sapin pectiné_F1_Cas général_GS Arc Jurassien_131_</v>
      </c>
      <c r="BL904" s="322"/>
      <c r="BM904" s="13">
        <v>101.682449937301</v>
      </c>
      <c r="BN904" s="13">
        <v>519.23431383085199</v>
      </c>
      <c r="BO904" s="13" t="s">
        <v>169</v>
      </c>
      <c r="BP904" s="13">
        <v>359.743735612752</v>
      </c>
      <c r="BQ904" s="13" t="s">
        <v>169</v>
      </c>
      <c r="BT904" s="298" t="str">
        <f>+VLOOKUP(G904,Liste!$A$7:$H$50,8,FALSE)</f>
        <v>Résineux</v>
      </c>
      <c r="BU904" s="298">
        <f t="shared" si="285"/>
        <v>0</v>
      </c>
      <c r="BV904" s="300">
        <f t="shared" si="286"/>
        <v>1</v>
      </c>
      <c r="BW904" s="321">
        <v>0</v>
      </c>
      <c r="BX904" s="298">
        <f t="shared" si="287"/>
        <v>0.43</v>
      </c>
      <c r="BY904">
        <f t="shared" si="288"/>
        <v>0</v>
      </c>
      <c r="BZ904" s="304">
        <f t="shared" si="289"/>
        <v>0</v>
      </c>
      <c r="CB904" s="299">
        <v>0.6</v>
      </c>
      <c r="CC904" s="299">
        <v>0.4</v>
      </c>
      <c r="CD904">
        <f t="shared" si="290"/>
        <v>0</v>
      </c>
      <c r="CE904">
        <f t="shared" si="291"/>
        <v>0</v>
      </c>
      <c r="CF904">
        <f t="shared" si="292"/>
        <v>0</v>
      </c>
      <c r="CG904">
        <f t="shared" si="293"/>
        <v>0</v>
      </c>
      <c r="CH904">
        <f t="shared" si="294"/>
        <v>0</v>
      </c>
      <c r="CI904">
        <f t="shared" si="295"/>
        <v>0</v>
      </c>
      <c r="CJ904">
        <f t="shared" si="296"/>
        <v>0</v>
      </c>
      <c r="CK904">
        <f t="shared" si="297"/>
        <v>0</v>
      </c>
      <c r="CL904">
        <f t="shared" si="298"/>
        <v>0</v>
      </c>
      <c r="CM904">
        <f t="shared" si="300"/>
        <v>0</v>
      </c>
      <c r="CN904">
        <f t="shared" si="299"/>
        <v>0</v>
      </c>
      <c r="CO904">
        <f t="shared" si="283"/>
        <v>0</v>
      </c>
    </row>
    <row r="905" spans="1:93" s="12" customFormat="1" x14ac:dyDescent="0.25">
      <c r="A905" s="4">
        <v>2013</v>
      </c>
      <c r="B905" s="318">
        <v>44265</v>
      </c>
      <c r="C905" s="4" t="s">
        <v>430</v>
      </c>
      <c r="D905" s="4" t="s">
        <v>431</v>
      </c>
      <c r="E905" s="4"/>
      <c r="F905" s="4" t="s">
        <v>1493</v>
      </c>
      <c r="G905" s="5" t="s">
        <v>432</v>
      </c>
      <c r="H905" s="5" t="s">
        <v>185</v>
      </c>
      <c r="I905" s="5" t="s">
        <v>222</v>
      </c>
      <c r="J905" s="5" t="s">
        <v>9</v>
      </c>
      <c r="K905" s="5">
        <v>20</v>
      </c>
      <c r="L905" s="5" t="s">
        <v>191</v>
      </c>
      <c r="M905" s="5">
        <v>2000</v>
      </c>
      <c r="N905" s="5" t="s">
        <v>171</v>
      </c>
      <c r="O905" s="6" t="s">
        <v>81</v>
      </c>
      <c r="P905" s="6" t="s">
        <v>186</v>
      </c>
      <c r="Q905" s="6"/>
      <c r="R905" s="6"/>
      <c r="S905" s="6">
        <v>45</v>
      </c>
      <c r="T905" s="6">
        <v>17.7</v>
      </c>
      <c r="U905" s="6">
        <v>1853</v>
      </c>
      <c r="V905" s="6">
        <v>45.68</v>
      </c>
      <c r="W905" s="6">
        <v>0</v>
      </c>
      <c r="X905" s="6">
        <v>0</v>
      </c>
      <c r="Y905" s="6">
        <v>1079</v>
      </c>
      <c r="Z905" s="6">
        <v>672</v>
      </c>
      <c r="AA905" s="6">
        <v>94</v>
      </c>
      <c r="AB905" s="6">
        <v>8</v>
      </c>
      <c r="AC905" s="7">
        <v>132</v>
      </c>
      <c r="AD905" s="7" t="s">
        <v>52</v>
      </c>
      <c r="AE905" s="9">
        <v>39.770507976017001</v>
      </c>
      <c r="AF905" s="7">
        <v>105</v>
      </c>
      <c r="AG905" s="7">
        <v>30.51</v>
      </c>
      <c r="AH905" s="9">
        <v>60.825763253846198</v>
      </c>
      <c r="AI905" s="9">
        <v>61.149242769776102</v>
      </c>
      <c r="AJ905" s="9">
        <v>580.12178864437794</v>
      </c>
      <c r="AK905" s="9">
        <v>583.64003855677299</v>
      </c>
      <c r="AL905" s="9">
        <v>640.11162565569305</v>
      </c>
      <c r="AM905" s="9" t="s">
        <v>169</v>
      </c>
      <c r="AN905" s="9" t="s">
        <v>169</v>
      </c>
      <c r="AO905" s="9" t="s">
        <v>169</v>
      </c>
      <c r="AP905" s="9" t="s">
        <v>169</v>
      </c>
      <c r="AQ905" s="9" t="s">
        <v>169</v>
      </c>
      <c r="AR905" s="9" t="s">
        <v>169</v>
      </c>
      <c r="AS905" s="8" t="s">
        <v>169</v>
      </c>
      <c r="AT905" s="8" t="s">
        <v>169</v>
      </c>
      <c r="AU905" s="10" t="s">
        <v>169</v>
      </c>
      <c r="AV905" s="10">
        <v>0</v>
      </c>
      <c r="AW905" s="10" t="s">
        <v>169</v>
      </c>
      <c r="AX905" s="10" t="s">
        <v>169</v>
      </c>
      <c r="AY905" s="10"/>
      <c r="AZ905" s="10"/>
      <c r="BA905" s="10"/>
      <c r="BB905" s="8"/>
      <c r="BC905" s="8"/>
      <c r="BD905" s="8"/>
      <c r="BE905" s="8"/>
      <c r="BF905" s="12">
        <v>0.38</v>
      </c>
      <c r="BG905" s="13">
        <v>423.647210913126</v>
      </c>
      <c r="BH905" s="96" t="str">
        <f>+VLOOKUP(G905,Liste!$A$7:$G$50,3,FALSE)</f>
        <v>Sapin pectiné</v>
      </c>
      <c r="BI905" s="96" t="str">
        <f>+VLOOKUP(H905,Liste!$B$7:$G$50,5,FALSE)</f>
        <v>GS Arc Jurassien</v>
      </c>
      <c r="BJ905" s="135">
        <f t="shared" si="282"/>
        <v>132</v>
      </c>
      <c r="BK905" s="135" t="str">
        <f t="shared" si="284"/>
        <v>Sapin pectiné_F1_Cas général_GS Arc Jurassien_132_</v>
      </c>
      <c r="BL905" s="322"/>
      <c r="BM905" s="13">
        <v>102.991870095916</v>
      </c>
      <c r="BN905" s="13">
        <v>526.63908100904303</v>
      </c>
      <c r="BO905" s="13" t="s">
        <v>169</v>
      </c>
      <c r="BP905" s="13">
        <v>359.743735612752</v>
      </c>
      <c r="BQ905" s="13" t="s">
        <v>169</v>
      </c>
      <c r="BT905" s="298" t="str">
        <f>+VLOOKUP(G905,Liste!$A$7:$H$50,8,FALSE)</f>
        <v>Résineux</v>
      </c>
      <c r="BU905" s="298">
        <f t="shared" si="285"/>
        <v>0</v>
      </c>
      <c r="BV905" s="300">
        <f t="shared" si="286"/>
        <v>1</v>
      </c>
      <c r="BW905" s="321">
        <v>0</v>
      </c>
      <c r="BX905" s="298">
        <f t="shared" si="287"/>
        <v>0.43</v>
      </c>
      <c r="BY905">
        <f t="shared" si="288"/>
        <v>0</v>
      </c>
      <c r="BZ905" s="304">
        <f t="shared" si="289"/>
        <v>0</v>
      </c>
      <c r="CB905" s="299">
        <v>0.6</v>
      </c>
      <c r="CC905" s="299">
        <v>0.4</v>
      </c>
      <c r="CD905">
        <f t="shared" si="290"/>
        <v>0</v>
      </c>
      <c r="CE905">
        <f t="shared" si="291"/>
        <v>0</v>
      </c>
      <c r="CF905">
        <f t="shared" si="292"/>
        <v>0</v>
      </c>
      <c r="CG905">
        <f t="shared" si="293"/>
        <v>0</v>
      </c>
      <c r="CH905">
        <f t="shared" si="294"/>
        <v>0</v>
      </c>
      <c r="CI905">
        <f t="shared" si="295"/>
        <v>0</v>
      </c>
      <c r="CJ905">
        <f t="shared" si="296"/>
        <v>0</v>
      </c>
      <c r="CK905">
        <f t="shared" si="297"/>
        <v>0</v>
      </c>
      <c r="CL905">
        <f t="shared" si="298"/>
        <v>0</v>
      </c>
      <c r="CM905">
        <f t="shared" si="300"/>
        <v>0</v>
      </c>
      <c r="CN905">
        <f t="shared" si="299"/>
        <v>0</v>
      </c>
      <c r="CO905">
        <f t="shared" si="283"/>
        <v>0</v>
      </c>
    </row>
    <row r="906" spans="1:93" s="12" customFormat="1" x14ac:dyDescent="0.25">
      <c r="A906" s="4">
        <v>2013</v>
      </c>
      <c r="B906" s="318">
        <v>44265</v>
      </c>
      <c r="C906" s="4" t="s">
        <v>430</v>
      </c>
      <c r="D906" s="4" t="s">
        <v>431</v>
      </c>
      <c r="E906" s="4"/>
      <c r="F906" s="4" t="s">
        <v>1493</v>
      </c>
      <c r="G906" s="5" t="s">
        <v>432</v>
      </c>
      <c r="H906" s="5" t="s">
        <v>185</v>
      </c>
      <c r="I906" s="5" t="s">
        <v>222</v>
      </c>
      <c r="J906" s="5" t="s">
        <v>9</v>
      </c>
      <c r="K906" s="5">
        <v>20</v>
      </c>
      <c r="L906" s="5" t="s">
        <v>191</v>
      </c>
      <c r="M906" s="5">
        <v>2000</v>
      </c>
      <c r="N906" s="5" t="s">
        <v>171</v>
      </c>
      <c r="O906" s="6" t="s">
        <v>81</v>
      </c>
      <c r="P906" s="6" t="s">
        <v>186</v>
      </c>
      <c r="Q906" s="6"/>
      <c r="R906" s="6"/>
      <c r="S906" s="6">
        <v>45</v>
      </c>
      <c r="T906" s="6">
        <v>17.7</v>
      </c>
      <c r="U906" s="6">
        <v>1853</v>
      </c>
      <c r="V906" s="6">
        <v>45.68</v>
      </c>
      <c r="W906" s="6">
        <v>0</v>
      </c>
      <c r="X906" s="6">
        <v>0</v>
      </c>
      <c r="Y906" s="6">
        <v>1079</v>
      </c>
      <c r="Z906" s="6">
        <v>672</v>
      </c>
      <c r="AA906" s="6">
        <v>94</v>
      </c>
      <c r="AB906" s="6">
        <v>8</v>
      </c>
      <c r="AC906" s="7">
        <v>133</v>
      </c>
      <c r="AD906" s="7" t="s">
        <v>52</v>
      </c>
      <c r="AE906" s="9">
        <v>39.888177034083803</v>
      </c>
      <c r="AF906" s="7">
        <v>105</v>
      </c>
      <c r="AG906" s="7">
        <v>30.87</v>
      </c>
      <c r="AH906" s="9">
        <v>61.182083333055701</v>
      </c>
      <c r="AI906" s="9">
        <v>61.5062733693591</v>
      </c>
      <c r="AJ906" s="9">
        <v>584.78595768516902</v>
      </c>
      <c r="AK906" s="9">
        <v>588.65837155844497</v>
      </c>
      <c r="AL906" s="9">
        <v>649.32141717356103</v>
      </c>
      <c r="AM906" s="9" t="s">
        <v>169</v>
      </c>
      <c r="AN906" s="9" t="s">
        <v>169</v>
      </c>
      <c r="AO906" s="9" t="s">
        <v>169</v>
      </c>
      <c r="AP906" s="9" t="s">
        <v>169</v>
      </c>
      <c r="AQ906" s="9" t="s">
        <v>169</v>
      </c>
      <c r="AR906" s="9" t="s">
        <v>169</v>
      </c>
      <c r="AS906" s="8" t="s">
        <v>169</v>
      </c>
      <c r="AT906" s="8" t="s">
        <v>169</v>
      </c>
      <c r="AU906" s="10" t="s">
        <v>169</v>
      </c>
      <c r="AV906" s="10">
        <v>0</v>
      </c>
      <c r="AW906" s="10" t="s">
        <v>169</v>
      </c>
      <c r="AX906" s="10" t="s">
        <v>169</v>
      </c>
      <c r="AY906" s="10"/>
      <c r="AZ906" s="10"/>
      <c r="BA906" s="10"/>
      <c r="BB906" s="8"/>
      <c r="BC906" s="8"/>
      <c r="BD906" s="8"/>
      <c r="BE906" s="8"/>
      <c r="BF906" s="12">
        <v>0.38</v>
      </c>
      <c r="BG906" s="13">
        <v>429.74255793270203</v>
      </c>
      <c r="BH906" s="96" t="str">
        <f>+VLOOKUP(G906,Liste!$A$7:$G$50,3,FALSE)</f>
        <v>Sapin pectiné</v>
      </c>
      <c r="BI906" s="96" t="str">
        <f>+VLOOKUP(H906,Liste!$B$7:$G$50,5,FALSE)</f>
        <v>GS Arc Jurassien</v>
      </c>
      <c r="BJ906" s="135">
        <f t="shared" si="282"/>
        <v>133</v>
      </c>
      <c r="BK906" s="135" t="str">
        <f t="shared" si="284"/>
        <v>Sapin pectiné_F1_Cas général_GS Arc Jurassien_133_</v>
      </c>
      <c r="BL906" s="322"/>
      <c r="BM906" s="13">
        <v>104.30129025453201</v>
      </c>
      <c r="BN906" s="13">
        <v>534.04384818723304</v>
      </c>
      <c r="BO906" s="13" t="s">
        <v>169</v>
      </c>
      <c r="BP906" s="13">
        <v>359.743735612752</v>
      </c>
      <c r="BQ906" s="13" t="s">
        <v>169</v>
      </c>
      <c r="BT906" s="298" t="str">
        <f>+VLOOKUP(G906,Liste!$A$7:$H$50,8,FALSE)</f>
        <v>Résineux</v>
      </c>
      <c r="BU906" s="298">
        <f t="shared" si="285"/>
        <v>0</v>
      </c>
      <c r="BV906" s="300">
        <f t="shared" si="286"/>
        <v>1</v>
      </c>
      <c r="BW906" s="321">
        <v>0</v>
      </c>
      <c r="BX906" s="298">
        <f t="shared" si="287"/>
        <v>0.43</v>
      </c>
      <c r="BY906">
        <f t="shared" si="288"/>
        <v>0</v>
      </c>
      <c r="BZ906" s="304">
        <f t="shared" si="289"/>
        <v>0</v>
      </c>
      <c r="CB906" s="299">
        <v>0.6</v>
      </c>
      <c r="CC906" s="299">
        <v>0.4</v>
      </c>
      <c r="CD906">
        <f t="shared" si="290"/>
        <v>0</v>
      </c>
      <c r="CE906">
        <f t="shared" si="291"/>
        <v>0</v>
      </c>
      <c r="CF906">
        <f t="shared" si="292"/>
        <v>0</v>
      </c>
      <c r="CG906">
        <f t="shared" si="293"/>
        <v>0</v>
      </c>
      <c r="CH906">
        <f t="shared" si="294"/>
        <v>0</v>
      </c>
      <c r="CI906">
        <f t="shared" si="295"/>
        <v>0</v>
      </c>
      <c r="CJ906">
        <f t="shared" si="296"/>
        <v>0</v>
      </c>
      <c r="CK906">
        <f t="shared" si="297"/>
        <v>0</v>
      </c>
      <c r="CL906">
        <f t="shared" si="298"/>
        <v>0</v>
      </c>
      <c r="CM906">
        <f t="shared" si="300"/>
        <v>0</v>
      </c>
      <c r="CN906">
        <f t="shared" si="299"/>
        <v>0</v>
      </c>
      <c r="CO906">
        <f t="shared" si="283"/>
        <v>0</v>
      </c>
    </row>
    <row r="907" spans="1:93" s="12" customFormat="1" x14ac:dyDescent="0.25">
      <c r="A907" s="4">
        <v>2013</v>
      </c>
      <c r="B907" s="318">
        <v>44265</v>
      </c>
      <c r="C907" s="4" t="s">
        <v>430</v>
      </c>
      <c r="D907" s="4" t="s">
        <v>431</v>
      </c>
      <c r="E907" s="4"/>
      <c r="F907" s="4" t="s">
        <v>1493</v>
      </c>
      <c r="G907" s="5" t="s">
        <v>432</v>
      </c>
      <c r="H907" s="5" t="s">
        <v>185</v>
      </c>
      <c r="I907" s="5" t="s">
        <v>222</v>
      </c>
      <c r="J907" s="5" t="s">
        <v>9</v>
      </c>
      <c r="K907" s="5">
        <v>20</v>
      </c>
      <c r="L907" s="5" t="s">
        <v>191</v>
      </c>
      <c r="M907" s="5">
        <v>2000</v>
      </c>
      <c r="N907" s="5" t="s">
        <v>171</v>
      </c>
      <c r="O907" s="6" t="s">
        <v>81</v>
      </c>
      <c r="P907" s="6" t="s">
        <v>186</v>
      </c>
      <c r="Q907" s="6"/>
      <c r="R907" s="6"/>
      <c r="S907" s="6">
        <v>45</v>
      </c>
      <c r="T907" s="6">
        <v>17.7</v>
      </c>
      <c r="U907" s="6">
        <v>1853</v>
      </c>
      <c r="V907" s="6">
        <v>45.68</v>
      </c>
      <c r="W907" s="6">
        <v>0</v>
      </c>
      <c r="X907" s="6">
        <v>0</v>
      </c>
      <c r="Y907" s="6">
        <v>1079</v>
      </c>
      <c r="Z907" s="6">
        <v>672</v>
      </c>
      <c r="AA907" s="6">
        <v>94</v>
      </c>
      <c r="AB907" s="6">
        <v>8</v>
      </c>
      <c r="AC907" s="7">
        <v>134</v>
      </c>
      <c r="AD907" s="7" t="s">
        <v>52</v>
      </c>
      <c r="AE907" s="9">
        <v>40.0043338744496</v>
      </c>
      <c r="AF907" s="7">
        <v>105</v>
      </c>
      <c r="AG907" s="7">
        <v>31.22</v>
      </c>
      <c r="AH907" s="9">
        <v>61.532735779890999</v>
      </c>
      <c r="AI907" s="9">
        <v>61.857617621539703</v>
      </c>
      <c r="AJ907" s="9">
        <v>589.45012672595897</v>
      </c>
      <c r="AK907" s="9">
        <v>593.67670456011797</v>
      </c>
      <c r="AL907" s="9">
        <v>658.53120869142901</v>
      </c>
      <c r="AM907" s="9">
        <v>117.349921858299</v>
      </c>
      <c r="AN907" s="9">
        <v>0.875745685509698</v>
      </c>
      <c r="AO907" s="9" t="s">
        <v>169</v>
      </c>
      <c r="AP907" s="9">
        <v>1912.0610997886799</v>
      </c>
      <c r="AQ907" s="9">
        <v>14.269112684990199</v>
      </c>
      <c r="AR907" s="9" t="s">
        <v>169</v>
      </c>
      <c r="AS907" s="8" t="s">
        <v>169</v>
      </c>
      <c r="AT907" s="8" t="s">
        <v>169</v>
      </c>
      <c r="AU907" s="10" t="s">
        <v>169</v>
      </c>
      <c r="AV907" s="10">
        <v>0</v>
      </c>
      <c r="AW907" s="10" t="s">
        <v>169</v>
      </c>
      <c r="AX907" s="10" t="s">
        <v>169</v>
      </c>
      <c r="AY907" s="10"/>
      <c r="AZ907" s="10"/>
      <c r="BA907" s="10"/>
      <c r="BB907" s="8"/>
      <c r="BC907" s="8"/>
      <c r="BD907" s="8"/>
      <c r="BE907" s="8"/>
      <c r="BF907" s="12">
        <v>0.38</v>
      </c>
      <c r="BG907" s="13">
        <v>435.83790495227697</v>
      </c>
      <c r="BH907" s="96" t="str">
        <f>+VLOOKUP(G907,Liste!$A$7:$G$50,3,FALSE)</f>
        <v>Sapin pectiné</v>
      </c>
      <c r="BI907" s="96" t="str">
        <f>+VLOOKUP(H907,Liste!$B$7:$G$50,5,FALSE)</f>
        <v>GS Arc Jurassien</v>
      </c>
      <c r="BJ907" s="135">
        <f t="shared" si="282"/>
        <v>134</v>
      </c>
      <c r="BK907" s="135" t="str">
        <f t="shared" si="284"/>
        <v>Sapin pectiné_F1_Cas général_GS Arc Jurassien_134_</v>
      </c>
      <c r="BL907" s="322"/>
      <c r="BM907" s="13">
        <v>105.610710413147</v>
      </c>
      <c r="BN907" s="13">
        <v>541.44861536542396</v>
      </c>
      <c r="BO907" s="13" t="s">
        <v>169</v>
      </c>
      <c r="BP907" s="13">
        <v>359.743735612752</v>
      </c>
      <c r="BQ907" s="13" t="s">
        <v>169</v>
      </c>
      <c r="BT907" s="298" t="str">
        <f>+VLOOKUP(G907,Liste!$A$7:$H$50,8,FALSE)</f>
        <v>Résineux</v>
      </c>
      <c r="BU907" s="298">
        <f t="shared" si="285"/>
        <v>0</v>
      </c>
      <c r="BV907" s="300">
        <f t="shared" si="286"/>
        <v>1</v>
      </c>
      <c r="BW907" s="321">
        <v>0</v>
      </c>
      <c r="BX907" s="298">
        <f t="shared" si="287"/>
        <v>0.43</v>
      </c>
      <c r="BY907">
        <f t="shared" si="288"/>
        <v>0</v>
      </c>
      <c r="BZ907" s="304">
        <f t="shared" si="289"/>
        <v>0</v>
      </c>
      <c r="CB907" s="299">
        <v>0.6</v>
      </c>
      <c r="CC907" s="299">
        <v>0.4</v>
      </c>
      <c r="CD907">
        <f t="shared" si="290"/>
        <v>0</v>
      </c>
      <c r="CE907">
        <f t="shared" si="291"/>
        <v>0</v>
      </c>
      <c r="CF907">
        <f t="shared" si="292"/>
        <v>0</v>
      </c>
      <c r="CG907">
        <f t="shared" si="293"/>
        <v>0</v>
      </c>
      <c r="CH907">
        <f t="shared" si="294"/>
        <v>0</v>
      </c>
      <c r="CI907">
        <f t="shared" si="295"/>
        <v>0</v>
      </c>
      <c r="CJ907">
        <f t="shared" si="296"/>
        <v>0</v>
      </c>
      <c r="CK907">
        <f t="shared" si="297"/>
        <v>0</v>
      </c>
      <c r="CL907">
        <f t="shared" si="298"/>
        <v>0</v>
      </c>
      <c r="CM907">
        <f t="shared" si="300"/>
        <v>0</v>
      </c>
      <c r="CN907">
        <f t="shared" si="299"/>
        <v>0</v>
      </c>
      <c r="CO907">
        <f t="shared" si="283"/>
        <v>0</v>
      </c>
    </row>
    <row r="908" spans="1:93" s="12" customFormat="1" x14ac:dyDescent="0.25">
      <c r="A908" s="4">
        <v>2013</v>
      </c>
      <c r="B908" s="318">
        <v>44265</v>
      </c>
      <c r="C908" s="4" t="s">
        <v>430</v>
      </c>
      <c r="D908" s="4" t="s">
        <v>431</v>
      </c>
      <c r="E908" s="4"/>
      <c r="F908" s="4" t="s">
        <v>1493</v>
      </c>
      <c r="G908" s="5" t="s">
        <v>432</v>
      </c>
      <c r="H908" s="5" t="s">
        <v>185</v>
      </c>
      <c r="I908" s="5" t="s">
        <v>222</v>
      </c>
      <c r="J908" s="5" t="s">
        <v>9</v>
      </c>
      <c r="K908" s="5">
        <v>20</v>
      </c>
      <c r="L908" s="5" t="s">
        <v>191</v>
      </c>
      <c r="M908" s="5">
        <v>2000</v>
      </c>
      <c r="N908" s="5" t="s">
        <v>171</v>
      </c>
      <c r="O908" s="6" t="s">
        <v>81</v>
      </c>
      <c r="P908" s="6" t="s">
        <v>186</v>
      </c>
      <c r="Q908" s="6"/>
      <c r="R908" s="6"/>
      <c r="S908" s="6">
        <v>45</v>
      </c>
      <c r="T908" s="6">
        <v>17.7</v>
      </c>
      <c r="U908" s="6">
        <v>1853</v>
      </c>
      <c r="V908" s="6">
        <v>45.68</v>
      </c>
      <c r="W908" s="6">
        <v>0</v>
      </c>
      <c r="X908" s="6">
        <v>0</v>
      </c>
      <c r="Y908" s="6">
        <v>1079</v>
      </c>
      <c r="Z908" s="6">
        <v>672</v>
      </c>
      <c r="AA908" s="6">
        <v>94</v>
      </c>
      <c r="AB908" s="6">
        <v>8</v>
      </c>
      <c r="AC908" s="7">
        <v>134</v>
      </c>
      <c r="AD908" s="7" t="s">
        <v>53</v>
      </c>
      <c r="AE908" s="9">
        <v>40.0043338744496</v>
      </c>
      <c r="AF908" s="7">
        <v>0</v>
      </c>
      <c r="AG908" s="7">
        <v>0</v>
      </c>
      <c r="AH908" s="7">
        <v>0</v>
      </c>
      <c r="AI908" s="7">
        <v>0</v>
      </c>
      <c r="AJ908" s="9">
        <v>0</v>
      </c>
      <c r="AK908" s="9">
        <v>0</v>
      </c>
      <c r="AL908" s="9">
        <v>0</v>
      </c>
      <c r="AM908" s="9">
        <v>117.349921858299</v>
      </c>
      <c r="AN908" s="9">
        <v>0.875745685509698</v>
      </c>
      <c r="AO908" s="9" t="s">
        <v>169</v>
      </c>
      <c r="AP908" s="9">
        <v>1912.0610997886799</v>
      </c>
      <c r="AQ908" s="9">
        <v>14.269112684990199</v>
      </c>
      <c r="AR908" s="9" t="s">
        <v>169</v>
      </c>
      <c r="AS908" s="8">
        <v>105</v>
      </c>
      <c r="AT908" s="8">
        <v>31.22</v>
      </c>
      <c r="AU908" s="10">
        <v>61.528575310007113</v>
      </c>
      <c r="AV908" s="10">
        <v>589.45012672595897</v>
      </c>
      <c r="AW908" s="8">
        <v>1</v>
      </c>
      <c r="AX908" s="10">
        <v>5.6138107307234186</v>
      </c>
      <c r="AY908" s="10"/>
      <c r="AZ908" s="10"/>
      <c r="BA908" s="10"/>
      <c r="BB908" s="8"/>
      <c r="BC908" s="8"/>
      <c r="BD908" s="8"/>
      <c r="BE908" s="8"/>
      <c r="BF908" s="12">
        <v>0.38</v>
      </c>
      <c r="BG908" s="13">
        <v>0</v>
      </c>
      <c r="BH908" s="96" t="str">
        <f>+VLOOKUP(G908,Liste!$A$7:$G$50,3,FALSE)</f>
        <v>Sapin pectiné</v>
      </c>
      <c r="BI908" s="96" t="str">
        <f>+VLOOKUP(H908,Liste!$B$7:$G$50,5,FALSE)</f>
        <v>GS Arc Jurassien</v>
      </c>
      <c r="BJ908" s="135">
        <f t="shared" si="282"/>
        <v>134</v>
      </c>
      <c r="BK908" s="135" t="str">
        <f t="shared" si="284"/>
        <v>Sapin pectiné_F1_Cas général_GS Arc Jurassien_134_</v>
      </c>
      <c r="BL908" s="322"/>
      <c r="BM908" s="13">
        <v>0</v>
      </c>
      <c r="BN908" s="13">
        <v>0</v>
      </c>
      <c r="BO908" s="13">
        <v>541.44861536542396</v>
      </c>
      <c r="BP908" s="13">
        <v>359.743735612752</v>
      </c>
      <c r="BQ908" s="13" t="s">
        <v>169</v>
      </c>
      <c r="BT908" s="298" t="str">
        <f>+VLOOKUP(G908,Liste!$A$7:$H$50,8,FALSE)</f>
        <v>Résineux</v>
      </c>
      <c r="BU908" s="298">
        <f t="shared" si="285"/>
        <v>0</v>
      </c>
      <c r="BV908" s="300">
        <f t="shared" si="286"/>
        <v>1</v>
      </c>
      <c r="BW908" s="321">
        <v>0</v>
      </c>
      <c r="BX908" s="298">
        <f t="shared" si="287"/>
        <v>0.43</v>
      </c>
      <c r="BY908">
        <f t="shared" si="288"/>
        <v>0</v>
      </c>
      <c r="BZ908" s="304">
        <f t="shared" si="289"/>
        <v>0</v>
      </c>
      <c r="CB908" s="299">
        <v>0.6</v>
      </c>
      <c r="CC908" s="299">
        <v>0.4</v>
      </c>
      <c r="CD908">
        <f t="shared" si="290"/>
        <v>0</v>
      </c>
      <c r="CE908">
        <f t="shared" si="291"/>
        <v>0</v>
      </c>
      <c r="CF908">
        <f t="shared" si="292"/>
        <v>0</v>
      </c>
      <c r="CG908">
        <f t="shared" si="293"/>
        <v>0</v>
      </c>
      <c r="CH908">
        <f t="shared" si="294"/>
        <v>0</v>
      </c>
      <c r="CI908">
        <f t="shared" si="295"/>
        <v>0</v>
      </c>
      <c r="CJ908">
        <f t="shared" si="296"/>
        <v>0</v>
      </c>
      <c r="CK908">
        <f t="shared" si="297"/>
        <v>0</v>
      </c>
      <c r="CL908">
        <f t="shared" si="298"/>
        <v>0</v>
      </c>
      <c r="CM908">
        <f t="shared" si="300"/>
        <v>0</v>
      </c>
      <c r="CN908">
        <f t="shared" si="299"/>
        <v>0</v>
      </c>
      <c r="CO908">
        <f t="shared" si="283"/>
        <v>0</v>
      </c>
    </row>
    <row r="909" spans="1:93" s="12" customFormat="1" x14ac:dyDescent="0.25">
      <c r="A909" s="4">
        <v>2013</v>
      </c>
      <c r="B909" s="318">
        <v>44265</v>
      </c>
      <c r="C909" s="4" t="s">
        <v>430</v>
      </c>
      <c r="D909" s="4" t="s">
        <v>431</v>
      </c>
      <c r="E909" s="4"/>
      <c r="F909" s="4" t="s">
        <v>1493</v>
      </c>
      <c r="G909" s="5" t="s">
        <v>432</v>
      </c>
      <c r="H909" s="5" t="s">
        <v>185</v>
      </c>
      <c r="I909" s="5" t="s">
        <v>222</v>
      </c>
      <c r="J909" s="5" t="s">
        <v>9</v>
      </c>
      <c r="K909" s="5">
        <v>20</v>
      </c>
      <c r="L909" s="5" t="s">
        <v>190</v>
      </c>
      <c r="M909" s="5">
        <v>2000</v>
      </c>
      <c r="N909" s="5" t="s">
        <v>171</v>
      </c>
      <c r="O909" s="6" t="s">
        <v>81</v>
      </c>
      <c r="P909" s="6" t="s">
        <v>186</v>
      </c>
      <c r="Q909" s="6"/>
      <c r="R909" s="6"/>
      <c r="S909" s="6">
        <v>45</v>
      </c>
      <c r="T909" s="6">
        <v>17.7</v>
      </c>
      <c r="U909" s="6">
        <v>1853</v>
      </c>
      <c r="V909" s="6">
        <v>45.68</v>
      </c>
      <c r="W909" s="6">
        <v>0</v>
      </c>
      <c r="X909" s="6">
        <v>0</v>
      </c>
      <c r="Y909" s="6">
        <v>1079</v>
      </c>
      <c r="Z909" s="6">
        <v>672</v>
      </c>
      <c r="AA909" s="6">
        <v>94</v>
      </c>
      <c r="AB909" s="6">
        <v>8</v>
      </c>
      <c r="AC909" s="7">
        <v>30</v>
      </c>
      <c r="AD909" s="7" t="s">
        <v>52</v>
      </c>
      <c r="AE909" s="7"/>
      <c r="AF909" s="7"/>
      <c r="AG909" s="7"/>
      <c r="AH909" s="7"/>
      <c r="AI909" s="7"/>
      <c r="AJ909" s="9">
        <v>231.80074182504501</v>
      </c>
      <c r="AK909" s="9">
        <v>232.520933549841</v>
      </c>
      <c r="AL909" s="9">
        <v>297.71713571403802</v>
      </c>
      <c r="AM909" s="7"/>
      <c r="AN909" s="7"/>
      <c r="AO909" s="7"/>
      <c r="AP909" s="7"/>
      <c r="AQ909" s="7"/>
      <c r="AR909" s="7"/>
      <c r="AS909" s="8"/>
      <c r="AT909" s="8"/>
      <c r="AU909" s="10" t="s">
        <v>169</v>
      </c>
      <c r="AV909" s="10">
        <v>0</v>
      </c>
      <c r="AW909" s="8"/>
      <c r="AX909" s="8"/>
      <c r="AY909" s="8"/>
      <c r="AZ909" s="8"/>
      <c r="BA909" s="8"/>
      <c r="BB909" s="8"/>
      <c r="BC909" s="8"/>
      <c r="BD909" s="8"/>
      <c r="BE909" s="8"/>
      <c r="BF909" s="12">
        <v>0.38</v>
      </c>
      <c r="BG909" s="13">
        <v>197.039124320074</v>
      </c>
      <c r="BH909" s="96" t="str">
        <f>+VLOOKUP(G909,Liste!$A$7:$G$50,3,FALSE)</f>
        <v>Sapin pectiné</v>
      </c>
      <c r="BI909" s="96" t="str">
        <f>+VLOOKUP(H909,Liste!$B$7:$G$50,5,FALSE)</f>
        <v>GS Arc Jurassien</v>
      </c>
      <c r="BJ909" s="135">
        <f t="shared" si="282"/>
        <v>30</v>
      </c>
      <c r="BK909" s="135" t="str">
        <f t="shared" si="284"/>
        <v>Sapin pectiné_F1_Cas général_GS Arc Jurassien_30_</v>
      </c>
      <c r="BL909" s="322"/>
      <c r="BM909" s="13">
        <v>52.3681168382832</v>
      </c>
      <c r="BN909" s="13">
        <v>249.40724115835701</v>
      </c>
      <c r="BP909" s="13">
        <v>307.55958661145604</v>
      </c>
      <c r="BT909" s="298" t="str">
        <f>+VLOOKUP(G909,Liste!$A$7:$H$50,8,FALSE)</f>
        <v>Résineux</v>
      </c>
      <c r="BU909" s="298">
        <f t="shared" si="285"/>
        <v>0</v>
      </c>
      <c r="BV909" s="300">
        <f t="shared" si="286"/>
        <v>1</v>
      </c>
      <c r="BW909" s="321">
        <v>0</v>
      </c>
      <c r="BX909" s="298">
        <f t="shared" si="287"/>
        <v>0.43</v>
      </c>
      <c r="BY909">
        <f t="shared" si="288"/>
        <v>0</v>
      </c>
      <c r="BZ909" s="304">
        <f t="shared" si="289"/>
        <v>0</v>
      </c>
      <c r="CB909" s="299">
        <v>0.6</v>
      </c>
      <c r="CC909" s="299">
        <v>0.4</v>
      </c>
      <c r="CD909">
        <f t="shared" si="290"/>
        <v>0</v>
      </c>
      <c r="CE909">
        <f t="shared" si="291"/>
        <v>0</v>
      </c>
      <c r="CF909">
        <f t="shared" si="292"/>
        <v>0</v>
      </c>
      <c r="CG909">
        <f t="shared" si="293"/>
        <v>0</v>
      </c>
      <c r="CH909">
        <f t="shared" si="294"/>
        <v>0</v>
      </c>
      <c r="CI909">
        <f t="shared" si="295"/>
        <v>0</v>
      </c>
      <c r="CJ909">
        <f t="shared" si="296"/>
        <v>0</v>
      </c>
      <c r="CK909">
        <f t="shared" si="297"/>
        <v>0</v>
      </c>
      <c r="CL909">
        <f t="shared" si="298"/>
        <v>0</v>
      </c>
      <c r="CM909">
        <f t="shared" si="300"/>
        <v>0</v>
      </c>
      <c r="CN909">
        <f t="shared" si="299"/>
        <v>0</v>
      </c>
      <c r="CO909">
        <f t="shared" si="283"/>
        <v>0</v>
      </c>
    </row>
    <row r="910" spans="1:93" s="12" customFormat="1" x14ac:dyDescent="0.25">
      <c r="A910" s="4">
        <v>2013</v>
      </c>
      <c r="B910" s="318">
        <v>44265</v>
      </c>
      <c r="C910" s="4" t="s">
        <v>430</v>
      </c>
      <c r="D910" s="4" t="s">
        <v>431</v>
      </c>
      <c r="E910" s="4"/>
      <c r="F910" s="4" t="s">
        <v>1493</v>
      </c>
      <c r="G910" s="5" t="s">
        <v>432</v>
      </c>
      <c r="H910" s="5" t="s">
        <v>185</v>
      </c>
      <c r="I910" s="5" t="s">
        <v>222</v>
      </c>
      <c r="J910" s="5" t="s">
        <v>9</v>
      </c>
      <c r="K910" s="5">
        <v>20</v>
      </c>
      <c r="L910" s="5" t="s">
        <v>190</v>
      </c>
      <c r="M910" s="5">
        <v>2000</v>
      </c>
      <c r="N910" s="5" t="s">
        <v>171</v>
      </c>
      <c r="O910" s="6" t="s">
        <v>81</v>
      </c>
      <c r="P910" s="6" t="s">
        <v>186</v>
      </c>
      <c r="Q910" s="6"/>
      <c r="R910" s="6"/>
      <c r="S910" s="6">
        <v>45</v>
      </c>
      <c r="T910" s="6">
        <v>17.7</v>
      </c>
      <c r="U910" s="6">
        <v>1853</v>
      </c>
      <c r="V910" s="6">
        <v>45.68</v>
      </c>
      <c r="W910" s="6">
        <v>0</v>
      </c>
      <c r="X910" s="6">
        <v>0</v>
      </c>
      <c r="Y910" s="6">
        <v>1079</v>
      </c>
      <c r="Z910" s="6">
        <v>672</v>
      </c>
      <c r="AA910" s="6">
        <v>94</v>
      </c>
      <c r="AB910" s="6">
        <v>8</v>
      </c>
      <c r="AC910" s="7">
        <v>45</v>
      </c>
      <c r="AD910" s="7" t="s">
        <v>52</v>
      </c>
      <c r="AE910" s="9">
        <v>17.7049207643812</v>
      </c>
      <c r="AF910" s="7">
        <v>1853</v>
      </c>
      <c r="AG910" s="7">
        <v>45.68</v>
      </c>
      <c r="AH910" s="9">
        <v>17.7161330252233</v>
      </c>
      <c r="AI910" s="9">
        <v>24.5555802808008</v>
      </c>
      <c r="AJ910" s="9">
        <v>347.701112737568</v>
      </c>
      <c r="AK910" s="9">
        <v>348.78140032476199</v>
      </c>
      <c r="AL910" s="9">
        <v>446.57570357105698</v>
      </c>
      <c r="AM910" s="9">
        <v>45.677588309268998</v>
      </c>
      <c r="AN910" s="9">
        <v>1.01505751798376</v>
      </c>
      <c r="AO910" s="9">
        <v>1.56459577039942</v>
      </c>
      <c r="AP910" s="9">
        <v>446.57570357105698</v>
      </c>
      <c r="AQ910" s="9">
        <v>9.9239045238012604</v>
      </c>
      <c r="AR910" s="9">
        <v>24.635823029267499</v>
      </c>
      <c r="AS910" s="8"/>
      <c r="AT910" s="8"/>
      <c r="AU910" s="10" t="s">
        <v>169</v>
      </c>
      <c r="AV910" s="10">
        <v>0</v>
      </c>
      <c r="AW910" s="8"/>
      <c r="AX910" s="8"/>
      <c r="AY910" s="8"/>
      <c r="AZ910" s="8"/>
      <c r="BA910" s="8"/>
      <c r="BB910" s="8"/>
      <c r="BC910" s="8"/>
      <c r="BD910" s="8"/>
      <c r="BE910" s="8"/>
      <c r="BF910" s="12">
        <v>0.38</v>
      </c>
      <c r="BG910" s="13">
        <v>295.55868648011102</v>
      </c>
      <c r="BH910" s="96" t="str">
        <f>+VLOOKUP(G910,Liste!$A$7:$G$50,3,FALSE)</f>
        <v>Sapin pectiné</v>
      </c>
      <c r="BI910" s="96" t="str">
        <f>+VLOOKUP(H910,Liste!$B$7:$G$50,5,FALSE)</f>
        <v>GS Arc Jurassien</v>
      </c>
      <c r="BJ910" s="135">
        <f t="shared" si="282"/>
        <v>45</v>
      </c>
      <c r="BK910" s="135" t="str">
        <f t="shared" si="284"/>
        <v>Sapin pectiné_F1_Cas général_GS Arc Jurassien_45_</v>
      </c>
      <c r="BL910" s="322"/>
      <c r="BM910" s="13">
        <v>74.930942176134906</v>
      </c>
      <c r="BN910" s="13">
        <v>370.489628656246</v>
      </c>
      <c r="BP910" s="13">
        <v>307.55958661145604</v>
      </c>
      <c r="BQ910" s="13">
        <v>19.903930441032099</v>
      </c>
      <c r="BT910" s="298" t="str">
        <f>+VLOOKUP(G910,Liste!$A$7:$H$50,8,FALSE)</f>
        <v>Résineux</v>
      </c>
      <c r="BU910" s="298">
        <f t="shared" si="285"/>
        <v>0</v>
      </c>
      <c r="BV910" s="300">
        <f t="shared" si="286"/>
        <v>1</v>
      </c>
      <c r="BW910" s="321">
        <v>0</v>
      </c>
      <c r="BX910" s="298">
        <f t="shared" si="287"/>
        <v>0.43</v>
      </c>
      <c r="BY910">
        <f t="shared" si="288"/>
        <v>0</v>
      </c>
      <c r="BZ910" s="304">
        <f t="shared" si="289"/>
        <v>0</v>
      </c>
      <c r="CB910" s="299">
        <v>0.6</v>
      </c>
      <c r="CC910" s="299">
        <v>0.4</v>
      </c>
      <c r="CD910">
        <f t="shared" si="290"/>
        <v>0</v>
      </c>
      <c r="CE910">
        <f t="shared" si="291"/>
        <v>0</v>
      </c>
      <c r="CF910">
        <f t="shared" si="292"/>
        <v>0</v>
      </c>
      <c r="CG910">
        <f t="shared" si="293"/>
        <v>0</v>
      </c>
      <c r="CH910">
        <f t="shared" si="294"/>
        <v>0</v>
      </c>
      <c r="CI910">
        <f t="shared" si="295"/>
        <v>0</v>
      </c>
      <c r="CJ910">
        <f t="shared" si="296"/>
        <v>0</v>
      </c>
      <c r="CK910">
        <f t="shared" si="297"/>
        <v>0</v>
      </c>
      <c r="CL910">
        <f t="shared" si="298"/>
        <v>0</v>
      </c>
      <c r="CM910">
        <f t="shared" si="300"/>
        <v>0</v>
      </c>
      <c r="CN910">
        <f t="shared" si="299"/>
        <v>0</v>
      </c>
      <c r="CO910">
        <f t="shared" si="283"/>
        <v>0</v>
      </c>
    </row>
    <row r="911" spans="1:93" s="12" customFormat="1" x14ac:dyDescent="0.25">
      <c r="A911" s="4">
        <v>2013</v>
      </c>
      <c r="B911" s="318">
        <v>44265</v>
      </c>
      <c r="C911" s="4" t="s">
        <v>430</v>
      </c>
      <c r="D911" s="4" t="s">
        <v>431</v>
      </c>
      <c r="E911" s="4"/>
      <c r="F911" s="4" t="s">
        <v>1493</v>
      </c>
      <c r="G911" s="5" t="s">
        <v>432</v>
      </c>
      <c r="H911" s="5" t="s">
        <v>185</v>
      </c>
      <c r="I911" s="5" t="s">
        <v>222</v>
      </c>
      <c r="J911" s="5" t="s">
        <v>9</v>
      </c>
      <c r="K911" s="5">
        <v>20</v>
      </c>
      <c r="L911" s="5" t="s">
        <v>190</v>
      </c>
      <c r="M911" s="5">
        <v>2000</v>
      </c>
      <c r="N911" s="5" t="s">
        <v>171</v>
      </c>
      <c r="O911" s="6" t="s">
        <v>81</v>
      </c>
      <c r="P911" s="6" t="s">
        <v>186</v>
      </c>
      <c r="Q911" s="6"/>
      <c r="R911" s="6"/>
      <c r="S911" s="6">
        <v>45</v>
      </c>
      <c r="T911" s="6">
        <v>17.7</v>
      </c>
      <c r="U911" s="6">
        <v>1853</v>
      </c>
      <c r="V911" s="6">
        <v>45.68</v>
      </c>
      <c r="W911" s="6">
        <v>0</v>
      </c>
      <c r="X911" s="6">
        <v>0</v>
      </c>
      <c r="Y911" s="6">
        <v>1079</v>
      </c>
      <c r="Z911" s="6">
        <v>672</v>
      </c>
      <c r="AA911" s="6">
        <v>94</v>
      </c>
      <c r="AB911" s="6">
        <v>8</v>
      </c>
      <c r="AC911" s="7">
        <v>45</v>
      </c>
      <c r="AD911" s="7" t="s">
        <v>53</v>
      </c>
      <c r="AE911" s="9">
        <v>17.7049207643812</v>
      </c>
      <c r="AF911" s="7">
        <v>946</v>
      </c>
      <c r="AG911" s="7">
        <v>25.85</v>
      </c>
      <c r="AH911" s="9">
        <v>18.6510610927096</v>
      </c>
      <c r="AI911" s="9">
        <v>22.428679107357901</v>
      </c>
      <c r="AJ911" s="9">
        <v>200.963137728579</v>
      </c>
      <c r="AK911" s="9">
        <v>201.66596213607801</v>
      </c>
      <c r="AL911" s="9">
        <v>256.42260489988001</v>
      </c>
      <c r="AM911" s="9">
        <v>45.677588309268998</v>
      </c>
      <c r="AN911" s="9">
        <v>1.01505751798376</v>
      </c>
      <c r="AO911" s="9">
        <v>1.56459577039942</v>
      </c>
      <c r="AP911" s="9">
        <v>446.57570357105698</v>
      </c>
      <c r="AQ911" s="9">
        <v>9.9239045238012604</v>
      </c>
      <c r="AR911" s="9">
        <v>24.635823029267499</v>
      </c>
      <c r="AS911" s="8">
        <v>907</v>
      </c>
      <c r="AT911" s="8">
        <v>19.829999999999998</v>
      </c>
      <c r="AU911" s="10">
        <v>16.684483734515187</v>
      </c>
      <c r="AV911" s="10">
        <v>146.737975008989</v>
      </c>
      <c r="AW911" s="10">
        <v>0.88692660090142594</v>
      </c>
      <c r="AX911" s="10">
        <v>0.16178387542336162</v>
      </c>
      <c r="AY911" s="10"/>
      <c r="AZ911" s="10"/>
      <c r="BA911" s="10"/>
      <c r="BB911" s="8"/>
      <c r="BC911" s="8"/>
      <c r="BD911" s="8"/>
      <c r="BE911" s="8"/>
      <c r="BF911" s="12">
        <v>0.38</v>
      </c>
      <c r="BG911" s="13">
        <v>169.70902734290399</v>
      </c>
      <c r="BH911" s="96" t="str">
        <f>+VLOOKUP(G911,Liste!$A$7:$G$50,3,FALSE)</f>
        <v>Sapin pectiné</v>
      </c>
      <c r="BI911" s="96" t="str">
        <f>+VLOOKUP(H911,Liste!$B$7:$G$50,5,FALSE)</f>
        <v>GS Arc Jurassien</v>
      </c>
      <c r="BJ911" s="135">
        <f t="shared" si="282"/>
        <v>45</v>
      </c>
      <c r="BK911" s="135" t="str">
        <f t="shared" si="284"/>
        <v>Sapin pectiné_F1_Cas général_GS Arc Jurassien_45_</v>
      </c>
      <c r="BL911" s="322"/>
      <c r="BM911" s="13">
        <v>45.895244135862399</v>
      </c>
      <c r="BN911" s="13">
        <v>215.60427147876601</v>
      </c>
      <c r="BO911" s="13">
        <v>154.88535717747999</v>
      </c>
      <c r="BP911" s="13">
        <v>307.55958661145604</v>
      </c>
      <c r="BQ911" s="13">
        <v>19.903930441032099</v>
      </c>
      <c r="BT911" s="298" t="str">
        <f>+VLOOKUP(G911,Liste!$A$7:$H$50,8,FALSE)</f>
        <v>Résineux</v>
      </c>
      <c r="BU911" s="298">
        <f t="shared" si="285"/>
        <v>0</v>
      </c>
      <c r="BV911" s="300">
        <f t="shared" si="286"/>
        <v>1</v>
      </c>
      <c r="BW911" s="321">
        <v>0</v>
      </c>
      <c r="BX911" s="298">
        <f t="shared" si="287"/>
        <v>0.43</v>
      </c>
      <c r="BY911">
        <f t="shared" si="288"/>
        <v>0</v>
      </c>
      <c r="BZ911" s="304">
        <f t="shared" si="289"/>
        <v>0</v>
      </c>
      <c r="CB911" s="299">
        <v>0.6</v>
      </c>
      <c r="CC911" s="299">
        <v>0.4</v>
      </c>
      <c r="CD911">
        <f t="shared" si="290"/>
        <v>0</v>
      </c>
      <c r="CE911">
        <f t="shared" si="291"/>
        <v>0</v>
      </c>
      <c r="CF911">
        <f t="shared" si="292"/>
        <v>0</v>
      </c>
      <c r="CG911">
        <f t="shared" si="293"/>
        <v>0</v>
      </c>
      <c r="CH911">
        <f t="shared" si="294"/>
        <v>0</v>
      </c>
      <c r="CI911">
        <f t="shared" si="295"/>
        <v>0</v>
      </c>
      <c r="CJ911">
        <f t="shared" si="296"/>
        <v>0</v>
      </c>
      <c r="CK911">
        <f t="shared" si="297"/>
        <v>0</v>
      </c>
      <c r="CL911">
        <f t="shared" si="298"/>
        <v>0</v>
      </c>
      <c r="CM911">
        <f t="shared" si="300"/>
        <v>0</v>
      </c>
      <c r="CN911">
        <f t="shared" si="299"/>
        <v>0</v>
      </c>
      <c r="CO911">
        <f t="shared" si="283"/>
        <v>0</v>
      </c>
    </row>
    <row r="912" spans="1:93" s="12" customFormat="1" x14ac:dyDescent="0.25">
      <c r="A912" s="4">
        <v>2013</v>
      </c>
      <c r="B912" s="318">
        <v>44265</v>
      </c>
      <c r="C912" s="4" t="s">
        <v>430</v>
      </c>
      <c r="D912" s="4" t="s">
        <v>431</v>
      </c>
      <c r="E912" s="4"/>
      <c r="F912" s="4" t="s">
        <v>1493</v>
      </c>
      <c r="G912" s="5" t="s">
        <v>432</v>
      </c>
      <c r="H912" s="5" t="s">
        <v>185</v>
      </c>
      <c r="I912" s="5" t="s">
        <v>222</v>
      </c>
      <c r="J912" s="5" t="s">
        <v>9</v>
      </c>
      <c r="K912" s="5">
        <v>20</v>
      </c>
      <c r="L912" s="5" t="s">
        <v>190</v>
      </c>
      <c r="M912" s="5">
        <v>2000</v>
      </c>
      <c r="N912" s="5" t="s">
        <v>171</v>
      </c>
      <c r="O912" s="6" t="s">
        <v>81</v>
      </c>
      <c r="P912" s="6" t="s">
        <v>186</v>
      </c>
      <c r="Q912" s="6"/>
      <c r="R912" s="6"/>
      <c r="S912" s="6">
        <v>45</v>
      </c>
      <c r="T912" s="6">
        <v>17.7</v>
      </c>
      <c r="U912" s="6">
        <v>1853</v>
      </c>
      <c r="V912" s="6">
        <v>45.68</v>
      </c>
      <c r="W912" s="6">
        <v>0</v>
      </c>
      <c r="X912" s="6">
        <v>0</v>
      </c>
      <c r="Y912" s="6">
        <v>1079</v>
      </c>
      <c r="Z912" s="6">
        <v>672</v>
      </c>
      <c r="AA912" s="6">
        <v>94</v>
      </c>
      <c r="AB912" s="6">
        <v>8</v>
      </c>
      <c r="AC912" s="7">
        <v>46</v>
      </c>
      <c r="AD912" s="7" t="s">
        <v>52</v>
      </c>
      <c r="AE912" s="9">
        <v>18.201953507974601</v>
      </c>
      <c r="AF912" s="7">
        <v>946</v>
      </c>
      <c r="AG912" s="7">
        <v>27.43</v>
      </c>
      <c r="AH912" s="9">
        <v>19.213163420533899</v>
      </c>
      <c r="AI912" s="9">
        <v>23.1402309256592</v>
      </c>
      <c r="AJ912" s="9">
        <v>223.155765573401</v>
      </c>
      <c r="AK912" s="9">
        <v>223.923157474844</v>
      </c>
      <c r="AL912" s="9">
        <v>281.05842792914802</v>
      </c>
      <c r="AM912" s="9" t="s">
        <v>169</v>
      </c>
      <c r="AN912" s="9" t="s">
        <v>169</v>
      </c>
      <c r="AO912" s="9" t="s">
        <v>169</v>
      </c>
      <c r="AP912" s="9" t="s">
        <v>169</v>
      </c>
      <c r="AQ912" s="9" t="s">
        <v>169</v>
      </c>
      <c r="AR912" s="9" t="s">
        <v>169</v>
      </c>
      <c r="AS912" s="8" t="s">
        <v>169</v>
      </c>
      <c r="AT912" s="8" t="s">
        <v>169</v>
      </c>
      <c r="AU912" s="10" t="s">
        <v>169</v>
      </c>
      <c r="AV912" s="10">
        <v>0</v>
      </c>
      <c r="AW912" s="10" t="s">
        <v>169</v>
      </c>
      <c r="AX912" s="10" t="s">
        <v>169</v>
      </c>
      <c r="AY912" s="10"/>
      <c r="AZ912" s="10"/>
      <c r="BA912" s="10"/>
      <c r="BB912" s="8"/>
      <c r="BC912" s="8"/>
      <c r="BD912" s="8"/>
      <c r="BE912" s="8"/>
      <c r="BF912" s="12">
        <v>0.38</v>
      </c>
      <c r="BG912" s="13">
        <v>186.01383621777401</v>
      </c>
      <c r="BH912" s="96" t="str">
        <f>+VLOOKUP(G912,Liste!$A$7:$G$50,3,FALSE)</f>
        <v>Sapin pectiné</v>
      </c>
      <c r="BI912" s="96" t="str">
        <f>+VLOOKUP(H912,Liste!$B$7:$G$50,5,FALSE)</f>
        <v>GS Arc Jurassien</v>
      </c>
      <c r="BJ912" s="135">
        <f t="shared" si="282"/>
        <v>46</v>
      </c>
      <c r="BK912" s="135" t="str">
        <f t="shared" si="284"/>
        <v>Sapin pectiné_F1_Cas général_GS Arc Jurassien_46_</v>
      </c>
      <c r="BL912" s="322"/>
      <c r="BM912" s="13">
        <v>49.698095296601402</v>
      </c>
      <c r="BN912" s="13">
        <v>235.711931514376</v>
      </c>
      <c r="BO912" s="13" t="s">
        <v>169</v>
      </c>
      <c r="BP912" s="13">
        <v>307.55958661145604</v>
      </c>
      <c r="BQ912" s="13" t="s">
        <v>169</v>
      </c>
      <c r="BT912" s="298" t="str">
        <f>+VLOOKUP(G912,Liste!$A$7:$H$50,8,FALSE)</f>
        <v>Résineux</v>
      </c>
      <c r="BU912" s="298">
        <f t="shared" si="285"/>
        <v>0</v>
      </c>
      <c r="BV912" s="300">
        <f t="shared" si="286"/>
        <v>1</v>
      </c>
      <c r="BW912" s="321">
        <v>0</v>
      </c>
      <c r="BX912" s="298">
        <f t="shared" si="287"/>
        <v>0.43</v>
      </c>
      <c r="BY912">
        <f t="shared" si="288"/>
        <v>0</v>
      </c>
      <c r="BZ912" s="304">
        <f t="shared" si="289"/>
        <v>0</v>
      </c>
      <c r="CB912" s="299">
        <v>0.6</v>
      </c>
      <c r="CC912" s="299">
        <v>0.4</v>
      </c>
      <c r="CD912">
        <f t="shared" si="290"/>
        <v>0</v>
      </c>
      <c r="CE912">
        <f t="shared" si="291"/>
        <v>0</v>
      </c>
      <c r="CF912">
        <f t="shared" si="292"/>
        <v>0</v>
      </c>
      <c r="CG912">
        <f t="shared" si="293"/>
        <v>0</v>
      </c>
      <c r="CH912">
        <f t="shared" si="294"/>
        <v>0</v>
      </c>
      <c r="CI912">
        <f t="shared" si="295"/>
        <v>0</v>
      </c>
      <c r="CJ912">
        <f t="shared" si="296"/>
        <v>0</v>
      </c>
      <c r="CK912">
        <f t="shared" si="297"/>
        <v>0</v>
      </c>
      <c r="CL912">
        <f t="shared" si="298"/>
        <v>0</v>
      </c>
      <c r="CM912">
        <f t="shared" si="300"/>
        <v>0</v>
      </c>
      <c r="CN912">
        <f t="shared" si="299"/>
        <v>0</v>
      </c>
      <c r="CO912">
        <f t="shared" si="283"/>
        <v>0</v>
      </c>
    </row>
    <row r="913" spans="1:93" s="12" customFormat="1" x14ac:dyDescent="0.25">
      <c r="A913" s="4">
        <v>2013</v>
      </c>
      <c r="B913" s="318">
        <v>44265</v>
      </c>
      <c r="C913" s="4" t="s">
        <v>430</v>
      </c>
      <c r="D913" s="4" t="s">
        <v>431</v>
      </c>
      <c r="E913" s="4"/>
      <c r="F913" s="4" t="s">
        <v>1493</v>
      </c>
      <c r="G913" s="5" t="s">
        <v>432</v>
      </c>
      <c r="H913" s="5" t="s">
        <v>185</v>
      </c>
      <c r="I913" s="5" t="s">
        <v>222</v>
      </c>
      <c r="J913" s="5" t="s">
        <v>9</v>
      </c>
      <c r="K913" s="5">
        <v>20</v>
      </c>
      <c r="L913" s="5" t="s">
        <v>190</v>
      </c>
      <c r="M913" s="5">
        <v>2000</v>
      </c>
      <c r="N913" s="5" t="s">
        <v>171</v>
      </c>
      <c r="O913" s="6" t="s">
        <v>81</v>
      </c>
      <c r="P913" s="6" t="s">
        <v>186</v>
      </c>
      <c r="Q913" s="6"/>
      <c r="R913" s="6"/>
      <c r="S913" s="6">
        <v>45</v>
      </c>
      <c r="T913" s="6">
        <v>17.7</v>
      </c>
      <c r="U913" s="6">
        <v>1853</v>
      </c>
      <c r="V913" s="6">
        <v>45.68</v>
      </c>
      <c r="W913" s="6">
        <v>0</v>
      </c>
      <c r="X913" s="6">
        <v>0</v>
      </c>
      <c r="Y913" s="6">
        <v>1079</v>
      </c>
      <c r="Z913" s="6">
        <v>672</v>
      </c>
      <c r="AA913" s="6">
        <v>94</v>
      </c>
      <c r="AB913" s="6">
        <v>8</v>
      </c>
      <c r="AC913" s="7">
        <v>47</v>
      </c>
      <c r="AD913" s="7" t="s">
        <v>52</v>
      </c>
      <c r="AE913" s="9">
        <v>18.690145887461998</v>
      </c>
      <c r="AF913" s="7">
        <v>946</v>
      </c>
      <c r="AG913" s="7">
        <v>29</v>
      </c>
      <c r="AH913" s="9">
        <v>19.756955166879699</v>
      </c>
      <c r="AI913" s="9">
        <v>23.826358608872599</v>
      </c>
      <c r="AJ913" s="9">
        <v>245.348393418222</v>
      </c>
      <c r="AK913" s="9">
        <v>246.18035281361</v>
      </c>
      <c r="AL913" s="9">
        <v>305.69425095841501</v>
      </c>
      <c r="AM913" s="9" t="s">
        <v>169</v>
      </c>
      <c r="AN913" s="9" t="s">
        <v>169</v>
      </c>
      <c r="AO913" s="9" t="s">
        <v>169</v>
      </c>
      <c r="AP913" s="9" t="s">
        <v>169</v>
      </c>
      <c r="AQ913" s="9" t="s">
        <v>169</v>
      </c>
      <c r="AR913" s="9" t="s">
        <v>169</v>
      </c>
      <c r="AS913" s="8" t="s">
        <v>169</v>
      </c>
      <c r="AT913" s="8" t="s">
        <v>169</v>
      </c>
      <c r="AU913" s="10" t="s">
        <v>169</v>
      </c>
      <c r="AV913" s="10">
        <v>0</v>
      </c>
      <c r="AW913" s="10" t="s">
        <v>169</v>
      </c>
      <c r="AX913" s="10" t="s">
        <v>169</v>
      </c>
      <c r="AY913" s="10"/>
      <c r="AZ913" s="10"/>
      <c r="BA913" s="10"/>
      <c r="BB913" s="8"/>
      <c r="BC913" s="8"/>
      <c r="BD913" s="8"/>
      <c r="BE913" s="8"/>
      <c r="BF913" s="12">
        <v>0.38</v>
      </c>
      <c r="BG913" s="13">
        <v>202.318645092644</v>
      </c>
      <c r="BH913" s="96" t="str">
        <f>+VLOOKUP(G913,Liste!$A$7:$G$50,3,FALSE)</f>
        <v>Sapin pectiné</v>
      </c>
      <c r="BI913" s="96" t="str">
        <f>+VLOOKUP(H913,Liste!$B$7:$G$50,5,FALSE)</f>
        <v>GS Arc Jurassien</v>
      </c>
      <c r="BJ913" s="135">
        <f t="shared" si="282"/>
        <v>47</v>
      </c>
      <c r="BK913" s="135" t="str">
        <f t="shared" si="284"/>
        <v>Sapin pectiné_F1_Cas général_GS Arc Jurassien_47_</v>
      </c>
      <c r="BL913" s="322"/>
      <c r="BM913" s="13">
        <v>53.500946457340397</v>
      </c>
      <c r="BN913" s="13">
        <v>255.81959154998501</v>
      </c>
      <c r="BO913" s="13" t="s">
        <v>169</v>
      </c>
      <c r="BP913" s="13">
        <v>307.55958661145604</v>
      </c>
      <c r="BQ913" s="13" t="s">
        <v>169</v>
      </c>
      <c r="BT913" s="298" t="str">
        <f>+VLOOKUP(G913,Liste!$A$7:$H$50,8,FALSE)</f>
        <v>Résineux</v>
      </c>
      <c r="BU913" s="298">
        <f t="shared" si="285"/>
        <v>0</v>
      </c>
      <c r="BV913" s="300">
        <f t="shared" si="286"/>
        <v>1</v>
      </c>
      <c r="BW913" s="321">
        <v>0</v>
      </c>
      <c r="BX913" s="298">
        <f t="shared" si="287"/>
        <v>0.43</v>
      </c>
      <c r="BY913">
        <f t="shared" si="288"/>
        <v>0</v>
      </c>
      <c r="BZ913" s="304">
        <f t="shared" si="289"/>
        <v>0</v>
      </c>
      <c r="CB913" s="299">
        <v>0.6</v>
      </c>
      <c r="CC913" s="299">
        <v>0.4</v>
      </c>
      <c r="CD913">
        <f t="shared" si="290"/>
        <v>0</v>
      </c>
      <c r="CE913">
        <f t="shared" si="291"/>
        <v>0</v>
      </c>
      <c r="CF913">
        <f t="shared" si="292"/>
        <v>0</v>
      </c>
      <c r="CG913">
        <f t="shared" si="293"/>
        <v>0</v>
      </c>
      <c r="CH913">
        <f t="shared" si="294"/>
        <v>0</v>
      </c>
      <c r="CI913">
        <f t="shared" si="295"/>
        <v>0</v>
      </c>
      <c r="CJ913">
        <f t="shared" si="296"/>
        <v>0</v>
      </c>
      <c r="CK913">
        <f t="shared" si="297"/>
        <v>0</v>
      </c>
      <c r="CL913">
        <f t="shared" si="298"/>
        <v>0</v>
      </c>
      <c r="CM913">
        <f t="shared" si="300"/>
        <v>0</v>
      </c>
      <c r="CN913">
        <f t="shared" si="299"/>
        <v>0</v>
      </c>
      <c r="CO913">
        <f t="shared" si="283"/>
        <v>0</v>
      </c>
    </row>
    <row r="914" spans="1:93" s="12" customFormat="1" x14ac:dyDescent="0.25">
      <c r="A914" s="4">
        <v>2013</v>
      </c>
      <c r="B914" s="318">
        <v>44265</v>
      </c>
      <c r="C914" s="4" t="s">
        <v>430</v>
      </c>
      <c r="D914" s="4" t="s">
        <v>431</v>
      </c>
      <c r="E914" s="4"/>
      <c r="F914" s="4" t="s">
        <v>1493</v>
      </c>
      <c r="G914" s="5" t="s">
        <v>432</v>
      </c>
      <c r="H914" s="5" t="s">
        <v>185</v>
      </c>
      <c r="I914" s="5" t="s">
        <v>222</v>
      </c>
      <c r="J914" s="5" t="s">
        <v>9</v>
      </c>
      <c r="K914" s="5">
        <v>20</v>
      </c>
      <c r="L914" s="5" t="s">
        <v>190</v>
      </c>
      <c r="M914" s="5">
        <v>2000</v>
      </c>
      <c r="N914" s="5" t="s">
        <v>171</v>
      </c>
      <c r="O914" s="6" t="s">
        <v>81</v>
      </c>
      <c r="P914" s="6" t="s">
        <v>186</v>
      </c>
      <c r="Q914" s="6"/>
      <c r="R914" s="6"/>
      <c r="S914" s="6">
        <v>45</v>
      </c>
      <c r="T914" s="6">
        <v>17.7</v>
      </c>
      <c r="U914" s="6">
        <v>1853</v>
      </c>
      <c r="V914" s="6">
        <v>45.68</v>
      </c>
      <c r="W914" s="6">
        <v>0</v>
      </c>
      <c r="X914" s="6">
        <v>0</v>
      </c>
      <c r="Y914" s="6">
        <v>1079</v>
      </c>
      <c r="Z914" s="6">
        <v>672</v>
      </c>
      <c r="AA914" s="6">
        <v>94</v>
      </c>
      <c r="AB914" s="6">
        <v>8</v>
      </c>
      <c r="AC914" s="7">
        <v>48</v>
      </c>
      <c r="AD914" s="7" t="s">
        <v>52</v>
      </c>
      <c r="AE914" s="9">
        <v>19.169535956377398</v>
      </c>
      <c r="AF914" s="7">
        <v>946</v>
      </c>
      <c r="AG914" s="7">
        <v>30.57</v>
      </c>
      <c r="AH914" s="9">
        <v>20.2833646108324</v>
      </c>
      <c r="AI914" s="9">
        <v>24.488105263058799</v>
      </c>
      <c r="AJ914" s="9">
        <v>267.54102126304298</v>
      </c>
      <c r="AK914" s="9">
        <v>268.437548152376</v>
      </c>
      <c r="AL914" s="9">
        <v>330.33007398768302</v>
      </c>
      <c r="AM914" s="9" t="s">
        <v>169</v>
      </c>
      <c r="AN914" s="9" t="s">
        <v>169</v>
      </c>
      <c r="AO914" s="9" t="s">
        <v>169</v>
      </c>
      <c r="AP914" s="9" t="s">
        <v>169</v>
      </c>
      <c r="AQ914" s="9" t="s">
        <v>169</v>
      </c>
      <c r="AR914" s="9" t="s">
        <v>169</v>
      </c>
      <c r="AS914" s="8" t="s">
        <v>169</v>
      </c>
      <c r="AT914" s="8" t="s">
        <v>169</v>
      </c>
      <c r="AU914" s="10" t="s">
        <v>169</v>
      </c>
      <c r="AV914" s="10">
        <v>0</v>
      </c>
      <c r="AW914" s="10" t="s">
        <v>169</v>
      </c>
      <c r="AX914" s="10" t="s">
        <v>169</v>
      </c>
      <c r="AY914" s="10"/>
      <c r="AZ914" s="10"/>
      <c r="BA914" s="10"/>
      <c r="BB914" s="8"/>
      <c r="BC914" s="8"/>
      <c r="BD914" s="8"/>
      <c r="BE914" s="8"/>
      <c r="BF914" s="12">
        <v>0.38</v>
      </c>
      <c r="BG914" s="13">
        <v>218.62345396751499</v>
      </c>
      <c r="BH914" s="96" t="str">
        <f>+VLOOKUP(G914,Liste!$A$7:$G$50,3,FALSE)</f>
        <v>Sapin pectiné</v>
      </c>
      <c r="BI914" s="96" t="str">
        <f>+VLOOKUP(H914,Liste!$B$7:$G$50,5,FALSE)</f>
        <v>GS Arc Jurassien</v>
      </c>
      <c r="BJ914" s="135">
        <f t="shared" si="282"/>
        <v>48</v>
      </c>
      <c r="BK914" s="135" t="str">
        <f t="shared" si="284"/>
        <v>Sapin pectiné_F1_Cas général_GS Arc Jurassien_48_</v>
      </c>
      <c r="BL914" s="322"/>
      <c r="BM914" s="13">
        <v>57.3037976180794</v>
      </c>
      <c r="BN914" s="13">
        <v>275.92725158559398</v>
      </c>
      <c r="BO914" s="13" t="s">
        <v>169</v>
      </c>
      <c r="BP914" s="13">
        <v>307.55958661145604</v>
      </c>
      <c r="BQ914" s="13" t="s">
        <v>169</v>
      </c>
      <c r="BT914" s="298" t="str">
        <f>+VLOOKUP(G914,Liste!$A$7:$H$50,8,FALSE)</f>
        <v>Résineux</v>
      </c>
      <c r="BU914" s="298">
        <f t="shared" si="285"/>
        <v>0</v>
      </c>
      <c r="BV914" s="300">
        <f t="shared" si="286"/>
        <v>1</v>
      </c>
      <c r="BW914" s="321">
        <v>0</v>
      </c>
      <c r="BX914" s="298">
        <f t="shared" si="287"/>
        <v>0.43</v>
      </c>
      <c r="BY914">
        <f t="shared" si="288"/>
        <v>0</v>
      </c>
      <c r="BZ914" s="304">
        <f t="shared" si="289"/>
        <v>0</v>
      </c>
      <c r="CB914" s="299">
        <v>0.6</v>
      </c>
      <c r="CC914" s="299">
        <v>0.4</v>
      </c>
      <c r="CD914">
        <f t="shared" si="290"/>
        <v>0</v>
      </c>
      <c r="CE914">
        <f t="shared" si="291"/>
        <v>0</v>
      </c>
      <c r="CF914">
        <f t="shared" si="292"/>
        <v>0</v>
      </c>
      <c r="CG914">
        <f t="shared" si="293"/>
        <v>0</v>
      </c>
      <c r="CH914">
        <f t="shared" si="294"/>
        <v>0</v>
      </c>
      <c r="CI914">
        <f t="shared" si="295"/>
        <v>0</v>
      </c>
      <c r="CJ914">
        <f t="shared" si="296"/>
        <v>0</v>
      </c>
      <c r="CK914">
        <f t="shared" si="297"/>
        <v>0</v>
      </c>
      <c r="CL914">
        <f t="shared" si="298"/>
        <v>0</v>
      </c>
      <c r="CM914">
        <f t="shared" si="300"/>
        <v>0</v>
      </c>
      <c r="CN914">
        <f t="shared" si="299"/>
        <v>0</v>
      </c>
      <c r="CO914">
        <f t="shared" si="283"/>
        <v>0</v>
      </c>
    </row>
    <row r="915" spans="1:93" s="12" customFormat="1" x14ac:dyDescent="0.25">
      <c r="A915" s="4">
        <v>2013</v>
      </c>
      <c r="B915" s="318">
        <v>44265</v>
      </c>
      <c r="C915" s="4" t="s">
        <v>430</v>
      </c>
      <c r="D915" s="4" t="s">
        <v>431</v>
      </c>
      <c r="E915" s="4"/>
      <c r="F915" s="4" t="s">
        <v>1493</v>
      </c>
      <c r="G915" s="5" t="s">
        <v>432</v>
      </c>
      <c r="H915" s="5" t="s">
        <v>185</v>
      </c>
      <c r="I915" s="5" t="s">
        <v>222</v>
      </c>
      <c r="J915" s="5" t="s">
        <v>9</v>
      </c>
      <c r="K915" s="5">
        <v>20</v>
      </c>
      <c r="L915" s="5" t="s">
        <v>190</v>
      </c>
      <c r="M915" s="5">
        <v>2000</v>
      </c>
      <c r="N915" s="5" t="s">
        <v>171</v>
      </c>
      <c r="O915" s="6" t="s">
        <v>81</v>
      </c>
      <c r="P915" s="6" t="s">
        <v>186</v>
      </c>
      <c r="Q915" s="6"/>
      <c r="R915" s="6"/>
      <c r="S915" s="6">
        <v>45</v>
      </c>
      <c r="T915" s="6">
        <v>17.7</v>
      </c>
      <c r="U915" s="6">
        <v>1853</v>
      </c>
      <c r="V915" s="6">
        <v>45.68</v>
      </c>
      <c r="W915" s="6">
        <v>0</v>
      </c>
      <c r="X915" s="6">
        <v>0</v>
      </c>
      <c r="Y915" s="6">
        <v>1079</v>
      </c>
      <c r="Z915" s="6">
        <v>672</v>
      </c>
      <c r="AA915" s="6">
        <v>94</v>
      </c>
      <c r="AB915" s="6">
        <v>8</v>
      </c>
      <c r="AC915" s="7">
        <v>49</v>
      </c>
      <c r="AD915" s="7" t="s">
        <v>52</v>
      </c>
      <c r="AE915" s="9">
        <v>19.640182490727199</v>
      </c>
      <c r="AF915" s="7">
        <v>946</v>
      </c>
      <c r="AG915" s="7">
        <v>32.119999999999997</v>
      </c>
      <c r="AH915" s="9">
        <v>20.793246661598101</v>
      </c>
      <c r="AI915" s="9">
        <v>25.126533795238</v>
      </c>
      <c r="AJ915" s="9">
        <v>289.73364910786501</v>
      </c>
      <c r="AK915" s="9">
        <v>290.69474349114199</v>
      </c>
      <c r="AL915" s="9">
        <v>354.96589701695001</v>
      </c>
      <c r="AM915" s="9" t="s">
        <v>169</v>
      </c>
      <c r="AN915" s="9" t="s">
        <v>169</v>
      </c>
      <c r="AO915" s="9" t="s">
        <v>169</v>
      </c>
      <c r="AP915" s="9" t="s">
        <v>169</v>
      </c>
      <c r="AQ915" s="9" t="s">
        <v>169</v>
      </c>
      <c r="AR915" s="9" t="s">
        <v>169</v>
      </c>
      <c r="AS915" s="8" t="s">
        <v>169</v>
      </c>
      <c r="AT915" s="8" t="s">
        <v>169</v>
      </c>
      <c r="AU915" s="10" t="s">
        <v>169</v>
      </c>
      <c r="AV915" s="10">
        <v>0</v>
      </c>
      <c r="AW915" s="10" t="s">
        <v>169</v>
      </c>
      <c r="AX915" s="10" t="s">
        <v>169</v>
      </c>
      <c r="AY915" s="10"/>
      <c r="AZ915" s="10"/>
      <c r="BA915" s="10"/>
      <c r="BB915" s="8"/>
      <c r="BC915" s="8"/>
      <c r="BD915" s="8"/>
      <c r="BE915" s="8"/>
      <c r="BF915" s="12">
        <v>0.38</v>
      </c>
      <c r="BG915" s="13">
        <v>234.92826284238501</v>
      </c>
      <c r="BH915" s="96" t="str">
        <f>+VLOOKUP(G915,Liste!$A$7:$G$50,3,FALSE)</f>
        <v>Sapin pectiné</v>
      </c>
      <c r="BI915" s="96" t="str">
        <f>+VLOOKUP(H915,Liste!$B$7:$G$50,5,FALSE)</f>
        <v>GS Arc Jurassien</v>
      </c>
      <c r="BJ915" s="135">
        <f t="shared" si="282"/>
        <v>49</v>
      </c>
      <c r="BK915" s="135" t="str">
        <f t="shared" si="284"/>
        <v>Sapin pectiné_F1_Cas général_GS Arc Jurassien_49_</v>
      </c>
      <c r="BL915" s="322"/>
      <c r="BM915" s="13">
        <v>61.106648778818403</v>
      </c>
      <c r="BN915" s="13">
        <v>296.03491162120298</v>
      </c>
      <c r="BO915" s="13" t="s">
        <v>169</v>
      </c>
      <c r="BP915" s="13">
        <v>307.55958661145604</v>
      </c>
      <c r="BQ915" s="13" t="s">
        <v>169</v>
      </c>
      <c r="BT915" s="298" t="str">
        <f>+VLOOKUP(G915,Liste!$A$7:$H$50,8,FALSE)</f>
        <v>Résineux</v>
      </c>
      <c r="BU915" s="298">
        <f t="shared" si="285"/>
        <v>0</v>
      </c>
      <c r="BV915" s="300">
        <f t="shared" si="286"/>
        <v>1</v>
      </c>
      <c r="BW915" s="321">
        <v>0</v>
      </c>
      <c r="BX915" s="298">
        <f t="shared" si="287"/>
        <v>0.43</v>
      </c>
      <c r="BY915">
        <f t="shared" si="288"/>
        <v>0</v>
      </c>
      <c r="BZ915" s="304">
        <f t="shared" si="289"/>
        <v>0</v>
      </c>
      <c r="CB915" s="299">
        <v>0.6</v>
      </c>
      <c r="CC915" s="299">
        <v>0.4</v>
      </c>
      <c r="CD915">
        <f t="shared" si="290"/>
        <v>0</v>
      </c>
      <c r="CE915">
        <f t="shared" si="291"/>
        <v>0</v>
      </c>
      <c r="CF915">
        <f t="shared" si="292"/>
        <v>0</v>
      </c>
      <c r="CG915">
        <f t="shared" si="293"/>
        <v>0</v>
      </c>
      <c r="CH915">
        <f t="shared" si="294"/>
        <v>0</v>
      </c>
      <c r="CI915">
        <f t="shared" si="295"/>
        <v>0</v>
      </c>
      <c r="CJ915">
        <f t="shared" si="296"/>
        <v>0</v>
      </c>
      <c r="CK915">
        <f t="shared" si="297"/>
        <v>0</v>
      </c>
      <c r="CL915">
        <f t="shared" si="298"/>
        <v>0</v>
      </c>
      <c r="CM915">
        <f t="shared" si="300"/>
        <v>0</v>
      </c>
      <c r="CN915">
        <f t="shared" si="299"/>
        <v>0</v>
      </c>
      <c r="CO915">
        <f t="shared" si="283"/>
        <v>0</v>
      </c>
    </row>
    <row r="916" spans="1:93" s="12" customFormat="1" x14ac:dyDescent="0.25">
      <c r="A916" s="4">
        <v>2013</v>
      </c>
      <c r="B916" s="318">
        <v>44265</v>
      </c>
      <c r="C916" s="4" t="s">
        <v>430</v>
      </c>
      <c r="D916" s="4" t="s">
        <v>431</v>
      </c>
      <c r="E916" s="4"/>
      <c r="F916" s="4" t="s">
        <v>1493</v>
      </c>
      <c r="G916" s="5" t="s">
        <v>432</v>
      </c>
      <c r="H916" s="5" t="s">
        <v>185</v>
      </c>
      <c r="I916" s="5" t="s">
        <v>222</v>
      </c>
      <c r="J916" s="5" t="s">
        <v>9</v>
      </c>
      <c r="K916" s="5">
        <v>20</v>
      </c>
      <c r="L916" s="5" t="s">
        <v>190</v>
      </c>
      <c r="M916" s="5">
        <v>2000</v>
      </c>
      <c r="N916" s="5" t="s">
        <v>171</v>
      </c>
      <c r="O916" s="6" t="s">
        <v>81</v>
      </c>
      <c r="P916" s="6" t="s">
        <v>186</v>
      </c>
      <c r="Q916" s="6"/>
      <c r="R916" s="6"/>
      <c r="S916" s="6">
        <v>45</v>
      </c>
      <c r="T916" s="6">
        <v>17.7</v>
      </c>
      <c r="U916" s="6">
        <v>1853</v>
      </c>
      <c r="V916" s="6">
        <v>45.68</v>
      </c>
      <c r="W916" s="6">
        <v>0</v>
      </c>
      <c r="X916" s="6">
        <v>0</v>
      </c>
      <c r="Y916" s="6">
        <v>1079</v>
      </c>
      <c r="Z916" s="6">
        <v>672</v>
      </c>
      <c r="AA916" s="6">
        <v>94</v>
      </c>
      <c r="AB916" s="6">
        <v>8</v>
      </c>
      <c r="AC916" s="7">
        <v>50</v>
      </c>
      <c r="AD916" s="7" t="s">
        <v>52</v>
      </c>
      <c r="AE916" s="9">
        <v>20.1021618952621</v>
      </c>
      <c r="AF916" s="7">
        <v>946</v>
      </c>
      <c r="AG916" s="7">
        <v>33.67</v>
      </c>
      <c r="AH916" s="9">
        <v>21.287391872497299</v>
      </c>
      <c r="AI916" s="9">
        <v>25.742703191780201</v>
      </c>
      <c r="AJ916" s="9">
        <v>311.92627695268601</v>
      </c>
      <c r="AK916" s="9">
        <v>312.95193882990799</v>
      </c>
      <c r="AL916" s="9">
        <v>379.60172004621802</v>
      </c>
      <c r="AM916" s="9">
        <v>53.500567161266098</v>
      </c>
      <c r="AN916" s="9">
        <v>1.07001134322532</v>
      </c>
      <c r="AO916" s="9">
        <v>1.5261000597921699</v>
      </c>
      <c r="AP916" s="9">
        <v>569.75481871739396</v>
      </c>
      <c r="AQ916" s="9">
        <v>11.395096374347901</v>
      </c>
      <c r="AR916" s="9">
        <v>24.7845251372852</v>
      </c>
      <c r="AS916" s="8" t="s">
        <v>169</v>
      </c>
      <c r="AT916" s="8" t="s">
        <v>169</v>
      </c>
      <c r="AU916" s="10" t="s">
        <v>169</v>
      </c>
      <c r="AV916" s="10">
        <v>0</v>
      </c>
      <c r="AW916" s="10" t="s">
        <v>169</v>
      </c>
      <c r="AX916" s="10" t="s">
        <v>169</v>
      </c>
      <c r="AY916" s="10"/>
      <c r="AZ916" s="10"/>
      <c r="BA916" s="10"/>
      <c r="BB916" s="8"/>
      <c r="BC916" s="8"/>
      <c r="BD916" s="8"/>
      <c r="BE916" s="8"/>
      <c r="BF916" s="12">
        <v>0.38</v>
      </c>
      <c r="BG916" s="13">
        <v>251.233071717255</v>
      </c>
      <c r="BH916" s="96" t="str">
        <f>+VLOOKUP(G916,Liste!$A$7:$G$50,3,FALSE)</f>
        <v>Sapin pectiné</v>
      </c>
      <c r="BI916" s="96" t="str">
        <f>+VLOOKUP(H916,Liste!$B$7:$G$50,5,FALSE)</f>
        <v>GS Arc Jurassien</v>
      </c>
      <c r="BJ916" s="135">
        <f t="shared" si="282"/>
        <v>50</v>
      </c>
      <c r="BK916" s="135" t="str">
        <f t="shared" si="284"/>
        <v>Sapin pectiné_F1_Cas général_GS Arc Jurassien_50_</v>
      </c>
      <c r="BL916" s="322"/>
      <c r="BM916" s="13">
        <v>64.909499939557406</v>
      </c>
      <c r="BN916" s="13">
        <v>316.14257165681198</v>
      </c>
      <c r="BO916" s="13" t="s">
        <v>169</v>
      </c>
      <c r="BP916" s="13">
        <v>307.55958661145604</v>
      </c>
      <c r="BQ916" s="13">
        <v>19.9575073074394</v>
      </c>
      <c r="BT916" s="298" t="str">
        <f>+VLOOKUP(G916,Liste!$A$7:$H$50,8,FALSE)</f>
        <v>Résineux</v>
      </c>
      <c r="BU916" s="298">
        <f t="shared" si="285"/>
        <v>0</v>
      </c>
      <c r="BV916" s="300">
        <f t="shared" si="286"/>
        <v>1</v>
      </c>
      <c r="BW916" s="321">
        <v>0</v>
      </c>
      <c r="BX916" s="298">
        <f t="shared" si="287"/>
        <v>0.43</v>
      </c>
      <c r="BY916">
        <f t="shared" si="288"/>
        <v>0</v>
      </c>
      <c r="BZ916" s="304">
        <f t="shared" si="289"/>
        <v>0</v>
      </c>
      <c r="CB916" s="299">
        <v>0.6</v>
      </c>
      <c r="CC916" s="299">
        <v>0.4</v>
      </c>
      <c r="CD916">
        <f t="shared" si="290"/>
        <v>0</v>
      </c>
      <c r="CE916">
        <f t="shared" si="291"/>
        <v>0</v>
      </c>
      <c r="CF916">
        <f t="shared" si="292"/>
        <v>0</v>
      </c>
      <c r="CG916">
        <f t="shared" si="293"/>
        <v>0</v>
      </c>
      <c r="CH916">
        <f t="shared" si="294"/>
        <v>0</v>
      </c>
      <c r="CI916">
        <f t="shared" si="295"/>
        <v>0</v>
      </c>
      <c r="CJ916">
        <f t="shared" si="296"/>
        <v>0</v>
      </c>
      <c r="CK916">
        <f t="shared" si="297"/>
        <v>0</v>
      </c>
      <c r="CL916">
        <f t="shared" si="298"/>
        <v>0</v>
      </c>
      <c r="CM916">
        <f t="shared" si="300"/>
        <v>0</v>
      </c>
      <c r="CN916">
        <f t="shared" si="299"/>
        <v>0</v>
      </c>
      <c r="CO916">
        <f t="shared" si="283"/>
        <v>0</v>
      </c>
    </row>
    <row r="917" spans="1:93" s="12" customFormat="1" x14ac:dyDescent="0.25">
      <c r="A917" s="4">
        <v>2013</v>
      </c>
      <c r="B917" s="318">
        <v>44265</v>
      </c>
      <c r="C917" s="4" t="s">
        <v>430</v>
      </c>
      <c r="D917" s="4" t="s">
        <v>431</v>
      </c>
      <c r="E917" s="4"/>
      <c r="F917" s="4" t="s">
        <v>1493</v>
      </c>
      <c r="G917" s="5" t="s">
        <v>432</v>
      </c>
      <c r="H917" s="5" t="s">
        <v>185</v>
      </c>
      <c r="I917" s="5" t="s">
        <v>222</v>
      </c>
      <c r="J917" s="5" t="s">
        <v>9</v>
      </c>
      <c r="K917" s="5">
        <v>20</v>
      </c>
      <c r="L917" s="5" t="s">
        <v>190</v>
      </c>
      <c r="M917" s="5">
        <v>2000</v>
      </c>
      <c r="N917" s="5" t="s">
        <v>171</v>
      </c>
      <c r="O917" s="6" t="s">
        <v>81</v>
      </c>
      <c r="P917" s="6" t="s">
        <v>186</v>
      </c>
      <c r="Q917" s="6"/>
      <c r="R917" s="6"/>
      <c r="S917" s="6">
        <v>45</v>
      </c>
      <c r="T917" s="6">
        <v>17.7</v>
      </c>
      <c r="U917" s="6">
        <v>1853</v>
      </c>
      <c r="V917" s="6">
        <v>45.68</v>
      </c>
      <c r="W917" s="6">
        <v>0</v>
      </c>
      <c r="X917" s="6">
        <v>0</v>
      </c>
      <c r="Y917" s="6">
        <v>1079</v>
      </c>
      <c r="Z917" s="6">
        <v>672</v>
      </c>
      <c r="AA917" s="6">
        <v>94</v>
      </c>
      <c r="AB917" s="6">
        <v>8</v>
      </c>
      <c r="AC917" s="7">
        <v>51</v>
      </c>
      <c r="AD917" s="7" t="s">
        <v>52</v>
      </c>
      <c r="AE917" s="9">
        <v>20.5555654850567</v>
      </c>
      <c r="AF917" s="7">
        <v>946</v>
      </c>
      <c r="AG917" s="7">
        <v>35.200000000000003</v>
      </c>
      <c r="AH917" s="9">
        <v>21.766534022402301</v>
      </c>
      <c r="AI917" s="9">
        <v>26.3376511495572</v>
      </c>
      <c r="AJ917" s="9">
        <v>334.31030728774198</v>
      </c>
      <c r="AK917" s="9">
        <v>335.412800612517</v>
      </c>
      <c r="AL917" s="9">
        <v>404.38624518350298</v>
      </c>
      <c r="AM917" s="9" t="s">
        <v>169</v>
      </c>
      <c r="AN917" s="9" t="s">
        <v>169</v>
      </c>
      <c r="AO917" s="9" t="s">
        <v>169</v>
      </c>
      <c r="AP917" s="9" t="s">
        <v>169</v>
      </c>
      <c r="AQ917" s="9" t="s">
        <v>169</v>
      </c>
      <c r="AR917" s="9" t="s">
        <v>169</v>
      </c>
      <c r="AS917" s="8" t="s">
        <v>169</v>
      </c>
      <c r="AT917" s="8" t="s">
        <v>169</v>
      </c>
      <c r="AU917" s="10" t="s">
        <v>169</v>
      </c>
      <c r="AV917" s="10">
        <v>0</v>
      </c>
      <c r="AW917" s="10" t="s">
        <v>169</v>
      </c>
      <c r="AX917" s="10" t="s">
        <v>169</v>
      </c>
      <c r="AY917" s="10"/>
      <c r="AZ917" s="10"/>
      <c r="BA917" s="10"/>
      <c r="BB917" s="8"/>
      <c r="BC917" s="8"/>
      <c r="BD917" s="8"/>
      <c r="BE917" s="8"/>
      <c r="BF917" s="12">
        <v>0.38</v>
      </c>
      <c r="BG917" s="13">
        <v>267.63629660394798</v>
      </c>
      <c r="BH917" s="96" t="str">
        <f>+VLOOKUP(G917,Liste!$A$7:$G$50,3,FALSE)</f>
        <v>Sapin pectiné</v>
      </c>
      <c r="BI917" s="96" t="str">
        <f>+VLOOKUP(H917,Liste!$B$7:$G$50,5,FALSE)</f>
        <v>GS Arc Jurassien</v>
      </c>
      <c r="BJ917" s="135">
        <f t="shared" si="282"/>
        <v>51</v>
      </c>
      <c r="BK917" s="135" t="str">
        <f t="shared" si="284"/>
        <v>Sapin pectiné_F1_Cas général_GS Arc Jurassien_51_</v>
      </c>
      <c r="BL917" s="322"/>
      <c r="BM917" s="13">
        <v>68.6270299004929</v>
      </c>
      <c r="BN917" s="13">
        <v>336.26332650444101</v>
      </c>
      <c r="BO917" s="13" t="s">
        <v>169</v>
      </c>
      <c r="BP917" s="13">
        <v>307.55958661145604</v>
      </c>
      <c r="BQ917" s="13" t="s">
        <v>169</v>
      </c>
      <c r="BT917" s="298" t="str">
        <f>+VLOOKUP(G917,Liste!$A$7:$H$50,8,FALSE)</f>
        <v>Résineux</v>
      </c>
      <c r="BU917" s="298">
        <f t="shared" si="285"/>
        <v>0</v>
      </c>
      <c r="BV917" s="300">
        <f t="shared" si="286"/>
        <v>1</v>
      </c>
      <c r="BW917" s="321">
        <v>0</v>
      </c>
      <c r="BX917" s="298">
        <f t="shared" si="287"/>
        <v>0.43</v>
      </c>
      <c r="BY917">
        <f t="shared" si="288"/>
        <v>0</v>
      </c>
      <c r="BZ917" s="304">
        <f t="shared" si="289"/>
        <v>0</v>
      </c>
      <c r="CB917" s="299">
        <v>0.6</v>
      </c>
      <c r="CC917" s="299">
        <v>0.4</v>
      </c>
      <c r="CD917">
        <f t="shared" si="290"/>
        <v>0</v>
      </c>
      <c r="CE917">
        <f t="shared" si="291"/>
        <v>0</v>
      </c>
      <c r="CF917">
        <f t="shared" si="292"/>
        <v>0</v>
      </c>
      <c r="CG917">
        <f t="shared" si="293"/>
        <v>0</v>
      </c>
      <c r="CH917">
        <f t="shared" si="294"/>
        <v>0</v>
      </c>
      <c r="CI917">
        <f t="shared" si="295"/>
        <v>0</v>
      </c>
      <c r="CJ917">
        <f t="shared" si="296"/>
        <v>0</v>
      </c>
      <c r="CK917">
        <f t="shared" si="297"/>
        <v>0</v>
      </c>
      <c r="CL917">
        <f t="shared" si="298"/>
        <v>0</v>
      </c>
      <c r="CM917">
        <f t="shared" si="300"/>
        <v>0</v>
      </c>
      <c r="CN917">
        <f t="shared" si="299"/>
        <v>0</v>
      </c>
      <c r="CO917">
        <f t="shared" si="283"/>
        <v>0</v>
      </c>
    </row>
    <row r="918" spans="1:93" s="12" customFormat="1" x14ac:dyDescent="0.25">
      <c r="A918" s="4">
        <v>2013</v>
      </c>
      <c r="B918" s="318">
        <v>44265</v>
      </c>
      <c r="C918" s="4" t="s">
        <v>430</v>
      </c>
      <c r="D918" s="4" t="s">
        <v>431</v>
      </c>
      <c r="E918" s="4"/>
      <c r="F918" s="4" t="s">
        <v>1493</v>
      </c>
      <c r="G918" s="5" t="s">
        <v>432</v>
      </c>
      <c r="H918" s="5" t="s">
        <v>185</v>
      </c>
      <c r="I918" s="5" t="s">
        <v>222</v>
      </c>
      <c r="J918" s="5" t="s">
        <v>9</v>
      </c>
      <c r="K918" s="5">
        <v>20</v>
      </c>
      <c r="L918" s="5" t="s">
        <v>190</v>
      </c>
      <c r="M918" s="5">
        <v>2000</v>
      </c>
      <c r="N918" s="5" t="s">
        <v>171</v>
      </c>
      <c r="O918" s="6" t="s">
        <v>81</v>
      </c>
      <c r="P918" s="6" t="s">
        <v>186</v>
      </c>
      <c r="Q918" s="6"/>
      <c r="R918" s="6"/>
      <c r="S918" s="6">
        <v>45</v>
      </c>
      <c r="T918" s="6">
        <v>17.7</v>
      </c>
      <c r="U918" s="6">
        <v>1853</v>
      </c>
      <c r="V918" s="6">
        <v>45.68</v>
      </c>
      <c r="W918" s="6">
        <v>0</v>
      </c>
      <c r="X918" s="6">
        <v>0</v>
      </c>
      <c r="Y918" s="6">
        <v>1079</v>
      </c>
      <c r="Z918" s="6">
        <v>672</v>
      </c>
      <c r="AA918" s="6">
        <v>94</v>
      </c>
      <c r="AB918" s="6">
        <v>8</v>
      </c>
      <c r="AC918" s="7">
        <v>52</v>
      </c>
      <c r="AD918" s="7" t="s">
        <v>52</v>
      </c>
      <c r="AE918" s="9">
        <v>21.000497099315499</v>
      </c>
      <c r="AF918" s="7">
        <v>946</v>
      </c>
      <c r="AG918" s="7">
        <v>36.72</v>
      </c>
      <c r="AH918" s="9">
        <v>22.231356224236499</v>
      </c>
      <c r="AI918" s="9">
        <v>26.912382485725701</v>
      </c>
      <c r="AJ918" s="9">
        <v>356.69433762279698</v>
      </c>
      <c r="AK918" s="9">
        <v>357.87366239512602</v>
      </c>
      <c r="AL918" s="9">
        <v>429.17077032078799</v>
      </c>
      <c r="AM918" s="9">
        <v>56.552767280850397</v>
      </c>
      <c r="AN918" s="9">
        <v>1.08755321693943</v>
      </c>
      <c r="AO918" s="9">
        <v>1.3975057928916199</v>
      </c>
      <c r="AP918" s="9">
        <v>619.32386899196399</v>
      </c>
      <c r="AQ918" s="9">
        <v>11.910074403691601</v>
      </c>
      <c r="AR918" s="9">
        <v>22.936557015040499</v>
      </c>
      <c r="AS918" s="8" t="s">
        <v>169</v>
      </c>
      <c r="AT918" s="8" t="s">
        <v>169</v>
      </c>
      <c r="AU918" s="10" t="s">
        <v>169</v>
      </c>
      <c r="AV918" s="10">
        <v>0</v>
      </c>
      <c r="AW918" s="10" t="s">
        <v>169</v>
      </c>
      <c r="AX918" s="10" t="s">
        <v>169</v>
      </c>
      <c r="AY918" s="10"/>
      <c r="AZ918" s="10"/>
      <c r="BA918" s="10"/>
      <c r="BB918" s="8"/>
      <c r="BC918" s="8"/>
      <c r="BD918" s="8"/>
      <c r="BE918" s="8"/>
      <c r="BF918" s="12">
        <v>0.38</v>
      </c>
      <c r="BG918" s="13">
        <v>284.03952149064099</v>
      </c>
      <c r="BH918" s="96" t="str">
        <f>+VLOOKUP(G918,Liste!$A$7:$G$50,3,FALSE)</f>
        <v>Sapin pectiné</v>
      </c>
      <c r="BI918" s="96" t="str">
        <f>+VLOOKUP(H918,Liste!$B$7:$G$50,5,FALSE)</f>
        <v>GS Arc Jurassien</v>
      </c>
      <c r="BJ918" s="135">
        <f t="shared" si="282"/>
        <v>52</v>
      </c>
      <c r="BK918" s="135" t="str">
        <f t="shared" si="284"/>
        <v>Sapin pectiné_F1_Cas général_GS Arc Jurassien_52_</v>
      </c>
      <c r="BL918" s="322"/>
      <c r="BM918" s="13">
        <v>72.344559861428493</v>
      </c>
      <c r="BN918" s="13">
        <v>356.38408135206998</v>
      </c>
      <c r="BO918" s="13" t="s">
        <v>169</v>
      </c>
      <c r="BP918" s="13">
        <v>307.55958661145604</v>
      </c>
      <c r="BQ918" s="13">
        <v>18.4399876762626</v>
      </c>
      <c r="BT918" s="298" t="str">
        <f>+VLOOKUP(G918,Liste!$A$7:$H$50,8,FALSE)</f>
        <v>Résineux</v>
      </c>
      <c r="BU918" s="298">
        <f t="shared" si="285"/>
        <v>0</v>
      </c>
      <c r="BV918" s="300">
        <f t="shared" si="286"/>
        <v>1</v>
      </c>
      <c r="BW918" s="321">
        <v>0</v>
      </c>
      <c r="BX918" s="298">
        <f t="shared" si="287"/>
        <v>0.43</v>
      </c>
      <c r="BY918">
        <f t="shared" si="288"/>
        <v>0</v>
      </c>
      <c r="BZ918" s="304">
        <f t="shared" si="289"/>
        <v>0</v>
      </c>
      <c r="CB918" s="299">
        <v>0.6</v>
      </c>
      <c r="CC918" s="299">
        <v>0.4</v>
      </c>
      <c r="CD918">
        <f t="shared" si="290"/>
        <v>0</v>
      </c>
      <c r="CE918">
        <f t="shared" si="291"/>
        <v>0</v>
      </c>
      <c r="CF918">
        <f t="shared" si="292"/>
        <v>0</v>
      </c>
      <c r="CG918">
        <f t="shared" si="293"/>
        <v>0</v>
      </c>
      <c r="CH918">
        <f t="shared" si="294"/>
        <v>0</v>
      </c>
      <c r="CI918">
        <f t="shared" si="295"/>
        <v>0</v>
      </c>
      <c r="CJ918">
        <f t="shared" si="296"/>
        <v>0</v>
      </c>
      <c r="CK918">
        <f t="shared" si="297"/>
        <v>0</v>
      </c>
      <c r="CL918">
        <f t="shared" si="298"/>
        <v>0</v>
      </c>
      <c r="CM918">
        <f t="shared" si="300"/>
        <v>0</v>
      </c>
      <c r="CN918">
        <f t="shared" si="299"/>
        <v>0</v>
      </c>
      <c r="CO918">
        <f t="shared" si="283"/>
        <v>0</v>
      </c>
    </row>
    <row r="919" spans="1:93" s="12" customFormat="1" x14ac:dyDescent="0.25">
      <c r="A919" s="4">
        <v>2013</v>
      </c>
      <c r="B919" s="318">
        <v>44265</v>
      </c>
      <c r="C919" s="4" t="s">
        <v>430</v>
      </c>
      <c r="D919" s="4" t="s">
        <v>431</v>
      </c>
      <c r="E919" s="4"/>
      <c r="F919" s="4" t="s">
        <v>1493</v>
      </c>
      <c r="G919" s="5" t="s">
        <v>432</v>
      </c>
      <c r="H919" s="5" t="s">
        <v>185</v>
      </c>
      <c r="I919" s="5" t="s">
        <v>222</v>
      </c>
      <c r="J919" s="5" t="s">
        <v>9</v>
      </c>
      <c r="K919" s="5">
        <v>20</v>
      </c>
      <c r="L919" s="5" t="s">
        <v>190</v>
      </c>
      <c r="M919" s="5">
        <v>2000</v>
      </c>
      <c r="N919" s="5" t="s">
        <v>171</v>
      </c>
      <c r="O919" s="6" t="s">
        <v>81</v>
      </c>
      <c r="P919" s="6" t="s">
        <v>186</v>
      </c>
      <c r="Q919" s="6"/>
      <c r="R919" s="6"/>
      <c r="S919" s="6">
        <v>45</v>
      </c>
      <c r="T919" s="6">
        <v>17.7</v>
      </c>
      <c r="U919" s="6">
        <v>1853</v>
      </c>
      <c r="V919" s="6">
        <v>45.68</v>
      </c>
      <c r="W919" s="6">
        <v>0</v>
      </c>
      <c r="X919" s="6">
        <v>0</v>
      </c>
      <c r="Y919" s="6">
        <v>1079</v>
      </c>
      <c r="Z919" s="6">
        <v>672</v>
      </c>
      <c r="AA919" s="6">
        <v>94</v>
      </c>
      <c r="AB919" s="6">
        <v>8</v>
      </c>
      <c r="AC919" s="7">
        <v>52</v>
      </c>
      <c r="AD919" s="7" t="s">
        <v>53</v>
      </c>
      <c r="AE919" s="9">
        <v>21.000497099315499</v>
      </c>
      <c r="AF919" s="7">
        <v>716</v>
      </c>
      <c r="AG919" s="7">
        <v>28.25</v>
      </c>
      <c r="AH919" s="9">
        <v>22.4123821550087</v>
      </c>
      <c r="AI919" s="9">
        <v>26.752811639837802</v>
      </c>
      <c r="AJ919" s="9">
        <v>275.20524222716398</v>
      </c>
      <c r="AK919" s="9">
        <v>276.13648028519202</v>
      </c>
      <c r="AL919" s="9">
        <v>330.98737704793098</v>
      </c>
      <c r="AM919" s="9">
        <v>56.552767280850397</v>
      </c>
      <c r="AN919" s="9">
        <v>1.08755321693943</v>
      </c>
      <c r="AO919" s="9">
        <v>1.3975057928916199</v>
      </c>
      <c r="AP919" s="9">
        <v>619.32386899196399</v>
      </c>
      <c r="AQ919" s="9">
        <v>11.910074403691601</v>
      </c>
      <c r="AR919" s="9">
        <v>22.936557015040499</v>
      </c>
      <c r="AS919" s="8">
        <v>230</v>
      </c>
      <c r="AT919" s="8">
        <v>8.4699999999999989</v>
      </c>
      <c r="AU919" s="10">
        <v>21.653736442216903</v>
      </c>
      <c r="AV919" s="10">
        <v>81.489095395633001</v>
      </c>
      <c r="AW919" s="10">
        <v>0.94871065383301345</v>
      </c>
      <c r="AX919" s="10">
        <v>0.35430041476362173</v>
      </c>
      <c r="AY919" s="10"/>
      <c r="AZ919" s="10"/>
      <c r="BA919" s="10"/>
      <c r="BB919" s="8"/>
      <c r="BC919" s="8"/>
      <c r="BD919" s="8"/>
      <c r="BE919" s="8"/>
      <c r="BF919" s="12">
        <v>0.38</v>
      </c>
      <c r="BG919" s="13">
        <v>219.05847904288899</v>
      </c>
      <c r="BH919" s="96" t="str">
        <f>+VLOOKUP(G919,Liste!$A$7:$G$50,3,FALSE)</f>
        <v>Sapin pectiné</v>
      </c>
      <c r="BI919" s="96" t="str">
        <f>+VLOOKUP(H919,Liste!$B$7:$G$50,5,FALSE)</f>
        <v>GS Arc Jurassien</v>
      </c>
      <c r="BJ919" s="135">
        <f t="shared" si="282"/>
        <v>52</v>
      </c>
      <c r="BK919" s="135" t="str">
        <f t="shared" si="284"/>
        <v>Sapin pectiné_F1_Cas général_GS Arc Jurassien_52_</v>
      </c>
      <c r="BL919" s="322"/>
      <c r="BM919" s="13">
        <v>57.5068092550882</v>
      </c>
      <c r="BN919" s="13">
        <v>276.56528829797702</v>
      </c>
      <c r="BO919" s="13">
        <v>79.818793054092964</v>
      </c>
      <c r="BP919" s="13">
        <v>307.55958661145604</v>
      </c>
      <c r="BQ919" s="13">
        <v>18.4399876762626</v>
      </c>
      <c r="BT919" s="298" t="str">
        <f>+VLOOKUP(G919,Liste!$A$7:$H$50,8,FALSE)</f>
        <v>Résineux</v>
      </c>
      <c r="BU919" s="298">
        <f t="shared" si="285"/>
        <v>0</v>
      </c>
      <c r="BV919" s="300">
        <f t="shared" si="286"/>
        <v>1</v>
      </c>
      <c r="BW919" s="321">
        <v>0</v>
      </c>
      <c r="BX919" s="298">
        <f t="shared" si="287"/>
        <v>0.43</v>
      </c>
      <c r="BY919">
        <f t="shared" si="288"/>
        <v>0</v>
      </c>
      <c r="BZ919" s="304">
        <f t="shared" si="289"/>
        <v>0</v>
      </c>
      <c r="CB919" s="299">
        <v>0.6</v>
      </c>
      <c r="CC919" s="299">
        <v>0.4</v>
      </c>
      <c r="CD919">
        <f t="shared" si="290"/>
        <v>0</v>
      </c>
      <c r="CE919">
        <f t="shared" si="291"/>
        <v>0</v>
      </c>
      <c r="CF919">
        <f t="shared" si="292"/>
        <v>0</v>
      </c>
      <c r="CG919">
        <f t="shared" si="293"/>
        <v>0</v>
      </c>
      <c r="CH919">
        <f t="shared" si="294"/>
        <v>0</v>
      </c>
      <c r="CI919">
        <f t="shared" si="295"/>
        <v>0</v>
      </c>
      <c r="CJ919">
        <f t="shared" si="296"/>
        <v>0</v>
      </c>
      <c r="CK919">
        <f t="shared" si="297"/>
        <v>0</v>
      </c>
      <c r="CL919">
        <f t="shared" si="298"/>
        <v>0</v>
      </c>
      <c r="CM919">
        <f t="shared" si="300"/>
        <v>0</v>
      </c>
      <c r="CN919">
        <f t="shared" si="299"/>
        <v>0</v>
      </c>
      <c r="CO919">
        <f t="shared" si="283"/>
        <v>0</v>
      </c>
    </row>
    <row r="920" spans="1:93" s="12" customFormat="1" x14ac:dyDescent="0.25">
      <c r="A920" s="4">
        <v>2013</v>
      </c>
      <c r="B920" s="318">
        <v>44265</v>
      </c>
      <c r="C920" s="4" t="s">
        <v>430</v>
      </c>
      <c r="D920" s="4" t="s">
        <v>431</v>
      </c>
      <c r="E920" s="4"/>
      <c r="F920" s="4" t="s">
        <v>1493</v>
      </c>
      <c r="G920" s="5" t="s">
        <v>432</v>
      </c>
      <c r="H920" s="5" t="s">
        <v>185</v>
      </c>
      <c r="I920" s="5" t="s">
        <v>222</v>
      </c>
      <c r="J920" s="5" t="s">
        <v>9</v>
      </c>
      <c r="K920" s="5">
        <v>20</v>
      </c>
      <c r="L920" s="5" t="s">
        <v>190</v>
      </c>
      <c r="M920" s="5">
        <v>2000</v>
      </c>
      <c r="N920" s="5" t="s">
        <v>171</v>
      </c>
      <c r="O920" s="6" t="s">
        <v>81</v>
      </c>
      <c r="P920" s="6" t="s">
        <v>186</v>
      </c>
      <c r="Q920" s="6"/>
      <c r="R920" s="6"/>
      <c r="S920" s="6">
        <v>45</v>
      </c>
      <c r="T920" s="6">
        <v>17.7</v>
      </c>
      <c r="U920" s="6">
        <v>1853</v>
      </c>
      <c r="V920" s="6">
        <v>45.68</v>
      </c>
      <c r="W920" s="6">
        <v>0</v>
      </c>
      <c r="X920" s="6">
        <v>0</v>
      </c>
      <c r="Y920" s="6">
        <v>1079</v>
      </c>
      <c r="Z920" s="6">
        <v>672</v>
      </c>
      <c r="AA920" s="6">
        <v>94</v>
      </c>
      <c r="AB920" s="6">
        <v>8</v>
      </c>
      <c r="AC920" s="7">
        <v>53</v>
      </c>
      <c r="AD920" s="7" t="s">
        <v>52</v>
      </c>
      <c r="AE920" s="9">
        <v>21.437071009002</v>
      </c>
      <c r="AF920" s="7">
        <v>716</v>
      </c>
      <c r="AG920" s="7">
        <v>29.65</v>
      </c>
      <c r="AH920" s="9">
        <v>22.962246454399899</v>
      </c>
      <c r="AI920" s="9">
        <v>27.419705916542998</v>
      </c>
      <c r="AJ920" s="9">
        <v>295.89953794953698</v>
      </c>
      <c r="AK920" s="9">
        <v>296.91017365366798</v>
      </c>
      <c r="AL920" s="9">
        <v>353.92393406297202</v>
      </c>
      <c r="AM920" s="9" t="s">
        <v>169</v>
      </c>
      <c r="AN920" s="9" t="s">
        <v>169</v>
      </c>
      <c r="AO920" s="9" t="s">
        <v>169</v>
      </c>
      <c r="AP920" s="9" t="s">
        <v>169</v>
      </c>
      <c r="AQ920" s="9" t="s">
        <v>169</v>
      </c>
      <c r="AR920" s="9" t="s">
        <v>169</v>
      </c>
      <c r="AS920" s="8" t="s">
        <v>169</v>
      </c>
      <c r="AT920" s="8" t="s">
        <v>169</v>
      </c>
      <c r="AU920" s="10" t="s">
        <v>169</v>
      </c>
      <c r="AV920" s="10">
        <v>0</v>
      </c>
      <c r="AW920" s="10" t="s">
        <v>169</v>
      </c>
      <c r="AX920" s="10" t="s">
        <v>169</v>
      </c>
      <c r="AY920" s="10"/>
      <c r="AZ920" s="10"/>
      <c r="BA920" s="10"/>
      <c r="BB920" s="8"/>
      <c r="BC920" s="8"/>
      <c r="BD920" s="8"/>
      <c r="BE920" s="8"/>
      <c r="BF920" s="12">
        <v>0.38</v>
      </c>
      <c r="BG920" s="13">
        <v>234.23865702734301</v>
      </c>
      <c r="BH920" s="96" t="str">
        <f>+VLOOKUP(G920,Liste!$A$7:$G$50,3,FALSE)</f>
        <v>Sapin pectiné</v>
      </c>
      <c r="BI920" s="96" t="str">
        <f>+VLOOKUP(H920,Liste!$B$7:$G$50,5,FALSE)</f>
        <v>GS Arc Jurassien</v>
      </c>
      <c r="BJ920" s="135">
        <f t="shared" si="282"/>
        <v>53</v>
      </c>
      <c r="BK920" s="135" t="str">
        <f t="shared" si="284"/>
        <v>Sapin pectiné_F1_Cas général_GS Arc Jurassien_53_</v>
      </c>
      <c r="BL920" s="322"/>
      <c r="BM920" s="13">
        <v>61.000981148611302</v>
      </c>
      <c r="BN920" s="13">
        <v>295.23963817595501</v>
      </c>
      <c r="BO920" s="13" t="s">
        <v>169</v>
      </c>
      <c r="BP920" s="13">
        <v>307.55958661145604</v>
      </c>
      <c r="BQ920" s="13" t="s">
        <v>169</v>
      </c>
      <c r="BT920" s="298" t="str">
        <f>+VLOOKUP(G920,Liste!$A$7:$H$50,8,FALSE)</f>
        <v>Résineux</v>
      </c>
      <c r="BU920" s="298">
        <f t="shared" si="285"/>
        <v>0</v>
      </c>
      <c r="BV920" s="300">
        <f t="shared" si="286"/>
        <v>1</v>
      </c>
      <c r="BW920" s="321">
        <v>0</v>
      </c>
      <c r="BX920" s="298">
        <f t="shared" si="287"/>
        <v>0.43</v>
      </c>
      <c r="BY920">
        <f t="shared" si="288"/>
        <v>0</v>
      </c>
      <c r="BZ920" s="304">
        <f t="shared" si="289"/>
        <v>0</v>
      </c>
      <c r="CB920" s="299">
        <v>0.6</v>
      </c>
      <c r="CC920" s="299">
        <v>0.4</v>
      </c>
      <c r="CD920">
        <f t="shared" si="290"/>
        <v>0</v>
      </c>
      <c r="CE920">
        <f t="shared" si="291"/>
        <v>0</v>
      </c>
      <c r="CF920">
        <f t="shared" si="292"/>
        <v>0</v>
      </c>
      <c r="CG920">
        <f t="shared" si="293"/>
        <v>0</v>
      </c>
      <c r="CH920">
        <f t="shared" si="294"/>
        <v>0</v>
      </c>
      <c r="CI920">
        <f t="shared" si="295"/>
        <v>0</v>
      </c>
      <c r="CJ920">
        <f t="shared" si="296"/>
        <v>0</v>
      </c>
      <c r="CK920">
        <f t="shared" si="297"/>
        <v>0</v>
      </c>
      <c r="CL920">
        <f t="shared" si="298"/>
        <v>0</v>
      </c>
      <c r="CM920">
        <f t="shared" si="300"/>
        <v>0</v>
      </c>
      <c r="CN920">
        <f t="shared" si="299"/>
        <v>0</v>
      </c>
      <c r="CO920">
        <f t="shared" si="283"/>
        <v>0</v>
      </c>
    </row>
    <row r="921" spans="1:93" s="12" customFormat="1" x14ac:dyDescent="0.25">
      <c r="A921" s="4">
        <v>2013</v>
      </c>
      <c r="B921" s="318">
        <v>44265</v>
      </c>
      <c r="C921" s="4" t="s">
        <v>430</v>
      </c>
      <c r="D921" s="4" t="s">
        <v>431</v>
      </c>
      <c r="E921" s="4"/>
      <c r="F921" s="4" t="s">
        <v>1493</v>
      </c>
      <c r="G921" s="5" t="s">
        <v>432</v>
      </c>
      <c r="H921" s="5" t="s">
        <v>185</v>
      </c>
      <c r="I921" s="5" t="s">
        <v>222</v>
      </c>
      <c r="J921" s="5" t="s">
        <v>9</v>
      </c>
      <c r="K921" s="5">
        <v>20</v>
      </c>
      <c r="L921" s="5" t="s">
        <v>190</v>
      </c>
      <c r="M921" s="5">
        <v>2000</v>
      </c>
      <c r="N921" s="5" t="s">
        <v>171</v>
      </c>
      <c r="O921" s="6" t="s">
        <v>81</v>
      </c>
      <c r="P921" s="6" t="s">
        <v>186</v>
      </c>
      <c r="Q921" s="6"/>
      <c r="R921" s="6"/>
      <c r="S921" s="6">
        <v>45</v>
      </c>
      <c r="T921" s="6">
        <v>17.7</v>
      </c>
      <c r="U921" s="6">
        <v>1853</v>
      </c>
      <c r="V921" s="6">
        <v>45.68</v>
      </c>
      <c r="W921" s="6">
        <v>0</v>
      </c>
      <c r="X921" s="6">
        <v>0</v>
      </c>
      <c r="Y921" s="6">
        <v>1079</v>
      </c>
      <c r="Z921" s="6">
        <v>672</v>
      </c>
      <c r="AA921" s="6">
        <v>94</v>
      </c>
      <c r="AB921" s="6">
        <v>8</v>
      </c>
      <c r="AC921" s="7">
        <v>54</v>
      </c>
      <c r="AD921" s="7" t="s">
        <v>52</v>
      </c>
      <c r="AE921" s="9">
        <v>21.865410084126999</v>
      </c>
      <c r="AF921" s="7">
        <v>716</v>
      </c>
      <c r="AG921" s="7">
        <v>31.04</v>
      </c>
      <c r="AH921" s="9">
        <v>23.495056013668801</v>
      </c>
      <c r="AI921" s="9">
        <v>28.062966015031499</v>
      </c>
      <c r="AJ921" s="9">
        <v>316.59383367190998</v>
      </c>
      <c r="AK921" s="9">
        <v>317.68386702214502</v>
      </c>
      <c r="AL921" s="9">
        <v>376.86049107801199</v>
      </c>
      <c r="AM921" s="9">
        <v>59.347778866633703</v>
      </c>
      <c r="AN921" s="9">
        <v>1.0990329419747</v>
      </c>
      <c r="AO921" s="9">
        <v>1.35375412757256</v>
      </c>
      <c r="AP921" s="9">
        <v>665.19698302204597</v>
      </c>
      <c r="AQ921" s="9">
        <v>12.3184626485564</v>
      </c>
      <c r="AR921" s="9">
        <v>23.633379161963202</v>
      </c>
      <c r="AS921" s="8" t="s">
        <v>169</v>
      </c>
      <c r="AT921" s="8" t="s">
        <v>169</v>
      </c>
      <c r="AU921" s="10" t="s">
        <v>169</v>
      </c>
      <c r="AV921" s="10">
        <v>0</v>
      </c>
      <c r="AW921" s="10" t="s">
        <v>169</v>
      </c>
      <c r="AX921" s="10" t="s">
        <v>169</v>
      </c>
      <c r="AY921" s="10"/>
      <c r="AZ921" s="10"/>
      <c r="BA921" s="10"/>
      <c r="BB921" s="8"/>
      <c r="BC921" s="8"/>
      <c r="BD921" s="8"/>
      <c r="BE921" s="8"/>
      <c r="BF921" s="12">
        <v>0.38</v>
      </c>
      <c r="BG921" s="13">
        <v>249.418835011798</v>
      </c>
      <c r="BH921" s="96" t="str">
        <f>+VLOOKUP(G921,Liste!$A$7:$G$50,3,FALSE)</f>
        <v>Sapin pectiné</v>
      </c>
      <c r="BI921" s="96" t="str">
        <f>+VLOOKUP(H921,Liste!$B$7:$G$50,5,FALSE)</f>
        <v>GS Arc Jurassien</v>
      </c>
      <c r="BJ921" s="135">
        <f t="shared" si="282"/>
        <v>54</v>
      </c>
      <c r="BK921" s="135" t="str">
        <f t="shared" si="284"/>
        <v>Sapin pectiné_F1_Cas général_GS Arc Jurassien_54_</v>
      </c>
      <c r="BL921" s="322"/>
      <c r="BM921" s="13">
        <v>64.495153042134405</v>
      </c>
      <c r="BN921" s="13">
        <v>313.91398805393197</v>
      </c>
      <c r="BO921" s="13" t="s">
        <v>169</v>
      </c>
      <c r="BP921" s="13">
        <v>307.55958661145604</v>
      </c>
      <c r="BQ921" s="13">
        <v>18.953927624537201</v>
      </c>
      <c r="BT921" s="298" t="str">
        <f>+VLOOKUP(G921,Liste!$A$7:$H$50,8,FALSE)</f>
        <v>Résineux</v>
      </c>
      <c r="BU921" s="298">
        <f t="shared" si="285"/>
        <v>0</v>
      </c>
      <c r="BV921" s="300">
        <f t="shared" si="286"/>
        <v>1</v>
      </c>
      <c r="BW921" s="321">
        <v>0</v>
      </c>
      <c r="BX921" s="298">
        <f t="shared" si="287"/>
        <v>0.43</v>
      </c>
      <c r="BY921">
        <f t="shared" si="288"/>
        <v>0</v>
      </c>
      <c r="BZ921" s="304">
        <f t="shared" si="289"/>
        <v>0</v>
      </c>
      <c r="CB921" s="299">
        <v>0.6</v>
      </c>
      <c r="CC921" s="299">
        <v>0.4</v>
      </c>
      <c r="CD921">
        <f t="shared" si="290"/>
        <v>0</v>
      </c>
      <c r="CE921">
        <f t="shared" si="291"/>
        <v>0</v>
      </c>
      <c r="CF921">
        <f t="shared" si="292"/>
        <v>0</v>
      </c>
      <c r="CG921">
        <f t="shared" si="293"/>
        <v>0</v>
      </c>
      <c r="CH921">
        <f t="shared" si="294"/>
        <v>0</v>
      </c>
      <c r="CI921">
        <f t="shared" si="295"/>
        <v>0</v>
      </c>
      <c r="CJ921">
        <f t="shared" si="296"/>
        <v>0</v>
      </c>
      <c r="CK921">
        <f t="shared" si="297"/>
        <v>0</v>
      </c>
      <c r="CL921">
        <f t="shared" si="298"/>
        <v>0</v>
      </c>
      <c r="CM921">
        <f t="shared" si="300"/>
        <v>0</v>
      </c>
      <c r="CN921">
        <f t="shared" si="299"/>
        <v>0</v>
      </c>
      <c r="CO921">
        <f t="shared" si="283"/>
        <v>0</v>
      </c>
    </row>
    <row r="922" spans="1:93" s="12" customFormat="1" x14ac:dyDescent="0.25">
      <c r="A922" s="4">
        <v>2013</v>
      </c>
      <c r="B922" s="318">
        <v>44265</v>
      </c>
      <c r="C922" s="4" t="s">
        <v>430</v>
      </c>
      <c r="D922" s="4" t="s">
        <v>431</v>
      </c>
      <c r="E922" s="4"/>
      <c r="F922" s="4" t="s">
        <v>1493</v>
      </c>
      <c r="G922" s="5" t="s">
        <v>432</v>
      </c>
      <c r="H922" s="5" t="s">
        <v>185</v>
      </c>
      <c r="I922" s="5" t="s">
        <v>222</v>
      </c>
      <c r="J922" s="5" t="s">
        <v>9</v>
      </c>
      <c r="K922" s="5">
        <v>20</v>
      </c>
      <c r="L922" s="5" t="s">
        <v>190</v>
      </c>
      <c r="M922" s="5">
        <v>2000</v>
      </c>
      <c r="N922" s="5" t="s">
        <v>171</v>
      </c>
      <c r="O922" s="6" t="s">
        <v>81</v>
      </c>
      <c r="P922" s="6" t="s">
        <v>186</v>
      </c>
      <c r="Q922" s="6"/>
      <c r="R922" s="6"/>
      <c r="S922" s="6">
        <v>45</v>
      </c>
      <c r="T922" s="6">
        <v>17.7</v>
      </c>
      <c r="U922" s="6">
        <v>1853</v>
      </c>
      <c r="V922" s="6">
        <v>45.68</v>
      </c>
      <c r="W922" s="6">
        <v>0</v>
      </c>
      <c r="X922" s="6">
        <v>0</v>
      </c>
      <c r="Y922" s="6">
        <v>1079</v>
      </c>
      <c r="Z922" s="6">
        <v>672</v>
      </c>
      <c r="AA922" s="6">
        <v>94</v>
      </c>
      <c r="AB922" s="6">
        <v>8</v>
      </c>
      <c r="AC922" s="7">
        <v>55</v>
      </c>
      <c r="AD922" s="7" t="s">
        <v>52</v>
      </c>
      <c r="AE922" s="9">
        <v>22.285644190358799</v>
      </c>
      <c r="AF922" s="7">
        <v>716</v>
      </c>
      <c r="AG922" s="7">
        <v>32.42</v>
      </c>
      <c r="AH922" s="9">
        <v>24.011642925727301</v>
      </c>
      <c r="AI922" s="9">
        <v>28.683861430415799</v>
      </c>
      <c r="AJ922" s="9">
        <v>338.18252116545199</v>
      </c>
      <c r="AK922" s="9">
        <v>339.348873845198</v>
      </c>
      <c r="AL922" s="9">
        <v>400.49387023997502</v>
      </c>
      <c r="AM922" s="9" t="s">
        <v>169</v>
      </c>
      <c r="AN922" s="9" t="s">
        <v>169</v>
      </c>
      <c r="AO922" s="9" t="s">
        <v>169</v>
      </c>
      <c r="AP922" s="9" t="s">
        <v>169</v>
      </c>
      <c r="AQ922" s="9" t="s">
        <v>169</v>
      </c>
      <c r="AR922" s="9" t="s">
        <v>169</v>
      </c>
      <c r="AS922" s="8" t="s">
        <v>169</v>
      </c>
      <c r="AT922" s="8" t="s">
        <v>169</v>
      </c>
      <c r="AU922" s="10" t="s">
        <v>169</v>
      </c>
      <c r="AV922" s="10">
        <v>0</v>
      </c>
      <c r="AW922" s="10" t="s">
        <v>169</v>
      </c>
      <c r="AX922" s="10" t="s">
        <v>169</v>
      </c>
      <c r="AY922" s="10"/>
      <c r="AZ922" s="10"/>
      <c r="BA922" s="10"/>
      <c r="BB922" s="8"/>
      <c r="BC922" s="8"/>
      <c r="BD922" s="8"/>
      <c r="BE922" s="8"/>
      <c r="BF922" s="12">
        <v>0.38</v>
      </c>
      <c r="BG922" s="13">
        <v>265.06019312049</v>
      </c>
      <c r="BH922" s="96" t="str">
        <f>+VLOOKUP(G922,Liste!$A$7:$G$50,3,FALSE)</f>
        <v>Sapin pectiné</v>
      </c>
      <c r="BI922" s="96" t="str">
        <f>+VLOOKUP(H922,Liste!$B$7:$G$50,5,FALSE)</f>
        <v>GS Arc Jurassien</v>
      </c>
      <c r="BJ922" s="135">
        <f t="shared" si="282"/>
        <v>55</v>
      </c>
      <c r="BK922" s="135" t="str">
        <f t="shared" si="284"/>
        <v>Sapin pectiné_F1_Cas général_GS Arc Jurassien_55_</v>
      </c>
      <c r="BL922" s="322"/>
      <c r="BM922" s="13">
        <v>68.010267641910602</v>
      </c>
      <c r="BN922" s="13">
        <v>333.07046076240101</v>
      </c>
      <c r="BO922" s="13" t="s">
        <v>169</v>
      </c>
      <c r="BP922" s="13">
        <v>307.55958661145604</v>
      </c>
      <c r="BQ922" s="13" t="s">
        <v>169</v>
      </c>
      <c r="BT922" s="298" t="str">
        <f>+VLOOKUP(G922,Liste!$A$7:$H$50,8,FALSE)</f>
        <v>Résineux</v>
      </c>
      <c r="BU922" s="298">
        <f t="shared" si="285"/>
        <v>0</v>
      </c>
      <c r="BV922" s="300">
        <f t="shared" si="286"/>
        <v>1</v>
      </c>
      <c r="BW922" s="321">
        <v>0</v>
      </c>
      <c r="BX922" s="298">
        <f t="shared" si="287"/>
        <v>0.43</v>
      </c>
      <c r="BY922">
        <f t="shared" si="288"/>
        <v>0</v>
      </c>
      <c r="BZ922" s="304">
        <f t="shared" si="289"/>
        <v>0</v>
      </c>
      <c r="CB922" s="299">
        <v>0.6</v>
      </c>
      <c r="CC922" s="299">
        <v>0.4</v>
      </c>
      <c r="CD922">
        <f t="shared" si="290"/>
        <v>0</v>
      </c>
      <c r="CE922">
        <f t="shared" si="291"/>
        <v>0</v>
      </c>
      <c r="CF922">
        <f t="shared" si="292"/>
        <v>0</v>
      </c>
      <c r="CG922">
        <f t="shared" si="293"/>
        <v>0</v>
      </c>
      <c r="CH922">
        <f t="shared" si="294"/>
        <v>0</v>
      </c>
      <c r="CI922">
        <f t="shared" si="295"/>
        <v>0</v>
      </c>
      <c r="CJ922">
        <f t="shared" si="296"/>
        <v>0</v>
      </c>
      <c r="CK922">
        <f t="shared" si="297"/>
        <v>0</v>
      </c>
      <c r="CL922">
        <f t="shared" si="298"/>
        <v>0</v>
      </c>
      <c r="CM922">
        <f t="shared" si="300"/>
        <v>0</v>
      </c>
      <c r="CN922">
        <f t="shared" si="299"/>
        <v>0</v>
      </c>
      <c r="CO922">
        <f t="shared" si="283"/>
        <v>0</v>
      </c>
    </row>
    <row r="923" spans="1:93" s="12" customFormat="1" x14ac:dyDescent="0.25">
      <c r="A923" s="4">
        <v>2013</v>
      </c>
      <c r="B923" s="318">
        <v>44265</v>
      </c>
      <c r="C923" s="4" t="s">
        <v>430</v>
      </c>
      <c r="D923" s="4" t="s">
        <v>431</v>
      </c>
      <c r="E923" s="4"/>
      <c r="F923" s="4" t="s">
        <v>1493</v>
      </c>
      <c r="G923" s="5" t="s">
        <v>432</v>
      </c>
      <c r="H923" s="5" t="s">
        <v>185</v>
      </c>
      <c r="I923" s="5" t="s">
        <v>222</v>
      </c>
      <c r="J923" s="5" t="s">
        <v>9</v>
      </c>
      <c r="K923" s="5">
        <v>20</v>
      </c>
      <c r="L923" s="5" t="s">
        <v>190</v>
      </c>
      <c r="M923" s="5">
        <v>2000</v>
      </c>
      <c r="N923" s="5" t="s">
        <v>171</v>
      </c>
      <c r="O923" s="6" t="s">
        <v>81</v>
      </c>
      <c r="P923" s="6" t="s">
        <v>186</v>
      </c>
      <c r="Q923" s="6"/>
      <c r="R923" s="6"/>
      <c r="S923" s="6">
        <v>45</v>
      </c>
      <c r="T923" s="6">
        <v>17.7</v>
      </c>
      <c r="U923" s="6">
        <v>1853</v>
      </c>
      <c r="V923" s="6">
        <v>45.68</v>
      </c>
      <c r="W923" s="6">
        <v>0</v>
      </c>
      <c r="X923" s="6">
        <v>0</v>
      </c>
      <c r="Y923" s="6">
        <v>1079</v>
      </c>
      <c r="Z923" s="6">
        <v>672</v>
      </c>
      <c r="AA923" s="6">
        <v>94</v>
      </c>
      <c r="AB923" s="6">
        <v>8</v>
      </c>
      <c r="AC923" s="7">
        <v>56</v>
      </c>
      <c r="AD923" s="7" t="s">
        <v>52</v>
      </c>
      <c r="AE923" s="9">
        <v>22.697908788050501</v>
      </c>
      <c r="AF923" s="7">
        <v>716</v>
      </c>
      <c r="AG923" s="7">
        <v>33.79</v>
      </c>
      <c r="AH923" s="9">
        <v>24.5127775312043</v>
      </c>
      <c r="AI923" s="9">
        <v>29.283581848269598</v>
      </c>
      <c r="AJ923" s="9">
        <v>359.77120865899502</v>
      </c>
      <c r="AK923" s="9">
        <v>361.013880668252</v>
      </c>
      <c r="AL923" s="9">
        <v>424.12724940193903</v>
      </c>
      <c r="AM923" s="9" t="s">
        <v>169</v>
      </c>
      <c r="AN923" s="9" t="s">
        <v>169</v>
      </c>
      <c r="AO923" s="9" t="s">
        <v>169</v>
      </c>
      <c r="AP923" s="9" t="s">
        <v>169</v>
      </c>
      <c r="AQ923" s="9" t="s">
        <v>169</v>
      </c>
      <c r="AR923" s="9" t="s">
        <v>169</v>
      </c>
      <c r="AS923" s="8" t="s">
        <v>169</v>
      </c>
      <c r="AT923" s="8" t="s">
        <v>169</v>
      </c>
      <c r="AU923" s="10" t="s">
        <v>169</v>
      </c>
      <c r="AV923" s="10">
        <v>0</v>
      </c>
      <c r="AW923" s="10" t="s">
        <v>169</v>
      </c>
      <c r="AX923" s="10" t="s">
        <v>169</v>
      </c>
      <c r="AY923" s="10"/>
      <c r="AZ923" s="10"/>
      <c r="BA923" s="10"/>
      <c r="BB923" s="8"/>
      <c r="BC923" s="8"/>
      <c r="BD923" s="8"/>
      <c r="BE923" s="8"/>
      <c r="BF923" s="12">
        <v>0.38</v>
      </c>
      <c r="BG923" s="13">
        <v>280.701551229183</v>
      </c>
      <c r="BH923" s="96" t="str">
        <f>+VLOOKUP(G923,Liste!$A$7:$G$50,3,FALSE)</f>
        <v>Sapin pectiné</v>
      </c>
      <c r="BI923" s="96" t="str">
        <f>+VLOOKUP(H923,Liste!$B$7:$G$50,5,FALSE)</f>
        <v>GS Arc Jurassien</v>
      </c>
      <c r="BJ923" s="135">
        <f t="shared" si="282"/>
        <v>56</v>
      </c>
      <c r="BK923" s="135" t="str">
        <f t="shared" si="284"/>
        <v>Sapin pectiné_F1_Cas général_GS Arc Jurassien_56_</v>
      </c>
      <c r="BL923" s="322"/>
      <c r="BM923" s="13">
        <v>71.5253822416867</v>
      </c>
      <c r="BN923" s="13">
        <v>352.22693347086999</v>
      </c>
      <c r="BO923" s="13" t="s">
        <v>169</v>
      </c>
      <c r="BP923" s="13">
        <v>307.55958661145604</v>
      </c>
      <c r="BQ923" s="13" t="s">
        <v>169</v>
      </c>
      <c r="BT923" s="298" t="str">
        <f>+VLOOKUP(G923,Liste!$A$7:$H$50,8,FALSE)</f>
        <v>Résineux</v>
      </c>
      <c r="BU923" s="298">
        <f t="shared" si="285"/>
        <v>0</v>
      </c>
      <c r="BV923" s="300">
        <f t="shared" si="286"/>
        <v>1</v>
      </c>
      <c r="BW923" s="321">
        <v>0</v>
      </c>
      <c r="BX923" s="298">
        <f t="shared" si="287"/>
        <v>0.43</v>
      </c>
      <c r="BY923">
        <f t="shared" si="288"/>
        <v>0</v>
      </c>
      <c r="BZ923" s="304">
        <f t="shared" si="289"/>
        <v>0</v>
      </c>
      <c r="CB923" s="299">
        <v>0.6</v>
      </c>
      <c r="CC923" s="299">
        <v>0.4</v>
      </c>
      <c r="CD923">
        <f t="shared" si="290"/>
        <v>0</v>
      </c>
      <c r="CE923">
        <f t="shared" si="291"/>
        <v>0</v>
      </c>
      <c r="CF923">
        <f t="shared" si="292"/>
        <v>0</v>
      </c>
      <c r="CG923">
        <f t="shared" si="293"/>
        <v>0</v>
      </c>
      <c r="CH923">
        <f t="shared" si="294"/>
        <v>0</v>
      </c>
      <c r="CI923">
        <f t="shared" si="295"/>
        <v>0</v>
      </c>
      <c r="CJ923">
        <f t="shared" si="296"/>
        <v>0</v>
      </c>
      <c r="CK923">
        <f t="shared" si="297"/>
        <v>0</v>
      </c>
      <c r="CL923">
        <f t="shared" si="298"/>
        <v>0</v>
      </c>
      <c r="CM923">
        <f t="shared" si="300"/>
        <v>0</v>
      </c>
      <c r="CN923">
        <f t="shared" si="299"/>
        <v>0</v>
      </c>
      <c r="CO923">
        <f t="shared" si="283"/>
        <v>0</v>
      </c>
    </row>
    <row r="924" spans="1:93" s="12" customFormat="1" x14ac:dyDescent="0.25">
      <c r="A924" s="4">
        <v>2013</v>
      </c>
      <c r="B924" s="318">
        <v>44265</v>
      </c>
      <c r="C924" s="4" t="s">
        <v>430</v>
      </c>
      <c r="D924" s="4" t="s">
        <v>431</v>
      </c>
      <c r="E924" s="4"/>
      <c r="F924" s="4" t="s">
        <v>1493</v>
      </c>
      <c r="G924" s="5" t="s">
        <v>432</v>
      </c>
      <c r="H924" s="5" t="s">
        <v>185</v>
      </c>
      <c r="I924" s="5" t="s">
        <v>222</v>
      </c>
      <c r="J924" s="5" t="s">
        <v>9</v>
      </c>
      <c r="K924" s="5">
        <v>20</v>
      </c>
      <c r="L924" s="5" t="s">
        <v>190</v>
      </c>
      <c r="M924" s="5">
        <v>2000</v>
      </c>
      <c r="N924" s="5" t="s">
        <v>171</v>
      </c>
      <c r="O924" s="6" t="s">
        <v>81</v>
      </c>
      <c r="P924" s="6" t="s">
        <v>186</v>
      </c>
      <c r="Q924" s="6"/>
      <c r="R924" s="6"/>
      <c r="S924" s="6">
        <v>45</v>
      </c>
      <c r="T924" s="6">
        <v>17.7</v>
      </c>
      <c r="U924" s="6">
        <v>1853</v>
      </c>
      <c r="V924" s="6">
        <v>45.68</v>
      </c>
      <c r="W924" s="6">
        <v>0</v>
      </c>
      <c r="X924" s="6">
        <v>0</v>
      </c>
      <c r="Y924" s="6">
        <v>1079</v>
      </c>
      <c r="Z924" s="6">
        <v>672</v>
      </c>
      <c r="AA924" s="6">
        <v>94</v>
      </c>
      <c r="AB924" s="6">
        <v>8</v>
      </c>
      <c r="AC924" s="7">
        <v>57</v>
      </c>
      <c r="AD924" s="7" t="s">
        <v>52</v>
      </c>
      <c r="AE924" s="9">
        <v>23.102343709851901</v>
      </c>
      <c r="AF924" s="7">
        <v>716</v>
      </c>
      <c r="AG924" s="7">
        <v>35.14</v>
      </c>
      <c r="AH924" s="9">
        <v>24.999174972897499</v>
      </c>
      <c r="AI924" s="9">
        <v>29.863238739463</v>
      </c>
      <c r="AJ924" s="9">
        <v>381.35989615253698</v>
      </c>
      <c r="AK924" s="9">
        <v>382.678887491306</v>
      </c>
      <c r="AL924" s="9">
        <v>447.760628563902</v>
      </c>
      <c r="AM924" s="9" t="s">
        <v>169</v>
      </c>
      <c r="AN924" s="9" t="s">
        <v>169</v>
      </c>
      <c r="AO924" s="9" t="s">
        <v>169</v>
      </c>
      <c r="AP924" s="9" t="s">
        <v>169</v>
      </c>
      <c r="AQ924" s="9" t="s">
        <v>169</v>
      </c>
      <c r="AR924" s="9" t="s">
        <v>169</v>
      </c>
      <c r="AS924" s="8" t="s">
        <v>169</v>
      </c>
      <c r="AT924" s="8" t="s">
        <v>169</v>
      </c>
      <c r="AU924" s="10" t="s">
        <v>169</v>
      </c>
      <c r="AV924" s="10">
        <v>0</v>
      </c>
      <c r="AW924" s="10" t="s">
        <v>169</v>
      </c>
      <c r="AX924" s="10" t="s">
        <v>169</v>
      </c>
      <c r="AY924" s="10"/>
      <c r="AZ924" s="10"/>
      <c r="BA924" s="10"/>
      <c r="BB924" s="8"/>
      <c r="BC924" s="8"/>
      <c r="BD924" s="8"/>
      <c r="BE924" s="8"/>
      <c r="BF924" s="12">
        <v>0.38</v>
      </c>
      <c r="BG924" s="13">
        <v>296.34290933787599</v>
      </c>
      <c r="BH924" s="96" t="str">
        <f>+VLOOKUP(G924,Liste!$A$7:$G$50,3,FALSE)</f>
        <v>Sapin pectiné</v>
      </c>
      <c r="BI924" s="96" t="str">
        <f>+VLOOKUP(H924,Liste!$B$7:$G$50,5,FALSE)</f>
        <v>GS Arc Jurassien</v>
      </c>
      <c r="BJ924" s="135">
        <f t="shared" si="282"/>
        <v>57</v>
      </c>
      <c r="BK924" s="135" t="str">
        <f t="shared" si="284"/>
        <v>Sapin pectiné_F1_Cas général_GS Arc Jurassien_57_</v>
      </c>
      <c r="BL924" s="322"/>
      <c r="BM924" s="13">
        <v>75.040496841462897</v>
      </c>
      <c r="BN924" s="13">
        <v>371.38340617933898</v>
      </c>
      <c r="BO924" s="13" t="s">
        <v>169</v>
      </c>
      <c r="BP924" s="13">
        <v>307.55958661145604</v>
      </c>
      <c r="BQ924" s="13" t="s">
        <v>169</v>
      </c>
      <c r="BT924" s="298" t="str">
        <f>+VLOOKUP(G924,Liste!$A$7:$H$50,8,FALSE)</f>
        <v>Résineux</v>
      </c>
      <c r="BU924" s="298">
        <f t="shared" si="285"/>
        <v>0</v>
      </c>
      <c r="BV924" s="300">
        <f t="shared" si="286"/>
        <v>1</v>
      </c>
      <c r="BW924" s="321">
        <v>0</v>
      </c>
      <c r="BX924" s="298">
        <f t="shared" si="287"/>
        <v>0.43</v>
      </c>
      <c r="BY924">
        <f t="shared" si="288"/>
        <v>0</v>
      </c>
      <c r="BZ924" s="304">
        <f t="shared" si="289"/>
        <v>0</v>
      </c>
      <c r="CB924" s="299">
        <v>0.6</v>
      </c>
      <c r="CC924" s="299">
        <v>0.4</v>
      </c>
      <c r="CD924">
        <f t="shared" si="290"/>
        <v>0</v>
      </c>
      <c r="CE924">
        <f t="shared" si="291"/>
        <v>0</v>
      </c>
      <c r="CF924">
        <f t="shared" si="292"/>
        <v>0</v>
      </c>
      <c r="CG924">
        <f t="shared" si="293"/>
        <v>0</v>
      </c>
      <c r="CH924">
        <f t="shared" si="294"/>
        <v>0</v>
      </c>
      <c r="CI924">
        <f t="shared" si="295"/>
        <v>0</v>
      </c>
      <c r="CJ924">
        <f t="shared" si="296"/>
        <v>0</v>
      </c>
      <c r="CK924">
        <f t="shared" si="297"/>
        <v>0</v>
      </c>
      <c r="CL924">
        <f t="shared" si="298"/>
        <v>0</v>
      </c>
      <c r="CM924">
        <f t="shared" si="300"/>
        <v>0</v>
      </c>
      <c r="CN924">
        <f t="shared" si="299"/>
        <v>0</v>
      </c>
      <c r="CO924">
        <f t="shared" si="283"/>
        <v>0</v>
      </c>
    </row>
    <row r="925" spans="1:93" s="12" customFormat="1" x14ac:dyDescent="0.25">
      <c r="A925" s="4">
        <v>2013</v>
      </c>
      <c r="B925" s="318">
        <v>44265</v>
      </c>
      <c r="C925" s="4" t="s">
        <v>430</v>
      </c>
      <c r="D925" s="4" t="s">
        <v>431</v>
      </c>
      <c r="E925" s="4"/>
      <c r="F925" s="4" t="s">
        <v>1493</v>
      </c>
      <c r="G925" s="5" t="s">
        <v>432</v>
      </c>
      <c r="H925" s="5" t="s">
        <v>185</v>
      </c>
      <c r="I925" s="5" t="s">
        <v>222</v>
      </c>
      <c r="J925" s="5" t="s">
        <v>9</v>
      </c>
      <c r="K925" s="5">
        <v>20</v>
      </c>
      <c r="L925" s="5" t="s">
        <v>190</v>
      </c>
      <c r="M925" s="5">
        <v>2000</v>
      </c>
      <c r="N925" s="5" t="s">
        <v>171</v>
      </c>
      <c r="O925" s="6" t="s">
        <v>81</v>
      </c>
      <c r="P925" s="6" t="s">
        <v>186</v>
      </c>
      <c r="Q925" s="6"/>
      <c r="R925" s="6"/>
      <c r="S925" s="6">
        <v>45</v>
      </c>
      <c r="T925" s="6">
        <v>17.7</v>
      </c>
      <c r="U925" s="6">
        <v>1853</v>
      </c>
      <c r="V925" s="6">
        <v>45.68</v>
      </c>
      <c r="W925" s="6">
        <v>0</v>
      </c>
      <c r="X925" s="6">
        <v>0</v>
      </c>
      <c r="Y925" s="6">
        <v>1079</v>
      </c>
      <c r="Z925" s="6">
        <v>672</v>
      </c>
      <c r="AA925" s="6">
        <v>94</v>
      </c>
      <c r="AB925" s="6">
        <v>8</v>
      </c>
      <c r="AC925" s="7">
        <v>58</v>
      </c>
      <c r="AD925" s="7" t="s">
        <v>52</v>
      </c>
      <c r="AE925" s="9">
        <v>23.499092095812301</v>
      </c>
      <c r="AF925" s="7">
        <v>716</v>
      </c>
      <c r="AG925" s="7">
        <v>36.479999999999997</v>
      </c>
      <c r="AH925" s="9">
        <v>25.471501289837899</v>
      </c>
      <c r="AI925" s="9">
        <v>30.423869708439401</v>
      </c>
      <c r="AJ925" s="9">
        <v>402.94858364607899</v>
      </c>
      <c r="AK925" s="9">
        <v>404.34389431436</v>
      </c>
      <c r="AL925" s="9">
        <v>471.39400772586498</v>
      </c>
      <c r="AM925" s="9" t="s">
        <v>169</v>
      </c>
      <c r="AN925" s="9" t="s">
        <v>169</v>
      </c>
      <c r="AO925" s="9" t="s">
        <v>169</v>
      </c>
      <c r="AP925" s="9" t="s">
        <v>169</v>
      </c>
      <c r="AQ925" s="9" t="s">
        <v>169</v>
      </c>
      <c r="AR925" s="9" t="s">
        <v>169</v>
      </c>
      <c r="AS925" s="8" t="s">
        <v>169</v>
      </c>
      <c r="AT925" s="8" t="s">
        <v>169</v>
      </c>
      <c r="AU925" s="10" t="s">
        <v>169</v>
      </c>
      <c r="AV925" s="10">
        <v>0</v>
      </c>
      <c r="AW925" s="10" t="s">
        <v>169</v>
      </c>
      <c r="AX925" s="10" t="s">
        <v>169</v>
      </c>
      <c r="AY925" s="10"/>
      <c r="AZ925" s="10"/>
      <c r="BA925" s="10"/>
      <c r="BB925" s="8"/>
      <c r="BC925" s="8"/>
      <c r="BD925" s="8"/>
      <c r="BE925" s="8"/>
      <c r="BF925" s="12">
        <v>0.38</v>
      </c>
      <c r="BG925" s="13">
        <v>311.98426744656803</v>
      </c>
      <c r="BH925" s="96" t="str">
        <f>+VLOOKUP(G925,Liste!$A$7:$G$50,3,FALSE)</f>
        <v>Sapin pectiné</v>
      </c>
      <c r="BI925" s="96" t="str">
        <f>+VLOOKUP(H925,Liste!$B$7:$G$50,5,FALSE)</f>
        <v>GS Arc Jurassien</v>
      </c>
      <c r="BJ925" s="135">
        <f t="shared" si="282"/>
        <v>58</v>
      </c>
      <c r="BK925" s="135" t="str">
        <f t="shared" si="284"/>
        <v>Sapin pectiné_F1_Cas général_GS Arc Jurassien_58_</v>
      </c>
      <c r="BL925" s="322"/>
      <c r="BM925" s="13">
        <v>78.555611441239094</v>
      </c>
      <c r="BN925" s="13">
        <v>390.53987888780699</v>
      </c>
      <c r="BO925" s="13" t="s">
        <v>169</v>
      </c>
      <c r="BP925" s="13">
        <v>307.55958661145604</v>
      </c>
      <c r="BQ925" s="13" t="s">
        <v>169</v>
      </c>
      <c r="BT925" s="298" t="str">
        <f>+VLOOKUP(G925,Liste!$A$7:$H$50,8,FALSE)</f>
        <v>Résineux</v>
      </c>
      <c r="BU925" s="298">
        <f t="shared" si="285"/>
        <v>0</v>
      </c>
      <c r="BV925" s="300">
        <f t="shared" si="286"/>
        <v>1</v>
      </c>
      <c r="BW925" s="321">
        <v>0</v>
      </c>
      <c r="BX925" s="298">
        <f t="shared" si="287"/>
        <v>0.43</v>
      </c>
      <c r="BY925">
        <f t="shared" si="288"/>
        <v>0</v>
      </c>
      <c r="BZ925" s="304">
        <f t="shared" si="289"/>
        <v>0</v>
      </c>
      <c r="CB925" s="299">
        <v>0.6</v>
      </c>
      <c r="CC925" s="299">
        <v>0.4</v>
      </c>
      <c r="CD925">
        <f t="shared" si="290"/>
        <v>0</v>
      </c>
      <c r="CE925">
        <f t="shared" si="291"/>
        <v>0</v>
      </c>
      <c r="CF925">
        <f t="shared" si="292"/>
        <v>0</v>
      </c>
      <c r="CG925">
        <f t="shared" si="293"/>
        <v>0</v>
      </c>
      <c r="CH925">
        <f t="shared" si="294"/>
        <v>0</v>
      </c>
      <c r="CI925">
        <f t="shared" si="295"/>
        <v>0</v>
      </c>
      <c r="CJ925">
        <f t="shared" si="296"/>
        <v>0</v>
      </c>
      <c r="CK925">
        <f t="shared" si="297"/>
        <v>0</v>
      </c>
      <c r="CL925">
        <f t="shared" si="298"/>
        <v>0</v>
      </c>
      <c r="CM925">
        <f t="shared" si="300"/>
        <v>0</v>
      </c>
      <c r="CN925">
        <f t="shared" si="299"/>
        <v>0</v>
      </c>
      <c r="CO925">
        <f t="shared" si="283"/>
        <v>0</v>
      </c>
    </row>
    <row r="926" spans="1:93" s="12" customFormat="1" x14ac:dyDescent="0.25">
      <c r="A926" s="4">
        <v>2013</v>
      </c>
      <c r="B926" s="318">
        <v>44265</v>
      </c>
      <c r="C926" s="4" t="s">
        <v>430</v>
      </c>
      <c r="D926" s="4" t="s">
        <v>431</v>
      </c>
      <c r="E926" s="4"/>
      <c r="F926" s="4" t="s">
        <v>1493</v>
      </c>
      <c r="G926" s="5" t="s">
        <v>432</v>
      </c>
      <c r="H926" s="5" t="s">
        <v>185</v>
      </c>
      <c r="I926" s="5" t="s">
        <v>222</v>
      </c>
      <c r="J926" s="5" t="s">
        <v>9</v>
      </c>
      <c r="K926" s="5">
        <v>20</v>
      </c>
      <c r="L926" s="5" t="s">
        <v>190</v>
      </c>
      <c r="M926" s="5">
        <v>2000</v>
      </c>
      <c r="N926" s="5" t="s">
        <v>171</v>
      </c>
      <c r="O926" s="6" t="s">
        <v>81</v>
      </c>
      <c r="P926" s="6" t="s">
        <v>186</v>
      </c>
      <c r="Q926" s="6"/>
      <c r="R926" s="6"/>
      <c r="S926" s="6">
        <v>45</v>
      </c>
      <c r="T926" s="6">
        <v>17.7</v>
      </c>
      <c r="U926" s="6">
        <v>1853</v>
      </c>
      <c r="V926" s="6">
        <v>45.68</v>
      </c>
      <c r="W926" s="6">
        <v>0</v>
      </c>
      <c r="X926" s="6">
        <v>0</v>
      </c>
      <c r="Y926" s="6">
        <v>1079</v>
      </c>
      <c r="Z926" s="6">
        <v>672</v>
      </c>
      <c r="AA926" s="6">
        <v>94</v>
      </c>
      <c r="AB926" s="6">
        <v>8</v>
      </c>
      <c r="AC926" s="7">
        <v>59</v>
      </c>
      <c r="AD926" s="7" t="s">
        <v>52</v>
      </c>
      <c r="AE926" s="9">
        <v>23.888299467318401</v>
      </c>
      <c r="AF926" s="7">
        <v>716</v>
      </c>
      <c r="AG926" s="7">
        <v>37.81</v>
      </c>
      <c r="AH926" s="9">
        <v>25.930378070687201</v>
      </c>
      <c r="AI926" s="9">
        <v>30.966442031168</v>
      </c>
      <c r="AJ926" s="9">
        <v>424.537271139621</v>
      </c>
      <c r="AK926" s="9">
        <v>426.00890113741298</v>
      </c>
      <c r="AL926" s="9">
        <v>495.02738688782802</v>
      </c>
      <c r="AM926" s="9">
        <v>66.116549504496504</v>
      </c>
      <c r="AN926" s="9">
        <v>1.1206194831270599</v>
      </c>
      <c r="AO926" s="9">
        <v>1.19516465571752</v>
      </c>
      <c r="AP926" s="9">
        <v>783.36387883186103</v>
      </c>
      <c r="AQ926" s="9">
        <v>13.2773538785061</v>
      </c>
      <c r="AR926" s="9">
        <v>21.8093760075968</v>
      </c>
      <c r="AS926" s="8" t="s">
        <v>169</v>
      </c>
      <c r="AT926" s="8" t="s">
        <v>169</v>
      </c>
      <c r="AU926" s="10" t="s">
        <v>169</v>
      </c>
      <c r="AV926" s="10">
        <v>0</v>
      </c>
      <c r="AW926" s="10" t="s">
        <v>169</v>
      </c>
      <c r="AX926" s="10" t="s">
        <v>169</v>
      </c>
      <c r="AY926" s="10"/>
      <c r="AZ926" s="10"/>
      <c r="BA926" s="10"/>
      <c r="BB926" s="8"/>
      <c r="BC926" s="8"/>
      <c r="BD926" s="8"/>
      <c r="BE926" s="8"/>
      <c r="BF926" s="12">
        <v>0.38</v>
      </c>
      <c r="BG926" s="13">
        <v>327.62562555526102</v>
      </c>
      <c r="BH926" s="96" t="str">
        <f>+VLOOKUP(G926,Liste!$A$7:$G$50,3,FALSE)</f>
        <v>Sapin pectiné</v>
      </c>
      <c r="BI926" s="96" t="str">
        <f>+VLOOKUP(H926,Liste!$B$7:$G$50,5,FALSE)</f>
        <v>GS Arc Jurassien</v>
      </c>
      <c r="BJ926" s="135">
        <f t="shared" si="282"/>
        <v>59</v>
      </c>
      <c r="BK926" s="135" t="str">
        <f t="shared" si="284"/>
        <v>Sapin pectiné_F1_Cas général_GS Arc Jurassien_59_</v>
      </c>
      <c r="BL926" s="322"/>
      <c r="BM926" s="13">
        <v>82.070726041015206</v>
      </c>
      <c r="BN926" s="13">
        <v>409.69635159627597</v>
      </c>
      <c r="BO926" s="13" t="s">
        <v>169</v>
      </c>
      <c r="BP926" s="13">
        <v>307.55958661145604</v>
      </c>
      <c r="BQ926" s="13">
        <v>17.444005365234901</v>
      </c>
      <c r="BT926" s="298" t="str">
        <f>+VLOOKUP(G926,Liste!$A$7:$H$50,8,FALSE)</f>
        <v>Résineux</v>
      </c>
      <c r="BU926" s="298">
        <f t="shared" si="285"/>
        <v>0</v>
      </c>
      <c r="BV926" s="300">
        <f t="shared" si="286"/>
        <v>1</v>
      </c>
      <c r="BW926" s="321">
        <v>0</v>
      </c>
      <c r="BX926" s="298">
        <f t="shared" si="287"/>
        <v>0.43</v>
      </c>
      <c r="BY926">
        <f t="shared" si="288"/>
        <v>0</v>
      </c>
      <c r="BZ926" s="304">
        <f t="shared" si="289"/>
        <v>0</v>
      </c>
      <c r="CB926" s="299">
        <v>0.6</v>
      </c>
      <c r="CC926" s="299">
        <v>0.4</v>
      </c>
      <c r="CD926">
        <f t="shared" si="290"/>
        <v>0</v>
      </c>
      <c r="CE926">
        <f t="shared" si="291"/>
        <v>0</v>
      </c>
      <c r="CF926">
        <f t="shared" si="292"/>
        <v>0</v>
      </c>
      <c r="CG926">
        <f t="shared" si="293"/>
        <v>0</v>
      </c>
      <c r="CH926">
        <f t="shared" si="294"/>
        <v>0</v>
      </c>
      <c r="CI926">
        <f t="shared" si="295"/>
        <v>0</v>
      </c>
      <c r="CJ926">
        <f t="shared" si="296"/>
        <v>0</v>
      </c>
      <c r="CK926">
        <f t="shared" si="297"/>
        <v>0</v>
      </c>
      <c r="CL926">
        <f t="shared" si="298"/>
        <v>0</v>
      </c>
      <c r="CM926">
        <f t="shared" si="300"/>
        <v>0</v>
      </c>
      <c r="CN926">
        <f t="shared" si="299"/>
        <v>0</v>
      </c>
      <c r="CO926">
        <f t="shared" si="283"/>
        <v>0</v>
      </c>
    </row>
    <row r="927" spans="1:93" s="12" customFormat="1" x14ac:dyDescent="0.25">
      <c r="A927" s="4">
        <v>2013</v>
      </c>
      <c r="B927" s="318">
        <v>44265</v>
      </c>
      <c r="C927" s="4" t="s">
        <v>430</v>
      </c>
      <c r="D927" s="4" t="s">
        <v>431</v>
      </c>
      <c r="E927" s="4"/>
      <c r="F927" s="4" t="s">
        <v>1493</v>
      </c>
      <c r="G927" s="5" t="s">
        <v>432</v>
      </c>
      <c r="H927" s="5" t="s">
        <v>185</v>
      </c>
      <c r="I927" s="5" t="s">
        <v>222</v>
      </c>
      <c r="J927" s="5" t="s">
        <v>9</v>
      </c>
      <c r="K927" s="5">
        <v>20</v>
      </c>
      <c r="L927" s="5" t="s">
        <v>190</v>
      </c>
      <c r="M927" s="5">
        <v>2000</v>
      </c>
      <c r="N927" s="5" t="s">
        <v>171</v>
      </c>
      <c r="O927" s="6" t="s">
        <v>81</v>
      </c>
      <c r="P927" s="6" t="s">
        <v>186</v>
      </c>
      <c r="Q927" s="6"/>
      <c r="R927" s="6"/>
      <c r="S927" s="6">
        <v>45</v>
      </c>
      <c r="T927" s="6">
        <v>17.7</v>
      </c>
      <c r="U927" s="6">
        <v>1853</v>
      </c>
      <c r="V927" s="6">
        <v>45.68</v>
      </c>
      <c r="W927" s="6">
        <v>0</v>
      </c>
      <c r="X927" s="6">
        <v>0</v>
      </c>
      <c r="Y927" s="6">
        <v>1079</v>
      </c>
      <c r="Z927" s="6">
        <v>672</v>
      </c>
      <c r="AA927" s="6">
        <v>94</v>
      </c>
      <c r="AB927" s="6">
        <v>8</v>
      </c>
      <c r="AC927" s="7">
        <v>59</v>
      </c>
      <c r="AD927" s="7" t="s">
        <v>53</v>
      </c>
      <c r="AE927" s="9">
        <v>23.888299467318401</v>
      </c>
      <c r="AF927" s="7">
        <v>513</v>
      </c>
      <c r="AG927" s="7">
        <v>28.33</v>
      </c>
      <c r="AH927" s="9">
        <v>26.518038945588302</v>
      </c>
      <c r="AI927" s="9">
        <v>30.726209898679599</v>
      </c>
      <c r="AJ927" s="9">
        <v>320.05693231631801</v>
      </c>
      <c r="AK927" s="9">
        <v>321.21112796470499</v>
      </c>
      <c r="AL927" s="9">
        <v>372.93809956024199</v>
      </c>
      <c r="AM927" s="9">
        <v>66.116549504496504</v>
      </c>
      <c r="AN927" s="9">
        <v>1.1206194831270599</v>
      </c>
      <c r="AO927" s="9">
        <v>1.19516465571752</v>
      </c>
      <c r="AP927" s="9">
        <v>783.36387883186103</v>
      </c>
      <c r="AQ927" s="9">
        <v>13.2773538785061</v>
      </c>
      <c r="AR927" s="9">
        <v>21.8093760075968</v>
      </c>
      <c r="AS927" s="8">
        <v>203</v>
      </c>
      <c r="AT927" s="8">
        <v>9.480000000000004</v>
      </c>
      <c r="AU927" s="10">
        <v>24.384351442581721</v>
      </c>
      <c r="AV927" s="10">
        <v>104.48033882330299</v>
      </c>
      <c r="AW927" s="10">
        <v>0.88431037476848651</v>
      </c>
      <c r="AX927" s="10">
        <v>0.51468147203597525</v>
      </c>
      <c r="AY927" s="10"/>
      <c r="AZ927" s="10"/>
      <c r="BA927" s="10"/>
      <c r="BB927" s="8"/>
      <c r="BC927" s="8"/>
      <c r="BD927" s="8"/>
      <c r="BE927" s="8"/>
      <c r="BF927" s="12">
        <v>0.38</v>
      </c>
      <c r="BG927" s="13">
        <v>246.82286555895399</v>
      </c>
      <c r="BH927" s="96" t="str">
        <f>+VLOOKUP(G927,Liste!$A$7:$G$50,3,FALSE)</f>
        <v>Sapin pectiné</v>
      </c>
      <c r="BI927" s="96" t="str">
        <f>+VLOOKUP(H927,Liste!$B$7:$G$50,5,FALSE)</f>
        <v>GS Arc Jurassien</v>
      </c>
      <c r="BJ927" s="135">
        <f t="shared" si="282"/>
        <v>59</v>
      </c>
      <c r="BK927" s="135" t="str">
        <f t="shared" si="284"/>
        <v>Sapin pectiné_F1_Cas général_GS Arc Jurassien_59_</v>
      </c>
      <c r="BL927" s="322"/>
      <c r="BM927" s="13">
        <v>63.901657946721798</v>
      </c>
      <c r="BN927" s="13">
        <v>310.72452350567499</v>
      </c>
      <c r="BO927" s="13">
        <v>98.97182809060098</v>
      </c>
      <c r="BP927" s="13">
        <v>307.55958661145604</v>
      </c>
      <c r="BQ927" s="13">
        <v>17.444005365234901</v>
      </c>
      <c r="BT927" s="298" t="str">
        <f>+VLOOKUP(G927,Liste!$A$7:$H$50,8,FALSE)</f>
        <v>Résineux</v>
      </c>
      <c r="BU927" s="298">
        <f t="shared" si="285"/>
        <v>0</v>
      </c>
      <c r="BV927" s="300">
        <f t="shared" si="286"/>
        <v>1</v>
      </c>
      <c r="BW927" s="321">
        <v>0</v>
      </c>
      <c r="BX927" s="298">
        <f t="shared" si="287"/>
        <v>0.43</v>
      </c>
      <c r="BY927">
        <f t="shared" si="288"/>
        <v>0</v>
      </c>
      <c r="BZ927" s="304">
        <f t="shared" si="289"/>
        <v>0</v>
      </c>
      <c r="CB927" s="299">
        <v>0.6</v>
      </c>
      <c r="CC927" s="299">
        <v>0.4</v>
      </c>
      <c r="CD927">
        <f t="shared" si="290"/>
        <v>0</v>
      </c>
      <c r="CE927">
        <f t="shared" si="291"/>
        <v>0</v>
      </c>
      <c r="CF927">
        <f t="shared" si="292"/>
        <v>0</v>
      </c>
      <c r="CG927">
        <f t="shared" si="293"/>
        <v>0</v>
      </c>
      <c r="CH927">
        <f t="shared" si="294"/>
        <v>0</v>
      </c>
      <c r="CI927">
        <f t="shared" si="295"/>
        <v>0</v>
      </c>
      <c r="CJ927">
        <f t="shared" si="296"/>
        <v>0</v>
      </c>
      <c r="CK927">
        <f t="shared" si="297"/>
        <v>0</v>
      </c>
      <c r="CL927">
        <f t="shared" si="298"/>
        <v>0</v>
      </c>
      <c r="CM927">
        <f t="shared" si="300"/>
        <v>0</v>
      </c>
      <c r="CN927">
        <f t="shared" si="299"/>
        <v>0</v>
      </c>
      <c r="CO927">
        <f t="shared" si="283"/>
        <v>0</v>
      </c>
    </row>
    <row r="928" spans="1:93" s="12" customFormat="1" x14ac:dyDescent="0.25">
      <c r="A928" s="4">
        <v>2013</v>
      </c>
      <c r="B928" s="318">
        <v>44265</v>
      </c>
      <c r="C928" s="4" t="s">
        <v>430</v>
      </c>
      <c r="D928" s="4" t="s">
        <v>431</v>
      </c>
      <c r="E928" s="4"/>
      <c r="F928" s="4" t="s">
        <v>1493</v>
      </c>
      <c r="G928" s="5" t="s">
        <v>432</v>
      </c>
      <c r="H928" s="5" t="s">
        <v>185</v>
      </c>
      <c r="I928" s="5" t="s">
        <v>222</v>
      </c>
      <c r="J928" s="5" t="s">
        <v>9</v>
      </c>
      <c r="K928" s="5">
        <v>20</v>
      </c>
      <c r="L928" s="5" t="s">
        <v>190</v>
      </c>
      <c r="M928" s="5">
        <v>2000</v>
      </c>
      <c r="N928" s="5" t="s">
        <v>171</v>
      </c>
      <c r="O928" s="6" t="s">
        <v>81</v>
      </c>
      <c r="P928" s="6" t="s">
        <v>186</v>
      </c>
      <c r="Q928" s="6"/>
      <c r="R928" s="6"/>
      <c r="S928" s="6">
        <v>45</v>
      </c>
      <c r="T928" s="6">
        <v>17.7</v>
      </c>
      <c r="U928" s="6">
        <v>1853</v>
      </c>
      <c r="V928" s="6">
        <v>45.68</v>
      </c>
      <c r="W928" s="6">
        <v>0</v>
      </c>
      <c r="X928" s="6">
        <v>0</v>
      </c>
      <c r="Y928" s="6">
        <v>1079</v>
      </c>
      <c r="Z928" s="6">
        <v>672</v>
      </c>
      <c r="AA928" s="6">
        <v>94</v>
      </c>
      <c r="AB928" s="6">
        <v>8</v>
      </c>
      <c r="AC928" s="7">
        <v>60</v>
      </c>
      <c r="AD928" s="7" t="s">
        <v>52</v>
      </c>
      <c r="AE928" s="9">
        <v>24.270112923374899</v>
      </c>
      <c r="AF928" s="7">
        <v>513</v>
      </c>
      <c r="AG928" s="7">
        <v>29.55</v>
      </c>
      <c r="AH928" s="9">
        <v>27.079675238091198</v>
      </c>
      <c r="AI928" s="9">
        <v>31.368074395576699</v>
      </c>
      <c r="AJ928" s="9">
        <v>340.08511310128398</v>
      </c>
      <c r="AK928" s="9">
        <v>341.31428617119798</v>
      </c>
      <c r="AL928" s="9">
        <v>394.74747556783899</v>
      </c>
      <c r="AM928" s="9" t="s">
        <v>169</v>
      </c>
      <c r="AN928" s="9" t="s">
        <v>169</v>
      </c>
      <c r="AO928" s="9" t="s">
        <v>169</v>
      </c>
      <c r="AP928" s="9" t="s">
        <v>169</v>
      </c>
      <c r="AQ928" s="9" t="s">
        <v>169</v>
      </c>
      <c r="AR928" s="9" t="s">
        <v>169</v>
      </c>
      <c r="AS928" s="8" t="s">
        <v>169</v>
      </c>
      <c r="AT928" s="8" t="s">
        <v>169</v>
      </c>
      <c r="AU928" s="10" t="s">
        <v>169</v>
      </c>
      <c r="AV928" s="10">
        <v>0</v>
      </c>
      <c r="AW928" s="10" t="s">
        <v>169</v>
      </c>
      <c r="AX928" s="10" t="s">
        <v>169</v>
      </c>
      <c r="AY928" s="10"/>
      <c r="AZ928" s="10"/>
      <c r="BA928" s="10"/>
      <c r="BB928" s="8"/>
      <c r="BC928" s="8"/>
      <c r="BD928" s="8"/>
      <c r="BE928" s="8"/>
      <c r="BF928" s="12">
        <v>0.38</v>
      </c>
      <c r="BG928" s="13">
        <v>261.25703757998099</v>
      </c>
      <c r="BH928" s="96" t="str">
        <f>+VLOOKUP(G928,Liste!$A$7:$G$50,3,FALSE)</f>
        <v>Sapin pectiné</v>
      </c>
      <c r="BI928" s="96" t="str">
        <f>+VLOOKUP(H928,Liste!$B$7:$G$50,5,FALSE)</f>
        <v>GS Arc Jurassien</v>
      </c>
      <c r="BJ928" s="135">
        <f t="shared" si="282"/>
        <v>60</v>
      </c>
      <c r="BK928" s="135" t="str">
        <f t="shared" si="284"/>
        <v>Sapin pectiné_F1_Cas général_GS Arc Jurassien_60_</v>
      </c>
      <c r="BL928" s="322"/>
      <c r="BM928" s="13">
        <v>67.162173294459606</v>
      </c>
      <c r="BN928" s="13">
        <v>328.41921087444098</v>
      </c>
      <c r="BO928" s="13" t="s">
        <v>169</v>
      </c>
      <c r="BP928" s="13">
        <v>307.55958661145604</v>
      </c>
      <c r="BQ928" s="13" t="s">
        <v>169</v>
      </c>
      <c r="BT928" s="298" t="str">
        <f>+VLOOKUP(G928,Liste!$A$7:$H$50,8,FALSE)</f>
        <v>Résineux</v>
      </c>
      <c r="BU928" s="298">
        <f t="shared" si="285"/>
        <v>0</v>
      </c>
      <c r="BV928" s="300">
        <f t="shared" si="286"/>
        <v>1</v>
      </c>
      <c r="BW928" s="321">
        <v>0</v>
      </c>
      <c r="BX928" s="298">
        <f t="shared" si="287"/>
        <v>0.43</v>
      </c>
      <c r="BY928">
        <f t="shared" si="288"/>
        <v>0</v>
      </c>
      <c r="BZ928" s="304">
        <f t="shared" si="289"/>
        <v>0</v>
      </c>
      <c r="CB928" s="299">
        <v>0.6</v>
      </c>
      <c r="CC928" s="299">
        <v>0.4</v>
      </c>
      <c r="CD928">
        <f t="shared" si="290"/>
        <v>0</v>
      </c>
      <c r="CE928">
        <f t="shared" si="291"/>
        <v>0</v>
      </c>
      <c r="CF928">
        <f t="shared" si="292"/>
        <v>0</v>
      </c>
      <c r="CG928">
        <f t="shared" si="293"/>
        <v>0</v>
      </c>
      <c r="CH928">
        <f t="shared" si="294"/>
        <v>0</v>
      </c>
      <c r="CI928">
        <f t="shared" si="295"/>
        <v>0</v>
      </c>
      <c r="CJ928">
        <f t="shared" si="296"/>
        <v>0</v>
      </c>
      <c r="CK928">
        <f t="shared" si="297"/>
        <v>0</v>
      </c>
      <c r="CL928">
        <f t="shared" si="298"/>
        <v>0</v>
      </c>
      <c r="CM928">
        <f t="shared" si="300"/>
        <v>0</v>
      </c>
      <c r="CN928">
        <f t="shared" si="299"/>
        <v>0</v>
      </c>
      <c r="CO928">
        <f t="shared" si="283"/>
        <v>0</v>
      </c>
    </row>
    <row r="929" spans="1:93" s="12" customFormat="1" x14ac:dyDescent="0.25">
      <c r="A929" s="4">
        <v>2013</v>
      </c>
      <c r="B929" s="318">
        <v>44265</v>
      </c>
      <c r="C929" s="4" t="s">
        <v>430</v>
      </c>
      <c r="D929" s="4" t="s">
        <v>431</v>
      </c>
      <c r="E929" s="4"/>
      <c r="F929" s="4" t="s">
        <v>1493</v>
      </c>
      <c r="G929" s="5" t="s">
        <v>432</v>
      </c>
      <c r="H929" s="5" t="s">
        <v>185</v>
      </c>
      <c r="I929" s="5" t="s">
        <v>222</v>
      </c>
      <c r="J929" s="5" t="s">
        <v>9</v>
      </c>
      <c r="K929" s="5">
        <v>20</v>
      </c>
      <c r="L929" s="5" t="s">
        <v>190</v>
      </c>
      <c r="M929" s="5">
        <v>2000</v>
      </c>
      <c r="N929" s="5" t="s">
        <v>171</v>
      </c>
      <c r="O929" s="6" t="s">
        <v>81</v>
      </c>
      <c r="P929" s="6" t="s">
        <v>186</v>
      </c>
      <c r="Q929" s="6"/>
      <c r="R929" s="6"/>
      <c r="S929" s="6">
        <v>45</v>
      </c>
      <c r="T929" s="6">
        <v>17.7</v>
      </c>
      <c r="U929" s="6">
        <v>1853</v>
      </c>
      <c r="V929" s="6">
        <v>45.68</v>
      </c>
      <c r="W929" s="6">
        <v>0</v>
      </c>
      <c r="X929" s="6">
        <v>0</v>
      </c>
      <c r="Y929" s="6">
        <v>1079</v>
      </c>
      <c r="Z929" s="6">
        <v>672</v>
      </c>
      <c r="AA929" s="6">
        <v>94</v>
      </c>
      <c r="AB929" s="6">
        <v>8</v>
      </c>
      <c r="AC929" s="7">
        <v>61</v>
      </c>
      <c r="AD929" s="7" t="s">
        <v>52</v>
      </c>
      <c r="AE929" s="9">
        <v>24.6446804446574</v>
      </c>
      <c r="AF929" s="7">
        <v>513</v>
      </c>
      <c r="AG929" s="7">
        <v>30.75</v>
      </c>
      <c r="AH929" s="9">
        <v>27.624720252330501</v>
      </c>
      <c r="AI929" s="9">
        <v>31.988685241654</v>
      </c>
      <c r="AJ929" s="9">
        <v>360.11329388625097</v>
      </c>
      <c r="AK929" s="9">
        <v>361.41744437769</v>
      </c>
      <c r="AL929" s="9">
        <v>416.55685157543599</v>
      </c>
      <c r="AM929" s="9" t="s">
        <v>169</v>
      </c>
      <c r="AN929" s="9" t="s">
        <v>169</v>
      </c>
      <c r="AO929" s="9" t="s">
        <v>169</v>
      </c>
      <c r="AP929" s="9" t="s">
        <v>169</v>
      </c>
      <c r="AQ929" s="9" t="s">
        <v>169</v>
      </c>
      <c r="AR929" s="9" t="s">
        <v>169</v>
      </c>
      <c r="AS929" s="8" t="s">
        <v>169</v>
      </c>
      <c r="AT929" s="8" t="s">
        <v>169</v>
      </c>
      <c r="AU929" s="10" t="s">
        <v>169</v>
      </c>
      <c r="AV929" s="10">
        <v>0</v>
      </c>
      <c r="AW929" s="10" t="s">
        <v>169</v>
      </c>
      <c r="AX929" s="10" t="s">
        <v>169</v>
      </c>
      <c r="AY929" s="10"/>
      <c r="AZ929" s="10"/>
      <c r="BA929" s="10"/>
      <c r="BB929" s="8"/>
      <c r="BC929" s="8"/>
      <c r="BD929" s="8"/>
      <c r="BE929" s="8"/>
      <c r="BF929" s="12">
        <v>0.38</v>
      </c>
      <c r="BG929" s="13">
        <v>275.69120960100901</v>
      </c>
      <c r="BH929" s="96" t="str">
        <f>+VLOOKUP(G929,Liste!$A$7:$G$50,3,FALSE)</f>
        <v>Sapin pectiné</v>
      </c>
      <c r="BI929" s="96" t="str">
        <f>+VLOOKUP(H929,Liste!$B$7:$G$50,5,FALSE)</f>
        <v>GS Arc Jurassien</v>
      </c>
      <c r="BJ929" s="135">
        <f t="shared" si="282"/>
        <v>61</v>
      </c>
      <c r="BK929" s="135" t="str">
        <f t="shared" si="284"/>
        <v>Sapin pectiné_F1_Cas général_GS Arc Jurassien_61_</v>
      </c>
      <c r="BL929" s="322"/>
      <c r="BM929" s="13">
        <v>70.4226886421974</v>
      </c>
      <c r="BN929" s="13">
        <v>346.11389824320702</v>
      </c>
      <c r="BO929" s="13" t="s">
        <v>169</v>
      </c>
      <c r="BP929" s="13">
        <v>307.55958661145604</v>
      </c>
      <c r="BQ929" s="13" t="s">
        <v>169</v>
      </c>
      <c r="BT929" s="298" t="str">
        <f>+VLOOKUP(G929,Liste!$A$7:$H$50,8,FALSE)</f>
        <v>Résineux</v>
      </c>
      <c r="BU929" s="298">
        <f t="shared" si="285"/>
        <v>0</v>
      </c>
      <c r="BV929" s="300">
        <f t="shared" si="286"/>
        <v>1</v>
      </c>
      <c r="BW929" s="321">
        <v>0</v>
      </c>
      <c r="BX929" s="298">
        <f t="shared" si="287"/>
        <v>0.43</v>
      </c>
      <c r="BY929">
        <f t="shared" si="288"/>
        <v>0</v>
      </c>
      <c r="BZ929" s="304">
        <f t="shared" si="289"/>
        <v>0</v>
      </c>
      <c r="CB929" s="299">
        <v>0.6</v>
      </c>
      <c r="CC929" s="299">
        <v>0.4</v>
      </c>
      <c r="CD929">
        <f t="shared" si="290"/>
        <v>0</v>
      </c>
      <c r="CE929">
        <f t="shared" si="291"/>
        <v>0</v>
      </c>
      <c r="CF929">
        <f t="shared" si="292"/>
        <v>0</v>
      </c>
      <c r="CG929">
        <f t="shared" si="293"/>
        <v>0</v>
      </c>
      <c r="CH929">
        <f t="shared" si="294"/>
        <v>0</v>
      </c>
      <c r="CI929">
        <f t="shared" si="295"/>
        <v>0</v>
      </c>
      <c r="CJ929">
        <f t="shared" si="296"/>
        <v>0</v>
      </c>
      <c r="CK929">
        <f t="shared" si="297"/>
        <v>0</v>
      </c>
      <c r="CL929">
        <f t="shared" si="298"/>
        <v>0</v>
      </c>
      <c r="CM929">
        <f t="shared" si="300"/>
        <v>0</v>
      </c>
      <c r="CN929">
        <f t="shared" si="299"/>
        <v>0</v>
      </c>
      <c r="CO929">
        <f t="shared" si="283"/>
        <v>0</v>
      </c>
    </row>
    <row r="930" spans="1:93" s="12" customFormat="1" x14ac:dyDescent="0.25">
      <c r="A930" s="4">
        <v>2013</v>
      </c>
      <c r="B930" s="318">
        <v>44265</v>
      </c>
      <c r="C930" s="4" t="s">
        <v>430</v>
      </c>
      <c r="D930" s="4" t="s">
        <v>431</v>
      </c>
      <c r="E930" s="4"/>
      <c r="F930" s="4" t="s">
        <v>1493</v>
      </c>
      <c r="G930" s="5" t="s">
        <v>432</v>
      </c>
      <c r="H930" s="5" t="s">
        <v>185</v>
      </c>
      <c r="I930" s="5" t="s">
        <v>222</v>
      </c>
      <c r="J930" s="5" t="s">
        <v>9</v>
      </c>
      <c r="K930" s="5">
        <v>20</v>
      </c>
      <c r="L930" s="5" t="s">
        <v>190</v>
      </c>
      <c r="M930" s="5">
        <v>2000</v>
      </c>
      <c r="N930" s="5" t="s">
        <v>171</v>
      </c>
      <c r="O930" s="6" t="s">
        <v>81</v>
      </c>
      <c r="P930" s="6" t="s">
        <v>186</v>
      </c>
      <c r="Q930" s="6"/>
      <c r="R930" s="6"/>
      <c r="S930" s="6">
        <v>45</v>
      </c>
      <c r="T930" s="6">
        <v>17.7</v>
      </c>
      <c r="U930" s="6">
        <v>1853</v>
      </c>
      <c r="V930" s="6">
        <v>45.68</v>
      </c>
      <c r="W930" s="6">
        <v>0</v>
      </c>
      <c r="X930" s="6">
        <v>0</v>
      </c>
      <c r="Y930" s="6">
        <v>1079</v>
      </c>
      <c r="Z930" s="6">
        <v>672</v>
      </c>
      <c r="AA930" s="6">
        <v>94</v>
      </c>
      <c r="AB930" s="6">
        <v>8</v>
      </c>
      <c r="AC930" s="7">
        <v>62</v>
      </c>
      <c r="AD930" s="7" t="s">
        <v>52</v>
      </c>
      <c r="AE930" s="9">
        <v>25.012150292465499</v>
      </c>
      <c r="AF930" s="7">
        <v>513</v>
      </c>
      <c r="AG930" s="7">
        <v>31.94</v>
      </c>
      <c r="AH930" s="9">
        <v>28.1539533550595</v>
      </c>
      <c r="AI930" s="9">
        <v>32.589192677329102</v>
      </c>
      <c r="AJ930" s="9">
        <v>380.141474671217</v>
      </c>
      <c r="AK930" s="9">
        <v>381.520602584183</v>
      </c>
      <c r="AL930" s="9">
        <v>438.36622758303201</v>
      </c>
      <c r="AM930" s="9" t="s">
        <v>169</v>
      </c>
      <c r="AN930" s="9" t="s">
        <v>169</v>
      </c>
      <c r="AO930" s="9" t="s">
        <v>169</v>
      </c>
      <c r="AP930" s="9" t="s">
        <v>169</v>
      </c>
      <c r="AQ930" s="9" t="s">
        <v>169</v>
      </c>
      <c r="AR930" s="9" t="s">
        <v>169</v>
      </c>
      <c r="AS930" s="8" t="s">
        <v>169</v>
      </c>
      <c r="AT930" s="8" t="s">
        <v>169</v>
      </c>
      <c r="AU930" s="10" t="s">
        <v>169</v>
      </c>
      <c r="AV930" s="10">
        <v>0</v>
      </c>
      <c r="AW930" s="10" t="s">
        <v>169</v>
      </c>
      <c r="AX930" s="10" t="s">
        <v>169</v>
      </c>
      <c r="AY930" s="10"/>
      <c r="AZ930" s="10"/>
      <c r="BA930" s="10"/>
      <c r="BB930" s="8"/>
      <c r="BC930" s="8"/>
      <c r="BD930" s="8"/>
      <c r="BE930" s="8"/>
      <c r="BF930" s="12">
        <v>0.38</v>
      </c>
      <c r="BG930" s="13">
        <v>290.12538162203703</v>
      </c>
      <c r="BH930" s="96" t="str">
        <f>+VLOOKUP(G930,Liste!$A$7:$G$50,3,FALSE)</f>
        <v>Sapin pectiné</v>
      </c>
      <c r="BI930" s="96" t="str">
        <f>+VLOOKUP(H930,Liste!$B$7:$G$50,5,FALSE)</f>
        <v>GS Arc Jurassien</v>
      </c>
      <c r="BJ930" s="135">
        <f t="shared" si="282"/>
        <v>62</v>
      </c>
      <c r="BK930" s="135" t="str">
        <f t="shared" si="284"/>
        <v>Sapin pectiné_F1_Cas général_GS Arc Jurassien_62_</v>
      </c>
      <c r="BL930" s="322"/>
      <c r="BM930" s="13">
        <v>73.683203989935194</v>
      </c>
      <c r="BN930" s="13">
        <v>363.80858561197198</v>
      </c>
      <c r="BO930" s="13" t="s">
        <v>169</v>
      </c>
      <c r="BP930" s="13">
        <v>307.55958661145604</v>
      </c>
      <c r="BQ930" s="13" t="s">
        <v>169</v>
      </c>
      <c r="BT930" s="298" t="str">
        <f>+VLOOKUP(G930,Liste!$A$7:$H$50,8,FALSE)</f>
        <v>Résineux</v>
      </c>
      <c r="BU930" s="298">
        <f t="shared" si="285"/>
        <v>0</v>
      </c>
      <c r="BV930" s="300">
        <f t="shared" si="286"/>
        <v>1</v>
      </c>
      <c r="BW930" s="321">
        <v>0</v>
      </c>
      <c r="BX930" s="298">
        <f t="shared" si="287"/>
        <v>0.43</v>
      </c>
      <c r="BY930">
        <f t="shared" si="288"/>
        <v>0</v>
      </c>
      <c r="BZ930" s="304">
        <f t="shared" si="289"/>
        <v>0</v>
      </c>
      <c r="CB930" s="299">
        <v>0.6</v>
      </c>
      <c r="CC930" s="299">
        <v>0.4</v>
      </c>
      <c r="CD930">
        <f t="shared" si="290"/>
        <v>0</v>
      </c>
      <c r="CE930">
        <f t="shared" si="291"/>
        <v>0</v>
      </c>
      <c r="CF930">
        <f t="shared" si="292"/>
        <v>0</v>
      </c>
      <c r="CG930">
        <f t="shared" si="293"/>
        <v>0</v>
      </c>
      <c r="CH930">
        <f t="shared" si="294"/>
        <v>0</v>
      </c>
      <c r="CI930">
        <f t="shared" si="295"/>
        <v>0</v>
      </c>
      <c r="CJ930">
        <f t="shared" si="296"/>
        <v>0</v>
      </c>
      <c r="CK930">
        <f t="shared" si="297"/>
        <v>0</v>
      </c>
      <c r="CL930">
        <f t="shared" si="298"/>
        <v>0</v>
      </c>
      <c r="CM930">
        <f t="shared" si="300"/>
        <v>0</v>
      </c>
      <c r="CN930">
        <f t="shared" si="299"/>
        <v>0</v>
      </c>
      <c r="CO930">
        <f t="shared" si="283"/>
        <v>0</v>
      </c>
    </row>
    <row r="931" spans="1:93" s="12" customFormat="1" x14ac:dyDescent="0.25">
      <c r="A931" s="4">
        <v>2013</v>
      </c>
      <c r="B931" s="318">
        <v>44265</v>
      </c>
      <c r="C931" s="4" t="s">
        <v>430</v>
      </c>
      <c r="D931" s="4" t="s">
        <v>431</v>
      </c>
      <c r="E931" s="4"/>
      <c r="F931" s="4" t="s">
        <v>1493</v>
      </c>
      <c r="G931" s="5" t="s">
        <v>432</v>
      </c>
      <c r="H931" s="5" t="s">
        <v>185</v>
      </c>
      <c r="I931" s="5" t="s">
        <v>222</v>
      </c>
      <c r="J931" s="5" t="s">
        <v>9</v>
      </c>
      <c r="K931" s="5">
        <v>20</v>
      </c>
      <c r="L931" s="5" t="s">
        <v>190</v>
      </c>
      <c r="M931" s="5">
        <v>2000</v>
      </c>
      <c r="N931" s="5" t="s">
        <v>171</v>
      </c>
      <c r="O931" s="6" t="s">
        <v>81</v>
      </c>
      <c r="P931" s="6" t="s">
        <v>186</v>
      </c>
      <c r="Q931" s="6"/>
      <c r="R931" s="6"/>
      <c r="S931" s="6">
        <v>45</v>
      </c>
      <c r="T931" s="6">
        <v>17.7</v>
      </c>
      <c r="U931" s="6">
        <v>1853</v>
      </c>
      <c r="V931" s="6">
        <v>45.68</v>
      </c>
      <c r="W931" s="6">
        <v>0</v>
      </c>
      <c r="X931" s="6">
        <v>0</v>
      </c>
      <c r="Y931" s="6">
        <v>1079</v>
      </c>
      <c r="Z931" s="6">
        <v>672</v>
      </c>
      <c r="AA931" s="6">
        <v>94</v>
      </c>
      <c r="AB931" s="6">
        <v>8</v>
      </c>
      <c r="AC931" s="7">
        <v>63</v>
      </c>
      <c r="AD931" s="7" t="s">
        <v>52</v>
      </c>
      <c r="AE931" s="9">
        <v>25.372670491208599</v>
      </c>
      <c r="AF931" s="7">
        <v>513</v>
      </c>
      <c r="AG931" s="7">
        <v>33.11</v>
      </c>
      <c r="AH931" s="9">
        <v>28.668098492302601</v>
      </c>
      <c r="AI931" s="9">
        <v>33.170657227691798</v>
      </c>
      <c r="AJ931" s="9">
        <v>400.16965545618302</v>
      </c>
      <c r="AK931" s="9">
        <v>401.62376079067502</v>
      </c>
      <c r="AL931" s="9">
        <v>460.17560359062901</v>
      </c>
      <c r="AM931" s="9">
        <v>70.897208127366596</v>
      </c>
      <c r="AN931" s="9">
        <v>1.1253525099582</v>
      </c>
      <c r="AO931" s="9">
        <v>1.1450954411462599</v>
      </c>
      <c r="AP931" s="9">
        <v>870.60138286224901</v>
      </c>
      <c r="AQ931" s="9">
        <v>13.819069569242</v>
      </c>
      <c r="AR931" s="9">
        <v>22.125289824407599</v>
      </c>
      <c r="AS931" s="8" t="s">
        <v>169</v>
      </c>
      <c r="AT931" s="8" t="s">
        <v>169</v>
      </c>
      <c r="AU931" s="10" t="s">
        <v>169</v>
      </c>
      <c r="AV931" s="10">
        <v>0</v>
      </c>
      <c r="AW931" s="10" t="s">
        <v>169</v>
      </c>
      <c r="AX931" s="10" t="s">
        <v>169</v>
      </c>
      <c r="AY931" s="10"/>
      <c r="AZ931" s="10"/>
      <c r="BA931" s="10"/>
      <c r="BB931" s="8"/>
      <c r="BC931" s="8"/>
      <c r="BD931" s="8"/>
      <c r="BE931" s="8"/>
      <c r="BF931" s="12">
        <v>0.38</v>
      </c>
      <c r="BG931" s="13">
        <v>304.55955364306499</v>
      </c>
      <c r="BH931" s="96" t="str">
        <f>+VLOOKUP(G931,Liste!$A$7:$G$50,3,FALSE)</f>
        <v>Sapin pectiné</v>
      </c>
      <c r="BI931" s="96" t="str">
        <f>+VLOOKUP(H931,Liste!$B$7:$G$50,5,FALSE)</f>
        <v>GS Arc Jurassien</v>
      </c>
      <c r="BJ931" s="135">
        <f t="shared" si="282"/>
        <v>63</v>
      </c>
      <c r="BK931" s="135" t="str">
        <f t="shared" si="284"/>
        <v>Sapin pectiné_F1_Cas général_GS Arc Jurassien_63_</v>
      </c>
      <c r="BL931" s="322"/>
      <c r="BM931" s="13">
        <v>76.943719337673002</v>
      </c>
      <c r="BN931" s="13">
        <v>381.50327298073802</v>
      </c>
      <c r="BO931" s="13" t="s">
        <v>169</v>
      </c>
      <c r="BP931" s="13">
        <v>307.55958661145604</v>
      </c>
      <c r="BQ931" s="13">
        <v>17.660977177126099</v>
      </c>
      <c r="BT931" s="298" t="str">
        <f>+VLOOKUP(G931,Liste!$A$7:$H$50,8,FALSE)</f>
        <v>Résineux</v>
      </c>
      <c r="BU931" s="298">
        <f t="shared" si="285"/>
        <v>0</v>
      </c>
      <c r="BV931" s="300">
        <f t="shared" si="286"/>
        <v>1</v>
      </c>
      <c r="BW931" s="321">
        <v>0</v>
      </c>
      <c r="BX931" s="298">
        <f t="shared" si="287"/>
        <v>0.43</v>
      </c>
      <c r="BY931">
        <f t="shared" si="288"/>
        <v>0</v>
      </c>
      <c r="BZ931" s="304">
        <f t="shared" si="289"/>
        <v>0</v>
      </c>
      <c r="CB931" s="299">
        <v>0.6</v>
      </c>
      <c r="CC931" s="299">
        <v>0.4</v>
      </c>
      <c r="CD931">
        <f t="shared" si="290"/>
        <v>0</v>
      </c>
      <c r="CE931">
        <f t="shared" si="291"/>
        <v>0</v>
      </c>
      <c r="CF931">
        <f t="shared" si="292"/>
        <v>0</v>
      </c>
      <c r="CG931">
        <f t="shared" si="293"/>
        <v>0</v>
      </c>
      <c r="CH931">
        <f t="shared" si="294"/>
        <v>0</v>
      </c>
      <c r="CI931">
        <f t="shared" si="295"/>
        <v>0</v>
      </c>
      <c r="CJ931">
        <f t="shared" si="296"/>
        <v>0</v>
      </c>
      <c r="CK931">
        <f t="shared" si="297"/>
        <v>0</v>
      </c>
      <c r="CL931">
        <f t="shared" si="298"/>
        <v>0</v>
      </c>
      <c r="CM931">
        <f t="shared" si="300"/>
        <v>0</v>
      </c>
      <c r="CN931">
        <f t="shared" si="299"/>
        <v>0</v>
      </c>
      <c r="CO931">
        <f t="shared" si="283"/>
        <v>0</v>
      </c>
    </row>
    <row r="932" spans="1:93" s="12" customFormat="1" x14ac:dyDescent="0.25">
      <c r="A932" s="4">
        <v>2013</v>
      </c>
      <c r="B932" s="318">
        <v>44265</v>
      </c>
      <c r="C932" s="4" t="s">
        <v>430</v>
      </c>
      <c r="D932" s="4" t="s">
        <v>431</v>
      </c>
      <c r="E932" s="4"/>
      <c r="F932" s="4" t="s">
        <v>1493</v>
      </c>
      <c r="G932" s="5" t="s">
        <v>432</v>
      </c>
      <c r="H932" s="5" t="s">
        <v>185</v>
      </c>
      <c r="I932" s="5" t="s">
        <v>222</v>
      </c>
      <c r="J932" s="5" t="s">
        <v>9</v>
      </c>
      <c r="K932" s="5">
        <v>20</v>
      </c>
      <c r="L932" s="5" t="s">
        <v>190</v>
      </c>
      <c r="M932" s="5">
        <v>2000</v>
      </c>
      <c r="N932" s="5" t="s">
        <v>171</v>
      </c>
      <c r="O932" s="6" t="s">
        <v>81</v>
      </c>
      <c r="P932" s="6" t="s">
        <v>186</v>
      </c>
      <c r="Q932" s="6"/>
      <c r="R932" s="6"/>
      <c r="S932" s="6">
        <v>45</v>
      </c>
      <c r="T932" s="6">
        <v>17.7</v>
      </c>
      <c r="U932" s="6">
        <v>1853</v>
      </c>
      <c r="V932" s="6">
        <v>45.68</v>
      </c>
      <c r="W932" s="6">
        <v>0</v>
      </c>
      <c r="X932" s="6">
        <v>0</v>
      </c>
      <c r="Y932" s="6">
        <v>1079</v>
      </c>
      <c r="Z932" s="6">
        <v>672</v>
      </c>
      <c r="AA932" s="6">
        <v>94</v>
      </c>
      <c r="AB932" s="6">
        <v>8</v>
      </c>
      <c r="AC932" s="7">
        <v>64</v>
      </c>
      <c r="AD932" s="7" t="s">
        <v>52</v>
      </c>
      <c r="AE932" s="9">
        <v>25.726388384387999</v>
      </c>
      <c r="AF932" s="7">
        <v>513</v>
      </c>
      <c r="AG932" s="7">
        <v>34.28</v>
      </c>
      <c r="AH932" s="9">
        <v>29.167830181394699</v>
      </c>
      <c r="AI932" s="9">
        <v>33.734059525548503</v>
      </c>
      <c r="AJ932" s="9">
        <v>420.72766587972302</v>
      </c>
      <c r="AK932" s="9">
        <v>422.25046470776903</v>
      </c>
      <c r="AL932" s="9">
        <v>482.30089341503702</v>
      </c>
      <c r="AM932" s="9" t="s">
        <v>169</v>
      </c>
      <c r="AN932" s="9" t="s">
        <v>169</v>
      </c>
      <c r="AO932" s="9" t="s">
        <v>169</v>
      </c>
      <c r="AP932" s="9" t="s">
        <v>169</v>
      </c>
      <c r="AQ932" s="9" t="s">
        <v>169</v>
      </c>
      <c r="AR932" s="9" t="s">
        <v>169</v>
      </c>
      <c r="AS932" s="8" t="s">
        <v>169</v>
      </c>
      <c r="AT932" s="8" t="s">
        <v>169</v>
      </c>
      <c r="AU932" s="10" t="s">
        <v>169</v>
      </c>
      <c r="AV932" s="10">
        <v>0</v>
      </c>
      <c r="AW932" s="10" t="s">
        <v>169</v>
      </c>
      <c r="AX932" s="10" t="s">
        <v>169</v>
      </c>
      <c r="AY932" s="10"/>
      <c r="AZ932" s="10"/>
      <c r="BA932" s="10"/>
      <c r="BB932" s="8"/>
      <c r="BC932" s="8"/>
      <c r="BD932" s="8"/>
      <c r="BE932" s="8"/>
      <c r="BF932" s="12">
        <v>0.38</v>
      </c>
      <c r="BG932" s="13">
        <v>319.20280795851897</v>
      </c>
      <c r="BH932" s="96" t="str">
        <f>+VLOOKUP(G932,Liste!$A$7:$G$50,3,FALSE)</f>
        <v>Sapin pectiné</v>
      </c>
      <c r="BI932" s="96" t="str">
        <f>+VLOOKUP(H932,Liste!$B$7:$G$50,5,FALSE)</f>
        <v>GS Arc Jurassien</v>
      </c>
      <c r="BJ932" s="135">
        <f t="shared" si="282"/>
        <v>64</v>
      </c>
      <c r="BK932" s="135" t="str">
        <f t="shared" si="284"/>
        <v>Sapin pectiné_F1_Cas général_GS Arc Jurassien_64_</v>
      </c>
      <c r="BL932" s="322"/>
      <c r="BM932" s="13">
        <v>80.178355865862599</v>
      </c>
      <c r="BN932" s="13">
        <v>399.38116382438102</v>
      </c>
      <c r="BO932" s="13" t="s">
        <v>169</v>
      </c>
      <c r="BP932" s="13">
        <v>307.55958661145604</v>
      </c>
      <c r="BQ932" s="13" t="s">
        <v>169</v>
      </c>
      <c r="BT932" s="298" t="str">
        <f>+VLOOKUP(G932,Liste!$A$7:$H$50,8,FALSE)</f>
        <v>Résineux</v>
      </c>
      <c r="BU932" s="298">
        <f t="shared" si="285"/>
        <v>0</v>
      </c>
      <c r="BV932" s="300">
        <f t="shared" si="286"/>
        <v>1</v>
      </c>
      <c r="BW932" s="321">
        <v>0</v>
      </c>
      <c r="BX932" s="298">
        <f t="shared" si="287"/>
        <v>0.43</v>
      </c>
      <c r="BY932">
        <f t="shared" si="288"/>
        <v>0</v>
      </c>
      <c r="BZ932" s="304">
        <f t="shared" si="289"/>
        <v>0</v>
      </c>
      <c r="CB932" s="299">
        <v>0.6</v>
      </c>
      <c r="CC932" s="299">
        <v>0.4</v>
      </c>
      <c r="CD932">
        <f t="shared" si="290"/>
        <v>0</v>
      </c>
      <c r="CE932">
        <f t="shared" si="291"/>
        <v>0</v>
      </c>
      <c r="CF932">
        <f t="shared" si="292"/>
        <v>0</v>
      </c>
      <c r="CG932">
        <f t="shared" si="293"/>
        <v>0</v>
      </c>
      <c r="CH932">
        <f t="shared" si="294"/>
        <v>0</v>
      </c>
      <c r="CI932">
        <f t="shared" si="295"/>
        <v>0</v>
      </c>
      <c r="CJ932">
        <f t="shared" si="296"/>
        <v>0</v>
      </c>
      <c r="CK932">
        <f t="shared" si="297"/>
        <v>0</v>
      </c>
      <c r="CL932">
        <f t="shared" si="298"/>
        <v>0</v>
      </c>
      <c r="CM932">
        <f t="shared" si="300"/>
        <v>0</v>
      </c>
      <c r="CN932">
        <f t="shared" si="299"/>
        <v>0</v>
      </c>
      <c r="CO932">
        <f t="shared" si="283"/>
        <v>0</v>
      </c>
    </row>
    <row r="933" spans="1:93" s="12" customFormat="1" x14ac:dyDescent="0.25">
      <c r="A933" s="4">
        <v>2013</v>
      </c>
      <c r="B933" s="318">
        <v>44265</v>
      </c>
      <c r="C933" s="4" t="s">
        <v>430</v>
      </c>
      <c r="D933" s="4" t="s">
        <v>431</v>
      </c>
      <c r="E933" s="4"/>
      <c r="F933" s="4" t="s">
        <v>1493</v>
      </c>
      <c r="G933" s="5" t="s">
        <v>432</v>
      </c>
      <c r="H933" s="5" t="s">
        <v>185</v>
      </c>
      <c r="I933" s="5" t="s">
        <v>222</v>
      </c>
      <c r="J933" s="5" t="s">
        <v>9</v>
      </c>
      <c r="K933" s="5">
        <v>20</v>
      </c>
      <c r="L933" s="5" t="s">
        <v>190</v>
      </c>
      <c r="M933" s="5">
        <v>2000</v>
      </c>
      <c r="N933" s="5" t="s">
        <v>171</v>
      </c>
      <c r="O933" s="6" t="s">
        <v>81</v>
      </c>
      <c r="P933" s="6" t="s">
        <v>186</v>
      </c>
      <c r="Q933" s="6"/>
      <c r="R933" s="6"/>
      <c r="S933" s="6">
        <v>45</v>
      </c>
      <c r="T933" s="6">
        <v>17.7</v>
      </c>
      <c r="U933" s="6">
        <v>1853</v>
      </c>
      <c r="V933" s="6">
        <v>45.68</v>
      </c>
      <c r="W933" s="6">
        <v>0</v>
      </c>
      <c r="X933" s="6">
        <v>0</v>
      </c>
      <c r="Y933" s="6">
        <v>1079</v>
      </c>
      <c r="Z933" s="6">
        <v>672</v>
      </c>
      <c r="AA933" s="6">
        <v>94</v>
      </c>
      <c r="AB933" s="6">
        <v>8</v>
      </c>
      <c r="AC933" s="7">
        <v>65</v>
      </c>
      <c r="AD933" s="7" t="s">
        <v>52</v>
      </c>
      <c r="AE933" s="9">
        <v>26.073450255214301</v>
      </c>
      <c r="AF933" s="7">
        <v>513</v>
      </c>
      <c r="AG933" s="7">
        <v>35.43</v>
      </c>
      <c r="AH933" s="9">
        <v>29.653777741974601</v>
      </c>
      <c r="AI933" s="9">
        <v>34.280305483026702</v>
      </c>
      <c r="AJ933" s="9">
        <v>441.28567630326199</v>
      </c>
      <c r="AK933" s="9">
        <v>442.87716862486297</v>
      </c>
      <c r="AL933" s="9">
        <v>504.42618323944498</v>
      </c>
      <c r="AM933" s="9" t="s">
        <v>169</v>
      </c>
      <c r="AN933" s="9" t="s">
        <v>169</v>
      </c>
      <c r="AO933" s="9" t="s">
        <v>169</v>
      </c>
      <c r="AP933" s="9" t="s">
        <v>169</v>
      </c>
      <c r="AQ933" s="9" t="s">
        <v>169</v>
      </c>
      <c r="AR933" s="9" t="s">
        <v>169</v>
      </c>
      <c r="AS933" s="8" t="s">
        <v>169</v>
      </c>
      <c r="AT933" s="8" t="s">
        <v>169</v>
      </c>
      <c r="AU933" s="10" t="s">
        <v>169</v>
      </c>
      <c r="AV933" s="10">
        <v>0</v>
      </c>
      <c r="AW933" s="10" t="s">
        <v>169</v>
      </c>
      <c r="AX933" s="10" t="s">
        <v>169</v>
      </c>
      <c r="AY933" s="10"/>
      <c r="AZ933" s="10"/>
      <c r="BA933" s="10"/>
      <c r="BB933" s="8"/>
      <c r="BC933" s="8"/>
      <c r="BD933" s="8"/>
      <c r="BE933" s="8"/>
      <c r="BF933" s="12">
        <v>0.38</v>
      </c>
      <c r="BG933" s="13">
        <v>333.846062273972</v>
      </c>
      <c r="BH933" s="96" t="str">
        <f>+VLOOKUP(G933,Liste!$A$7:$G$50,3,FALSE)</f>
        <v>Sapin pectiné</v>
      </c>
      <c r="BI933" s="96" t="str">
        <f>+VLOOKUP(H933,Liste!$B$7:$G$50,5,FALSE)</f>
        <v>GS Arc Jurassien</v>
      </c>
      <c r="BJ933" s="135">
        <f t="shared" si="282"/>
        <v>65</v>
      </c>
      <c r="BK933" s="135" t="str">
        <f t="shared" si="284"/>
        <v>Sapin pectiné_F1_Cas général_GS Arc Jurassien_65_</v>
      </c>
      <c r="BL933" s="322"/>
      <c r="BM933" s="13">
        <v>83.412992394052296</v>
      </c>
      <c r="BN933" s="13">
        <v>417.25905466802499</v>
      </c>
      <c r="BO933" s="13" t="s">
        <v>169</v>
      </c>
      <c r="BP933" s="13">
        <v>307.55958661145604</v>
      </c>
      <c r="BQ933" s="13" t="s">
        <v>169</v>
      </c>
      <c r="BT933" s="298" t="str">
        <f>+VLOOKUP(G933,Liste!$A$7:$H$50,8,FALSE)</f>
        <v>Résineux</v>
      </c>
      <c r="BU933" s="298">
        <f t="shared" si="285"/>
        <v>0</v>
      </c>
      <c r="BV933" s="300">
        <f t="shared" si="286"/>
        <v>1</v>
      </c>
      <c r="BW933" s="321">
        <v>0</v>
      </c>
      <c r="BX933" s="298">
        <f t="shared" si="287"/>
        <v>0.43</v>
      </c>
      <c r="BY933">
        <f t="shared" si="288"/>
        <v>0</v>
      </c>
      <c r="BZ933" s="304">
        <f t="shared" si="289"/>
        <v>0</v>
      </c>
      <c r="CB933" s="299">
        <v>0.6</v>
      </c>
      <c r="CC933" s="299">
        <v>0.4</v>
      </c>
      <c r="CD933">
        <f t="shared" si="290"/>
        <v>0</v>
      </c>
      <c r="CE933">
        <f t="shared" si="291"/>
        <v>0</v>
      </c>
      <c r="CF933">
        <f t="shared" si="292"/>
        <v>0</v>
      </c>
      <c r="CG933">
        <f t="shared" si="293"/>
        <v>0</v>
      </c>
      <c r="CH933">
        <f t="shared" si="294"/>
        <v>0</v>
      </c>
      <c r="CI933">
        <f t="shared" si="295"/>
        <v>0</v>
      </c>
      <c r="CJ933">
        <f t="shared" si="296"/>
        <v>0</v>
      </c>
      <c r="CK933">
        <f t="shared" si="297"/>
        <v>0</v>
      </c>
      <c r="CL933">
        <f t="shared" si="298"/>
        <v>0</v>
      </c>
      <c r="CM933">
        <f t="shared" si="300"/>
        <v>0</v>
      </c>
      <c r="CN933">
        <f t="shared" si="299"/>
        <v>0</v>
      </c>
      <c r="CO933">
        <f t="shared" si="283"/>
        <v>0</v>
      </c>
    </row>
    <row r="934" spans="1:93" s="12" customFormat="1" x14ac:dyDescent="0.25">
      <c r="A934" s="4">
        <v>2013</v>
      </c>
      <c r="B934" s="318">
        <v>44265</v>
      </c>
      <c r="C934" s="4" t="s">
        <v>430</v>
      </c>
      <c r="D934" s="4" t="s">
        <v>431</v>
      </c>
      <c r="E934" s="4"/>
      <c r="F934" s="4" t="s">
        <v>1493</v>
      </c>
      <c r="G934" s="5" t="s">
        <v>432</v>
      </c>
      <c r="H934" s="5" t="s">
        <v>185</v>
      </c>
      <c r="I934" s="5" t="s">
        <v>222</v>
      </c>
      <c r="J934" s="5" t="s">
        <v>9</v>
      </c>
      <c r="K934" s="5">
        <v>20</v>
      </c>
      <c r="L934" s="5" t="s">
        <v>190</v>
      </c>
      <c r="M934" s="5">
        <v>2000</v>
      </c>
      <c r="N934" s="5" t="s">
        <v>171</v>
      </c>
      <c r="O934" s="6" t="s">
        <v>81</v>
      </c>
      <c r="P934" s="6" t="s">
        <v>186</v>
      </c>
      <c r="Q934" s="6"/>
      <c r="R934" s="6"/>
      <c r="S934" s="6">
        <v>45</v>
      </c>
      <c r="T934" s="6">
        <v>17.7</v>
      </c>
      <c r="U934" s="6">
        <v>1853</v>
      </c>
      <c r="V934" s="6">
        <v>45.68</v>
      </c>
      <c r="W934" s="6">
        <v>0</v>
      </c>
      <c r="X934" s="6">
        <v>0</v>
      </c>
      <c r="Y934" s="6">
        <v>1079</v>
      </c>
      <c r="Z934" s="6">
        <v>672</v>
      </c>
      <c r="AA934" s="6">
        <v>94</v>
      </c>
      <c r="AB934" s="6">
        <v>8</v>
      </c>
      <c r="AC934" s="7">
        <v>66</v>
      </c>
      <c r="AD934" s="7" t="s">
        <v>52</v>
      </c>
      <c r="AE934" s="9">
        <v>26.414001004037299</v>
      </c>
      <c r="AF934" s="7">
        <v>513</v>
      </c>
      <c r="AG934" s="7">
        <v>36.57</v>
      </c>
      <c r="AH934" s="9">
        <v>30.1265304695577</v>
      </c>
      <c r="AI934" s="9">
        <v>34.810236529274</v>
      </c>
      <c r="AJ934" s="9">
        <v>461.84368672680199</v>
      </c>
      <c r="AK934" s="9">
        <v>463.50387254195698</v>
      </c>
      <c r="AL934" s="9">
        <v>526.55147306385197</v>
      </c>
      <c r="AM934" s="9" t="s">
        <v>169</v>
      </c>
      <c r="AN934" s="9" t="s">
        <v>169</v>
      </c>
      <c r="AO934" s="9" t="s">
        <v>169</v>
      </c>
      <c r="AP934" s="9" t="s">
        <v>169</v>
      </c>
      <c r="AQ934" s="9" t="s">
        <v>169</v>
      </c>
      <c r="AR934" s="9" t="s">
        <v>169</v>
      </c>
      <c r="AS934" s="8" t="s">
        <v>169</v>
      </c>
      <c r="AT934" s="8" t="s">
        <v>169</v>
      </c>
      <c r="AU934" s="10" t="s">
        <v>169</v>
      </c>
      <c r="AV934" s="10">
        <v>0</v>
      </c>
      <c r="AW934" s="10" t="s">
        <v>169</v>
      </c>
      <c r="AX934" s="10" t="s">
        <v>169</v>
      </c>
      <c r="AY934" s="10"/>
      <c r="AZ934" s="10"/>
      <c r="BA934" s="10"/>
      <c r="BB934" s="8"/>
      <c r="BC934" s="8"/>
      <c r="BD934" s="8"/>
      <c r="BE934" s="8"/>
      <c r="BF934" s="12">
        <v>0.38</v>
      </c>
      <c r="BG934" s="13">
        <v>348.48931658942598</v>
      </c>
      <c r="BH934" s="96" t="str">
        <f>+VLOOKUP(G934,Liste!$A$7:$G$50,3,FALSE)</f>
        <v>Sapin pectiné</v>
      </c>
      <c r="BI934" s="96" t="str">
        <f>+VLOOKUP(H934,Liste!$B$7:$G$50,5,FALSE)</f>
        <v>GS Arc Jurassien</v>
      </c>
      <c r="BJ934" s="135">
        <f t="shared" si="282"/>
        <v>66</v>
      </c>
      <c r="BK934" s="135" t="str">
        <f t="shared" si="284"/>
        <v>Sapin pectiné_F1_Cas général_GS Arc Jurassien_66_</v>
      </c>
      <c r="BL934" s="322"/>
      <c r="BM934" s="13">
        <v>86.647628922242006</v>
      </c>
      <c r="BN934" s="13">
        <v>435.13694551166799</v>
      </c>
      <c r="BO934" s="13" t="s">
        <v>169</v>
      </c>
      <c r="BP934" s="13">
        <v>307.55958661145604</v>
      </c>
      <c r="BQ934" s="13" t="s">
        <v>169</v>
      </c>
      <c r="BT934" s="298" t="str">
        <f>+VLOOKUP(G934,Liste!$A$7:$H$50,8,FALSE)</f>
        <v>Résineux</v>
      </c>
      <c r="BU934" s="298">
        <f t="shared" si="285"/>
        <v>0</v>
      </c>
      <c r="BV934" s="300">
        <f t="shared" si="286"/>
        <v>1</v>
      </c>
      <c r="BW934" s="321">
        <v>0</v>
      </c>
      <c r="BX934" s="298">
        <f t="shared" si="287"/>
        <v>0.43</v>
      </c>
      <c r="BY934">
        <f t="shared" si="288"/>
        <v>0</v>
      </c>
      <c r="BZ934" s="304">
        <f t="shared" si="289"/>
        <v>0</v>
      </c>
      <c r="CB934" s="299">
        <v>0.6</v>
      </c>
      <c r="CC934" s="299">
        <v>0.4</v>
      </c>
      <c r="CD934">
        <f t="shared" si="290"/>
        <v>0</v>
      </c>
      <c r="CE934">
        <f t="shared" si="291"/>
        <v>0</v>
      </c>
      <c r="CF934">
        <f t="shared" si="292"/>
        <v>0</v>
      </c>
      <c r="CG934">
        <f t="shared" si="293"/>
        <v>0</v>
      </c>
      <c r="CH934">
        <f t="shared" si="294"/>
        <v>0</v>
      </c>
      <c r="CI934">
        <f t="shared" si="295"/>
        <v>0</v>
      </c>
      <c r="CJ934">
        <f t="shared" si="296"/>
        <v>0</v>
      </c>
      <c r="CK934">
        <f t="shared" si="297"/>
        <v>0</v>
      </c>
      <c r="CL934">
        <f t="shared" si="298"/>
        <v>0</v>
      </c>
      <c r="CM934">
        <f t="shared" si="300"/>
        <v>0</v>
      </c>
      <c r="CN934">
        <f t="shared" si="299"/>
        <v>0</v>
      </c>
      <c r="CO934">
        <f t="shared" si="283"/>
        <v>0</v>
      </c>
    </row>
    <row r="935" spans="1:93" s="12" customFormat="1" x14ac:dyDescent="0.25">
      <c r="A935" s="4">
        <v>2013</v>
      </c>
      <c r="B935" s="318">
        <v>44265</v>
      </c>
      <c r="C935" s="4" t="s">
        <v>430</v>
      </c>
      <c r="D935" s="4" t="s">
        <v>431</v>
      </c>
      <c r="E935" s="4"/>
      <c r="F935" s="4" t="s">
        <v>1493</v>
      </c>
      <c r="G935" s="5" t="s">
        <v>432</v>
      </c>
      <c r="H935" s="5" t="s">
        <v>185</v>
      </c>
      <c r="I935" s="5" t="s">
        <v>222</v>
      </c>
      <c r="J935" s="5" t="s">
        <v>9</v>
      </c>
      <c r="K935" s="5">
        <v>20</v>
      </c>
      <c r="L935" s="5" t="s">
        <v>190</v>
      </c>
      <c r="M935" s="5">
        <v>2000</v>
      </c>
      <c r="N935" s="5" t="s">
        <v>171</v>
      </c>
      <c r="O935" s="6" t="s">
        <v>81</v>
      </c>
      <c r="P935" s="6" t="s">
        <v>186</v>
      </c>
      <c r="Q935" s="6"/>
      <c r="R935" s="6"/>
      <c r="S935" s="6">
        <v>45</v>
      </c>
      <c r="T935" s="6">
        <v>17.7</v>
      </c>
      <c r="U935" s="6">
        <v>1853</v>
      </c>
      <c r="V935" s="6">
        <v>45.68</v>
      </c>
      <c r="W935" s="6">
        <v>0</v>
      </c>
      <c r="X935" s="6">
        <v>0</v>
      </c>
      <c r="Y935" s="6">
        <v>1079</v>
      </c>
      <c r="Z935" s="6">
        <v>672</v>
      </c>
      <c r="AA935" s="6">
        <v>94</v>
      </c>
      <c r="AB935" s="6">
        <v>8</v>
      </c>
      <c r="AC935" s="7">
        <v>67</v>
      </c>
      <c r="AD935" s="7" t="s">
        <v>52</v>
      </c>
      <c r="AE935" s="9">
        <v>26.748183875682699</v>
      </c>
      <c r="AF935" s="7">
        <v>513</v>
      </c>
      <c r="AG935" s="7">
        <v>37.69</v>
      </c>
      <c r="AH935" s="9">
        <v>30.586640620950099</v>
      </c>
      <c r="AI935" s="9">
        <v>35.324633199062099</v>
      </c>
      <c r="AJ935" s="9">
        <v>482.40169715034102</v>
      </c>
      <c r="AK935" s="9">
        <v>484.13057645905099</v>
      </c>
      <c r="AL935" s="9">
        <v>548.67676288825999</v>
      </c>
      <c r="AM935" s="9">
        <v>75.477589891951595</v>
      </c>
      <c r="AN935" s="9">
        <v>1.1265311924171899</v>
      </c>
      <c r="AO935" s="9">
        <v>1.0175408851372501</v>
      </c>
      <c r="AP935" s="9">
        <v>959.10254215987902</v>
      </c>
      <c r="AQ935" s="9">
        <v>14.314963315819099</v>
      </c>
      <c r="AR935" s="9">
        <v>20.2801986376709</v>
      </c>
      <c r="AS935" s="8" t="s">
        <v>169</v>
      </c>
      <c r="AT935" s="8" t="s">
        <v>169</v>
      </c>
      <c r="AU935" s="10" t="s">
        <v>169</v>
      </c>
      <c r="AV935" s="10">
        <v>0</v>
      </c>
      <c r="AW935" s="10" t="s">
        <v>169</v>
      </c>
      <c r="AX935" s="10" t="s">
        <v>169</v>
      </c>
      <c r="AY935" s="10"/>
      <c r="AZ935" s="10"/>
      <c r="BA935" s="10"/>
      <c r="BB935" s="8"/>
      <c r="BC935" s="8"/>
      <c r="BD935" s="8"/>
      <c r="BE935" s="8"/>
      <c r="BF935" s="12">
        <v>0.38</v>
      </c>
      <c r="BG935" s="13">
        <v>363.13257090488003</v>
      </c>
      <c r="BH935" s="96" t="str">
        <f>+VLOOKUP(G935,Liste!$A$7:$G$50,3,FALSE)</f>
        <v>Sapin pectiné</v>
      </c>
      <c r="BI935" s="96" t="str">
        <f>+VLOOKUP(H935,Liste!$B$7:$G$50,5,FALSE)</f>
        <v>GS Arc Jurassien</v>
      </c>
      <c r="BJ935" s="135">
        <f t="shared" si="282"/>
        <v>67</v>
      </c>
      <c r="BK935" s="135" t="str">
        <f t="shared" si="284"/>
        <v>Sapin pectiné_F1_Cas général_GS Arc Jurassien_67_</v>
      </c>
      <c r="BL935" s="322"/>
      <c r="BM935" s="13">
        <v>89.882265450431603</v>
      </c>
      <c r="BN935" s="13">
        <v>453.01483635531201</v>
      </c>
      <c r="BO935" s="13" t="s">
        <v>169</v>
      </c>
      <c r="BP935" s="13">
        <v>307.55958661145604</v>
      </c>
      <c r="BQ935" s="13">
        <v>16.156576561363199</v>
      </c>
      <c r="BT935" s="298" t="str">
        <f>+VLOOKUP(G935,Liste!$A$7:$H$50,8,FALSE)</f>
        <v>Résineux</v>
      </c>
      <c r="BU935" s="298">
        <f t="shared" si="285"/>
        <v>0</v>
      </c>
      <c r="BV935" s="300">
        <f t="shared" si="286"/>
        <v>1</v>
      </c>
      <c r="BW935" s="321">
        <v>0</v>
      </c>
      <c r="BX935" s="298">
        <f t="shared" si="287"/>
        <v>0.43</v>
      </c>
      <c r="BY935">
        <f t="shared" si="288"/>
        <v>0</v>
      </c>
      <c r="BZ935" s="304">
        <f t="shared" si="289"/>
        <v>0</v>
      </c>
      <c r="CB935" s="299">
        <v>0.6</v>
      </c>
      <c r="CC935" s="299">
        <v>0.4</v>
      </c>
      <c r="CD935">
        <f t="shared" si="290"/>
        <v>0</v>
      </c>
      <c r="CE935">
        <f t="shared" si="291"/>
        <v>0</v>
      </c>
      <c r="CF935">
        <f t="shared" si="292"/>
        <v>0</v>
      </c>
      <c r="CG935">
        <f t="shared" si="293"/>
        <v>0</v>
      </c>
      <c r="CH935">
        <f t="shared" si="294"/>
        <v>0</v>
      </c>
      <c r="CI935">
        <f t="shared" si="295"/>
        <v>0</v>
      </c>
      <c r="CJ935">
        <f t="shared" si="296"/>
        <v>0</v>
      </c>
      <c r="CK935">
        <f t="shared" si="297"/>
        <v>0</v>
      </c>
      <c r="CL935">
        <f t="shared" si="298"/>
        <v>0</v>
      </c>
      <c r="CM935">
        <f t="shared" si="300"/>
        <v>0</v>
      </c>
      <c r="CN935">
        <f t="shared" si="299"/>
        <v>0</v>
      </c>
      <c r="CO935">
        <f t="shared" si="283"/>
        <v>0</v>
      </c>
    </row>
    <row r="936" spans="1:93" s="12" customFormat="1" x14ac:dyDescent="0.25">
      <c r="A936" s="4">
        <v>2013</v>
      </c>
      <c r="B936" s="318">
        <v>44265</v>
      </c>
      <c r="C936" s="4" t="s">
        <v>430</v>
      </c>
      <c r="D936" s="4" t="s">
        <v>431</v>
      </c>
      <c r="E936" s="4"/>
      <c r="F936" s="4" t="s">
        <v>1493</v>
      </c>
      <c r="G936" s="5" t="s">
        <v>432</v>
      </c>
      <c r="H936" s="5" t="s">
        <v>185</v>
      </c>
      <c r="I936" s="5" t="s">
        <v>222</v>
      </c>
      <c r="J936" s="5" t="s">
        <v>9</v>
      </c>
      <c r="K936" s="5">
        <v>20</v>
      </c>
      <c r="L936" s="5" t="s">
        <v>190</v>
      </c>
      <c r="M936" s="5">
        <v>2000</v>
      </c>
      <c r="N936" s="5" t="s">
        <v>171</v>
      </c>
      <c r="O936" s="6" t="s">
        <v>81</v>
      </c>
      <c r="P936" s="6" t="s">
        <v>186</v>
      </c>
      <c r="Q936" s="6"/>
      <c r="R936" s="6"/>
      <c r="S936" s="6">
        <v>45</v>
      </c>
      <c r="T936" s="6">
        <v>17.7</v>
      </c>
      <c r="U936" s="6">
        <v>1853</v>
      </c>
      <c r="V936" s="6">
        <v>45.68</v>
      </c>
      <c r="W936" s="6">
        <v>0</v>
      </c>
      <c r="X936" s="6">
        <v>0</v>
      </c>
      <c r="Y936" s="6">
        <v>1079</v>
      </c>
      <c r="Z936" s="6">
        <v>672</v>
      </c>
      <c r="AA936" s="6">
        <v>94</v>
      </c>
      <c r="AB936" s="6">
        <v>8</v>
      </c>
      <c r="AC936" s="7">
        <v>67</v>
      </c>
      <c r="AD936" s="7" t="s">
        <v>53</v>
      </c>
      <c r="AE936" s="9">
        <v>26.748183875682699</v>
      </c>
      <c r="AF936" s="7">
        <v>391</v>
      </c>
      <c r="AG936" s="7">
        <v>29.39</v>
      </c>
      <c r="AH936" s="9">
        <v>30.938139891110101</v>
      </c>
      <c r="AI936" s="9">
        <v>35.007677980047902</v>
      </c>
      <c r="AJ936" s="9">
        <v>377.13161956023998</v>
      </c>
      <c r="AK936" s="9">
        <v>378.51290820037701</v>
      </c>
      <c r="AL936" s="9">
        <v>428.93610482793298</v>
      </c>
      <c r="AM936" s="9">
        <v>75.477589891951595</v>
      </c>
      <c r="AN936" s="9">
        <v>1.1265311924171899</v>
      </c>
      <c r="AO936" s="9">
        <v>1.0175408851372501</v>
      </c>
      <c r="AP936" s="9">
        <v>959.10254215987902</v>
      </c>
      <c r="AQ936" s="9">
        <v>14.314963315819099</v>
      </c>
      <c r="AR936" s="9">
        <v>20.2801986376709</v>
      </c>
      <c r="AS936" s="8">
        <v>122</v>
      </c>
      <c r="AT936" s="8">
        <v>8.2999999999999972</v>
      </c>
      <c r="AU936" s="10">
        <v>29.431621532092791</v>
      </c>
      <c r="AV936" s="10">
        <v>105.27007759010104</v>
      </c>
      <c r="AW936" s="10">
        <v>0.92590156811974855</v>
      </c>
      <c r="AX936" s="10">
        <v>0.86286948844345113</v>
      </c>
      <c r="AY936" s="10"/>
      <c r="AZ936" s="10"/>
      <c r="BA936" s="10"/>
      <c r="BB936" s="8"/>
      <c r="BC936" s="8"/>
      <c r="BD936" s="8"/>
      <c r="BE936" s="8"/>
      <c r="BF936" s="12">
        <v>0.38</v>
      </c>
      <c r="BG936" s="13">
        <v>283.88421204528697</v>
      </c>
      <c r="BH936" s="96" t="str">
        <f>+VLOOKUP(G936,Liste!$A$7:$G$50,3,FALSE)</f>
        <v>Sapin pectiné</v>
      </c>
      <c r="BI936" s="96" t="str">
        <f>+VLOOKUP(H936,Liste!$B$7:$G$50,5,FALSE)</f>
        <v>GS Arc Jurassien</v>
      </c>
      <c r="BJ936" s="135">
        <f t="shared" si="282"/>
        <v>67</v>
      </c>
      <c r="BK936" s="135" t="str">
        <f t="shared" si="284"/>
        <v>Sapin pectiné_F1_Cas général_GS Arc Jurassien_67_</v>
      </c>
      <c r="BL936" s="322"/>
      <c r="BM936" s="13">
        <v>72.309606052687599</v>
      </c>
      <c r="BN936" s="13">
        <v>356.193818097975</v>
      </c>
      <c r="BO936" s="13">
        <v>96.821018257337016</v>
      </c>
      <c r="BP936" s="13">
        <v>307.55958661145604</v>
      </c>
      <c r="BQ936" s="13">
        <v>16.156576561363199</v>
      </c>
      <c r="BT936" s="298" t="str">
        <f>+VLOOKUP(G936,Liste!$A$7:$H$50,8,FALSE)</f>
        <v>Résineux</v>
      </c>
      <c r="BU936" s="298">
        <f t="shared" si="285"/>
        <v>0</v>
      </c>
      <c r="BV936" s="300">
        <f t="shared" si="286"/>
        <v>1</v>
      </c>
      <c r="BW936" s="321">
        <v>0</v>
      </c>
      <c r="BX936" s="298">
        <f t="shared" si="287"/>
        <v>0.43</v>
      </c>
      <c r="BY936">
        <f t="shared" si="288"/>
        <v>0</v>
      </c>
      <c r="BZ936" s="304">
        <f t="shared" si="289"/>
        <v>0</v>
      </c>
      <c r="CB936" s="299">
        <v>0.6</v>
      </c>
      <c r="CC936" s="299">
        <v>0.4</v>
      </c>
      <c r="CD936">
        <f t="shared" si="290"/>
        <v>0</v>
      </c>
      <c r="CE936">
        <f t="shared" si="291"/>
        <v>0</v>
      </c>
      <c r="CF936">
        <f t="shared" si="292"/>
        <v>0</v>
      </c>
      <c r="CG936">
        <f t="shared" si="293"/>
        <v>0</v>
      </c>
      <c r="CH936">
        <f t="shared" si="294"/>
        <v>0</v>
      </c>
      <c r="CI936">
        <f t="shared" si="295"/>
        <v>0</v>
      </c>
      <c r="CJ936">
        <f t="shared" si="296"/>
        <v>0</v>
      </c>
      <c r="CK936">
        <f t="shared" si="297"/>
        <v>0</v>
      </c>
      <c r="CL936">
        <f t="shared" si="298"/>
        <v>0</v>
      </c>
      <c r="CM936">
        <f t="shared" si="300"/>
        <v>0</v>
      </c>
      <c r="CN936">
        <f t="shared" si="299"/>
        <v>0</v>
      </c>
      <c r="CO936">
        <f t="shared" si="283"/>
        <v>0</v>
      </c>
    </row>
    <row r="937" spans="1:93" s="12" customFormat="1" x14ac:dyDescent="0.25">
      <c r="A937" s="4">
        <v>2013</v>
      </c>
      <c r="B937" s="318">
        <v>44265</v>
      </c>
      <c r="C937" s="4" t="s">
        <v>430</v>
      </c>
      <c r="D937" s="4" t="s">
        <v>431</v>
      </c>
      <c r="E937" s="4"/>
      <c r="F937" s="4" t="s">
        <v>1493</v>
      </c>
      <c r="G937" s="5" t="s">
        <v>432</v>
      </c>
      <c r="H937" s="5" t="s">
        <v>185</v>
      </c>
      <c r="I937" s="5" t="s">
        <v>222</v>
      </c>
      <c r="J937" s="5" t="s">
        <v>9</v>
      </c>
      <c r="K937" s="5">
        <v>20</v>
      </c>
      <c r="L937" s="5" t="s">
        <v>190</v>
      </c>
      <c r="M937" s="5">
        <v>2000</v>
      </c>
      <c r="N937" s="5" t="s">
        <v>171</v>
      </c>
      <c r="O937" s="6" t="s">
        <v>81</v>
      </c>
      <c r="P937" s="6" t="s">
        <v>186</v>
      </c>
      <c r="Q937" s="6"/>
      <c r="R937" s="6"/>
      <c r="S937" s="6">
        <v>45</v>
      </c>
      <c r="T937" s="6">
        <v>17.7</v>
      </c>
      <c r="U937" s="6">
        <v>1853</v>
      </c>
      <c r="V937" s="6">
        <v>45.68</v>
      </c>
      <c r="W937" s="6">
        <v>0</v>
      </c>
      <c r="X937" s="6">
        <v>0</v>
      </c>
      <c r="Y937" s="6">
        <v>1079</v>
      </c>
      <c r="Z937" s="6">
        <v>672</v>
      </c>
      <c r="AA937" s="6">
        <v>94</v>
      </c>
      <c r="AB937" s="6">
        <v>8</v>
      </c>
      <c r="AC937" s="7">
        <v>68</v>
      </c>
      <c r="AD937" s="7" t="s">
        <v>52</v>
      </c>
      <c r="AE937" s="9">
        <v>27.076140230599901</v>
      </c>
      <c r="AF937" s="7">
        <v>391</v>
      </c>
      <c r="AG937" s="7">
        <v>30.43</v>
      </c>
      <c r="AH937" s="9">
        <v>31.480750482062898</v>
      </c>
      <c r="AI937" s="9">
        <v>35.603213272870001</v>
      </c>
      <c r="AJ937" s="9">
        <v>396.04805151861399</v>
      </c>
      <c r="AK937" s="9">
        <v>397.49411130221398</v>
      </c>
      <c r="AL937" s="9">
        <v>449.21630346560403</v>
      </c>
      <c r="AM937" s="9" t="s">
        <v>169</v>
      </c>
      <c r="AN937" s="9" t="s">
        <v>169</v>
      </c>
      <c r="AO937" s="9" t="s">
        <v>169</v>
      </c>
      <c r="AP937" s="9" t="s">
        <v>169</v>
      </c>
      <c r="AQ937" s="9" t="s">
        <v>169</v>
      </c>
      <c r="AR937" s="9" t="s">
        <v>169</v>
      </c>
      <c r="AS937" s="8" t="s">
        <v>169</v>
      </c>
      <c r="AT937" s="8" t="s">
        <v>169</v>
      </c>
      <c r="AU937" s="10" t="s">
        <v>169</v>
      </c>
      <c r="AV937" s="10">
        <v>0</v>
      </c>
      <c r="AW937" s="10" t="s">
        <v>169</v>
      </c>
      <c r="AX937" s="10" t="s">
        <v>169</v>
      </c>
      <c r="AY937" s="10"/>
      <c r="AZ937" s="10"/>
      <c r="BA937" s="10"/>
      <c r="BB937" s="8"/>
      <c r="BC937" s="8"/>
      <c r="BD937" s="8"/>
      <c r="BE937" s="8"/>
      <c r="BF937" s="12">
        <v>0.38</v>
      </c>
      <c r="BG937" s="13">
        <v>297.30632351031898</v>
      </c>
      <c r="BH937" s="96" t="str">
        <f>+VLOOKUP(G937,Liste!$A$7:$G$50,3,FALSE)</f>
        <v>Sapin pectiné</v>
      </c>
      <c r="BI937" s="96" t="str">
        <f>+VLOOKUP(H937,Liste!$B$7:$G$50,5,FALSE)</f>
        <v>GS Arc Jurassien</v>
      </c>
      <c r="BJ937" s="135">
        <f t="shared" si="282"/>
        <v>68</v>
      </c>
      <c r="BK937" s="135" t="str">
        <f t="shared" si="284"/>
        <v>Sapin pectiné_F1_Cas général_GS Arc Jurassien_68_</v>
      </c>
      <c r="BL937" s="322"/>
      <c r="BM937" s="13">
        <v>75.292165346085596</v>
      </c>
      <c r="BN937" s="13">
        <v>372.59848885640503</v>
      </c>
      <c r="BO937" s="13" t="s">
        <v>169</v>
      </c>
      <c r="BP937" s="13">
        <v>307.55958661145604</v>
      </c>
      <c r="BQ937" s="13" t="s">
        <v>169</v>
      </c>
      <c r="BT937" s="298" t="str">
        <f>+VLOOKUP(G937,Liste!$A$7:$H$50,8,FALSE)</f>
        <v>Résineux</v>
      </c>
      <c r="BU937" s="298">
        <f t="shared" si="285"/>
        <v>0</v>
      </c>
      <c r="BV937" s="300">
        <f t="shared" si="286"/>
        <v>1</v>
      </c>
      <c r="BW937" s="321">
        <v>0</v>
      </c>
      <c r="BX937" s="298">
        <f t="shared" si="287"/>
        <v>0.43</v>
      </c>
      <c r="BY937">
        <f t="shared" si="288"/>
        <v>0</v>
      </c>
      <c r="BZ937" s="304">
        <f t="shared" si="289"/>
        <v>0</v>
      </c>
      <c r="CB937" s="299">
        <v>0.6</v>
      </c>
      <c r="CC937" s="299">
        <v>0.4</v>
      </c>
      <c r="CD937">
        <f t="shared" si="290"/>
        <v>0</v>
      </c>
      <c r="CE937">
        <f t="shared" si="291"/>
        <v>0</v>
      </c>
      <c r="CF937">
        <f t="shared" si="292"/>
        <v>0</v>
      </c>
      <c r="CG937">
        <f t="shared" si="293"/>
        <v>0</v>
      </c>
      <c r="CH937">
        <f t="shared" si="294"/>
        <v>0</v>
      </c>
      <c r="CI937">
        <f t="shared" si="295"/>
        <v>0</v>
      </c>
      <c r="CJ937">
        <f t="shared" si="296"/>
        <v>0</v>
      </c>
      <c r="CK937">
        <f t="shared" si="297"/>
        <v>0</v>
      </c>
      <c r="CL937">
        <f t="shared" si="298"/>
        <v>0</v>
      </c>
      <c r="CM937">
        <f t="shared" si="300"/>
        <v>0</v>
      </c>
      <c r="CN937">
        <f t="shared" si="299"/>
        <v>0</v>
      </c>
      <c r="CO937">
        <f t="shared" si="283"/>
        <v>0</v>
      </c>
    </row>
    <row r="938" spans="1:93" s="12" customFormat="1" x14ac:dyDescent="0.25">
      <c r="A938" s="4">
        <v>2013</v>
      </c>
      <c r="B938" s="318">
        <v>44265</v>
      </c>
      <c r="C938" s="4" t="s">
        <v>430</v>
      </c>
      <c r="D938" s="4" t="s">
        <v>431</v>
      </c>
      <c r="E938" s="4"/>
      <c r="F938" s="4" t="s">
        <v>1493</v>
      </c>
      <c r="G938" s="5" t="s">
        <v>432</v>
      </c>
      <c r="H938" s="5" t="s">
        <v>185</v>
      </c>
      <c r="I938" s="5" t="s">
        <v>222</v>
      </c>
      <c r="J938" s="5" t="s">
        <v>9</v>
      </c>
      <c r="K938" s="5">
        <v>20</v>
      </c>
      <c r="L938" s="5" t="s">
        <v>190</v>
      </c>
      <c r="M938" s="5">
        <v>2000</v>
      </c>
      <c r="N938" s="5" t="s">
        <v>171</v>
      </c>
      <c r="O938" s="6" t="s">
        <v>81</v>
      </c>
      <c r="P938" s="6" t="s">
        <v>186</v>
      </c>
      <c r="Q938" s="6"/>
      <c r="R938" s="6"/>
      <c r="S938" s="6">
        <v>45</v>
      </c>
      <c r="T938" s="6">
        <v>17.7</v>
      </c>
      <c r="U938" s="6">
        <v>1853</v>
      </c>
      <c r="V938" s="6">
        <v>45.68</v>
      </c>
      <c r="W938" s="6">
        <v>0</v>
      </c>
      <c r="X938" s="6">
        <v>0</v>
      </c>
      <c r="Y938" s="6">
        <v>1079</v>
      </c>
      <c r="Z938" s="6">
        <v>672</v>
      </c>
      <c r="AA938" s="6">
        <v>94</v>
      </c>
      <c r="AB938" s="6">
        <v>8</v>
      </c>
      <c r="AC938" s="7">
        <v>69</v>
      </c>
      <c r="AD938" s="7" t="s">
        <v>52</v>
      </c>
      <c r="AE938" s="9">
        <v>27.398009354440202</v>
      </c>
      <c r="AF938" s="7">
        <v>391</v>
      </c>
      <c r="AG938" s="7">
        <v>31.46</v>
      </c>
      <c r="AH938" s="9">
        <v>32.0085029186247</v>
      </c>
      <c r="AI938" s="9">
        <v>36.181029677526098</v>
      </c>
      <c r="AJ938" s="9">
        <v>414.96448347698902</v>
      </c>
      <c r="AK938" s="9">
        <v>416.47531440405101</v>
      </c>
      <c r="AL938" s="9">
        <v>469.49650210327502</v>
      </c>
      <c r="AM938" s="9" t="s">
        <v>169</v>
      </c>
      <c r="AN938" s="9" t="s">
        <v>169</v>
      </c>
      <c r="AO938" s="9" t="s">
        <v>169</v>
      </c>
      <c r="AP938" s="9" t="s">
        <v>169</v>
      </c>
      <c r="AQ938" s="9" t="s">
        <v>169</v>
      </c>
      <c r="AR938" s="9" t="s">
        <v>169</v>
      </c>
      <c r="AS938" s="8" t="s">
        <v>169</v>
      </c>
      <c r="AT938" s="8" t="s">
        <v>169</v>
      </c>
      <c r="AU938" s="10" t="s">
        <v>169</v>
      </c>
      <c r="AV938" s="10">
        <v>0</v>
      </c>
      <c r="AW938" s="10" t="s">
        <v>169</v>
      </c>
      <c r="AX938" s="10" t="s">
        <v>169</v>
      </c>
      <c r="AY938" s="10"/>
      <c r="AZ938" s="10"/>
      <c r="BA938" s="10"/>
      <c r="BB938" s="8"/>
      <c r="BC938" s="8"/>
      <c r="BD938" s="8"/>
      <c r="BE938" s="8"/>
      <c r="BF938" s="12">
        <v>0.38</v>
      </c>
      <c r="BG938" s="13">
        <v>310.72843497535098</v>
      </c>
      <c r="BH938" s="96" t="str">
        <f>+VLOOKUP(G938,Liste!$A$7:$G$50,3,FALSE)</f>
        <v>Sapin pectiné</v>
      </c>
      <c r="BI938" s="96" t="str">
        <f>+VLOOKUP(H938,Liste!$B$7:$G$50,5,FALSE)</f>
        <v>GS Arc Jurassien</v>
      </c>
      <c r="BJ938" s="135">
        <f t="shared" si="282"/>
        <v>69</v>
      </c>
      <c r="BK938" s="135" t="str">
        <f t="shared" si="284"/>
        <v>Sapin pectiné_F1_Cas général_GS Arc Jurassien_69_</v>
      </c>
      <c r="BL938" s="322"/>
      <c r="BM938" s="13">
        <v>78.274724639483694</v>
      </c>
      <c r="BN938" s="13">
        <v>389.003159614835</v>
      </c>
      <c r="BO938" s="13" t="s">
        <v>169</v>
      </c>
      <c r="BP938" s="13">
        <v>307.55958661145604</v>
      </c>
      <c r="BQ938" s="13" t="s">
        <v>169</v>
      </c>
      <c r="BT938" s="298" t="str">
        <f>+VLOOKUP(G938,Liste!$A$7:$H$50,8,FALSE)</f>
        <v>Résineux</v>
      </c>
      <c r="BU938" s="298">
        <f t="shared" si="285"/>
        <v>0</v>
      </c>
      <c r="BV938" s="300">
        <f t="shared" si="286"/>
        <v>1</v>
      </c>
      <c r="BW938" s="321">
        <v>0</v>
      </c>
      <c r="BX938" s="298">
        <f t="shared" si="287"/>
        <v>0.43</v>
      </c>
      <c r="BY938">
        <f t="shared" si="288"/>
        <v>0</v>
      </c>
      <c r="BZ938" s="304">
        <f t="shared" si="289"/>
        <v>0</v>
      </c>
      <c r="CB938" s="299">
        <v>0.6</v>
      </c>
      <c r="CC938" s="299">
        <v>0.4</v>
      </c>
      <c r="CD938">
        <f t="shared" si="290"/>
        <v>0</v>
      </c>
      <c r="CE938">
        <f t="shared" si="291"/>
        <v>0</v>
      </c>
      <c r="CF938">
        <f t="shared" si="292"/>
        <v>0</v>
      </c>
      <c r="CG938">
        <f t="shared" si="293"/>
        <v>0</v>
      </c>
      <c r="CH938">
        <f t="shared" si="294"/>
        <v>0</v>
      </c>
      <c r="CI938">
        <f t="shared" si="295"/>
        <v>0</v>
      </c>
      <c r="CJ938">
        <f t="shared" si="296"/>
        <v>0</v>
      </c>
      <c r="CK938">
        <f t="shared" si="297"/>
        <v>0</v>
      </c>
      <c r="CL938">
        <f t="shared" si="298"/>
        <v>0</v>
      </c>
      <c r="CM938">
        <f t="shared" si="300"/>
        <v>0</v>
      </c>
      <c r="CN938">
        <f t="shared" si="299"/>
        <v>0</v>
      </c>
      <c r="CO938">
        <f t="shared" si="283"/>
        <v>0</v>
      </c>
    </row>
    <row r="939" spans="1:93" s="12" customFormat="1" x14ac:dyDescent="0.25">
      <c r="A939" s="4">
        <v>2013</v>
      </c>
      <c r="B939" s="318">
        <v>44265</v>
      </c>
      <c r="C939" s="4" t="s">
        <v>430</v>
      </c>
      <c r="D939" s="4" t="s">
        <v>431</v>
      </c>
      <c r="E939" s="4"/>
      <c r="F939" s="4" t="s">
        <v>1493</v>
      </c>
      <c r="G939" s="5" t="s">
        <v>432</v>
      </c>
      <c r="H939" s="5" t="s">
        <v>185</v>
      </c>
      <c r="I939" s="5" t="s">
        <v>222</v>
      </c>
      <c r="J939" s="5" t="s">
        <v>9</v>
      </c>
      <c r="K939" s="5">
        <v>20</v>
      </c>
      <c r="L939" s="5" t="s">
        <v>190</v>
      </c>
      <c r="M939" s="5">
        <v>2000</v>
      </c>
      <c r="N939" s="5" t="s">
        <v>171</v>
      </c>
      <c r="O939" s="6" t="s">
        <v>81</v>
      </c>
      <c r="P939" s="6" t="s">
        <v>186</v>
      </c>
      <c r="Q939" s="6"/>
      <c r="R939" s="6"/>
      <c r="S939" s="6">
        <v>45</v>
      </c>
      <c r="T939" s="6">
        <v>17.7</v>
      </c>
      <c r="U939" s="6">
        <v>1853</v>
      </c>
      <c r="V939" s="6">
        <v>45.68</v>
      </c>
      <c r="W939" s="6">
        <v>0</v>
      </c>
      <c r="X939" s="6">
        <v>0</v>
      </c>
      <c r="Y939" s="6">
        <v>1079</v>
      </c>
      <c r="Z939" s="6">
        <v>672</v>
      </c>
      <c r="AA939" s="6">
        <v>94</v>
      </c>
      <c r="AB939" s="6">
        <v>8</v>
      </c>
      <c r="AC939" s="7">
        <v>70</v>
      </c>
      <c r="AD939" s="7" t="s">
        <v>52</v>
      </c>
      <c r="AE939" s="9">
        <v>27.713928301314802</v>
      </c>
      <c r="AF939" s="7">
        <v>391</v>
      </c>
      <c r="AG939" s="7">
        <v>32.479999999999997</v>
      </c>
      <c r="AH939" s="9">
        <v>32.522041091765203</v>
      </c>
      <c r="AI939" s="9">
        <v>36.741992814889002</v>
      </c>
      <c r="AJ939" s="9">
        <v>433.88091543536399</v>
      </c>
      <c r="AK939" s="9">
        <v>435.45651750588797</v>
      </c>
      <c r="AL939" s="9">
        <v>489.77670074094601</v>
      </c>
      <c r="AM939" s="9" t="s">
        <v>169</v>
      </c>
      <c r="AN939" s="9" t="s">
        <v>169</v>
      </c>
      <c r="AO939" s="9" t="s">
        <v>169</v>
      </c>
      <c r="AP939" s="9" t="s">
        <v>169</v>
      </c>
      <c r="AQ939" s="9" t="s">
        <v>169</v>
      </c>
      <c r="AR939" s="9" t="s">
        <v>169</v>
      </c>
      <c r="AS939" s="8" t="s">
        <v>169</v>
      </c>
      <c r="AT939" s="8" t="s">
        <v>169</v>
      </c>
      <c r="AU939" s="10" t="s">
        <v>169</v>
      </c>
      <c r="AV939" s="10">
        <v>0</v>
      </c>
      <c r="AW939" s="10" t="s">
        <v>169</v>
      </c>
      <c r="AX939" s="10" t="s">
        <v>169</v>
      </c>
      <c r="AY939" s="10"/>
      <c r="AZ939" s="10"/>
      <c r="BA939" s="10"/>
      <c r="BB939" s="8"/>
      <c r="BC939" s="8"/>
      <c r="BD939" s="8"/>
      <c r="BE939" s="8"/>
      <c r="BF939" s="12">
        <v>0.38</v>
      </c>
      <c r="BG939" s="13">
        <v>324.15054644038298</v>
      </c>
      <c r="BH939" s="96" t="str">
        <f>+VLOOKUP(G939,Liste!$A$7:$G$50,3,FALSE)</f>
        <v>Sapin pectiné</v>
      </c>
      <c r="BI939" s="96" t="str">
        <f>+VLOOKUP(H939,Liste!$B$7:$G$50,5,FALSE)</f>
        <v>GS Arc Jurassien</v>
      </c>
      <c r="BJ939" s="135">
        <f t="shared" si="282"/>
        <v>70</v>
      </c>
      <c r="BK939" s="135" t="str">
        <f t="shared" si="284"/>
        <v>Sapin pectiné_F1_Cas général_GS Arc Jurassien_70_</v>
      </c>
      <c r="BL939" s="322"/>
      <c r="BM939" s="13">
        <v>81.257283932881705</v>
      </c>
      <c r="BN939" s="13">
        <v>405.40783037326503</v>
      </c>
      <c r="BO939" s="13" t="s">
        <v>169</v>
      </c>
      <c r="BP939" s="13">
        <v>307.55958661145604</v>
      </c>
      <c r="BQ939" s="13" t="s">
        <v>169</v>
      </c>
      <c r="BT939" s="298" t="str">
        <f>+VLOOKUP(G939,Liste!$A$7:$H$50,8,FALSE)</f>
        <v>Résineux</v>
      </c>
      <c r="BU939" s="298">
        <f t="shared" si="285"/>
        <v>0</v>
      </c>
      <c r="BV939" s="300">
        <f t="shared" si="286"/>
        <v>1</v>
      </c>
      <c r="BW939" s="321">
        <v>0</v>
      </c>
      <c r="BX939" s="298">
        <f t="shared" si="287"/>
        <v>0.43</v>
      </c>
      <c r="BY939">
        <f t="shared" si="288"/>
        <v>0</v>
      </c>
      <c r="BZ939" s="304">
        <f t="shared" si="289"/>
        <v>0</v>
      </c>
      <c r="CB939" s="299">
        <v>0.6</v>
      </c>
      <c r="CC939" s="299">
        <v>0.4</v>
      </c>
      <c r="CD939">
        <f t="shared" si="290"/>
        <v>0</v>
      </c>
      <c r="CE939">
        <f t="shared" si="291"/>
        <v>0</v>
      </c>
      <c r="CF939">
        <f t="shared" si="292"/>
        <v>0</v>
      </c>
      <c r="CG939">
        <f t="shared" si="293"/>
        <v>0</v>
      </c>
      <c r="CH939">
        <f t="shared" si="294"/>
        <v>0</v>
      </c>
      <c r="CI939">
        <f t="shared" si="295"/>
        <v>0</v>
      </c>
      <c r="CJ939">
        <f t="shared" si="296"/>
        <v>0</v>
      </c>
      <c r="CK939">
        <f t="shared" si="297"/>
        <v>0</v>
      </c>
      <c r="CL939">
        <f t="shared" si="298"/>
        <v>0</v>
      </c>
      <c r="CM939">
        <f t="shared" si="300"/>
        <v>0</v>
      </c>
      <c r="CN939">
        <f t="shared" si="299"/>
        <v>0</v>
      </c>
      <c r="CO939">
        <f t="shared" si="283"/>
        <v>0</v>
      </c>
    </row>
    <row r="940" spans="1:93" s="12" customFormat="1" x14ac:dyDescent="0.25">
      <c r="A940" s="4">
        <v>2013</v>
      </c>
      <c r="B940" s="318">
        <v>44265</v>
      </c>
      <c r="C940" s="4" t="s">
        <v>430</v>
      </c>
      <c r="D940" s="4" t="s">
        <v>431</v>
      </c>
      <c r="E940" s="4"/>
      <c r="F940" s="4" t="s">
        <v>1493</v>
      </c>
      <c r="G940" s="5" t="s">
        <v>432</v>
      </c>
      <c r="H940" s="5" t="s">
        <v>185</v>
      </c>
      <c r="I940" s="5" t="s">
        <v>222</v>
      </c>
      <c r="J940" s="5" t="s">
        <v>9</v>
      </c>
      <c r="K940" s="5">
        <v>20</v>
      </c>
      <c r="L940" s="5" t="s">
        <v>190</v>
      </c>
      <c r="M940" s="5">
        <v>2000</v>
      </c>
      <c r="N940" s="5" t="s">
        <v>171</v>
      </c>
      <c r="O940" s="6" t="s">
        <v>81</v>
      </c>
      <c r="P940" s="6" t="s">
        <v>186</v>
      </c>
      <c r="Q940" s="6"/>
      <c r="R940" s="6"/>
      <c r="S940" s="6">
        <v>45</v>
      </c>
      <c r="T940" s="6">
        <v>17.7</v>
      </c>
      <c r="U940" s="6">
        <v>1853</v>
      </c>
      <c r="V940" s="6">
        <v>45.68</v>
      </c>
      <c r="W940" s="6">
        <v>0</v>
      </c>
      <c r="X940" s="6">
        <v>0</v>
      </c>
      <c r="Y940" s="6">
        <v>1079</v>
      </c>
      <c r="Z940" s="6">
        <v>672</v>
      </c>
      <c r="AA940" s="6">
        <v>94</v>
      </c>
      <c r="AB940" s="6">
        <v>8</v>
      </c>
      <c r="AC940" s="7">
        <v>71</v>
      </c>
      <c r="AD940" s="7" t="s">
        <v>52</v>
      </c>
      <c r="AE940" s="9">
        <v>28.024031766541199</v>
      </c>
      <c r="AF940" s="7">
        <v>391</v>
      </c>
      <c r="AG940" s="7">
        <v>33.49</v>
      </c>
      <c r="AH940" s="9">
        <v>33.0219675204727</v>
      </c>
      <c r="AI940" s="9">
        <v>37.286905371917101</v>
      </c>
      <c r="AJ940" s="9">
        <v>452.79734739373799</v>
      </c>
      <c r="AK940" s="9">
        <v>454.437720607725</v>
      </c>
      <c r="AL940" s="9">
        <v>510.056899378617</v>
      </c>
      <c r="AM940" s="9" t="s">
        <v>169</v>
      </c>
      <c r="AN940" s="9" t="s">
        <v>169</v>
      </c>
      <c r="AO940" s="9" t="s">
        <v>169</v>
      </c>
      <c r="AP940" s="9" t="s">
        <v>169</v>
      </c>
      <c r="AQ940" s="9" t="s">
        <v>169</v>
      </c>
      <c r="AR940" s="9" t="s">
        <v>169</v>
      </c>
      <c r="AS940" s="8" t="s">
        <v>169</v>
      </c>
      <c r="AT940" s="8" t="s">
        <v>169</v>
      </c>
      <c r="AU940" s="10" t="s">
        <v>169</v>
      </c>
      <c r="AV940" s="10">
        <v>0</v>
      </c>
      <c r="AW940" s="10" t="s">
        <v>169</v>
      </c>
      <c r="AX940" s="10" t="s">
        <v>169</v>
      </c>
      <c r="AY940" s="10"/>
      <c r="AZ940" s="10"/>
      <c r="BA940" s="10"/>
      <c r="BB940" s="8"/>
      <c r="BC940" s="8"/>
      <c r="BD940" s="8"/>
      <c r="BE940" s="8"/>
      <c r="BF940" s="12">
        <v>0.38</v>
      </c>
      <c r="BG940" s="13">
        <v>337.57265790541499</v>
      </c>
      <c r="BH940" s="96" t="str">
        <f>+VLOOKUP(G940,Liste!$A$7:$G$50,3,FALSE)</f>
        <v>Sapin pectiné</v>
      </c>
      <c r="BI940" s="96" t="str">
        <f>+VLOOKUP(H940,Liste!$B$7:$G$50,5,FALSE)</f>
        <v>GS Arc Jurassien</v>
      </c>
      <c r="BJ940" s="135">
        <f t="shared" si="282"/>
        <v>71</v>
      </c>
      <c r="BK940" s="135" t="str">
        <f t="shared" si="284"/>
        <v>Sapin pectiné_F1_Cas général_GS Arc Jurassien_71_</v>
      </c>
      <c r="BL940" s="322"/>
      <c r="BM940" s="13">
        <v>84.239843226279703</v>
      </c>
      <c r="BN940" s="13">
        <v>421.81250113169398</v>
      </c>
      <c r="BO940" s="13" t="s">
        <v>169</v>
      </c>
      <c r="BP940" s="13">
        <v>307.55958661145604</v>
      </c>
      <c r="BQ940" s="13" t="s">
        <v>169</v>
      </c>
      <c r="BT940" s="298" t="str">
        <f>+VLOOKUP(G940,Liste!$A$7:$H$50,8,FALSE)</f>
        <v>Résineux</v>
      </c>
      <c r="BU940" s="298">
        <f t="shared" si="285"/>
        <v>0</v>
      </c>
      <c r="BV940" s="300">
        <f t="shared" si="286"/>
        <v>1</v>
      </c>
      <c r="BW940" s="321">
        <v>0</v>
      </c>
      <c r="BX940" s="298">
        <f t="shared" si="287"/>
        <v>0.43</v>
      </c>
      <c r="BY940">
        <f t="shared" si="288"/>
        <v>0</v>
      </c>
      <c r="BZ940" s="304">
        <f t="shared" si="289"/>
        <v>0</v>
      </c>
      <c r="CB940" s="299">
        <v>0.6</v>
      </c>
      <c r="CC940" s="299">
        <v>0.4</v>
      </c>
      <c r="CD940">
        <f t="shared" si="290"/>
        <v>0</v>
      </c>
      <c r="CE940">
        <f t="shared" si="291"/>
        <v>0</v>
      </c>
      <c r="CF940">
        <f t="shared" si="292"/>
        <v>0</v>
      </c>
      <c r="CG940">
        <f t="shared" si="293"/>
        <v>0</v>
      </c>
      <c r="CH940">
        <f t="shared" si="294"/>
        <v>0</v>
      </c>
      <c r="CI940">
        <f t="shared" si="295"/>
        <v>0</v>
      </c>
      <c r="CJ940">
        <f t="shared" si="296"/>
        <v>0</v>
      </c>
      <c r="CK940">
        <f t="shared" si="297"/>
        <v>0</v>
      </c>
      <c r="CL940">
        <f t="shared" si="298"/>
        <v>0</v>
      </c>
      <c r="CM940">
        <f t="shared" si="300"/>
        <v>0</v>
      </c>
      <c r="CN940">
        <f t="shared" si="299"/>
        <v>0</v>
      </c>
      <c r="CO940">
        <f t="shared" si="283"/>
        <v>0</v>
      </c>
    </row>
    <row r="941" spans="1:93" s="12" customFormat="1" x14ac:dyDescent="0.25">
      <c r="A941" s="4">
        <v>2013</v>
      </c>
      <c r="B941" s="318">
        <v>44265</v>
      </c>
      <c r="C941" s="4" t="s">
        <v>430</v>
      </c>
      <c r="D941" s="4" t="s">
        <v>431</v>
      </c>
      <c r="E941" s="4"/>
      <c r="F941" s="4" t="s">
        <v>1493</v>
      </c>
      <c r="G941" s="5" t="s">
        <v>432</v>
      </c>
      <c r="H941" s="5" t="s">
        <v>185</v>
      </c>
      <c r="I941" s="5" t="s">
        <v>222</v>
      </c>
      <c r="J941" s="5" t="s">
        <v>9</v>
      </c>
      <c r="K941" s="5">
        <v>20</v>
      </c>
      <c r="L941" s="5" t="s">
        <v>190</v>
      </c>
      <c r="M941" s="5">
        <v>2000</v>
      </c>
      <c r="N941" s="5" t="s">
        <v>171</v>
      </c>
      <c r="O941" s="6" t="s">
        <v>81</v>
      </c>
      <c r="P941" s="6" t="s">
        <v>186</v>
      </c>
      <c r="Q941" s="6"/>
      <c r="R941" s="6"/>
      <c r="S941" s="6">
        <v>45</v>
      </c>
      <c r="T941" s="6">
        <v>17.7</v>
      </c>
      <c r="U941" s="6">
        <v>1853</v>
      </c>
      <c r="V941" s="6">
        <v>45.68</v>
      </c>
      <c r="W941" s="6">
        <v>0</v>
      </c>
      <c r="X941" s="6">
        <v>0</v>
      </c>
      <c r="Y941" s="6">
        <v>1079</v>
      </c>
      <c r="Z941" s="6">
        <v>672</v>
      </c>
      <c r="AA941" s="6">
        <v>94</v>
      </c>
      <c r="AB941" s="6">
        <v>8</v>
      </c>
      <c r="AC941" s="7">
        <v>72</v>
      </c>
      <c r="AD941" s="7" t="s">
        <v>52</v>
      </c>
      <c r="AE941" s="9">
        <v>28.328451985175999</v>
      </c>
      <c r="AF941" s="7">
        <v>391</v>
      </c>
      <c r="AG941" s="7">
        <v>34.479999999999997</v>
      </c>
      <c r="AH941" s="9">
        <v>33.5088471018748</v>
      </c>
      <c r="AI941" s="9">
        <v>37.816512986526398</v>
      </c>
      <c r="AJ941" s="9">
        <v>471.71377935211302</v>
      </c>
      <c r="AK941" s="9">
        <v>473.41892370956202</v>
      </c>
      <c r="AL941" s="9">
        <v>530.337098016288</v>
      </c>
      <c r="AM941" s="9">
        <v>80.565294317637793</v>
      </c>
      <c r="AN941" s="9">
        <v>1.1189624210783</v>
      </c>
      <c r="AO941" s="9">
        <v>0.97156005178706994</v>
      </c>
      <c r="AP941" s="9">
        <v>1060.5035353482299</v>
      </c>
      <c r="AQ941" s="9">
        <v>14.729215768725499</v>
      </c>
      <c r="AR941" s="9">
        <v>20.218850568204701</v>
      </c>
      <c r="AS941" s="8" t="s">
        <v>169</v>
      </c>
      <c r="AT941" s="8" t="s">
        <v>169</v>
      </c>
      <c r="AU941" s="10" t="s">
        <v>169</v>
      </c>
      <c r="AV941" s="10">
        <v>0</v>
      </c>
      <c r="AW941" s="10" t="s">
        <v>169</v>
      </c>
      <c r="AX941" s="10" t="s">
        <v>169</v>
      </c>
      <c r="AY941" s="10"/>
      <c r="AZ941" s="10"/>
      <c r="BA941" s="10"/>
      <c r="BB941" s="8"/>
      <c r="BC941" s="8"/>
      <c r="BD941" s="8"/>
      <c r="BE941" s="8"/>
      <c r="BF941" s="12">
        <v>0.38</v>
      </c>
      <c r="BG941" s="13">
        <v>350.99476937044699</v>
      </c>
      <c r="BH941" s="96" t="str">
        <f>+VLOOKUP(G941,Liste!$A$7:$G$50,3,FALSE)</f>
        <v>Sapin pectiné</v>
      </c>
      <c r="BI941" s="96" t="str">
        <f>+VLOOKUP(H941,Liste!$B$7:$G$50,5,FALSE)</f>
        <v>GS Arc Jurassien</v>
      </c>
      <c r="BJ941" s="135">
        <f t="shared" si="282"/>
        <v>72</v>
      </c>
      <c r="BK941" s="135" t="str">
        <f t="shared" si="284"/>
        <v>Sapin pectiné_F1_Cas général_GS Arc Jurassien_72_</v>
      </c>
      <c r="BL941" s="322"/>
      <c r="BM941" s="13">
        <v>87.2224025196778</v>
      </c>
      <c r="BN941" s="13">
        <v>438.21717189012401</v>
      </c>
      <c r="BO941" s="13" t="s">
        <v>169</v>
      </c>
      <c r="BP941" s="13">
        <v>307.55958661145604</v>
      </c>
      <c r="BQ941" s="13">
        <v>16.083216752831301</v>
      </c>
      <c r="BT941" s="298" t="str">
        <f>+VLOOKUP(G941,Liste!$A$7:$H$50,8,FALSE)</f>
        <v>Résineux</v>
      </c>
      <c r="BU941" s="298">
        <f t="shared" si="285"/>
        <v>0</v>
      </c>
      <c r="BV941" s="300">
        <f t="shared" si="286"/>
        <v>1</v>
      </c>
      <c r="BW941" s="321">
        <v>0</v>
      </c>
      <c r="BX941" s="298">
        <f t="shared" si="287"/>
        <v>0.43</v>
      </c>
      <c r="BY941">
        <f t="shared" si="288"/>
        <v>0</v>
      </c>
      <c r="BZ941" s="304">
        <f t="shared" si="289"/>
        <v>0</v>
      </c>
      <c r="CB941" s="299">
        <v>0.6</v>
      </c>
      <c r="CC941" s="299">
        <v>0.4</v>
      </c>
      <c r="CD941">
        <f t="shared" si="290"/>
        <v>0</v>
      </c>
      <c r="CE941">
        <f t="shared" si="291"/>
        <v>0</v>
      </c>
      <c r="CF941">
        <f t="shared" si="292"/>
        <v>0</v>
      </c>
      <c r="CG941">
        <f t="shared" si="293"/>
        <v>0</v>
      </c>
      <c r="CH941">
        <f t="shared" si="294"/>
        <v>0</v>
      </c>
      <c r="CI941">
        <f t="shared" si="295"/>
        <v>0</v>
      </c>
      <c r="CJ941">
        <f t="shared" si="296"/>
        <v>0</v>
      </c>
      <c r="CK941">
        <f t="shared" si="297"/>
        <v>0</v>
      </c>
      <c r="CL941">
        <f t="shared" si="298"/>
        <v>0</v>
      </c>
      <c r="CM941">
        <f t="shared" si="300"/>
        <v>0</v>
      </c>
      <c r="CN941">
        <f t="shared" si="299"/>
        <v>0</v>
      </c>
      <c r="CO941">
        <f t="shared" si="283"/>
        <v>0</v>
      </c>
    </row>
    <row r="942" spans="1:93" s="12" customFormat="1" x14ac:dyDescent="0.25">
      <c r="A942" s="4">
        <v>2013</v>
      </c>
      <c r="B942" s="318">
        <v>44265</v>
      </c>
      <c r="C942" s="4" t="s">
        <v>430</v>
      </c>
      <c r="D942" s="4" t="s">
        <v>431</v>
      </c>
      <c r="E942" s="4"/>
      <c r="F942" s="4" t="s">
        <v>1493</v>
      </c>
      <c r="G942" s="5" t="s">
        <v>432</v>
      </c>
      <c r="H942" s="5" t="s">
        <v>185</v>
      </c>
      <c r="I942" s="5" t="s">
        <v>222</v>
      </c>
      <c r="J942" s="5" t="s">
        <v>9</v>
      </c>
      <c r="K942" s="5">
        <v>20</v>
      </c>
      <c r="L942" s="5" t="s">
        <v>190</v>
      </c>
      <c r="M942" s="5">
        <v>2000</v>
      </c>
      <c r="N942" s="5" t="s">
        <v>171</v>
      </c>
      <c r="O942" s="6" t="s">
        <v>81</v>
      </c>
      <c r="P942" s="6" t="s">
        <v>186</v>
      </c>
      <c r="Q942" s="6"/>
      <c r="R942" s="6"/>
      <c r="S942" s="6">
        <v>45</v>
      </c>
      <c r="T942" s="6">
        <v>17.7</v>
      </c>
      <c r="U942" s="6">
        <v>1853</v>
      </c>
      <c r="V942" s="6">
        <v>45.68</v>
      </c>
      <c r="W942" s="6">
        <v>0</v>
      </c>
      <c r="X942" s="6">
        <v>0</v>
      </c>
      <c r="Y942" s="6">
        <v>1079</v>
      </c>
      <c r="Z942" s="6">
        <v>672</v>
      </c>
      <c r="AA942" s="6">
        <v>94</v>
      </c>
      <c r="AB942" s="6">
        <v>8</v>
      </c>
      <c r="AC942" s="7">
        <v>73</v>
      </c>
      <c r="AD942" s="7" t="s">
        <v>52</v>
      </c>
      <c r="AE942" s="9">
        <v>28.627318653068301</v>
      </c>
      <c r="AF942" s="7">
        <v>391</v>
      </c>
      <c r="AG942" s="7">
        <v>35.46</v>
      </c>
      <c r="AH942" s="9">
        <v>33.983210100629698</v>
      </c>
      <c r="AI942" s="9">
        <v>38.331509765206697</v>
      </c>
      <c r="AJ942" s="9">
        <v>490.74430702694099</v>
      </c>
      <c r="AK942" s="9">
        <v>492.50774009563901</v>
      </c>
      <c r="AL942" s="9">
        <v>550.55594858449297</v>
      </c>
      <c r="AM942" s="9" t="s">
        <v>169</v>
      </c>
      <c r="AN942" s="9" t="s">
        <v>169</v>
      </c>
      <c r="AO942" s="9" t="s">
        <v>169</v>
      </c>
      <c r="AP942" s="9" t="s">
        <v>169</v>
      </c>
      <c r="AQ942" s="9" t="s">
        <v>169</v>
      </c>
      <c r="AR942" s="9" t="s">
        <v>169</v>
      </c>
      <c r="AS942" s="8" t="s">
        <v>169</v>
      </c>
      <c r="AT942" s="8" t="s">
        <v>169</v>
      </c>
      <c r="AU942" s="10" t="s">
        <v>169</v>
      </c>
      <c r="AV942" s="10">
        <v>0</v>
      </c>
      <c r="AW942" s="10" t="s">
        <v>169</v>
      </c>
      <c r="AX942" s="10" t="s">
        <v>169</v>
      </c>
      <c r="AY942" s="10"/>
      <c r="AZ942" s="10"/>
      <c r="BA942" s="10"/>
      <c r="BB942" s="8"/>
      <c r="BC942" s="8"/>
      <c r="BD942" s="8"/>
      <c r="BE942" s="8"/>
      <c r="BF942" s="12">
        <v>0.38</v>
      </c>
      <c r="BG942" s="13">
        <v>364.37627863816999</v>
      </c>
      <c r="BH942" s="96" t="str">
        <f>+VLOOKUP(G942,Liste!$A$7:$G$50,3,FALSE)</f>
        <v>Sapin pectiné</v>
      </c>
      <c r="BI942" s="96" t="str">
        <f>+VLOOKUP(H942,Liste!$B$7:$G$50,5,FALSE)</f>
        <v>GS Arc Jurassien</v>
      </c>
      <c r="BJ942" s="135">
        <f t="shared" si="282"/>
        <v>73</v>
      </c>
      <c r="BK942" s="135" t="str">
        <f t="shared" si="284"/>
        <v>Sapin pectiné_F1_Cas général_GS Arc Jurassien_73_</v>
      </c>
      <c r="BL942" s="322"/>
      <c r="BM942" s="13">
        <v>90.141875730049307</v>
      </c>
      <c r="BN942" s="13">
        <v>454.51815436821897</v>
      </c>
      <c r="BO942" s="13" t="s">
        <v>169</v>
      </c>
      <c r="BP942" s="13">
        <v>307.55958661145604</v>
      </c>
      <c r="BQ942" s="13" t="s">
        <v>169</v>
      </c>
      <c r="BT942" s="298" t="str">
        <f>+VLOOKUP(G942,Liste!$A$7:$H$50,8,FALSE)</f>
        <v>Résineux</v>
      </c>
      <c r="BU942" s="298">
        <f t="shared" si="285"/>
        <v>0</v>
      </c>
      <c r="BV942" s="300">
        <f t="shared" si="286"/>
        <v>1</v>
      </c>
      <c r="BW942" s="321">
        <v>0</v>
      </c>
      <c r="BX942" s="298">
        <f t="shared" si="287"/>
        <v>0.43</v>
      </c>
      <c r="BY942">
        <f t="shared" si="288"/>
        <v>0</v>
      </c>
      <c r="BZ942" s="304">
        <f t="shared" si="289"/>
        <v>0</v>
      </c>
      <c r="CB942" s="299">
        <v>0.6</v>
      </c>
      <c r="CC942" s="299">
        <v>0.4</v>
      </c>
      <c r="CD942">
        <f t="shared" si="290"/>
        <v>0</v>
      </c>
      <c r="CE942">
        <f t="shared" si="291"/>
        <v>0</v>
      </c>
      <c r="CF942">
        <f t="shared" si="292"/>
        <v>0</v>
      </c>
      <c r="CG942">
        <f t="shared" si="293"/>
        <v>0</v>
      </c>
      <c r="CH942">
        <f t="shared" si="294"/>
        <v>0</v>
      </c>
      <c r="CI942">
        <f t="shared" si="295"/>
        <v>0</v>
      </c>
      <c r="CJ942">
        <f t="shared" si="296"/>
        <v>0</v>
      </c>
      <c r="CK942">
        <f t="shared" si="297"/>
        <v>0</v>
      </c>
      <c r="CL942">
        <f t="shared" si="298"/>
        <v>0</v>
      </c>
      <c r="CM942">
        <f t="shared" si="300"/>
        <v>0</v>
      </c>
      <c r="CN942">
        <f t="shared" si="299"/>
        <v>0</v>
      </c>
      <c r="CO942">
        <f t="shared" si="283"/>
        <v>0</v>
      </c>
    </row>
    <row r="943" spans="1:93" s="12" customFormat="1" x14ac:dyDescent="0.25">
      <c r="A943" s="4">
        <v>2013</v>
      </c>
      <c r="B943" s="318">
        <v>44265</v>
      </c>
      <c r="C943" s="4" t="s">
        <v>430</v>
      </c>
      <c r="D943" s="4" t="s">
        <v>431</v>
      </c>
      <c r="E943" s="4"/>
      <c r="F943" s="4" t="s">
        <v>1493</v>
      </c>
      <c r="G943" s="5" t="s">
        <v>432</v>
      </c>
      <c r="H943" s="5" t="s">
        <v>185</v>
      </c>
      <c r="I943" s="5" t="s">
        <v>222</v>
      </c>
      <c r="J943" s="5" t="s">
        <v>9</v>
      </c>
      <c r="K943" s="5">
        <v>20</v>
      </c>
      <c r="L943" s="5" t="s">
        <v>190</v>
      </c>
      <c r="M943" s="5">
        <v>2000</v>
      </c>
      <c r="N943" s="5" t="s">
        <v>171</v>
      </c>
      <c r="O943" s="6" t="s">
        <v>81</v>
      </c>
      <c r="P943" s="6" t="s">
        <v>186</v>
      </c>
      <c r="Q943" s="6"/>
      <c r="R943" s="6"/>
      <c r="S943" s="6">
        <v>45</v>
      </c>
      <c r="T943" s="6">
        <v>17.7</v>
      </c>
      <c r="U943" s="6">
        <v>1853</v>
      </c>
      <c r="V943" s="6">
        <v>45.68</v>
      </c>
      <c r="W943" s="6">
        <v>0</v>
      </c>
      <c r="X943" s="6">
        <v>0</v>
      </c>
      <c r="Y943" s="6">
        <v>1079</v>
      </c>
      <c r="Z943" s="6">
        <v>672</v>
      </c>
      <c r="AA943" s="6">
        <v>94</v>
      </c>
      <c r="AB943" s="6">
        <v>8</v>
      </c>
      <c r="AC943" s="7">
        <v>74</v>
      </c>
      <c r="AD943" s="7" t="s">
        <v>52</v>
      </c>
      <c r="AE943" s="9">
        <v>28.9207588675506</v>
      </c>
      <c r="AF943" s="7">
        <v>391</v>
      </c>
      <c r="AG943" s="7">
        <v>36.44</v>
      </c>
      <c r="AH943" s="9">
        <v>34.445555657709797</v>
      </c>
      <c r="AI943" s="9">
        <v>38.832543404146897</v>
      </c>
      <c r="AJ943" s="9">
        <v>509.77483470176901</v>
      </c>
      <c r="AK943" s="9">
        <v>511.59655648171702</v>
      </c>
      <c r="AL943" s="9">
        <v>570.77479915269805</v>
      </c>
      <c r="AM943" s="9" t="s">
        <v>169</v>
      </c>
      <c r="AN943" s="9" t="s">
        <v>169</v>
      </c>
      <c r="AO943" s="9" t="s">
        <v>169</v>
      </c>
      <c r="AP943" s="9" t="s">
        <v>169</v>
      </c>
      <c r="AQ943" s="9" t="s">
        <v>169</v>
      </c>
      <c r="AR943" s="9" t="s">
        <v>169</v>
      </c>
      <c r="AS943" s="8" t="s">
        <v>169</v>
      </c>
      <c r="AT943" s="8" t="s">
        <v>169</v>
      </c>
      <c r="AU943" s="10" t="s">
        <v>169</v>
      </c>
      <c r="AV943" s="10">
        <v>0</v>
      </c>
      <c r="AW943" s="10" t="s">
        <v>169</v>
      </c>
      <c r="AX943" s="10" t="s">
        <v>169</v>
      </c>
      <c r="AY943" s="10"/>
      <c r="AZ943" s="10"/>
      <c r="BA943" s="10"/>
      <c r="BB943" s="8"/>
      <c r="BC943" s="8"/>
      <c r="BD943" s="8"/>
      <c r="BE943" s="8"/>
      <c r="BF943" s="12">
        <v>0.38</v>
      </c>
      <c r="BG943" s="13">
        <v>377.75778790589402</v>
      </c>
      <c r="BH943" s="96" t="str">
        <f>+VLOOKUP(G943,Liste!$A$7:$G$50,3,FALSE)</f>
        <v>Sapin pectiné</v>
      </c>
      <c r="BI943" s="96" t="str">
        <f>+VLOOKUP(H943,Liste!$B$7:$G$50,5,FALSE)</f>
        <v>GS Arc Jurassien</v>
      </c>
      <c r="BJ943" s="135">
        <f t="shared" si="282"/>
        <v>74</v>
      </c>
      <c r="BK943" s="135" t="str">
        <f t="shared" si="284"/>
        <v>Sapin pectiné_F1_Cas général_GS Arc Jurassien_74_</v>
      </c>
      <c r="BL943" s="322"/>
      <c r="BM943" s="13">
        <v>93.0613489404207</v>
      </c>
      <c r="BN943" s="13">
        <v>470.819136846314</v>
      </c>
      <c r="BO943" s="13" t="s">
        <v>169</v>
      </c>
      <c r="BP943" s="13">
        <v>307.55958661145604</v>
      </c>
      <c r="BQ943" s="13" t="s">
        <v>169</v>
      </c>
      <c r="BT943" s="298" t="str">
        <f>+VLOOKUP(G943,Liste!$A$7:$H$50,8,FALSE)</f>
        <v>Résineux</v>
      </c>
      <c r="BU943" s="298">
        <f t="shared" si="285"/>
        <v>0</v>
      </c>
      <c r="BV943" s="300">
        <f t="shared" si="286"/>
        <v>1</v>
      </c>
      <c r="BW943" s="321">
        <v>0</v>
      </c>
      <c r="BX943" s="298">
        <f t="shared" si="287"/>
        <v>0.43</v>
      </c>
      <c r="BY943">
        <f t="shared" si="288"/>
        <v>0</v>
      </c>
      <c r="BZ943" s="304">
        <f t="shared" si="289"/>
        <v>0</v>
      </c>
      <c r="CB943" s="299">
        <v>0.6</v>
      </c>
      <c r="CC943" s="299">
        <v>0.4</v>
      </c>
      <c r="CD943">
        <f t="shared" si="290"/>
        <v>0</v>
      </c>
      <c r="CE943">
        <f t="shared" si="291"/>
        <v>0</v>
      </c>
      <c r="CF943">
        <f t="shared" si="292"/>
        <v>0</v>
      </c>
      <c r="CG943">
        <f t="shared" si="293"/>
        <v>0</v>
      </c>
      <c r="CH943">
        <f t="shared" si="294"/>
        <v>0</v>
      </c>
      <c r="CI943">
        <f t="shared" si="295"/>
        <v>0</v>
      </c>
      <c r="CJ943">
        <f t="shared" si="296"/>
        <v>0</v>
      </c>
      <c r="CK943">
        <f t="shared" si="297"/>
        <v>0</v>
      </c>
      <c r="CL943">
        <f t="shared" si="298"/>
        <v>0</v>
      </c>
      <c r="CM943">
        <f t="shared" si="300"/>
        <v>0</v>
      </c>
      <c r="CN943">
        <f t="shared" si="299"/>
        <v>0</v>
      </c>
      <c r="CO943">
        <f t="shared" si="283"/>
        <v>0</v>
      </c>
    </row>
    <row r="944" spans="1:93" s="12" customFormat="1" x14ac:dyDescent="0.25">
      <c r="A944" s="4">
        <v>2013</v>
      </c>
      <c r="B944" s="318">
        <v>44265</v>
      </c>
      <c r="C944" s="4" t="s">
        <v>430</v>
      </c>
      <c r="D944" s="4" t="s">
        <v>431</v>
      </c>
      <c r="E944" s="4"/>
      <c r="F944" s="4" t="s">
        <v>1493</v>
      </c>
      <c r="G944" s="5" t="s">
        <v>432</v>
      </c>
      <c r="H944" s="5" t="s">
        <v>185</v>
      </c>
      <c r="I944" s="5" t="s">
        <v>222</v>
      </c>
      <c r="J944" s="5" t="s">
        <v>9</v>
      </c>
      <c r="K944" s="5">
        <v>20</v>
      </c>
      <c r="L944" s="5" t="s">
        <v>190</v>
      </c>
      <c r="M944" s="5">
        <v>2000</v>
      </c>
      <c r="N944" s="5" t="s">
        <v>171</v>
      </c>
      <c r="O944" s="6" t="s">
        <v>81</v>
      </c>
      <c r="P944" s="6" t="s">
        <v>186</v>
      </c>
      <c r="Q944" s="6"/>
      <c r="R944" s="6"/>
      <c r="S944" s="6">
        <v>45</v>
      </c>
      <c r="T944" s="6">
        <v>17.7</v>
      </c>
      <c r="U944" s="6">
        <v>1853</v>
      </c>
      <c r="V944" s="6">
        <v>45.68</v>
      </c>
      <c r="W944" s="6">
        <v>0</v>
      </c>
      <c r="X944" s="6">
        <v>0</v>
      </c>
      <c r="Y944" s="6">
        <v>1079</v>
      </c>
      <c r="Z944" s="6">
        <v>672</v>
      </c>
      <c r="AA944" s="6">
        <v>94</v>
      </c>
      <c r="AB944" s="6">
        <v>8</v>
      </c>
      <c r="AC944" s="7">
        <v>75</v>
      </c>
      <c r="AD944" s="7" t="s">
        <v>52</v>
      </c>
      <c r="AE944" s="9">
        <v>29.208897085223398</v>
      </c>
      <c r="AF944" s="7">
        <v>391</v>
      </c>
      <c r="AG944" s="7">
        <v>37.4</v>
      </c>
      <c r="AH944" s="9">
        <v>34.896353969790198</v>
      </c>
      <c r="AI944" s="9">
        <v>39.320219322677801</v>
      </c>
      <c r="AJ944" s="9">
        <v>528.80536237659703</v>
      </c>
      <c r="AK944" s="9">
        <v>530.68537286779497</v>
      </c>
      <c r="AL944" s="9">
        <v>590.993649720902</v>
      </c>
      <c r="AM944" s="9">
        <v>83.479974472999004</v>
      </c>
      <c r="AN944" s="9">
        <v>1.11306632630665</v>
      </c>
      <c r="AO944" s="9">
        <v>0.89534729093806198</v>
      </c>
      <c r="AP944" s="9">
        <v>1121.16008705285</v>
      </c>
      <c r="AQ944" s="9">
        <v>14.948801160704599</v>
      </c>
      <c r="AR944" s="9">
        <v>19.198193358429801</v>
      </c>
      <c r="AS944" s="8" t="s">
        <v>169</v>
      </c>
      <c r="AT944" s="8" t="s">
        <v>169</v>
      </c>
      <c r="AU944" s="10" t="s">
        <v>169</v>
      </c>
      <c r="AV944" s="10">
        <v>0</v>
      </c>
      <c r="AW944" s="10" t="s">
        <v>169</v>
      </c>
      <c r="AX944" s="10" t="s">
        <v>169</v>
      </c>
      <c r="AY944" s="10"/>
      <c r="AZ944" s="10"/>
      <c r="BA944" s="10"/>
      <c r="BB944" s="8"/>
      <c r="BC944" s="8"/>
      <c r="BD944" s="8"/>
      <c r="BE944" s="8"/>
      <c r="BF944" s="12">
        <v>0.38</v>
      </c>
      <c r="BG944" s="13">
        <v>391.13929717361702</v>
      </c>
      <c r="BH944" s="96" t="str">
        <f>+VLOOKUP(G944,Liste!$A$7:$G$50,3,FALSE)</f>
        <v>Sapin pectiné</v>
      </c>
      <c r="BI944" s="96" t="str">
        <f>+VLOOKUP(H944,Liste!$B$7:$G$50,5,FALSE)</f>
        <v>GS Arc Jurassien</v>
      </c>
      <c r="BJ944" s="135">
        <f t="shared" si="282"/>
        <v>75</v>
      </c>
      <c r="BK944" s="135" t="str">
        <f t="shared" si="284"/>
        <v>Sapin pectiné_F1_Cas général_GS Arc Jurassien_75_</v>
      </c>
      <c r="BL944" s="322"/>
      <c r="BM944" s="13">
        <v>95.980822150792207</v>
      </c>
      <c r="BN944" s="13">
        <v>487.12011932440902</v>
      </c>
      <c r="BO944" s="13" t="s">
        <v>169</v>
      </c>
      <c r="BP944" s="13">
        <v>307.55958661145604</v>
      </c>
      <c r="BQ944" s="13">
        <v>15.2605775239319</v>
      </c>
      <c r="BT944" s="298" t="str">
        <f>+VLOOKUP(G944,Liste!$A$7:$H$50,8,FALSE)</f>
        <v>Résineux</v>
      </c>
      <c r="BU944" s="298">
        <f t="shared" si="285"/>
        <v>0</v>
      </c>
      <c r="BV944" s="300">
        <f t="shared" si="286"/>
        <v>1</v>
      </c>
      <c r="BW944" s="321">
        <v>0</v>
      </c>
      <c r="BX944" s="298">
        <f t="shared" si="287"/>
        <v>0.43</v>
      </c>
      <c r="BY944">
        <f t="shared" si="288"/>
        <v>0</v>
      </c>
      <c r="BZ944" s="304">
        <f t="shared" si="289"/>
        <v>0</v>
      </c>
      <c r="CB944" s="299">
        <v>0.6</v>
      </c>
      <c r="CC944" s="299">
        <v>0.4</v>
      </c>
      <c r="CD944">
        <f t="shared" si="290"/>
        <v>0</v>
      </c>
      <c r="CE944">
        <f t="shared" si="291"/>
        <v>0</v>
      </c>
      <c r="CF944">
        <f t="shared" si="292"/>
        <v>0</v>
      </c>
      <c r="CG944">
        <f t="shared" si="293"/>
        <v>0</v>
      </c>
      <c r="CH944">
        <f t="shared" si="294"/>
        <v>0</v>
      </c>
      <c r="CI944">
        <f t="shared" si="295"/>
        <v>0</v>
      </c>
      <c r="CJ944">
        <f t="shared" si="296"/>
        <v>0</v>
      </c>
      <c r="CK944">
        <f t="shared" si="297"/>
        <v>0</v>
      </c>
      <c r="CL944">
        <f t="shared" si="298"/>
        <v>0</v>
      </c>
      <c r="CM944">
        <f t="shared" si="300"/>
        <v>0</v>
      </c>
      <c r="CN944">
        <f t="shared" si="299"/>
        <v>0</v>
      </c>
      <c r="CO944">
        <f t="shared" si="283"/>
        <v>0</v>
      </c>
    </row>
    <row r="945" spans="1:93" s="12" customFormat="1" x14ac:dyDescent="0.25">
      <c r="A945" s="4">
        <v>2013</v>
      </c>
      <c r="B945" s="318">
        <v>44265</v>
      </c>
      <c r="C945" s="4" t="s">
        <v>430</v>
      </c>
      <c r="D945" s="4" t="s">
        <v>431</v>
      </c>
      <c r="E945" s="4"/>
      <c r="F945" s="4" t="s">
        <v>1493</v>
      </c>
      <c r="G945" s="5" t="s">
        <v>432</v>
      </c>
      <c r="H945" s="5" t="s">
        <v>185</v>
      </c>
      <c r="I945" s="5" t="s">
        <v>222</v>
      </c>
      <c r="J945" s="5" t="s">
        <v>9</v>
      </c>
      <c r="K945" s="5">
        <v>20</v>
      </c>
      <c r="L945" s="5" t="s">
        <v>190</v>
      </c>
      <c r="M945" s="5">
        <v>2000</v>
      </c>
      <c r="N945" s="5" t="s">
        <v>171</v>
      </c>
      <c r="O945" s="6" t="s">
        <v>81</v>
      </c>
      <c r="P945" s="6" t="s">
        <v>186</v>
      </c>
      <c r="Q945" s="6"/>
      <c r="R945" s="6"/>
      <c r="S945" s="6">
        <v>45</v>
      </c>
      <c r="T945" s="6">
        <v>17.7</v>
      </c>
      <c r="U945" s="6">
        <v>1853</v>
      </c>
      <c r="V945" s="6">
        <v>45.68</v>
      </c>
      <c r="W945" s="6">
        <v>0</v>
      </c>
      <c r="X945" s="6">
        <v>0</v>
      </c>
      <c r="Y945" s="6">
        <v>1079</v>
      </c>
      <c r="Z945" s="6">
        <v>672</v>
      </c>
      <c r="AA945" s="6">
        <v>94</v>
      </c>
      <c r="AB945" s="6">
        <v>8</v>
      </c>
      <c r="AC945" s="7">
        <v>75</v>
      </c>
      <c r="AD945" s="7" t="s">
        <v>53</v>
      </c>
      <c r="AE945" s="9">
        <v>29.208897085223398</v>
      </c>
      <c r="AF945" s="7">
        <v>311</v>
      </c>
      <c r="AG945" s="7">
        <v>30.2</v>
      </c>
      <c r="AH945" s="9">
        <v>35.1620204224253</v>
      </c>
      <c r="AI945" s="9">
        <v>38.965713570818501</v>
      </c>
      <c r="AJ945" s="9">
        <v>427.60401591287803</v>
      </c>
      <c r="AK945" s="9">
        <v>429.14771607593099</v>
      </c>
      <c r="AL945" s="9">
        <v>477.95532907777198</v>
      </c>
      <c r="AM945" s="9">
        <v>83.479974472999004</v>
      </c>
      <c r="AN945" s="9">
        <v>1.11306632630665</v>
      </c>
      <c r="AO945" s="9">
        <v>0.89534729093806198</v>
      </c>
      <c r="AP945" s="9">
        <v>1121.16008705285</v>
      </c>
      <c r="AQ945" s="9">
        <v>14.948801160704599</v>
      </c>
      <c r="AR945" s="9">
        <v>19.198193358429801</v>
      </c>
      <c r="AS945" s="8">
        <v>80</v>
      </c>
      <c r="AT945" s="8">
        <v>7.1999999999999993</v>
      </c>
      <c r="AU945" s="10">
        <v>33.851375012865375</v>
      </c>
      <c r="AV945" s="10">
        <v>101.20134646371901</v>
      </c>
      <c r="AW945" s="10">
        <v>0.94100627841905438</v>
      </c>
      <c r="AX945" s="10">
        <v>1.2650168307964875</v>
      </c>
      <c r="AY945" s="10"/>
      <c r="AZ945" s="10"/>
      <c r="BA945" s="10"/>
      <c r="BB945" s="8"/>
      <c r="BC945" s="8"/>
      <c r="BD945" s="8"/>
      <c r="BE945" s="8"/>
      <c r="BF945" s="12">
        <v>0.38</v>
      </c>
      <c r="BG945" s="13">
        <v>316.326768627972</v>
      </c>
      <c r="BH945" s="96" t="str">
        <f>+VLOOKUP(G945,Liste!$A$7:$G$50,3,FALSE)</f>
        <v>Sapin pectiné</v>
      </c>
      <c r="BI945" s="96" t="str">
        <f>+VLOOKUP(H945,Liste!$B$7:$G$50,5,FALSE)</f>
        <v>GS Arc Jurassien</v>
      </c>
      <c r="BJ945" s="135">
        <f t="shared" si="282"/>
        <v>75</v>
      </c>
      <c r="BK945" s="135" t="str">
        <f t="shared" si="284"/>
        <v>Sapin pectiné_F1_Cas général_GS Arc Jurassien_75_</v>
      </c>
      <c r="BL945" s="322"/>
      <c r="BM945" s="13">
        <v>79.564715913517105</v>
      </c>
      <c r="BN945" s="13">
        <v>395.89148454148898</v>
      </c>
      <c r="BO945" s="13">
        <v>91.228634782920039</v>
      </c>
      <c r="BP945" s="13">
        <v>307.55958661145604</v>
      </c>
      <c r="BQ945" s="13">
        <v>15.2605775239319</v>
      </c>
      <c r="BT945" s="298" t="str">
        <f>+VLOOKUP(G945,Liste!$A$7:$H$50,8,FALSE)</f>
        <v>Résineux</v>
      </c>
      <c r="BU945" s="298">
        <f t="shared" si="285"/>
        <v>0</v>
      </c>
      <c r="BV945" s="300">
        <f t="shared" si="286"/>
        <v>1</v>
      </c>
      <c r="BW945" s="321">
        <v>0</v>
      </c>
      <c r="BX945" s="298">
        <f t="shared" si="287"/>
        <v>0.43</v>
      </c>
      <c r="BY945">
        <f t="shared" si="288"/>
        <v>0</v>
      </c>
      <c r="BZ945" s="304">
        <f t="shared" si="289"/>
        <v>0</v>
      </c>
      <c r="CB945" s="299">
        <v>0.6</v>
      </c>
      <c r="CC945" s="299">
        <v>0.4</v>
      </c>
      <c r="CD945">
        <f t="shared" si="290"/>
        <v>0</v>
      </c>
      <c r="CE945">
        <f t="shared" si="291"/>
        <v>0</v>
      </c>
      <c r="CF945">
        <f t="shared" si="292"/>
        <v>0</v>
      </c>
      <c r="CG945">
        <f t="shared" si="293"/>
        <v>0</v>
      </c>
      <c r="CH945">
        <f t="shared" si="294"/>
        <v>0</v>
      </c>
      <c r="CI945">
        <f t="shared" si="295"/>
        <v>0</v>
      </c>
      <c r="CJ945">
        <f t="shared" si="296"/>
        <v>0</v>
      </c>
      <c r="CK945">
        <f t="shared" si="297"/>
        <v>0</v>
      </c>
      <c r="CL945">
        <f t="shared" si="298"/>
        <v>0</v>
      </c>
      <c r="CM945">
        <f t="shared" si="300"/>
        <v>0</v>
      </c>
      <c r="CN945">
        <f t="shared" si="299"/>
        <v>0</v>
      </c>
      <c r="CO945">
        <f t="shared" si="283"/>
        <v>0</v>
      </c>
    </row>
    <row r="946" spans="1:93" s="12" customFormat="1" x14ac:dyDescent="0.25">
      <c r="A946" s="4">
        <v>2013</v>
      </c>
      <c r="B946" s="318">
        <v>44265</v>
      </c>
      <c r="C946" s="4" t="s">
        <v>430</v>
      </c>
      <c r="D946" s="4" t="s">
        <v>431</v>
      </c>
      <c r="E946" s="4"/>
      <c r="F946" s="4" t="s">
        <v>1493</v>
      </c>
      <c r="G946" s="5" t="s">
        <v>432</v>
      </c>
      <c r="H946" s="5" t="s">
        <v>185</v>
      </c>
      <c r="I946" s="5" t="s">
        <v>222</v>
      </c>
      <c r="J946" s="5" t="s">
        <v>9</v>
      </c>
      <c r="K946" s="5">
        <v>20</v>
      </c>
      <c r="L946" s="5" t="s">
        <v>190</v>
      </c>
      <c r="M946" s="5">
        <v>2000</v>
      </c>
      <c r="N946" s="5" t="s">
        <v>171</v>
      </c>
      <c r="O946" s="6" t="s">
        <v>81</v>
      </c>
      <c r="P946" s="6" t="s">
        <v>186</v>
      </c>
      <c r="Q946" s="6"/>
      <c r="R946" s="6"/>
      <c r="S946" s="6">
        <v>45</v>
      </c>
      <c r="T946" s="6">
        <v>17.7</v>
      </c>
      <c r="U946" s="6">
        <v>1853</v>
      </c>
      <c r="V946" s="6">
        <v>45.68</v>
      </c>
      <c r="W946" s="6">
        <v>0</v>
      </c>
      <c r="X946" s="6">
        <v>0</v>
      </c>
      <c r="Y946" s="6">
        <v>1079</v>
      </c>
      <c r="Z946" s="6">
        <v>672</v>
      </c>
      <c r="AA946" s="6">
        <v>94</v>
      </c>
      <c r="AB946" s="6">
        <v>8</v>
      </c>
      <c r="AC946" s="7">
        <v>76</v>
      </c>
      <c r="AD946" s="7" t="s">
        <v>52</v>
      </c>
      <c r="AE946" s="9">
        <v>29.4918550945889</v>
      </c>
      <c r="AF946" s="7">
        <v>311</v>
      </c>
      <c r="AG946" s="7">
        <v>31.09</v>
      </c>
      <c r="AH946" s="9">
        <v>35.679452881428098</v>
      </c>
      <c r="AI946" s="9">
        <v>39.518803437753803</v>
      </c>
      <c r="AJ946" s="9">
        <v>445.79205702472899</v>
      </c>
      <c r="AK946" s="9">
        <v>447.385962134149</v>
      </c>
      <c r="AL946" s="9">
        <v>497.153522436201</v>
      </c>
      <c r="AM946" s="9">
        <v>84.375321763937094</v>
      </c>
      <c r="AN946" s="9">
        <v>1.11020160215707</v>
      </c>
      <c r="AO946" s="9">
        <v>0.86495880664326097</v>
      </c>
      <c r="AP946" s="9">
        <v>1140.35828041128</v>
      </c>
      <c r="AQ946" s="9">
        <v>15.0047142159379</v>
      </c>
      <c r="AR946" s="9">
        <v>18.383039932634102</v>
      </c>
      <c r="AS946" s="8" t="s">
        <v>169</v>
      </c>
      <c r="AT946" s="8" t="s">
        <v>169</v>
      </c>
      <c r="AU946" s="10" t="s">
        <v>169</v>
      </c>
      <c r="AV946" s="10">
        <v>0</v>
      </c>
      <c r="AW946" s="10" t="s">
        <v>169</v>
      </c>
      <c r="AX946" s="10" t="s">
        <v>169</v>
      </c>
      <c r="AY946" s="10"/>
      <c r="AZ946" s="10"/>
      <c r="BA946" s="10"/>
      <c r="BB946" s="8"/>
      <c r="BC946" s="8"/>
      <c r="BD946" s="8"/>
      <c r="BE946" s="8"/>
      <c r="BF946" s="12">
        <v>0.38</v>
      </c>
      <c r="BG946" s="13">
        <v>329.03277293235902</v>
      </c>
      <c r="BH946" s="96" t="str">
        <f>+VLOOKUP(G946,Liste!$A$7:$G$50,3,FALSE)</f>
        <v>Sapin pectiné</v>
      </c>
      <c r="BI946" s="96" t="str">
        <f>+VLOOKUP(H946,Liste!$B$7:$G$50,5,FALSE)</f>
        <v>GS Arc Jurassien</v>
      </c>
      <c r="BJ946" s="135">
        <f t="shared" si="282"/>
        <v>76</v>
      </c>
      <c r="BK946" s="135" t="str">
        <f t="shared" si="284"/>
        <v>Sapin pectiné_F1_Cas général_GS Arc Jurassien_76_</v>
      </c>
      <c r="BL946" s="322"/>
      <c r="BM946" s="13">
        <v>82.382110766263693</v>
      </c>
      <c r="BN946" s="13">
        <v>411.41488369862299</v>
      </c>
      <c r="BO946" s="13" t="s">
        <v>169</v>
      </c>
      <c r="BP946" s="13">
        <v>307.55958661145604</v>
      </c>
      <c r="BQ946" s="13">
        <v>14.599071791344301</v>
      </c>
      <c r="BT946" s="298" t="str">
        <f>+VLOOKUP(G946,Liste!$A$7:$H$50,8,FALSE)</f>
        <v>Résineux</v>
      </c>
      <c r="BU946" s="298">
        <f t="shared" si="285"/>
        <v>0</v>
      </c>
      <c r="BV946" s="300">
        <f t="shared" si="286"/>
        <v>1</v>
      </c>
      <c r="BW946" s="321">
        <v>0</v>
      </c>
      <c r="BX946" s="298">
        <f t="shared" si="287"/>
        <v>0.43</v>
      </c>
      <c r="BY946">
        <f t="shared" si="288"/>
        <v>0</v>
      </c>
      <c r="BZ946" s="304">
        <f t="shared" si="289"/>
        <v>0</v>
      </c>
      <c r="CB946" s="299">
        <v>0.6</v>
      </c>
      <c r="CC946" s="299">
        <v>0.4</v>
      </c>
      <c r="CD946">
        <f t="shared" si="290"/>
        <v>0</v>
      </c>
      <c r="CE946">
        <f t="shared" si="291"/>
        <v>0</v>
      </c>
      <c r="CF946">
        <f t="shared" si="292"/>
        <v>0</v>
      </c>
      <c r="CG946">
        <f t="shared" si="293"/>
        <v>0</v>
      </c>
      <c r="CH946">
        <f t="shared" si="294"/>
        <v>0</v>
      </c>
      <c r="CI946">
        <f t="shared" si="295"/>
        <v>0</v>
      </c>
      <c r="CJ946">
        <f t="shared" si="296"/>
        <v>0</v>
      </c>
      <c r="CK946">
        <f t="shared" si="297"/>
        <v>0</v>
      </c>
      <c r="CL946">
        <f t="shared" si="298"/>
        <v>0</v>
      </c>
      <c r="CM946">
        <f t="shared" si="300"/>
        <v>0</v>
      </c>
      <c r="CN946">
        <f t="shared" si="299"/>
        <v>0</v>
      </c>
      <c r="CO946">
        <f t="shared" si="283"/>
        <v>0</v>
      </c>
    </row>
    <row r="947" spans="1:93" s="12" customFormat="1" x14ac:dyDescent="0.25">
      <c r="A947" s="4">
        <v>2013</v>
      </c>
      <c r="B947" s="318">
        <v>44265</v>
      </c>
      <c r="C947" s="4" t="s">
        <v>430</v>
      </c>
      <c r="D947" s="4" t="s">
        <v>431</v>
      </c>
      <c r="E947" s="4"/>
      <c r="F947" s="4" t="s">
        <v>1493</v>
      </c>
      <c r="G947" s="5" t="s">
        <v>432</v>
      </c>
      <c r="H947" s="5" t="s">
        <v>185</v>
      </c>
      <c r="I947" s="5" t="s">
        <v>222</v>
      </c>
      <c r="J947" s="5" t="s">
        <v>9</v>
      </c>
      <c r="K947" s="5">
        <v>20</v>
      </c>
      <c r="L947" s="5" t="s">
        <v>190</v>
      </c>
      <c r="M947" s="5">
        <v>2000</v>
      </c>
      <c r="N947" s="5" t="s">
        <v>171</v>
      </c>
      <c r="O947" s="6" t="s">
        <v>81</v>
      </c>
      <c r="P947" s="6" t="s">
        <v>186</v>
      </c>
      <c r="Q947" s="6"/>
      <c r="R947" s="6"/>
      <c r="S947" s="6">
        <v>45</v>
      </c>
      <c r="T947" s="6">
        <v>17.7</v>
      </c>
      <c r="U947" s="6">
        <v>1853</v>
      </c>
      <c r="V947" s="6">
        <v>45.68</v>
      </c>
      <c r="W947" s="6">
        <v>0</v>
      </c>
      <c r="X947" s="6">
        <v>0</v>
      </c>
      <c r="Y947" s="6">
        <v>1079</v>
      </c>
      <c r="Z947" s="6">
        <v>672</v>
      </c>
      <c r="AA947" s="6">
        <v>94</v>
      </c>
      <c r="AB947" s="6">
        <v>8</v>
      </c>
      <c r="AC947" s="7">
        <v>77</v>
      </c>
      <c r="AD947" s="7" t="s">
        <v>52</v>
      </c>
      <c r="AE947" s="9">
        <v>29.769752001552401</v>
      </c>
      <c r="AF947" s="7">
        <v>311</v>
      </c>
      <c r="AG947" s="7">
        <v>31.98</v>
      </c>
      <c r="AH947" s="9">
        <v>36.183772449269</v>
      </c>
      <c r="AI947" s="9">
        <v>40.057034258099698</v>
      </c>
      <c r="AJ947" s="9">
        <v>463.13292754083199</v>
      </c>
      <c r="AK947" s="9">
        <v>464.78150020263899</v>
      </c>
      <c r="AL947" s="9">
        <v>515.53656236883501</v>
      </c>
      <c r="AM947" s="9" t="s">
        <v>169</v>
      </c>
      <c r="AN947" s="9" t="s">
        <v>169</v>
      </c>
      <c r="AO947" s="9" t="s">
        <v>169</v>
      </c>
      <c r="AP947" s="9" t="s">
        <v>169</v>
      </c>
      <c r="AQ947" s="9" t="s">
        <v>169</v>
      </c>
      <c r="AR947" s="9" t="s">
        <v>169</v>
      </c>
      <c r="AS947" s="8" t="s">
        <v>169</v>
      </c>
      <c r="AT947" s="8" t="s">
        <v>169</v>
      </c>
      <c r="AU947" s="10" t="s">
        <v>169</v>
      </c>
      <c r="AV947" s="10">
        <v>0</v>
      </c>
      <c r="AW947" s="10" t="s">
        <v>169</v>
      </c>
      <c r="AX947" s="10" t="s">
        <v>169</v>
      </c>
      <c r="AY947" s="10"/>
      <c r="AZ947" s="10"/>
      <c r="BA947" s="10"/>
      <c r="BB947" s="8"/>
      <c r="BC947" s="8"/>
      <c r="BD947" s="8"/>
      <c r="BE947" s="8"/>
      <c r="BF947" s="12">
        <v>0.38</v>
      </c>
      <c r="BG947" s="13">
        <v>341.19928152777402</v>
      </c>
      <c r="BH947" s="96" t="str">
        <f>+VLOOKUP(G947,Liste!$A$7:$G$50,3,FALSE)</f>
        <v>Sapin pectiné</v>
      </c>
      <c r="BI947" s="96" t="str">
        <f>+VLOOKUP(H947,Liste!$B$7:$G$50,5,FALSE)</f>
        <v>GS Arc Jurassien</v>
      </c>
      <c r="BJ947" s="135">
        <f t="shared" si="282"/>
        <v>77</v>
      </c>
      <c r="BK947" s="135" t="str">
        <f t="shared" si="284"/>
        <v>Sapin pectiné_F1_Cas général_GS Arc Jurassien_77_</v>
      </c>
      <c r="BL947" s="322"/>
      <c r="BM947" s="13">
        <v>85.046596440841597</v>
      </c>
      <c r="BN947" s="13">
        <v>426.24587796861601</v>
      </c>
      <c r="BO947" s="13" t="s">
        <v>169</v>
      </c>
      <c r="BP947" s="13">
        <v>307.55958661145604</v>
      </c>
      <c r="BQ947" s="13" t="s">
        <v>169</v>
      </c>
      <c r="BT947" s="298" t="str">
        <f>+VLOOKUP(G947,Liste!$A$7:$H$50,8,FALSE)</f>
        <v>Résineux</v>
      </c>
      <c r="BU947" s="298">
        <f t="shared" si="285"/>
        <v>0</v>
      </c>
      <c r="BV947" s="300">
        <f t="shared" si="286"/>
        <v>1</v>
      </c>
      <c r="BW947" s="321">
        <v>0</v>
      </c>
      <c r="BX947" s="298">
        <f t="shared" si="287"/>
        <v>0.43</v>
      </c>
      <c r="BY947">
        <f t="shared" si="288"/>
        <v>0</v>
      </c>
      <c r="BZ947" s="304">
        <f t="shared" si="289"/>
        <v>0</v>
      </c>
      <c r="CB947" s="299">
        <v>0.6</v>
      </c>
      <c r="CC947" s="299">
        <v>0.4</v>
      </c>
      <c r="CD947">
        <f t="shared" si="290"/>
        <v>0</v>
      </c>
      <c r="CE947">
        <f t="shared" si="291"/>
        <v>0</v>
      </c>
      <c r="CF947">
        <f t="shared" si="292"/>
        <v>0</v>
      </c>
      <c r="CG947">
        <f t="shared" si="293"/>
        <v>0</v>
      </c>
      <c r="CH947">
        <f t="shared" si="294"/>
        <v>0</v>
      </c>
      <c r="CI947">
        <f t="shared" si="295"/>
        <v>0</v>
      </c>
      <c r="CJ947">
        <f t="shared" si="296"/>
        <v>0</v>
      </c>
      <c r="CK947">
        <f t="shared" si="297"/>
        <v>0</v>
      </c>
      <c r="CL947">
        <f t="shared" si="298"/>
        <v>0</v>
      </c>
      <c r="CM947">
        <f t="shared" si="300"/>
        <v>0</v>
      </c>
      <c r="CN947">
        <f t="shared" si="299"/>
        <v>0</v>
      </c>
      <c r="CO947">
        <f t="shared" si="283"/>
        <v>0</v>
      </c>
    </row>
    <row r="948" spans="1:93" s="12" customFormat="1" x14ac:dyDescent="0.25">
      <c r="A948" s="4">
        <v>2013</v>
      </c>
      <c r="B948" s="318">
        <v>44265</v>
      </c>
      <c r="C948" s="4" t="s">
        <v>430</v>
      </c>
      <c r="D948" s="4" t="s">
        <v>431</v>
      </c>
      <c r="E948" s="4"/>
      <c r="F948" s="4" t="s">
        <v>1493</v>
      </c>
      <c r="G948" s="5" t="s">
        <v>432</v>
      </c>
      <c r="H948" s="5" t="s">
        <v>185</v>
      </c>
      <c r="I948" s="5" t="s">
        <v>222</v>
      </c>
      <c r="J948" s="5" t="s">
        <v>9</v>
      </c>
      <c r="K948" s="5">
        <v>20</v>
      </c>
      <c r="L948" s="5" t="s">
        <v>190</v>
      </c>
      <c r="M948" s="5">
        <v>2000</v>
      </c>
      <c r="N948" s="5" t="s">
        <v>171</v>
      </c>
      <c r="O948" s="6" t="s">
        <v>81</v>
      </c>
      <c r="P948" s="6" t="s">
        <v>186</v>
      </c>
      <c r="Q948" s="6"/>
      <c r="R948" s="6"/>
      <c r="S948" s="6">
        <v>45</v>
      </c>
      <c r="T948" s="6">
        <v>17.7</v>
      </c>
      <c r="U948" s="6">
        <v>1853</v>
      </c>
      <c r="V948" s="6">
        <v>45.68</v>
      </c>
      <c r="W948" s="6">
        <v>0</v>
      </c>
      <c r="X948" s="6">
        <v>0</v>
      </c>
      <c r="Y948" s="6">
        <v>1079</v>
      </c>
      <c r="Z948" s="6">
        <v>672</v>
      </c>
      <c r="AA948" s="6">
        <v>94</v>
      </c>
      <c r="AB948" s="6">
        <v>8</v>
      </c>
      <c r="AC948" s="7">
        <v>78</v>
      </c>
      <c r="AD948" s="7" t="s">
        <v>52</v>
      </c>
      <c r="AE948" s="9">
        <v>30.042704226045998</v>
      </c>
      <c r="AF948" s="7">
        <v>311</v>
      </c>
      <c r="AG948" s="7">
        <v>32.86</v>
      </c>
      <c r="AH948" s="9">
        <v>36.675501754483101</v>
      </c>
      <c r="AI948" s="9">
        <v>40.581053389118502</v>
      </c>
      <c r="AJ948" s="9">
        <v>480.47379805693402</v>
      </c>
      <c r="AK948" s="9">
        <v>482.17703827112803</v>
      </c>
      <c r="AL948" s="9">
        <v>533.91960230146901</v>
      </c>
      <c r="AM948" s="9" t="s">
        <v>169</v>
      </c>
      <c r="AN948" s="9" t="s">
        <v>169</v>
      </c>
      <c r="AO948" s="9" t="s">
        <v>169</v>
      </c>
      <c r="AP948" s="9" t="s">
        <v>169</v>
      </c>
      <c r="AQ948" s="9" t="s">
        <v>169</v>
      </c>
      <c r="AR948" s="9" t="s">
        <v>169</v>
      </c>
      <c r="AS948" s="8" t="s">
        <v>169</v>
      </c>
      <c r="AT948" s="8" t="s">
        <v>169</v>
      </c>
      <c r="AU948" s="10" t="s">
        <v>169</v>
      </c>
      <c r="AV948" s="10">
        <v>0</v>
      </c>
      <c r="AW948" s="10" t="s">
        <v>169</v>
      </c>
      <c r="AX948" s="10" t="s">
        <v>169</v>
      </c>
      <c r="AY948" s="10"/>
      <c r="AZ948" s="10"/>
      <c r="BA948" s="10"/>
      <c r="BB948" s="8"/>
      <c r="BC948" s="8"/>
      <c r="BD948" s="8"/>
      <c r="BE948" s="8"/>
      <c r="BF948" s="12">
        <v>0.38</v>
      </c>
      <c r="BG948" s="13">
        <v>353.36579012318902</v>
      </c>
      <c r="BH948" s="96" t="str">
        <f>+VLOOKUP(G948,Liste!$A$7:$G$50,3,FALSE)</f>
        <v>Sapin pectiné</v>
      </c>
      <c r="BI948" s="96" t="str">
        <f>+VLOOKUP(H948,Liste!$B$7:$G$50,5,FALSE)</f>
        <v>GS Arc Jurassien</v>
      </c>
      <c r="BJ948" s="135">
        <f t="shared" si="282"/>
        <v>78</v>
      </c>
      <c r="BK948" s="135" t="str">
        <f t="shared" si="284"/>
        <v>Sapin pectiné_F1_Cas général_GS Arc Jurassien_78_</v>
      </c>
      <c r="BL948" s="322"/>
      <c r="BM948" s="13">
        <v>87.711082115419501</v>
      </c>
      <c r="BN948" s="13">
        <v>441.07687223860898</v>
      </c>
      <c r="BO948" s="13" t="s">
        <v>169</v>
      </c>
      <c r="BP948" s="13">
        <v>307.55958661145604</v>
      </c>
      <c r="BQ948" s="13" t="s">
        <v>169</v>
      </c>
      <c r="BT948" s="298" t="str">
        <f>+VLOOKUP(G948,Liste!$A$7:$H$50,8,FALSE)</f>
        <v>Résineux</v>
      </c>
      <c r="BU948" s="298">
        <f t="shared" si="285"/>
        <v>0</v>
      </c>
      <c r="BV948" s="300">
        <f t="shared" si="286"/>
        <v>1</v>
      </c>
      <c r="BW948" s="321">
        <v>0</v>
      </c>
      <c r="BX948" s="298">
        <f t="shared" si="287"/>
        <v>0.43</v>
      </c>
      <c r="BY948">
        <f t="shared" si="288"/>
        <v>0</v>
      </c>
      <c r="BZ948" s="304">
        <f t="shared" si="289"/>
        <v>0</v>
      </c>
      <c r="CB948" s="299">
        <v>0.6</v>
      </c>
      <c r="CC948" s="299">
        <v>0.4</v>
      </c>
      <c r="CD948">
        <f t="shared" si="290"/>
        <v>0</v>
      </c>
      <c r="CE948">
        <f t="shared" si="291"/>
        <v>0</v>
      </c>
      <c r="CF948">
        <f t="shared" si="292"/>
        <v>0</v>
      </c>
      <c r="CG948">
        <f t="shared" si="293"/>
        <v>0</v>
      </c>
      <c r="CH948">
        <f t="shared" si="294"/>
        <v>0</v>
      </c>
      <c r="CI948">
        <f t="shared" si="295"/>
        <v>0</v>
      </c>
      <c r="CJ948">
        <f t="shared" si="296"/>
        <v>0</v>
      </c>
      <c r="CK948">
        <f t="shared" si="297"/>
        <v>0</v>
      </c>
      <c r="CL948">
        <f t="shared" si="298"/>
        <v>0</v>
      </c>
      <c r="CM948">
        <f t="shared" si="300"/>
        <v>0</v>
      </c>
      <c r="CN948">
        <f t="shared" si="299"/>
        <v>0</v>
      </c>
      <c r="CO948">
        <f t="shared" si="283"/>
        <v>0</v>
      </c>
    </row>
    <row r="949" spans="1:93" s="12" customFormat="1" x14ac:dyDescent="0.25">
      <c r="A949" s="4">
        <v>2013</v>
      </c>
      <c r="B949" s="318">
        <v>44265</v>
      </c>
      <c r="C949" s="4" t="s">
        <v>430</v>
      </c>
      <c r="D949" s="4" t="s">
        <v>431</v>
      </c>
      <c r="E949" s="4"/>
      <c r="F949" s="4" t="s">
        <v>1493</v>
      </c>
      <c r="G949" s="5" t="s">
        <v>432</v>
      </c>
      <c r="H949" s="5" t="s">
        <v>185</v>
      </c>
      <c r="I949" s="5" t="s">
        <v>222</v>
      </c>
      <c r="J949" s="5" t="s">
        <v>9</v>
      </c>
      <c r="K949" s="5">
        <v>20</v>
      </c>
      <c r="L949" s="5" t="s">
        <v>190</v>
      </c>
      <c r="M949" s="5">
        <v>2000</v>
      </c>
      <c r="N949" s="5" t="s">
        <v>171</v>
      </c>
      <c r="O949" s="6" t="s">
        <v>81</v>
      </c>
      <c r="P949" s="6" t="s">
        <v>186</v>
      </c>
      <c r="Q949" s="6"/>
      <c r="R949" s="6"/>
      <c r="S949" s="6">
        <v>45</v>
      </c>
      <c r="T949" s="6">
        <v>17.7</v>
      </c>
      <c r="U949" s="6">
        <v>1853</v>
      </c>
      <c r="V949" s="6">
        <v>45.68</v>
      </c>
      <c r="W949" s="6">
        <v>0</v>
      </c>
      <c r="X949" s="6">
        <v>0</v>
      </c>
      <c r="Y949" s="6">
        <v>1079</v>
      </c>
      <c r="Z949" s="6">
        <v>672</v>
      </c>
      <c r="AA949" s="6">
        <v>94</v>
      </c>
      <c r="AB949" s="6">
        <v>8</v>
      </c>
      <c r="AC949" s="7">
        <v>79</v>
      </c>
      <c r="AD949" s="7" t="s">
        <v>52</v>
      </c>
      <c r="AE949" s="9">
        <v>30.310825508234402</v>
      </c>
      <c r="AF949" s="7">
        <v>311</v>
      </c>
      <c r="AG949" s="7">
        <v>33.72</v>
      </c>
      <c r="AH949" s="9">
        <v>37.155132929525102</v>
      </c>
      <c r="AI949" s="9">
        <v>41.0914662096379</v>
      </c>
      <c r="AJ949" s="9">
        <v>497.81466857303701</v>
      </c>
      <c r="AK949" s="9">
        <v>499.572576339617</v>
      </c>
      <c r="AL949" s="9">
        <v>552.30264223410404</v>
      </c>
      <c r="AM949" s="9" t="s">
        <v>169</v>
      </c>
      <c r="AN949" s="9" t="s">
        <v>169</v>
      </c>
      <c r="AO949" s="9" t="s">
        <v>169</v>
      </c>
      <c r="AP949" s="9" t="s">
        <v>169</v>
      </c>
      <c r="AQ949" s="9" t="s">
        <v>169</v>
      </c>
      <c r="AR949" s="9" t="s">
        <v>169</v>
      </c>
      <c r="AS949" s="8" t="s">
        <v>169</v>
      </c>
      <c r="AT949" s="8" t="s">
        <v>169</v>
      </c>
      <c r="AU949" s="10" t="s">
        <v>169</v>
      </c>
      <c r="AV949" s="10">
        <v>0</v>
      </c>
      <c r="AW949" s="10" t="s">
        <v>169</v>
      </c>
      <c r="AX949" s="10" t="s">
        <v>169</v>
      </c>
      <c r="AY949" s="10"/>
      <c r="AZ949" s="10"/>
      <c r="BA949" s="10"/>
      <c r="BB949" s="8"/>
      <c r="BC949" s="8"/>
      <c r="BD949" s="8"/>
      <c r="BE949" s="8"/>
      <c r="BF949" s="12">
        <v>0.38</v>
      </c>
      <c r="BG949" s="13">
        <v>365.53229871860401</v>
      </c>
      <c r="BH949" s="96" t="str">
        <f>+VLOOKUP(G949,Liste!$A$7:$G$50,3,FALSE)</f>
        <v>Sapin pectiné</v>
      </c>
      <c r="BI949" s="96" t="str">
        <f>+VLOOKUP(H949,Liste!$B$7:$G$50,5,FALSE)</f>
        <v>GS Arc Jurassien</v>
      </c>
      <c r="BJ949" s="135">
        <f t="shared" si="282"/>
        <v>79</v>
      </c>
      <c r="BK949" s="135" t="str">
        <f t="shared" si="284"/>
        <v>Sapin pectiné_F1_Cas général_GS Arc Jurassien_79_</v>
      </c>
      <c r="BL949" s="322"/>
      <c r="BM949" s="13">
        <v>90.375567789997405</v>
      </c>
      <c r="BN949" s="13">
        <v>455.90786650860201</v>
      </c>
      <c r="BO949" s="13" t="s">
        <v>169</v>
      </c>
      <c r="BP949" s="13">
        <v>307.55958661145604</v>
      </c>
      <c r="BQ949" s="13" t="s">
        <v>169</v>
      </c>
      <c r="BT949" s="298" t="str">
        <f>+VLOOKUP(G949,Liste!$A$7:$H$50,8,FALSE)</f>
        <v>Résineux</v>
      </c>
      <c r="BU949" s="298">
        <f t="shared" si="285"/>
        <v>0</v>
      </c>
      <c r="BV949" s="300">
        <f t="shared" si="286"/>
        <v>1</v>
      </c>
      <c r="BW949" s="321">
        <v>0</v>
      </c>
      <c r="BX949" s="298">
        <f t="shared" si="287"/>
        <v>0.43</v>
      </c>
      <c r="BY949">
        <f t="shared" si="288"/>
        <v>0</v>
      </c>
      <c r="BZ949" s="304">
        <f t="shared" si="289"/>
        <v>0</v>
      </c>
      <c r="CB949" s="299">
        <v>0.6</v>
      </c>
      <c r="CC949" s="299">
        <v>0.4</v>
      </c>
      <c r="CD949">
        <f t="shared" si="290"/>
        <v>0</v>
      </c>
      <c r="CE949">
        <f t="shared" si="291"/>
        <v>0</v>
      </c>
      <c r="CF949">
        <f t="shared" si="292"/>
        <v>0</v>
      </c>
      <c r="CG949">
        <f t="shared" si="293"/>
        <v>0</v>
      </c>
      <c r="CH949">
        <f t="shared" si="294"/>
        <v>0</v>
      </c>
      <c r="CI949">
        <f t="shared" si="295"/>
        <v>0</v>
      </c>
      <c r="CJ949">
        <f t="shared" si="296"/>
        <v>0</v>
      </c>
      <c r="CK949">
        <f t="shared" si="297"/>
        <v>0</v>
      </c>
      <c r="CL949">
        <f t="shared" si="298"/>
        <v>0</v>
      </c>
      <c r="CM949">
        <f t="shared" si="300"/>
        <v>0</v>
      </c>
      <c r="CN949">
        <f t="shared" si="299"/>
        <v>0</v>
      </c>
      <c r="CO949">
        <f t="shared" si="283"/>
        <v>0</v>
      </c>
    </row>
    <row r="950" spans="1:93" s="12" customFormat="1" x14ac:dyDescent="0.25">
      <c r="A950" s="4">
        <v>2013</v>
      </c>
      <c r="B950" s="318">
        <v>44265</v>
      </c>
      <c r="C950" s="4" t="s">
        <v>430</v>
      </c>
      <c r="D950" s="4" t="s">
        <v>431</v>
      </c>
      <c r="E950" s="4"/>
      <c r="F950" s="4" t="s">
        <v>1493</v>
      </c>
      <c r="G950" s="5" t="s">
        <v>432</v>
      </c>
      <c r="H950" s="5" t="s">
        <v>185</v>
      </c>
      <c r="I950" s="5" t="s">
        <v>222</v>
      </c>
      <c r="J950" s="5" t="s">
        <v>9</v>
      </c>
      <c r="K950" s="5">
        <v>20</v>
      </c>
      <c r="L950" s="5" t="s">
        <v>190</v>
      </c>
      <c r="M950" s="5">
        <v>2000</v>
      </c>
      <c r="N950" s="5" t="s">
        <v>171</v>
      </c>
      <c r="O950" s="6" t="s">
        <v>81</v>
      </c>
      <c r="P950" s="6" t="s">
        <v>186</v>
      </c>
      <c r="Q950" s="6"/>
      <c r="R950" s="6"/>
      <c r="S950" s="6">
        <v>45</v>
      </c>
      <c r="T950" s="6">
        <v>17.7</v>
      </c>
      <c r="U950" s="6">
        <v>1853</v>
      </c>
      <c r="V950" s="6">
        <v>45.68</v>
      </c>
      <c r="W950" s="6">
        <v>0</v>
      </c>
      <c r="X950" s="6">
        <v>0</v>
      </c>
      <c r="Y950" s="6">
        <v>1079</v>
      </c>
      <c r="Z950" s="6">
        <v>672</v>
      </c>
      <c r="AA950" s="6">
        <v>94</v>
      </c>
      <c r="AB950" s="6">
        <v>8</v>
      </c>
      <c r="AC950" s="7">
        <v>80</v>
      </c>
      <c r="AD950" s="7" t="s">
        <v>52</v>
      </c>
      <c r="AE950" s="9">
        <v>30.5742269229439</v>
      </c>
      <c r="AF950" s="7">
        <v>311</v>
      </c>
      <c r="AG950" s="7">
        <v>34.57</v>
      </c>
      <c r="AH950" s="9">
        <v>37.623130191139701</v>
      </c>
      <c r="AI950" s="9">
        <v>41.588839877917799</v>
      </c>
      <c r="AJ950" s="9">
        <v>515.15553908913898</v>
      </c>
      <c r="AK950" s="9">
        <v>516.968114408107</v>
      </c>
      <c r="AL950" s="9">
        <v>570.68568216673805</v>
      </c>
      <c r="AM950" s="9" t="s">
        <v>169</v>
      </c>
      <c r="AN950" s="9" t="s">
        <v>169</v>
      </c>
      <c r="AO950" s="9" t="s">
        <v>169</v>
      </c>
      <c r="AP950" s="9" t="s">
        <v>169</v>
      </c>
      <c r="AQ950" s="9" t="s">
        <v>169</v>
      </c>
      <c r="AR950" s="9" t="s">
        <v>169</v>
      </c>
      <c r="AS950" s="8" t="s">
        <v>169</v>
      </c>
      <c r="AT950" s="8" t="s">
        <v>169</v>
      </c>
      <c r="AU950" s="10" t="s">
        <v>169</v>
      </c>
      <c r="AV950" s="10">
        <v>0</v>
      </c>
      <c r="AW950" s="10" t="s">
        <v>169</v>
      </c>
      <c r="AX950" s="10" t="s">
        <v>169</v>
      </c>
      <c r="AY950" s="10"/>
      <c r="AZ950" s="10"/>
      <c r="BA950" s="10"/>
      <c r="BB950" s="8"/>
      <c r="BC950" s="8"/>
      <c r="BD950" s="8"/>
      <c r="BE950" s="8"/>
      <c r="BF950" s="12">
        <v>0.38</v>
      </c>
      <c r="BG950" s="13">
        <v>377.69880731401901</v>
      </c>
      <c r="BH950" s="96" t="str">
        <f>+VLOOKUP(G950,Liste!$A$7:$G$50,3,FALSE)</f>
        <v>Sapin pectiné</v>
      </c>
      <c r="BI950" s="96" t="str">
        <f>+VLOOKUP(H950,Liste!$B$7:$G$50,5,FALSE)</f>
        <v>GS Arc Jurassien</v>
      </c>
      <c r="BJ950" s="135">
        <f t="shared" si="282"/>
        <v>80</v>
      </c>
      <c r="BK950" s="135" t="str">
        <f t="shared" si="284"/>
        <v>Sapin pectiné_F1_Cas général_GS Arc Jurassien_80_</v>
      </c>
      <c r="BL950" s="322"/>
      <c r="BM950" s="13">
        <v>93.040053464575294</v>
      </c>
      <c r="BN950" s="13">
        <v>470.73886077859498</v>
      </c>
      <c r="BO950" s="13" t="s">
        <v>169</v>
      </c>
      <c r="BP950" s="13">
        <v>307.55958661145604</v>
      </c>
      <c r="BQ950" s="13" t="s">
        <v>169</v>
      </c>
      <c r="BT950" s="298" t="str">
        <f>+VLOOKUP(G950,Liste!$A$7:$H$50,8,FALSE)</f>
        <v>Résineux</v>
      </c>
      <c r="BU950" s="298">
        <f t="shared" si="285"/>
        <v>0</v>
      </c>
      <c r="BV950" s="300">
        <f t="shared" si="286"/>
        <v>1</v>
      </c>
      <c r="BW950" s="321">
        <v>0</v>
      </c>
      <c r="BX950" s="298">
        <f t="shared" si="287"/>
        <v>0.43</v>
      </c>
      <c r="BY950">
        <f t="shared" si="288"/>
        <v>0</v>
      </c>
      <c r="BZ950" s="304">
        <f t="shared" si="289"/>
        <v>0</v>
      </c>
      <c r="CB950" s="299">
        <v>0.6</v>
      </c>
      <c r="CC950" s="299">
        <v>0.4</v>
      </c>
      <c r="CD950">
        <f t="shared" si="290"/>
        <v>0</v>
      </c>
      <c r="CE950">
        <f t="shared" si="291"/>
        <v>0</v>
      </c>
      <c r="CF950">
        <f t="shared" si="292"/>
        <v>0</v>
      </c>
      <c r="CG950">
        <f t="shared" si="293"/>
        <v>0</v>
      </c>
      <c r="CH950">
        <f t="shared" si="294"/>
        <v>0</v>
      </c>
      <c r="CI950">
        <f t="shared" si="295"/>
        <v>0</v>
      </c>
      <c r="CJ950">
        <f t="shared" si="296"/>
        <v>0</v>
      </c>
      <c r="CK950">
        <f t="shared" si="297"/>
        <v>0</v>
      </c>
      <c r="CL950">
        <f t="shared" si="298"/>
        <v>0</v>
      </c>
      <c r="CM950">
        <f t="shared" si="300"/>
        <v>0</v>
      </c>
      <c r="CN950">
        <f t="shared" si="299"/>
        <v>0</v>
      </c>
      <c r="CO950">
        <f t="shared" si="283"/>
        <v>0</v>
      </c>
    </row>
    <row r="951" spans="1:93" s="12" customFormat="1" x14ac:dyDescent="0.25">
      <c r="A951" s="4">
        <v>2013</v>
      </c>
      <c r="B951" s="318">
        <v>44265</v>
      </c>
      <c r="C951" s="4" t="s">
        <v>430</v>
      </c>
      <c r="D951" s="4" t="s">
        <v>431</v>
      </c>
      <c r="E951" s="4"/>
      <c r="F951" s="4" t="s">
        <v>1493</v>
      </c>
      <c r="G951" s="5" t="s">
        <v>432</v>
      </c>
      <c r="H951" s="5" t="s">
        <v>185</v>
      </c>
      <c r="I951" s="5" t="s">
        <v>222</v>
      </c>
      <c r="J951" s="5" t="s">
        <v>9</v>
      </c>
      <c r="K951" s="5">
        <v>20</v>
      </c>
      <c r="L951" s="5" t="s">
        <v>190</v>
      </c>
      <c r="M951" s="5">
        <v>2000</v>
      </c>
      <c r="N951" s="5" t="s">
        <v>171</v>
      </c>
      <c r="O951" s="6" t="s">
        <v>81</v>
      </c>
      <c r="P951" s="6" t="s">
        <v>186</v>
      </c>
      <c r="Q951" s="6"/>
      <c r="R951" s="6"/>
      <c r="S951" s="6">
        <v>45</v>
      </c>
      <c r="T951" s="6">
        <v>17.7</v>
      </c>
      <c r="U951" s="6">
        <v>1853</v>
      </c>
      <c r="V951" s="6">
        <v>45.68</v>
      </c>
      <c r="W951" s="6">
        <v>0</v>
      </c>
      <c r="X951" s="6">
        <v>0</v>
      </c>
      <c r="Y951" s="6">
        <v>1079</v>
      </c>
      <c r="Z951" s="6">
        <v>672</v>
      </c>
      <c r="AA951" s="6">
        <v>94</v>
      </c>
      <c r="AB951" s="6">
        <v>8</v>
      </c>
      <c r="AC951" s="7">
        <v>81</v>
      </c>
      <c r="AD951" s="7" t="s">
        <v>52</v>
      </c>
      <c r="AE951" s="9">
        <v>30.833016901120502</v>
      </c>
      <c r="AF951" s="7">
        <v>311</v>
      </c>
      <c r="AG951" s="7">
        <v>35.42</v>
      </c>
      <c r="AH951" s="9">
        <v>38.079931678946302</v>
      </c>
      <c r="AI951" s="9">
        <v>42.073706536482497</v>
      </c>
      <c r="AJ951" s="9">
        <v>532.49640960524198</v>
      </c>
      <c r="AK951" s="9">
        <v>534.36365247659603</v>
      </c>
      <c r="AL951" s="9">
        <v>589.06872209937205</v>
      </c>
      <c r="AM951" s="9">
        <v>88.700115797153401</v>
      </c>
      <c r="AN951" s="9">
        <v>1.09506315798955</v>
      </c>
      <c r="AO951" s="9">
        <v>0.82954980208359097</v>
      </c>
      <c r="AP951" s="9">
        <v>1232.2734800744499</v>
      </c>
      <c r="AQ951" s="9">
        <v>15.2132528404253</v>
      </c>
      <c r="AR951" s="9">
        <v>18.270212737974202</v>
      </c>
      <c r="AS951" s="8" t="s">
        <v>169</v>
      </c>
      <c r="AT951" s="8" t="s">
        <v>169</v>
      </c>
      <c r="AU951" s="10" t="s">
        <v>169</v>
      </c>
      <c r="AV951" s="10">
        <v>0</v>
      </c>
      <c r="AW951" s="10" t="s">
        <v>169</v>
      </c>
      <c r="AX951" s="10" t="s">
        <v>169</v>
      </c>
      <c r="AY951" s="10"/>
      <c r="AZ951" s="10"/>
      <c r="BA951" s="10"/>
      <c r="BB951" s="8"/>
      <c r="BC951" s="8"/>
      <c r="BD951" s="8"/>
      <c r="BE951" s="8"/>
      <c r="BF951" s="12">
        <v>0.38</v>
      </c>
      <c r="BG951" s="13">
        <v>389.865315909434</v>
      </c>
      <c r="BH951" s="96" t="str">
        <f>+VLOOKUP(G951,Liste!$A$7:$G$50,3,FALSE)</f>
        <v>Sapin pectiné</v>
      </c>
      <c r="BI951" s="96" t="str">
        <f>+VLOOKUP(H951,Liste!$B$7:$G$50,5,FALSE)</f>
        <v>GS Arc Jurassien</v>
      </c>
      <c r="BJ951" s="135">
        <f t="shared" si="282"/>
        <v>81</v>
      </c>
      <c r="BK951" s="135" t="str">
        <f t="shared" si="284"/>
        <v>Sapin pectiné_F1_Cas général_GS Arc Jurassien_81_</v>
      </c>
      <c r="BL951" s="322"/>
      <c r="BM951" s="13">
        <v>95.704539139153198</v>
      </c>
      <c r="BN951" s="13">
        <v>485.56985504858699</v>
      </c>
      <c r="BO951" s="13" t="s">
        <v>169</v>
      </c>
      <c r="BP951" s="13">
        <v>307.55958661145604</v>
      </c>
      <c r="BQ951" s="13">
        <v>14.4946096745805</v>
      </c>
      <c r="BT951" s="298" t="str">
        <f>+VLOOKUP(G951,Liste!$A$7:$H$50,8,FALSE)</f>
        <v>Résineux</v>
      </c>
      <c r="BU951" s="298">
        <f t="shared" si="285"/>
        <v>0</v>
      </c>
      <c r="BV951" s="300">
        <f t="shared" si="286"/>
        <v>1</v>
      </c>
      <c r="BW951" s="321">
        <v>0</v>
      </c>
      <c r="BX951" s="298">
        <f t="shared" si="287"/>
        <v>0.43</v>
      </c>
      <c r="BY951">
        <f t="shared" si="288"/>
        <v>0</v>
      </c>
      <c r="BZ951" s="304">
        <f t="shared" si="289"/>
        <v>0</v>
      </c>
      <c r="CB951" s="299">
        <v>0.6</v>
      </c>
      <c r="CC951" s="299">
        <v>0.4</v>
      </c>
      <c r="CD951">
        <f t="shared" si="290"/>
        <v>0</v>
      </c>
      <c r="CE951">
        <f t="shared" si="291"/>
        <v>0</v>
      </c>
      <c r="CF951">
        <f t="shared" si="292"/>
        <v>0</v>
      </c>
      <c r="CG951">
        <f t="shared" si="293"/>
        <v>0</v>
      </c>
      <c r="CH951">
        <f t="shared" si="294"/>
        <v>0</v>
      </c>
      <c r="CI951">
        <f t="shared" si="295"/>
        <v>0</v>
      </c>
      <c r="CJ951">
        <f t="shared" si="296"/>
        <v>0</v>
      </c>
      <c r="CK951">
        <f t="shared" si="297"/>
        <v>0</v>
      </c>
      <c r="CL951">
        <f t="shared" si="298"/>
        <v>0</v>
      </c>
      <c r="CM951">
        <f t="shared" si="300"/>
        <v>0</v>
      </c>
      <c r="CN951">
        <f t="shared" si="299"/>
        <v>0</v>
      </c>
      <c r="CO951">
        <f t="shared" si="283"/>
        <v>0</v>
      </c>
    </row>
    <row r="952" spans="1:93" s="12" customFormat="1" x14ac:dyDescent="0.25">
      <c r="A952" s="4">
        <v>2013</v>
      </c>
      <c r="B952" s="318">
        <v>44265</v>
      </c>
      <c r="C952" s="4" t="s">
        <v>430</v>
      </c>
      <c r="D952" s="4" t="s">
        <v>431</v>
      </c>
      <c r="E952" s="4"/>
      <c r="F952" s="4" t="s">
        <v>1493</v>
      </c>
      <c r="G952" s="5" t="s">
        <v>432</v>
      </c>
      <c r="H952" s="5" t="s">
        <v>185</v>
      </c>
      <c r="I952" s="5" t="s">
        <v>222</v>
      </c>
      <c r="J952" s="5" t="s">
        <v>9</v>
      </c>
      <c r="K952" s="5">
        <v>20</v>
      </c>
      <c r="L952" s="5" t="s">
        <v>190</v>
      </c>
      <c r="M952" s="5">
        <v>2000</v>
      </c>
      <c r="N952" s="5" t="s">
        <v>171</v>
      </c>
      <c r="O952" s="6" t="s">
        <v>81</v>
      </c>
      <c r="P952" s="6" t="s">
        <v>186</v>
      </c>
      <c r="Q952" s="6"/>
      <c r="R952" s="6"/>
      <c r="S952" s="6">
        <v>45</v>
      </c>
      <c r="T952" s="6">
        <v>17.7</v>
      </c>
      <c r="U952" s="6">
        <v>1853</v>
      </c>
      <c r="V952" s="6">
        <v>45.68</v>
      </c>
      <c r="W952" s="6">
        <v>0</v>
      </c>
      <c r="X952" s="6">
        <v>0</v>
      </c>
      <c r="Y952" s="6">
        <v>1079</v>
      </c>
      <c r="Z952" s="6">
        <v>672</v>
      </c>
      <c r="AA952" s="6">
        <v>94</v>
      </c>
      <c r="AB952" s="6">
        <v>8</v>
      </c>
      <c r="AC952" s="7">
        <v>82</v>
      </c>
      <c r="AD952" s="7" t="s">
        <v>52</v>
      </c>
      <c r="AE952" s="9">
        <v>31.087301257262599</v>
      </c>
      <c r="AF952" s="7">
        <v>311</v>
      </c>
      <c r="AG952" s="7">
        <v>36.25</v>
      </c>
      <c r="AH952" s="9">
        <v>38.525952248099102</v>
      </c>
      <c r="AI952" s="9">
        <v>42.546566321364999</v>
      </c>
      <c r="AJ952" s="9">
        <v>549.87261692542495</v>
      </c>
      <c r="AK952" s="9">
        <v>551.78758513857895</v>
      </c>
      <c r="AL952" s="9">
        <v>607.33893483734596</v>
      </c>
      <c r="AM952" s="9" t="s">
        <v>169</v>
      </c>
      <c r="AN952" s="9" t="s">
        <v>169</v>
      </c>
      <c r="AO952" s="9" t="s">
        <v>169</v>
      </c>
      <c r="AP952" s="9" t="s">
        <v>169</v>
      </c>
      <c r="AQ952" s="9" t="s">
        <v>169</v>
      </c>
      <c r="AR952" s="9" t="s">
        <v>169</v>
      </c>
      <c r="AS952" s="8" t="s">
        <v>169</v>
      </c>
      <c r="AT952" s="8" t="s">
        <v>169</v>
      </c>
      <c r="AU952" s="10" t="s">
        <v>169</v>
      </c>
      <c r="AV952" s="10">
        <v>0</v>
      </c>
      <c r="AW952" s="10" t="s">
        <v>169</v>
      </c>
      <c r="AX952" s="10" t="s">
        <v>169</v>
      </c>
      <c r="AY952" s="10"/>
      <c r="AZ952" s="10"/>
      <c r="BA952" s="10"/>
      <c r="BB952" s="8"/>
      <c r="BC952" s="8"/>
      <c r="BD952" s="8"/>
      <c r="BE952" s="8"/>
      <c r="BF952" s="12">
        <v>0.38</v>
      </c>
      <c r="BG952" s="13">
        <v>401.95715170651698</v>
      </c>
      <c r="BH952" s="96" t="str">
        <f>+VLOOKUP(G952,Liste!$A$7:$G$50,3,FALSE)</f>
        <v>Sapin pectiné</v>
      </c>
      <c r="BI952" s="96" t="str">
        <f>+VLOOKUP(H952,Liste!$B$7:$G$50,5,FALSE)</f>
        <v>GS Arc Jurassien</v>
      </c>
      <c r="BJ952" s="135">
        <f t="shared" si="282"/>
        <v>82</v>
      </c>
      <c r="BK952" s="135" t="str">
        <f t="shared" si="284"/>
        <v>Sapin pectiné_F1_Cas général_GS Arc Jurassien_82_</v>
      </c>
      <c r="BL952" s="322"/>
      <c r="BM952" s="13">
        <v>98.318086256836693</v>
      </c>
      <c r="BN952" s="13">
        <v>500.27523796335299</v>
      </c>
      <c r="BO952" s="13" t="s">
        <v>169</v>
      </c>
      <c r="BP952" s="13">
        <v>307.55958661145604</v>
      </c>
      <c r="BQ952" s="13" t="s">
        <v>169</v>
      </c>
      <c r="BT952" s="298" t="str">
        <f>+VLOOKUP(G952,Liste!$A$7:$H$50,8,FALSE)</f>
        <v>Résineux</v>
      </c>
      <c r="BU952" s="298">
        <f t="shared" si="285"/>
        <v>0</v>
      </c>
      <c r="BV952" s="300">
        <f t="shared" si="286"/>
        <v>1</v>
      </c>
      <c r="BW952" s="321">
        <v>0</v>
      </c>
      <c r="BX952" s="298">
        <f t="shared" si="287"/>
        <v>0.43</v>
      </c>
      <c r="BY952">
        <f t="shared" si="288"/>
        <v>0</v>
      </c>
      <c r="BZ952" s="304">
        <f t="shared" si="289"/>
        <v>0</v>
      </c>
      <c r="CB952" s="299">
        <v>0.6</v>
      </c>
      <c r="CC952" s="299">
        <v>0.4</v>
      </c>
      <c r="CD952">
        <f t="shared" si="290"/>
        <v>0</v>
      </c>
      <c r="CE952">
        <f t="shared" si="291"/>
        <v>0</v>
      </c>
      <c r="CF952">
        <f t="shared" si="292"/>
        <v>0</v>
      </c>
      <c r="CG952">
        <f t="shared" si="293"/>
        <v>0</v>
      </c>
      <c r="CH952">
        <f t="shared" si="294"/>
        <v>0</v>
      </c>
      <c r="CI952">
        <f t="shared" si="295"/>
        <v>0</v>
      </c>
      <c r="CJ952">
        <f t="shared" si="296"/>
        <v>0</v>
      </c>
      <c r="CK952">
        <f t="shared" si="297"/>
        <v>0</v>
      </c>
      <c r="CL952">
        <f t="shared" si="298"/>
        <v>0</v>
      </c>
      <c r="CM952">
        <f t="shared" si="300"/>
        <v>0</v>
      </c>
      <c r="CN952">
        <f t="shared" si="299"/>
        <v>0</v>
      </c>
      <c r="CO952">
        <f t="shared" si="283"/>
        <v>0</v>
      </c>
    </row>
    <row r="953" spans="1:93" s="12" customFormat="1" x14ac:dyDescent="0.25">
      <c r="A953" s="4">
        <v>2013</v>
      </c>
      <c r="B953" s="318">
        <v>44265</v>
      </c>
      <c r="C953" s="4" t="s">
        <v>430</v>
      </c>
      <c r="D953" s="4" t="s">
        <v>431</v>
      </c>
      <c r="E953" s="4"/>
      <c r="F953" s="4" t="s">
        <v>1493</v>
      </c>
      <c r="G953" s="5" t="s">
        <v>432</v>
      </c>
      <c r="H953" s="5" t="s">
        <v>185</v>
      </c>
      <c r="I953" s="5" t="s">
        <v>222</v>
      </c>
      <c r="J953" s="5" t="s">
        <v>9</v>
      </c>
      <c r="K953" s="5">
        <v>20</v>
      </c>
      <c r="L953" s="5" t="s">
        <v>190</v>
      </c>
      <c r="M953" s="5">
        <v>2000</v>
      </c>
      <c r="N953" s="5" t="s">
        <v>171</v>
      </c>
      <c r="O953" s="6" t="s">
        <v>81</v>
      </c>
      <c r="P953" s="6" t="s">
        <v>186</v>
      </c>
      <c r="Q953" s="6"/>
      <c r="R953" s="6"/>
      <c r="S953" s="6">
        <v>45</v>
      </c>
      <c r="T953" s="6">
        <v>17.7</v>
      </c>
      <c r="U953" s="6">
        <v>1853</v>
      </c>
      <c r="V953" s="6">
        <v>45.68</v>
      </c>
      <c r="W953" s="6">
        <v>0</v>
      </c>
      <c r="X953" s="6">
        <v>0</v>
      </c>
      <c r="Y953" s="6">
        <v>1079</v>
      </c>
      <c r="Z953" s="6">
        <v>672</v>
      </c>
      <c r="AA953" s="6">
        <v>94</v>
      </c>
      <c r="AB953" s="6">
        <v>8</v>
      </c>
      <c r="AC953" s="7">
        <v>83</v>
      </c>
      <c r="AD953" s="7" t="s">
        <v>52</v>
      </c>
      <c r="AE953" s="9">
        <v>31.337183221901899</v>
      </c>
      <c r="AF953" s="7">
        <v>311</v>
      </c>
      <c r="AG953" s="7">
        <v>37.08</v>
      </c>
      <c r="AH953" s="9">
        <v>38.961584031782202</v>
      </c>
      <c r="AI953" s="9">
        <v>43.007890196620998</v>
      </c>
      <c r="AJ953" s="9">
        <v>567.24882424560803</v>
      </c>
      <c r="AK953" s="9">
        <v>569.21151780056198</v>
      </c>
      <c r="AL953" s="9">
        <v>625.60914757531998</v>
      </c>
      <c r="AM953" s="9">
        <v>90.359215401320597</v>
      </c>
      <c r="AN953" s="9">
        <v>1.08866524579904</v>
      </c>
      <c r="AO953" s="9">
        <v>0.76514511395434703</v>
      </c>
      <c r="AP953" s="9">
        <v>1268.8139055504</v>
      </c>
      <c r="AQ953" s="9">
        <v>15.286914524703599</v>
      </c>
      <c r="AR953" s="9">
        <v>16.7674005786291</v>
      </c>
      <c r="AS953" s="8" t="s">
        <v>169</v>
      </c>
      <c r="AT953" s="8" t="s">
        <v>169</v>
      </c>
      <c r="AU953" s="10" t="s">
        <v>169</v>
      </c>
      <c r="AV953" s="10">
        <v>0</v>
      </c>
      <c r="AW953" s="10" t="s">
        <v>169</v>
      </c>
      <c r="AX953" s="10" t="s">
        <v>169</v>
      </c>
      <c r="AY953" s="10"/>
      <c r="AZ953" s="10"/>
      <c r="BA953" s="10"/>
      <c r="BB953" s="8"/>
      <c r="BC953" s="8"/>
      <c r="BD953" s="8"/>
      <c r="BE953" s="8"/>
      <c r="BF953" s="12">
        <v>0.38</v>
      </c>
      <c r="BG953" s="13">
        <v>414.04898750359899</v>
      </c>
      <c r="BH953" s="96" t="str">
        <f>+VLOOKUP(G953,Liste!$A$7:$G$50,3,FALSE)</f>
        <v>Sapin pectiné</v>
      </c>
      <c r="BI953" s="96" t="str">
        <f>+VLOOKUP(H953,Liste!$B$7:$G$50,5,FALSE)</f>
        <v>GS Arc Jurassien</v>
      </c>
      <c r="BJ953" s="135">
        <f t="shared" si="282"/>
        <v>83</v>
      </c>
      <c r="BK953" s="135" t="str">
        <f t="shared" si="284"/>
        <v>Sapin pectiné_F1_Cas général_GS Arc Jurassien_83_</v>
      </c>
      <c r="BL953" s="322"/>
      <c r="BM953" s="13">
        <v>100.93163337452</v>
      </c>
      <c r="BN953" s="13">
        <v>514.98062087812002</v>
      </c>
      <c r="BO953" s="13" t="s">
        <v>169</v>
      </c>
      <c r="BP953" s="13">
        <v>307.55958661145604</v>
      </c>
      <c r="BQ953" s="13">
        <v>13.295275544536301</v>
      </c>
      <c r="BT953" s="298" t="str">
        <f>+VLOOKUP(G953,Liste!$A$7:$H$50,8,FALSE)</f>
        <v>Résineux</v>
      </c>
      <c r="BU953" s="298">
        <f t="shared" si="285"/>
        <v>0</v>
      </c>
      <c r="BV953" s="300">
        <f t="shared" si="286"/>
        <v>1</v>
      </c>
      <c r="BW953" s="321">
        <v>0</v>
      </c>
      <c r="BX953" s="298">
        <f t="shared" si="287"/>
        <v>0.43</v>
      </c>
      <c r="BY953">
        <f t="shared" si="288"/>
        <v>0</v>
      </c>
      <c r="BZ953" s="304">
        <f t="shared" si="289"/>
        <v>0</v>
      </c>
      <c r="CB953" s="299">
        <v>0.6</v>
      </c>
      <c r="CC953" s="299">
        <v>0.4</v>
      </c>
      <c r="CD953">
        <f t="shared" si="290"/>
        <v>0</v>
      </c>
      <c r="CE953">
        <f t="shared" si="291"/>
        <v>0</v>
      </c>
      <c r="CF953">
        <f t="shared" si="292"/>
        <v>0</v>
      </c>
      <c r="CG953">
        <f t="shared" si="293"/>
        <v>0</v>
      </c>
      <c r="CH953">
        <f t="shared" si="294"/>
        <v>0</v>
      </c>
      <c r="CI953">
        <f t="shared" si="295"/>
        <v>0</v>
      </c>
      <c r="CJ953">
        <f t="shared" si="296"/>
        <v>0</v>
      </c>
      <c r="CK953">
        <f t="shared" si="297"/>
        <v>0</v>
      </c>
      <c r="CL953">
        <f t="shared" si="298"/>
        <v>0</v>
      </c>
      <c r="CM953">
        <f t="shared" si="300"/>
        <v>0</v>
      </c>
      <c r="CN953">
        <f t="shared" si="299"/>
        <v>0</v>
      </c>
      <c r="CO953">
        <f t="shared" si="283"/>
        <v>0</v>
      </c>
    </row>
    <row r="954" spans="1:93" s="12" customFormat="1" x14ac:dyDescent="0.25">
      <c r="A954" s="4">
        <v>2013</v>
      </c>
      <c r="B954" s="318">
        <v>44265</v>
      </c>
      <c r="C954" s="4" t="s">
        <v>430</v>
      </c>
      <c r="D954" s="4" t="s">
        <v>431</v>
      </c>
      <c r="E954" s="4"/>
      <c r="F954" s="4" t="s">
        <v>1493</v>
      </c>
      <c r="G954" s="5" t="s">
        <v>432</v>
      </c>
      <c r="H954" s="5" t="s">
        <v>185</v>
      </c>
      <c r="I954" s="5" t="s">
        <v>222</v>
      </c>
      <c r="J954" s="5" t="s">
        <v>9</v>
      </c>
      <c r="K954" s="5">
        <v>20</v>
      </c>
      <c r="L954" s="5" t="s">
        <v>190</v>
      </c>
      <c r="M954" s="5">
        <v>2000</v>
      </c>
      <c r="N954" s="5" t="s">
        <v>171</v>
      </c>
      <c r="O954" s="6" t="s">
        <v>81</v>
      </c>
      <c r="P954" s="6" t="s">
        <v>186</v>
      </c>
      <c r="Q954" s="6"/>
      <c r="R954" s="6"/>
      <c r="S954" s="6">
        <v>45</v>
      </c>
      <c r="T954" s="6">
        <v>17.7</v>
      </c>
      <c r="U954" s="6">
        <v>1853</v>
      </c>
      <c r="V954" s="6">
        <v>45.68</v>
      </c>
      <c r="W954" s="6">
        <v>0</v>
      </c>
      <c r="X954" s="6">
        <v>0</v>
      </c>
      <c r="Y954" s="6">
        <v>1079</v>
      </c>
      <c r="Z954" s="6">
        <v>672</v>
      </c>
      <c r="AA954" s="6">
        <v>94</v>
      </c>
      <c r="AB954" s="6">
        <v>8</v>
      </c>
      <c r="AC954" s="7">
        <v>83</v>
      </c>
      <c r="AD954" s="7" t="s">
        <v>53</v>
      </c>
      <c r="AE954" s="9">
        <v>31.337183221901899</v>
      </c>
      <c r="AF954" s="7">
        <v>248</v>
      </c>
      <c r="AG954" s="7">
        <v>30.02</v>
      </c>
      <c r="AH954" s="9">
        <v>39.257156622754003</v>
      </c>
      <c r="AI954" s="9">
        <v>42.824190746140303</v>
      </c>
      <c r="AJ954" s="9">
        <v>459.66787046598301</v>
      </c>
      <c r="AK954" s="9">
        <v>461.28819145806801</v>
      </c>
      <c r="AL954" s="9">
        <v>507.11400155607902</v>
      </c>
      <c r="AM954" s="9">
        <v>90.359215401320597</v>
      </c>
      <c r="AN954" s="9">
        <v>1.08866524579904</v>
      </c>
      <c r="AO954" s="9">
        <v>0.76514511395434703</v>
      </c>
      <c r="AP954" s="9">
        <v>1268.8139055504</v>
      </c>
      <c r="AQ954" s="9">
        <v>15.286914524703599</v>
      </c>
      <c r="AR954" s="9">
        <v>16.7674005786291</v>
      </c>
      <c r="AS954" s="8">
        <v>63</v>
      </c>
      <c r="AT954" s="8">
        <v>7.0599999999999987</v>
      </c>
      <c r="AU954" s="10">
        <v>37.773491977358027</v>
      </c>
      <c r="AV954" s="10">
        <v>107.58095377962502</v>
      </c>
      <c r="AW954" s="10">
        <v>0.93994200790880011</v>
      </c>
      <c r="AX954" s="10">
        <v>1.7076341869781748</v>
      </c>
      <c r="AY954" s="10"/>
      <c r="AZ954" s="10"/>
      <c r="BA954" s="10"/>
      <c r="BB954" s="8"/>
      <c r="BC954" s="8"/>
      <c r="BD954" s="8"/>
      <c r="BE954" s="8"/>
      <c r="BF954" s="12">
        <v>0.38</v>
      </c>
      <c r="BG954" s="13">
        <v>335.62495002986498</v>
      </c>
      <c r="BH954" s="96" t="str">
        <f>+VLOOKUP(G954,Liste!$A$7:$G$50,3,FALSE)</f>
        <v>Sapin pectiné</v>
      </c>
      <c r="BI954" s="96" t="str">
        <f>+VLOOKUP(H954,Liste!$B$7:$G$50,5,FALSE)</f>
        <v>GS Arc Jurassien</v>
      </c>
      <c r="BJ954" s="135">
        <f t="shared" si="282"/>
        <v>83</v>
      </c>
      <c r="BK954" s="135" t="str">
        <f t="shared" si="284"/>
        <v>Sapin pectiné_F1_Cas général_GS Arc Jurassien_83_</v>
      </c>
      <c r="BL954" s="322"/>
      <c r="BM954" s="13">
        <v>83.838828381599896</v>
      </c>
      <c r="BN954" s="13">
        <v>419.463778411465</v>
      </c>
      <c r="BO954" s="13">
        <v>95.516842466655021</v>
      </c>
      <c r="BP954" s="13">
        <v>307.55958661145604</v>
      </c>
      <c r="BQ954" s="13">
        <v>13.295275544536301</v>
      </c>
      <c r="BT954" s="298" t="str">
        <f>+VLOOKUP(G954,Liste!$A$7:$H$50,8,FALSE)</f>
        <v>Résineux</v>
      </c>
      <c r="BU954" s="298">
        <f t="shared" si="285"/>
        <v>0</v>
      </c>
      <c r="BV954" s="300">
        <f t="shared" si="286"/>
        <v>1</v>
      </c>
      <c r="BW954" s="321">
        <v>0</v>
      </c>
      <c r="BX954" s="298">
        <f t="shared" si="287"/>
        <v>0.43</v>
      </c>
      <c r="BY954">
        <f t="shared" si="288"/>
        <v>0</v>
      </c>
      <c r="BZ954" s="304">
        <f t="shared" si="289"/>
        <v>0</v>
      </c>
      <c r="CB954" s="299">
        <v>0.6</v>
      </c>
      <c r="CC954" s="299">
        <v>0.4</v>
      </c>
      <c r="CD954">
        <f t="shared" si="290"/>
        <v>0</v>
      </c>
      <c r="CE954">
        <f t="shared" si="291"/>
        <v>0</v>
      </c>
      <c r="CF954">
        <f t="shared" si="292"/>
        <v>0</v>
      </c>
      <c r="CG954">
        <f t="shared" si="293"/>
        <v>0</v>
      </c>
      <c r="CH954">
        <f t="shared" si="294"/>
        <v>0</v>
      </c>
      <c r="CI954">
        <f t="shared" si="295"/>
        <v>0</v>
      </c>
      <c r="CJ954">
        <f t="shared" si="296"/>
        <v>0</v>
      </c>
      <c r="CK954">
        <f t="shared" si="297"/>
        <v>0</v>
      </c>
      <c r="CL954">
        <f t="shared" si="298"/>
        <v>0</v>
      </c>
      <c r="CM954">
        <f t="shared" si="300"/>
        <v>0</v>
      </c>
      <c r="CN954">
        <f t="shared" si="299"/>
        <v>0</v>
      </c>
      <c r="CO954">
        <f t="shared" si="283"/>
        <v>0</v>
      </c>
    </row>
    <row r="955" spans="1:93" s="12" customFormat="1" x14ac:dyDescent="0.25">
      <c r="A955" s="4">
        <v>2013</v>
      </c>
      <c r="B955" s="318">
        <v>44265</v>
      </c>
      <c r="C955" s="4" t="s">
        <v>430</v>
      </c>
      <c r="D955" s="4" t="s">
        <v>431</v>
      </c>
      <c r="E955" s="4"/>
      <c r="F955" s="4" t="s">
        <v>1493</v>
      </c>
      <c r="G955" s="5" t="s">
        <v>432</v>
      </c>
      <c r="H955" s="5" t="s">
        <v>185</v>
      </c>
      <c r="I955" s="5" t="s">
        <v>222</v>
      </c>
      <c r="J955" s="5" t="s">
        <v>9</v>
      </c>
      <c r="K955" s="5">
        <v>20</v>
      </c>
      <c r="L955" s="5" t="s">
        <v>190</v>
      </c>
      <c r="M955" s="5">
        <v>2000</v>
      </c>
      <c r="N955" s="5" t="s">
        <v>171</v>
      </c>
      <c r="O955" s="6" t="s">
        <v>81</v>
      </c>
      <c r="P955" s="6" t="s">
        <v>186</v>
      </c>
      <c r="Q955" s="6"/>
      <c r="R955" s="6"/>
      <c r="S955" s="6">
        <v>45</v>
      </c>
      <c r="T955" s="6">
        <v>17.7</v>
      </c>
      <c r="U955" s="6">
        <v>1853</v>
      </c>
      <c r="V955" s="6">
        <v>45.68</v>
      </c>
      <c r="W955" s="6">
        <v>0</v>
      </c>
      <c r="X955" s="6">
        <v>0</v>
      </c>
      <c r="Y955" s="6">
        <v>1079</v>
      </c>
      <c r="Z955" s="6">
        <v>672</v>
      </c>
      <c r="AA955" s="6">
        <v>94</v>
      </c>
      <c r="AB955" s="6">
        <v>8</v>
      </c>
      <c r="AC955" s="7">
        <v>84</v>
      </c>
      <c r="AD955" s="7" t="s">
        <v>52</v>
      </c>
      <c r="AE955" s="9">
        <v>31.582763478316799</v>
      </c>
      <c r="AF955" s="7">
        <v>248</v>
      </c>
      <c r="AG955" s="7">
        <v>30.79</v>
      </c>
      <c r="AH955" s="9">
        <v>39.757165710958098</v>
      </c>
      <c r="AI955" s="9">
        <v>43.349851986620997</v>
      </c>
      <c r="AJ955" s="9">
        <v>475.56626693190998</v>
      </c>
      <c r="AK955" s="9">
        <v>477.23471740491101</v>
      </c>
      <c r="AL955" s="9">
        <v>523.88140213470797</v>
      </c>
      <c r="AM955" s="9" t="s">
        <v>169</v>
      </c>
      <c r="AN955" s="9" t="s">
        <v>169</v>
      </c>
      <c r="AO955" s="9" t="s">
        <v>169</v>
      </c>
      <c r="AP955" s="9" t="s">
        <v>169</v>
      </c>
      <c r="AQ955" s="9" t="s">
        <v>169</v>
      </c>
      <c r="AR955" s="9" t="s">
        <v>169</v>
      </c>
      <c r="AS955" s="8" t="s">
        <v>169</v>
      </c>
      <c r="AT955" s="8" t="s">
        <v>169</v>
      </c>
      <c r="AU955" s="10" t="s">
        <v>169</v>
      </c>
      <c r="AV955" s="10">
        <v>0</v>
      </c>
      <c r="AW955" s="10" t="s">
        <v>169</v>
      </c>
      <c r="AX955" s="10" t="s">
        <v>169</v>
      </c>
      <c r="AY955" s="10"/>
      <c r="AZ955" s="10"/>
      <c r="BA955" s="10"/>
      <c r="BB955" s="8"/>
      <c r="BC955" s="8"/>
      <c r="BD955" s="8"/>
      <c r="BE955" s="8"/>
      <c r="BF955" s="12">
        <v>0.38</v>
      </c>
      <c r="BG955" s="13">
        <v>346.72217464615397</v>
      </c>
      <c r="BH955" s="96" t="str">
        <f>+VLOOKUP(G955,Liste!$A$7:$G$50,3,FALSE)</f>
        <v>Sapin pectiné</v>
      </c>
      <c r="BI955" s="96" t="str">
        <f>+VLOOKUP(H955,Liste!$B$7:$G$50,5,FALSE)</f>
        <v>GS Arc Jurassien</v>
      </c>
      <c r="BJ955" s="135">
        <f t="shared" si="282"/>
        <v>84</v>
      </c>
      <c r="BK955" s="135" t="str">
        <f t="shared" si="284"/>
        <v>Sapin pectiné_F1_Cas général_GS Arc Jurassien_84_</v>
      </c>
      <c r="BL955" s="322"/>
      <c r="BM955" s="13">
        <v>86.279033072061694</v>
      </c>
      <c r="BN955" s="13">
        <v>433.00120771821599</v>
      </c>
      <c r="BO955" s="13" t="s">
        <v>169</v>
      </c>
      <c r="BP955" s="13">
        <v>307.55958661145604</v>
      </c>
      <c r="BQ955" s="13" t="s">
        <v>169</v>
      </c>
      <c r="BT955" s="298" t="str">
        <f>+VLOOKUP(G955,Liste!$A$7:$H$50,8,FALSE)</f>
        <v>Résineux</v>
      </c>
      <c r="BU955" s="298">
        <f t="shared" si="285"/>
        <v>0</v>
      </c>
      <c r="BV955" s="300">
        <f t="shared" si="286"/>
        <v>1</v>
      </c>
      <c r="BW955" s="321">
        <v>0</v>
      </c>
      <c r="BX955" s="298">
        <f t="shared" si="287"/>
        <v>0.43</v>
      </c>
      <c r="BY955">
        <f t="shared" si="288"/>
        <v>0</v>
      </c>
      <c r="BZ955" s="304">
        <f t="shared" si="289"/>
        <v>0</v>
      </c>
      <c r="CB955" s="299">
        <v>0.6</v>
      </c>
      <c r="CC955" s="299">
        <v>0.4</v>
      </c>
      <c r="CD955">
        <f t="shared" si="290"/>
        <v>0</v>
      </c>
      <c r="CE955">
        <f t="shared" si="291"/>
        <v>0</v>
      </c>
      <c r="CF955">
        <f t="shared" si="292"/>
        <v>0</v>
      </c>
      <c r="CG955">
        <f t="shared" si="293"/>
        <v>0</v>
      </c>
      <c r="CH955">
        <f t="shared" si="294"/>
        <v>0</v>
      </c>
      <c r="CI955">
        <f t="shared" si="295"/>
        <v>0</v>
      </c>
      <c r="CJ955">
        <f t="shared" si="296"/>
        <v>0</v>
      </c>
      <c r="CK955">
        <f t="shared" si="297"/>
        <v>0</v>
      </c>
      <c r="CL955">
        <f t="shared" si="298"/>
        <v>0</v>
      </c>
      <c r="CM955">
        <f t="shared" si="300"/>
        <v>0</v>
      </c>
      <c r="CN955">
        <f t="shared" si="299"/>
        <v>0</v>
      </c>
      <c r="CO955">
        <f t="shared" si="283"/>
        <v>0</v>
      </c>
    </row>
    <row r="956" spans="1:93" s="12" customFormat="1" x14ac:dyDescent="0.25">
      <c r="A956" s="4">
        <v>2013</v>
      </c>
      <c r="B956" s="318">
        <v>44265</v>
      </c>
      <c r="C956" s="4" t="s">
        <v>430</v>
      </c>
      <c r="D956" s="4" t="s">
        <v>431</v>
      </c>
      <c r="E956" s="4"/>
      <c r="F956" s="4" t="s">
        <v>1493</v>
      </c>
      <c r="G956" s="5" t="s">
        <v>432</v>
      </c>
      <c r="H956" s="5" t="s">
        <v>185</v>
      </c>
      <c r="I956" s="5" t="s">
        <v>222</v>
      </c>
      <c r="J956" s="5" t="s">
        <v>9</v>
      </c>
      <c r="K956" s="5">
        <v>20</v>
      </c>
      <c r="L956" s="5" t="s">
        <v>190</v>
      </c>
      <c r="M956" s="5">
        <v>2000</v>
      </c>
      <c r="N956" s="5" t="s">
        <v>171</v>
      </c>
      <c r="O956" s="6" t="s">
        <v>81</v>
      </c>
      <c r="P956" s="6" t="s">
        <v>186</v>
      </c>
      <c r="Q956" s="6"/>
      <c r="R956" s="6"/>
      <c r="S956" s="6">
        <v>45</v>
      </c>
      <c r="T956" s="6">
        <v>17.7</v>
      </c>
      <c r="U956" s="6">
        <v>1853</v>
      </c>
      <c r="V956" s="6">
        <v>45.68</v>
      </c>
      <c r="W956" s="6">
        <v>0</v>
      </c>
      <c r="X956" s="6">
        <v>0</v>
      </c>
      <c r="Y956" s="6">
        <v>1079</v>
      </c>
      <c r="Z956" s="6">
        <v>672</v>
      </c>
      <c r="AA956" s="6">
        <v>94</v>
      </c>
      <c r="AB956" s="6">
        <v>8</v>
      </c>
      <c r="AC956" s="7">
        <v>85</v>
      </c>
      <c r="AD956" s="7" t="s">
        <v>52</v>
      </c>
      <c r="AE956" s="9">
        <v>31.824140202762401</v>
      </c>
      <c r="AF956" s="7">
        <v>248</v>
      </c>
      <c r="AG956" s="7">
        <v>31.55</v>
      </c>
      <c r="AH956" s="9">
        <v>40.245371311325599</v>
      </c>
      <c r="AI956" s="9">
        <v>43.862563977105196</v>
      </c>
      <c r="AJ956" s="9">
        <v>491.464663397837</v>
      </c>
      <c r="AK956" s="9">
        <v>493.18124335175298</v>
      </c>
      <c r="AL956" s="9">
        <v>540.64880271333698</v>
      </c>
      <c r="AM956" s="9">
        <v>91.889505629229305</v>
      </c>
      <c r="AN956" s="9">
        <v>1.0810530074027001</v>
      </c>
      <c r="AO956" s="9">
        <v>0.73465815697893799</v>
      </c>
      <c r="AP956" s="9">
        <v>1302.3487067076601</v>
      </c>
      <c r="AQ956" s="9">
        <v>15.3217494906783</v>
      </c>
      <c r="AR956" s="9">
        <v>16.439121511525901</v>
      </c>
      <c r="AS956" s="8" t="s">
        <v>169</v>
      </c>
      <c r="AT956" s="8" t="s">
        <v>169</v>
      </c>
      <c r="AU956" s="10" t="s">
        <v>169</v>
      </c>
      <c r="AV956" s="10">
        <v>0</v>
      </c>
      <c r="AW956" s="10" t="s">
        <v>169</v>
      </c>
      <c r="AX956" s="10" t="s">
        <v>169</v>
      </c>
      <c r="AY956" s="10"/>
      <c r="AZ956" s="10"/>
      <c r="BA956" s="10"/>
      <c r="BB956" s="8"/>
      <c r="BC956" s="8"/>
      <c r="BD956" s="8"/>
      <c r="BE956" s="8"/>
      <c r="BF956" s="12">
        <v>0.38</v>
      </c>
      <c r="BG956" s="13">
        <v>357.81939926244399</v>
      </c>
      <c r="BH956" s="96" t="str">
        <f>+VLOOKUP(G956,Liste!$A$7:$G$50,3,FALSE)</f>
        <v>Sapin pectiné</v>
      </c>
      <c r="BI956" s="96" t="str">
        <f>+VLOOKUP(H956,Liste!$B$7:$G$50,5,FALSE)</f>
        <v>GS Arc Jurassien</v>
      </c>
      <c r="BJ956" s="135">
        <f t="shared" si="282"/>
        <v>85</v>
      </c>
      <c r="BK956" s="135" t="str">
        <f t="shared" si="284"/>
        <v>Sapin pectiné_F1_Cas général_GS Arc Jurassien_85_</v>
      </c>
      <c r="BL956" s="322"/>
      <c r="BM956" s="13">
        <v>88.719237762523505</v>
      </c>
      <c r="BN956" s="13">
        <v>446.53863702496699</v>
      </c>
      <c r="BO956" s="13" t="s">
        <v>169</v>
      </c>
      <c r="BP956" s="13">
        <v>307.55958661145604</v>
      </c>
      <c r="BQ956" s="13">
        <v>13.0239949985734</v>
      </c>
      <c r="BT956" s="298" t="str">
        <f>+VLOOKUP(G956,Liste!$A$7:$H$50,8,FALSE)</f>
        <v>Résineux</v>
      </c>
      <c r="BU956" s="298">
        <f t="shared" si="285"/>
        <v>0</v>
      </c>
      <c r="BV956" s="300">
        <f t="shared" si="286"/>
        <v>1</v>
      </c>
      <c r="BW956" s="321">
        <v>0</v>
      </c>
      <c r="BX956" s="298">
        <f t="shared" si="287"/>
        <v>0.43</v>
      </c>
      <c r="BY956">
        <f t="shared" si="288"/>
        <v>0</v>
      </c>
      <c r="BZ956" s="304">
        <f t="shared" si="289"/>
        <v>0</v>
      </c>
      <c r="CB956" s="299">
        <v>0.6</v>
      </c>
      <c r="CC956" s="299">
        <v>0.4</v>
      </c>
      <c r="CD956">
        <f t="shared" si="290"/>
        <v>0</v>
      </c>
      <c r="CE956">
        <f t="shared" si="291"/>
        <v>0</v>
      </c>
      <c r="CF956">
        <f t="shared" si="292"/>
        <v>0</v>
      </c>
      <c r="CG956">
        <f t="shared" si="293"/>
        <v>0</v>
      </c>
      <c r="CH956">
        <f t="shared" si="294"/>
        <v>0</v>
      </c>
      <c r="CI956">
        <f t="shared" si="295"/>
        <v>0</v>
      </c>
      <c r="CJ956">
        <f t="shared" si="296"/>
        <v>0</v>
      </c>
      <c r="CK956">
        <f t="shared" si="297"/>
        <v>0</v>
      </c>
      <c r="CL956">
        <f t="shared" si="298"/>
        <v>0</v>
      </c>
      <c r="CM956">
        <f t="shared" si="300"/>
        <v>0</v>
      </c>
      <c r="CN956">
        <f t="shared" si="299"/>
        <v>0</v>
      </c>
      <c r="CO956">
        <f t="shared" si="283"/>
        <v>0</v>
      </c>
    </row>
    <row r="957" spans="1:93" s="12" customFormat="1" x14ac:dyDescent="0.25">
      <c r="A957" s="4">
        <v>2013</v>
      </c>
      <c r="B957" s="318">
        <v>44265</v>
      </c>
      <c r="C957" s="4" t="s">
        <v>430</v>
      </c>
      <c r="D957" s="4" t="s">
        <v>431</v>
      </c>
      <c r="E957" s="4"/>
      <c r="F957" s="4" t="s">
        <v>1493</v>
      </c>
      <c r="G957" s="5" t="s">
        <v>432</v>
      </c>
      <c r="H957" s="5" t="s">
        <v>185</v>
      </c>
      <c r="I957" s="5" t="s">
        <v>222</v>
      </c>
      <c r="J957" s="5" t="s">
        <v>9</v>
      </c>
      <c r="K957" s="5">
        <v>20</v>
      </c>
      <c r="L957" s="5" t="s">
        <v>190</v>
      </c>
      <c r="M957" s="5">
        <v>2000</v>
      </c>
      <c r="N957" s="5" t="s">
        <v>171</v>
      </c>
      <c r="O957" s="6" t="s">
        <v>81</v>
      </c>
      <c r="P957" s="6" t="s">
        <v>186</v>
      </c>
      <c r="Q957" s="6"/>
      <c r="R957" s="6"/>
      <c r="S957" s="6">
        <v>45</v>
      </c>
      <c r="T957" s="6">
        <v>17.7</v>
      </c>
      <c r="U957" s="6">
        <v>1853</v>
      </c>
      <c r="V957" s="6">
        <v>45.68</v>
      </c>
      <c r="W957" s="6">
        <v>0</v>
      </c>
      <c r="X957" s="6">
        <v>0</v>
      </c>
      <c r="Y957" s="6">
        <v>1079</v>
      </c>
      <c r="Z957" s="6">
        <v>672</v>
      </c>
      <c r="AA957" s="6">
        <v>94</v>
      </c>
      <c r="AB957" s="6">
        <v>8</v>
      </c>
      <c r="AC957" s="7">
        <v>86</v>
      </c>
      <c r="AD957" s="7" t="s">
        <v>52</v>
      </c>
      <c r="AE957" s="9">
        <v>32.061409107588297</v>
      </c>
      <c r="AF957" s="7">
        <v>248</v>
      </c>
      <c r="AG957" s="7">
        <v>32.299999999999997</v>
      </c>
      <c r="AH957" s="9">
        <v>40.722210184306398</v>
      </c>
      <c r="AI957" s="9">
        <v>44.362838880335197</v>
      </c>
      <c r="AJ957" s="9">
        <v>507.11985894247402</v>
      </c>
      <c r="AK957" s="9">
        <v>508.88089473258901</v>
      </c>
      <c r="AL957" s="9">
        <v>557.08792422486295</v>
      </c>
      <c r="AM957" s="9" t="s">
        <v>169</v>
      </c>
      <c r="AN957" s="9" t="s">
        <v>169</v>
      </c>
      <c r="AO957" s="9" t="s">
        <v>169</v>
      </c>
      <c r="AP957" s="9" t="s">
        <v>169</v>
      </c>
      <c r="AQ957" s="9" t="s">
        <v>169</v>
      </c>
      <c r="AR957" s="9" t="s">
        <v>169</v>
      </c>
      <c r="AS957" s="8" t="s">
        <v>169</v>
      </c>
      <c r="AT957" s="8" t="s">
        <v>169</v>
      </c>
      <c r="AU957" s="10" t="s">
        <v>169</v>
      </c>
      <c r="AV957" s="10">
        <v>0</v>
      </c>
      <c r="AW957" s="10" t="s">
        <v>169</v>
      </c>
      <c r="AX957" s="10" t="s">
        <v>169</v>
      </c>
      <c r="AY957" s="10"/>
      <c r="AZ957" s="10"/>
      <c r="BA957" s="10"/>
      <c r="BB957" s="8"/>
      <c r="BC957" s="8"/>
      <c r="BD957" s="8"/>
      <c r="BE957" s="8"/>
      <c r="BF957" s="12">
        <v>0.38</v>
      </c>
      <c r="BG957" s="13">
        <v>368.69935784948899</v>
      </c>
      <c r="BH957" s="96" t="str">
        <f>+VLOOKUP(G957,Liste!$A$7:$G$50,3,FALSE)</f>
        <v>Sapin pectiné</v>
      </c>
      <c r="BI957" s="96" t="str">
        <f>+VLOOKUP(H957,Liste!$B$7:$G$50,5,FALSE)</f>
        <v>GS Arc Jurassien</v>
      </c>
      <c r="BJ957" s="135">
        <f t="shared" si="282"/>
        <v>86</v>
      </c>
      <c r="BK957" s="135" t="str">
        <f t="shared" si="284"/>
        <v>Sapin pectiné_F1_Cas général_GS Arc Jurassien_86_</v>
      </c>
      <c r="BL957" s="322"/>
      <c r="BM957" s="13">
        <v>91.0828716126031</v>
      </c>
      <c r="BN957" s="13">
        <v>459.782229462092</v>
      </c>
      <c r="BO957" s="13" t="s">
        <v>169</v>
      </c>
      <c r="BP957" s="13">
        <v>307.55958661145604</v>
      </c>
      <c r="BQ957" s="13" t="s">
        <v>169</v>
      </c>
      <c r="BT957" s="298" t="str">
        <f>+VLOOKUP(G957,Liste!$A$7:$H$50,8,FALSE)</f>
        <v>Résineux</v>
      </c>
      <c r="BU957" s="298">
        <f t="shared" si="285"/>
        <v>0</v>
      </c>
      <c r="BV957" s="300">
        <f t="shared" si="286"/>
        <v>1</v>
      </c>
      <c r="BW957" s="321">
        <v>0</v>
      </c>
      <c r="BX957" s="298">
        <f t="shared" si="287"/>
        <v>0.43</v>
      </c>
      <c r="BY957">
        <f t="shared" si="288"/>
        <v>0</v>
      </c>
      <c r="BZ957" s="304">
        <f t="shared" si="289"/>
        <v>0</v>
      </c>
      <c r="CB957" s="299">
        <v>0.6</v>
      </c>
      <c r="CC957" s="299">
        <v>0.4</v>
      </c>
      <c r="CD957">
        <f t="shared" si="290"/>
        <v>0</v>
      </c>
      <c r="CE957">
        <f t="shared" si="291"/>
        <v>0</v>
      </c>
      <c r="CF957">
        <f t="shared" si="292"/>
        <v>0</v>
      </c>
      <c r="CG957">
        <f t="shared" si="293"/>
        <v>0</v>
      </c>
      <c r="CH957">
        <f t="shared" si="294"/>
        <v>0</v>
      </c>
      <c r="CI957">
        <f t="shared" si="295"/>
        <v>0</v>
      </c>
      <c r="CJ957">
        <f t="shared" si="296"/>
        <v>0</v>
      </c>
      <c r="CK957">
        <f t="shared" si="297"/>
        <v>0</v>
      </c>
      <c r="CL957">
        <f t="shared" si="298"/>
        <v>0</v>
      </c>
      <c r="CM957">
        <f t="shared" si="300"/>
        <v>0</v>
      </c>
      <c r="CN957">
        <f t="shared" si="299"/>
        <v>0</v>
      </c>
      <c r="CO957">
        <f t="shared" si="283"/>
        <v>0</v>
      </c>
    </row>
    <row r="958" spans="1:93" s="12" customFormat="1" x14ac:dyDescent="0.25">
      <c r="A958" s="4">
        <v>2013</v>
      </c>
      <c r="B958" s="318">
        <v>44265</v>
      </c>
      <c r="C958" s="4" t="s">
        <v>430</v>
      </c>
      <c r="D958" s="4" t="s">
        <v>431</v>
      </c>
      <c r="E958" s="4"/>
      <c r="F958" s="4" t="s">
        <v>1493</v>
      </c>
      <c r="G958" s="5" t="s">
        <v>432</v>
      </c>
      <c r="H958" s="5" t="s">
        <v>185</v>
      </c>
      <c r="I958" s="5" t="s">
        <v>222</v>
      </c>
      <c r="J958" s="5" t="s">
        <v>9</v>
      </c>
      <c r="K958" s="5">
        <v>20</v>
      </c>
      <c r="L958" s="5" t="s">
        <v>190</v>
      </c>
      <c r="M958" s="5">
        <v>2000</v>
      </c>
      <c r="N958" s="5" t="s">
        <v>171</v>
      </c>
      <c r="O958" s="6" t="s">
        <v>81</v>
      </c>
      <c r="P958" s="6" t="s">
        <v>186</v>
      </c>
      <c r="Q958" s="6"/>
      <c r="R958" s="6"/>
      <c r="S958" s="6">
        <v>45</v>
      </c>
      <c r="T958" s="6">
        <v>17.7</v>
      </c>
      <c r="U958" s="6">
        <v>1853</v>
      </c>
      <c r="V958" s="6">
        <v>45.68</v>
      </c>
      <c r="W958" s="6">
        <v>0</v>
      </c>
      <c r="X958" s="6">
        <v>0</v>
      </c>
      <c r="Y958" s="6">
        <v>1079</v>
      </c>
      <c r="Z958" s="6">
        <v>672</v>
      </c>
      <c r="AA958" s="6">
        <v>94</v>
      </c>
      <c r="AB958" s="6">
        <v>8</v>
      </c>
      <c r="AC958" s="7">
        <v>87</v>
      </c>
      <c r="AD958" s="7" t="s">
        <v>52</v>
      </c>
      <c r="AE958" s="9">
        <v>32.294663486691299</v>
      </c>
      <c r="AF958" s="7">
        <v>248</v>
      </c>
      <c r="AG958" s="7">
        <v>33.04</v>
      </c>
      <c r="AH958" s="9">
        <v>41.188095760591899</v>
      </c>
      <c r="AI958" s="9">
        <v>44.851158740821603</v>
      </c>
      <c r="AJ958" s="9">
        <v>522.77505448710997</v>
      </c>
      <c r="AK958" s="9">
        <v>524.58054611342504</v>
      </c>
      <c r="AL958" s="9">
        <v>573.52704573638903</v>
      </c>
      <c r="AM958" s="9" t="s">
        <v>169</v>
      </c>
      <c r="AN958" s="9" t="s">
        <v>169</v>
      </c>
      <c r="AO958" s="9" t="s">
        <v>169</v>
      </c>
      <c r="AP958" s="9" t="s">
        <v>169</v>
      </c>
      <c r="AQ958" s="9" t="s">
        <v>169</v>
      </c>
      <c r="AR958" s="9" t="s">
        <v>169</v>
      </c>
      <c r="AS958" s="8" t="s">
        <v>169</v>
      </c>
      <c r="AT958" s="8" t="s">
        <v>169</v>
      </c>
      <c r="AU958" s="10" t="s">
        <v>169</v>
      </c>
      <c r="AV958" s="10">
        <v>0</v>
      </c>
      <c r="AW958" s="10" t="s">
        <v>169</v>
      </c>
      <c r="AX958" s="10" t="s">
        <v>169</v>
      </c>
      <c r="AY958" s="10"/>
      <c r="AZ958" s="10"/>
      <c r="BA958" s="10"/>
      <c r="BB958" s="8"/>
      <c r="BC958" s="8"/>
      <c r="BD958" s="8"/>
      <c r="BE958" s="8"/>
      <c r="BF958" s="12">
        <v>0.38</v>
      </c>
      <c r="BG958" s="13">
        <v>379.57931643653399</v>
      </c>
      <c r="BH958" s="96" t="str">
        <f>+VLOOKUP(G958,Liste!$A$7:$G$50,3,FALSE)</f>
        <v>Sapin pectiné</v>
      </c>
      <c r="BI958" s="96" t="str">
        <f>+VLOOKUP(H958,Liste!$B$7:$G$50,5,FALSE)</f>
        <v>GS Arc Jurassien</v>
      </c>
      <c r="BJ958" s="135">
        <f t="shared" si="282"/>
        <v>87</v>
      </c>
      <c r="BK958" s="135" t="str">
        <f t="shared" si="284"/>
        <v>Sapin pectiné_F1_Cas général_GS Arc Jurassien_87_</v>
      </c>
      <c r="BL958" s="322"/>
      <c r="BM958" s="13">
        <v>93.446505462682595</v>
      </c>
      <c r="BN958" s="13">
        <v>473.025821899216</v>
      </c>
      <c r="BO958" s="13" t="s">
        <v>169</v>
      </c>
      <c r="BP958" s="13">
        <v>307.55958661145604</v>
      </c>
      <c r="BQ958" s="13" t="s">
        <v>169</v>
      </c>
      <c r="BT958" s="298" t="str">
        <f>+VLOOKUP(G958,Liste!$A$7:$H$50,8,FALSE)</f>
        <v>Résineux</v>
      </c>
      <c r="BU958" s="298">
        <f t="shared" si="285"/>
        <v>0</v>
      </c>
      <c r="BV958" s="300">
        <f t="shared" si="286"/>
        <v>1</v>
      </c>
      <c r="BW958" s="321">
        <v>0</v>
      </c>
      <c r="BX958" s="298">
        <f t="shared" si="287"/>
        <v>0.43</v>
      </c>
      <c r="BY958">
        <f t="shared" si="288"/>
        <v>0</v>
      </c>
      <c r="BZ958" s="304">
        <f t="shared" si="289"/>
        <v>0</v>
      </c>
      <c r="CB958" s="299">
        <v>0.6</v>
      </c>
      <c r="CC958" s="299">
        <v>0.4</v>
      </c>
      <c r="CD958">
        <f t="shared" si="290"/>
        <v>0</v>
      </c>
      <c r="CE958">
        <f t="shared" si="291"/>
        <v>0</v>
      </c>
      <c r="CF958">
        <f t="shared" si="292"/>
        <v>0</v>
      </c>
      <c r="CG958">
        <f t="shared" si="293"/>
        <v>0</v>
      </c>
      <c r="CH958">
        <f t="shared" si="294"/>
        <v>0</v>
      </c>
      <c r="CI958">
        <f t="shared" si="295"/>
        <v>0</v>
      </c>
      <c r="CJ958">
        <f t="shared" si="296"/>
        <v>0</v>
      </c>
      <c r="CK958">
        <f t="shared" si="297"/>
        <v>0</v>
      </c>
      <c r="CL958">
        <f t="shared" si="298"/>
        <v>0</v>
      </c>
      <c r="CM958">
        <f t="shared" si="300"/>
        <v>0</v>
      </c>
      <c r="CN958">
        <f t="shared" si="299"/>
        <v>0</v>
      </c>
      <c r="CO958">
        <f t="shared" si="283"/>
        <v>0</v>
      </c>
    </row>
    <row r="959" spans="1:93" s="12" customFormat="1" x14ac:dyDescent="0.25">
      <c r="A959" s="4">
        <v>2013</v>
      </c>
      <c r="B959" s="318">
        <v>44265</v>
      </c>
      <c r="C959" s="4" t="s">
        <v>430</v>
      </c>
      <c r="D959" s="4" t="s">
        <v>431</v>
      </c>
      <c r="E959" s="4"/>
      <c r="F959" s="4" t="s">
        <v>1493</v>
      </c>
      <c r="G959" s="5" t="s">
        <v>432</v>
      </c>
      <c r="H959" s="5" t="s">
        <v>185</v>
      </c>
      <c r="I959" s="5" t="s">
        <v>222</v>
      </c>
      <c r="J959" s="5" t="s">
        <v>9</v>
      </c>
      <c r="K959" s="5">
        <v>20</v>
      </c>
      <c r="L959" s="5" t="s">
        <v>190</v>
      </c>
      <c r="M959" s="5">
        <v>2000</v>
      </c>
      <c r="N959" s="5" t="s">
        <v>171</v>
      </c>
      <c r="O959" s="6" t="s">
        <v>81</v>
      </c>
      <c r="P959" s="6" t="s">
        <v>186</v>
      </c>
      <c r="Q959" s="6"/>
      <c r="R959" s="6"/>
      <c r="S959" s="6">
        <v>45</v>
      </c>
      <c r="T959" s="6">
        <v>17.7</v>
      </c>
      <c r="U959" s="6">
        <v>1853</v>
      </c>
      <c r="V959" s="6">
        <v>45.68</v>
      </c>
      <c r="W959" s="6">
        <v>0</v>
      </c>
      <c r="X959" s="6">
        <v>0</v>
      </c>
      <c r="Y959" s="6">
        <v>1079</v>
      </c>
      <c r="Z959" s="6">
        <v>672</v>
      </c>
      <c r="AA959" s="6">
        <v>94</v>
      </c>
      <c r="AB959" s="6">
        <v>8</v>
      </c>
      <c r="AC959" s="7">
        <v>88</v>
      </c>
      <c r="AD959" s="7" t="s">
        <v>52</v>
      </c>
      <c r="AE959" s="9">
        <v>32.5239942628222</v>
      </c>
      <c r="AF959" s="7">
        <v>248</v>
      </c>
      <c r="AG959" s="7">
        <v>33.78</v>
      </c>
      <c r="AH959" s="9">
        <v>41.643419527539599</v>
      </c>
      <c r="AI959" s="9">
        <v>45.327978294534297</v>
      </c>
      <c r="AJ959" s="9">
        <v>538.43025003174603</v>
      </c>
      <c r="AK959" s="9">
        <v>540.28019749426096</v>
      </c>
      <c r="AL959" s="9">
        <v>589.966167247915</v>
      </c>
      <c r="AM959" s="9" t="s">
        <v>169</v>
      </c>
      <c r="AN959" s="9" t="s">
        <v>169</v>
      </c>
      <c r="AO959" s="9" t="s">
        <v>169</v>
      </c>
      <c r="AP959" s="9" t="s">
        <v>169</v>
      </c>
      <c r="AQ959" s="9" t="s">
        <v>169</v>
      </c>
      <c r="AR959" s="9" t="s">
        <v>169</v>
      </c>
      <c r="AS959" s="8" t="s">
        <v>169</v>
      </c>
      <c r="AT959" s="8" t="s">
        <v>169</v>
      </c>
      <c r="AU959" s="10" t="s">
        <v>169</v>
      </c>
      <c r="AV959" s="10">
        <v>0</v>
      </c>
      <c r="AW959" s="10" t="s">
        <v>169</v>
      </c>
      <c r="AX959" s="10" t="s">
        <v>169</v>
      </c>
      <c r="AY959" s="10"/>
      <c r="AZ959" s="10"/>
      <c r="BA959" s="10"/>
      <c r="BB959" s="8"/>
      <c r="BC959" s="8"/>
      <c r="BD959" s="8"/>
      <c r="BE959" s="8"/>
      <c r="BF959" s="12">
        <v>0.38</v>
      </c>
      <c r="BG959" s="13">
        <v>390.45927502357898</v>
      </c>
      <c r="BH959" s="96" t="str">
        <f>+VLOOKUP(G959,Liste!$A$7:$G$50,3,FALSE)</f>
        <v>Sapin pectiné</v>
      </c>
      <c r="BI959" s="96" t="str">
        <f>+VLOOKUP(H959,Liste!$B$7:$G$50,5,FALSE)</f>
        <v>GS Arc Jurassien</v>
      </c>
      <c r="BJ959" s="135">
        <f t="shared" si="282"/>
        <v>88</v>
      </c>
      <c r="BK959" s="135" t="str">
        <f t="shared" si="284"/>
        <v>Sapin pectiné_F1_Cas général_GS Arc Jurassien_88_</v>
      </c>
      <c r="BL959" s="322"/>
      <c r="BM959" s="13">
        <v>95.810139312762203</v>
      </c>
      <c r="BN959" s="13">
        <v>486.26941433634101</v>
      </c>
      <c r="BO959" s="13" t="s">
        <v>169</v>
      </c>
      <c r="BP959" s="13">
        <v>307.55958661145604</v>
      </c>
      <c r="BQ959" s="13" t="s">
        <v>169</v>
      </c>
      <c r="BT959" s="298" t="str">
        <f>+VLOOKUP(G959,Liste!$A$7:$H$50,8,FALSE)</f>
        <v>Résineux</v>
      </c>
      <c r="BU959" s="298">
        <f t="shared" si="285"/>
        <v>0</v>
      </c>
      <c r="BV959" s="300">
        <f t="shared" si="286"/>
        <v>1</v>
      </c>
      <c r="BW959" s="321">
        <v>0</v>
      </c>
      <c r="BX959" s="298">
        <f t="shared" si="287"/>
        <v>0.43</v>
      </c>
      <c r="BY959">
        <f t="shared" si="288"/>
        <v>0</v>
      </c>
      <c r="BZ959" s="304">
        <f t="shared" si="289"/>
        <v>0</v>
      </c>
      <c r="CB959" s="299">
        <v>0.6</v>
      </c>
      <c r="CC959" s="299">
        <v>0.4</v>
      </c>
      <c r="CD959">
        <f t="shared" si="290"/>
        <v>0</v>
      </c>
      <c r="CE959">
        <f t="shared" si="291"/>
        <v>0</v>
      </c>
      <c r="CF959">
        <f t="shared" si="292"/>
        <v>0</v>
      </c>
      <c r="CG959">
        <f t="shared" si="293"/>
        <v>0</v>
      </c>
      <c r="CH959">
        <f t="shared" si="294"/>
        <v>0</v>
      </c>
      <c r="CI959">
        <f t="shared" si="295"/>
        <v>0</v>
      </c>
      <c r="CJ959">
        <f t="shared" si="296"/>
        <v>0</v>
      </c>
      <c r="CK959">
        <f t="shared" si="297"/>
        <v>0</v>
      </c>
      <c r="CL959">
        <f t="shared" si="298"/>
        <v>0</v>
      </c>
      <c r="CM959">
        <f t="shared" si="300"/>
        <v>0</v>
      </c>
      <c r="CN959">
        <f t="shared" si="299"/>
        <v>0</v>
      </c>
      <c r="CO959">
        <f t="shared" si="283"/>
        <v>0</v>
      </c>
    </row>
    <row r="960" spans="1:93" s="12" customFormat="1" x14ac:dyDescent="0.25">
      <c r="A960" s="4">
        <v>2013</v>
      </c>
      <c r="B960" s="318">
        <v>44265</v>
      </c>
      <c r="C960" s="4" t="s">
        <v>430</v>
      </c>
      <c r="D960" s="4" t="s">
        <v>431</v>
      </c>
      <c r="E960" s="4"/>
      <c r="F960" s="4" t="s">
        <v>1493</v>
      </c>
      <c r="G960" s="5" t="s">
        <v>432</v>
      </c>
      <c r="H960" s="5" t="s">
        <v>185</v>
      </c>
      <c r="I960" s="5" t="s">
        <v>222</v>
      </c>
      <c r="J960" s="5" t="s">
        <v>9</v>
      </c>
      <c r="K960" s="5">
        <v>20</v>
      </c>
      <c r="L960" s="5" t="s">
        <v>190</v>
      </c>
      <c r="M960" s="5">
        <v>2000</v>
      </c>
      <c r="N960" s="5" t="s">
        <v>171</v>
      </c>
      <c r="O960" s="6" t="s">
        <v>81</v>
      </c>
      <c r="P960" s="6" t="s">
        <v>186</v>
      </c>
      <c r="Q960" s="6"/>
      <c r="R960" s="6"/>
      <c r="S960" s="6">
        <v>45</v>
      </c>
      <c r="T960" s="6">
        <v>17.7</v>
      </c>
      <c r="U960" s="6">
        <v>1853</v>
      </c>
      <c r="V960" s="6">
        <v>45.68</v>
      </c>
      <c r="W960" s="6">
        <v>0</v>
      </c>
      <c r="X960" s="6">
        <v>0</v>
      </c>
      <c r="Y960" s="6">
        <v>1079</v>
      </c>
      <c r="Z960" s="6">
        <v>672</v>
      </c>
      <c r="AA960" s="6">
        <v>94</v>
      </c>
      <c r="AB960" s="6">
        <v>8</v>
      </c>
      <c r="AC960" s="7">
        <v>89</v>
      </c>
      <c r="AD960" s="7" t="s">
        <v>52</v>
      </c>
      <c r="AE960" s="9">
        <v>32.749490036321802</v>
      </c>
      <c r="AF960" s="7">
        <v>248</v>
      </c>
      <c r="AG960" s="7">
        <v>34.5</v>
      </c>
      <c r="AH960" s="9">
        <v>42.088553263971697</v>
      </c>
      <c r="AI960" s="9">
        <v>45.793726968800897</v>
      </c>
      <c r="AJ960" s="9">
        <v>554.08544557638299</v>
      </c>
      <c r="AK960" s="9">
        <v>555.97984887509699</v>
      </c>
      <c r="AL960" s="9">
        <v>606.40528875944096</v>
      </c>
      <c r="AM960" s="9" t="s">
        <v>169</v>
      </c>
      <c r="AN960" s="9" t="s">
        <v>169</v>
      </c>
      <c r="AO960" s="9" t="s">
        <v>169</v>
      </c>
      <c r="AP960" s="9" t="s">
        <v>169</v>
      </c>
      <c r="AQ960" s="9" t="s">
        <v>169</v>
      </c>
      <c r="AR960" s="9" t="s">
        <v>169</v>
      </c>
      <c r="AS960" s="8" t="s">
        <v>169</v>
      </c>
      <c r="AT960" s="8" t="s">
        <v>169</v>
      </c>
      <c r="AU960" s="10" t="s">
        <v>169</v>
      </c>
      <c r="AV960" s="10">
        <v>0</v>
      </c>
      <c r="AW960" s="10" t="s">
        <v>169</v>
      </c>
      <c r="AX960" s="10" t="s">
        <v>169</v>
      </c>
      <c r="AY960" s="10"/>
      <c r="AZ960" s="10"/>
      <c r="BA960" s="10"/>
      <c r="BB960" s="8"/>
      <c r="BC960" s="8"/>
      <c r="BD960" s="8"/>
      <c r="BE960" s="8"/>
      <c r="BF960" s="12">
        <v>0.38</v>
      </c>
      <c r="BG960" s="13">
        <v>401.33923361062301</v>
      </c>
      <c r="BH960" s="96" t="str">
        <f>+VLOOKUP(G960,Liste!$A$7:$G$50,3,FALSE)</f>
        <v>Sapin pectiné</v>
      </c>
      <c r="BI960" s="96" t="str">
        <f>+VLOOKUP(H960,Liste!$B$7:$G$50,5,FALSE)</f>
        <v>GS Arc Jurassien</v>
      </c>
      <c r="BJ960" s="135">
        <f t="shared" si="282"/>
        <v>89</v>
      </c>
      <c r="BK960" s="135" t="str">
        <f t="shared" si="284"/>
        <v>Sapin pectiné_F1_Cas général_GS Arc Jurassien_89_</v>
      </c>
      <c r="BL960" s="322"/>
      <c r="BM960" s="13">
        <v>98.173773162841698</v>
      </c>
      <c r="BN960" s="13">
        <v>499.51300677346501</v>
      </c>
      <c r="BO960" s="13" t="s">
        <v>169</v>
      </c>
      <c r="BP960" s="13">
        <v>307.55958661145604</v>
      </c>
      <c r="BQ960" s="13" t="s">
        <v>169</v>
      </c>
      <c r="BT960" s="298" t="str">
        <f>+VLOOKUP(G960,Liste!$A$7:$H$50,8,FALSE)</f>
        <v>Résineux</v>
      </c>
      <c r="BU960" s="298">
        <f t="shared" si="285"/>
        <v>0</v>
      </c>
      <c r="BV960" s="300">
        <f t="shared" si="286"/>
        <v>1</v>
      </c>
      <c r="BW960" s="321">
        <v>0</v>
      </c>
      <c r="BX960" s="298">
        <f t="shared" si="287"/>
        <v>0.43</v>
      </c>
      <c r="BY960">
        <f t="shared" si="288"/>
        <v>0</v>
      </c>
      <c r="BZ960" s="304">
        <f t="shared" si="289"/>
        <v>0</v>
      </c>
      <c r="CB960" s="299">
        <v>0.6</v>
      </c>
      <c r="CC960" s="299">
        <v>0.4</v>
      </c>
      <c r="CD960">
        <f t="shared" si="290"/>
        <v>0</v>
      </c>
      <c r="CE960">
        <f t="shared" si="291"/>
        <v>0</v>
      </c>
      <c r="CF960">
        <f t="shared" si="292"/>
        <v>0</v>
      </c>
      <c r="CG960">
        <f t="shared" si="293"/>
        <v>0</v>
      </c>
      <c r="CH960">
        <f t="shared" si="294"/>
        <v>0</v>
      </c>
      <c r="CI960">
        <f t="shared" si="295"/>
        <v>0</v>
      </c>
      <c r="CJ960">
        <f t="shared" si="296"/>
        <v>0</v>
      </c>
      <c r="CK960">
        <f t="shared" si="297"/>
        <v>0</v>
      </c>
      <c r="CL960">
        <f t="shared" si="298"/>
        <v>0</v>
      </c>
      <c r="CM960">
        <f t="shared" si="300"/>
        <v>0</v>
      </c>
      <c r="CN960">
        <f t="shared" si="299"/>
        <v>0</v>
      </c>
      <c r="CO960">
        <f t="shared" si="283"/>
        <v>0</v>
      </c>
    </row>
    <row r="961" spans="1:93" s="12" customFormat="1" x14ac:dyDescent="0.25">
      <c r="A961" s="4">
        <v>2013</v>
      </c>
      <c r="B961" s="318">
        <v>44265</v>
      </c>
      <c r="C961" s="4" t="s">
        <v>430</v>
      </c>
      <c r="D961" s="4" t="s">
        <v>431</v>
      </c>
      <c r="E961" s="4"/>
      <c r="F961" s="4" t="s">
        <v>1493</v>
      </c>
      <c r="G961" s="5" t="s">
        <v>432</v>
      </c>
      <c r="H961" s="5" t="s">
        <v>185</v>
      </c>
      <c r="I961" s="5" t="s">
        <v>222</v>
      </c>
      <c r="J961" s="5" t="s">
        <v>9</v>
      </c>
      <c r="K961" s="5">
        <v>20</v>
      </c>
      <c r="L961" s="5" t="s">
        <v>190</v>
      </c>
      <c r="M961" s="5">
        <v>2000</v>
      </c>
      <c r="N961" s="5" t="s">
        <v>171</v>
      </c>
      <c r="O961" s="6" t="s">
        <v>81</v>
      </c>
      <c r="P961" s="6" t="s">
        <v>186</v>
      </c>
      <c r="Q961" s="6"/>
      <c r="R961" s="6"/>
      <c r="S961" s="6">
        <v>45</v>
      </c>
      <c r="T961" s="6">
        <v>17.7</v>
      </c>
      <c r="U961" s="6">
        <v>1853</v>
      </c>
      <c r="V961" s="6">
        <v>45.68</v>
      </c>
      <c r="W961" s="6">
        <v>0</v>
      </c>
      <c r="X961" s="6">
        <v>0</v>
      </c>
      <c r="Y961" s="6">
        <v>1079</v>
      </c>
      <c r="Z961" s="6">
        <v>672</v>
      </c>
      <c r="AA961" s="6">
        <v>94</v>
      </c>
      <c r="AB961" s="6">
        <v>8</v>
      </c>
      <c r="AC961" s="7">
        <v>90</v>
      </c>
      <c r="AD961" s="7" t="s">
        <v>52</v>
      </c>
      <c r="AE961" s="9">
        <v>32.971237134918397</v>
      </c>
      <c r="AF961" s="7">
        <v>248</v>
      </c>
      <c r="AG961" s="7">
        <v>35.22</v>
      </c>
      <c r="AH961" s="9">
        <v>42.523849524554997</v>
      </c>
      <c r="AI961" s="9">
        <v>46.248810591766599</v>
      </c>
      <c r="AJ961" s="9">
        <v>569.74064112101905</v>
      </c>
      <c r="AK961" s="9">
        <v>571.67950025593302</v>
      </c>
      <c r="AL961" s="9">
        <v>622.84441027096705</v>
      </c>
      <c r="AM961" s="9">
        <v>95.562796414123994</v>
      </c>
      <c r="AN961" s="9">
        <v>1.06180884904582</v>
      </c>
      <c r="AO961" s="9">
        <v>0.70888028254954305</v>
      </c>
      <c r="AP961" s="9">
        <v>1384.54431426528</v>
      </c>
      <c r="AQ961" s="9">
        <v>15.3838257140587</v>
      </c>
      <c r="AR961" s="9">
        <v>16.262568524380399</v>
      </c>
      <c r="AS961" s="8" t="s">
        <v>169</v>
      </c>
      <c r="AT961" s="8" t="s">
        <v>169</v>
      </c>
      <c r="AU961" s="10" t="s">
        <v>169</v>
      </c>
      <c r="AV961" s="10">
        <v>0</v>
      </c>
      <c r="AW961" s="10" t="s">
        <v>169</v>
      </c>
      <c r="AX961" s="10" t="s">
        <v>169</v>
      </c>
      <c r="AY961" s="10"/>
      <c r="AZ961" s="10"/>
      <c r="BA961" s="10"/>
      <c r="BB961" s="8"/>
      <c r="BC961" s="8"/>
      <c r="BD961" s="8"/>
      <c r="BE961" s="8"/>
      <c r="BF961" s="12">
        <v>0.38</v>
      </c>
      <c r="BG961" s="13">
        <v>412.21919219766801</v>
      </c>
      <c r="BH961" s="96" t="str">
        <f>+VLOOKUP(G961,Liste!$A$7:$G$50,3,FALSE)</f>
        <v>Sapin pectiné</v>
      </c>
      <c r="BI961" s="96" t="str">
        <f>+VLOOKUP(H961,Liste!$B$7:$G$50,5,FALSE)</f>
        <v>GS Arc Jurassien</v>
      </c>
      <c r="BJ961" s="135">
        <f t="shared" si="282"/>
        <v>90</v>
      </c>
      <c r="BK961" s="135" t="str">
        <f t="shared" si="284"/>
        <v>Sapin pectiné_F1_Cas général_GS Arc Jurassien_90_</v>
      </c>
      <c r="BL961" s="322"/>
      <c r="BM961" s="13">
        <v>100.53740701292099</v>
      </c>
      <c r="BN961" s="13">
        <v>512.75659921059002</v>
      </c>
      <c r="BO961" s="13" t="s">
        <v>169</v>
      </c>
      <c r="BP961" s="13">
        <v>307.55958661145604</v>
      </c>
      <c r="BQ961" s="13">
        <v>12.8752121023581</v>
      </c>
      <c r="BT961" s="298" t="str">
        <f>+VLOOKUP(G961,Liste!$A$7:$H$50,8,FALSE)</f>
        <v>Résineux</v>
      </c>
      <c r="BU961" s="298">
        <f t="shared" si="285"/>
        <v>0</v>
      </c>
      <c r="BV961" s="300">
        <f t="shared" si="286"/>
        <v>1</v>
      </c>
      <c r="BW961" s="321">
        <v>0</v>
      </c>
      <c r="BX961" s="298">
        <f t="shared" si="287"/>
        <v>0.43</v>
      </c>
      <c r="BY961">
        <f t="shared" si="288"/>
        <v>0</v>
      </c>
      <c r="BZ961" s="304">
        <f t="shared" si="289"/>
        <v>0</v>
      </c>
      <c r="CB961" s="299">
        <v>0.6</v>
      </c>
      <c r="CC961" s="299">
        <v>0.4</v>
      </c>
      <c r="CD961">
        <f t="shared" si="290"/>
        <v>0</v>
      </c>
      <c r="CE961">
        <f t="shared" si="291"/>
        <v>0</v>
      </c>
      <c r="CF961">
        <f t="shared" si="292"/>
        <v>0</v>
      </c>
      <c r="CG961">
        <f t="shared" si="293"/>
        <v>0</v>
      </c>
      <c r="CH961">
        <f t="shared" si="294"/>
        <v>0</v>
      </c>
      <c r="CI961">
        <f t="shared" si="295"/>
        <v>0</v>
      </c>
      <c r="CJ961">
        <f t="shared" si="296"/>
        <v>0</v>
      </c>
      <c r="CK961">
        <f t="shared" si="297"/>
        <v>0</v>
      </c>
      <c r="CL961">
        <f t="shared" si="298"/>
        <v>0</v>
      </c>
      <c r="CM961">
        <f t="shared" si="300"/>
        <v>0</v>
      </c>
      <c r="CN961">
        <f t="shared" si="299"/>
        <v>0</v>
      </c>
      <c r="CO961">
        <f t="shared" si="283"/>
        <v>0</v>
      </c>
    </row>
    <row r="962" spans="1:93" s="12" customFormat="1" x14ac:dyDescent="0.25">
      <c r="A962" s="4">
        <v>2013</v>
      </c>
      <c r="B962" s="318">
        <v>44265</v>
      </c>
      <c r="C962" s="4" t="s">
        <v>430</v>
      </c>
      <c r="D962" s="4" t="s">
        <v>431</v>
      </c>
      <c r="E962" s="4"/>
      <c r="F962" s="4" t="s">
        <v>1493</v>
      </c>
      <c r="G962" s="5" t="s">
        <v>432</v>
      </c>
      <c r="H962" s="5" t="s">
        <v>185</v>
      </c>
      <c r="I962" s="5" t="s">
        <v>222</v>
      </c>
      <c r="J962" s="5" t="s">
        <v>9</v>
      </c>
      <c r="K962" s="5">
        <v>20</v>
      </c>
      <c r="L962" s="5" t="s">
        <v>190</v>
      </c>
      <c r="M962" s="5">
        <v>2000</v>
      </c>
      <c r="N962" s="5" t="s">
        <v>171</v>
      </c>
      <c r="O962" s="6" t="s">
        <v>81</v>
      </c>
      <c r="P962" s="6" t="s">
        <v>186</v>
      </c>
      <c r="Q962" s="6"/>
      <c r="R962" s="6"/>
      <c r="S962" s="6">
        <v>45</v>
      </c>
      <c r="T962" s="6">
        <v>17.7</v>
      </c>
      <c r="U962" s="6">
        <v>1853</v>
      </c>
      <c r="V962" s="6">
        <v>45.68</v>
      </c>
      <c r="W962" s="6">
        <v>0</v>
      </c>
      <c r="X962" s="6">
        <v>0</v>
      </c>
      <c r="Y962" s="6">
        <v>1079</v>
      </c>
      <c r="Z962" s="6">
        <v>672</v>
      </c>
      <c r="AA962" s="6">
        <v>94</v>
      </c>
      <c r="AB962" s="6">
        <v>8</v>
      </c>
      <c r="AC962" s="7">
        <v>91</v>
      </c>
      <c r="AD962" s="7" t="s">
        <v>52</v>
      </c>
      <c r="AE962" s="9">
        <v>33.189319664265597</v>
      </c>
      <c r="AF962" s="7">
        <v>248</v>
      </c>
      <c r="AG962" s="7">
        <v>35.93</v>
      </c>
      <c r="AH962" s="9">
        <v>42.949643860634197</v>
      </c>
      <c r="AI962" s="9">
        <v>46.693613623215398</v>
      </c>
      <c r="AJ962" s="9">
        <v>585.32091314653405</v>
      </c>
      <c r="AK962" s="9">
        <v>587.29899086054797</v>
      </c>
      <c r="AL962" s="9">
        <v>639.106978795347</v>
      </c>
      <c r="AM962" s="9">
        <v>96.271676696673495</v>
      </c>
      <c r="AN962" s="9">
        <v>1.0579305131502601</v>
      </c>
      <c r="AO962" s="9">
        <v>0.65653524706803501</v>
      </c>
      <c r="AP962" s="9">
        <v>1400.80688278967</v>
      </c>
      <c r="AQ962" s="9">
        <v>15.3934822284579</v>
      </c>
      <c r="AR962" s="9">
        <v>15.0069465628975</v>
      </c>
      <c r="AS962" s="8" t="s">
        <v>169</v>
      </c>
      <c r="AT962" s="8" t="s">
        <v>169</v>
      </c>
      <c r="AU962" s="10" t="s">
        <v>169</v>
      </c>
      <c r="AV962" s="10">
        <v>0</v>
      </c>
      <c r="AW962" s="10" t="s">
        <v>169</v>
      </c>
      <c r="AX962" s="10" t="s">
        <v>169</v>
      </c>
      <c r="AY962" s="10"/>
      <c r="AZ962" s="10"/>
      <c r="BA962" s="10"/>
      <c r="BB962" s="8"/>
      <c r="BC962" s="8"/>
      <c r="BD962" s="8"/>
      <c r="BE962" s="8"/>
      <c r="BF962" s="12">
        <v>0.38</v>
      </c>
      <c r="BG962" s="13">
        <v>422.98230213272097</v>
      </c>
      <c r="BH962" s="96" t="str">
        <f>+VLOOKUP(G962,Liste!$A$7:$G$50,3,FALSE)</f>
        <v>Sapin pectiné</v>
      </c>
      <c r="BI962" s="96" t="str">
        <f>+VLOOKUP(H962,Liste!$B$7:$G$50,5,FALSE)</f>
        <v>GS Arc Jurassien</v>
      </c>
      <c r="BJ962" s="135">
        <f t="shared" si="282"/>
        <v>91</v>
      </c>
      <c r="BK962" s="135" t="str">
        <f t="shared" si="284"/>
        <v>Sapin pectiné_F1_Cas général_GS Arc Jurassien_91_</v>
      </c>
      <c r="BL962" s="322"/>
      <c r="BM962" s="13">
        <v>102.853408477039</v>
      </c>
      <c r="BN962" s="13">
        <v>525.83571060975896</v>
      </c>
      <c r="BO962" s="13" t="s">
        <v>169</v>
      </c>
      <c r="BP962" s="13">
        <v>307.55958661145604</v>
      </c>
      <c r="BQ962" s="13">
        <v>11.8762035798912</v>
      </c>
      <c r="BT962" s="298" t="str">
        <f>+VLOOKUP(G962,Liste!$A$7:$H$50,8,FALSE)</f>
        <v>Résineux</v>
      </c>
      <c r="BU962" s="298">
        <f t="shared" si="285"/>
        <v>0</v>
      </c>
      <c r="BV962" s="300">
        <f t="shared" si="286"/>
        <v>1</v>
      </c>
      <c r="BW962" s="321">
        <v>0</v>
      </c>
      <c r="BX962" s="298">
        <f t="shared" si="287"/>
        <v>0.43</v>
      </c>
      <c r="BY962">
        <f t="shared" si="288"/>
        <v>0</v>
      </c>
      <c r="BZ962" s="304">
        <f t="shared" si="289"/>
        <v>0</v>
      </c>
      <c r="CB962" s="299">
        <v>0.6</v>
      </c>
      <c r="CC962" s="299">
        <v>0.4</v>
      </c>
      <c r="CD962">
        <f t="shared" si="290"/>
        <v>0</v>
      </c>
      <c r="CE962">
        <f t="shared" si="291"/>
        <v>0</v>
      </c>
      <c r="CF962">
        <f t="shared" si="292"/>
        <v>0</v>
      </c>
      <c r="CG962">
        <f t="shared" si="293"/>
        <v>0</v>
      </c>
      <c r="CH962">
        <f t="shared" si="294"/>
        <v>0</v>
      </c>
      <c r="CI962">
        <f t="shared" si="295"/>
        <v>0</v>
      </c>
      <c r="CJ962">
        <f t="shared" si="296"/>
        <v>0</v>
      </c>
      <c r="CK962">
        <f t="shared" si="297"/>
        <v>0</v>
      </c>
      <c r="CL962">
        <f t="shared" si="298"/>
        <v>0</v>
      </c>
      <c r="CM962">
        <f t="shared" si="300"/>
        <v>0</v>
      </c>
      <c r="CN962">
        <f t="shared" si="299"/>
        <v>0</v>
      </c>
      <c r="CO962">
        <f t="shared" si="283"/>
        <v>0</v>
      </c>
    </row>
    <row r="963" spans="1:93" s="12" customFormat="1" x14ac:dyDescent="0.25">
      <c r="A963" s="4">
        <v>2013</v>
      </c>
      <c r="B963" s="318">
        <v>44265</v>
      </c>
      <c r="C963" s="4" t="s">
        <v>430</v>
      </c>
      <c r="D963" s="4" t="s">
        <v>431</v>
      </c>
      <c r="E963" s="4"/>
      <c r="F963" s="4" t="s">
        <v>1493</v>
      </c>
      <c r="G963" s="5" t="s">
        <v>432</v>
      </c>
      <c r="H963" s="5" t="s">
        <v>185</v>
      </c>
      <c r="I963" s="5" t="s">
        <v>222</v>
      </c>
      <c r="J963" s="5" t="s">
        <v>9</v>
      </c>
      <c r="K963" s="5">
        <v>20</v>
      </c>
      <c r="L963" s="5" t="s">
        <v>190</v>
      </c>
      <c r="M963" s="5">
        <v>2000</v>
      </c>
      <c r="N963" s="5" t="s">
        <v>171</v>
      </c>
      <c r="O963" s="6" t="s">
        <v>81</v>
      </c>
      <c r="P963" s="6" t="s">
        <v>186</v>
      </c>
      <c r="Q963" s="6"/>
      <c r="R963" s="6"/>
      <c r="S963" s="6">
        <v>45</v>
      </c>
      <c r="T963" s="6">
        <v>17.7</v>
      </c>
      <c r="U963" s="6">
        <v>1853</v>
      </c>
      <c r="V963" s="6">
        <v>45.68</v>
      </c>
      <c r="W963" s="6">
        <v>0</v>
      </c>
      <c r="X963" s="6">
        <v>0</v>
      </c>
      <c r="Y963" s="6">
        <v>1079</v>
      </c>
      <c r="Z963" s="6">
        <v>672</v>
      </c>
      <c r="AA963" s="6">
        <v>94</v>
      </c>
      <c r="AB963" s="6">
        <v>8</v>
      </c>
      <c r="AC963" s="7">
        <v>91</v>
      </c>
      <c r="AD963" s="7" t="s">
        <v>53</v>
      </c>
      <c r="AE963" s="9">
        <v>33.189319664265597</v>
      </c>
      <c r="AF963" s="7">
        <v>200</v>
      </c>
      <c r="AG963" s="7">
        <v>29.47</v>
      </c>
      <c r="AH963" s="9">
        <v>43.316903192710598</v>
      </c>
      <c r="AI963" s="9">
        <v>46.353507129771202</v>
      </c>
      <c r="AJ963" s="9">
        <v>480.53118681790897</v>
      </c>
      <c r="AK963" s="9">
        <v>482.18510076422098</v>
      </c>
      <c r="AL963" s="9">
        <v>524.864476938449</v>
      </c>
      <c r="AM963" s="9">
        <v>96.271676696673495</v>
      </c>
      <c r="AN963" s="9">
        <v>1.0579305131502601</v>
      </c>
      <c r="AO963" s="9">
        <v>0.65653524706803501</v>
      </c>
      <c r="AP963" s="9">
        <v>1400.80688278967</v>
      </c>
      <c r="AQ963" s="9">
        <v>15.3934822284579</v>
      </c>
      <c r="AR963" s="9">
        <v>15.0069465628975</v>
      </c>
      <c r="AS963" s="8">
        <v>48</v>
      </c>
      <c r="AT963" s="8">
        <v>6.4600000000000009</v>
      </c>
      <c r="AU963" s="10">
        <v>41.395268094587088</v>
      </c>
      <c r="AV963" s="10">
        <v>104.78972632862508</v>
      </c>
      <c r="AW963" s="10">
        <v>0.92892845248990297</v>
      </c>
      <c r="AX963" s="10">
        <v>2.1831192985130223</v>
      </c>
      <c r="AY963" s="10"/>
      <c r="AZ963" s="10"/>
      <c r="BA963" s="10"/>
      <c r="BB963" s="8"/>
      <c r="BC963" s="8"/>
      <c r="BD963" s="8"/>
      <c r="BE963" s="8"/>
      <c r="BF963" s="12">
        <v>0.38</v>
      </c>
      <c r="BG963" s="13">
        <v>347.37280632043002</v>
      </c>
      <c r="BH963" s="96" t="str">
        <f>+VLOOKUP(G963,Liste!$A$7:$G$50,3,FALSE)</f>
        <v>Sapin pectiné</v>
      </c>
      <c r="BI963" s="96" t="str">
        <f>+VLOOKUP(H963,Liste!$B$7:$G$50,5,FALSE)</f>
        <v>GS Arc Jurassien</v>
      </c>
      <c r="BJ963" s="135">
        <f t="shared" ref="BJ963:BJ1026" si="301">+AC963</f>
        <v>91</v>
      </c>
      <c r="BK963" s="135" t="str">
        <f t="shared" si="284"/>
        <v>Sapin pectiné_F1_Cas général_GS Arc Jurassien_91_</v>
      </c>
      <c r="BL963" s="322"/>
      <c r="BM963" s="13">
        <v>86.426630110601707</v>
      </c>
      <c r="BN963" s="13">
        <v>433.79943643103201</v>
      </c>
      <c r="BO963" s="13">
        <v>92.036274178726998</v>
      </c>
      <c r="BP963" s="13">
        <v>307.55958661145604</v>
      </c>
      <c r="BQ963" s="13">
        <v>11.8762035798912</v>
      </c>
      <c r="BT963" s="298" t="str">
        <f>+VLOOKUP(G963,Liste!$A$7:$H$50,8,FALSE)</f>
        <v>Résineux</v>
      </c>
      <c r="BU963" s="298">
        <f t="shared" si="285"/>
        <v>0</v>
      </c>
      <c r="BV963" s="300">
        <f t="shared" si="286"/>
        <v>1</v>
      </c>
      <c r="BW963" s="321">
        <v>0</v>
      </c>
      <c r="BX963" s="298">
        <f t="shared" si="287"/>
        <v>0.43</v>
      </c>
      <c r="BY963">
        <f t="shared" si="288"/>
        <v>0</v>
      </c>
      <c r="BZ963" s="304">
        <f t="shared" si="289"/>
        <v>0</v>
      </c>
      <c r="CB963" s="299">
        <v>0.6</v>
      </c>
      <c r="CC963" s="299">
        <v>0.4</v>
      </c>
      <c r="CD963">
        <f t="shared" si="290"/>
        <v>0</v>
      </c>
      <c r="CE963">
        <f t="shared" si="291"/>
        <v>0</v>
      </c>
      <c r="CF963">
        <f t="shared" si="292"/>
        <v>0</v>
      </c>
      <c r="CG963">
        <f t="shared" si="293"/>
        <v>0</v>
      </c>
      <c r="CH963">
        <f t="shared" si="294"/>
        <v>0</v>
      </c>
      <c r="CI963">
        <f t="shared" si="295"/>
        <v>0</v>
      </c>
      <c r="CJ963">
        <f t="shared" si="296"/>
        <v>0</v>
      </c>
      <c r="CK963">
        <f t="shared" si="297"/>
        <v>0</v>
      </c>
      <c r="CL963">
        <f t="shared" si="298"/>
        <v>0</v>
      </c>
      <c r="CM963">
        <f t="shared" si="300"/>
        <v>0</v>
      </c>
      <c r="CN963">
        <f t="shared" si="299"/>
        <v>0</v>
      </c>
      <c r="CO963">
        <f t="shared" ref="CO963:CO1026" si="302">+IF(BJ963=30,CN963/30,0)</f>
        <v>0</v>
      </c>
    </row>
    <row r="964" spans="1:93" s="12" customFormat="1" x14ac:dyDescent="0.25">
      <c r="A964" s="4">
        <v>2013</v>
      </c>
      <c r="B964" s="318">
        <v>44265</v>
      </c>
      <c r="C964" s="4" t="s">
        <v>430</v>
      </c>
      <c r="D964" s="4" t="s">
        <v>431</v>
      </c>
      <c r="E964" s="4"/>
      <c r="F964" s="4" t="s">
        <v>1493</v>
      </c>
      <c r="G964" s="5" t="s">
        <v>432</v>
      </c>
      <c r="H964" s="5" t="s">
        <v>185</v>
      </c>
      <c r="I964" s="5" t="s">
        <v>222</v>
      </c>
      <c r="J964" s="5" t="s">
        <v>9</v>
      </c>
      <c r="K964" s="5">
        <v>20</v>
      </c>
      <c r="L964" s="5" t="s">
        <v>190</v>
      </c>
      <c r="M964" s="5">
        <v>2000</v>
      </c>
      <c r="N964" s="5" t="s">
        <v>171</v>
      </c>
      <c r="O964" s="6" t="s">
        <v>81</v>
      </c>
      <c r="P964" s="6" t="s">
        <v>186</v>
      </c>
      <c r="Q964" s="6"/>
      <c r="R964" s="6"/>
      <c r="S964" s="6">
        <v>45</v>
      </c>
      <c r="T964" s="6">
        <v>17.7</v>
      </c>
      <c r="U964" s="6">
        <v>1853</v>
      </c>
      <c r="V964" s="6">
        <v>45.68</v>
      </c>
      <c r="W964" s="6">
        <v>0</v>
      </c>
      <c r="X964" s="6">
        <v>0</v>
      </c>
      <c r="Y964" s="6">
        <v>1079</v>
      </c>
      <c r="Z964" s="6">
        <v>672</v>
      </c>
      <c r="AA964" s="6">
        <v>94</v>
      </c>
      <c r="AB964" s="6">
        <v>8</v>
      </c>
      <c r="AC964" s="7">
        <v>92</v>
      </c>
      <c r="AD964" s="7" t="s">
        <v>52</v>
      </c>
      <c r="AE964" s="9">
        <v>33.403819558939297</v>
      </c>
      <c r="AF964" s="7">
        <v>200</v>
      </c>
      <c r="AG964" s="7">
        <v>30.14</v>
      </c>
      <c r="AH964" s="9">
        <v>43.802133844861899</v>
      </c>
      <c r="AI964" s="9">
        <v>46.8561013712985</v>
      </c>
      <c r="AJ964" s="9">
        <v>494.87252448152702</v>
      </c>
      <c r="AK964" s="9">
        <v>496.56582997484799</v>
      </c>
      <c r="AL964" s="9">
        <v>539.87142350134695</v>
      </c>
      <c r="AM964" s="9" t="s">
        <v>169</v>
      </c>
      <c r="AN964" s="9" t="s">
        <v>169</v>
      </c>
      <c r="AO964" s="9" t="s">
        <v>169</v>
      </c>
      <c r="AP964" s="9" t="s">
        <v>169</v>
      </c>
      <c r="AQ964" s="9" t="s">
        <v>169</v>
      </c>
      <c r="AR964" s="9" t="s">
        <v>169</v>
      </c>
      <c r="AS964" s="8" t="s">
        <v>169</v>
      </c>
      <c r="AT964" s="8" t="s">
        <v>169</v>
      </c>
      <c r="AU964" s="10" t="s">
        <v>169</v>
      </c>
      <c r="AV964" s="10">
        <v>0</v>
      </c>
      <c r="AW964" s="10" t="s">
        <v>169</v>
      </c>
      <c r="AX964" s="10" t="s">
        <v>169</v>
      </c>
      <c r="AY964" s="10"/>
      <c r="AZ964" s="10"/>
      <c r="BA964" s="10"/>
      <c r="BB964" s="8"/>
      <c r="BC964" s="8"/>
      <c r="BD964" s="8"/>
      <c r="BE964" s="8"/>
      <c r="BF964" s="12">
        <v>0.38</v>
      </c>
      <c r="BG964" s="13">
        <v>357.30490378730798</v>
      </c>
      <c r="BH964" s="96" t="str">
        <f>+VLOOKUP(G964,Liste!$A$7:$G$50,3,FALSE)</f>
        <v>Sapin pectiné</v>
      </c>
      <c r="BI964" s="96" t="str">
        <f>+VLOOKUP(H964,Liste!$B$7:$G$50,5,FALSE)</f>
        <v>GS Arc Jurassien</v>
      </c>
      <c r="BJ964" s="135">
        <f t="shared" si="301"/>
        <v>92</v>
      </c>
      <c r="BK964" s="135" t="str">
        <f t="shared" ref="BK964:BK1027" si="303">+_xlfn.CONCAT(BH964,"_",J964,"_",I964,"_",BI964,"_",BJ964,"_")</f>
        <v>Sapin pectiné_F1_Cas général_GS Arc Jurassien_92_</v>
      </c>
      <c r="BL964" s="322"/>
      <c r="BM964" s="13">
        <v>88.599538870443993</v>
      </c>
      <c r="BN964" s="13">
        <v>445.90444265775199</v>
      </c>
      <c r="BO964" s="13" t="s">
        <v>169</v>
      </c>
      <c r="BP964" s="13">
        <v>307.55958661145604</v>
      </c>
      <c r="BQ964" s="13" t="s">
        <v>169</v>
      </c>
      <c r="BT964" s="298" t="str">
        <f>+VLOOKUP(G964,Liste!$A$7:$H$50,8,FALSE)</f>
        <v>Résineux</v>
      </c>
      <c r="BU964" s="298">
        <f t="shared" ref="BU964:BU1027" si="304">IF(BT964="Résineux",0%,100%)</f>
        <v>0</v>
      </c>
      <c r="BV964" s="300">
        <f t="shared" ref="BV964:BV1027" si="305">+IF(BT964="Résineux",100%,0%)</f>
        <v>1</v>
      </c>
      <c r="BW964" s="321">
        <v>0</v>
      </c>
      <c r="BX964" s="298">
        <f t="shared" ref="BX964:BX1027" si="306">+IF(BV964&lt;&gt;0,0.43,0.25)</f>
        <v>0.43</v>
      </c>
      <c r="BY964">
        <f t="shared" ref="BY964:BY1027" si="307">+IF(BJ964&lt;=30,AV964*BX964,0)</f>
        <v>0</v>
      </c>
      <c r="BZ964" s="304">
        <f t="shared" ref="BZ964:BZ1027" si="308">+IF(BJ964&gt;=31,0,BY964+BZ963)</f>
        <v>0</v>
      </c>
      <c r="CB964" s="299">
        <v>0.6</v>
      </c>
      <c r="CC964" s="299">
        <v>0.4</v>
      </c>
      <c r="CD964">
        <f t="shared" ref="CD964:CD1027" si="309">+IF(BJ964&lt;=31,AV964*CA964*0.5,0)</f>
        <v>0</v>
      </c>
      <c r="CE964">
        <f t="shared" ref="CE964:CE1027" si="310">IF(BJ964&lt;=31,AV964*CB964,0)</f>
        <v>0</v>
      </c>
      <c r="CF964">
        <f t="shared" ref="CF964:CF1027" si="311">IF(BJ964&lt;=31,AV964*CC964,0)</f>
        <v>0</v>
      </c>
      <c r="CG964">
        <f t="shared" ref="CG964:CG1027" si="312">CD964*44/12*0.475*BF964</f>
        <v>0</v>
      </c>
      <c r="CH964">
        <f t="shared" ref="CH964:CH1027" si="313">CE964*44/12*0.475*BF964</f>
        <v>0</v>
      </c>
      <c r="CI964">
        <f t="shared" ref="CI964:CI1027" si="314">CF964*44/12*0.475*BF964</f>
        <v>0</v>
      </c>
      <c r="CJ964">
        <f t="shared" ref="CJ964:CJ1027" si="315">+IF(BJ964&lt;=31,CJ963*EXP(-$CJ$1)+CG963*(1-EXP(-$CJ$1))/$CJ$1,0)</f>
        <v>0</v>
      </c>
      <c r="CK964">
        <f t="shared" ref="CK964:CK1027" si="316">+IF(BJ964&lt;=31,CK963*EXP(-$CK$1)+CH963*(1-EXP(-$CK$1))/$CK$1,0)</f>
        <v>0</v>
      </c>
      <c r="CL964">
        <f t="shared" ref="CL964:CL1027" si="317">+IF(BJ964&lt;=31,CL963*EXP(-$CL$1)+CI963*(1-EXP(-$CL$1))/$CL$1,0)</f>
        <v>0</v>
      </c>
      <c r="CM964">
        <f t="shared" si="300"/>
        <v>0</v>
      </c>
      <c r="CN964">
        <f t="shared" ref="CN964:CN1027" si="318">+IF(BJ964&lt;=31,CM964+CN963,0)</f>
        <v>0</v>
      </c>
      <c r="CO964">
        <f t="shared" si="302"/>
        <v>0</v>
      </c>
    </row>
    <row r="965" spans="1:93" s="12" customFormat="1" x14ac:dyDescent="0.25">
      <c r="A965" s="4">
        <v>2013</v>
      </c>
      <c r="B965" s="318">
        <v>44265</v>
      </c>
      <c r="C965" s="4" t="s">
        <v>430</v>
      </c>
      <c r="D965" s="4" t="s">
        <v>431</v>
      </c>
      <c r="E965" s="4"/>
      <c r="F965" s="4" t="s">
        <v>1493</v>
      </c>
      <c r="G965" s="5" t="s">
        <v>432</v>
      </c>
      <c r="H965" s="5" t="s">
        <v>185</v>
      </c>
      <c r="I965" s="5" t="s">
        <v>222</v>
      </c>
      <c r="J965" s="5" t="s">
        <v>9</v>
      </c>
      <c r="K965" s="5">
        <v>20</v>
      </c>
      <c r="L965" s="5" t="s">
        <v>190</v>
      </c>
      <c r="M965" s="5">
        <v>2000</v>
      </c>
      <c r="N965" s="5" t="s">
        <v>171</v>
      </c>
      <c r="O965" s="6" t="s">
        <v>81</v>
      </c>
      <c r="P965" s="6" t="s">
        <v>186</v>
      </c>
      <c r="Q965" s="6"/>
      <c r="R965" s="6"/>
      <c r="S965" s="6">
        <v>45</v>
      </c>
      <c r="T965" s="6">
        <v>17.7</v>
      </c>
      <c r="U965" s="6">
        <v>1853</v>
      </c>
      <c r="V965" s="6">
        <v>45.68</v>
      </c>
      <c r="W965" s="6">
        <v>0</v>
      </c>
      <c r="X965" s="6">
        <v>0</v>
      </c>
      <c r="Y965" s="6">
        <v>1079</v>
      </c>
      <c r="Z965" s="6">
        <v>672</v>
      </c>
      <c r="AA965" s="6">
        <v>94</v>
      </c>
      <c r="AB965" s="6">
        <v>8</v>
      </c>
      <c r="AC965" s="7">
        <v>93</v>
      </c>
      <c r="AD965" s="7" t="s">
        <v>52</v>
      </c>
      <c r="AE965" s="9">
        <v>33.6148166336529</v>
      </c>
      <c r="AF965" s="7">
        <v>200</v>
      </c>
      <c r="AG965" s="7">
        <v>30.79</v>
      </c>
      <c r="AH965" s="9">
        <v>44.276657440631197</v>
      </c>
      <c r="AI965" s="9">
        <v>47.3472770446254</v>
      </c>
      <c r="AJ965" s="9">
        <v>509.21386214514501</v>
      </c>
      <c r="AK965" s="9">
        <v>510.94655918547602</v>
      </c>
      <c r="AL965" s="9">
        <v>554.878370064244</v>
      </c>
      <c r="AM965" s="9" t="s">
        <v>169</v>
      </c>
      <c r="AN965" s="9" t="s">
        <v>169</v>
      </c>
      <c r="AO965" s="9" t="s">
        <v>169</v>
      </c>
      <c r="AP965" s="9" t="s">
        <v>169</v>
      </c>
      <c r="AQ965" s="9" t="s">
        <v>169</v>
      </c>
      <c r="AR965" s="9" t="s">
        <v>169</v>
      </c>
      <c r="AS965" s="8" t="s">
        <v>169</v>
      </c>
      <c r="AT965" s="8" t="s">
        <v>169</v>
      </c>
      <c r="AU965" s="10" t="s">
        <v>169</v>
      </c>
      <c r="AV965" s="10">
        <v>0</v>
      </c>
      <c r="AW965" s="10" t="s">
        <v>169</v>
      </c>
      <c r="AX965" s="10" t="s">
        <v>169</v>
      </c>
      <c r="AY965" s="10"/>
      <c r="AZ965" s="10"/>
      <c r="BA965" s="10"/>
      <c r="BB965" s="8"/>
      <c r="BC965" s="8"/>
      <c r="BD965" s="8"/>
      <c r="BE965" s="8"/>
      <c r="BF965" s="12">
        <v>0.38</v>
      </c>
      <c r="BG965" s="13">
        <v>367.237001254186</v>
      </c>
      <c r="BH965" s="96" t="str">
        <f>+VLOOKUP(G965,Liste!$A$7:$G$50,3,FALSE)</f>
        <v>Sapin pectiné</v>
      </c>
      <c r="BI965" s="96" t="str">
        <f>+VLOOKUP(H965,Liste!$B$7:$G$50,5,FALSE)</f>
        <v>GS Arc Jurassien</v>
      </c>
      <c r="BJ965" s="135">
        <f t="shared" si="301"/>
        <v>93</v>
      </c>
      <c r="BK965" s="135" t="str">
        <f t="shared" si="303"/>
        <v>Sapin pectiné_F1_Cas général_GS Arc Jurassien_93_</v>
      </c>
      <c r="BL965" s="322"/>
      <c r="BM965" s="13">
        <v>90.772447630286393</v>
      </c>
      <c r="BN965" s="13">
        <v>458.00944888447202</v>
      </c>
      <c r="BO965" s="13" t="s">
        <v>169</v>
      </c>
      <c r="BP965" s="13">
        <v>307.55958661145604</v>
      </c>
      <c r="BQ965" s="13" t="s">
        <v>169</v>
      </c>
      <c r="BT965" s="298" t="str">
        <f>+VLOOKUP(G965,Liste!$A$7:$H$50,8,FALSE)</f>
        <v>Résineux</v>
      </c>
      <c r="BU965" s="298">
        <f t="shared" si="304"/>
        <v>0</v>
      </c>
      <c r="BV965" s="300">
        <f t="shared" si="305"/>
        <v>1</v>
      </c>
      <c r="BW965" s="321">
        <v>0</v>
      </c>
      <c r="BX965" s="298">
        <f t="shared" si="306"/>
        <v>0.43</v>
      </c>
      <c r="BY965">
        <f t="shared" si="307"/>
        <v>0</v>
      </c>
      <c r="BZ965" s="304">
        <f t="shared" si="308"/>
        <v>0</v>
      </c>
      <c r="CB965" s="299">
        <v>0.6</v>
      </c>
      <c r="CC965" s="299">
        <v>0.4</v>
      </c>
      <c r="CD965">
        <f t="shared" si="309"/>
        <v>0</v>
      </c>
      <c r="CE965">
        <f t="shared" si="310"/>
        <v>0</v>
      </c>
      <c r="CF965">
        <f t="shared" si="311"/>
        <v>0</v>
      </c>
      <c r="CG965">
        <f t="shared" si="312"/>
        <v>0</v>
      </c>
      <c r="CH965">
        <f t="shared" si="313"/>
        <v>0</v>
      </c>
      <c r="CI965">
        <f t="shared" si="314"/>
        <v>0</v>
      </c>
      <c r="CJ965">
        <f t="shared" si="315"/>
        <v>0</v>
      </c>
      <c r="CK965">
        <f t="shared" si="316"/>
        <v>0</v>
      </c>
      <c r="CL965">
        <f t="shared" si="317"/>
        <v>0</v>
      </c>
      <c r="CM965">
        <f t="shared" ref="CM965:CM1028" si="319">+CJ965+CK965+CL965</f>
        <v>0</v>
      </c>
      <c r="CN965">
        <f t="shared" si="318"/>
        <v>0</v>
      </c>
      <c r="CO965">
        <f t="shared" si="302"/>
        <v>0</v>
      </c>
    </row>
    <row r="966" spans="1:93" s="12" customFormat="1" x14ac:dyDescent="0.25">
      <c r="A966" s="4">
        <v>2013</v>
      </c>
      <c r="B966" s="318">
        <v>44265</v>
      </c>
      <c r="C966" s="4" t="s">
        <v>430</v>
      </c>
      <c r="D966" s="4" t="s">
        <v>431</v>
      </c>
      <c r="E966" s="4"/>
      <c r="F966" s="4" t="s">
        <v>1493</v>
      </c>
      <c r="G966" s="5" t="s">
        <v>432</v>
      </c>
      <c r="H966" s="5" t="s">
        <v>185</v>
      </c>
      <c r="I966" s="5" t="s">
        <v>222</v>
      </c>
      <c r="J966" s="5" t="s">
        <v>9</v>
      </c>
      <c r="K966" s="5">
        <v>20</v>
      </c>
      <c r="L966" s="5" t="s">
        <v>190</v>
      </c>
      <c r="M966" s="5">
        <v>2000</v>
      </c>
      <c r="N966" s="5" t="s">
        <v>171</v>
      </c>
      <c r="O966" s="6" t="s">
        <v>81</v>
      </c>
      <c r="P966" s="6" t="s">
        <v>186</v>
      </c>
      <c r="Q966" s="6"/>
      <c r="R966" s="6"/>
      <c r="S966" s="6">
        <v>45</v>
      </c>
      <c r="T966" s="6">
        <v>17.7</v>
      </c>
      <c r="U966" s="6">
        <v>1853</v>
      </c>
      <c r="V966" s="6">
        <v>45.68</v>
      </c>
      <c r="W966" s="6">
        <v>0</v>
      </c>
      <c r="X966" s="6">
        <v>0</v>
      </c>
      <c r="Y966" s="6">
        <v>1079</v>
      </c>
      <c r="Z966" s="6">
        <v>672</v>
      </c>
      <c r="AA966" s="6">
        <v>94</v>
      </c>
      <c r="AB966" s="6">
        <v>8</v>
      </c>
      <c r="AC966" s="7">
        <v>94</v>
      </c>
      <c r="AD966" s="7" t="s">
        <v>52</v>
      </c>
      <c r="AE966" s="9">
        <v>33.822388634480397</v>
      </c>
      <c r="AF966" s="7">
        <v>200</v>
      </c>
      <c r="AG966" s="7">
        <v>31.44</v>
      </c>
      <c r="AH966" s="9">
        <v>44.740843733992598</v>
      </c>
      <c r="AI966" s="9">
        <v>47.827446860675003</v>
      </c>
      <c r="AJ966" s="9">
        <v>523.55519980876295</v>
      </c>
      <c r="AK966" s="9">
        <v>525.32728839610297</v>
      </c>
      <c r="AL966" s="9">
        <v>569.88531662714195</v>
      </c>
      <c r="AM966" s="9">
        <v>98.241282437877601</v>
      </c>
      <c r="AN966" s="9">
        <v>1.0451200259348701</v>
      </c>
      <c r="AO966" s="9">
        <v>0.62704744185518602</v>
      </c>
      <c r="AP966" s="9">
        <v>1445.8277224783601</v>
      </c>
      <c r="AQ966" s="9">
        <v>15.381145983812299</v>
      </c>
      <c r="AR966" s="9">
        <v>14.5915997321358</v>
      </c>
      <c r="AS966" s="8" t="s">
        <v>169</v>
      </c>
      <c r="AT966" s="8" t="s">
        <v>169</v>
      </c>
      <c r="AU966" s="10" t="s">
        <v>169</v>
      </c>
      <c r="AV966" s="10">
        <v>0</v>
      </c>
      <c r="AW966" s="10" t="s">
        <v>169</v>
      </c>
      <c r="AX966" s="10" t="s">
        <v>169</v>
      </c>
      <c r="AY966" s="10"/>
      <c r="AZ966" s="10"/>
      <c r="BA966" s="10"/>
      <c r="BB966" s="8"/>
      <c r="BC966" s="8"/>
      <c r="BD966" s="8"/>
      <c r="BE966" s="8"/>
      <c r="BF966" s="12">
        <v>0.38</v>
      </c>
      <c r="BG966" s="13">
        <v>377.16909872106299</v>
      </c>
      <c r="BH966" s="96" t="str">
        <f>+VLOOKUP(G966,Liste!$A$7:$G$50,3,FALSE)</f>
        <v>Sapin pectiné</v>
      </c>
      <c r="BI966" s="96" t="str">
        <f>+VLOOKUP(H966,Liste!$B$7:$G$50,5,FALSE)</f>
        <v>GS Arc Jurassien</v>
      </c>
      <c r="BJ966" s="135">
        <f t="shared" si="301"/>
        <v>94</v>
      </c>
      <c r="BK966" s="135" t="str">
        <f t="shared" si="303"/>
        <v>Sapin pectiné_F1_Cas général_GS Arc Jurassien_94_</v>
      </c>
      <c r="BL966" s="322"/>
      <c r="BM966" s="13">
        <v>92.945356390128694</v>
      </c>
      <c r="BN966" s="13">
        <v>470.114455111192</v>
      </c>
      <c r="BO966" s="13" t="s">
        <v>169</v>
      </c>
      <c r="BP966" s="13">
        <v>307.55958661145604</v>
      </c>
      <c r="BQ966" s="13">
        <v>11.538606533487499</v>
      </c>
      <c r="BT966" s="298" t="str">
        <f>+VLOOKUP(G966,Liste!$A$7:$H$50,8,FALSE)</f>
        <v>Résineux</v>
      </c>
      <c r="BU966" s="298">
        <f t="shared" si="304"/>
        <v>0</v>
      </c>
      <c r="BV966" s="300">
        <f t="shared" si="305"/>
        <v>1</v>
      </c>
      <c r="BW966" s="321">
        <v>0</v>
      </c>
      <c r="BX966" s="298">
        <f t="shared" si="306"/>
        <v>0.43</v>
      </c>
      <c r="BY966">
        <f t="shared" si="307"/>
        <v>0</v>
      </c>
      <c r="BZ966" s="304">
        <f t="shared" si="308"/>
        <v>0</v>
      </c>
      <c r="CB966" s="299">
        <v>0.6</v>
      </c>
      <c r="CC966" s="299">
        <v>0.4</v>
      </c>
      <c r="CD966">
        <f t="shared" si="309"/>
        <v>0</v>
      </c>
      <c r="CE966">
        <f t="shared" si="310"/>
        <v>0</v>
      </c>
      <c r="CF966">
        <f t="shared" si="311"/>
        <v>0</v>
      </c>
      <c r="CG966">
        <f t="shared" si="312"/>
        <v>0</v>
      </c>
      <c r="CH966">
        <f t="shared" si="313"/>
        <v>0</v>
      </c>
      <c r="CI966">
        <f t="shared" si="314"/>
        <v>0</v>
      </c>
      <c r="CJ966">
        <f t="shared" si="315"/>
        <v>0</v>
      </c>
      <c r="CK966">
        <f t="shared" si="316"/>
        <v>0</v>
      </c>
      <c r="CL966">
        <f t="shared" si="317"/>
        <v>0</v>
      </c>
      <c r="CM966">
        <f t="shared" si="319"/>
        <v>0</v>
      </c>
      <c r="CN966">
        <f t="shared" si="318"/>
        <v>0</v>
      </c>
      <c r="CO966">
        <f t="shared" si="302"/>
        <v>0</v>
      </c>
    </row>
    <row r="967" spans="1:93" s="12" customFormat="1" x14ac:dyDescent="0.25">
      <c r="A967" s="4">
        <v>2013</v>
      </c>
      <c r="B967" s="318">
        <v>44265</v>
      </c>
      <c r="C967" s="4" t="s">
        <v>430</v>
      </c>
      <c r="D967" s="4" t="s">
        <v>431</v>
      </c>
      <c r="E967" s="4"/>
      <c r="F967" s="4" t="s">
        <v>1493</v>
      </c>
      <c r="G967" s="5" t="s">
        <v>432</v>
      </c>
      <c r="H967" s="5" t="s">
        <v>185</v>
      </c>
      <c r="I967" s="5" t="s">
        <v>222</v>
      </c>
      <c r="J967" s="5" t="s">
        <v>9</v>
      </c>
      <c r="K967" s="5">
        <v>20</v>
      </c>
      <c r="L967" s="5" t="s">
        <v>190</v>
      </c>
      <c r="M967" s="5">
        <v>2000</v>
      </c>
      <c r="N967" s="5" t="s">
        <v>171</v>
      </c>
      <c r="O967" s="6" t="s">
        <v>81</v>
      </c>
      <c r="P967" s="6" t="s">
        <v>186</v>
      </c>
      <c r="Q967" s="6"/>
      <c r="R967" s="6"/>
      <c r="S967" s="6">
        <v>45</v>
      </c>
      <c r="T967" s="6">
        <v>17.7</v>
      </c>
      <c r="U967" s="6">
        <v>1853</v>
      </c>
      <c r="V967" s="6">
        <v>45.68</v>
      </c>
      <c r="W967" s="6">
        <v>0</v>
      </c>
      <c r="X967" s="6">
        <v>0</v>
      </c>
      <c r="Y967" s="6">
        <v>1079</v>
      </c>
      <c r="Z967" s="6">
        <v>672</v>
      </c>
      <c r="AA967" s="6">
        <v>94</v>
      </c>
      <c r="AB967" s="6">
        <v>8</v>
      </c>
      <c r="AC967" s="7">
        <v>95</v>
      </c>
      <c r="AD967" s="7" t="s">
        <v>52</v>
      </c>
      <c r="AE967" s="9">
        <v>34.026611289906</v>
      </c>
      <c r="AF967" s="7">
        <v>200</v>
      </c>
      <c r="AG967" s="7">
        <v>32.08</v>
      </c>
      <c r="AH967" s="9">
        <v>45.195043530600202</v>
      </c>
      <c r="AI967" s="9">
        <v>48.297001279867999</v>
      </c>
      <c r="AJ967" s="9">
        <v>537.55294497906095</v>
      </c>
      <c r="AK967" s="9">
        <v>539.36101086660301</v>
      </c>
      <c r="AL967" s="9">
        <v>584.47691635927697</v>
      </c>
      <c r="AM967" s="9" t="s">
        <v>169</v>
      </c>
      <c r="AN967" s="9" t="s">
        <v>169</v>
      </c>
      <c r="AO967" s="9" t="s">
        <v>169</v>
      </c>
      <c r="AP967" s="9" t="s">
        <v>169</v>
      </c>
      <c r="AQ967" s="9" t="s">
        <v>169</v>
      </c>
      <c r="AR967" s="9" t="s">
        <v>169</v>
      </c>
      <c r="AS967" s="8" t="s">
        <v>169</v>
      </c>
      <c r="AT967" s="8" t="s">
        <v>169</v>
      </c>
      <c r="AU967" s="10" t="s">
        <v>169</v>
      </c>
      <c r="AV967" s="10">
        <v>0</v>
      </c>
      <c r="AW967" s="10" t="s">
        <v>169</v>
      </c>
      <c r="AX967" s="10" t="s">
        <v>169</v>
      </c>
      <c r="AY967" s="10"/>
      <c r="AZ967" s="10"/>
      <c r="BA967" s="10"/>
      <c r="BB967" s="8"/>
      <c r="BC967" s="8"/>
      <c r="BD967" s="8"/>
      <c r="BE967" s="8"/>
      <c r="BF967" s="12">
        <v>0.38</v>
      </c>
      <c r="BG967" s="13">
        <v>386.82630581044901</v>
      </c>
      <c r="BH967" s="96" t="str">
        <f>+VLOOKUP(G967,Liste!$A$7:$G$50,3,FALSE)</f>
        <v>Sapin pectiné</v>
      </c>
      <c r="BI967" s="96" t="str">
        <f>+VLOOKUP(H967,Liste!$B$7:$G$50,5,FALSE)</f>
        <v>GS Arc Jurassien</v>
      </c>
      <c r="BJ967" s="135">
        <f t="shared" si="301"/>
        <v>95</v>
      </c>
      <c r="BK967" s="135" t="str">
        <f t="shared" si="303"/>
        <v>Sapin pectiné_F1_Cas général_GS Arc Jurassien_95_</v>
      </c>
      <c r="BL967" s="322"/>
      <c r="BM967" s="13">
        <v>95.033192443687796</v>
      </c>
      <c r="BN967" s="13">
        <v>481.85949825413599</v>
      </c>
      <c r="BO967" s="13" t="s">
        <v>169</v>
      </c>
      <c r="BP967" s="13">
        <v>307.55958661145604</v>
      </c>
      <c r="BQ967" s="13" t="s">
        <v>169</v>
      </c>
      <c r="BT967" s="298" t="str">
        <f>+VLOOKUP(G967,Liste!$A$7:$H$50,8,FALSE)</f>
        <v>Résineux</v>
      </c>
      <c r="BU967" s="298">
        <f t="shared" si="304"/>
        <v>0</v>
      </c>
      <c r="BV967" s="300">
        <f t="shared" si="305"/>
        <v>1</v>
      </c>
      <c r="BW967" s="321">
        <v>0</v>
      </c>
      <c r="BX967" s="298">
        <f t="shared" si="306"/>
        <v>0.43</v>
      </c>
      <c r="BY967">
        <f t="shared" si="307"/>
        <v>0</v>
      </c>
      <c r="BZ967" s="304">
        <f t="shared" si="308"/>
        <v>0</v>
      </c>
      <c r="CB967" s="299">
        <v>0.6</v>
      </c>
      <c r="CC967" s="299">
        <v>0.4</v>
      </c>
      <c r="CD967">
        <f t="shared" si="309"/>
        <v>0</v>
      </c>
      <c r="CE967">
        <f t="shared" si="310"/>
        <v>0</v>
      </c>
      <c r="CF967">
        <f t="shared" si="311"/>
        <v>0</v>
      </c>
      <c r="CG967">
        <f t="shared" si="312"/>
        <v>0</v>
      </c>
      <c r="CH967">
        <f t="shared" si="313"/>
        <v>0</v>
      </c>
      <c r="CI967">
        <f t="shared" si="314"/>
        <v>0</v>
      </c>
      <c r="CJ967">
        <f t="shared" si="315"/>
        <v>0</v>
      </c>
      <c r="CK967">
        <f t="shared" si="316"/>
        <v>0</v>
      </c>
      <c r="CL967">
        <f t="shared" si="317"/>
        <v>0</v>
      </c>
      <c r="CM967">
        <f t="shared" si="319"/>
        <v>0</v>
      </c>
      <c r="CN967">
        <f t="shared" si="318"/>
        <v>0</v>
      </c>
      <c r="CO967">
        <f t="shared" si="302"/>
        <v>0</v>
      </c>
    </row>
    <row r="968" spans="1:93" s="12" customFormat="1" x14ac:dyDescent="0.25">
      <c r="A968" s="4">
        <v>2013</v>
      </c>
      <c r="B968" s="318">
        <v>44265</v>
      </c>
      <c r="C968" s="4" t="s">
        <v>430</v>
      </c>
      <c r="D968" s="4" t="s">
        <v>431</v>
      </c>
      <c r="E968" s="4"/>
      <c r="F968" s="4" t="s">
        <v>1493</v>
      </c>
      <c r="G968" s="5" t="s">
        <v>432</v>
      </c>
      <c r="H968" s="5" t="s">
        <v>185</v>
      </c>
      <c r="I968" s="5" t="s">
        <v>222</v>
      </c>
      <c r="J968" s="5" t="s">
        <v>9</v>
      </c>
      <c r="K968" s="5">
        <v>20</v>
      </c>
      <c r="L968" s="5" t="s">
        <v>190</v>
      </c>
      <c r="M968" s="5">
        <v>2000</v>
      </c>
      <c r="N968" s="5" t="s">
        <v>171</v>
      </c>
      <c r="O968" s="6" t="s">
        <v>81</v>
      </c>
      <c r="P968" s="6" t="s">
        <v>186</v>
      </c>
      <c r="Q968" s="6"/>
      <c r="R968" s="6"/>
      <c r="S968" s="6">
        <v>45</v>
      </c>
      <c r="T968" s="6">
        <v>17.7</v>
      </c>
      <c r="U968" s="6">
        <v>1853</v>
      </c>
      <c r="V968" s="6">
        <v>45.68</v>
      </c>
      <c r="W968" s="6">
        <v>0</v>
      </c>
      <c r="X968" s="6">
        <v>0</v>
      </c>
      <c r="Y968" s="6">
        <v>1079</v>
      </c>
      <c r="Z968" s="6">
        <v>672</v>
      </c>
      <c r="AA968" s="6">
        <v>94</v>
      </c>
      <c r="AB968" s="6">
        <v>8</v>
      </c>
      <c r="AC968" s="7">
        <v>96</v>
      </c>
      <c r="AD968" s="7" t="s">
        <v>52</v>
      </c>
      <c r="AE968" s="9">
        <v>34.227558361545697</v>
      </c>
      <c r="AF968" s="7">
        <v>200</v>
      </c>
      <c r="AG968" s="7">
        <v>32.72</v>
      </c>
      <c r="AH968" s="9">
        <v>45.639590864221901</v>
      </c>
      <c r="AI968" s="9">
        <v>48.7563112227161</v>
      </c>
      <c r="AJ968" s="9">
        <v>551.55069014935896</v>
      </c>
      <c r="AK968" s="9">
        <v>553.39473333710396</v>
      </c>
      <c r="AL968" s="9">
        <v>599.06851609141302</v>
      </c>
      <c r="AM968" s="9" t="s">
        <v>169</v>
      </c>
      <c r="AN968" s="9" t="s">
        <v>169</v>
      </c>
      <c r="AO968" s="9" t="s">
        <v>169</v>
      </c>
      <c r="AP968" s="9" t="s">
        <v>169</v>
      </c>
      <c r="AQ968" s="9" t="s">
        <v>169</v>
      </c>
      <c r="AR968" s="9" t="s">
        <v>169</v>
      </c>
      <c r="AS968" s="8" t="s">
        <v>169</v>
      </c>
      <c r="AT968" s="8" t="s">
        <v>169</v>
      </c>
      <c r="AU968" s="10" t="s">
        <v>169</v>
      </c>
      <c r="AV968" s="10">
        <v>0</v>
      </c>
      <c r="AW968" s="10" t="s">
        <v>169</v>
      </c>
      <c r="AX968" s="10" t="s">
        <v>169</v>
      </c>
      <c r="AY968" s="10"/>
      <c r="AZ968" s="10"/>
      <c r="BA968" s="10"/>
      <c r="BB968" s="8"/>
      <c r="BC968" s="8"/>
      <c r="BD968" s="8"/>
      <c r="BE968" s="8"/>
      <c r="BF968" s="12">
        <v>0.38</v>
      </c>
      <c r="BG968" s="13">
        <v>396.48351289983401</v>
      </c>
      <c r="BH968" s="96" t="str">
        <f>+VLOOKUP(G968,Liste!$A$7:$G$50,3,FALSE)</f>
        <v>Sapin pectiné</v>
      </c>
      <c r="BI968" s="96" t="str">
        <f>+VLOOKUP(H968,Liste!$B$7:$G$50,5,FALSE)</f>
        <v>GS Arc Jurassien</v>
      </c>
      <c r="BJ968" s="135">
        <f t="shared" si="301"/>
        <v>96</v>
      </c>
      <c r="BK968" s="135" t="str">
        <f t="shared" si="303"/>
        <v>Sapin pectiné_F1_Cas général_GS Arc Jurassien_96_</v>
      </c>
      <c r="BL968" s="322"/>
      <c r="BM968" s="13">
        <v>97.121028497246996</v>
      </c>
      <c r="BN968" s="13">
        <v>493.60454139708099</v>
      </c>
      <c r="BO968" s="13" t="s">
        <v>169</v>
      </c>
      <c r="BP968" s="13">
        <v>307.55958661145604</v>
      </c>
      <c r="BQ968" s="13" t="s">
        <v>169</v>
      </c>
      <c r="BT968" s="298" t="str">
        <f>+VLOOKUP(G968,Liste!$A$7:$H$50,8,FALSE)</f>
        <v>Résineux</v>
      </c>
      <c r="BU968" s="298">
        <f t="shared" si="304"/>
        <v>0</v>
      </c>
      <c r="BV968" s="300">
        <f t="shared" si="305"/>
        <v>1</v>
      </c>
      <c r="BW968" s="321">
        <v>0</v>
      </c>
      <c r="BX968" s="298">
        <f t="shared" si="306"/>
        <v>0.43</v>
      </c>
      <c r="BY968">
        <f t="shared" si="307"/>
        <v>0</v>
      </c>
      <c r="BZ968" s="304">
        <f t="shared" si="308"/>
        <v>0</v>
      </c>
      <c r="CB968" s="299">
        <v>0.6</v>
      </c>
      <c r="CC968" s="299">
        <v>0.4</v>
      </c>
      <c r="CD968">
        <f t="shared" si="309"/>
        <v>0</v>
      </c>
      <c r="CE968">
        <f t="shared" si="310"/>
        <v>0</v>
      </c>
      <c r="CF968">
        <f t="shared" si="311"/>
        <v>0</v>
      </c>
      <c r="CG968">
        <f t="shared" si="312"/>
        <v>0</v>
      </c>
      <c r="CH968">
        <f t="shared" si="313"/>
        <v>0</v>
      </c>
      <c r="CI968">
        <f t="shared" si="314"/>
        <v>0</v>
      </c>
      <c r="CJ968">
        <f t="shared" si="315"/>
        <v>0</v>
      </c>
      <c r="CK968">
        <f t="shared" si="316"/>
        <v>0</v>
      </c>
      <c r="CL968">
        <f t="shared" si="317"/>
        <v>0</v>
      </c>
      <c r="CM968">
        <f t="shared" si="319"/>
        <v>0</v>
      </c>
      <c r="CN968">
        <f t="shared" si="318"/>
        <v>0</v>
      </c>
      <c r="CO968">
        <f t="shared" si="302"/>
        <v>0</v>
      </c>
    </row>
    <row r="969" spans="1:93" s="12" customFormat="1" x14ac:dyDescent="0.25">
      <c r="A969" s="4">
        <v>2013</v>
      </c>
      <c r="B969" s="318">
        <v>44265</v>
      </c>
      <c r="C969" s="4" t="s">
        <v>430</v>
      </c>
      <c r="D969" s="4" t="s">
        <v>431</v>
      </c>
      <c r="E969" s="4"/>
      <c r="F969" s="4" t="s">
        <v>1493</v>
      </c>
      <c r="G969" s="5" t="s">
        <v>432</v>
      </c>
      <c r="H969" s="5" t="s">
        <v>185</v>
      </c>
      <c r="I969" s="5" t="s">
        <v>222</v>
      </c>
      <c r="J969" s="5" t="s">
        <v>9</v>
      </c>
      <c r="K969" s="5">
        <v>20</v>
      </c>
      <c r="L969" s="5" t="s">
        <v>190</v>
      </c>
      <c r="M969" s="5">
        <v>2000</v>
      </c>
      <c r="N969" s="5" t="s">
        <v>171</v>
      </c>
      <c r="O969" s="6" t="s">
        <v>81</v>
      </c>
      <c r="P969" s="6" t="s">
        <v>186</v>
      </c>
      <c r="Q969" s="6"/>
      <c r="R969" s="6"/>
      <c r="S969" s="6">
        <v>45</v>
      </c>
      <c r="T969" s="6">
        <v>17.7</v>
      </c>
      <c r="U969" s="6">
        <v>1853</v>
      </c>
      <c r="V969" s="6">
        <v>45.68</v>
      </c>
      <c r="W969" s="6">
        <v>0</v>
      </c>
      <c r="X969" s="6">
        <v>0</v>
      </c>
      <c r="Y969" s="6">
        <v>1079</v>
      </c>
      <c r="Z969" s="6">
        <v>672</v>
      </c>
      <c r="AA969" s="6">
        <v>94</v>
      </c>
      <c r="AB969" s="6">
        <v>8</v>
      </c>
      <c r="AC969" s="7">
        <v>97</v>
      </c>
      <c r="AD969" s="7" t="s">
        <v>52</v>
      </c>
      <c r="AE969" s="9">
        <v>34.425301694408603</v>
      </c>
      <c r="AF969" s="7">
        <v>200</v>
      </c>
      <c r="AG969" s="7">
        <v>33.35</v>
      </c>
      <c r="AH969" s="9">
        <v>46.074803816769403</v>
      </c>
      <c r="AI969" s="9">
        <v>49.205728316219499</v>
      </c>
      <c r="AJ969" s="9">
        <v>565.54843531965696</v>
      </c>
      <c r="AK969" s="9">
        <v>567.428455807604</v>
      </c>
      <c r="AL969" s="9">
        <v>613.66011582354895</v>
      </c>
      <c r="AM969" s="9" t="s">
        <v>169</v>
      </c>
      <c r="AN969" s="9" t="s">
        <v>169</v>
      </c>
      <c r="AO969" s="9" t="s">
        <v>169</v>
      </c>
      <c r="AP969" s="9" t="s">
        <v>169</v>
      </c>
      <c r="AQ969" s="9" t="s">
        <v>169</v>
      </c>
      <c r="AR969" s="9" t="s">
        <v>169</v>
      </c>
      <c r="AS969" s="8" t="s">
        <v>169</v>
      </c>
      <c r="AT969" s="8" t="s">
        <v>169</v>
      </c>
      <c r="AU969" s="10" t="s">
        <v>169</v>
      </c>
      <c r="AV969" s="10">
        <v>0</v>
      </c>
      <c r="AW969" s="10" t="s">
        <v>169</v>
      </c>
      <c r="AX969" s="10" t="s">
        <v>169</v>
      </c>
      <c r="AY969" s="10"/>
      <c r="AZ969" s="10"/>
      <c r="BA969" s="10"/>
      <c r="BB969" s="8"/>
      <c r="BC969" s="8"/>
      <c r="BD969" s="8"/>
      <c r="BE969" s="8"/>
      <c r="BF969" s="12">
        <v>0.38</v>
      </c>
      <c r="BG969" s="13">
        <v>406.14071998921901</v>
      </c>
      <c r="BH969" s="96" t="str">
        <f>+VLOOKUP(G969,Liste!$A$7:$G$50,3,FALSE)</f>
        <v>Sapin pectiné</v>
      </c>
      <c r="BI969" s="96" t="str">
        <f>+VLOOKUP(H969,Liste!$B$7:$G$50,5,FALSE)</f>
        <v>GS Arc Jurassien</v>
      </c>
      <c r="BJ969" s="135">
        <f t="shared" si="301"/>
        <v>97</v>
      </c>
      <c r="BK969" s="135" t="str">
        <f t="shared" si="303"/>
        <v>Sapin pectiné_F1_Cas général_GS Arc Jurassien_97_</v>
      </c>
      <c r="BL969" s="322"/>
      <c r="BM969" s="13">
        <v>99.208864550806197</v>
      </c>
      <c r="BN969" s="13">
        <v>505.34958454002498</v>
      </c>
      <c r="BO969" s="13" t="s">
        <v>169</v>
      </c>
      <c r="BP969" s="13">
        <v>307.55958661145604</v>
      </c>
      <c r="BQ969" s="13" t="s">
        <v>169</v>
      </c>
      <c r="BT969" s="298" t="str">
        <f>+VLOOKUP(G969,Liste!$A$7:$H$50,8,FALSE)</f>
        <v>Résineux</v>
      </c>
      <c r="BU969" s="298">
        <f t="shared" si="304"/>
        <v>0</v>
      </c>
      <c r="BV969" s="300">
        <f t="shared" si="305"/>
        <v>1</v>
      </c>
      <c r="BW969" s="321">
        <v>0</v>
      </c>
      <c r="BX969" s="298">
        <f t="shared" si="306"/>
        <v>0.43</v>
      </c>
      <c r="BY969">
        <f t="shared" si="307"/>
        <v>0</v>
      </c>
      <c r="BZ969" s="304">
        <f t="shared" si="308"/>
        <v>0</v>
      </c>
      <c r="CB969" s="299">
        <v>0.6</v>
      </c>
      <c r="CC969" s="299">
        <v>0.4</v>
      </c>
      <c r="CD969">
        <f t="shared" si="309"/>
        <v>0</v>
      </c>
      <c r="CE969">
        <f t="shared" si="310"/>
        <v>0</v>
      </c>
      <c r="CF969">
        <f t="shared" si="311"/>
        <v>0</v>
      </c>
      <c r="CG969">
        <f t="shared" si="312"/>
        <v>0</v>
      </c>
      <c r="CH969">
        <f t="shared" si="313"/>
        <v>0</v>
      </c>
      <c r="CI969">
        <f t="shared" si="314"/>
        <v>0</v>
      </c>
      <c r="CJ969">
        <f t="shared" si="315"/>
        <v>0</v>
      </c>
      <c r="CK969">
        <f t="shared" si="316"/>
        <v>0</v>
      </c>
      <c r="CL969">
        <f t="shared" si="317"/>
        <v>0</v>
      </c>
      <c r="CM969">
        <f t="shared" si="319"/>
        <v>0</v>
      </c>
      <c r="CN969">
        <f t="shared" si="318"/>
        <v>0</v>
      </c>
      <c r="CO969">
        <f t="shared" si="302"/>
        <v>0</v>
      </c>
    </row>
    <row r="970" spans="1:93" s="12" customFormat="1" x14ac:dyDescent="0.25">
      <c r="A970" s="4">
        <v>2013</v>
      </c>
      <c r="B970" s="318">
        <v>44265</v>
      </c>
      <c r="C970" s="4" t="s">
        <v>430</v>
      </c>
      <c r="D970" s="4" t="s">
        <v>431</v>
      </c>
      <c r="E970" s="4"/>
      <c r="F970" s="4" t="s">
        <v>1493</v>
      </c>
      <c r="G970" s="5" t="s">
        <v>432</v>
      </c>
      <c r="H970" s="5" t="s">
        <v>185</v>
      </c>
      <c r="I970" s="5" t="s">
        <v>222</v>
      </c>
      <c r="J970" s="5" t="s">
        <v>9</v>
      </c>
      <c r="K970" s="5">
        <v>20</v>
      </c>
      <c r="L970" s="5" t="s">
        <v>190</v>
      </c>
      <c r="M970" s="5">
        <v>2000</v>
      </c>
      <c r="N970" s="5" t="s">
        <v>171</v>
      </c>
      <c r="O970" s="6" t="s">
        <v>81</v>
      </c>
      <c r="P970" s="6" t="s">
        <v>186</v>
      </c>
      <c r="Q970" s="6"/>
      <c r="R970" s="6"/>
      <c r="S970" s="6">
        <v>45</v>
      </c>
      <c r="T970" s="6">
        <v>17.7</v>
      </c>
      <c r="U970" s="6">
        <v>1853</v>
      </c>
      <c r="V970" s="6">
        <v>45.68</v>
      </c>
      <c r="W970" s="6">
        <v>0</v>
      </c>
      <c r="X970" s="6">
        <v>0</v>
      </c>
      <c r="Y970" s="6">
        <v>1079</v>
      </c>
      <c r="Z970" s="6">
        <v>672</v>
      </c>
      <c r="AA970" s="6">
        <v>94</v>
      </c>
      <c r="AB970" s="6">
        <v>8</v>
      </c>
      <c r="AC970" s="7">
        <v>98</v>
      </c>
      <c r="AD970" s="7" t="s">
        <v>52</v>
      </c>
      <c r="AE970" s="9">
        <v>34.619911266584303</v>
      </c>
      <c r="AF970" s="7">
        <v>200</v>
      </c>
      <c r="AG970" s="7">
        <v>33.97</v>
      </c>
      <c r="AH970" s="9">
        <v>46.500985054777402</v>
      </c>
      <c r="AI970" s="9">
        <v>49.645586533865497</v>
      </c>
      <c r="AJ970" s="9">
        <v>579.54618048995496</v>
      </c>
      <c r="AK970" s="9">
        <v>581.46217827810403</v>
      </c>
      <c r="AL970" s="9">
        <v>628.251715555685</v>
      </c>
      <c r="AM970" s="9" t="s">
        <v>169</v>
      </c>
      <c r="AN970" s="9" t="s">
        <v>169</v>
      </c>
      <c r="AO970" s="9" t="s">
        <v>169</v>
      </c>
      <c r="AP970" s="9" t="s">
        <v>169</v>
      </c>
      <c r="AQ970" s="9" t="s">
        <v>169</v>
      </c>
      <c r="AR970" s="9" t="s">
        <v>169</v>
      </c>
      <c r="AS970" s="8" t="s">
        <v>169</v>
      </c>
      <c r="AT970" s="8" t="s">
        <v>169</v>
      </c>
      <c r="AU970" s="10" t="s">
        <v>169</v>
      </c>
      <c r="AV970" s="10">
        <v>0</v>
      </c>
      <c r="AW970" s="10" t="s">
        <v>169</v>
      </c>
      <c r="AX970" s="10" t="s">
        <v>169</v>
      </c>
      <c r="AY970" s="10"/>
      <c r="AZ970" s="10"/>
      <c r="BA970" s="10"/>
      <c r="BB970" s="8"/>
      <c r="BC970" s="8"/>
      <c r="BD970" s="8"/>
      <c r="BE970" s="8"/>
      <c r="BF970" s="12">
        <v>0.38</v>
      </c>
      <c r="BG970" s="13">
        <v>415.797927078604</v>
      </c>
      <c r="BH970" s="96" t="str">
        <f>+VLOOKUP(G970,Liste!$A$7:$G$50,3,FALSE)</f>
        <v>Sapin pectiné</v>
      </c>
      <c r="BI970" s="96" t="str">
        <f>+VLOOKUP(H970,Liste!$B$7:$G$50,5,FALSE)</f>
        <v>GS Arc Jurassien</v>
      </c>
      <c r="BJ970" s="135">
        <f t="shared" si="301"/>
        <v>98</v>
      </c>
      <c r="BK970" s="135" t="str">
        <f t="shared" si="303"/>
        <v>Sapin pectiné_F1_Cas général_GS Arc Jurassien_98_</v>
      </c>
      <c r="BL970" s="322"/>
      <c r="BM970" s="13">
        <v>101.296700604365</v>
      </c>
      <c r="BN970" s="13">
        <v>517.09462768296896</v>
      </c>
      <c r="BO970" s="13" t="s">
        <v>169</v>
      </c>
      <c r="BP970" s="13">
        <v>307.55958661145604</v>
      </c>
      <c r="BQ970" s="13" t="s">
        <v>169</v>
      </c>
      <c r="BT970" s="298" t="str">
        <f>+VLOOKUP(G970,Liste!$A$7:$H$50,8,FALSE)</f>
        <v>Résineux</v>
      </c>
      <c r="BU970" s="298">
        <f t="shared" si="304"/>
        <v>0</v>
      </c>
      <c r="BV970" s="300">
        <f t="shared" si="305"/>
        <v>1</v>
      </c>
      <c r="BW970" s="321">
        <v>0</v>
      </c>
      <c r="BX970" s="298">
        <f t="shared" si="306"/>
        <v>0.43</v>
      </c>
      <c r="BY970">
        <f t="shared" si="307"/>
        <v>0</v>
      </c>
      <c r="BZ970" s="304">
        <f t="shared" si="308"/>
        <v>0</v>
      </c>
      <c r="CB970" s="299">
        <v>0.6</v>
      </c>
      <c r="CC970" s="299">
        <v>0.4</v>
      </c>
      <c r="CD970">
        <f t="shared" si="309"/>
        <v>0</v>
      </c>
      <c r="CE970">
        <f t="shared" si="310"/>
        <v>0</v>
      </c>
      <c r="CF970">
        <f t="shared" si="311"/>
        <v>0</v>
      </c>
      <c r="CG970">
        <f t="shared" si="312"/>
        <v>0</v>
      </c>
      <c r="CH970">
        <f t="shared" si="313"/>
        <v>0</v>
      </c>
      <c r="CI970">
        <f t="shared" si="314"/>
        <v>0</v>
      </c>
      <c r="CJ970">
        <f t="shared" si="315"/>
        <v>0</v>
      </c>
      <c r="CK970">
        <f t="shared" si="316"/>
        <v>0</v>
      </c>
      <c r="CL970">
        <f t="shared" si="317"/>
        <v>0</v>
      </c>
      <c r="CM970">
        <f t="shared" si="319"/>
        <v>0</v>
      </c>
      <c r="CN970">
        <f t="shared" si="318"/>
        <v>0</v>
      </c>
      <c r="CO970">
        <f t="shared" si="302"/>
        <v>0</v>
      </c>
    </row>
    <row r="971" spans="1:93" s="12" customFormat="1" x14ac:dyDescent="0.25">
      <c r="A971" s="4">
        <v>2013</v>
      </c>
      <c r="B971" s="318">
        <v>44265</v>
      </c>
      <c r="C971" s="4" t="s">
        <v>430</v>
      </c>
      <c r="D971" s="4" t="s">
        <v>431</v>
      </c>
      <c r="E971" s="4"/>
      <c r="F971" s="4" t="s">
        <v>1493</v>
      </c>
      <c r="G971" s="5" t="s">
        <v>432</v>
      </c>
      <c r="H971" s="5" t="s">
        <v>185</v>
      </c>
      <c r="I971" s="5" t="s">
        <v>222</v>
      </c>
      <c r="J971" s="5" t="s">
        <v>9</v>
      </c>
      <c r="K971" s="5">
        <v>20</v>
      </c>
      <c r="L971" s="5" t="s">
        <v>190</v>
      </c>
      <c r="M971" s="5">
        <v>2000</v>
      </c>
      <c r="N971" s="5" t="s">
        <v>171</v>
      </c>
      <c r="O971" s="6" t="s">
        <v>81</v>
      </c>
      <c r="P971" s="6" t="s">
        <v>186</v>
      </c>
      <c r="Q971" s="6"/>
      <c r="R971" s="6"/>
      <c r="S971" s="6">
        <v>45</v>
      </c>
      <c r="T971" s="6">
        <v>17.7</v>
      </c>
      <c r="U971" s="6">
        <v>1853</v>
      </c>
      <c r="V971" s="6">
        <v>45.68</v>
      </c>
      <c r="W971" s="6">
        <v>0</v>
      </c>
      <c r="X971" s="6">
        <v>0</v>
      </c>
      <c r="Y971" s="6">
        <v>1079</v>
      </c>
      <c r="Z971" s="6">
        <v>672</v>
      </c>
      <c r="AA971" s="6">
        <v>94</v>
      </c>
      <c r="AB971" s="6">
        <v>8</v>
      </c>
      <c r="AC971" s="7">
        <v>99</v>
      </c>
      <c r="AD971" s="7" t="s">
        <v>52</v>
      </c>
      <c r="AE971" s="9">
        <v>34.811455238261601</v>
      </c>
      <c r="AF971" s="7">
        <v>200</v>
      </c>
      <c r="AG971" s="7">
        <v>34.58</v>
      </c>
      <c r="AH971" s="9">
        <v>46.9184238641215</v>
      </c>
      <c r="AI971" s="9">
        <v>50.076203946001101</v>
      </c>
      <c r="AJ971" s="9">
        <v>593.54392566025297</v>
      </c>
      <c r="AK971" s="9">
        <v>595.49590074860498</v>
      </c>
      <c r="AL971" s="9">
        <v>642.84331528782002</v>
      </c>
      <c r="AM971" s="9">
        <v>101.376519647154</v>
      </c>
      <c r="AN971" s="9">
        <v>1.02400524896115</v>
      </c>
      <c r="AO971" s="9"/>
      <c r="AP971" s="9">
        <v>1518.7857211390401</v>
      </c>
      <c r="AQ971" s="9">
        <v>15.341269910495299</v>
      </c>
      <c r="AR971" s="9"/>
      <c r="AS971" s="8" t="s">
        <v>169</v>
      </c>
      <c r="AT971" s="8" t="s">
        <v>169</v>
      </c>
      <c r="AU971" s="10" t="s">
        <v>169</v>
      </c>
      <c r="AV971" s="10">
        <v>0</v>
      </c>
      <c r="AW971" s="10" t="s">
        <v>169</v>
      </c>
      <c r="AX971" s="10" t="s">
        <v>169</v>
      </c>
      <c r="AY971" s="10"/>
      <c r="AZ971" s="10"/>
      <c r="BA971" s="10"/>
      <c r="BB971" s="8"/>
      <c r="BC971" s="8"/>
      <c r="BD971" s="8"/>
      <c r="BE971" s="8"/>
      <c r="BF971" s="12">
        <v>0.38</v>
      </c>
      <c r="BG971" s="13">
        <v>425.455134167989</v>
      </c>
      <c r="BH971" s="96" t="str">
        <f>+VLOOKUP(G971,Liste!$A$7:$G$50,3,FALSE)</f>
        <v>Sapin pectiné</v>
      </c>
      <c r="BI971" s="96" t="str">
        <f>+VLOOKUP(H971,Liste!$B$7:$G$50,5,FALSE)</f>
        <v>GS Arc Jurassien</v>
      </c>
      <c r="BJ971" s="135">
        <f t="shared" si="301"/>
        <v>99</v>
      </c>
      <c r="BK971" s="135" t="str">
        <f t="shared" si="303"/>
        <v>Sapin pectiné_F1_Cas général_GS Arc Jurassien_99_</v>
      </c>
      <c r="BL971" s="322"/>
      <c r="BM971" s="13">
        <v>103.384536657925</v>
      </c>
      <c r="BN971" s="13">
        <v>528.83967082591403</v>
      </c>
      <c r="BO971" s="13" t="s">
        <v>169</v>
      </c>
      <c r="BP971" s="13">
        <v>307.55958661145604</v>
      </c>
      <c r="BQ971" s="13"/>
      <c r="BT971" s="298" t="str">
        <f>+VLOOKUP(G971,Liste!$A$7:$H$50,8,FALSE)</f>
        <v>Résineux</v>
      </c>
      <c r="BU971" s="298">
        <f t="shared" si="304"/>
        <v>0</v>
      </c>
      <c r="BV971" s="300">
        <f t="shared" si="305"/>
        <v>1</v>
      </c>
      <c r="BW971" s="321">
        <v>0</v>
      </c>
      <c r="BX971" s="298">
        <f t="shared" si="306"/>
        <v>0.43</v>
      </c>
      <c r="BY971">
        <f t="shared" si="307"/>
        <v>0</v>
      </c>
      <c r="BZ971" s="304">
        <f t="shared" si="308"/>
        <v>0</v>
      </c>
      <c r="CB971" s="299">
        <v>0.6</v>
      </c>
      <c r="CC971" s="299">
        <v>0.4</v>
      </c>
      <c r="CD971">
        <f t="shared" si="309"/>
        <v>0</v>
      </c>
      <c r="CE971">
        <f t="shared" si="310"/>
        <v>0</v>
      </c>
      <c r="CF971">
        <f t="shared" si="311"/>
        <v>0</v>
      </c>
      <c r="CG971">
        <f t="shared" si="312"/>
        <v>0</v>
      </c>
      <c r="CH971">
        <f t="shared" si="313"/>
        <v>0</v>
      </c>
      <c r="CI971">
        <f t="shared" si="314"/>
        <v>0</v>
      </c>
      <c r="CJ971">
        <f t="shared" si="315"/>
        <v>0</v>
      </c>
      <c r="CK971">
        <f t="shared" si="316"/>
        <v>0</v>
      </c>
      <c r="CL971">
        <f t="shared" si="317"/>
        <v>0</v>
      </c>
      <c r="CM971">
        <f t="shared" si="319"/>
        <v>0</v>
      </c>
      <c r="CN971">
        <f t="shared" si="318"/>
        <v>0</v>
      </c>
      <c r="CO971">
        <f t="shared" si="302"/>
        <v>0</v>
      </c>
    </row>
    <row r="972" spans="1:93" s="12" customFormat="1" x14ac:dyDescent="0.25">
      <c r="A972" s="4">
        <v>2013</v>
      </c>
      <c r="B972" s="318">
        <v>44265</v>
      </c>
      <c r="C972" s="4" t="s">
        <v>430</v>
      </c>
      <c r="D972" s="4" t="s">
        <v>431</v>
      </c>
      <c r="E972" s="4"/>
      <c r="F972" s="4" t="s">
        <v>1493</v>
      </c>
      <c r="G972" s="5" t="s">
        <v>432</v>
      </c>
      <c r="H972" s="5" t="s">
        <v>185</v>
      </c>
      <c r="I972" s="5" t="s">
        <v>222</v>
      </c>
      <c r="J972" s="5" t="s">
        <v>9</v>
      </c>
      <c r="K972" s="5">
        <v>20</v>
      </c>
      <c r="L972" s="5" t="s">
        <v>190</v>
      </c>
      <c r="M972" s="5">
        <v>2000</v>
      </c>
      <c r="N972" s="5" t="s">
        <v>171</v>
      </c>
      <c r="O972" s="6" t="s">
        <v>81</v>
      </c>
      <c r="P972" s="6" t="s">
        <v>186</v>
      </c>
      <c r="Q972" s="6"/>
      <c r="R972" s="6"/>
      <c r="S972" s="6">
        <v>45</v>
      </c>
      <c r="T972" s="6">
        <v>17.7</v>
      </c>
      <c r="U972" s="6">
        <v>1853</v>
      </c>
      <c r="V972" s="6">
        <v>45.68</v>
      </c>
      <c r="W972" s="6">
        <v>0</v>
      </c>
      <c r="X972" s="6">
        <v>0</v>
      </c>
      <c r="Y972" s="6">
        <v>1079</v>
      </c>
      <c r="Z972" s="6">
        <v>672</v>
      </c>
      <c r="AA972" s="6">
        <v>94</v>
      </c>
      <c r="AB972" s="6">
        <v>8</v>
      </c>
      <c r="AC972" s="7">
        <v>99</v>
      </c>
      <c r="AD972" s="7" t="s">
        <v>53</v>
      </c>
      <c r="AE972" s="9">
        <v>34.811455238261601</v>
      </c>
      <c r="AF972" s="7">
        <v>0</v>
      </c>
      <c r="AG972" s="7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101.376519647154</v>
      </c>
      <c r="AN972" s="9">
        <v>1.02400524896115</v>
      </c>
      <c r="AO972" s="9"/>
      <c r="AP972" s="9">
        <v>1518.7857211390401</v>
      </c>
      <c r="AQ972" s="9">
        <v>15.341269910495299</v>
      </c>
      <c r="AR972" s="9"/>
      <c r="AS972" s="8">
        <v>200</v>
      </c>
      <c r="AT972" s="8">
        <v>34.58</v>
      </c>
      <c r="AU972" s="10">
        <v>46.919411471661661</v>
      </c>
      <c r="AV972" s="8">
        <v>593.54</v>
      </c>
      <c r="AW972" s="8">
        <v>1</v>
      </c>
      <c r="AX972" s="10">
        <v>2.9676999999999998</v>
      </c>
      <c r="AY972" s="10"/>
      <c r="AZ972" s="10"/>
      <c r="BA972" s="10"/>
      <c r="BB972" s="8"/>
      <c r="BC972" s="8"/>
      <c r="BD972" s="8"/>
      <c r="BE972" s="8"/>
      <c r="BF972" s="12">
        <v>0.38</v>
      </c>
      <c r="BG972" s="13">
        <v>0</v>
      </c>
      <c r="BH972" s="96" t="str">
        <f>+VLOOKUP(G972,Liste!$A$7:$G$50,3,FALSE)</f>
        <v>Sapin pectiné</v>
      </c>
      <c r="BI972" s="96" t="str">
        <f>+VLOOKUP(H972,Liste!$B$7:$G$50,5,FALSE)</f>
        <v>GS Arc Jurassien</v>
      </c>
      <c r="BJ972" s="135">
        <f t="shared" si="301"/>
        <v>99</v>
      </c>
      <c r="BK972" s="135" t="str">
        <f t="shared" si="303"/>
        <v>Sapin pectiné_F1_Cas général_GS Arc Jurassien_99_</v>
      </c>
      <c r="BL972" s="322"/>
      <c r="BM972" s="13">
        <v>0</v>
      </c>
      <c r="BN972" s="13">
        <v>0</v>
      </c>
      <c r="BO972" s="13">
        <f>BN971</f>
        <v>528.83967082591403</v>
      </c>
      <c r="BP972" s="13">
        <v>307.55958661145604</v>
      </c>
      <c r="BQ972" s="13"/>
      <c r="BT972" s="298" t="str">
        <f>+VLOOKUP(G972,Liste!$A$7:$H$50,8,FALSE)</f>
        <v>Résineux</v>
      </c>
      <c r="BU972" s="298">
        <f t="shared" si="304"/>
        <v>0</v>
      </c>
      <c r="BV972" s="300">
        <f t="shared" si="305"/>
        <v>1</v>
      </c>
      <c r="BW972" s="321">
        <v>0</v>
      </c>
      <c r="BX972" s="298">
        <f t="shared" si="306"/>
        <v>0.43</v>
      </c>
      <c r="BY972">
        <f t="shared" si="307"/>
        <v>0</v>
      </c>
      <c r="BZ972" s="304">
        <f t="shared" si="308"/>
        <v>0</v>
      </c>
      <c r="CB972" s="299">
        <v>0.6</v>
      </c>
      <c r="CC972" s="299">
        <v>0.4</v>
      </c>
      <c r="CD972">
        <f t="shared" si="309"/>
        <v>0</v>
      </c>
      <c r="CE972">
        <f t="shared" si="310"/>
        <v>0</v>
      </c>
      <c r="CF972">
        <f t="shared" si="311"/>
        <v>0</v>
      </c>
      <c r="CG972">
        <f t="shared" si="312"/>
        <v>0</v>
      </c>
      <c r="CH972">
        <f t="shared" si="313"/>
        <v>0</v>
      </c>
      <c r="CI972">
        <f t="shared" si="314"/>
        <v>0</v>
      </c>
      <c r="CJ972">
        <f t="shared" si="315"/>
        <v>0</v>
      </c>
      <c r="CK972">
        <f t="shared" si="316"/>
        <v>0</v>
      </c>
      <c r="CL972">
        <f t="shared" si="317"/>
        <v>0</v>
      </c>
      <c r="CM972">
        <f t="shared" si="319"/>
        <v>0</v>
      </c>
      <c r="CN972">
        <f t="shared" si="318"/>
        <v>0</v>
      </c>
      <c r="CO972">
        <f t="shared" si="302"/>
        <v>0</v>
      </c>
    </row>
    <row r="973" spans="1:93" s="12" customFormat="1" x14ac:dyDescent="0.25">
      <c r="A973" s="4">
        <v>2021</v>
      </c>
      <c r="B973" s="318">
        <v>44279</v>
      </c>
      <c r="C973" s="4" t="s">
        <v>1494</v>
      </c>
      <c r="D973" s="4" t="s">
        <v>1495</v>
      </c>
      <c r="E973" s="4"/>
      <c r="F973" s="4" t="s">
        <v>1496</v>
      </c>
      <c r="G973" s="5" t="s">
        <v>1497</v>
      </c>
      <c r="H973" s="5" t="s">
        <v>1498</v>
      </c>
      <c r="I973" s="5" t="s">
        <v>232</v>
      </c>
      <c r="J973" s="5" t="s">
        <v>9</v>
      </c>
      <c r="K973" s="5">
        <v>18.2</v>
      </c>
      <c r="L973" s="5" t="s">
        <v>192</v>
      </c>
      <c r="M973" s="5">
        <v>1100</v>
      </c>
      <c r="N973" s="5" t="s">
        <v>170</v>
      </c>
      <c r="O973" s="6" t="s">
        <v>1499</v>
      </c>
      <c r="P973" s="6" t="s">
        <v>1500</v>
      </c>
      <c r="Q973" s="6"/>
      <c r="R973" s="6"/>
      <c r="S973" s="6">
        <v>15</v>
      </c>
      <c r="T973" s="6">
        <v>4.9000000000000004</v>
      </c>
      <c r="U973" s="6">
        <v>6000</v>
      </c>
      <c r="V973" s="6">
        <v>19.7</v>
      </c>
      <c r="W973" s="6">
        <v>5448</v>
      </c>
      <c r="X973" s="6">
        <v>552</v>
      </c>
      <c r="Y973" s="6">
        <v>0</v>
      </c>
      <c r="Z973" s="6">
        <v>0</v>
      </c>
      <c r="AA973" s="6">
        <v>0</v>
      </c>
      <c r="AB973" s="6">
        <v>0</v>
      </c>
      <c r="AC973" s="7">
        <v>25</v>
      </c>
      <c r="AD973" s="7" t="s">
        <v>52</v>
      </c>
      <c r="AE973" s="7">
        <v>9.65</v>
      </c>
      <c r="AF973" s="7">
        <v>1096</v>
      </c>
      <c r="AG973" s="7">
        <v>18.41</v>
      </c>
      <c r="AH973" s="7">
        <v>14.62</v>
      </c>
      <c r="AI973" s="7">
        <v>17.18</v>
      </c>
      <c r="AJ973" s="9">
        <v>82.830205758022899</v>
      </c>
      <c r="AK973" s="9">
        <v>83.6095676169288</v>
      </c>
      <c r="AL973" s="9">
        <v>117.290317438708</v>
      </c>
      <c r="AM973" s="9">
        <v>18.4616762314662</v>
      </c>
      <c r="AN973" s="9">
        <v>0.73846704925864803</v>
      </c>
      <c r="AO973" s="9">
        <v>1.25960719224566</v>
      </c>
      <c r="AP973" s="9">
        <v>117.581576511949</v>
      </c>
      <c r="AQ973" s="9">
        <v>4.7032630604779504</v>
      </c>
      <c r="AR973" s="9">
        <v>12.0974471171518</v>
      </c>
      <c r="AS973" s="8" t="s">
        <v>169</v>
      </c>
      <c r="AT973" s="8" t="s">
        <v>169</v>
      </c>
      <c r="AU973" s="8"/>
      <c r="AV973" s="10">
        <v>0</v>
      </c>
      <c r="AW973" s="8"/>
      <c r="AX973" s="8"/>
      <c r="AY973" s="8"/>
      <c r="AZ973" s="8"/>
      <c r="BA973" s="8"/>
      <c r="BB973" s="8"/>
      <c r="BC973" s="8"/>
      <c r="BD973" s="8"/>
      <c r="BE973" s="8"/>
      <c r="BF973" s="12">
        <v>0.49</v>
      </c>
      <c r="BG973" s="13">
        <v>100.09751174081801</v>
      </c>
      <c r="BH973" s="96" t="str">
        <f>+VLOOKUP(G973,Liste!$A$7:$G$50,3,FALSE)</f>
        <v>Pin Noir d'Autriche</v>
      </c>
      <c r="BI973" s="96" t="str">
        <f>+VLOOKUP(H973,Liste!$B$7:$G$50,5,FALSE)</f>
        <v>GSM Alpes du Sud</v>
      </c>
      <c r="BJ973" s="135">
        <f t="shared" si="301"/>
        <v>25</v>
      </c>
      <c r="BK973" s="135" t="str">
        <f t="shared" si="303"/>
        <v>Pin Noir d'Autriche_F1_PO1_d4_GSM Alpes du Sud_25_</v>
      </c>
      <c r="BL973" s="322"/>
      <c r="BM973" s="13">
        <v>28.785541744775198</v>
      </c>
      <c r="BN973" s="13">
        <v>128.883053485593</v>
      </c>
      <c r="BP973" s="13">
        <v>278.39913179156599</v>
      </c>
      <c r="BQ973" s="13">
        <v>12.880182468279401</v>
      </c>
      <c r="BT973" s="298" t="str">
        <f>+VLOOKUP(G973,Liste!$A$7:$H$50,8,FALSE)</f>
        <v>Résineux</v>
      </c>
      <c r="BU973" s="298">
        <f t="shared" si="304"/>
        <v>0</v>
      </c>
      <c r="BV973" s="300">
        <f t="shared" si="305"/>
        <v>1</v>
      </c>
      <c r="BW973" s="321">
        <v>0</v>
      </c>
      <c r="BX973" s="298">
        <f t="shared" si="306"/>
        <v>0.43</v>
      </c>
      <c r="BY973">
        <f t="shared" si="307"/>
        <v>0</v>
      </c>
      <c r="BZ973" s="304">
        <f t="shared" si="308"/>
        <v>0</v>
      </c>
      <c r="CB973" s="299">
        <v>0.6</v>
      </c>
      <c r="CC973" s="299">
        <v>0.4</v>
      </c>
      <c r="CD973">
        <f t="shared" si="309"/>
        <v>0</v>
      </c>
      <c r="CE973">
        <f t="shared" si="310"/>
        <v>0</v>
      </c>
      <c r="CF973">
        <f t="shared" si="311"/>
        <v>0</v>
      </c>
      <c r="CG973">
        <f t="shared" si="312"/>
        <v>0</v>
      </c>
      <c r="CH973">
        <f t="shared" si="313"/>
        <v>0</v>
      </c>
      <c r="CI973">
        <f t="shared" si="314"/>
        <v>0</v>
      </c>
      <c r="CJ973">
        <f t="shared" si="315"/>
        <v>0</v>
      </c>
      <c r="CK973">
        <f t="shared" si="316"/>
        <v>0</v>
      </c>
      <c r="CL973">
        <f t="shared" si="317"/>
        <v>0</v>
      </c>
      <c r="CM973">
        <f t="shared" si="319"/>
        <v>0</v>
      </c>
      <c r="CN973">
        <f t="shared" si="318"/>
        <v>0</v>
      </c>
      <c r="CO973">
        <f t="shared" si="302"/>
        <v>0</v>
      </c>
    </row>
    <row r="974" spans="1:93" s="12" customFormat="1" x14ac:dyDescent="0.25">
      <c r="A974" s="4">
        <v>2021</v>
      </c>
      <c r="B974" s="318">
        <v>44279</v>
      </c>
      <c r="C974" s="4" t="s">
        <v>1494</v>
      </c>
      <c r="D974" s="4" t="s">
        <v>1495</v>
      </c>
      <c r="E974" s="4"/>
      <c r="F974" s="4" t="s">
        <v>1496</v>
      </c>
      <c r="G974" s="5" t="s">
        <v>1497</v>
      </c>
      <c r="H974" s="5" t="s">
        <v>1498</v>
      </c>
      <c r="I974" s="5" t="s">
        <v>232</v>
      </c>
      <c r="J974" s="5" t="s">
        <v>9</v>
      </c>
      <c r="K974" s="5">
        <v>18.2</v>
      </c>
      <c r="L974" s="5" t="s">
        <v>192</v>
      </c>
      <c r="M974" s="5">
        <v>1100</v>
      </c>
      <c r="N974" s="5" t="s">
        <v>170</v>
      </c>
      <c r="O974" s="6" t="s">
        <v>1499</v>
      </c>
      <c r="P974" s="6" t="s">
        <v>1500</v>
      </c>
      <c r="Q974" s="6"/>
      <c r="R974" s="6"/>
      <c r="S974" s="6">
        <v>15</v>
      </c>
      <c r="T974" s="6">
        <v>4.9000000000000004</v>
      </c>
      <c r="U974" s="6">
        <v>6000</v>
      </c>
      <c r="V974" s="6">
        <v>19.7</v>
      </c>
      <c r="W974" s="6">
        <v>5448</v>
      </c>
      <c r="X974" s="6">
        <v>552</v>
      </c>
      <c r="Y974" s="6">
        <v>0</v>
      </c>
      <c r="Z974" s="6">
        <v>0</v>
      </c>
      <c r="AA974" s="6">
        <v>0</v>
      </c>
      <c r="AB974" s="6">
        <v>0</v>
      </c>
      <c r="AC974" s="7">
        <v>30</v>
      </c>
      <c r="AD974" s="7" t="s">
        <v>52</v>
      </c>
      <c r="AE974" s="7">
        <v>11.83</v>
      </c>
      <c r="AF974" s="7">
        <v>1090</v>
      </c>
      <c r="AG974" s="7">
        <v>24.61</v>
      </c>
      <c r="AH974" s="7">
        <v>16.95</v>
      </c>
      <c r="AI974" s="7">
        <v>20.11</v>
      </c>
      <c r="AJ974" s="9">
        <v>137.73133328864699</v>
      </c>
      <c r="AK974" s="9">
        <v>138.63184943420299</v>
      </c>
      <c r="AL974" s="9">
        <v>177.126905172004</v>
      </c>
      <c r="AM974" s="9">
        <v>24.759712192694501</v>
      </c>
      <c r="AN974" s="9">
        <v>0.82532373975648299</v>
      </c>
      <c r="AO974" s="9">
        <v>1.10835019053193</v>
      </c>
      <c r="AP974" s="9">
        <v>178.06881209770799</v>
      </c>
      <c r="AQ974" s="9">
        <v>5.9356270699235898</v>
      </c>
      <c r="AR974" s="9">
        <v>12.67631643042</v>
      </c>
      <c r="AS974" s="8" t="s">
        <v>169</v>
      </c>
      <c r="AT974" s="8" t="s">
        <v>169</v>
      </c>
      <c r="AU974" s="8"/>
      <c r="AV974" s="10">
        <v>0</v>
      </c>
      <c r="AW974" s="8"/>
      <c r="AX974" s="8"/>
      <c r="AY974" s="8"/>
      <c r="AZ974" s="8"/>
      <c r="BA974" s="8"/>
      <c r="BB974" s="8"/>
      <c r="BC974" s="8"/>
      <c r="BD974" s="8"/>
      <c r="BE974" s="8"/>
      <c r="BF974" s="12">
        <v>0.49</v>
      </c>
      <c r="BG974" s="13">
        <v>151.163052988874</v>
      </c>
      <c r="BH974" s="96" t="str">
        <f>+VLOOKUP(G974,Liste!$A$7:$G$50,3,FALSE)</f>
        <v>Pin Noir d'Autriche</v>
      </c>
      <c r="BI974" s="96" t="str">
        <f>+VLOOKUP(H974,Liste!$B$7:$G$50,5,FALSE)</f>
        <v>GSM Alpes du Sud</v>
      </c>
      <c r="BJ974" s="135">
        <f t="shared" si="301"/>
        <v>30</v>
      </c>
      <c r="BK974" s="135" t="str">
        <f t="shared" si="303"/>
        <v>Pin Noir d'Autriche_F1_PO1_d4_GSM Alpes du Sud_30_</v>
      </c>
      <c r="BL974" s="322"/>
      <c r="BM974" s="13">
        <v>41.4341635494673</v>
      </c>
      <c r="BN974" s="13">
        <v>192.597216538341</v>
      </c>
      <c r="BO974" s="12" t="s">
        <v>169</v>
      </c>
      <c r="BP974" s="13">
        <v>278.39913179156599</v>
      </c>
      <c r="BQ974" s="13">
        <v>13.3885222040145</v>
      </c>
      <c r="BT974" s="298" t="str">
        <f>+VLOOKUP(G974,Liste!$A$7:$H$50,8,FALSE)</f>
        <v>Résineux</v>
      </c>
      <c r="BU974" s="298">
        <f t="shared" si="304"/>
        <v>0</v>
      </c>
      <c r="BV974" s="300">
        <f t="shared" si="305"/>
        <v>1</v>
      </c>
      <c r="BW974" s="321">
        <v>0</v>
      </c>
      <c r="BX974" s="298">
        <f t="shared" si="306"/>
        <v>0.43</v>
      </c>
      <c r="BY974">
        <f t="shared" si="307"/>
        <v>0</v>
      </c>
      <c r="BZ974" s="304">
        <f t="shared" si="308"/>
        <v>0</v>
      </c>
      <c r="CB974" s="299">
        <v>0.6</v>
      </c>
      <c r="CC974" s="299">
        <v>0.4</v>
      </c>
      <c r="CD974">
        <f t="shared" si="309"/>
        <v>0</v>
      </c>
      <c r="CE974">
        <f t="shared" si="310"/>
        <v>0</v>
      </c>
      <c r="CF974">
        <f t="shared" si="311"/>
        <v>0</v>
      </c>
      <c r="CG974">
        <f t="shared" si="312"/>
        <v>0</v>
      </c>
      <c r="CH974">
        <f t="shared" si="313"/>
        <v>0</v>
      </c>
      <c r="CI974">
        <f t="shared" si="314"/>
        <v>0</v>
      </c>
      <c r="CJ974">
        <f t="shared" si="315"/>
        <v>0</v>
      </c>
      <c r="CK974">
        <f t="shared" si="316"/>
        <v>0</v>
      </c>
      <c r="CL974">
        <f t="shared" si="317"/>
        <v>0</v>
      </c>
      <c r="CM974">
        <f t="shared" si="319"/>
        <v>0</v>
      </c>
      <c r="CN974">
        <f t="shared" si="318"/>
        <v>0</v>
      </c>
      <c r="CO974">
        <f t="shared" si="302"/>
        <v>0</v>
      </c>
    </row>
    <row r="975" spans="1:93" s="12" customFormat="1" x14ac:dyDescent="0.25">
      <c r="A975" s="4">
        <v>2021</v>
      </c>
      <c r="B975" s="318">
        <v>44279</v>
      </c>
      <c r="C975" s="4" t="s">
        <v>1494</v>
      </c>
      <c r="D975" s="4" t="s">
        <v>1495</v>
      </c>
      <c r="E975" s="4"/>
      <c r="F975" s="4" t="s">
        <v>1496</v>
      </c>
      <c r="G975" s="5" t="s">
        <v>1497</v>
      </c>
      <c r="H975" s="5" t="s">
        <v>1498</v>
      </c>
      <c r="I975" s="5" t="s">
        <v>232</v>
      </c>
      <c r="J975" s="5" t="s">
        <v>9</v>
      </c>
      <c r="K975" s="5">
        <v>18.2</v>
      </c>
      <c r="L975" s="5" t="s">
        <v>192</v>
      </c>
      <c r="M975" s="5">
        <v>1100</v>
      </c>
      <c r="N975" s="5" t="s">
        <v>170</v>
      </c>
      <c r="O975" s="6" t="s">
        <v>1499</v>
      </c>
      <c r="P975" s="6" t="s">
        <v>1500</v>
      </c>
      <c r="Q975" s="6"/>
      <c r="R975" s="6"/>
      <c r="S975" s="6">
        <v>15</v>
      </c>
      <c r="T975" s="6">
        <v>4.9000000000000004</v>
      </c>
      <c r="U975" s="6">
        <v>6000</v>
      </c>
      <c r="V975" s="6">
        <v>19.7</v>
      </c>
      <c r="W975" s="6">
        <v>5448</v>
      </c>
      <c r="X975" s="6">
        <v>552</v>
      </c>
      <c r="Y975" s="6">
        <v>0</v>
      </c>
      <c r="Z975" s="6">
        <v>0</v>
      </c>
      <c r="AA975" s="6">
        <v>0</v>
      </c>
      <c r="AB975" s="6">
        <v>0</v>
      </c>
      <c r="AC975" s="7">
        <v>35</v>
      </c>
      <c r="AD975" s="7" t="s">
        <v>52</v>
      </c>
      <c r="AE975" s="7">
        <v>13.73</v>
      </c>
      <c r="AF975" s="7">
        <v>1087</v>
      </c>
      <c r="AG975" s="7">
        <v>30.07</v>
      </c>
      <c r="AH975" s="7">
        <v>18.77</v>
      </c>
      <c r="AI975" s="7">
        <v>22.49</v>
      </c>
      <c r="AJ975" s="9">
        <v>196.35119759953099</v>
      </c>
      <c r="AK975" s="9">
        <v>197.367360064362</v>
      </c>
      <c r="AL975" s="9">
        <v>239.97123304861199</v>
      </c>
      <c r="AM975" s="9">
        <v>30.301463145354099</v>
      </c>
      <c r="AN975" s="9">
        <v>0.86575608986726105</v>
      </c>
      <c r="AO975" s="9">
        <v>0.99857187538457903</v>
      </c>
      <c r="AP975" s="9">
        <v>241.450394249807</v>
      </c>
      <c r="AQ975" s="9">
        <v>6.8985826928516403</v>
      </c>
      <c r="AR975" s="9">
        <v>12.8511017085087</v>
      </c>
      <c r="AS975" s="8" t="s">
        <v>169</v>
      </c>
      <c r="AT975" s="8" t="s">
        <v>169</v>
      </c>
      <c r="AU975" s="8"/>
      <c r="AV975" s="10">
        <v>0</v>
      </c>
      <c r="AW975" s="8"/>
      <c r="AX975" s="8"/>
      <c r="AY975" s="8"/>
      <c r="AZ975" s="8"/>
      <c r="BA975" s="8"/>
      <c r="BB975" s="8"/>
      <c r="BC975" s="8"/>
      <c r="BD975" s="8"/>
      <c r="BE975" s="8"/>
      <c r="BF975" s="12">
        <v>0.49</v>
      </c>
      <c r="BG975" s="13">
        <v>204.795449804236</v>
      </c>
      <c r="BH975" s="96" t="str">
        <f>+VLOOKUP(G975,Liste!$A$7:$G$50,3,FALSE)</f>
        <v>Pin Noir d'Autriche</v>
      </c>
      <c r="BI975" s="96" t="str">
        <f>+VLOOKUP(H975,Liste!$B$7:$G$50,5,FALSE)</f>
        <v>GSM Alpes du Sud</v>
      </c>
      <c r="BJ975" s="135">
        <f t="shared" si="301"/>
        <v>35</v>
      </c>
      <c r="BK975" s="135" t="str">
        <f t="shared" si="303"/>
        <v>Pin Noir d'Autriche_F1_PO1_d4_GSM Alpes du Sud_35_</v>
      </c>
      <c r="BL975" s="322"/>
      <c r="BM975" s="13">
        <v>54.185491290599799</v>
      </c>
      <c r="BN975" s="13">
        <v>258.980941094836</v>
      </c>
      <c r="BO975" s="12" t="s">
        <v>169</v>
      </c>
      <c r="BP975" s="13">
        <v>278.39913179156599</v>
      </c>
      <c r="BQ975" s="13">
        <v>13.493292623621601</v>
      </c>
      <c r="BT975" s="298" t="str">
        <f>+VLOOKUP(G975,Liste!$A$7:$H$50,8,FALSE)</f>
        <v>Résineux</v>
      </c>
      <c r="BU975" s="298">
        <f t="shared" si="304"/>
        <v>0</v>
      </c>
      <c r="BV975" s="300">
        <f t="shared" si="305"/>
        <v>1</v>
      </c>
      <c r="BW975" s="321">
        <v>0</v>
      </c>
      <c r="BX975" s="298">
        <f t="shared" si="306"/>
        <v>0.43</v>
      </c>
      <c r="BY975">
        <f t="shared" si="307"/>
        <v>0</v>
      </c>
      <c r="BZ975" s="304">
        <f t="shared" si="308"/>
        <v>0</v>
      </c>
      <c r="CB975" s="299">
        <v>0.6</v>
      </c>
      <c r="CC975" s="299">
        <v>0.4</v>
      </c>
      <c r="CD975">
        <f t="shared" si="309"/>
        <v>0</v>
      </c>
      <c r="CE975">
        <f t="shared" si="310"/>
        <v>0</v>
      </c>
      <c r="CF975">
        <f t="shared" si="311"/>
        <v>0</v>
      </c>
      <c r="CG975">
        <f t="shared" si="312"/>
        <v>0</v>
      </c>
      <c r="CH975">
        <f t="shared" si="313"/>
        <v>0</v>
      </c>
      <c r="CI975">
        <f t="shared" si="314"/>
        <v>0</v>
      </c>
      <c r="CJ975">
        <f t="shared" si="315"/>
        <v>0</v>
      </c>
      <c r="CK975">
        <f t="shared" si="316"/>
        <v>0</v>
      </c>
      <c r="CL975">
        <f t="shared" si="317"/>
        <v>0</v>
      </c>
      <c r="CM975">
        <f t="shared" si="319"/>
        <v>0</v>
      </c>
      <c r="CN975">
        <f t="shared" si="318"/>
        <v>0</v>
      </c>
      <c r="CO975">
        <f t="shared" si="302"/>
        <v>0</v>
      </c>
    </row>
    <row r="976" spans="1:93" s="12" customFormat="1" x14ac:dyDescent="0.25">
      <c r="A976" s="4">
        <v>2021</v>
      </c>
      <c r="B976" s="318">
        <v>44279</v>
      </c>
      <c r="C976" s="4" t="s">
        <v>1494</v>
      </c>
      <c r="D976" s="4" t="s">
        <v>1495</v>
      </c>
      <c r="E976" s="4"/>
      <c r="F976" s="4" t="s">
        <v>1496</v>
      </c>
      <c r="G976" s="5" t="s">
        <v>1497</v>
      </c>
      <c r="H976" s="5" t="s">
        <v>1498</v>
      </c>
      <c r="I976" s="5" t="s">
        <v>232</v>
      </c>
      <c r="J976" s="5" t="s">
        <v>9</v>
      </c>
      <c r="K976" s="5">
        <v>18.2</v>
      </c>
      <c r="L976" s="5" t="s">
        <v>192</v>
      </c>
      <c r="M976" s="5">
        <v>1100</v>
      </c>
      <c r="N976" s="5" t="s">
        <v>170</v>
      </c>
      <c r="O976" s="6" t="s">
        <v>1499</v>
      </c>
      <c r="P976" s="6" t="s">
        <v>1500</v>
      </c>
      <c r="Q976" s="6"/>
      <c r="R976" s="6"/>
      <c r="S976" s="6">
        <v>15</v>
      </c>
      <c r="T976" s="6">
        <v>4.9000000000000004</v>
      </c>
      <c r="U976" s="6">
        <v>6000</v>
      </c>
      <c r="V976" s="6">
        <v>19.7</v>
      </c>
      <c r="W976" s="6">
        <v>5448</v>
      </c>
      <c r="X976" s="6">
        <v>552</v>
      </c>
      <c r="Y976" s="6">
        <v>0</v>
      </c>
      <c r="Z976" s="6">
        <v>0</v>
      </c>
      <c r="AA976" s="6">
        <v>0</v>
      </c>
      <c r="AB976" s="6">
        <v>0</v>
      </c>
      <c r="AC976" s="7">
        <v>40</v>
      </c>
      <c r="AD976" s="7" t="s">
        <v>52</v>
      </c>
      <c r="AE976" s="7">
        <v>15.44</v>
      </c>
      <c r="AF976" s="7">
        <v>1076</v>
      </c>
      <c r="AG976" s="7">
        <v>34.76</v>
      </c>
      <c r="AH976" s="7">
        <v>20.28</v>
      </c>
      <c r="AI976" s="7">
        <v>24.39</v>
      </c>
      <c r="AJ976" s="9">
        <v>255.54083092973701</v>
      </c>
      <c r="AK976" s="9">
        <v>256.61964784748699</v>
      </c>
      <c r="AL976" s="9">
        <v>301.73750603373202</v>
      </c>
      <c r="AM976" s="9">
        <v>35.294322522277</v>
      </c>
      <c r="AN976" s="9">
        <v>0.88235806305692599</v>
      </c>
      <c r="AO976" s="9">
        <v>0.84053302336176206</v>
      </c>
      <c r="AP976" s="9">
        <v>305.70590279235103</v>
      </c>
      <c r="AQ976" s="9">
        <v>7.6426475698087604</v>
      </c>
      <c r="AR976" s="9">
        <v>10.892239252150899</v>
      </c>
      <c r="AS976" s="8" t="s">
        <v>169</v>
      </c>
      <c r="AT976" s="8" t="s">
        <v>169</v>
      </c>
      <c r="AU976" s="8"/>
      <c r="AV976" s="10">
        <v>0</v>
      </c>
      <c r="AW976" s="8"/>
      <c r="AX976" s="8"/>
      <c r="AY976" s="8"/>
      <c r="AZ976" s="8"/>
      <c r="BA976" s="8"/>
      <c r="BB976" s="8"/>
      <c r="BC976" s="8"/>
      <c r="BD976" s="8"/>
      <c r="BE976" s="8"/>
      <c r="BF976" s="12">
        <v>0.49</v>
      </c>
      <c r="BG976" s="13">
        <v>257.50781660762101</v>
      </c>
      <c r="BH976" s="96" t="str">
        <f>+VLOOKUP(G976,Liste!$A$7:$G$50,3,FALSE)</f>
        <v>Pin Noir d'Autriche</v>
      </c>
      <c r="BI976" s="96" t="str">
        <f>+VLOOKUP(H976,Liste!$B$7:$G$50,5,FALSE)</f>
        <v>GSM Alpes du Sud</v>
      </c>
      <c r="BJ976" s="135">
        <f t="shared" si="301"/>
        <v>40</v>
      </c>
      <c r="BK976" s="135" t="str">
        <f t="shared" si="303"/>
        <v>Pin Noir d'Autriche_F1_PO1_d4_GSM Alpes du Sud_40_</v>
      </c>
      <c r="BL976" s="322"/>
      <c r="BM976" s="13">
        <v>66.339899241168098</v>
      </c>
      <c r="BN976" s="13">
        <v>323.84771584878899</v>
      </c>
      <c r="BO976" s="12" t="s">
        <v>169</v>
      </c>
      <c r="BP976" s="13">
        <v>278.39913179156599</v>
      </c>
      <c r="BQ976" s="13">
        <v>11.387838896125199</v>
      </c>
      <c r="BT976" s="298" t="str">
        <f>+VLOOKUP(G976,Liste!$A$7:$H$50,8,FALSE)</f>
        <v>Résineux</v>
      </c>
      <c r="BU976" s="298">
        <f t="shared" si="304"/>
        <v>0</v>
      </c>
      <c r="BV976" s="300">
        <f t="shared" si="305"/>
        <v>1</v>
      </c>
      <c r="BW976" s="321">
        <v>0</v>
      </c>
      <c r="BX976" s="298">
        <f t="shared" si="306"/>
        <v>0.43</v>
      </c>
      <c r="BY976">
        <f t="shared" si="307"/>
        <v>0</v>
      </c>
      <c r="BZ976" s="304">
        <f t="shared" si="308"/>
        <v>0</v>
      </c>
      <c r="CB976" s="299">
        <v>0.6</v>
      </c>
      <c r="CC976" s="299">
        <v>0.4</v>
      </c>
      <c r="CD976">
        <f t="shared" si="309"/>
        <v>0</v>
      </c>
      <c r="CE976">
        <f t="shared" si="310"/>
        <v>0</v>
      </c>
      <c r="CF976">
        <f t="shared" si="311"/>
        <v>0</v>
      </c>
      <c r="CG976">
        <f t="shared" si="312"/>
        <v>0</v>
      </c>
      <c r="CH976">
        <f t="shared" si="313"/>
        <v>0</v>
      </c>
      <c r="CI976">
        <f t="shared" si="314"/>
        <v>0</v>
      </c>
      <c r="CJ976">
        <f t="shared" si="315"/>
        <v>0</v>
      </c>
      <c r="CK976">
        <f t="shared" si="316"/>
        <v>0</v>
      </c>
      <c r="CL976">
        <f t="shared" si="317"/>
        <v>0</v>
      </c>
      <c r="CM976">
        <f t="shared" si="319"/>
        <v>0</v>
      </c>
      <c r="CN976">
        <f t="shared" si="318"/>
        <v>0</v>
      </c>
      <c r="CO976">
        <f t="shared" si="302"/>
        <v>0</v>
      </c>
    </row>
    <row r="977" spans="1:93" s="12" customFormat="1" x14ac:dyDescent="0.25">
      <c r="A977" s="4">
        <v>2021</v>
      </c>
      <c r="B977" s="318">
        <v>44279</v>
      </c>
      <c r="C977" s="4" t="s">
        <v>1494</v>
      </c>
      <c r="D977" s="4" t="s">
        <v>1495</v>
      </c>
      <c r="E977" s="4"/>
      <c r="F977" s="4" t="s">
        <v>1496</v>
      </c>
      <c r="G977" s="5" t="s">
        <v>1497</v>
      </c>
      <c r="H977" s="5" t="s">
        <v>1498</v>
      </c>
      <c r="I977" s="5" t="s">
        <v>232</v>
      </c>
      <c r="J977" s="5" t="s">
        <v>9</v>
      </c>
      <c r="K977" s="5">
        <v>18.2</v>
      </c>
      <c r="L977" s="5" t="s">
        <v>192</v>
      </c>
      <c r="M977" s="5">
        <v>1100</v>
      </c>
      <c r="N977" s="5" t="s">
        <v>170</v>
      </c>
      <c r="O977" s="6" t="s">
        <v>1499</v>
      </c>
      <c r="P977" s="6" t="s">
        <v>1500</v>
      </c>
      <c r="Q977" s="6"/>
      <c r="R977" s="6"/>
      <c r="S977" s="6">
        <v>15</v>
      </c>
      <c r="T977" s="6">
        <v>4.9000000000000004</v>
      </c>
      <c r="U977" s="6">
        <v>6000</v>
      </c>
      <c r="V977" s="6">
        <v>19.7</v>
      </c>
      <c r="W977" s="6">
        <v>5448</v>
      </c>
      <c r="X977" s="6">
        <v>552</v>
      </c>
      <c r="Y977" s="6">
        <v>0</v>
      </c>
      <c r="Z977" s="6">
        <v>0</v>
      </c>
      <c r="AA977" s="6">
        <v>0</v>
      </c>
      <c r="AB977" s="6">
        <v>0</v>
      </c>
      <c r="AC977" s="7">
        <v>40</v>
      </c>
      <c r="AD977" s="7" t="s">
        <v>53</v>
      </c>
      <c r="AE977" s="7">
        <v>15.44</v>
      </c>
      <c r="AF977" s="7">
        <v>701</v>
      </c>
      <c r="AG977" s="7">
        <v>24.86</v>
      </c>
      <c r="AH977" s="7">
        <v>21.25</v>
      </c>
      <c r="AI977" s="7">
        <v>24.39</v>
      </c>
      <c r="AJ977" s="9">
        <v>183.313035792786</v>
      </c>
      <c r="AK977" s="9">
        <v>184.18863952881799</v>
      </c>
      <c r="AL977" s="9">
        <v>215.97841556656701</v>
      </c>
      <c r="AM977" s="9">
        <v>35.294322522277</v>
      </c>
      <c r="AN977" s="9">
        <v>0.88235806305692599</v>
      </c>
      <c r="AO977" s="9">
        <v>0.84053302336176206</v>
      </c>
      <c r="AP977" s="9">
        <v>305.70590279235103</v>
      </c>
      <c r="AQ977" s="9">
        <v>7.6426475698087604</v>
      </c>
      <c r="AR977" s="9">
        <v>10.892239252150899</v>
      </c>
      <c r="AS977" s="8">
        <v>375</v>
      </c>
      <c r="AT977" s="8">
        <v>9.8999999999999986</v>
      </c>
      <c r="AU977" s="10">
        <v>18.333991376950163</v>
      </c>
      <c r="AV977" s="10">
        <v>72.227795136951016</v>
      </c>
      <c r="AW977" s="8">
        <v>0.82</v>
      </c>
      <c r="AX977" s="10">
        <v>0.19260745369853605</v>
      </c>
      <c r="AY977" s="8"/>
      <c r="AZ977" s="8"/>
      <c r="BA977" s="8"/>
      <c r="BB977" s="8"/>
      <c r="BC977" s="8"/>
      <c r="BD977" s="8"/>
      <c r="BE977" s="8"/>
      <c r="BF977" s="12">
        <v>0.49</v>
      </c>
      <c r="BG977" s="13">
        <v>184.31957948476801</v>
      </c>
      <c r="BH977" s="96" t="str">
        <f>+VLOOKUP(G977,Liste!$A$7:$G$50,3,FALSE)</f>
        <v>Pin Noir d'Autriche</v>
      </c>
      <c r="BI977" s="96" t="str">
        <f>+VLOOKUP(H977,Liste!$B$7:$G$50,5,FALSE)</f>
        <v>GSM Alpes du Sud</v>
      </c>
      <c r="BJ977" s="135">
        <f t="shared" si="301"/>
        <v>40</v>
      </c>
      <c r="BK977" s="135" t="str">
        <f t="shared" si="303"/>
        <v>Pin Noir d'Autriche_F1_PO1_d4_GSM Alpes du Sud_40_</v>
      </c>
      <c r="BL977" s="322"/>
      <c r="BM977" s="13">
        <v>49.369570299216299</v>
      </c>
      <c r="BN977" s="13">
        <v>233.68914978398399</v>
      </c>
      <c r="BO977" s="13">
        <v>90.158566064805001</v>
      </c>
      <c r="BP977" s="13">
        <v>278.39913179156599</v>
      </c>
      <c r="BQ977" s="13">
        <v>11.387838896125199</v>
      </c>
      <c r="BT977" s="298" t="str">
        <f>+VLOOKUP(G977,Liste!$A$7:$H$50,8,FALSE)</f>
        <v>Résineux</v>
      </c>
      <c r="BU977" s="298">
        <f t="shared" si="304"/>
        <v>0</v>
      </c>
      <c r="BV977" s="300">
        <f t="shared" si="305"/>
        <v>1</v>
      </c>
      <c r="BW977" s="321">
        <v>0</v>
      </c>
      <c r="BX977" s="298">
        <f t="shared" si="306"/>
        <v>0.43</v>
      </c>
      <c r="BY977">
        <f t="shared" si="307"/>
        <v>0</v>
      </c>
      <c r="BZ977" s="304">
        <f t="shared" si="308"/>
        <v>0</v>
      </c>
      <c r="CB977" s="299">
        <v>0.6</v>
      </c>
      <c r="CC977" s="299">
        <v>0.4</v>
      </c>
      <c r="CD977">
        <f t="shared" si="309"/>
        <v>0</v>
      </c>
      <c r="CE977">
        <f t="shared" si="310"/>
        <v>0</v>
      </c>
      <c r="CF977">
        <f t="shared" si="311"/>
        <v>0</v>
      </c>
      <c r="CG977">
        <f t="shared" si="312"/>
        <v>0</v>
      </c>
      <c r="CH977">
        <f t="shared" si="313"/>
        <v>0</v>
      </c>
      <c r="CI977">
        <f t="shared" si="314"/>
        <v>0</v>
      </c>
      <c r="CJ977">
        <f t="shared" si="315"/>
        <v>0</v>
      </c>
      <c r="CK977">
        <f t="shared" si="316"/>
        <v>0</v>
      </c>
      <c r="CL977">
        <f t="shared" si="317"/>
        <v>0</v>
      </c>
      <c r="CM977">
        <f t="shared" si="319"/>
        <v>0</v>
      </c>
      <c r="CN977">
        <f t="shared" si="318"/>
        <v>0</v>
      </c>
      <c r="CO977">
        <f t="shared" si="302"/>
        <v>0</v>
      </c>
    </row>
    <row r="978" spans="1:93" s="12" customFormat="1" x14ac:dyDescent="0.25">
      <c r="A978" s="4">
        <v>2021</v>
      </c>
      <c r="B978" s="318">
        <v>44279</v>
      </c>
      <c r="C978" s="4" t="s">
        <v>1494</v>
      </c>
      <c r="D978" s="4" t="s">
        <v>1495</v>
      </c>
      <c r="E978" s="4"/>
      <c r="F978" s="4" t="s">
        <v>1496</v>
      </c>
      <c r="G978" s="5" t="s">
        <v>1497</v>
      </c>
      <c r="H978" s="5" t="s">
        <v>1498</v>
      </c>
      <c r="I978" s="5" t="s">
        <v>232</v>
      </c>
      <c r="J978" s="5" t="s">
        <v>9</v>
      </c>
      <c r="K978" s="5">
        <v>18.2</v>
      </c>
      <c r="L978" s="5" t="s">
        <v>192</v>
      </c>
      <c r="M978" s="5">
        <v>1100</v>
      </c>
      <c r="N978" s="5" t="s">
        <v>170</v>
      </c>
      <c r="O978" s="6" t="s">
        <v>1499</v>
      </c>
      <c r="P978" s="6" t="s">
        <v>1500</v>
      </c>
      <c r="Q978" s="6"/>
      <c r="R978" s="6"/>
      <c r="S978" s="6">
        <v>15</v>
      </c>
      <c r="T978" s="6">
        <v>4.9000000000000004</v>
      </c>
      <c r="U978" s="6">
        <v>6000</v>
      </c>
      <c r="V978" s="6">
        <v>19.7</v>
      </c>
      <c r="W978" s="6">
        <v>5448</v>
      </c>
      <c r="X978" s="6">
        <v>552</v>
      </c>
      <c r="Y978" s="6">
        <v>0</v>
      </c>
      <c r="Z978" s="6">
        <v>0</v>
      </c>
      <c r="AA978" s="6">
        <v>0</v>
      </c>
      <c r="AB978" s="6">
        <v>0</v>
      </c>
      <c r="AC978" s="7">
        <v>45</v>
      </c>
      <c r="AD978" s="7" t="s">
        <v>52</v>
      </c>
      <c r="AE978" s="7">
        <v>16.989999999999998</v>
      </c>
      <c r="AF978" s="7">
        <v>697</v>
      </c>
      <c r="AG978" s="7">
        <v>28.91</v>
      </c>
      <c r="AH978" s="7">
        <v>22.98</v>
      </c>
      <c r="AI978" s="7">
        <v>26.51</v>
      </c>
      <c r="AJ978" s="9">
        <v>234.12096459168001</v>
      </c>
      <c r="AK978" s="9">
        <v>235.10857342333799</v>
      </c>
      <c r="AL978" s="9">
        <v>269.19630450627199</v>
      </c>
      <c r="AM978" s="9">
        <v>39.496987639085802</v>
      </c>
      <c r="AN978" s="9">
        <v>0.87771083642412995</v>
      </c>
      <c r="AO978" s="9">
        <v>0.78830695775222204</v>
      </c>
      <c r="AP978" s="9">
        <v>360.16709905310501</v>
      </c>
      <c r="AQ978" s="9">
        <v>8.0037133122912199</v>
      </c>
      <c r="AR978" s="9">
        <v>10.8923270215221</v>
      </c>
      <c r="AS978" s="8" t="s">
        <v>169</v>
      </c>
      <c r="AT978" s="8" t="s">
        <v>169</v>
      </c>
      <c r="AU978" s="10" t="s">
        <v>169</v>
      </c>
      <c r="AV978" s="10">
        <v>0</v>
      </c>
      <c r="AW978" s="8"/>
      <c r="AX978" s="10" t="s">
        <v>169</v>
      </c>
      <c r="AY978" s="8"/>
      <c r="AZ978" s="8"/>
      <c r="BA978" s="8"/>
      <c r="BB978" s="8"/>
      <c r="BC978" s="8"/>
      <c r="BD978" s="8"/>
      <c r="BE978" s="8"/>
      <c r="BF978" s="12">
        <v>0.49</v>
      </c>
      <c r="BG978" s="13">
        <v>229.73661287072699</v>
      </c>
      <c r="BH978" s="96" t="str">
        <f>+VLOOKUP(G978,Liste!$A$7:$G$50,3,FALSE)</f>
        <v>Pin Noir d'Autriche</v>
      </c>
      <c r="BI978" s="96" t="str">
        <f>+VLOOKUP(H978,Liste!$B$7:$G$50,5,FALSE)</f>
        <v>GSM Alpes du Sud</v>
      </c>
      <c r="BJ978" s="135">
        <f t="shared" si="301"/>
        <v>45</v>
      </c>
      <c r="BK978" s="135" t="str">
        <f t="shared" si="303"/>
        <v>Pin Noir d'Autriche_F1_PO1_d4_GSM Alpes du Sud_45_</v>
      </c>
      <c r="BL978" s="322"/>
      <c r="BM978" s="13">
        <v>59.976816805198801</v>
      </c>
      <c r="BN978" s="13">
        <v>289.71342967592602</v>
      </c>
      <c r="BO978" s="13" t="s">
        <v>169</v>
      </c>
      <c r="BP978" s="13">
        <v>278.39913179156599</v>
      </c>
      <c r="BQ978" s="13">
        <v>11.3512800305932</v>
      </c>
      <c r="BT978" s="298" t="str">
        <f>+VLOOKUP(G978,Liste!$A$7:$H$50,8,FALSE)</f>
        <v>Résineux</v>
      </c>
      <c r="BU978" s="298">
        <f t="shared" si="304"/>
        <v>0</v>
      </c>
      <c r="BV978" s="300">
        <f t="shared" si="305"/>
        <v>1</v>
      </c>
      <c r="BW978" s="321">
        <v>0</v>
      </c>
      <c r="BX978" s="298">
        <f t="shared" si="306"/>
        <v>0.43</v>
      </c>
      <c r="BY978">
        <f t="shared" si="307"/>
        <v>0</v>
      </c>
      <c r="BZ978" s="304">
        <f t="shared" si="308"/>
        <v>0</v>
      </c>
      <c r="CB978" s="299">
        <v>0.6</v>
      </c>
      <c r="CC978" s="299">
        <v>0.4</v>
      </c>
      <c r="CD978">
        <f t="shared" si="309"/>
        <v>0</v>
      </c>
      <c r="CE978">
        <f t="shared" si="310"/>
        <v>0</v>
      </c>
      <c r="CF978">
        <f t="shared" si="311"/>
        <v>0</v>
      </c>
      <c r="CG978">
        <f t="shared" si="312"/>
        <v>0</v>
      </c>
      <c r="CH978">
        <f t="shared" si="313"/>
        <v>0</v>
      </c>
      <c r="CI978">
        <f t="shared" si="314"/>
        <v>0</v>
      </c>
      <c r="CJ978">
        <f t="shared" si="315"/>
        <v>0</v>
      </c>
      <c r="CK978">
        <f t="shared" si="316"/>
        <v>0</v>
      </c>
      <c r="CL978">
        <f t="shared" si="317"/>
        <v>0</v>
      </c>
      <c r="CM978">
        <f t="shared" si="319"/>
        <v>0</v>
      </c>
      <c r="CN978">
        <f t="shared" si="318"/>
        <v>0</v>
      </c>
      <c r="CO978">
        <f t="shared" si="302"/>
        <v>0</v>
      </c>
    </row>
    <row r="979" spans="1:93" s="12" customFormat="1" x14ac:dyDescent="0.25">
      <c r="A979" s="4">
        <v>2021</v>
      </c>
      <c r="B979" s="318">
        <v>44279</v>
      </c>
      <c r="C979" s="4" t="s">
        <v>1494</v>
      </c>
      <c r="D979" s="4" t="s">
        <v>1495</v>
      </c>
      <c r="E979" s="4"/>
      <c r="F979" s="4" t="s">
        <v>1496</v>
      </c>
      <c r="G979" s="5" t="s">
        <v>1497</v>
      </c>
      <c r="H979" s="5" t="s">
        <v>1498</v>
      </c>
      <c r="I979" s="5" t="s">
        <v>232</v>
      </c>
      <c r="J979" s="5" t="s">
        <v>9</v>
      </c>
      <c r="K979" s="5">
        <v>18.2</v>
      </c>
      <c r="L979" s="5" t="s">
        <v>192</v>
      </c>
      <c r="M979" s="5">
        <v>1100</v>
      </c>
      <c r="N979" s="5" t="s">
        <v>170</v>
      </c>
      <c r="O979" s="6" t="s">
        <v>1499</v>
      </c>
      <c r="P979" s="6" t="s">
        <v>1500</v>
      </c>
      <c r="Q979" s="6"/>
      <c r="R979" s="6"/>
      <c r="S979" s="6">
        <v>15</v>
      </c>
      <c r="T979" s="6">
        <v>4.9000000000000004</v>
      </c>
      <c r="U979" s="6">
        <v>6000</v>
      </c>
      <c r="V979" s="6">
        <v>19.7</v>
      </c>
      <c r="W979" s="6">
        <v>5448</v>
      </c>
      <c r="X979" s="6">
        <v>552</v>
      </c>
      <c r="Y979" s="6">
        <v>0</v>
      </c>
      <c r="Z979" s="6">
        <v>0</v>
      </c>
      <c r="AA979" s="6">
        <v>0</v>
      </c>
      <c r="AB979" s="6">
        <v>0</v>
      </c>
      <c r="AC979" s="7">
        <v>50</v>
      </c>
      <c r="AD979" s="7" t="s">
        <v>52</v>
      </c>
      <c r="AE979" s="7">
        <v>18.22</v>
      </c>
      <c r="AF979" s="7">
        <v>694</v>
      </c>
      <c r="AG979" s="7">
        <v>32.75</v>
      </c>
      <c r="AH979" s="7">
        <v>24.51</v>
      </c>
      <c r="AI979" s="7">
        <v>28.43</v>
      </c>
      <c r="AJ979" s="9">
        <v>285.65983376333998</v>
      </c>
      <c r="AK979" s="9">
        <v>286.74153060556699</v>
      </c>
      <c r="AL979" s="9">
        <v>322.63790041369202</v>
      </c>
      <c r="AM979" s="9">
        <v>43.438522427846898</v>
      </c>
      <c r="AN979" s="9">
        <v>0.86877044855693897</v>
      </c>
      <c r="AO979" s="9">
        <v>0.76141509271270102</v>
      </c>
      <c r="AP979" s="9">
        <v>414.628734160715</v>
      </c>
      <c r="AQ979" s="9">
        <v>8.2925746832142995</v>
      </c>
      <c r="AR979" s="9">
        <v>10.9530364133599</v>
      </c>
      <c r="AS979" s="8" t="s">
        <v>169</v>
      </c>
      <c r="AT979" s="8" t="s">
        <v>169</v>
      </c>
      <c r="AU979" s="10" t="s">
        <v>169</v>
      </c>
      <c r="AV979" s="10">
        <v>0</v>
      </c>
      <c r="AW979" s="8"/>
      <c r="AX979" s="10" t="s">
        <v>169</v>
      </c>
      <c r="AY979" s="8"/>
      <c r="AZ979" s="8"/>
      <c r="BA979" s="8"/>
      <c r="BB979" s="8"/>
      <c r="BC979" s="8"/>
      <c r="BD979" s="8"/>
      <c r="BE979" s="8"/>
      <c r="BF979" s="12">
        <v>0.49</v>
      </c>
      <c r="BG979" s="13">
        <v>275.344561511385</v>
      </c>
      <c r="BH979" s="96" t="str">
        <f>+VLOOKUP(G979,Liste!$A$7:$G$50,3,FALSE)</f>
        <v>Pin Noir d'Autriche</v>
      </c>
      <c r="BI979" s="96" t="str">
        <f>+VLOOKUP(H979,Liste!$B$7:$G$50,5,FALSE)</f>
        <v>GSM Alpes du Sud</v>
      </c>
      <c r="BJ979" s="135">
        <f t="shared" si="301"/>
        <v>50</v>
      </c>
      <c r="BK979" s="135" t="str">
        <f t="shared" si="303"/>
        <v>Pin Noir d'Autriche_F1_PO1_d4_GSM Alpes du Sud_50_</v>
      </c>
      <c r="BL979" s="322"/>
      <c r="BM979" s="13">
        <v>70.384215362958997</v>
      </c>
      <c r="BN979" s="13">
        <v>345.72877687434402</v>
      </c>
      <c r="BO979" s="13" t="s">
        <v>169</v>
      </c>
      <c r="BP979" s="13">
        <v>278.39913179156599</v>
      </c>
      <c r="BQ979" s="13">
        <v>11.3830093961458</v>
      </c>
      <c r="BT979" s="298" t="str">
        <f>+VLOOKUP(G979,Liste!$A$7:$H$50,8,FALSE)</f>
        <v>Résineux</v>
      </c>
      <c r="BU979" s="298">
        <f t="shared" si="304"/>
        <v>0</v>
      </c>
      <c r="BV979" s="300">
        <f t="shared" si="305"/>
        <v>1</v>
      </c>
      <c r="BW979" s="321">
        <v>0</v>
      </c>
      <c r="BX979" s="298">
        <f t="shared" si="306"/>
        <v>0.43</v>
      </c>
      <c r="BY979">
        <f t="shared" si="307"/>
        <v>0</v>
      </c>
      <c r="BZ979" s="304">
        <f t="shared" si="308"/>
        <v>0</v>
      </c>
      <c r="CB979" s="299">
        <v>0.6</v>
      </c>
      <c r="CC979" s="299">
        <v>0.4</v>
      </c>
      <c r="CD979">
        <f t="shared" si="309"/>
        <v>0</v>
      </c>
      <c r="CE979">
        <f t="shared" si="310"/>
        <v>0</v>
      </c>
      <c r="CF979">
        <f t="shared" si="311"/>
        <v>0</v>
      </c>
      <c r="CG979">
        <f t="shared" si="312"/>
        <v>0</v>
      </c>
      <c r="CH979">
        <f t="shared" si="313"/>
        <v>0</v>
      </c>
      <c r="CI979">
        <f t="shared" si="314"/>
        <v>0</v>
      </c>
      <c r="CJ979">
        <f t="shared" si="315"/>
        <v>0</v>
      </c>
      <c r="CK979">
        <f t="shared" si="316"/>
        <v>0</v>
      </c>
      <c r="CL979">
        <f t="shared" si="317"/>
        <v>0</v>
      </c>
      <c r="CM979">
        <f t="shared" si="319"/>
        <v>0</v>
      </c>
      <c r="CN979">
        <f t="shared" si="318"/>
        <v>0</v>
      </c>
      <c r="CO979">
        <f t="shared" si="302"/>
        <v>0</v>
      </c>
    </row>
    <row r="980" spans="1:93" s="12" customFormat="1" x14ac:dyDescent="0.25">
      <c r="A980" s="4">
        <v>2021</v>
      </c>
      <c r="B980" s="318">
        <v>44279</v>
      </c>
      <c r="C980" s="4" t="s">
        <v>1494</v>
      </c>
      <c r="D980" s="4" t="s">
        <v>1495</v>
      </c>
      <c r="E980" s="4"/>
      <c r="F980" s="4" t="s">
        <v>1496</v>
      </c>
      <c r="G980" s="5" t="s">
        <v>1497</v>
      </c>
      <c r="H980" s="5" t="s">
        <v>1498</v>
      </c>
      <c r="I980" s="5" t="s">
        <v>232</v>
      </c>
      <c r="J980" s="5" t="s">
        <v>9</v>
      </c>
      <c r="K980" s="5">
        <v>18.2</v>
      </c>
      <c r="L980" s="5" t="s">
        <v>192</v>
      </c>
      <c r="M980" s="5">
        <v>1100</v>
      </c>
      <c r="N980" s="5" t="s">
        <v>170</v>
      </c>
      <c r="O980" s="6" t="s">
        <v>1499</v>
      </c>
      <c r="P980" s="6" t="s">
        <v>1500</v>
      </c>
      <c r="Q980" s="6"/>
      <c r="R980" s="6"/>
      <c r="S980" s="6">
        <v>15</v>
      </c>
      <c r="T980" s="6">
        <v>4.9000000000000004</v>
      </c>
      <c r="U980" s="6">
        <v>6000</v>
      </c>
      <c r="V980" s="6">
        <v>19.7</v>
      </c>
      <c r="W980" s="6">
        <v>5448</v>
      </c>
      <c r="X980" s="6">
        <v>552</v>
      </c>
      <c r="Y980" s="6">
        <v>0</v>
      </c>
      <c r="Z980" s="6">
        <v>0</v>
      </c>
      <c r="AA980" s="6">
        <v>0</v>
      </c>
      <c r="AB980" s="6">
        <v>0</v>
      </c>
      <c r="AC980" s="7">
        <v>55</v>
      </c>
      <c r="AD980" s="7" t="s">
        <v>52</v>
      </c>
      <c r="AE980" s="7">
        <v>19.399999999999999</v>
      </c>
      <c r="AF980" s="7">
        <v>691</v>
      </c>
      <c r="AG980" s="7">
        <v>36.4</v>
      </c>
      <c r="AH980" s="7">
        <v>25.9</v>
      </c>
      <c r="AI980" s="7">
        <v>30.12</v>
      </c>
      <c r="AJ980" s="9">
        <v>337.38980098929801</v>
      </c>
      <c r="AK980" s="9">
        <v>338.55260494308902</v>
      </c>
      <c r="AL980" s="9">
        <v>375.88763591600502</v>
      </c>
      <c r="AM980" s="9">
        <v>47.245597891410398</v>
      </c>
      <c r="AN980" s="9">
        <v>0.85901087075291704</v>
      </c>
      <c r="AO980" s="9">
        <v>0.70029016117737797</v>
      </c>
      <c r="AP980" s="9">
        <v>469.39391622751498</v>
      </c>
      <c r="AQ980" s="9">
        <v>8.5344348405002695</v>
      </c>
      <c r="AR980" s="9">
        <v>9.7869684395284793</v>
      </c>
      <c r="AS980" s="8" t="s">
        <v>169</v>
      </c>
      <c r="AT980" s="8" t="s">
        <v>169</v>
      </c>
      <c r="AU980" s="10" t="s">
        <v>169</v>
      </c>
      <c r="AV980" s="10">
        <v>0</v>
      </c>
      <c r="AW980" s="8"/>
      <c r="AX980" s="10" t="s">
        <v>169</v>
      </c>
      <c r="AY980" s="8"/>
      <c r="AZ980" s="8"/>
      <c r="BA980" s="8"/>
      <c r="BB980" s="8"/>
      <c r="BC980" s="8"/>
      <c r="BD980" s="8"/>
      <c r="BE980" s="8"/>
      <c r="BF980" s="12">
        <v>0.49</v>
      </c>
      <c r="BG980" s="13">
        <v>320.78877328465097</v>
      </c>
      <c r="BH980" s="96" t="str">
        <f>+VLOOKUP(G980,Liste!$A$7:$G$50,3,FALSE)</f>
        <v>Pin Noir d'Autriche</v>
      </c>
      <c r="BI980" s="96" t="str">
        <f>+VLOOKUP(H980,Liste!$B$7:$G$50,5,FALSE)</f>
        <v>GSM Alpes du Sud</v>
      </c>
      <c r="BJ980" s="135">
        <f t="shared" si="301"/>
        <v>55</v>
      </c>
      <c r="BK980" s="135" t="str">
        <f t="shared" si="303"/>
        <v>Pin Noir d'Autriche_F1_PO1_d4_GSM Alpes du Sud_55_</v>
      </c>
      <c r="BL980" s="322"/>
      <c r="BM980" s="13">
        <v>80.5555831679562</v>
      </c>
      <c r="BN980" s="13">
        <v>401.34435645260697</v>
      </c>
      <c r="BO980" s="13" t="s">
        <v>169</v>
      </c>
      <c r="BP980" s="13">
        <v>278.39913179156599</v>
      </c>
      <c r="BQ980" s="13">
        <v>10.147780649910199</v>
      </c>
      <c r="BT980" s="298" t="str">
        <f>+VLOOKUP(G980,Liste!$A$7:$H$50,8,FALSE)</f>
        <v>Résineux</v>
      </c>
      <c r="BU980" s="298">
        <f t="shared" si="304"/>
        <v>0</v>
      </c>
      <c r="BV980" s="300">
        <f t="shared" si="305"/>
        <v>1</v>
      </c>
      <c r="BW980" s="321">
        <v>0</v>
      </c>
      <c r="BX980" s="298">
        <f t="shared" si="306"/>
        <v>0.43</v>
      </c>
      <c r="BY980">
        <f t="shared" si="307"/>
        <v>0</v>
      </c>
      <c r="BZ980" s="304">
        <f t="shared" si="308"/>
        <v>0</v>
      </c>
      <c r="CB980" s="299">
        <v>0.6</v>
      </c>
      <c r="CC980" s="299">
        <v>0.4</v>
      </c>
      <c r="CD980">
        <f t="shared" si="309"/>
        <v>0</v>
      </c>
      <c r="CE980">
        <f t="shared" si="310"/>
        <v>0</v>
      </c>
      <c r="CF980">
        <f t="shared" si="311"/>
        <v>0</v>
      </c>
      <c r="CG980">
        <f t="shared" si="312"/>
        <v>0</v>
      </c>
      <c r="CH980">
        <f t="shared" si="313"/>
        <v>0</v>
      </c>
      <c r="CI980">
        <f t="shared" si="314"/>
        <v>0</v>
      </c>
      <c r="CJ980">
        <f t="shared" si="315"/>
        <v>0</v>
      </c>
      <c r="CK980">
        <f t="shared" si="316"/>
        <v>0</v>
      </c>
      <c r="CL980">
        <f t="shared" si="317"/>
        <v>0</v>
      </c>
      <c r="CM980">
        <f t="shared" si="319"/>
        <v>0</v>
      </c>
      <c r="CN980">
        <f t="shared" si="318"/>
        <v>0</v>
      </c>
      <c r="CO980">
        <f t="shared" si="302"/>
        <v>0</v>
      </c>
    </row>
    <row r="981" spans="1:93" s="12" customFormat="1" x14ac:dyDescent="0.25">
      <c r="A981" s="4">
        <v>2021</v>
      </c>
      <c r="B981" s="318">
        <v>44279</v>
      </c>
      <c r="C981" s="4" t="s">
        <v>1494</v>
      </c>
      <c r="D981" s="4" t="s">
        <v>1495</v>
      </c>
      <c r="E981" s="4"/>
      <c r="F981" s="4" t="s">
        <v>1496</v>
      </c>
      <c r="G981" s="5" t="s">
        <v>1497</v>
      </c>
      <c r="H981" s="5" t="s">
        <v>1498</v>
      </c>
      <c r="I981" s="5" t="s">
        <v>232</v>
      </c>
      <c r="J981" s="5" t="s">
        <v>9</v>
      </c>
      <c r="K981" s="5">
        <v>18.2</v>
      </c>
      <c r="L981" s="5" t="s">
        <v>192</v>
      </c>
      <c r="M981" s="5">
        <v>1100</v>
      </c>
      <c r="N981" s="5" t="s">
        <v>170</v>
      </c>
      <c r="O981" s="6" t="s">
        <v>1499</v>
      </c>
      <c r="P981" s="6" t="s">
        <v>1500</v>
      </c>
      <c r="Q981" s="6"/>
      <c r="R981" s="6"/>
      <c r="S981" s="6">
        <v>15</v>
      </c>
      <c r="T981" s="6">
        <v>4.9000000000000004</v>
      </c>
      <c r="U981" s="6">
        <v>6000</v>
      </c>
      <c r="V981" s="6">
        <v>19.7</v>
      </c>
      <c r="W981" s="6">
        <v>5448</v>
      </c>
      <c r="X981" s="6">
        <v>552</v>
      </c>
      <c r="Y981" s="6">
        <v>0</v>
      </c>
      <c r="Z981" s="6">
        <v>0</v>
      </c>
      <c r="AA981" s="6">
        <v>0</v>
      </c>
      <c r="AB981" s="6">
        <v>0</v>
      </c>
      <c r="AC981" s="7">
        <v>55</v>
      </c>
      <c r="AD981" s="7" t="s">
        <v>53</v>
      </c>
      <c r="AE981" s="7">
        <v>19.399999999999999</v>
      </c>
      <c r="AF981" s="7">
        <v>501</v>
      </c>
      <c r="AG981" s="7">
        <v>28.2</v>
      </c>
      <c r="AH981" s="7">
        <v>26.77</v>
      </c>
      <c r="AI981" s="7">
        <v>30.12</v>
      </c>
      <c r="AJ981" s="9">
        <v>261.499947001527</v>
      </c>
      <c r="AK981" s="9">
        <v>262.481796102293</v>
      </c>
      <c r="AL981" s="9">
        <v>291.32166318012497</v>
      </c>
      <c r="AM981" s="9">
        <v>47.245597891410398</v>
      </c>
      <c r="AN981" s="9">
        <v>0.85901087075291704</v>
      </c>
      <c r="AO981" s="9">
        <v>0.70029016117737797</v>
      </c>
      <c r="AP981" s="9">
        <v>469.39391622751498</v>
      </c>
      <c r="AQ981" s="9">
        <v>8.5344348405002695</v>
      </c>
      <c r="AR981" s="9">
        <v>9.7869684395284793</v>
      </c>
      <c r="AS981" s="8">
        <v>190</v>
      </c>
      <c r="AT981" s="8">
        <v>8.1999999999999993</v>
      </c>
      <c r="AU981" s="10">
        <v>23.441488486541317</v>
      </c>
      <c r="AV981" s="10">
        <v>75.889853987771005</v>
      </c>
      <c r="AW981" s="8">
        <v>0.82</v>
      </c>
      <c r="AX981" s="10">
        <v>0.39942028414616321</v>
      </c>
      <c r="AY981" s="8"/>
      <c r="AZ981" s="8"/>
      <c r="BA981" s="8"/>
      <c r="BB981" s="8"/>
      <c r="BC981" s="8"/>
      <c r="BD981" s="8"/>
      <c r="BE981" s="8"/>
      <c r="BF981" s="12">
        <v>0.49</v>
      </c>
      <c r="BG981" s="13">
        <v>248.618762718971</v>
      </c>
      <c r="BH981" s="96" t="str">
        <f>+VLOOKUP(G981,Liste!$A$7:$G$50,3,FALSE)</f>
        <v>Pin Noir d'Autriche</v>
      </c>
      <c r="BI981" s="96" t="str">
        <f>+VLOOKUP(H981,Liste!$B$7:$G$50,5,FALSE)</f>
        <v>GSM Alpes du Sud</v>
      </c>
      <c r="BJ981" s="135">
        <f t="shared" si="301"/>
        <v>55</v>
      </c>
      <c r="BK981" s="135" t="str">
        <f t="shared" si="303"/>
        <v>Pin Noir d'Autriche_F1_PO1_d4_GSM Alpes du Sud_55_</v>
      </c>
      <c r="BL981" s="322"/>
      <c r="BM981" s="13">
        <v>64.312316105051707</v>
      </c>
      <c r="BN981" s="13">
        <v>312.93107882402302</v>
      </c>
      <c r="BO981" s="13">
        <v>88.413277628583955</v>
      </c>
      <c r="BP981" s="13">
        <v>278.39913179156599</v>
      </c>
      <c r="BQ981" s="13">
        <v>10.147780649910199</v>
      </c>
      <c r="BT981" s="298" t="str">
        <f>+VLOOKUP(G981,Liste!$A$7:$H$50,8,FALSE)</f>
        <v>Résineux</v>
      </c>
      <c r="BU981" s="298">
        <f t="shared" si="304"/>
        <v>0</v>
      </c>
      <c r="BV981" s="300">
        <f t="shared" si="305"/>
        <v>1</v>
      </c>
      <c r="BW981" s="321">
        <v>0</v>
      </c>
      <c r="BX981" s="298">
        <f t="shared" si="306"/>
        <v>0.43</v>
      </c>
      <c r="BY981">
        <f t="shared" si="307"/>
        <v>0</v>
      </c>
      <c r="BZ981" s="304">
        <f t="shared" si="308"/>
        <v>0</v>
      </c>
      <c r="CB981" s="299">
        <v>0.6</v>
      </c>
      <c r="CC981" s="299">
        <v>0.4</v>
      </c>
      <c r="CD981">
        <f t="shared" si="309"/>
        <v>0</v>
      </c>
      <c r="CE981">
        <f t="shared" si="310"/>
        <v>0</v>
      </c>
      <c r="CF981">
        <f t="shared" si="311"/>
        <v>0</v>
      </c>
      <c r="CG981">
        <f t="shared" si="312"/>
        <v>0</v>
      </c>
      <c r="CH981">
        <f t="shared" si="313"/>
        <v>0</v>
      </c>
      <c r="CI981">
        <f t="shared" si="314"/>
        <v>0</v>
      </c>
      <c r="CJ981">
        <f t="shared" si="315"/>
        <v>0</v>
      </c>
      <c r="CK981">
        <f t="shared" si="316"/>
        <v>0</v>
      </c>
      <c r="CL981">
        <f t="shared" si="317"/>
        <v>0</v>
      </c>
      <c r="CM981">
        <f t="shared" si="319"/>
        <v>0</v>
      </c>
      <c r="CN981">
        <f t="shared" si="318"/>
        <v>0</v>
      </c>
      <c r="CO981">
        <f t="shared" si="302"/>
        <v>0</v>
      </c>
    </row>
    <row r="982" spans="1:93" s="12" customFormat="1" x14ac:dyDescent="0.25">
      <c r="A982" s="4">
        <v>2021</v>
      </c>
      <c r="B982" s="318">
        <v>44279</v>
      </c>
      <c r="C982" s="4" t="s">
        <v>1494</v>
      </c>
      <c r="D982" s="4" t="s">
        <v>1495</v>
      </c>
      <c r="E982" s="4"/>
      <c r="F982" s="4" t="s">
        <v>1496</v>
      </c>
      <c r="G982" s="5" t="s">
        <v>1497</v>
      </c>
      <c r="H982" s="5" t="s">
        <v>1498</v>
      </c>
      <c r="I982" s="5" t="s">
        <v>232</v>
      </c>
      <c r="J982" s="5" t="s">
        <v>9</v>
      </c>
      <c r="K982" s="5">
        <v>18.2</v>
      </c>
      <c r="L982" s="5" t="s">
        <v>192</v>
      </c>
      <c r="M982" s="5">
        <v>1100</v>
      </c>
      <c r="N982" s="5" t="s">
        <v>170</v>
      </c>
      <c r="O982" s="6" t="s">
        <v>1499</v>
      </c>
      <c r="P982" s="6" t="s">
        <v>1500</v>
      </c>
      <c r="Q982" s="6"/>
      <c r="R982" s="6"/>
      <c r="S982" s="6">
        <v>15</v>
      </c>
      <c r="T982" s="6">
        <v>4.9000000000000004</v>
      </c>
      <c r="U982" s="6">
        <v>6000</v>
      </c>
      <c r="V982" s="6">
        <v>19.7</v>
      </c>
      <c r="W982" s="6">
        <v>5448</v>
      </c>
      <c r="X982" s="6">
        <v>552</v>
      </c>
      <c r="Y982" s="6">
        <v>0</v>
      </c>
      <c r="Z982" s="6">
        <v>0</v>
      </c>
      <c r="AA982" s="6">
        <v>0</v>
      </c>
      <c r="AB982" s="6">
        <v>0</v>
      </c>
      <c r="AC982" s="7">
        <v>60</v>
      </c>
      <c r="AD982" s="7" t="s">
        <v>52</v>
      </c>
      <c r="AE982" s="7">
        <v>20.38</v>
      </c>
      <c r="AF982" s="7">
        <v>499</v>
      </c>
      <c r="AG982" s="7">
        <v>31.58</v>
      </c>
      <c r="AH982" s="7">
        <v>28.39</v>
      </c>
      <c r="AI982" s="7">
        <v>32.08</v>
      </c>
      <c r="AJ982" s="9">
        <v>307.43390885283497</v>
      </c>
      <c r="AK982" s="9">
        <v>308.53822738067799</v>
      </c>
      <c r="AL982" s="9">
        <v>339.054600242324</v>
      </c>
      <c r="AM982" s="9">
        <v>50.747048697297302</v>
      </c>
      <c r="AN982" s="9">
        <v>0.84578414495495602</v>
      </c>
      <c r="AO982" s="9">
        <v>0.65966439816688605</v>
      </c>
      <c r="AP982" s="9">
        <v>518.32875842515705</v>
      </c>
      <c r="AQ982" s="9">
        <v>8.6388126404192906</v>
      </c>
      <c r="AR982" s="9">
        <v>9.5946024305854092</v>
      </c>
      <c r="AS982" s="8" t="s">
        <v>169</v>
      </c>
      <c r="AT982" s="8" t="s">
        <v>169</v>
      </c>
      <c r="AU982" s="10" t="s">
        <v>169</v>
      </c>
      <c r="AV982" s="10">
        <v>0</v>
      </c>
      <c r="AW982" s="8"/>
      <c r="AX982" s="10" t="s">
        <v>169</v>
      </c>
      <c r="AY982" s="8"/>
      <c r="AZ982" s="8"/>
      <c r="BA982" s="8"/>
      <c r="BB982" s="8"/>
      <c r="BC982" s="8"/>
      <c r="BD982" s="8"/>
      <c r="BE982" s="8"/>
      <c r="BF982" s="12">
        <v>0.49</v>
      </c>
      <c r="BG982" s="13">
        <v>289.354846756803</v>
      </c>
      <c r="BH982" s="96" t="str">
        <f>+VLOOKUP(G982,Liste!$A$7:$G$50,3,FALSE)</f>
        <v>Pin Noir d'Autriche</v>
      </c>
      <c r="BI982" s="96" t="str">
        <f>+VLOOKUP(H982,Liste!$B$7:$G$50,5,FALSE)</f>
        <v>GSM Alpes du Sud</v>
      </c>
      <c r="BJ982" s="135">
        <f t="shared" si="301"/>
        <v>60</v>
      </c>
      <c r="BK982" s="135" t="str">
        <f t="shared" si="303"/>
        <v>Pin Noir d'Autriche_F1_PO1_d4_GSM Alpes du Sud_60_</v>
      </c>
      <c r="BL982" s="322"/>
      <c r="BM982" s="13">
        <v>73.5394904262495</v>
      </c>
      <c r="BN982" s="13">
        <v>362.89433718305298</v>
      </c>
      <c r="BO982" s="13" t="s">
        <v>169</v>
      </c>
      <c r="BP982" s="13">
        <v>278.39913179156599</v>
      </c>
      <c r="BQ982" s="13">
        <v>9.9292328325115005</v>
      </c>
      <c r="BT982" s="298" t="str">
        <f>+VLOOKUP(G982,Liste!$A$7:$H$50,8,FALSE)</f>
        <v>Résineux</v>
      </c>
      <c r="BU982" s="298">
        <f t="shared" si="304"/>
        <v>0</v>
      </c>
      <c r="BV982" s="300">
        <f t="shared" si="305"/>
        <v>1</v>
      </c>
      <c r="BW982" s="321">
        <v>0</v>
      </c>
      <c r="BX982" s="298">
        <f t="shared" si="306"/>
        <v>0.43</v>
      </c>
      <c r="BY982">
        <f t="shared" si="307"/>
        <v>0</v>
      </c>
      <c r="BZ982" s="304">
        <f t="shared" si="308"/>
        <v>0</v>
      </c>
      <c r="CB982" s="299">
        <v>0.6</v>
      </c>
      <c r="CC982" s="299">
        <v>0.4</v>
      </c>
      <c r="CD982">
        <f t="shared" si="309"/>
        <v>0</v>
      </c>
      <c r="CE982">
        <f t="shared" si="310"/>
        <v>0</v>
      </c>
      <c r="CF982">
        <f t="shared" si="311"/>
        <v>0</v>
      </c>
      <c r="CG982">
        <f t="shared" si="312"/>
        <v>0</v>
      </c>
      <c r="CH982">
        <f t="shared" si="313"/>
        <v>0</v>
      </c>
      <c r="CI982">
        <f t="shared" si="314"/>
        <v>0</v>
      </c>
      <c r="CJ982">
        <f t="shared" si="315"/>
        <v>0</v>
      </c>
      <c r="CK982">
        <f t="shared" si="316"/>
        <v>0</v>
      </c>
      <c r="CL982">
        <f t="shared" si="317"/>
        <v>0</v>
      </c>
      <c r="CM982">
        <f t="shared" si="319"/>
        <v>0</v>
      </c>
      <c r="CN982">
        <f t="shared" si="318"/>
        <v>0</v>
      </c>
      <c r="CO982">
        <f t="shared" si="302"/>
        <v>0</v>
      </c>
    </row>
    <row r="983" spans="1:93" s="12" customFormat="1" x14ac:dyDescent="0.25">
      <c r="A983" s="4">
        <v>2021</v>
      </c>
      <c r="B983" s="318">
        <v>44279</v>
      </c>
      <c r="C983" s="4" t="s">
        <v>1494</v>
      </c>
      <c r="D983" s="4" t="s">
        <v>1495</v>
      </c>
      <c r="E983" s="4"/>
      <c r="F983" s="4" t="s">
        <v>1496</v>
      </c>
      <c r="G983" s="5" t="s">
        <v>1497</v>
      </c>
      <c r="H983" s="5" t="s">
        <v>1498</v>
      </c>
      <c r="I983" s="5" t="s">
        <v>232</v>
      </c>
      <c r="J983" s="5" t="s">
        <v>9</v>
      </c>
      <c r="K983" s="5">
        <v>18.2</v>
      </c>
      <c r="L983" s="5" t="s">
        <v>192</v>
      </c>
      <c r="M983" s="5">
        <v>1100</v>
      </c>
      <c r="N983" s="5" t="s">
        <v>170</v>
      </c>
      <c r="O983" s="6" t="s">
        <v>1499</v>
      </c>
      <c r="P983" s="6" t="s">
        <v>1500</v>
      </c>
      <c r="Q983" s="6"/>
      <c r="R983" s="6"/>
      <c r="S983" s="6">
        <v>15</v>
      </c>
      <c r="T983" s="6">
        <v>4.9000000000000004</v>
      </c>
      <c r="U983" s="6">
        <v>6000</v>
      </c>
      <c r="V983" s="6">
        <v>19.7</v>
      </c>
      <c r="W983" s="6">
        <v>5448</v>
      </c>
      <c r="X983" s="6">
        <v>552</v>
      </c>
      <c r="Y983" s="6">
        <v>0</v>
      </c>
      <c r="Z983" s="6">
        <v>0</v>
      </c>
      <c r="AA983" s="6">
        <v>0</v>
      </c>
      <c r="AB983" s="6">
        <v>0</v>
      </c>
      <c r="AC983" s="7">
        <v>65</v>
      </c>
      <c r="AD983" s="7" t="s">
        <v>52</v>
      </c>
      <c r="AE983" s="7">
        <v>21.31</v>
      </c>
      <c r="AF983" s="7">
        <v>496</v>
      </c>
      <c r="AG983" s="7">
        <v>34.71</v>
      </c>
      <c r="AH983" s="7">
        <v>29.85</v>
      </c>
      <c r="AI983" s="7">
        <v>33.869999999999997</v>
      </c>
      <c r="AJ983" s="9">
        <v>351.98758090362401</v>
      </c>
      <c r="AK983" s="9">
        <v>353.21063702974902</v>
      </c>
      <c r="AL983" s="9">
        <v>385.24241308266102</v>
      </c>
      <c r="AM983" s="9">
        <v>54.045370688131797</v>
      </c>
      <c r="AN983" s="9">
        <v>0.83146724135587302</v>
      </c>
      <c r="AO983" s="9">
        <v>0.66314806941974602</v>
      </c>
      <c r="AP983" s="9">
        <v>566.30177057808396</v>
      </c>
      <c r="AQ983" s="9">
        <v>8.7123349319705294</v>
      </c>
      <c r="AR983" s="9">
        <v>9.7032990966212491</v>
      </c>
      <c r="AS983" s="8" t="s">
        <v>169</v>
      </c>
      <c r="AT983" s="8" t="s">
        <v>169</v>
      </c>
      <c r="AU983" s="10" t="s">
        <v>169</v>
      </c>
      <c r="AV983" s="10">
        <v>0</v>
      </c>
      <c r="AW983" s="8"/>
      <c r="AX983" s="10" t="s">
        <v>169</v>
      </c>
      <c r="AY983" s="8"/>
      <c r="AZ983" s="8"/>
      <c r="BA983" s="8"/>
      <c r="BB983" s="8"/>
      <c r="BC983" s="8"/>
      <c r="BD983" s="8"/>
      <c r="BE983" s="8"/>
      <c r="BF983" s="12">
        <v>0.49</v>
      </c>
      <c r="BG983" s="13">
        <v>328.77229603162698</v>
      </c>
      <c r="BH983" s="96" t="str">
        <f>+VLOOKUP(G983,Liste!$A$7:$G$50,3,FALSE)</f>
        <v>Pin Noir d'Autriche</v>
      </c>
      <c r="BI983" s="96" t="str">
        <f>+VLOOKUP(H983,Liste!$B$7:$G$50,5,FALSE)</f>
        <v>GSM Alpes du Sud</v>
      </c>
      <c r="BJ983" s="135">
        <f t="shared" si="301"/>
        <v>65</v>
      </c>
      <c r="BK983" s="135" t="str">
        <f t="shared" si="303"/>
        <v>Pin Noir d'Autriche_F1_PO1_d4_GSM Alpes du Sud_65_</v>
      </c>
      <c r="BL983" s="322"/>
      <c r="BM983" s="13">
        <v>82.324482083140893</v>
      </c>
      <c r="BN983" s="13">
        <v>411.09677811476797</v>
      </c>
      <c r="BO983" s="13" t="s">
        <v>169</v>
      </c>
      <c r="BP983" s="13">
        <v>278.39913179156599</v>
      </c>
      <c r="BQ983" s="13">
        <v>10.0243298334766</v>
      </c>
      <c r="BT983" s="298" t="str">
        <f>+VLOOKUP(G983,Liste!$A$7:$H$50,8,FALSE)</f>
        <v>Résineux</v>
      </c>
      <c r="BU983" s="298">
        <f t="shared" si="304"/>
        <v>0</v>
      </c>
      <c r="BV983" s="300">
        <f t="shared" si="305"/>
        <v>1</v>
      </c>
      <c r="BW983" s="321">
        <v>0</v>
      </c>
      <c r="BX983" s="298">
        <f t="shared" si="306"/>
        <v>0.43</v>
      </c>
      <c r="BY983">
        <f t="shared" si="307"/>
        <v>0</v>
      </c>
      <c r="BZ983" s="304">
        <f t="shared" si="308"/>
        <v>0</v>
      </c>
      <c r="CB983" s="299">
        <v>0.6</v>
      </c>
      <c r="CC983" s="299">
        <v>0.4</v>
      </c>
      <c r="CD983">
        <f t="shared" si="309"/>
        <v>0</v>
      </c>
      <c r="CE983">
        <f t="shared" si="310"/>
        <v>0</v>
      </c>
      <c r="CF983">
        <f t="shared" si="311"/>
        <v>0</v>
      </c>
      <c r="CG983">
        <f t="shared" si="312"/>
        <v>0</v>
      </c>
      <c r="CH983">
        <f t="shared" si="313"/>
        <v>0</v>
      </c>
      <c r="CI983">
        <f t="shared" si="314"/>
        <v>0</v>
      </c>
      <c r="CJ983">
        <f t="shared" si="315"/>
        <v>0</v>
      </c>
      <c r="CK983">
        <f t="shared" si="316"/>
        <v>0</v>
      </c>
      <c r="CL983">
        <f t="shared" si="317"/>
        <v>0</v>
      </c>
      <c r="CM983">
        <f t="shared" si="319"/>
        <v>0</v>
      </c>
      <c r="CN983">
        <f t="shared" si="318"/>
        <v>0</v>
      </c>
      <c r="CO983">
        <f t="shared" si="302"/>
        <v>0</v>
      </c>
    </row>
    <row r="984" spans="1:93" s="12" customFormat="1" x14ac:dyDescent="0.25">
      <c r="A984" s="4">
        <v>2021</v>
      </c>
      <c r="B984" s="318">
        <v>44279</v>
      </c>
      <c r="C984" s="4" t="s">
        <v>1494</v>
      </c>
      <c r="D984" s="4" t="s">
        <v>1495</v>
      </c>
      <c r="E984" s="4"/>
      <c r="F984" s="4" t="s">
        <v>1496</v>
      </c>
      <c r="G984" s="5" t="s">
        <v>1497</v>
      </c>
      <c r="H984" s="5" t="s">
        <v>1498</v>
      </c>
      <c r="I984" s="5" t="s">
        <v>232</v>
      </c>
      <c r="J984" s="5" t="s">
        <v>9</v>
      </c>
      <c r="K984" s="5">
        <v>18.2</v>
      </c>
      <c r="L984" s="5" t="s">
        <v>192</v>
      </c>
      <c r="M984" s="5">
        <v>1100</v>
      </c>
      <c r="N984" s="5" t="s">
        <v>170</v>
      </c>
      <c r="O984" s="6" t="s">
        <v>1499</v>
      </c>
      <c r="P984" s="6" t="s">
        <v>1500</v>
      </c>
      <c r="Q984" s="6"/>
      <c r="R984" s="6"/>
      <c r="S984" s="6">
        <v>15</v>
      </c>
      <c r="T984" s="6">
        <v>4.9000000000000004</v>
      </c>
      <c r="U984" s="6">
        <v>6000</v>
      </c>
      <c r="V984" s="6">
        <v>19.7</v>
      </c>
      <c r="W984" s="6">
        <v>5448</v>
      </c>
      <c r="X984" s="6">
        <v>552</v>
      </c>
      <c r="Y984" s="6">
        <v>0</v>
      </c>
      <c r="Z984" s="6">
        <v>0</v>
      </c>
      <c r="AA984" s="6">
        <v>0</v>
      </c>
      <c r="AB984" s="6">
        <v>0</v>
      </c>
      <c r="AC984" s="7">
        <v>70</v>
      </c>
      <c r="AD984" s="7" t="s">
        <v>52</v>
      </c>
      <c r="AE984" s="7">
        <v>22.09</v>
      </c>
      <c r="AF984" s="7">
        <v>495</v>
      </c>
      <c r="AG984" s="7">
        <v>37.979999999999997</v>
      </c>
      <c r="AH984" s="7">
        <v>31.26</v>
      </c>
      <c r="AI984" s="7">
        <v>35.520000000000003</v>
      </c>
      <c r="AJ984" s="9">
        <v>397.58445178751299</v>
      </c>
      <c r="AK984" s="9">
        <v>398.979329868229</v>
      </c>
      <c r="AL984" s="9">
        <v>433.14180483676398</v>
      </c>
      <c r="AM984" s="9">
        <v>57.3611110352305</v>
      </c>
      <c r="AN984" s="9">
        <v>0.81944444336043598</v>
      </c>
      <c r="AO984" s="9">
        <v>0.59879647247257295</v>
      </c>
      <c r="AP984" s="9">
        <v>614.81826606119103</v>
      </c>
      <c r="AQ984" s="9">
        <v>8.7831180865884395</v>
      </c>
      <c r="AR984" s="9">
        <v>8.61843948395037</v>
      </c>
      <c r="AS984" s="8" t="s">
        <v>169</v>
      </c>
      <c r="AT984" s="8" t="s">
        <v>169</v>
      </c>
      <c r="AU984" s="10" t="s">
        <v>169</v>
      </c>
      <c r="AV984" s="10">
        <v>0</v>
      </c>
      <c r="AW984" s="8"/>
      <c r="AX984" s="10" t="s">
        <v>169</v>
      </c>
      <c r="AY984" s="8"/>
      <c r="AZ984" s="8"/>
      <c r="BA984" s="8"/>
      <c r="BB984" s="8"/>
      <c r="BC984" s="8"/>
      <c r="BD984" s="8"/>
      <c r="BE984" s="8"/>
      <c r="BF984" s="12">
        <v>0.49</v>
      </c>
      <c r="BG984" s="13">
        <v>369.65043527777499</v>
      </c>
      <c r="BH984" s="96" t="str">
        <f>+VLOOKUP(G984,Liste!$A$7:$G$50,3,FALSE)</f>
        <v>Pin Noir d'Autriche</v>
      </c>
      <c r="BI984" s="96" t="str">
        <f>+VLOOKUP(H984,Liste!$B$7:$G$50,5,FALSE)</f>
        <v>GSM Alpes du Sud</v>
      </c>
      <c r="BJ984" s="135">
        <f t="shared" si="301"/>
        <v>70</v>
      </c>
      <c r="BK984" s="135" t="str">
        <f t="shared" si="303"/>
        <v>Pin Noir d'Autriche_F1_PO1_d4_GSM Alpes du Sud_70_</v>
      </c>
      <c r="BL984" s="322"/>
      <c r="BM984" s="13">
        <v>91.306294740999107</v>
      </c>
      <c r="BN984" s="13">
        <v>460.95673001877401</v>
      </c>
      <c r="BO984" s="13" t="s">
        <v>169</v>
      </c>
      <c r="BP984" s="13">
        <v>278.39913179156599</v>
      </c>
      <c r="BQ984" s="13">
        <v>8.8901543601731401</v>
      </c>
      <c r="BT984" s="298" t="str">
        <f>+VLOOKUP(G984,Liste!$A$7:$H$50,8,FALSE)</f>
        <v>Résineux</v>
      </c>
      <c r="BU984" s="298">
        <f t="shared" si="304"/>
        <v>0</v>
      </c>
      <c r="BV984" s="300">
        <f t="shared" si="305"/>
        <v>1</v>
      </c>
      <c r="BW984" s="321">
        <v>0</v>
      </c>
      <c r="BX984" s="298">
        <f t="shared" si="306"/>
        <v>0.43</v>
      </c>
      <c r="BY984">
        <f t="shared" si="307"/>
        <v>0</v>
      </c>
      <c r="BZ984" s="304">
        <f t="shared" si="308"/>
        <v>0</v>
      </c>
      <c r="CB984" s="299">
        <v>0.6</v>
      </c>
      <c r="CC984" s="299">
        <v>0.4</v>
      </c>
      <c r="CD984">
        <f t="shared" si="309"/>
        <v>0</v>
      </c>
      <c r="CE984">
        <f t="shared" si="310"/>
        <v>0</v>
      </c>
      <c r="CF984">
        <f t="shared" si="311"/>
        <v>0</v>
      </c>
      <c r="CG984">
        <f t="shared" si="312"/>
        <v>0</v>
      </c>
      <c r="CH984">
        <f t="shared" si="313"/>
        <v>0</v>
      </c>
      <c r="CI984">
        <f t="shared" si="314"/>
        <v>0</v>
      </c>
      <c r="CJ984">
        <f t="shared" si="315"/>
        <v>0</v>
      </c>
      <c r="CK984">
        <f t="shared" si="316"/>
        <v>0</v>
      </c>
      <c r="CL984">
        <f t="shared" si="317"/>
        <v>0</v>
      </c>
      <c r="CM984">
        <f t="shared" si="319"/>
        <v>0</v>
      </c>
      <c r="CN984">
        <f t="shared" si="318"/>
        <v>0</v>
      </c>
      <c r="CO984">
        <f t="shared" si="302"/>
        <v>0</v>
      </c>
    </row>
    <row r="985" spans="1:93" s="12" customFormat="1" x14ac:dyDescent="0.25">
      <c r="A985" s="4">
        <v>2021</v>
      </c>
      <c r="B985" s="318">
        <v>44279</v>
      </c>
      <c r="C985" s="4" t="s">
        <v>1494</v>
      </c>
      <c r="D985" s="4" t="s">
        <v>1495</v>
      </c>
      <c r="E985" s="4"/>
      <c r="F985" s="4" t="s">
        <v>1496</v>
      </c>
      <c r="G985" s="5" t="s">
        <v>1497</v>
      </c>
      <c r="H985" s="5" t="s">
        <v>1498</v>
      </c>
      <c r="I985" s="5" t="s">
        <v>232</v>
      </c>
      <c r="J985" s="5" t="s">
        <v>9</v>
      </c>
      <c r="K985" s="5">
        <v>18.2</v>
      </c>
      <c r="L985" s="5" t="s">
        <v>192</v>
      </c>
      <c r="M985" s="5">
        <v>1100</v>
      </c>
      <c r="N985" s="5" t="s">
        <v>170</v>
      </c>
      <c r="O985" s="6" t="s">
        <v>1499</v>
      </c>
      <c r="P985" s="6" t="s">
        <v>1500</v>
      </c>
      <c r="Q985" s="6"/>
      <c r="R985" s="6"/>
      <c r="S985" s="6">
        <v>15</v>
      </c>
      <c r="T985" s="6">
        <v>4.9000000000000004</v>
      </c>
      <c r="U985" s="6">
        <v>6000</v>
      </c>
      <c r="V985" s="6">
        <v>19.7</v>
      </c>
      <c r="W985" s="6">
        <v>5448</v>
      </c>
      <c r="X985" s="6">
        <v>552</v>
      </c>
      <c r="Y985" s="6">
        <v>0</v>
      </c>
      <c r="Z985" s="6">
        <v>0</v>
      </c>
      <c r="AA985" s="6">
        <v>0</v>
      </c>
      <c r="AB985" s="6">
        <v>0</v>
      </c>
      <c r="AC985" s="7">
        <v>70</v>
      </c>
      <c r="AD985" s="7" t="s">
        <v>53</v>
      </c>
      <c r="AE985" s="7">
        <v>22.11</v>
      </c>
      <c r="AF985" s="7">
        <v>381</v>
      </c>
      <c r="AG985" s="7">
        <v>30.77</v>
      </c>
      <c r="AH985" s="7">
        <v>32.07</v>
      </c>
      <c r="AI985" s="7">
        <v>35.51</v>
      </c>
      <c r="AJ985" s="9">
        <v>322.70683948306799</v>
      </c>
      <c r="AK985" s="9">
        <v>323.875025367901</v>
      </c>
      <c r="AL985" s="9">
        <v>351.26556492362403</v>
      </c>
      <c r="AM985" s="9">
        <v>57.3611110352305</v>
      </c>
      <c r="AN985" s="9">
        <v>0.81944444336043598</v>
      </c>
      <c r="AO985" s="9">
        <v>0.59879647247257295</v>
      </c>
      <c r="AP985" s="9">
        <v>614.81826606119103</v>
      </c>
      <c r="AQ985" s="9">
        <v>8.7831180865884395</v>
      </c>
      <c r="AR985" s="9">
        <v>8.61843948395037</v>
      </c>
      <c r="AS985" s="8">
        <v>114</v>
      </c>
      <c r="AT985" s="8">
        <v>7.2099999999999973</v>
      </c>
      <c r="AU985" s="10">
        <v>28.377247368363776</v>
      </c>
      <c r="AV985" s="10">
        <v>74.877612304444995</v>
      </c>
      <c r="AW985" s="8">
        <v>0.82</v>
      </c>
      <c r="AX985" s="10">
        <v>0.65682116056530693</v>
      </c>
      <c r="AY985" s="8"/>
      <c r="AZ985" s="8"/>
      <c r="BA985" s="8"/>
      <c r="BB985" s="8"/>
      <c r="BC985" s="8"/>
      <c r="BD985" s="8"/>
      <c r="BE985" s="8"/>
      <c r="BF985" s="12">
        <v>0.49</v>
      </c>
      <c r="BG985" s="13">
        <v>299.77588753190298</v>
      </c>
      <c r="BH985" s="96" t="str">
        <f>+VLOOKUP(G985,Liste!$A$7:$G$50,3,FALSE)</f>
        <v>Pin Noir d'Autriche</v>
      </c>
      <c r="BI985" s="96" t="str">
        <f>+VLOOKUP(H985,Liste!$B$7:$G$50,5,FALSE)</f>
        <v>GSM Alpes du Sud</v>
      </c>
      <c r="BJ985" s="135">
        <f t="shared" si="301"/>
        <v>70</v>
      </c>
      <c r="BK985" s="135" t="str">
        <f t="shared" si="303"/>
        <v>Pin Noir d'Autriche_F1_PO1_d4_GSM Alpes du Sud_70_</v>
      </c>
      <c r="BL985" s="322"/>
      <c r="BM985" s="13">
        <v>75.874869547773898</v>
      </c>
      <c r="BN985" s="13">
        <v>375.65075707967702</v>
      </c>
      <c r="BO985" s="13">
        <v>85.305972939096989</v>
      </c>
      <c r="BP985" s="13">
        <v>278.39913179156599</v>
      </c>
      <c r="BQ985" s="13">
        <v>8.8901543601731401</v>
      </c>
      <c r="BT985" s="298" t="str">
        <f>+VLOOKUP(G985,Liste!$A$7:$H$50,8,FALSE)</f>
        <v>Résineux</v>
      </c>
      <c r="BU985" s="298">
        <f t="shared" si="304"/>
        <v>0</v>
      </c>
      <c r="BV985" s="300">
        <f t="shared" si="305"/>
        <v>1</v>
      </c>
      <c r="BW985" s="321">
        <v>0</v>
      </c>
      <c r="BX985" s="298">
        <f t="shared" si="306"/>
        <v>0.43</v>
      </c>
      <c r="BY985">
        <f t="shared" si="307"/>
        <v>0</v>
      </c>
      <c r="BZ985" s="304">
        <f t="shared" si="308"/>
        <v>0</v>
      </c>
      <c r="CB985" s="299">
        <v>0.6</v>
      </c>
      <c r="CC985" s="299">
        <v>0.4</v>
      </c>
      <c r="CD985">
        <f t="shared" si="309"/>
        <v>0</v>
      </c>
      <c r="CE985">
        <f t="shared" si="310"/>
        <v>0</v>
      </c>
      <c r="CF985">
        <f t="shared" si="311"/>
        <v>0</v>
      </c>
      <c r="CG985">
        <f t="shared" si="312"/>
        <v>0</v>
      </c>
      <c r="CH985">
        <f t="shared" si="313"/>
        <v>0</v>
      </c>
      <c r="CI985">
        <f t="shared" si="314"/>
        <v>0</v>
      </c>
      <c r="CJ985">
        <f t="shared" si="315"/>
        <v>0</v>
      </c>
      <c r="CK985">
        <f t="shared" si="316"/>
        <v>0</v>
      </c>
      <c r="CL985">
        <f t="shared" si="317"/>
        <v>0</v>
      </c>
      <c r="CM985">
        <f t="shared" si="319"/>
        <v>0</v>
      </c>
      <c r="CN985">
        <f t="shared" si="318"/>
        <v>0</v>
      </c>
      <c r="CO985">
        <f t="shared" si="302"/>
        <v>0</v>
      </c>
    </row>
    <row r="986" spans="1:93" s="12" customFormat="1" x14ac:dyDescent="0.25">
      <c r="A986" s="4">
        <v>2021</v>
      </c>
      <c r="B986" s="318">
        <v>44279</v>
      </c>
      <c r="C986" s="4" t="s">
        <v>1494</v>
      </c>
      <c r="D986" s="4" t="s">
        <v>1495</v>
      </c>
      <c r="E986" s="4"/>
      <c r="F986" s="4" t="s">
        <v>1496</v>
      </c>
      <c r="G986" s="5" t="s">
        <v>1497</v>
      </c>
      <c r="H986" s="5" t="s">
        <v>1498</v>
      </c>
      <c r="I986" s="5" t="s">
        <v>232</v>
      </c>
      <c r="J986" s="5" t="s">
        <v>9</v>
      </c>
      <c r="K986" s="5">
        <v>18.2</v>
      </c>
      <c r="L986" s="5" t="s">
        <v>192</v>
      </c>
      <c r="M986" s="5">
        <v>1100</v>
      </c>
      <c r="N986" s="5" t="s">
        <v>170</v>
      </c>
      <c r="O986" s="6" t="s">
        <v>1499</v>
      </c>
      <c r="P986" s="6" t="s">
        <v>1500</v>
      </c>
      <c r="Q986" s="6"/>
      <c r="R986" s="6"/>
      <c r="S986" s="6">
        <v>15</v>
      </c>
      <c r="T986" s="6">
        <v>4.9000000000000004</v>
      </c>
      <c r="U986" s="6">
        <v>6000</v>
      </c>
      <c r="V986" s="6">
        <v>19.7</v>
      </c>
      <c r="W986" s="6">
        <v>5448</v>
      </c>
      <c r="X986" s="6">
        <v>552</v>
      </c>
      <c r="Y986" s="6">
        <v>0</v>
      </c>
      <c r="Z986" s="6">
        <v>0</v>
      </c>
      <c r="AA986" s="6">
        <v>0</v>
      </c>
      <c r="AB986" s="6">
        <v>0</v>
      </c>
      <c r="AC986" s="7">
        <v>75</v>
      </c>
      <c r="AD986" s="7" t="s">
        <v>52</v>
      </c>
      <c r="AE986" s="7">
        <v>22.83</v>
      </c>
      <c r="AF986" s="7">
        <v>380</v>
      </c>
      <c r="AG986" s="7">
        <v>33.69</v>
      </c>
      <c r="AH986" s="7">
        <v>33.6</v>
      </c>
      <c r="AI986" s="7">
        <v>37.299999999999997</v>
      </c>
      <c r="AJ986" s="9">
        <v>362.24245352450498</v>
      </c>
      <c r="AK986" s="9">
        <v>363.63419042329701</v>
      </c>
      <c r="AL986" s="9">
        <v>393.54018298365997</v>
      </c>
      <c r="AM986" s="9">
        <v>60.3550933975934</v>
      </c>
      <c r="AN986" s="9">
        <v>0.80473457863457798</v>
      </c>
      <c r="AO986" s="9">
        <v>0.59860039625028505</v>
      </c>
      <c r="AP986" s="9">
        <v>657.91046348094198</v>
      </c>
      <c r="AQ986" s="9">
        <v>8.7721395130792299</v>
      </c>
      <c r="AR986" s="9">
        <v>8.6583597273818196</v>
      </c>
      <c r="AS986" s="8" t="s">
        <v>169</v>
      </c>
      <c r="AT986" s="8" t="s">
        <v>169</v>
      </c>
      <c r="AU986" s="10" t="s">
        <v>169</v>
      </c>
      <c r="AV986" s="10">
        <v>0</v>
      </c>
      <c r="AW986" s="8"/>
      <c r="AX986" s="10" t="s">
        <v>169</v>
      </c>
      <c r="AY986" s="8"/>
      <c r="AZ986" s="8"/>
      <c r="BA986" s="8"/>
      <c r="BB986" s="8"/>
      <c r="BC986" s="8"/>
      <c r="BD986" s="8"/>
      <c r="BE986" s="8"/>
      <c r="BF986" s="12">
        <v>0.49</v>
      </c>
      <c r="BG986" s="13">
        <v>335.85375116130501</v>
      </c>
      <c r="BH986" s="96" t="str">
        <f>+VLOOKUP(G986,Liste!$A$7:$G$50,3,FALSE)</f>
        <v>Pin Noir d'Autriche</v>
      </c>
      <c r="BI986" s="96" t="str">
        <f>+VLOOKUP(H986,Liste!$B$7:$G$50,5,FALSE)</f>
        <v>GSM Alpes du Sud</v>
      </c>
      <c r="BJ986" s="135">
        <f t="shared" si="301"/>
        <v>75</v>
      </c>
      <c r="BK986" s="135" t="str">
        <f t="shared" si="303"/>
        <v>Pin Noir d'Autriche_F1_PO1_d4_GSM Alpes du Sud_75_</v>
      </c>
      <c r="BL986" s="322"/>
      <c r="BM986" s="13">
        <v>83.889327943458099</v>
      </c>
      <c r="BN986" s="13">
        <v>419.74307910476301</v>
      </c>
      <c r="BO986" s="13" t="s">
        <v>169</v>
      </c>
      <c r="BP986" s="13">
        <v>278.39913179156599</v>
      </c>
      <c r="BQ986" s="13">
        <v>8.9195858091524993</v>
      </c>
      <c r="BT986" s="298" t="str">
        <f>+VLOOKUP(G986,Liste!$A$7:$H$50,8,FALSE)</f>
        <v>Résineux</v>
      </c>
      <c r="BU986" s="298">
        <f t="shared" si="304"/>
        <v>0</v>
      </c>
      <c r="BV986" s="300">
        <f t="shared" si="305"/>
        <v>1</v>
      </c>
      <c r="BW986" s="321">
        <v>0</v>
      </c>
      <c r="BX986" s="298">
        <f t="shared" si="306"/>
        <v>0.43</v>
      </c>
      <c r="BY986">
        <f t="shared" si="307"/>
        <v>0</v>
      </c>
      <c r="BZ986" s="304">
        <f t="shared" si="308"/>
        <v>0</v>
      </c>
      <c r="CB986" s="299">
        <v>0.6</v>
      </c>
      <c r="CC986" s="299">
        <v>0.4</v>
      </c>
      <c r="CD986">
        <f t="shared" si="309"/>
        <v>0</v>
      </c>
      <c r="CE986">
        <f t="shared" si="310"/>
        <v>0</v>
      </c>
      <c r="CF986">
        <f t="shared" si="311"/>
        <v>0</v>
      </c>
      <c r="CG986">
        <f t="shared" si="312"/>
        <v>0</v>
      </c>
      <c r="CH986">
        <f t="shared" si="313"/>
        <v>0</v>
      </c>
      <c r="CI986">
        <f t="shared" si="314"/>
        <v>0</v>
      </c>
      <c r="CJ986">
        <f t="shared" si="315"/>
        <v>0</v>
      </c>
      <c r="CK986">
        <f t="shared" si="316"/>
        <v>0</v>
      </c>
      <c r="CL986">
        <f t="shared" si="317"/>
        <v>0</v>
      </c>
      <c r="CM986">
        <f t="shared" si="319"/>
        <v>0</v>
      </c>
      <c r="CN986">
        <f t="shared" si="318"/>
        <v>0</v>
      </c>
      <c r="CO986">
        <f t="shared" si="302"/>
        <v>0</v>
      </c>
    </row>
    <row r="987" spans="1:93" s="12" customFormat="1" x14ac:dyDescent="0.25">
      <c r="A987" s="4">
        <v>2021</v>
      </c>
      <c r="B987" s="318">
        <v>44279</v>
      </c>
      <c r="C987" s="4" t="s">
        <v>1494</v>
      </c>
      <c r="D987" s="4" t="s">
        <v>1495</v>
      </c>
      <c r="E987" s="4"/>
      <c r="F987" s="4" t="s">
        <v>1496</v>
      </c>
      <c r="G987" s="5" t="s">
        <v>1497</v>
      </c>
      <c r="H987" s="5" t="s">
        <v>1498</v>
      </c>
      <c r="I987" s="5" t="s">
        <v>232</v>
      </c>
      <c r="J987" s="5" t="s">
        <v>9</v>
      </c>
      <c r="K987" s="5">
        <v>18.2</v>
      </c>
      <c r="L987" s="5" t="s">
        <v>192</v>
      </c>
      <c r="M987" s="5">
        <v>1100</v>
      </c>
      <c r="N987" s="5" t="s">
        <v>170</v>
      </c>
      <c r="O987" s="6" t="s">
        <v>1499</v>
      </c>
      <c r="P987" s="6" t="s">
        <v>1500</v>
      </c>
      <c r="Q987" s="6"/>
      <c r="R987" s="6"/>
      <c r="S987" s="6">
        <v>15</v>
      </c>
      <c r="T987" s="6">
        <v>4.9000000000000004</v>
      </c>
      <c r="U987" s="6">
        <v>6000</v>
      </c>
      <c r="V987" s="6">
        <v>19.7</v>
      </c>
      <c r="W987" s="6">
        <v>5448</v>
      </c>
      <c r="X987" s="6">
        <v>552</v>
      </c>
      <c r="Y987" s="6">
        <v>0</v>
      </c>
      <c r="Z987" s="6">
        <v>0</v>
      </c>
      <c r="AA987" s="6">
        <v>0</v>
      </c>
      <c r="AB987" s="6">
        <v>0</v>
      </c>
      <c r="AC987" s="7">
        <v>80</v>
      </c>
      <c r="AD987" s="7" t="s">
        <v>52</v>
      </c>
      <c r="AE987" s="7">
        <v>23.43</v>
      </c>
      <c r="AF987" s="7">
        <v>379</v>
      </c>
      <c r="AG987" s="7">
        <v>36.590000000000003</v>
      </c>
      <c r="AH987" s="7">
        <v>35.06</v>
      </c>
      <c r="AI987" s="7">
        <v>39</v>
      </c>
      <c r="AJ987" s="9">
        <v>401.28532392352002</v>
      </c>
      <c r="AK987" s="9">
        <v>402.953167452353</v>
      </c>
      <c r="AL987" s="9">
        <v>435.79666821077802</v>
      </c>
      <c r="AM987" s="9">
        <v>63.348095378844803</v>
      </c>
      <c r="AN987" s="9">
        <v>0.79185119223556</v>
      </c>
      <c r="AO987" s="9">
        <v>0.57864195236980698</v>
      </c>
      <c r="AP987" s="9">
        <v>701.202262117852</v>
      </c>
      <c r="AQ987" s="9">
        <v>8.7650282764731404</v>
      </c>
      <c r="AR987" s="9">
        <v>8.1996437848806192</v>
      </c>
      <c r="AS987" s="8" t="s">
        <v>169</v>
      </c>
      <c r="AT987" s="8" t="s">
        <v>169</v>
      </c>
      <c r="AU987" s="10" t="s">
        <v>169</v>
      </c>
      <c r="AV987" s="10">
        <v>0</v>
      </c>
      <c r="AW987" s="8"/>
      <c r="AX987" s="10" t="s">
        <v>169</v>
      </c>
      <c r="AY987" s="8"/>
      <c r="AZ987" s="8"/>
      <c r="BA987" s="8"/>
      <c r="BB987" s="8"/>
      <c r="BC987" s="8"/>
      <c r="BD987" s="8"/>
      <c r="BE987" s="8"/>
      <c r="BF987" s="12">
        <v>0.49</v>
      </c>
      <c r="BG987" s="13">
        <v>371.91613992888102</v>
      </c>
      <c r="BH987" s="96" t="str">
        <f>+VLOOKUP(G987,Liste!$A$7:$G$50,3,FALSE)</f>
        <v>Pin Noir d'Autriche</v>
      </c>
      <c r="BI987" s="96" t="str">
        <f>+VLOOKUP(H987,Liste!$B$7:$G$50,5,FALSE)</f>
        <v>GSM Alpes du Sud</v>
      </c>
      <c r="BJ987" s="135">
        <f t="shared" si="301"/>
        <v>80</v>
      </c>
      <c r="BK987" s="135" t="str">
        <f t="shared" si="303"/>
        <v>Pin Noir d'Autriche_F1_PO1_d4_GSM Alpes du Sud_80_</v>
      </c>
      <c r="BL987" s="322"/>
      <c r="BM987" s="13">
        <v>91.800621250442603</v>
      </c>
      <c r="BN987" s="13">
        <v>463.71676117932401</v>
      </c>
      <c r="BO987" s="13" t="s">
        <v>169</v>
      </c>
      <c r="BP987" s="13">
        <v>278.39913179156599</v>
      </c>
      <c r="BQ987" s="13">
        <v>8.4369082855429696</v>
      </c>
      <c r="BT987" s="298" t="str">
        <f>+VLOOKUP(G987,Liste!$A$7:$H$50,8,FALSE)</f>
        <v>Résineux</v>
      </c>
      <c r="BU987" s="298">
        <f t="shared" si="304"/>
        <v>0</v>
      </c>
      <c r="BV987" s="300">
        <f t="shared" si="305"/>
        <v>1</v>
      </c>
      <c r="BW987" s="321">
        <v>0</v>
      </c>
      <c r="BX987" s="298">
        <f t="shared" si="306"/>
        <v>0.43</v>
      </c>
      <c r="BY987">
        <f t="shared" si="307"/>
        <v>0</v>
      </c>
      <c r="BZ987" s="304">
        <f t="shared" si="308"/>
        <v>0</v>
      </c>
      <c r="CB987" s="299">
        <v>0.6</v>
      </c>
      <c r="CC987" s="299">
        <v>0.4</v>
      </c>
      <c r="CD987">
        <f t="shared" si="309"/>
        <v>0</v>
      </c>
      <c r="CE987">
        <f t="shared" si="310"/>
        <v>0</v>
      </c>
      <c r="CF987">
        <f t="shared" si="311"/>
        <v>0</v>
      </c>
      <c r="CG987">
        <f t="shared" si="312"/>
        <v>0</v>
      </c>
      <c r="CH987">
        <f t="shared" si="313"/>
        <v>0</v>
      </c>
      <c r="CI987">
        <f t="shared" si="314"/>
        <v>0</v>
      </c>
      <c r="CJ987">
        <f t="shared" si="315"/>
        <v>0</v>
      </c>
      <c r="CK987">
        <f t="shared" si="316"/>
        <v>0</v>
      </c>
      <c r="CL987">
        <f t="shared" si="317"/>
        <v>0</v>
      </c>
      <c r="CM987">
        <f t="shared" si="319"/>
        <v>0</v>
      </c>
      <c r="CN987">
        <f t="shared" si="318"/>
        <v>0</v>
      </c>
      <c r="CO987">
        <f t="shared" si="302"/>
        <v>0</v>
      </c>
    </row>
    <row r="988" spans="1:93" s="12" customFormat="1" x14ac:dyDescent="0.25">
      <c r="A988" s="4">
        <v>2021</v>
      </c>
      <c r="B988" s="318">
        <v>44279</v>
      </c>
      <c r="C988" s="4" t="s">
        <v>1494</v>
      </c>
      <c r="D988" s="4" t="s">
        <v>1495</v>
      </c>
      <c r="E988" s="4"/>
      <c r="F988" s="4" t="s">
        <v>1496</v>
      </c>
      <c r="G988" s="5" t="s">
        <v>1497</v>
      </c>
      <c r="H988" s="5" t="s">
        <v>1498</v>
      </c>
      <c r="I988" s="5" t="s">
        <v>232</v>
      </c>
      <c r="J988" s="5" t="s">
        <v>9</v>
      </c>
      <c r="K988" s="5">
        <v>18.2</v>
      </c>
      <c r="L988" s="5" t="s">
        <v>192</v>
      </c>
      <c r="M988" s="5">
        <v>1100</v>
      </c>
      <c r="N988" s="5" t="s">
        <v>170</v>
      </c>
      <c r="O988" s="6" t="s">
        <v>1499</v>
      </c>
      <c r="P988" s="6" t="s">
        <v>1500</v>
      </c>
      <c r="Q988" s="6"/>
      <c r="R988" s="6"/>
      <c r="S988" s="6">
        <v>15</v>
      </c>
      <c r="T988" s="6">
        <v>4.9000000000000004</v>
      </c>
      <c r="U988" s="6">
        <v>6000</v>
      </c>
      <c r="V988" s="6">
        <v>19.7</v>
      </c>
      <c r="W988" s="6">
        <v>5448</v>
      </c>
      <c r="X988" s="6">
        <v>552</v>
      </c>
      <c r="Y988" s="6">
        <v>0</v>
      </c>
      <c r="Z988" s="6">
        <v>0</v>
      </c>
      <c r="AA988" s="6">
        <v>0</v>
      </c>
      <c r="AB988" s="6">
        <v>0</v>
      </c>
      <c r="AC988" s="7">
        <v>80</v>
      </c>
      <c r="AD988" s="7" t="s">
        <v>53</v>
      </c>
      <c r="AE988" s="7">
        <v>23.43</v>
      </c>
      <c r="AF988" s="7">
        <v>301</v>
      </c>
      <c r="AG988" s="7">
        <v>30.34</v>
      </c>
      <c r="AH988" s="7">
        <v>35.83</v>
      </c>
      <c r="AI988" s="7">
        <v>39</v>
      </c>
      <c r="AJ988" s="9">
        <v>333.62334021866297</v>
      </c>
      <c r="AK988" s="9">
        <v>335.00652298007498</v>
      </c>
      <c r="AL988" s="9">
        <v>361.71049478168902</v>
      </c>
      <c r="AM988" s="9">
        <v>63.348095378844803</v>
      </c>
      <c r="AN988" s="9">
        <v>0.79185119223556</v>
      </c>
      <c r="AO988" s="9">
        <v>0.57864195236980698</v>
      </c>
      <c r="AP988" s="9">
        <v>701.202262117852</v>
      </c>
      <c r="AQ988" s="9">
        <v>8.7650282764731404</v>
      </c>
      <c r="AR988" s="9">
        <v>8.1996437848806192</v>
      </c>
      <c r="AS988" s="8">
        <v>78</v>
      </c>
      <c r="AT988" s="8">
        <v>6.2500000000000036</v>
      </c>
      <c r="AU988" s="10">
        <v>31.940945417736415</v>
      </c>
      <c r="AV988" s="10">
        <v>67.66198370485705</v>
      </c>
      <c r="AW988" s="8">
        <v>0.83</v>
      </c>
      <c r="AX988" s="10">
        <v>0.86746132954944932</v>
      </c>
      <c r="AY988" s="8"/>
      <c r="AZ988" s="8"/>
      <c r="BA988" s="8"/>
      <c r="BB988" s="8"/>
      <c r="BC988" s="8"/>
      <c r="BD988" s="8"/>
      <c r="BE988" s="8"/>
      <c r="BF988" s="12">
        <v>0.49</v>
      </c>
      <c r="BG988" s="13">
        <v>308.68976475493997</v>
      </c>
      <c r="BH988" s="96" t="str">
        <f>+VLOOKUP(G988,Liste!$A$7:$G$50,3,FALSE)</f>
        <v>Pin Noir d'Autriche</v>
      </c>
      <c r="BI988" s="96" t="str">
        <f>+VLOOKUP(H988,Liste!$B$7:$G$50,5,FALSE)</f>
        <v>GSM Alpes du Sud</v>
      </c>
      <c r="BJ988" s="135">
        <f t="shared" si="301"/>
        <v>80</v>
      </c>
      <c r="BK988" s="135" t="str">
        <f t="shared" si="303"/>
        <v>Pin Noir d'Autriche_F1_PO1_d4_GSM Alpes du Sud_80_</v>
      </c>
      <c r="BL988" s="322"/>
      <c r="BM988" s="13">
        <v>77.864991007340393</v>
      </c>
      <c r="BN988" s="13">
        <v>386.55475576228002</v>
      </c>
      <c r="BO988" s="13">
        <v>77.162005417043986</v>
      </c>
      <c r="BP988" s="13">
        <v>278.39913179156599</v>
      </c>
      <c r="BQ988" s="13">
        <v>8.4369082855429696</v>
      </c>
      <c r="BT988" s="298" t="str">
        <f>+VLOOKUP(G988,Liste!$A$7:$H$50,8,FALSE)</f>
        <v>Résineux</v>
      </c>
      <c r="BU988" s="298">
        <f t="shared" si="304"/>
        <v>0</v>
      </c>
      <c r="BV988" s="300">
        <f t="shared" si="305"/>
        <v>1</v>
      </c>
      <c r="BW988" s="321">
        <v>0</v>
      </c>
      <c r="BX988" s="298">
        <f t="shared" si="306"/>
        <v>0.43</v>
      </c>
      <c r="BY988">
        <f t="shared" si="307"/>
        <v>0</v>
      </c>
      <c r="BZ988" s="304">
        <f t="shared" si="308"/>
        <v>0</v>
      </c>
      <c r="CB988" s="299">
        <v>0.6</v>
      </c>
      <c r="CC988" s="299">
        <v>0.4</v>
      </c>
      <c r="CD988">
        <f t="shared" si="309"/>
        <v>0</v>
      </c>
      <c r="CE988">
        <f t="shared" si="310"/>
        <v>0</v>
      </c>
      <c r="CF988">
        <f t="shared" si="311"/>
        <v>0</v>
      </c>
      <c r="CG988">
        <f t="shared" si="312"/>
        <v>0</v>
      </c>
      <c r="CH988">
        <f t="shared" si="313"/>
        <v>0</v>
      </c>
      <c r="CI988">
        <f t="shared" si="314"/>
        <v>0</v>
      </c>
      <c r="CJ988">
        <f t="shared" si="315"/>
        <v>0</v>
      </c>
      <c r="CK988">
        <f t="shared" si="316"/>
        <v>0</v>
      </c>
      <c r="CL988">
        <f t="shared" si="317"/>
        <v>0</v>
      </c>
      <c r="CM988">
        <f t="shared" si="319"/>
        <v>0</v>
      </c>
      <c r="CN988">
        <f t="shared" si="318"/>
        <v>0</v>
      </c>
      <c r="CO988">
        <f t="shared" si="302"/>
        <v>0</v>
      </c>
    </row>
    <row r="989" spans="1:93" s="12" customFormat="1" x14ac:dyDescent="0.25">
      <c r="A989" s="4">
        <v>2021</v>
      </c>
      <c r="B989" s="318">
        <v>44279</v>
      </c>
      <c r="C989" s="4" t="s">
        <v>1494</v>
      </c>
      <c r="D989" s="4" t="s">
        <v>1495</v>
      </c>
      <c r="E989" s="4"/>
      <c r="F989" s="4" t="s">
        <v>1496</v>
      </c>
      <c r="G989" s="5" t="s">
        <v>1497</v>
      </c>
      <c r="H989" s="5" t="s">
        <v>1498</v>
      </c>
      <c r="I989" s="5" t="s">
        <v>232</v>
      </c>
      <c r="J989" s="5" t="s">
        <v>9</v>
      </c>
      <c r="K989" s="5">
        <v>18.2</v>
      </c>
      <c r="L989" s="5" t="s">
        <v>192</v>
      </c>
      <c r="M989" s="5">
        <v>1100</v>
      </c>
      <c r="N989" s="5" t="s">
        <v>170</v>
      </c>
      <c r="O989" s="6" t="s">
        <v>1499</v>
      </c>
      <c r="P989" s="6" t="s">
        <v>1500</v>
      </c>
      <c r="Q989" s="6"/>
      <c r="R989" s="6"/>
      <c r="S989" s="6">
        <v>15</v>
      </c>
      <c r="T989" s="6">
        <v>4.9000000000000004</v>
      </c>
      <c r="U989" s="6">
        <v>6000</v>
      </c>
      <c r="V989" s="6">
        <v>19.7</v>
      </c>
      <c r="W989" s="6">
        <v>5448</v>
      </c>
      <c r="X989" s="6">
        <v>552</v>
      </c>
      <c r="Y989" s="6">
        <v>0</v>
      </c>
      <c r="Z989" s="6">
        <v>0</v>
      </c>
      <c r="AA989" s="6">
        <v>0</v>
      </c>
      <c r="AB989" s="6">
        <v>0</v>
      </c>
      <c r="AC989" s="7">
        <v>85</v>
      </c>
      <c r="AD989" s="7" t="s">
        <v>52</v>
      </c>
      <c r="AE989" s="7">
        <v>24.04</v>
      </c>
      <c r="AF989" s="7">
        <v>301</v>
      </c>
      <c r="AG989" s="7">
        <v>33.24</v>
      </c>
      <c r="AH989" s="7">
        <v>37.49</v>
      </c>
      <c r="AI989" s="7">
        <v>40.89</v>
      </c>
      <c r="AJ989" s="9">
        <v>371.54683051050699</v>
      </c>
      <c r="AK989" s="9">
        <v>373.20633408521098</v>
      </c>
      <c r="AL989" s="9">
        <v>402.708713706092</v>
      </c>
      <c r="AM989" s="9">
        <v>66.241305140693797</v>
      </c>
      <c r="AN989" s="9">
        <v>0.77930947224345704</v>
      </c>
      <c r="AO989" s="9">
        <v>0.56544871464053603</v>
      </c>
      <c r="AP989" s="9">
        <v>742.20048104225498</v>
      </c>
      <c r="AQ989" s="9">
        <v>8.7317703652029994</v>
      </c>
      <c r="AR989" s="9">
        <v>8.0799665903428206</v>
      </c>
      <c r="AS989" s="8" t="s">
        <v>169</v>
      </c>
      <c r="AT989" s="8" t="s">
        <v>169</v>
      </c>
      <c r="AU989" s="10" t="s">
        <v>169</v>
      </c>
      <c r="AV989" s="10">
        <v>0</v>
      </c>
      <c r="AW989" s="8"/>
      <c r="AX989" s="10" t="s">
        <v>169</v>
      </c>
      <c r="AY989" s="8"/>
      <c r="AZ989" s="8"/>
      <c r="BA989" s="8"/>
      <c r="BB989" s="8"/>
      <c r="BC989" s="8"/>
      <c r="BD989" s="8"/>
      <c r="BE989" s="8"/>
      <c r="BF989" s="12">
        <v>0.49</v>
      </c>
      <c r="BG989" s="13">
        <v>343.67832808867399</v>
      </c>
      <c r="BH989" s="96" t="str">
        <f>+VLOOKUP(G989,Liste!$A$7:$G$50,3,FALSE)</f>
        <v>Pin Noir d'Autriche</v>
      </c>
      <c r="BI989" s="96" t="str">
        <f>+VLOOKUP(H989,Liste!$B$7:$G$50,5,FALSE)</f>
        <v>GSM Alpes du Sud</v>
      </c>
      <c r="BJ989" s="135">
        <f t="shared" si="301"/>
        <v>85</v>
      </c>
      <c r="BK989" s="135" t="str">
        <f t="shared" si="303"/>
        <v>Pin Noir d'Autriche_F1_PO1_d4_GSM Alpes du Sud_85_</v>
      </c>
      <c r="BL989" s="322"/>
      <c r="BM989" s="13">
        <v>85.6139298675822</v>
      </c>
      <c r="BN989" s="13">
        <v>429.29225795625598</v>
      </c>
      <c r="BO989" s="13" t="s">
        <v>169</v>
      </c>
      <c r="BP989" s="13">
        <v>278.39913179156599</v>
      </c>
      <c r="BQ989" s="13">
        <v>8.3047375589161199</v>
      </c>
      <c r="BT989" s="298" t="str">
        <f>+VLOOKUP(G989,Liste!$A$7:$H$50,8,FALSE)</f>
        <v>Résineux</v>
      </c>
      <c r="BU989" s="298">
        <f t="shared" si="304"/>
        <v>0</v>
      </c>
      <c r="BV989" s="300">
        <f t="shared" si="305"/>
        <v>1</v>
      </c>
      <c r="BW989" s="321">
        <v>0</v>
      </c>
      <c r="BX989" s="298">
        <f t="shared" si="306"/>
        <v>0.43</v>
      </c>
      <c r="BY989">
        <f t="shared" si="307"/>
        <v>0</v>
      </c>
      <c r="BZ989" s="304">
        <f t="shared" si="308"/>
        <v>0</v>
      </c>
      <c r="CB989" s="299">
        <v>0.6</v>
      </c>
      <c r="CC989" s="299">
        <v>0.4</v>
      </c>
      <c r="CD989">
        <f t="shared" si="309"/>
        <v>0</v>
      </c>
      <c r="CE989">
        <f t="shared" si="310"/>
        <v>0</v>
      </c>
      <c r="CF989">
        <f t="shared" si="311"/>
        <v>0</v>
      </c>
      <c r="CG989">
        <f t="shared" si="312"/>
        <v>0</v>
      </c>
      <c r="CH989">
        <f t="shared" si="313"/>
        <v>0</v>
      </c>
      <c r="CI989">
        <f t="shared" si="314"/>
        <v>0</v>
      </c>
      <c r="CJ989">
        <f t="shared" si="315"/>
        <v>0</v>
      </c>
      <c r="CK989">
        <f t="shared" si="316"/>
        <v>0</v>
      </c>
      <c r="CL989">
        <f t="shared" si="317"/>
        <v>0</v>
      </c>
      <c r="CM989">
        <f t="shared" si="319"/>
        <v>0</v>
      </c>
      <c r="CN989">
        <f t="shared" si="318"/>
        <v>0</v>
      </c>
      <c r="CO989">
        <f t="shared" si="302"/>
        <v>0</v>
      </c>
    </row>
    <row r="990" spans="1:93" s="12" customFormat="1" x14ac:dyDescent="0.25">
      <c r="A990" s="4">
        <v>2021</v>
      </c>
      <c r="B990" s="318">
        <v>44279</v>
      </c>
      <c r="C990" s="4" t="s">
        <v>1494</v>
      </c>
      <c r="D990" s="4" t="s">
        <v>1495</v>
      </c>
      <c r="E990" s="4"/>
      <c r="F990" s="4" t="s">
        <v>1496</v>
      </c>
      <c r="G990" s="5" t="s">
        <v>1497</v>
      </c>
      <c r="H990" s="5" t="s">
        <v>1498</v>
      </c>
      <c r="I990" s="5" t="s">
        <v>232</v>
      </c>
      <c r="J990" s="5" t="s">
        <v>9</v>
      </c>
      <c r="K990" s="5">
        <v>18.2</v>
      </c>
      <c r="L990" s="5" t="s">
        <v>192</v>
      </c>
      <c r="M990" s="5">
        <v>1100</v>
      </c>
      <c r="N990" s="5" t="s">
        <v>170</v>
      </c>
      <c r="O990" s="6" t="s">
        <v>1499</v>
      </c>
      <c r="P990" s="6" t="s">
        <v>1500</v>
      </c>
      <c r="Q990" s="6"/>
      <c r="R990" s="6"/>
      <c r="S990" s="6">
        <v>15</v>
      </c>
      <c r="T990" s="6">
        <v>4.9000000000000004</v>
      </c>
      <c r="U990" s="6">
        <v>6000</v>
      </c>
      <c r="V990" s="6">
        <v>19.7</v>
      </c>
      <c r="W990" s="6">
        <v>5448</v>
      </c>
      <c r="X990" s="6">
        <v>552</v>
      </c>
      <c r="Y990" s="6">
        <v>0</v>
      </c>
      <c r="Z990" s="6">
        <v>0</v>
      </c>
      <c r="AA990" s="6">
        <v>0</v>
      </c>
      <c r="AB990" s="6">
        <v>0</v>
      </c>
      <c r="AC990" s="7">
        <v>90</v>
      </c>
      <c r="AD990" s="7" t="s">
        <v>52</v>
      </c>
      <c r="AE990" s="7">
        <v>24.53</v>
      </c>
      <c r="AF990" s="7">
        <v>301</v>
      </c>
      <c r="AG990" s="7">
        <v>36.06</v>
      </c>
      <c r="AH990" s="7">
        <v>39.06</v>
      </c>
      <c r="AI990" s="7">
        <v>42.65</v>
      </c>
      <c r="AJ990" s="9">
        <v>408.14773766293899</v>
      </c>
      <c r="AK990" s="9">
        <v>410.16110452665299</v>
      </c>
      <c r="AL990" s="9">
        <v>443.10854665780602</v>
      </c>
      <c r="AM990" s="9">
        <v>69.068548713896504</v>
      </c>
      <c r="AN990" s="9">
        <v>0.767428319043294</v>
      </c>
      <c r="AO990" s="9">
        <v>0.57684688402666195</v>
      </c>
      <c r="AP990" s="9">
        <v>782.60031399396905</v>
      </c>
      <c r="AQ990" s="9">
        <v>8.6955590443774309</v>
      </c>
      <c r="AR990" s="9">
        <v>8.2895302944253704</v>
      </c>
      <c r="AS990" s="8" t="s">
        <v>169</v>
      </c>
      <c r="AT990" s="8" t="s">
        <v>169</v>
      </c>
      <c r="AU990" s="10" t="s">
        <v>169</v>
      </c>
      <c r="AV990" s="10">
        <v>0</v>
      </c>
      <c r="AW990" s="8"/>
      <c r="AX990" s="10" t="s">
        <v>169</v>
      </c>
      <c r="AY990" s="8"/>
      <c r="AZ990" s="8"/>
      <c r="BA990" s="8"/>
      <c r="BB990" s="8"/>
      <c r="BC990" s="8"/>
      <c r="BD990" s="8"/>
      <c r="BE990" s="8"/>
      <c r="BF990" s="12">
        <v>0.49</v>
      </c>
      <c r="BG990" s="13">
        <v>378.15621886021597</v>
      </c>
      <c r="BH990" s="96" t="str">
        <f>+VLOOKUP(G990,Liste!$A$7:$G$50,3,FALSE)</f>
        <v>Pin Noir d'Autriche</v>
      </c>
      <c r="BI990" s="96" t="str">
        <f>+VLOOKUP(H990,Liste!$B$7:$G$50,5,FALSE)</f>
        <v>GSM Alpes du Sud</v>
      </c>
      <c r="BJ990" s="135">
        <f t="shared" si="301"/>
        <v>90</v>
      </c>
      <c r="BK990" s="135" t="str">
        <f t="shared" si="303"/>
        <v>Pin Noir d'Autriche_F1_PO1_d4_GSM Alpes du Sud_90_</v>
      </c>
      <c r="BL990" s="322"/>
      <c r="BM990" s="13">
        <v>93.160263716026705</v>
      </c>
      <c r="BN990" s="13">
        <v>471.316482576243</v>
      </c>
      <c r="BO990" s="13" t="s">
        <v>169</v>
      </c>
      <c r="BP990" s="13">
        <v>278.39913179156599</v>
      </c>
      <c r="BQ990" s="13">
        <v>8.5113577770749096</v>
      </c>
      <c r="BT990" s="298" t="str">
        <f>+VLOOKUP(G990,Liste!$A$7:$H$50,8,FALSE)</f>
        <v>Résineux</v>
      </c>
      <c r="BU990" s="298">
        <f t="shared" si="304"/>
        <v>0</v>
      </c>
      <c r="BV990" s="300">
        <f t="shared" si="305"/>
        <v>1</v>
      </c>
      <c r="BW990" s="321">
        <v>0</v>
      </c>
      <c r="BX990" s="298">
        <f t="shared" si="306"/>
        <v>0.43</v>
      </c>
      <c r="BY990">
        <f t="shared" si="307"/>
        <v>0</v>
      </c>
      <c r="BZ990" s="304">
        <f t="shared" si="308"/>
        <v>0</v>
      </c>
      <c r="CB990" s="299">
        <v>0.6</v>
      </c>
      <c r="CC990" s="299">
        <v>0.4</v>
      </c>
      <c r="CD990">
        <f t="shared" si="309"/>
        <v>0</v>
      </c>
      <c r="CE990">
        <f t="shared" si="310"/>
        <v>0</v>
      </c>
      <c r="CF990">
        <f t="shared" si="311"/>
        <v>0</v>
      </c>
      <c r="CG990">
        <f t="shared" si="312"/>
        <v>0</v>
      </c>
      <c r="CH990">
        <f t="shared" si="313"/>
        <v>0</v>
      </c>
      <c r="CI990">
        <f t="shared" si="314"/>
        <v>0</v>
      </c>
      <c r="CJ990">
        <f t="shared" si="315"/>
        <v>0</v>
      </c>
      <c r="CK990">
        <f t="shared" si="316"/>
        <v>0</v>
      </c>
      <c r="CL990">
        <f t="shared" si="317"/>
        <v>0</v>
      </c>
      <c r="CM990">
        <f t="shared" si="319"/>
        <v>0</v>
      </c>
      <c r="CN990">
        <f t="shared" si="318"/>
        <v>0</v>
      </c>
      <c r="CO990">
        <f t="shared" si="302"/>
        <v>0</v>
      </c>
    </row>
    <row r="991" spans="1:93" s="12" customFormat="1" x14ac:dyDescent="0.25">
      <c r="A991" s="4">
        <v>2021</v>
      </c>
      <c r="B991" s="318">
        <v>44279</v>
      </c>
      <c r="C991" s="4" t="s">
        <v>1494</v>
      </c>
      <c r="D991" s="4" t="s">
        <v>1495</v>
      </c>
      <c r="E991" s="4"/>
      <c r="F991" s="4" t="s">
        <v>1496</v>
      </c>
      <c r="G991" s="5" t="s">
        <v>1497</v>
      </c>
      <c r="H991" s="5" t="s">
        <v>1498</v>
      </c>
      <c r="I991" s="5" t="s">
        <v>232</v>
      </c>
      <c r="J991" s="5" t="s">
        <v>9</v>
      </c>
      <c r="K991" s="5">
        <v>18.2</v>
      </c>
      <c r="L991" s="5" t="s">
        <v>192</v>
      </c>
      <c r="M991" s="5">
        <v>1100</v>
      </c>
      <c r="N991" s="5" t="s">
        <v>170</v>
      </c>
      <c r="O991" s="6" t="s">
        <v>1499</v>
      </c>
      <c r="P991" s="6" t="s">
        <v>1500</v>
      </c>
      <c r="Q991" s="6"/>
      <c r="R991" s="6"/>
      <c r="S991" s="6">
        <v>15</v>
      </c>
      <c r="T991" s="6">
        <v>4.9000000000000004</v>
      </c>
      <c r="U991" s="6">
        <v>6000</v>
      </c>
      <c r="V991" s="6">
        <v>19.7</v>
      </c>
      <c r="W991" s="6">
        <v>5448</v>
      </c>
      <c r="X991" s="6">
        <v>552</v>
      </c>
      <c r="Y991" s="6">
        <v>0</v>
      </c>
      <c r="Z991" s="6">
        <v>0</v>
      </c>
      <c r="AA991" s="6">
        <v>0</v>
      </c>
      <c r="AB991" s="6">
        <v>0</v>
      </c>
      <c r="AC991" s="7">
        <v>95</v>
      </c>
      <c r="AD991" s="7" t="s">
        <v>52</v>
      </c>
      <c r="AE991" s="7">
        <v>24.93</v>
      </c>
      <c r="AF991" s="7">
        <v>301</v>
      </c>
      <c r="AG991" s="7">
        <v>38.950000000000003</v>
      </c>
      <c r="AH991" s="7">
        <v>40.590000000000003</v>
      </c>
      <c r="AI991" s="7">
        <v>44.42</v>
      </c>
      <c r="AJ991" s="9">
        <v>445.41775749089197</v>
      </c>
      <c r="AK991" s="9">
        <v>447.834835432445</v>
      </c>
      <c r="AL991" s="9">
        <v>484.55619812993302</v>
      </c>
      <c r="AM991" s="9">
        <v>71.952783134029801</v>
      </c>
      <c r="AN991" s="9">
        <v>0.75739771720031401</v>
      </c>
      <c r="AO991" s="9">
        <v>0.44284107129053901</v>
      </c>
      <c r="AP991" s="9">
        <v>824.047965466096</v>
      </c>
      <c r="AQ991" s="9">
        <v>8.6741891101694293</v>
      </c>
      <c r="AR991" s="9">
        <v>5.9861550273796196</v>
      </c>
      <c r="AS991" s="8" t="s">
        <v>169</v>
      </c>
      <c r="AT991" s="8" t="s">
        <v>169</v>
      </c>
      <c r="AU991" s="10" t="s">
        <v>169</v>
      </c>
      <c r="AV991" s="10">
        <v>0</v>
      </c>
      <c r="AW991" s="8"/>
      <c r="AX991" s="10" t="s">
        <v>169</v>
      </c>
      <c r="AY991" s="8"/>
      <c r="AZ991" s="8"/>
      <c r="BA991" s="8"/>
      <c r="BB991" s="8"/>
      <c r="BC991" s="8"/>
      <c r="BD991" s="8"/>
      <c r="BE991" s="8"/>
      <c r="BF991" s="12">
        <v>0.49</v>
      </c>
      <c r="BG991" s="13">
        <v>413.52833542072</v>
      </c>
      <c r="BH991" s="96" t="str">
        <f>+VLOOKUP(G991,Liste!$A$7:$G$50,3,FALSE)</f>
        <v>Pin Noir d'Autriche</v>
      </c>
      <c r="BI991" s="96" t="str">
        <f>+VLOOKUP(H991,Liste!$B$7:$G$50,5,FALSE)</f>
        <v>GSM Alpes du Sud</v>
      </c>
      <c r="BJ991" s="135">
        <f t="shared" si="301"/>
        <v>95</v>
      </c>
      <c r="BK991" s="135" t="str">
        <f t="shared" si="303"/>
        <v>Pin Noir d'Autriche_F1_PO1_d4_GSM Alpes du Sud_95_</v>
      </c>
      <c r="BL991" s="322"/>
      <c r="BM991" s="13">
        <v>100.819480427697</v>
      </c>
      <c r="BN991" s="13">
        <v>514.34781584841801</v>
      </c>
      <c r="BO991" s="13" t="s">
        <v>169</v>
      </c>
      <c r="BP991" s="13">
        <v>278.39913179156599</v>
      </c>
      <c r="BQ991" s="13">
        <v>6.1410995138036002</v>
      </c>
      <c r="BT991" s="298" t="str">
        <f>+VLOOKUP(G991,Liste!$A$7:$H$50,8,FALSE)</f>
        <v>Résineux</v>
      </c>
      <c r="BU991" s="298">
        <f t="shared" si="304"/>
        <v>0</v>
      </c>
      <c r="BV991" s="300">
        <f t="shared" si="305"/>
        <v>1</v>
      </c>
      <c r="BW991" s="321">
        <v>0</v>
      </c>
      <c r="BX991" s="298">
        <f t="shared" si="306"/>
        <v>0.43</v>
      </c>
      <c r="BY991">
        <f t="shared" si="307"/>
        <v>0</v>
      </c>
      <c r="BZ991" s="304">
        <f t="shared" si="308"/>
        <v>0</v>
      </c>
      <c r="CB991" s="299">
        <v>0.6</v>
      </c>
      <c r="CC991" s="299">
        <v>0.4</v>
      </c>
      <c r="CD991">
        <f t="shared" si="309"/>
        <v>0</v>
      </c>
      <c r="CE991">
        <f t="shared" si="310"/>
        <v>0</v>
      </c>
      <c r="CF991">
        <f t="shared" si="311"/>
        <v>0</v>
      </c>
      <c r="CG991">
        <f t="shared" si="312"/>
        <v>0</v>
      </c>
      <c r="CH991">
        <f t="shared" si="313"/>
        <v>0</v>
      </c>
      <c r="CI991">
        <f t="shared" si="314"/>
        <v>0</v>
      </c>
      <c r="CJ991">
        <f t="shared" si="315"/>
        <v>0</v>
      </c>
      <c r="CK991">
        <f t="shared" si="316"/>
        <v>0</v>
      </c>
      <c r="CL991">
        <f t="shared" si="317"/>
        <v>0</v>
      </c>
      <c r="CM991">
        <f t="shared" si="319"/>
        <v>0</v>
      </c>
      <c r="CN991">
        <f t="shared" si="318"/>
        <v>0</v>
      </c>
      <c r="CO991">
        <f t="shared" si="302"/>
        <v>0</v>
      </c>
    </row>
    <row r="992" spans="1:93" s="12" customFormat="1" x14ac:dyDescent="0.25">
      <c r="A992" s="4">
        <v>2021</v>
      </c>
      <c r="B992" s="318">
        <v>44279</v>
      </c>
      <c r="C992" s="4" t="s">
        <v>1494</v>
      </c>
      <c r="D992" s="4" t="s">
        <v>1495</v>
      </c>
      <c r="E992" s="4"/>
      <c r="F992" s="4" t="s">
        <v>1496</v>
      </c>
      <c r="G992" s="5" t="s">
        <v>1497</v>
      </c>
      <c r="H992" s="5" t="s">
        <v>1498</v>
      </c>
      <c r="I992" s="5" t="s">
        <v>232</v>
      </c>
      <c r="J992" s="5" t="s">
        <v>9</v>
      </c>
      <c r="K992" s="5">
        <v>18.2</v>
      </c>
      <c r="L992" s="5" t="s">
        <v>192</v>
      </c>
      <c r="M992" s="5">
        <v>1100</v>
      </c>
      <c r="N992" s="5" t="s">
        <v>170</v>
      </c>
      <c r="O992" s="6" t="s">
        <v>1499</v>
      </c>
      <c r="P992" s="6" t="s">
        <v>1500</v>
      </c>
      <c r="Q992" s="6"/>
      <c r="R992" s="6"/>
      <c r="S992" s="6">
        <v>15</v>
      </c>
      <c r="T992" s="6">
        <v>4.9000000000000004</v>
      </c>
      <c r="U992" s="6">
        <v>6000</v>
      </c>
      <c r="V992" s="6">
        <v>19.7</v>
      </c>
      <c r="W992" s="6">
        <v>5448</v>
      </c>
      <c r="X992" s="6">
        <v>552</v>
      </c>
      <c r="Y992" s="6">
        <v>0</v>
      </c>
      <c r="Z992" s="6">
        <v>0</v>
      </c>
      <c r="AA992" s="6">
        <v>0</v>
      </c>
      <c r="AB992" s="6">
        <v>0</v>
      </c>
      <c r="AC992" s="7">
        <v>95</v>
      </c>
      <c r="AD992" s="7" t="s">
        <v>53</v>
      </c>
      <c r="AE992" s="7">
        <v>24.86</v>
      </c>
      <c r="AF992" s="7">
        <v>126</v>
      </c>
      <c r="AG992" s="7">
        <v>17.64</v>
      </c>
      <c r="AH992" s="7">
        <v>42.22</v>
      </c>
      <c r="AI992" s="7">
        <v>43.43</v>
      </c>
      <c r="AJ992" s="9">
        <v>201.52906788309801</v>
      </c>
      <c r="AK992" s="9">
        <v>202.71781384209299</v>
      </c>
      <c r="AL992" s="9">
        <v>219.700638188683</v>
      </c>
      <c r="AM992" s="9">
        <v>71.952783134029801</v>
      </c>
      <c r="AN992" s="9">
        <v>0.75739771720031401</v>
      </c>
      <c r="AO992" s="9">
        <v>0.44284107129053901</v>
      </c>
      <c r="AP992" s="9">
        <v>824.047965466096</v>
      </c>
      <c r="AQ992" s="9">
        <v>8.6741891101694293</v>
      </c>
      <c r="AR992" s="9">
        <v>5.9861550273796196</v>
      </c>
      <c r="AS992" s="8">
        <v>175</v>
      </c>
      <c r="AT992" s="8">
        <v>21.310000000000002</v>
      </c>
      <c r="AU992" s="10">
        <v>39.375652156635596</v>
      </c>
      <c r="AV992" s="10">
        <v>243.88868960779396</v>
      </c>
      <c r="AW992" s="8">
        <v>0.94</v>
      </c>
      <c r="AX992" s="10">
        <v>1.3936496549016797</v>
      </c>
      <c r="AY992" s="8"/>
      <c r="AZ992" s="8"/>
      <c r="BA992" s="8"/>
      <c r="BB992" s="8"/>
      <c r="BC992" s="8"/>
      <c r="BD992" s="8"/>
      <c r="BE992" s="8"/>
      <c r="BF992" s="12">
        <v>0.49</v>
      </c>
      <c r="BG992" s="13">
        <v>187.49618630752599</v>
      </c>
      <c r="BH992" s="96" t="str">
        <f>+VLOOKUP(G992,Liste!$A$7:$G$50,3,FALSE)</f>
        <v>Pin Noir d'Autriche</v>
      </c>
      <c r="BI992" s="96" t="str">
        <f>+VLOOKUP(H992,Liste!$B$7:$G$50,5,FALSE)</f>
        <v>GSM Alpes du Sud</v>
      </c>
      <c r="BJ992" s="135">
        <f t="shared" si="301"/>
        <v>95</v>
      </c>
      <c r="BK992" s="135" t="str">
        <f t="shared" si="303"/>
        <v>Pin Noir d'Autriche_F1_PO1_d4_GSM Alpes du Sud_95_</v>
      </c>
      <c r="BL992" s="322"/>
      <c r="BM992" s="13">
        <v>50.120629185870797</v>
      </c>
      <c r="BN992" s="13">
        <v>237.61681549339599</v>
      </c>
      <c r="BO992" s="13">
        <v>276.73100035502205</v>
      </c>
      <c r="BP992" s="13">
        <v>278.39913179156599</v>
      </c>
      <c r="BQ992" s="13">
        <v>6.1410995138036002</v>
      </c>
      <c r="BT992" s="298" t="str">
        <f>+VLOOKUP(G992,Liste!$A$7:$H$50,8,FALSE)</f>
        <v>Résineux</v>
      </c>
      <c r="BU992" s="298">
        <f t="shared" si="304"/>
        <v>0</v>
      </c>
      <c r="BV992" s="300">
        <f t="shared" si="305"/>
        <v>1</v>
      </c>
      <c r="BW992" s="321">
        <v>0</v>
      </c>
      <c r="BX992" s="298">
        <f t="shared" si="306"/>
        <v>0.43</v>
      </c>
      <c r="BY992">
        <f t="shared" si="307"/>
        <v>0</v>
      </c>
      <c r="BZ992" s="304">
        <f t="shared" si="308"/>
        <v>0</v>
      </c>
      <c r="CB992" s="299">
        <v>0.6</v>
      </c>
      <c r="CC992" s="299">
        <v>0.4</v>
      </c>
      <c r="CD992">
        <f t="shared" si="309"/>
        <v>0</v>
      </c>
      <c r="CE992">
        <f t="shared" si="310"/>
        <v>0</v>
      </c>
      <c r="CF992">
        <f t="shared" si="311"/>
        <v>0</v>
      </c>
      <c r="CG992">
        <f t="shared" si="312"/>
        <v>0</v>
      </c>
      <c r="CH992">
        <f t="shared" si="313"/>
        <v>0</v>
      </c>
      <c r="CI992">
        <f t="shared" si="314"/>
        <v>0</v>
      </c>
      <c r="CJ992">
        <f t="shared" si="315"/>
        <v>0</v>
      </c>
      <c r="CK992">
        <f t="shared" si="316"/>
        <v>0</v>
      </c>
      <c r="CL992">
        <f t="shared" si="317"/>
        <v>0</v>
      </c>
      <c r="CM992">
        <f t="shared" si="319"/>
        <v>0</v>
      </c>
      <c r="CN992">
        <f t="shared" si="318"/>
        <v>0</v>
      </c>
      <c r="CO992">
        <f t="shared" si="302"/>
        <v>0</v>
      </c>
    </row>
    <row r="993" spans="1:93" s="12" customFormat="1" x14ac:dyDescent="0.25">
      <c r="A993" s="4">
        <v>2021</v>
      </c>
      <c r="B993" s="318">
        <v>44279</v>
      </c>
      <c r="C993" s="4" t="s">
        <v>1494</v>
      </c>
      <c r="D993" s="4" t="s">
        <v>1495</v>
      </c>
      <c r="E993" s="4"/>
      <c r="F993" s="4" t="s">
        <v>1496</v>
      </c>
      <c r="G993" s="5" t="s">
        <v>1497</v>
      </c>
      <c r="H993" s="5" t="s">
        <v>1498</v>
      </c>
      <c r="I993" s="5" t="s">
        <v>232</v>
      </c>
      <c r="J993" s="5" t="s">
        <v>9</v>
      </c>
      <c r="K993" s="5">
        <v>18.2</v>
      </c>
      <c r="L993" s="5" t="s">
        <v>192</v>
      </c>
      <c r="M993" s="5">
        <v>1100</v>
      </c>
      <c r="N993" s="5" t="s">
        <v>170</v>
      </c>
      <c r="O993" s="6" t="s">
        <v>1499</v>
      </c>
      <c r="P993" s="6" t="s">
        <v>1500</v>
      </c>
      <c r="Q993" s="6"/>
      <c r="R993" s="6"/>
      <c r="S993" s="6">
        <v>15</v>
      </c>
      <c r="T993" s="6">
        <v>4.9000000000000004</v>
      </c>
      <c r="U993" s="6">
        <v>6000</v>
      </c>
      <c r="V993" s="6">
        <v>19.7</v>
      </c>
      <c r="W993" s="6">
        <v>5448</v>
      </c>
      <c r="X993" s="6">
        <v>552</v>
      </c>
      <c r="Y993" s="6">
        <v>0</v>
      </c>
      <c r="Z993" s="6">
        <v>0</v>
      </c>
      <c r="AA993" s="6">
        <v>0</v>
      </c>
      <c r="AB993" s="6">
        <v>0</v>
      </c>
      <c r="AC993" s="7">
        <v>100</v>
      </c>
      <c r="AD993" s="7" t="s">
        <v>52</v>
      </c>
      <c r="AE993" s="7">
        <v>25.21</v>
      </c>
      <c r="AF993" s="7">
        <v>126</v>
      </c>
      <c r="AG993" s="7">
        <v>19.850000000000001</v>
      </c>
      <c r="AH993" s="7">
        <v>44.79</v>
      </c>
      <c r="AI993" s="7">
        <v>46.13</v>
      </c>
      <c r="AJ993" s="9">
        <v>229.17035284097</v>
      </c>
      <c r="AK993" s="9">
        <v>230.59476992086499</v>
      </c>
      <c r="AL993" s="9">
        <v>249.63141332558101</v>
      </c>
      <c r="AM993" s="9">
        <v>74.166988490482495</v>
      </c>
      <c r="AN993" s="9">
        <v>0.74166988490482499</v>
      </c>
      <c r="AO993" s="9">
        <v>0.44520601825786599</v>
      </c>
      <c r="AP993" s="9">
        <v>853.97874060299398</v>
      </c>
      <c r="AQ993" s="9">
        <v>8.5397874060299408</v>
      </c>
      <c r="AR993" s="9">
        <v>6.0725626871503398</v>
      </c>
      <c r="AS993" s="8" t="s">
        <v>169</v>
      </c>
      <c r="AT993" s="8" t="s">
        <v>169</v>
      </c>
      <c r="AU993" s="10" t="s">
        <v>169</v>
      </c>
      <c r="AV993" s="10">
        <v>0</v>
      </c>
      <c r="AW993" s="8"/>
      <c r="AX993" s="10" t="s">
        <v>169</v>
      </c>
      <c r="AY993" s="8"/>
      <c r="AZ993" s="8"/>
      <c r="BA993" s="8"/>
      <c r="BB993" s="8"/>
      <c r="BC993" s="8"/>
      <c r="BD993" s="8"/>
      <c r="BE993" s="8"/>
      <c r="BF993" s="12">
        <v>0.49</v>
      </c>
      <c r="BG993" s="13">
        <v>213.039608655607</v>
      </c>
      <c r="BH993" s="96" t="str">
        <f>+VLOOKUP(G993,Liste!$A$7:$G$50,3,FALSE)</f>
        <v>Pin Noir d'Autriche</v>
      </c>
      <c r="BI993" s="96" t="str">
        <f>+VLOOKUP(H993,Liste!$B$7:$G$50,5,FALSE)</f>
        <v>GSM Alpes du Sud</v>
      </c>
      <c r="BJ993" s="135">
        <f t="shared" si="301"/>
        <v>100</v>
      </c>
      <c r="BK993" s="135" t="str">
        <f t="shared" si="303"/>
        <v>Pin Noir d'Autriche_F1_PO1_d4_GSM Alpes du Sud_100_</v>
      </c>
      <c r="BL993" s="322"/>
      <c r="BM993" s="13">
        <v>56.108410509680603</v>
      </c>
      <c r="BN993" s="13">
        <v>269.148019165287</v>
      </c>
      <c r="BO993" s="13" t="s">
        <v>169</v>
      </c>
      <c r="BP993" s="13">
        <v>278.39913179156599</v>
      </c>
      <c r="BQ993" s="13">
        <v>6.2254488284330796</v>
      </c>
      <c r="BT993" s="298" t="str">
        <f>+VLOOKUP(G993,Liste!$A$7:$H$50,8,FALSE)</f>
        <v>Résineux</v>
      </c>
      <c r="BU993" s="298">
        <f t="shared" si="304"/>
        <v>0</v>
      </c>
      <c r="BV993" s="300">
        <f t="shared" si="305"/>
        <v>1</v>
      </c>
      <c r="BW993" s="321">
        <v>0</v>
      </c>
      <c r="BX993" s="298">
        <f t="shared" si="306"/>
        <v>0.43</v>
      </c>
      <c r="BY993">
        <f t="shared" si="307"/>
        <v>0</v>
      </c>
      <c r="BZ993" s="304">
        <f t="shared" si="308"/>
        <v>0</v>
      </c>
      <c r="CB993" s="299">
        <v>0.6</v>
      </c>
      <c r="CC993" s="299">
        <v>0.4</v>
      </c>
      <c r="CD993">
        <f t="shared" si="309"/>
        <v>0</v>
      </c>
      <c r="CE993">
        <f t="shared" si="310"/>
        <v>0</v>
      </c>
      <c r="CF993">
        <f t="shared" si="311"/>
        <v>0</v>
      </c>
      <c r="CG993">
        <f t="shared" si="312"/>
        <v>0</v>
      </c>
      <c r="CH993">
        <f t="shared" si="313"/>
        <v>0</v>
      </c>
      <c r="CI993">
        <f t="shared" si="314"/>
        <v>0</v>
      </c>
      <c r="CJ993">
        <f t="shared" si="315"/>
        <v>0</v>
      </c>
      <c r="CK993">
        <f t="shared" si="316"/>
        <v>0</v>
      </c>
      <c r="CL993">
        <f t="shared" si="317"/>
        <v>0</v>
      </c>
      <c r="CM993">
        <f t="shared" si="319"/>
        <v>0</v>
      </c>
      <c r="CN993">
        <f t="shared" si="318"/>
        <v>0</v>
      </c>
      <c r="CO993">
        <f t="shared" si="302"/>
        <v>0</v>
      </c>
    </row>
    <row r="994" spans="1:93" s="12" customFormat="1" x14ac:dyDescent="0.25">
      <c r="A994" s="4">
        <v>2021</v>
      </c>
      <c r="B994" s="318">
        <v>44279</v>
      </c>
      <c r="C994" s="4" t="s">
        <v>1494</v>
      </c>
      <c r="D994" s="4" t="s">
        <v>1495</v>
      </c>
      <c r="E994" s="4"/>
      <c r="F994" s="4" t="s">
        <v>1496</v>
      </c>
      <c r="G994" s="5" t="s">
        <v>1497</v>
      </c>
      <c r="H994" s="5" t="s">
        <v>1498</v>
      </c>
      <c r="I994" s="5" t="s">
        <v>232</v>
      </c>
      <c r="J994" s="5" t="s">
        <v>9</v>
      </c>
      <c r="K994" s="5">
        <v>18.2</v>
      </c>
      <c r="L994" s="5" t="s">
        <v>192</v>
      </c>
      <c r="M994" s="5">
        <v>1100</v>
      </c>
      <c r="N994" s="5" t="s">
        <v>170</v>
      </c>
      <c r="O994" s="6" t="s">
        <v>1499</v>
      </c>
      <c r="P994" s="6" t="s">
        <v>1500</v>
      </c>
      <c r="Q994" s="6"/>
      <c r="R994" s="6"/>
      <c r="S994" s="6">
        <v>15</v>
      </c>
      <c r="T994" s="6">
        <v>4.9000000000000004</v>
      </c>
      <c r="U994" s="6">
        <v>6000</v>
      </c>
      <c r="V994" s="6">
        <v>19.7</v>
      </c>
      <c r="W994" s="6">
        <v>5448</v>
      </c>
      <c r="X994" s="6">
        <v>552</v>
      </c>
      <c r="Y994" s="6">
        <v>0</v>
      </c>
      <c r="Z994" s="6">
        <v>0</v>
      </c>
      <c r="AA994" s="6">
        <v>0</v>
      </c>
      <c r="AB994" s="6">
        <v>0</v>
      </c>
      <c r="AC994" s="7">
        <v>105</v>
      </c>
      <c r="AD994" s="7" t="s">
        <v>52</v>
      </c>
      <c r="AE994" s="7">
        <v>25.5</v>
      </c>
      <c r="AF994" s="7">
        <v>125</v>
      </c>
      <c r="AG994" s="7">
        <v>21.93</v>
      </c>
      <c r="AH994" s="7">
        <v>47.26</v>
      </c>
      <c r="AI994" s="7">
        <v>48.68</v>
      </c>
      <c r="AJ994" s="9">
        <v>256.22748751950297</v>
      </c>
      <c r="AK994" s="9">
        <v>257.79392445074899</v>
      </c>
      <c r="AL994" s="9">
        <v>277.97321354274999</v>
      </c>
      <c r="AM994" s="9">
        <v>76.393018581771798</v>
      </c>
      <c r="AN994" s="9">
        <v>0.72755255792163698</v>
      </c>
      <c r="AO994" s="9"/>
      <c r="AP994" s="9">
        <v>884.34155403874502</v>
      </c>
      <c r="AQ994" s="9">
        <v>8.4223005146547205</v>
      </c>
      <c r="AR994" s="7"/>
      <c r="AS994" s="8" t="s">
        <v>169</v>
      </c>
      <c r="AT994" s="8" t="s">
        <v>169</v>
      </c>
      <c r="AU994" s="10" t="s">
        <v>169</v>
      </c>
      <c r="AV994" s="10">
        <v>0</v>
      </c>
      <c r="AW994" s="8"/>
      <c r="AX994" s="10" t="s">
        <v>169</v>
      </c>
      <c r="AY994" s="8"/>
      <c r="AZ994" s="8"/>
      <c r="BA994" s="8"/>
      <c r="BB994" s="8"/>
      <c r="BC994" s="8"/>
      <c r="BD994" s="8"/>
      <c r="BE994" s="8"/>
      <c r="BF994" s="12">
        <v>0.49</v>
      </c>
      <c r="BG994" s="13">
        <v>237.22697332427501</v>
      </c>
      <c r="BH994" s="96" t="str">
        <f>+VLOOKUP(G994,Liste!$A$7:$G$50,3,FALSE)</f>
        <v>Pin Noir d'Autriche</v>
      </c>
      <c r="BI994" s="96" t="str">
        <f>+VLOOKUP(H994,Liste!$B$7:$G$50,5,FALSE)</f>
        <v>GSM Alpes du Sud</v>
      </c>
      <c r="BJ994" s="135">
        <f t="shared" si="301"/>
        <v>105</v>
      </c>
      <c r="BK994" s="135" t="str">
        <f t="shared" si="303"/>
        <v>Pin Noir d'Autriche_F1_PO1_d4_GSM Alpes du Sud_105_</v>
      </c>
      <c r="BL994" s="322"/>
      <c r="BM994" s="13">
        <v>61.701449396898902</v>
      </c>
      <c r="BN994" s="13">
        <v>298.928422721174</v>
      </c>
      <c r="BO994" s="13" t="s">
        <v>169</v>
      </c>
      <c r="BP994" s="13">
        <v>278.39913179156599</v>
      </c>
      <c r="BQ994" s="13"/>
      <c r="BT994" s="298" t="str">
        <f>+VLOOKUP(G994,Liste!$A$7:$H$50,8,FALSE)</f>
        <v>Résineux</v>
      </c>
      <c r="BU994" s="298">
        <f t="shared" si="304"/>
        <v>0</v>
      </c>
      <c r="BV994" s="300">
        <f t="shared" si="305"/>
        <v>1</v>
      </c>
      <c r="BW994" s="321">
        <v>0</v>
      </c>
      <c r="BX994" s="298">
        <f t="shared" si="306"/>
        <v>0.43</v>
      </c>
      <c r="BY994">
        <f t="shared" si="307"/>
        <v>0</v>
      </c>
      <c r="BZ994" s="304">
        <f t="shared" si="308"/>
        <v>0</v>
      </c>
      <c r="CB994" s="299">
        <v>0.6</v>
      </c>
      <c r="CC994" s="299">
        <v>0.4</v>
      </c>
      <c r="CD994">
        <f t="shared" si="309"/>
        <v>0</v>
      </c>
      <c r="CE994">
        <f t="shared" si="310"/>
        <v>0</v>
      </c>
      <c r="CF994">
        <f t="shared" si="311"/>
        <v>0</v>
      </c>
      <c r="CG994">
        <f t="shared" si="312"/>
        <v>0</v>
      </c>
      <c r="CH994">
        <f t="shared" si="313"/>
        <v>0</v>
      </c>
      <c r="CI994">
        <f t="shared" si="314"/>
        <v>0</v>
      </c>
      <c r="CJ994">
        <f t="shared" si="315"/>
        <v>0</v>
      </c>
      <c r="CK994">
        <f t="shared" si="316"/>
        <v>0</v>
      </c>
      <c r="CL994">
        <f t="shared" si="317"/>
        <v>0</v>
      </c>
      <c r="CM994">
        <f t="shared" si="319"/>
        <v>0</v>
      </c>
      <c r="CN994">
        <f t="shared" si="318"/>
        <v>0</v>
      </c>
      <c r="CO994">
        <f t="shared" si="302"/>
        <v>0</v>
      </c>
    </row>
    <row r="995" spans="1:93" s="12" customFormat="1" x14ac:dyDescent="0.25">
      <c r="A995" s="4">
        <v>2021</v>
      </c>
      <c r="B995" s="318">
        <v>44279</v>
      </c>
      <c r="C995" s="4" t="s">
        <v>1494</v>
      </c>
      <c r="D995" s="4" t="s">
        <v>1495</v>
      </c>
      <c r="E995" s="4"/>
      <c r="F995" s="4" t="s">
        <v>1496</v>
      </c>
      <c r="G995" s="5" t="s">
        <v>1497</v>
      </c>
      <c r="H995" s="5" t="s">
        <v>1498</v>
      </c>
      <c r="I995" s="5" t="s">
        <v>232</v>
      </c>
      <c r="J995" s="5" t="s">
        <v>9</v>
      </c>
      <c r="K995" s="5">
        <v>18.2</v>
      </c>
      <c r="L995" s="5" t="s">
        <v>192</v>
      </c>
      <c r="M995" s="5">
        <v>1100</v>
      </c>
      <c r="N995" s="5" t="s">
        <v>170</v>
      </c>
      <c r="O995" s="6" t="s">
        <v>1499</v>
      </c>
      <c r="P995" s="6" t="s">
        <v>1500</v>
      </c>
      <c r="Q995" s="6"/>
      <c r="R995" s="6"/>
      <c r="S995" s="6">
        <v>15</v>
      </c>
      <c r="T995" s="6">
        <v>4.9000000000000004</v>
      </c>
      <c r="U995" s="6">
        <v>6000</v>
      </c>
      <c r="V995" s="6">
        <v>19.7</v>
      </c>
      <c r="W995" s="6">
        <v>5448</v>
      </c>
      <c r="X995" s="6">
        <v>552</v>
      </c>
      <c r="Y995" s="6">
        <v>0</v>
      </c>
      <c r="Z995" s="6">
        <v>0</v>
      </c>
      <c r="AA995" s="6">
        <v>0</v>
      </c>
      <c r="AB995" s="6">
        <v>0</v>
      </c>
      <c r="AC995" s="7">
        <v>105</v>
      </c>
      <c r="AD995" s="7" t="s">
        <v>53</v>
      </c>
      <c r="AE995" s="7">
        <v>25.5</v>
      </c>
      <c r="AF995" s="7">
        <v>0</v>
      </c>
      <c r="AG995" s="7">
        <v>0</v>
      </c>
      <c r="AH995" s="7">
        <v>0</v>
      </c>
      <c r="AI995" s="7">
        <v>0</v>
      </c>
      <c r="AJ995" s="9">
        <v>0</v>
      </c>
      <c r="AK995" s="9">
        <v>0</v>
      </c>
      <c r="AL995" s="9">
        <v>0</v>
      </c>
      <c r="AM995" s="9">
        <v>76.393018581771798</v>
      </c>
      <c r="AN995" s="9">
        <v>0.72755255792163698</v>
      </c>
      <c r="AO995" s="9"/>
      <c r="AP995" s="9">
        <v>884.34155403874502</v>
      </c>
      <c r="AQ995" s="9">
        <v>8.4223005146547205</v>
      </c>
      <c r="AR995" s="7"/>
      <c r="AS995" s="8">
        <v>125</v>
      </c>
      <c r="AT995" s="8">
        <v>21.93</v>
      </c>
      <c r="AU995" s="10">
        <v>47.262791467319929</v>
      </c>
      <c r="AV995" s="10">
        <v>256.22748751950297</v>
      </c>
      <c r="AW995" s="8">
        <v>1</v>
      </c>
      <c r="AX995" s="10">
        <v>2.0498199001560238</v>
      </c>
      <c r="AY995" s="8"/>
      <c r="AZ995" s="8"/>
      <c r="BA995" s="8"/>
      <c r="BB995" s="8"/>
      <c r="BC995" s="8"/>
      <c r="BD995" s="8"/>
      <c r="BE995" s="8"/>
      <c r="BF995" s="12">
        <v>0.49</v>
      </c>
      <c r="BG995" s="13">
        <v>0</v>
      </c>
      <c r="BH995" s="96" t="str">
        <f>+VLOOKUP(G995,Liste!$A$7:$G$50,3,FALSE)</f>
        <v>Pin Noir d'Autriche</v>
      </c>
      <c r="BI995" s="96" t="str">
        <f>+VLOOKUP(H995,Liste!$B$7:$G$50,5,FALSE)</f>
        <v>GSM Alpes du Sud</v>
      </c>
      <c r="BJ995" s="135">
        <f t="shared" si="301"/>
        <v>105</v>
      </c>
      <c r="BK995" s="135" t="str">
        <f t="shared" si="303"/>
        <v>Pin Noir d'Autriche_F1_PO1_d4_GSM Alpes du Sud_105_</v>
      </c>
      <c r="BL995" s="322"/>
      <c r="BM995" s="13">
        <v>0</v>
      </c>
      <c r="BN995" s="13">
        <v>0</v>
      </c>
      <c r="BO995" s="13">
        <v>298.928422721174</v>
      </c>
      <c r="BP995" s="13">
        <v>278.39913179156599</v>
      </c>
      <c r="BQ995" s="13"/>
      <c r="BT995" s="298" t="str">
        <f>+VLOOKUP(G995,Liste!$A$7:$H$50,8,FALSE)</f>
        <v>Résineux</v>
      </c>
      <c r="BU995" s="298">
        <f t="shared" si="304"/>
        <v>0</v>
      </c>
      <c r="BV995" s="300">
        <f t="shared" si="305"/>
        <v>1</v>
      </c>
      <c r="BW995" s="321">
        <v>0</v>
      </c>
      <c r="BX995" s="298">
        <f t="shared" si="306"/>
        <v>0.43</v>
      </c>
      <c r="BY995">
        <f t="shared" si="307"/>
        <v>0</v>
      </c>
      <c r="BZ995" s="304">
        <f t="shared" si="308"/>
        <v>0</v>
      </c>
      <c r="CB995" s="299">
        <v>0.6</v>
      </c>
      <c r="CC995" s="299">
        <v>0.4</v>
      </c>
      <c r="CD995">
        <f t="shared" si="309"/>
        <v>0</v>
      </c>
      <c r="CE995">
        <f t="shared" si="310"/>
        <v>0</v>
      </c>
      <c r="CF995">
        <f t="shared" si="311"/>
        <v>0</v>
      </c>
      <c r="CG995">
        <f t="shared" si="312"/>
        <v>0</v>
      </c>
      <c r="CH995">
        <f t="shared" si="313"/>
        <v>0</v>
      </c>
      <c r="CI995">
        <f t="shared" si="314"/>
        <v>0</v>
      </c>
      <c r="CJ995">
        <f t="shared" si="315"/>
        <v>0</v>
      </c>
      <c r="CK995">
        <f t="shared" si="316"/>
        <v>0</v>
      </c>
      <c r="CL995">
        <f t="shared" si="317"/>
        <v>0</v>
      </c>
      <c r="CM995">
        <f t="shared" si="319"/>
        <v>0</v>
      </c>
      <c r="CN995">
        <f t="shared" si="318"/>
        <v>0</v>
      </c>
      <c r="CO995">
        <f t="shared" si="302"/>
        <v>0</v>
      </c>
    </row>
    <row r="996" spans="1:93" s="12" customFormat="1" x14ac:dyDescent="0.25">
      <c r="A996" s="4">
        <v>2021</v>
      </c>
      <c r="B996" s="318">
        <v>44279</v>
      </c>
      <c r="C996" s="4" t="s">
        <v>1494</v>
      </c>
      <c r="D996" s="4" t="s">
        <v>1495</v>
      </c>
      <c r="E996" s="4"/>
      <c r="F996" s="4" t="s">
        <v>1496</v>
      </c>
      <c r="G996" s="5" t="s">
        <v>1497</v>
      </c>
      <c r="H996" s="5" t="s">
        <v>1498</v>
      </c>
      <c r="I996" s="5" t="s">
        <v>233</v>
      </c>
      <c r="J996" s="5" t="s">
        <v>10</v>
      </c>
      <c r="K996" s="5">
        <v>15.2</v>
      </c>
      <c r="L996" s="5" t="s">
        <v>192</v>
      </c>
      <c r="M996" s="5">
        <v>1100</v>
      </c>
      <c r="N996" s="5" t="s">
        <v>170</v>
      </c>
      <c r="O996" s="6" t="s">
        <v>1499</v>
      </c>
      <c r="P996" s="6" t="s">
        <v>1500</v>
      </c>
      <c r="Q996" s="6"/>
      <c r="R996" s="6"/>
      <c r="S996" s="6">
        <v>15</v>
      </c>
      <c r="T996" s="6">
        <v>3.96</v>
      </c>
      <c r="U996" s="6">
        <v>6000</v>
      </c>
      <c r="V996" s="6">
        <v>9.57</v>
      </c>
      <c r="W996" s="6">
        <v>6000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7">
        <v>25</v>
      </c>
      <c r="AD996" s="7" t="s">
        <v>52</v>
      </c>
      <c r="AE996" s="7">
        <v>7.99</v>
      </c>
      <c r="AF996" s="7">
        <v>1097</v>
      </c>
      <c r="AG996" s="7">
        <v>9.6999999999999993</v>
      </c>
      <c r="AH996" s="7">
        <v>10.61</v>
      </c>
      <c r="AI996" s="7">
        <v>13.11</v>
      </c>
      <c r="AJ996" s="9">
        <v>34.918806442244097</v>
      </c>
      <c r="AK996" s="9">
        <v>35.048437261338698</v>
      </c>
      <c r="AL996" s="9">
        <v>56.512818308754902</v>
      </c>
      <c r="AM996" s="9">
        <v>9.7180908267923094</v>
      </c>
      <c r="AN996" s="9">
        <v>0.388723633071692</v>
      </c>
      <c r="AO996" s="9">
        <v>1.1666799182780501</v>
      </c>
      <c r="AP996" s="9">
        <v>56.5926742234277</v>
      </c>
      <c r="AQ996" s="9">
        <v>2.2637069689371101</v>
      </c>
      <c r="AR996" s="9">
        <v>8.8521568146359506</v>
      </c>
      <c r="AS996" s="8"/>
      <c r="AT996" s="8"/>
      <c r="AU996" s="8"/>
      <c r="AV996" s="10">
        <v>0</v>
      </c>
      <c r="AW996" s="8"/>
      <c r="AX996" s="8"/>
      <c r="AY996" s="8"/>
      <c r="AZ996" s="8"/>
      <c r="BA996" s="8"/>
      <c r="BB996" s="8"/>
      <c r="BC996" s="8"/>
      <c r="BD996" s="8"/>
      <c r="BE996" s="8"/>
      <c r="BF996" s="12">
        <v>0.49</v>
      </c>
      <c r="BG996" s="13">
        <v>48.2289810249966</v>
      </c>
      <c r="BH996" s="96" t="str">
        <f>+VLOOKUP(G996,Liste!$A$7:$G$50,3,FALSE)</f>
        <v>Pin Noir d'Autriche</v>
      </c>
      <c r="BI996" s="96" t="str">
        <f>+VLOOKUP(H996,Liste!$B$7:$G$50,5,FALSE)</f>
        <v>GSM Alpes du Sud</v>
      </c>
      <c r="BJ996" s="135">
        <f t="shared" si="301"/>
        <v>25</v>
      </c>
      <c r="BK996" s="135" t="str">
        <f t="shared" si="303"/>
        <v>Pin Noir d'Autriche_F2_PO2_d4_GSM Alpes du Sud_25_</v>
      </c>
      <c r="BL996" s="322"/>
      <c r="BM996" s="13">
        <v>15.0998078432255</v>
      </c>
      <c r="BN996" s="13">
        <v>63.328788868222098</v>
      </c>
      <c r="BP996" s="13">
        <v>198.86807572232701</v>
      </c>
      <c r="BQ996" s="13">
        <v>9.5689318572029407</v>
      </c>
      <c r="BT996" s="298" t="str">
        <f>+VLOOKUP(G996,Liste!$A$7:$H$50,8,FALSE)</f>
        <v>Résineux</v>
      </c>
      <c r="BU996" s="298">
        <f t="shared" si="304"/>
        <v>0</v>
      </c>
      <c r="BV996" s="300">
        <f t="shared" si="305"/>
        <v>1</v>
      </c>
      <c r="BW996" s="321">
        <v>0</v>
      </c>
      <c r="BX996" s="298">
        <f t="shared" si="306"/>
        <v>0.43</v>
      </c>
      <c r="BY996">
        <f t="shared" si="307"/>
        <v>0</v>
      </c>
      <c r="BZ996" s="304">
        <f t="shared" si="308"/>
        <v>0</v>
      </c>
      <c r="CB996" s="299">
        <v>0.6</v>
      </c>
      <c r="CC996" s="299">
        <v>0.4</v>
      </c>
      <c r="CD996">
        <f t="shared" si="309"/>
        <v>0</v>
      </c>
      <c r="CE996">
        <f t="shared" si="310"/>
        <v>0</v>
      </c>
      <c r="CF996">
        <f t="shared" si="311"/>
        <v>0</v>
      </c>
      <c r="CG996">
        <f t="shared" si="312"/>
        <v>0</v>
      </c>
      <c r="CH996">
        <f t="shared" si="313"/>
        <v>0</v>
      </c>
      <c r="CI996">
        <f t="shared" si="314"/>
        <v>0</v>
      </c>
      <c r="CJ996">
        <f t="shared" si="315"/>
        <v>0</v>
      </c>
      <c r="CK996">
        <f t="shared" si="316"/>
        <v>0</v>
      </c>
      <c r="CL996">
        <f t="shared" si="317"/>
        <v>0</v>
      </c>
      <c r="CM996">
        <f t="shared" si="319"/>
        <v>0</v>
      </c>
      <c r="CN996">
        <f t="shared" si="318"/>
        <v>0</v>
      </c>
      <c r="CO996">
        <f t="shared" si="302"/>
        <v>0</v>
      </c>
    </row>
    <row r="997" spans="1:93" s="12" customFormat="1" x14ac:dyDescent="0.25">
      <c r="A997" s="4">
        <v>2021</v>
      </c>
      <c r="B997" s="318">
        <v>44279</v>
      </c>
      <c r="C997" s="4" t="s">
        <v>1494</v>
      </c>
      <c r="D997" s="4" t="s">
        <v>1495</v>
      </c>
      <c r="E997" s="4"/>
      <c r="F997" s="4" t="s">
        <v>1496</v>
      </c>
      <c r="G997" s="5" t="s">
        <v>1497</v>
      </c>
      <c r="H997" s="5" t="s">
        <v>1498</v>
      </c>
      <c r="I997" s="5" t="s">
        <v>233</v>
      </c>
      <c r="J997" s="5" t="s">
        <v>10</v>
      </c>
      <c r="K997" s="5">
        <v>15.2</v>
      </c>
      <c r="L997" s="5" t="s">
        <v>192</v>
      </c>
      <c r="M997" s="5">
        <v>1100</v>
      </c>
      <c r="N997" s="5" t="s">
        <v>170</v>
      </c>
      <c r="O997" s="6" t="s">
        <v>1499</v>
      </c>
      <c r="P997" s="6" t="s">
        <v>1500</v>
      </c>
      <c r="Q997" s="6"/>
      <c r="R997" s="6"/>
      <c r="S997" s="6">
        <v>15</v>
      </c>
      <c r="T997" s="6">
        <v>3.96</v>
      </c>
      <c r="U997" s="6">
        <v>6000</v>
      </c>
      <c r="V997" s="6">
        <v>9.57</v>
      </c>
      <c r="W997" s="6">
        <v>6000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7">
        <v>30</v>
      </c>
      <c r="AD997" s="7" t="s">
        <v>52</v>
      </c>
      <c r="AE997" s="7">
        <v>9.8699999999999992</v>
      </c>
      <c r="AF997" s="7">
        <v>1093</v>
      </c>
      <c r="AG997" s="7">
        <v>15.5</v>
      </c>
      <c r="AH997" s="7">
        <v>13.44</v>
      </c>
      <c r="AI997" s="7">
        <v>16.420000000000002</v>
      </c>
      <c r="AJ997" s="9">
        <v>71.016788260189003</v>
      </c>
      <c r="AK997" s="9">
        <v>71.432796595753601</v>
      </c>
      <c r="AL997" s="9">
        <v>100.558556304012</v>
      </c>
      <c r="AM997" s="9">
        <v>15.551490418182601</v>
      </c>
      <c r="AN997" s="9">
        <v>0.51838301393941799</v>
      </c>
      <c r="AO997" s="9">
        <v>1.0668482247639799</v>
      </c>
      <c r="AP997" s="9">
        <v>100.853458296607</v>
      </c>
      <c r="AQ997" s="9">
        <v>3.36178194322025</v>
      </c>
      <c r="AR997" s="9">
        <v>9.5361970902898197</v>
      </c>
      <c r="AS997" s="8" t="s">
        <v>169</v>
      </c>
      <c r="AT997" s="8" t="s">
        <v>169</v>
      </c>
      <c r="AU997" s="8"/>
      <c r="AV997" s="10">
        <v>0</v>
      </c>
      <c r="AW997" s="8"/>
      <c r="AX997" s="8"/>
      <c r="AY997" s="8"/>
      <c r="AZ997" s="8"/>
      <c r="BA997" s="8"/>
      <c r="BB997" s="8"/>
      <c r="BC997" s="8"/>
      <c r="BD997" s="8"/>
      <c r="BE997" s="8"/>
      <c r="BF997" s="12">
        <v>0.49</v>
      </c>
      <c r="BG997" s="13">
        <v>85.818347925782604</v>
      </c>
      <c r="BH997" s="96" t="str">
        <f>+VLOOKUP(G997,Liste!$A$7:$G$50,3,FALSE)</f>
        <v>Pin Noir d'Autriche</v>
      </c>
      <c r="BI997" s="96" t="str">
        <f>+VLOOKUP(H997,Liste!$B$7:$G$50,5,FALSE)</f>
        <v>GSM Alpes du Sud</v>
      </c>
      <c r="BJ997" s="135">
        <f t="shared" si="301"/>
        <v>30</v>
      </c>
      <c r="BK997" s="135" t="str">
        <f t="shared" si="303"/>
        <v>Pin Noir d'Autriche_F2_PO2_d4_GSM Alpes du Sud_30_</v>
      </c>
      <c r="BL997" s="322"/>
      <c r="BM997" s="13">
        <v>25.125332388972399</v>
      </c>
      <c r="BN997" s="13">
        <v>110.943680314755</v>
      </c>
      <c r="BO997" s="12" t="s">
        <v>169</v>
      </c>
      <c r="BP997" s="13">
        <v>198.86807572232701</v>
      </c>
      <c r="BQ997" s="13">
        <v>10.1932784257036</v>
      </c>
      <c r="BT997" s="298" t="str">
        <f>+VLOOKUP(G997,Liste!$A$7:$H$50,8,FALSE)</f>
        <v>Résineux</v>
      </c>
      <c r="BU997" s="298">
        <f t="shared" si="304"/>
        <v>0</v>
      </c>
      <c r="BV997" s="300">
        <f t="shared" si="305"/>
        <v>1</v>
      </c>
      <c r="BW997" s="321">
        <v>0</v>
      </c>
      <c r="BX997" s="298">
        <f t="shared" si="306"/>
        <v>0.43</v>
      </c>
      <c r="BY997">
        <f t="shared" si="307"/>
        <v>0</v>
      </c>
      <c r="BZ997" s="304">
        <f t="shared" si="308"/>
        <v>0</v>
      </c>
      <c r="CB997" s="299">
        <v>0.6</v>
      </c>
      <c r="CC997" s="299">
        <v>0.4</v>
      </c>
      <c r="CD997">
        <f t="shared" si="309"/>
        <v>0</v>
      </c>
      <c r="CE997">
        <f t="shared" si="310"/>
        <v>0</v>
      </c>
      <c r="CF997">
        <f t="shared" si="311"/>
        <v>0</v>
      </c>
      <c r="CG997">
        <f t="shared" si="312"/>
        <v>0</v>
      </c>
      <c r="CH997">
        <f t="shared" si="313"/>
        <v>0</v>
      </c>
      <c r="CI997">
        <f t="shared" si="314"/>
        <v>0</v>
      </c>
      <c r="CJ997">
        <f t="shared" si="315"/>
        <v>0</v>
      </c>
      <c r="CK997">
        <f t="shared" si="316"/>
        <v>0</v>
      </c>
      <c r="CL997">
        <f t="shared" si="317"/>
        <v>0</v>
      </c>
      <c r="CM997">
        <f t="shared" si="319"/>
        <v>0</v>
      </c>
      <c r="CN997">
        <f t="shared" si="318"/>
        <v>0</v>
      </c>
      <c r="CO997">
        <f t="shared" si="302"/>
        <v>0</v>
      </c>
    </row>
    <row r="998" spans="1:93" s="12" customFormat="1" x14ac:dyDescent="0.25">
      <c r="A998" s="4">
        <v>2021</v>
      </c>
      <c r="B998" s="318">
        <v>44279</v>
      </c>
      <c r="C998" s="4" t="s">
        <v>1494</v>
      </c>
      <c r="D998" s="4" t="s">
        <v>1495</v>
      </c>
      <c r="E998" s="4"/>
      <c r="F998" s="4" t="s">
        <v>1496</v>
      </c>
      <c r="G998" s="5" t="s">
        <v>1497</v>
      </c>
      <c r="H998" s="5" t="s">
        <v>1498</v>
      </c>
      <c r="I998" s="5" t="s">
        <v>233</v>
      </c>
      <c r="J998" s="5" t="s">
        <v>10</v>
      </c>
      <c r="K998" s="5">
        <v>15.2</v>
      </c>
      <c r="L998" s="5" t="s">
        <v>192</v>
      </c>
      <c r="M998" s="5">
        <v>1100</v>
      </c>
      <c r="N998" s="5" t="s">
        <v>170</v>
      </c>
      <c r="O998" s="6" t="s">
        <v>1499</v>
      </c>
      <c r="P998" s="6" t="s">
        <v>1500</v>
      </c>
      <c r="Q998" s="6"/>
      <c r="R998" s="6"/>
      <c r="S998" s="6">
        <v>15</v>
      </c>
      <c r="T998" s="6">
        <v>3.96</v>
      </c>
      <c r="U998" s="6">
        <v>6000</v>
      </c>
      <c r="V998" s="6">
        <v>9.57</v>
      </c>
      <c r="W998" s="6">
        <v>6000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7">
        <v>35</v>
      </c>
      <c r="AD998" s="7" t="s">
        <v>52</v>
      </c>
      <c r="AE998" s="7">
        <v>11.42</v>
      </c>
      <c r="AF998" s="7">
        <v>1091</v>
      </c>
      <c r="AG998" s="7">
        <v>20.81</v>
      </c>
      <c r="AH998" s="7">
        <v>15.58</v>
      </c>
      <c r="AI998" s="7">
        <v>19.079999999999998</v>
      </c>
      <c r="AJ998" s="9">
        <v>113.61385017592301</v>
      </c>
      <c r="AK998" s="9">
        <v>114.20074523644701</v>
      </c>
      <c r="AL998" s="9">
        <v>148.08460918899499</v>
      </c>
      <c r="AM998" s="9">
        <v>20.8857315420024</v>
      </c>
      <c r="AN998" s="9">
        <v>0.59673518691435501</v>
      </c>
      <c r="AO998" s="9">
        <v>0.97723868155446703</v>
      </c>
      <c r="AP998" s="9">
        <v>148.53444374805699</v>
      </c>
      <c r="AQ998" s="9">
        <v>4.2438412499444702</v>
      </c>
      <c r="AR998" s="9">
        <v>9.8859126875930006</v>
      </c>
      <c r="AS998" s="8" t="s">
        <v>169</v>
      </c>
      <c r="AT998" s="8" t="s">
        <v>169</v>
      </c>
      <c r="AU998" s="8"/>
      <c r="AV998" s="10">
        <v>0</v>
      </c>
      <c r="AW998" s="8"/>
      <c r="AX998" s="8"/>
      <c r="AY998" s="8"/>
      <c r="AZ998" s="8"/>
      <c r="BA998" s="8"/>
      <c r="BB998" s="8"/>
      <c r="BC998" s="8"/>
      <c r="BD998" s="8"/>
      <c r="BE998" s="8"/>
      <c r="BF998" s="12">
        <v>0.49</v>
      </c>
      <c r="BG998" s="13">
        <v>126.377873558708</v>
      </c>
      <c r="BH998" s="96" t="str">
        <f>+VLOOKUP(G998,Liste!$A$7:$G$50,3,FALSE)</f>
        <v>Pin Noir d'Autriche</v>
      </c>
      <c r="BI998" s="96" t="str">
        <f>+VLOOKUP(H998,Liste!$B$7:$G$50,5,FALSE)</f>
        <v>GSM Alpes du Sud</v>
      </c>
      <c r="BJ998" s="135">
        <f t="shared" si="301"/>
        <v>35</v>
      </c>
      <c r="BK998" s="135" t="str">
        <f t="shared" si="303"/>
        <v>Pin Noir d'Autriche_F2_PO2_d4_GSM Alpes du Sud_35_</v>
      </c>
      <c r="BL998" s="322"/>
      <c r="BM998" s="13">
        <v>35.370152286761098</v>
      </c>
      <c r="BN998" s="13">
        <v>161.74802584546899</v>
      </c>
      <c r="BO998" s="12" t="s">
        <v>169</v>
      </c>
      <c r="BP998" s="13">
        <v>198.86807572232701</v>
      </c>
      <c r="BQ998" s="13">
        <v>10.4863510115821</v>
      </c>
      <c r="BT998" s="298" t="str">
        <f>+VLOOKUP(G998,Liste!$A$7:$H$50,8,FALSE)</f>
        <v>Résineux</v>
      </c>
      <c r="BU998" s="298">
        <f t="shared" si="304"/>
        <v>0</v>
      </c>
      <c r="BV998" s="300">
        <f t="shared" si="305"/>
        <v>1</v>
      </c>
      <c r="BW998" s="321">
        <v>0</v>
      </c>
      <c r="BX998" s="298">
        <f t="shared" si="306"/>
        <v>0.43</v>
      </c>
      <c r="BY998">
        <f t="shared" si="307"/>
        <v>0</v>
      </c>
      <c r="BZ998" s="304">
        <f t="shared" si="308"/>
        <v>0</v>
      </c>
      <c r="CB998" s="299">
        <v>0.6</v>
      </c>
      <c r="CC998" s="299">
        <v>0.4</v>
      </c>
      <c r="CD998">
        <f t="shared" si="309"/>
        <v>0</v>
      </c>
      <c r="CE998">
        <f t="shared" si="310"/>
        <v>0</v>
      </c>
      <c r="CF998">
        <f t="shared" si="311"/>
        <v>0</v>
      </c>
      <c r="CG998">
        <f t="shared" si="312"/>
        <v>0</v>
      </c>
      <c r="CH998">
        <f t="shared" si="313"/>
        <v>0</v>
      </c>
      <c r="CI998">
        <f t="shared" si="314"/>
        <v>0</v>
      </c>
      <c r="CJ998">
        <f t="shared" si="315"/>
        <v>0</v>
      </c>
      <c r="CK998">
        <f t="shared" si="316"/>
        <v>0</v>
      </c>
      <c r="CL998">
        <f t="shared" si="317"/>
        <v>0</v>
      </c>
      <c r="CM998">
        <f t="shared" si="319"/>
        <v>0</v>
      </c>
      <c r="CN998">
        <f t="shared" si="318"/>
        <v>0</v>
      </c>
      <c r="CO998">
        <f t="shared" si="302"/>
        <v>0</v>
      </c>
    </row>
    <row r="999" spans="1:93" s="12" customFormat="1" x14ac:dyDescent="0.25">
      <c r="A999" s="4">
        <v>2021</v>
      </c>
      <c r="B999" s="318">
        <v>44279</v>
      </c>
      <c r="C999" s="4" t="s">
        <v>1494</v>
      </c>
      <c r="D999" s="4" t="s">
        <v>1495</v>
      </c>
      <c r="E999" s="4"/>
      <c r="F999" s="4" t="s">
        <v>1496</v>
      </c>
      <c r="G999" s="5" t="s">
        <v>1497</v>
      </c>
      <c r="H999" s="5" t="s">
        <v>1498</v>
      </c>
      <c r="I999" s="5" t="s">
        <v>233</v>
      </c>
      <c r="J999" s="5" t="s">
        <v>10</v>
      </c>
      <c r="K999" s="5">
        <v>15.2</v>
      </c>
      <c r="L999" s="5" t="s">
        <v>192</v>
      </c>
      <c r="M999" s="5">
        <v>1100</v>
      </c>
      <c r="N999" s="5" t="s">
        <v>170</v>
      </c>
      <c r="O999" s="6" t="s">
        <v>1499</v>
      </c>
      <c r="P999" s="6" t="s">
        <v>1500</v>
      </c>
      <c r="Q999" s="6"/>
      <c r="R999" s="6"/>
      <c r="S999" s="6">
        <v>15</v>
      </c>
      <c r="T999" s="6">
        <v>3.96</v>
      </c>
      <c r="U999" s="6">
        <v>6000</v>
      </c>
      <c r="V999" s="6">
        <v>9.57</v>
      </c>
      <c r="W999" s="6">
        <v>6000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7">
        <v>40</v>
      </c>
      <c r="AD999" s="7" t="s">
        <v>52</v>
      </c>
      <c r="AE999" s="7">
        <v>12.87</v>
      </c>
      <c r="AF999" s="7">
        <v>1085</v>
      </c>
      <c r="AG999" s="7">
        <v>25.57</v>
      </c>
      <c r="AH999" s="7">
        <v>17.32</v>
      </c>
      <c r="AI999" s="7">
        <v>21.21</v>
      </c>
      <c r="AJ999" s="9">
        <v>157.66880848199401</v>
      </c>
      <c r="AK999" s="9">
        <v>158.433862962777</v>
      </c>
      <c r="AL999" s="9">
        <v>196.60808168073601</v>
      </c>
      <c r="AM999" s="9">
        <v>25.7719249497748</v>
      </c>
      <c r="AN999" s="9">
        <v>0.64429812374436901</v>
      </c>
      <c r="AO999" s="9">
        <v>0.91899608116820097</v>
      </c>
      <c r="AP999" s="9">
        <v>197.964007186022</v>
      </c>
      <c r="AQ999" s="9">
        <v>4.9491001796505403</v>
      </c>
      <c r="AR999" s="9">
        <v>10.1301900062249</v>
      </c>
      <c r="AS999" s="8" t="s">
        <v>169</v>
      </c>
      <c r="AT999" s="8" t="s">
        <v>169</v>
      </c>
      <c r="AU999" s="8"/>
      <c r="AV999" s="10">
        <v>0</v>
      </c>
      <c r="AW999" s="8"/>
      <c r="AX999" s="8"/>
      <c r="AY999" s="8"/>
      <c r="AZ999" s="8"/>
      <c r="BA999" s="8"/>
      <c r="BB999" s="8"/>
      <c r="BC999" s="8"/>
      <c r="BD999" s="8"/>
      <c r="BE999" s="8"/>
      <c r="BF999" s="12">
        <v>0.49</v>
      </c>
      <c r="BG999" s="13">
        <v>167.78861370770201</v>
      </c>
      <c r="BH999" s="96" t="str">
        <f>+VLOOKUP(G999,Liste!$A$7:$G$50,3,FALSE)</f>
        <v>Pin Noir d'Autriche</v>
      </c>
      <c r="BI999" s="96" t="str">
        <f>+VLOOKUP(H999,Liste!$B$7:$G$50,5,FALSE)</f>
        <v>GSM Alpes du Sud</v>
      </c>
      <c r="BJ999" s="135">
        <f t="shared" si="301"/>
        <v>40</v>
      </c>
      <c r="BK999" s="135" t="str">
        <f t="shared" si="303"/>
        <v>Pin Noir d'Autriche_F2_PO2_d4_GSM Alpes du Sud_40_</v>
      </c>
      <c r="BL999" s="322"/>
      <c r="BM999" s="13">
        <v>45.4360457367709</v>
      </c>
      <c r="BN999" s="13">
        <v>213.224659444472</v>
      </c>
      <c r="BO999" s="12" t="s">
        <v>169</v>
      </c>
      <c r="BP999" s="13">
        <v>198.86807572232701</v>
      </c>
      <c r="BQ999" s="13">
        <v>10.6840085236772</v>
      </c>
      <c r="BT999" s="298" t="str">
        <f>+VLOOKUP(G999,Liste!$A$7:$H$50,8,FALSE)</f>
        <v>Résineux</v>
      </c>
      <c r="BU999" s="298">
        <f t="shared" si="304"/>
        <v>0</v>
      </c>
      <c r="BV999" s="300">
        <f t="shared" si="305"/>
        <v>1</v>
      </c>
      <c r="BW999" s="321">
        <v>0</v>
      </c>
      <c r="BX999" s="298">
        <f t="shared" si="306"/>
        <v>0.43</v>
      </c>
      <c r="BY999">
        <f t="shared" si="307"/>
        <v>0</v>
      </c>
      <c r="BZ999" s="304">
        <f t="shared" si="308"/>
        <v>0</v>
      </c>
      <c r="CB999" s="299">
        <v>0.6</v>
      </c>
      <c r="CC999" s="299">
        <v>0.4</v>
      </c>
      <c r="CD999">
        <f t="shared" si="309"/>
        <v>0</v>
      </c>
      <c r="CE999">
        <f t="shared" si="310"/>
        <v>0</v>
      </c>
      <c r="CF999">
        <f t="shared" si="311"/>
        <v>0</v>
      </c>
      <c r="CG999">
        <f t="shared" si="312"/>
        <v>0</v>
      </c>
      <c r="CH999">
        <f t="shared" si="313"/>
        <v>0</v>
      </c>
      <c r="CI999">
        <f t="shared" si="314"/>
        <v>0</v>
      </c>
      <c r="CJ999">
        <f t="shared" si="315"/>
        <v>0</v>
      </c>
      <c r="CK999">
        <f t="shared" si="316"/>
        <v>0</v>
      </c>
      <c r="CL999">
        <f t="shared" si="317"/>
        <v>0</v>
      </c>
      <c r="CM999">
        <f t="shared" si="319"/>
        <v>0</v>
      </c>
      <c r="CN999">
        <f t="shared" si="318"/>
        <v>0</v>
      </c>
      <c r="CO999">
        <f t="shared" si="302"/>
        <v>0</v>
      </c>
    </row>
    <row r="1000" spans="1:93" s="12" customFormat="1" x14ac:dyDescent="0.25">
      <c r="A1000" s="4">
        <v>2021</v>
      </c>
      <c r="B1000" s="318">
        <v>44279</v>
      </c>
      <c r="C1000" s="4" t="s">
        <v>1494</v>
      </c>
      <c r="D1000" s="4" t="s">
        <v>1495</v>
      </c>
      <c r="E1000" s="4"/>
      <c r="F1000" s="4" t="s">
        <v>1496</v>
      </c>
      <c r="G1000" s="5" t="s">
        <v>1497</v>
      </c>
      <c r="H1000" s="5" t="s">
        <v>1498</v>
      </c>
      <c r="I1000" s="5" t="s">
        <v>233</v>
      </c>
      <c r="J1000" s="5" t="s">
        <v>10</v>
      </c>
      <c r="K1000" s="5">
        <v>15.2</v>
      </c>
      <c r="L1000" s="5" t="s">
        <v>192</v>
      </c>
      <c r="M1000" s="5">
        <v>1100</v>
      </c>
      <c r="N1000" s="5" t="s">
        <v>170</v>
      </c>
      <c r="O1000" s="6" t="s">
        <v>1499</v>
      </c>
      <c r="P1000" s="6" t="s">
        <v>1500</v>
      </c>
      <c r="Q1000" s="6"/>
      <c r="R1000" s="6"/>
      <c r="S1000" s="6">
        <v>15</v>
      </c>
      <c r="T1000" s="6">
        <v>3.96</v>
      </c>
      <c r="U1000" s="6">
        <v>6000</v>
      </c>
      <c r="V1000" s="6">
        <v>9.57</v>
      </c>
      <c r="W1000" s="6">
        <v>6000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7">
        <v>45</v>
      </c>
      <c r="AD1000" s="7" t="s">
        <v>52</v>
      </c>
      <c r="AE1000" s="7">
        <v>14.17</v>
      </c>
      <c r="AF1000" s="7">
        <v>1080</v>
      </c>
      <c r="AG1000" s="7">
        <v>30.05</v>
      </c>
      <c r="AH1000" s="7">
        <v>18.82</v>
      </c>
      <c r="AI1000" s="7">
        <v>23.08</v>
      </c>
      <c r="AJ1000" s="9">
        <v>203.684494054895</v>
      </c>
      <c r="AK1000" s="9">
        <v>204.61023473152301</v>
      </c>
      <c r="AL1000" s="9">
        <v>246.38346923051199</v>
      </c>
      <c r="AM1000" s="9">
        <v>30.366905355615799</v>
      </c>
      <c r="AN1000" s="9">
        <v>0.67482011901368399</v>
      </c>
      <c r="AO1000" s="9">
        <v>0.77183647654017096</v>
      </c>
      <c r="AP1000" s="9">
        <v>248.61495721714601</v>
      </c>
      <c r="AQ1000" s="9">
        <v>5.52477682704769</v>
      </c>
      <c r="AR1000" s="9">
        <v>8.2975757148671008</v>
      </c>
      <c r="AS1000" s="8" t="s">
        <v>169</v>
      </c>
      <c r="AT1000" s="8" t="s">
        <v>169</v>
      </c>
      <c r="AU1000" s="8"/>
      <c r="AV1000" s="10">
        <v>0</v>
      </c>
      <c r="AW1000" s="8"/>
      <c r="AX1000" s="8"/>
      <c r="AY1000" s="8"/>
      <c r="AZ1000" s="8"/>
      <c r="BA1000" s="8"/>
      <c r="BB1000" s="8"/>
      <c r="BC1000" s="8"/>
      <c r="BD1000" s="8"/>
      <c r="BE1000" s="8"/>
      <c r="BF1000" s="12">
        <v>0.49</v>
      </c>
      <c r="BG1000" s="13">
        <v>210.26775903247301</v>
      </c>
      <c r="BH1000" s="96" t="str">
        <f>+VLOOKUP(G1000,Liste!$A$7:$G$50,3,FALSE)</f>
        <v>Pin Noir d'Autriche</v>
      </c>
      <c r="BI1000" s="96" t="str">
        <f>+VLOOKUP(H1000,Liste!$B$7:$G$50,5,FALSE)</f>
        <v>GSM Alpes du Sud</v>
      </c>
      <c r="BJ1000" s="135">
        <f t="shared" si="301"/>
        <v>45</v>
      </c>
      <c r="BK1000" s="135" t="str">
        <f t="shared" si="303"/>
        <v>Pin Noir d'Autriche_F2_PO2_d4_GSM Alpes du Sud_45_</v>
      </c>
      <c r="BL1000" s="322"/>
      <c r="BM1000" s="13">
        <v>55.462870261751902</v>
      </c>
      <c r="BN1000" s="13">
        <v>265.730629294224</v>
      </c>
      <c r="BO1000" s="12" t="s">
        <v>169</v>
      </c>
      <c r="BP1000" s="13">
        <v>198.86807572232701</v>
      </c>
      <c r="BQ1000" s="13">
        <v>8.7148927688097597</v>
      </c>
      <c r="BT1000" s="298" t="str">
        <f>+VLOOKUP(G1000,Liste!$A$7:$H$50,8,FALSE)</f>
        <v>Résineux</v>
      </c>
      <c r="BU1000" s="298">
        <f t="shared" si="304"/>
        <v>0</v>
      </c>
      <c r="BV1000" s="300">
        <f t="shared" si="305"/>
        <v>1</v>
      </c>
      <c r="BW1000" s="321">
        <v>0</v>
      </c>
      <c r="BX1000" s="298">
        <f t="shared" si="306"/>
        <v>0.43</v>
      </c>
      <c r="BY1000">
        <f t="shared" si="307"/>
        <v>0</v>
      </c>
      <c r="BZ1000" s="304">
        <f t="shared" si="308"/>
        <v>0</v>
      </c>
      <c r="CB1000" s="299">
        <v>0.6</v>
      </c>
      <c r="CC1000" s="299">
        <v>0.4</v>
      </c>
      <c r="CD1000">
        <f t="shared" si="309"/>
        <v>0</v>
      </c>
      <c r="CE1000">
        <f t="shared" si="310"/>
        <v>0</v>
      </c>
      <c r="CF1000">
        <f t="shared" si="311"/>
        <v>0</v>
      </c>
      <c r="CG1000">
        <f t="shared" si="312"/>
        <v>0</v>
      </c>
      <c r="CH1000">
        <f t="shared" si="313"/>
        <v>0</v>
      </c>
      <c r="CI1000">
        <f t="shared" si="314"/>
        <v>0</v>
      </c>
      <c r="CJ1000">
        <f t="shared" si="315"/>
        <v>0</v>
      </c>
      <c r="CK1000">
        <f t="shared" si="316"/>
        <v>0</v>
      </c>
      <c r="CL1000">
        <f t="shared" si="317"/>
        <v>0</v>
      </c>
      <c r="CM1000">
        <f t="shared" si="319"/>
        <v>0</v>
      </c>
      <c r="CN1000">
        <f t="shared" si="318"/>
        <v>0</v>
      </c>
      <c r="CO1000">
        <f t="shared" si="302"/>
        <v>0</v>
      </c>
    </row>
    <row r="1001" spans="1:93" s="12" customFormat="1" x14ac:dyDescent="0.25">
      <c r="A1001" s="4">
        <v>2021</v>
      </c>
      <c r="B1001" s="318">
        <v>44279</v>
      </c>
      <c r="C1001" s="4" t="s">
        <v>1494</v>
      </c>
      <c r="D1001" s="4" t="s">
        <v>1495</v>
      </c>
      <c r="E1001" s="4"/>
      <c r="F1001" s="4" t="s">
        <v>1496</v>
      </c>
      <c r="G1001" s="5" t="s">
        <v>1497</v>
      </c>
      <c r="H1001" s="5" t="s">
        <v>1498</v>
      </c>
      <c r="I1001" s="5" t="s">
        <v>233</v>
      </c>
      <c r="J1001" s="5" t="s">
        <v>10</v>
      </c>
      <c r="K1001" s="5">
        <v>15.2</v>
      </c>
      <c r="L1001" s="5" t="s">
        <v>192</v>
      </c>
      <c r="M1001" s="5">
        <v>1100</v>
      </c>
      <c r="N1001" s="5" t="s">
        <v>170</v>
      </c>
      <c r="O1001" s="6" t="s">
        <v>1499</v>
      </c>
      <c r="P1001" s="6" t="s">
        <v>1500</v>
      </c>
      <c r="Q1001" s="6"/>
      <c r="R1001" s="6"/>
      <c r="S1001" s="6">
        <v>15</v>
      </c>
      <c r="T1001" s="6">
        <v>3.96</v>
      </c>
      <c r="U1001" s="6">
        <v>6000</v>
      </c>
      <c r="V1001" s="6">
        <v>9.57</v>
      </c>
      <c r="W1001" s="6">
        <v>6000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7">
        <v>45</v>
      </c>
      <c r="AD1001" s="7" t="s">
        <v>53</v>
      </c>
      <c r="AE1001" s="7">
        <v>14.2</v>
      </c>
      <c r="AF1001" s="7">
        <v>622</v>
      </c>
      <c r="AG1001" s="7">
        <v>19.07</v>
      </c>
      <c r="AH1001" s="7">
        <v>19.760000000000002</v>
      </c>
      <c r="AI1001" s="7">
        <v>23.08</v>
      </c>
      <c r="AJ1001" s="9">
        <v>129.68510069157199</v>
      </c>
      <c r="AK1001" s="9">
        <v>130.36713796401</v>
      </c>
      <c r="AL1001" s="9">
        <v>156.46022328156201</v>
      </c>
      <c r="AM1001" s="9">
        <v>30.366905355615799</v>
      </c>
      <c r="AN1001" s="9">
        <v>0.67482011901368399</v>
      </c>
      <c r="AO1001" s="9">
        <v>0.77183647654017096</v>
      </c>
      <c r="AP1001" s="9">
        <v>248.61495721714601</v>
      </c>
      <c r="AQ1001" s="9">
        <v>5.52477682704769</v>
      </c>
      <c r="AR1001" s="9">
        <v>8.2975757148671008</v>
      </c>
      <c r="AS1001" s="8">
        <v>458</v>
      </c>
      <c r="AT1001" s="8">
        <v>10.98</v>
      </c>
      <c r="AU1001" s="10">
        <v>17.471230376127561</v>
      </c>
      <c r="AV1001" s="10">
        <v>73.999393363323009</v>
      </c>
      <c r="AW1001" s="10">
        <v>0.86</v>
      </c>
      <c r="AX1001" s="10">
        <v>0.1615707278675175</v>
      </c>
      <c r="AY1001" s="8"/>
      <c r="AZ1001" s="8"/>
      <c r="BA1001" s="8"/>
      <c r="BB1001" s="8"/>
      <c r="BC1001" s="8"/>
      <c r="BD1001" s="8"/>
      <c r="BE1001" s="8"/>
      <c r="BF1001" s="12">
        <v>0.49</v>
      </c>
      <c r="BG1001" s="13">
        <v>133.52576221887301</v>
      </c>
      <c r="BH1001" s="96" t="str">
        <f>+VLOOKUP(G1001,Liste!$A$7:$G$50,3,FALSE)</f>
        <v>Pin Noir d'Autriche</v>
      </c>
      <c r="BI1001" s="96" t="str">
        <f>+VLOOKUP(H1001,Liste!$B$7:$G$50,5,FALSE)</f>
        <v>GSM Alpes du Sud</v>
      </c>
      <c r="BJ1001" s="135">
        <f t="shared" si="301"/>
        <v>45</v>
      </c>
      <c r="BK1001" s="135" t="str">
        <f t="shared" si="303"/>
        <v>Pin Noir d'Autriche_F2_PO2_d4_GSM Alpes du Sud_45_</v>
      </c>
      <c r="BL1001" s="322"/>
      <c r="BM1001" s="13">
        <v>37.132115071640897</v>
      </c>
      <c r="BN1001" s="13">
        <v>170.65787729051399</v>
      </c>
      <c r="BO1001" s="13">
        <v>95.072752003710008</v>
      </c>
      <c r="BP1001" s="13">
        <v>198.86807572232701</v>
      </c>
      <c r="BQ1001" s="13">
        <v>8.7148927688097597</v>
      </c>
      <c r="BT1001" s="298" t="str">
        <f>+VLOOKUP(G1001,Liste!$A$7:$H$50,8,FALSE)</f>
        <v>Résineux</v>
      </c>
      <c r="BU1001" s="298">
        <f t="shared" si="304"/>
        <v>0</v>
      </c>
      <c r="BV1001" s="300">
        <f t="shared" si="305"/>
        <v>1</v>
      </c>
      <c r="BW1001" s="321">
        <v>0</v>
      </c>
      <c r="BX1001" s="298">
        <f t="shared" si="306"/>
        <v>0.43</v>
      </c>
      <c r="BY1001">
        <f t="shared" si="307"/>
        <v>0</v>
      </c>
      <c r="BZ1001" s="304">
        <f t="shared" si="308"/>
        <v>0</v>
      </c>
      <c r="CB1001" s="299">
        <v>0.6</v>
      </c>
      <c r="CC1001" s="299">
        <v>0.4</v>
      </c>
      <c r="CD1001">
        <f t="shared" si="309"/>
        <v>0</v>
      </c>
      <c r="CE1001">
        <f t="shared" si="310"/>
        <v>0</v>
      </c>
      <c r="CF1001">
        <f t="shared" si="311"/>
        <v>0</v>
      </c>
      <c r="CG1001">
        <f t="shared" si="312"/>
        <v>0</v>
      </c>
      <c r="CH1001">
        <f t="shared" si="313"/>
        <v>0</v>
      </c>
      <c r="CI1001">
        <f t="shared" si="314"/>
        <v>0</v>
      </c>
      <c r="CJ1001">
        <f t="shared" si="315"/>
        <v>0</v>
      </c>
      <c r="CK1001">
        <f t="shared" si="316"/>
        <v>0</v>
      </c>
      <c r="CL1001">
        <f t="shared" si="317"/>
        <v>0</v>
      </c>
      <c r="CM1001">
        <f t="shared" si="319"/>
        <v>0</v>
      </c>
      <c r="CN1001">
        <f t="shared" si="318"/>
        <v>0</v>
      </c>
      <c r="CO1001">
        <f t="shared" si="302"/>
        <v>0</v>
      </c>
    </row>
    <row r="1002" spans="1:93" s="12" customFormat="1" x14ac:dyDescent="0.25">
      <c r="A1002" s="4">
        <v>2021</v>
      </c>
      <c r="B1002" s="318">
        <v>44279</v>
      </c>
      <c r="C1002" s="4" t="s">
        <v>1494</v>
      </c>
      <c r="D1002" s="4" t="s">
        <v>1495</v>
      </c>
      <c r="E1002" s="4"/>
      <c r="F1002" s="4" t="s">
        <v>1496</v>
      </c>
      <c r="G1002" s="5" t="s">
        <v>1497</v>
      </c>
      <c r="H1002" s="5" t="s">
        <v>1498</v>
      </c>
      <c r="I1002" s="5" t="s">
        <v>233</v>
      </c>
      <c r="J1002" s="5" t="s">
        <v>10</v>
      </c>
      <c r="K1002" s="5">
        <v>15.2</v>
      </c>
      <c r="L1002" s="5" t="s">
        <v>192</v>
      </c>
      <c r="M1002" s="5">
        <v>1100</v>
      </c>
      <c r="N1002" s="5" t="s">
        <v>170</v>
      </c>
      <c r="O1002" s="6" t="s">
        <v>1499</v>
      </c>
      <c r="P1002" s="6" t="s">
        <v>1500</v>
      </c>
      <c r="Q1002" s="6"/>
      <c r="R1002" s="6"/>
      <c r="S1002" s="6">
        <v>15</v>
      </c>
      <c r="T1002" s="6">
        <v>3.96</v>
      </c>
      <c r="U1002" s="6">
        <v>6000</v>
      </c>
      <c r="V1002" s="6">
        <v>9.57</v>
      </c>
      <c r="W1002" s="6">
        <v>6000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7">
        <v>50</v>
      </c>
      <c r="AD1002" s="7" t="s">
        <v>52</v>
      </c>
      <c r="AE1002" s="7">
        <v>15.24</v>
      </c>
      <c r="AF1002" s="7">
        <v>619</v>
      </c>
      <c r="AG1002" s="7">
        <v>22.83</v>
      </c>
      <c r="AH1002" s="7">
        <v>21.67</v>
      </c>
      <c r="AI1002" s="7">
        <v>25.32</v>
      </c>
      <c r="AJ1002" s="9">
        <v>166.820668567756</v>
      </c>
      <c r="AK1002" s="9">
        <v>167.718086905615</v>
      </c>
      <c r="AL1002" s="9">
        <v>197.13029256337899</v>
      </c>
      <c r="AM1002" s="9">
        <v>34.2260877383166</v>
      </c>
      <c r="AN1002" s="9">
        <v>0.68452175476633303</v>
      </c>
      <c r="AO1002" s="9">
        <v>0.73198883262289605</v>
      </c>
      <c r="AP1002" s="9">
        <v>290.10283579148103</v>
      </c>
      <c r="AQ1002" s="9">
        <v>5.8020567158296297</v>
      </c>
      <c r="AR1002" s="9">
        <v>8.3290055737901305</v>
      </c>
      <c r="AS1002" s="8" t="s">
        <v>169</v>
      </c>
      <c r="AT1002" s="8" t="s">
        <v>169</v>
      </c>
      <c r="AU1002" s="10" t="s">
        <v>169</v>
      </c>
      <c r="AV1002" s="10">
        <v>0</v>
      </c>
      <c r="AW1002" s="8"/>
      <c r="AX1002" s="10" t="s">
        <v>169</v>
      </c>
      <c r="AY1002" s="8"/>
      <c r="AZ1002" s="8"/>
      <c r="BA1002" s="8"/>
      <c r="BB1002" s="8"/>
      <c r="BC1002" s="8"/>
      <c r="BD1002" s="8"/>
      <c r="BE1002" s="8"/>
      <c r="BF1002" s="12">
        <v>0.49</v>
      </c>
      <c r="BG1002" s="13">
        <v>168.234277178464</v>
      </c>
      <c r="BH1002" s="96" t="str">
        <f>+VLOOKUP(G1002,Liste!$A$7:$G$50,3,FALSE)</f>
        <v>Pin Noir d'Autriche</v>
      </c>
      <c r="BI1002" s="96" t="str">
        <f>+VLOOKUP(H1002,Liste!$B$7:$G$50,5,FALSE)</f>
        <v>GSM Alpes du Sud</v>
      </c>
      <c r="BJ1002" s="135">
        <f t="shared" si="301"/>
        <v>50</v>
      </c>
      <c r="BK1002" s="135" t="str">
        <f t="shared" si="303"/>
        <v>Pin Noir d'Autriche_F2_PO2_d4_GSM Alpes du Sud_50_</v>
      </c>
      <c r="BL1002" s="322"/>
      <c r="BM1002" s="13">
        <v>45.542664517865099</v>
      </c>
      <c r="BN1002" s="13">
        <v>213.776941696329</v>
      </c>
      <c r="BO1002" s="13" t="s">
        <v>169</v>
      </c>
      <c r="BP1002" s="13">
        <v>198.86807572232701</v>
      </c>
      <c r="BQ1002" s="13">
        <v>8.7206885492661605</v>
      </c>
      <c r="BT1002" s="298" t="str">
        <f>+VLOOKUP(G1002,Liste!$A$7:$H$50,8,FALSE)</f>
        <v>Résineux</v>
      </c>
      <c r="BU1002" s="298">
        <f t="shared" si="304"/>
        <v>0</v>
      </c>
      <c r="BV1002" s="300">
        <f t="shared" si="305"/>
        <v>1</v>
      </c>
      <c r="BW1002" s="321">
        <v>0</v>
      </c>
      <c r="BX1002" s="298">
        <f t="shared" si="306"/>
        <v>0.43</v>
      </c>
      <c r="BY1002">
        <f t="shared" si="307"/>
        <v>0</v>
      </c>
      <c r="BZ1002" s="304">
        <f t="shared" si="308"/>
        <v>0</v>
      </c>
      <c r="CB1002" s="299">
        <v>0.6</v>
      </c>
      <c r="CC1002" s="299">
        <v>0.4</v>
      </c>
      <c r="CD1002">
        <f t="shared" si="309"/>
        <v>0</v>
      </c>
      <c r="CE1002">
        <f t="shared" si="310"/>
        <v>0</v>
      </c>
      <c r="CF1002">
        <f t="shared" si="311"/>
        <v>0</v>
      </c>
      <c r="CG1002">
        <f t="shared" si="312"/>
        <v>0</v>
      </c>
      <c r="CH1002">
        <f t="shared" si="313"/>
        <v>0</v>
      </c>
      <c r="CI1002">
        <f t="shared" si="314"/>
        <v>0</v>
      </c>
      <c r="CJ1002">
        <f t="shared" si="315"/>
        <v>0</v>
      </c>
      <c r="CK1002">
        <f t="shared" si="316"/>
        <v>0</v>
      </c>
      <c r="CL1002">
        <f t="shared" si="317"/>
        <v>0</v>
      </c>
      <c r="CM1002">
        <f t="shared" si="319"/>
        <v>0</v>
      </c>
      <c r="CN1002">
        <f t="shared" si="318"/>
        <v>0</v>
      </c>
      <c r="CO1002">
        <f t="shared" si="302"/>
        <v>0</v>
      </c>
    </row>
    <row r="1003" spans="1:93" s="12" customFormat="1" x14ac:dyDescent="0.25">
      <c r="A1003" s="4">
        <v>2021</v>
      </c>
      <c r="B1003" s="318">
        <v>44279</v>
      </c>
      <c r="C1003" s="4" t="s">
        <v>1494</v>
      </c>
      <c r="D1003" s="4" t="s">
        <v>1495</v>
      </c>
      <c r="E1003" s="4"/>
      <c r="F1003" s="4" t="s">
        <v>1496</v>
      </c>
      <c r="G1003" s="5" t="s">
        <v>1497</v>
      </c>
      <c r="H1003" s="5" t="s">
        <v>1498</v>
      </c>
      <c r="I1003" s="5" t="s">
        <v>233</v>
      </c>
      <c r="J1003" s="5" t="s">
        <v>10</v>
      </c>
      <c r="K1003" s="5">
        <v>15.2</v>
      </c>
      <c r="L1003" s="5" t="s">
        <v>192</v>
      </c>
      <c r="M1003" s="5">
        <v>1100</v>
      </c>
      <c r="N1003" s="5" t="s">
        <v>170</v>
      </c>
      <c r="O1003" s="6" t="s">
        <v>1499</v>
      </c>
      <c r="P1003" s="6" t="s">
        <v>1500</v>
      </c>
      <c r="Q1003" s="6"/>
      <c r="R1003" s="6"/>
      <c r="S1003" s="6">
        <v>15</v>
      </c>
      <c r="T1003" s="6">
        <v>3.96</v>
      </c>
      <c r="U1003" s="6">
        <v>6000</v>
      </c>
      <c r="V1003" s="6">
        <v>9.57</v>
      </c>
      <c r="W1003" s="6">
        <v>6000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7">
        <v>55</v>
      </c>
      <c r="AD1003" s="7" t="s">
        <v>52</v>
      </c>
      <c r="AE1003" s="7">
        <v>16.12</v>
      </c>
      <c r="AF1003" s="7">
        <v>615</v>
      </c>
      <c r="AG1003" s="7">
        <v>26.38</v>
      </c>
      <c r="AH1003" s="7">
        <v>23.37</v>
      </c>
      <c r="AI1003" s="7">
        <v>27.47</v>
      </c>
      <c r="AJ1003" s="9">
        <v>204.392856198473</v>
      </c>
      <c r="AK1003" s="9">
        <v>205.49898446509599</v>
      </c>
      <c r="AL1003" s="9">
        <v>237.85344133099599</v>
      </c>
      <c r="AM1003" s="9">
        <v>37.886031901431103</v>
      </c>
      <c r="AN1003" s="9">
        <v>0.68883694366238402</v>
      </c>
      <c r="AO1003" s="9">
        <v>0.71401530352962606</v>
      </c>
      <c r="AP1003" s="9">
        <v>331.74786366043202</v>
      </c>
      <c r="AQ1003" s="9">
        <v>6.0317793392805799</v>
      </c>
      <c r="AR1003" s="9">
        <v>8.3795203361238997</v>
      </c>
      <c r="AS1003" s="8" t="s">
        <v>169</v>
      </c>
      <c r="AT1003" s="8" t="s">
        <v>169</v>
      </c>
      <c r="AU1003" s="10" t="s">
        <v>169</v>
      </c>
      <c r="AV1003" s="10">
        <v>0</v>
      </c>
      <c r="AW1003" s="8"/>
      <c r="AX1003" s="10" t="s">
        <v>169</v>
      </c>
      <c r="AY1003" s="8"/>
      <c r="AZ1003" s="8"/>
      <c r="BA1003" s="8"/>
      <c r="BB1003" s="8"/>
      <c r="BC1003" s="8"/>
      <c r="BD1003" s="8"/>
      <c r="BE1003" s="8"/>
      <c r="BF1003" s="12">
        <v>0.49</v>
      </c>
      <c r="BG1003" s="13">
        <v>202.98809105589399</v>
      </c>
      <c r="BH1003" s="96" t="str">
        <f>+VLOOKUP(G1003,Liste!$A$7:$G$50,3,FALSE)</f>
        <v>Pin Noir d'Autriche</v>
      </c>
      <c r="BI1003" s="96" t="str">
        <f>+VLOOKUP(H1003,Liste!$B$7:$G$50,5,FALSE)</f>
        <v>GSM Alpes du Sud</v>
      </c>
      <c r="BJ1003" s="135">
        <f t="shared" si="301"/>
        <v>55</v>
      </c>
      <c r="BK1003" s="135" t="str">
        <f t="shared" si="303"/>
        <v>Pin Noir d'Autriche_F2_PO2_d4_GSM Alpes du Sud_55_</v>
      </c>
      <c r="BL1003" s="322"/>
      <c r="BM1003" s="13">
        <v>53.762738455889803</v>
      </c>
      <c r="BN1003" s="13">
        <v>256.75082951178399</v>
      </c>
      <c r="BO1003" s="13" t="s">
        <v>169</v>
      </c>
      <c r="BP1003" s="13">
        <v>198.86807572232701</v>
      </c>
      <c r="BQ1003" s="13">
        <v>8.7499147899699103</v>
      </c>
      <c r="BT1003" s="298" t="str">
        <f>+VLOOKUP(G1003,Liste!$A$7:$H$50,8,FALSE)</f>
        <v>Résineux</v>
      </c>
      <c r="BU1003" s="298">
        <f t="shared" si="304"/>
        <v>0</v>
      </c>
      <c r="BV1003" s="300">
        <f t="shared" si="305"/>
        <v>1</v>
      </c>
      <c r="BW1003" s="321">
        <v>0</v>
      </c>
      <c r="BX1003" s="298">
        <f t="shared" si="306"/>
        <v>0.43</v>
      </c>
      <c r="BY1003">
        <f t="shared" si="307"/>
        <v>0</v>
      </c>
      <c r="BZ1003" s="304">
        <f t="shared" si="308"/>
        <v>0</v>
      </c>
      <c r="CB1003" s="299">
        <v>0.6</v>
      </c>
      <c r="CC1003" s="299">
        <v>0.4</v>
      </c>
      <c r="CD1003">
        <f t="shared" si="309"/>
        <v>0</v>
      </c>
      <c r="CE1003">
        <f t="shared" si="310"/>
        <v>0</v>
      </c>
      <c r="CF1003">
        <f t="shared" si="311"/>
        <v>0</v>
      </c>
      <c r="CG1003">
        <f t="shared" si="312"/>
        <v>0</v>
      </c>
      <c r="CH1003">
        <f t="shared" si="313"/>
        <v>0</v>
      </c>
      <c r="CI1003">
        <f t="shared" si="314"/>
        <v>0</v>
      </c>
      <c r="CJ1003">
        <f t="shared" si="315"/>
        <v>0</v>
      </c>
      <c r="CK1003">
        <f t="shared" si="316"/>
        <v>0</v>
      </c>
      <c r="CL1003">
        <f t="shared" si="317"/>
        <v>0</v>
      </c>
      <c r="CM1003">
        <f t="shared" si="319"/>
        <v>0</v>
      </c>
      <c r="CN1003">
        <f t="shared" si="318"/>
        <v>0</v>
      </c>
      <c r="CO1003">
        <f t="shared" si="302"/>
        <v>0</v>
      </c>
    </row>
    <row r="1004" spans="1:93" s="12" customFormat="1" x14ac:dyDescent="0.25">
      <c r="A1004" s="4">
        <v>2021</v>
      </c>
      <c r="B1004" s="318">
        <v>44279</v>
      </c>
      <c r="C1004" s="4" t="s">
        <v>1494</v>
      </c>
      <c r="D1004" s="4" t="s">
        <v>1495</v>
      </c>
      <c r="E1004" s="4"/>
      <c r="F1004" s="4" t="s">
        <v>1496</v>
      </c>
      <c r="G1004" s="5" t="s">
        <v>1497</v>
      </c>
      <c r="H1004" s="5" t="s">
        <v>1498</v>
      </c>
      <c r="I1004" s="5" t="s">
        <v>233</v>
      </c>
      <c r="J1004" s="5" t="s">
        <v>10</v>
      </c>
      <c r="K1004" s="5">
        <v>15.2</v>
      </c>
      <c r="L1004" s="5" t="s">
        <v>192</v>
      </c>
      <c r="M1004" s="5">
        <v>1100</v>
      </c>
      <c r="N1004" s="5" t="s">
        <v>170</v>
      </c>
      <c r="O1004" s="6" t="s">
        <v>1499</v>
      </c>
      <c r="P1004" s="6" t="s">
        <v>1500</v>
      </c>
      <c r="Q1004" s="6"/>
      <c r="R1004" s="6"/>
      <c r="S1004" s="6">
        <v>15</v>
      </c>
      <c r="T1004" s="6">
        <v>3.96</v>
      </c>
      <c r="U1004" s="6">
        <v>6000</v>
      </c>
      <c r="V1004" s="6">
        <v>9.57</v>
      </c>
      <c r="W1004" s="6">
        <v>6000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7">
        <v>60</v>
      </c>
      <c r="AD1004" s="7" t="s">
        <v>52</v>
      </c>
      <c r="AE1004" s="7">
        <v>17.03</v>
      </c>
      <c r="AF1004" s="7">
        <v>613</v>
      </c>
      <c r="AG1004" s="7">
        <v>29.88</v>
      </c>
      <c r="AH1004" s="7">
        <v>24.91</v>
      </c>
      <c r="AI1004" s="7">
        <v>29.41</v>
      </c>
      <c r="AJ1004" s="9">
        <v>242.61111792695499</v>
      </c>
      <c r="AK1004" s="9">
        <v>243.92693215568499</v>
      </c>
      <c r="AL1004" s="9">
        <v>279.11151821648002</v>
      </c>
      <c r="AM1004" s="9">
        <v>41.4561084190792</v>
      </c>
      <c r="AN1004" s="9">
        <v>0.69093514031798697</v>
      </c>
      <c r="AO1004" s="9">
        <v>0.63633704698397897</v>
      </c>
      <c r="AP1004" s="9">
        <v>373.64546534105199</v>
      </c>
      <c r="AQ1004" s="9">
        <v>6.2274244223508601</v>
      </c>
      <c r="AR1004" s="9">
        <v>7.3362933080018102</v>
      </c>
      <c r="AS1004" s="8" t="s">
        <v>169</v>
      </c>
      <c r="AT1004" s="8" t="s">
        <v>169</v>
      </c>
      <c r="AU1004" s="10" t="s">
        <v>169</v>
      </c>
      <c r="AV1004" s="10">
        <v>0</v>
      </c>
      <c r="AW1004" s="8"/>
      <c r="AX1004" s="10" t="s">
        <v>169</v>
      </c>
      <c r="AY1004" s="8"/>
      <c r="AZ1004" s="8"/>
      <c r="BA1004" s="8"/>
      <c r="BB1004" s="8"/>
      <c r="BC1004" s="8"/>
      <c r="BD1004" s="8"/>
      <c r="BE1004" s="8"/>
      <c r="BF1004" s="12">
        <v>0.49</v>
      </c>
      <c r="BG1004" s="13">
        <v>238.19842150458101</v>
      </c>
      <c r="BH1004" s="96" t="str">
        <f>+VLOOKUP(G1004,Liste!$A$7:$G$50,3,FALSE)</f>
        <v>Pin Noir d'Autriche</v>
      </c>
      <c r="BI1004" s="96" t="str">
        <f>+VLOOKUP(H1004,Liste!$B$7:$G$50,5,FALSE)</f>
        <v>GSM Alpes du Sud</v>
      </c>
      <c r="BJ1004" s="135">
        <f t="shared" si="301"/>
        <v>60</v>
      </c>
      <c r="BK1004" s="135" t="str">
        <f t="shared" si="303"/>
        <v>Pin Noir d'Autriche_F2_PO2_d4_GSM Alpes du Sud_60_</v>
      </c>
      <c r="BL1004" s="322"/>
      <c r="BM1004" s="13">
        <v>61.924654070582399</v>
      </c>
      <c r="BN1004" s="13">
        <v>300.123075575163</v>
      </c>
      <c r="BO1004" s="13" t="s">
        <v>169</v>
      </c>
      <c r="BP1004" s="13">
        <v>198.86807572232701</v>
      </c>
      <c r="BQ1004" s="13">
        <v>7.6434324977354802</v>
      </c>
      <c r="BT1004" s="298" t="str">
        <f>+VLOOKUP(G1004,Liste!$A$7:$H$50,8,FALSE)</f>
        <v>Résineux</v>
      </c>
      <c r="BU1004" s="298">
        <f t="shared" si="304"/>
        <v>0</v>
      </c>
      <c r="BV1004" s="300">
        <f t="shared" si="305"/>
        <v>1</v>
      </c>
      <c r="BW1004" s="321">
        <v>0</v>
      </c>
      <c r="BX1004" s="298">
        <f t="shared" si="306"/>
        <v>0.43</v>
      </c>
      <c r="BY1004">
        <f t="shared" si="307"/>
        <v>0</v>
      </c>
      <c r="BZ1004" s="304">
        <f t="shared" si="308"/>
        <v>0</v>
      </c>
      <c r="CB1004" s="299">
        <v>0.6</v>
      </c>
      <c r="CC1004" s="299">
        <v>0.4</v>
      </c>
      <c r="CD1004">
        <f t="shared" si="309"/>
        <v>0</v>
      </c>
      <c r="CE1004">
        <f t="shared" si="310"/>
        <v>0</v>
      </c>
      <c r="CF1004">
        <f t="shared" si="311"/>
        <v>0</v>
      </c>
      <c r="CG1004">
        <f t="shared" si="312"/>
        <v>0</v>
      </c>
      <c r="CH1004">
        <f t="shared" si="313"/>
        <v>0</v>
      </c>
      <c r="CI1004">
        <f t="shared" si="314"/>
        <v>0</v>
      </c>
      <c r="CJ1004">
        <f t="shared" si="315"/>
        <v>0</v>
      </c>
      <c r="CK1004">
        <f t="shared" si="316"/>
        <v>0</v>
      </c>
      <c r="CL1004">
        <f t="shared" si="317"/>
        <v>0</v>
      </c>
      <c r="CM1004">
        <f t="shared" si="319"/>
        <v>0</v>
      </c>
      <c r="CN1004">
        <f t="shared" si="318"/>
        <v>0</v>
      </c>
      <c r="CO1004">
        <f t="shared" si="302"/>
        <v>0</v>
      </c>
    </row>
    <row r="1005" spans="1:93" s="12" customFormat="1" x14ac:dyDescent="0.25">
      <c r="A1005" s="4">
        <v>2021</v>
      </c>
      <c r="B1005" s="318">
        <v>44279</v>
      </c>
      <c r="C1005" s="4" t="s">
        <v>1494</v>
      </c>
      <c r="D1005" s="4" t="s">
        <v>1495</v>
      </c>
      <c r="E1005" s="4"/>
      <c r="F1005" s="4" t="s">
        <v>1496</v>
      </c>
      <c r="G1005" s="5" t="s">
        <v>1497</v>
      </c>
      <c r="H1005" s="5" t="s">
        <v>1498</v>
      </c>
      <c r="I1005" s="5" t="s">
        <v>233</v>
      </c>
      <c r="J1005" s="5" t="s">
        <v>10</v>
      </c>
      <c r="K1005" s="5">
        <v>15.2</v>
      </c>
      <c r="L1005" s="5" t="s">
        <v>192</v>
      </c>
      <c r="M1005" s="5">
        <v>1100</v>
      </c>
      <c r="N1005" s="5" t="s">
        <v>170</v>
      </c>
      <c r="O1005" s="6" t="s">
        <v>1499</v>
      </c>
      <c r="P1005" s="6" t="s">
        <v>1500</v>
      </c>
      <c r="Q1005" s="6"/>
      <c r="R1005" s="6"/>
      <c r="S1005" s="6">
        <v>15</v>
      </c>
      <c r="T1005" s="6">
        <v>3.96</v>
      </c>
      <c r="U1005" s="6">
        <v>6000</v>
      </c>
      <c r="V1005" s="6">
        <v>9.57</v>
      </c>
      <c r="W1005" s="6">
        <v>6000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7">
        <v>60</v>
      </c>
      <c r="AD1005" s="7" t="s">
        <v>53</v>
      </c>
      <c r="AE1005" s="7">
        <v>17.03</v>
      </c>
      <c r="AF1005" s="7">
        <v>398</v>
      </c>
      <c r="AG1005" s="7">
        <v>21.06</v>
      </c>
      <c r="AH1005" s="7">
        <v>25.95</v>
      </c>
      <c r="AI1005" s="7">
        <v>29.41</v>
      </c>
      <c r="AJ1005" s="9">
        <v>170.92473580854599</v>
      </c>
      <c r="AK1005" s="9">
        <v>171.949359287383</v>
      </c>
      <c r="AL1005" s="9">
        <v>196.764441641503</v>
      </c>
      <c r="AM1005" s="9">
        <v>41.4561084190792</v>
      </c>
      <c r="AN1005" s="9">
        <v>0.69093514031798697</v>
      </c>
      <c r="AO1005" s="9">
        <v>0.63633704698397897</v>
      </c>
      <c r="AP1005" s="9">
        <v>373.64546534105199</v>
      </c>
      <c r="AQ1005" s="9">
        <v>6.2274244223508601</v>
      </c>
      <c r="AR1005" s="9">
        <v>7.3362933080018102</v>
      </c>
      <c r="AS1005" s="8">
        <v>215</v>
      </c>
      <c r="AT1005" s="8">
        <v>8.82</v>
      </c>
      <c r="AU1005" s="10">
        <v>22.85441566877444</v>
      </c>
      <c r="AV1005" s="10">
        <v>71.686382118409</v>
      </c>
      <c r="AW1005" s="8">
        <v>0.84</v>
      </c>
      <c r="AX1005" s="10">
        <v>0.33342503310887905</v>
      </c>
      <c r="AY1005" s="8"/>
      <c r="AZ1005" s="8"/>
      <c r="BA1005" s="8"/>
      <c r="BB1005" s="8"/>
      <c r="BC1005" s="8"/>
      <c r="BD1005" s="8"/>
      <c r="BE1005" s="8"/>
      <c r="BF1005" s="12">
        <v>0.49</v>
      </c>
      <c r="BG1005" s="13">
        <v>167.92205390422001</v>
      </c>
      <c r="BH1005" s="96" t="str">
        <f>+VLOOKUP(G1005,Liste!$A$7:$G$50,3,FALSE)</f>
        <v>Pin Noir d'Autriche</v>
      </c>
      <c r="BI1005" s="96" t="str">
        <f>+VLOOKUP(H1005,Liste!$B$7:$G$50,5,FALSE)</f>
        <v>GSM Alpes du Sud</v>
      </c>
      <c r="BJ1005" s="135">
        <f t="shared" si="301"/>
        <v>60</v>
      </c>
      <c r="BK1005" s="135" t="str">
        <f t="shared" si="303"/>
        <v>Pin Noir d'Autriche_F2_PO2_d4_GSM Alpes du Sud_60_</v>
      </c>
      <c r="BL1005" s="322"/>
      <c r="BM1005" s="13">
        <v>45.467972899521499</v>
      </c>
      <c r="BN1005" s="13">
        <v>213.39002680374099</v>
      </c>
      <c r="BO1005" s="13">
        <v>86.733048771422006</v>
      </c>
      <c r="BP1005" s="13">
        <v>198.86807572232701</v>
      </c>
      <c r="BQ1005" s="13">
        <v>7.6434324977354802</v>
      </c>
      <c r="BT1005" s="298" t="str">
        <f>+VLOOKUP(G1005,Liste!$A$7:$H$50,8,FALSE)</f>
        <v>Résineux</v>
      </c>
      <c r="BU1005" s="298">
        <f t="shared" si="304"/>
        <v>0</v>
      </c>
      <c r="BV1005" s="300">
        <f t="shared" si="305"/>
        <v>1</v>
      </c>
      <c r="BW1005" s="321">
        <v>0</v>
      </c>
      <c r="BX1005" s="298">
        <f t="shared" si="306"/>
        <v>0.43</v>
      </c>
      <c r="BY1005">
        <f t="shared" si="307"/>
        <v>0</v>
      </c>
      <c r="BZ1005" s="304">
        <f t="shared" si="308"/>
        <v>0</v>
      </c>
      <c r="CB1005" s="299">
        <v>0.6</v>
      </c>
      <c r="CC1005" s="299">
        <v>0.4</v>
      </c>
      <c r="CD1005">
        <f t="shared" si="309"/>
        <v>0</v>
      </c>
      <c r="CE1005">
        <f t="shared" si="310"/>
        <v>0</v>
      </c>
      <c r="CF1005">
        <f t="shared" si="311"/>
        <v>0</v>
      </c>
      <c r="CG1005">
        <f t="shared" si="312"/>
        <v>0</v>
      </c>
      <c r="CH1005">
        <f t="shared" si="313"/>
        <v>0</v>
      </c>
      <c r="CI1005">
        <f t="shared" si="314"/>
        <v>0</v>
      </c>
      <c r="CJ1005">
        <f t="shared" si="315"/>
        <v>0</v>
      </c>
      <c r="CK1005">
        <f t="shared" si="316"/>
        <v>0</v>
      </c>
      <c r="CL1005">
        <f t="shared" si="317"/>
        <v>0</v>
      </c>
      <c r="CM1005">
        <f t="shared" si="319"/>
        <v>0</v>
      </c>
      <c r="CN1005">
        <f t="shared" si="318"/>
        <v>0</v>
      </c>
      <c r="CO1005">
        <f t="shared" si="302"/>
        <v>0</v>
      </c>
    </row>
    <row r="1006" spans="1:93" s="12" customFormat="1" x14ac:dyDescent="0.25">
      <c r="A1006" s="4">
        <v>2021</v>
      </c>
      <c r="B1006" s="318">
        <v>44279</v>
      </c>
      <c r="C1006" s="4" t="s">
        <v>1494</v>
      </c>
      <c r="D1006" s="4" t="s">
        <v>1495</v>
      </c>
      <c r="E1006" s="4"/>
      <c r="F1006" s="4" t="s">
        <v>1496</v>
      </c>
      <c r="G1006" s="5" t="s">
        <v>1497</v>
      </c>
      <c r="H1006" s="5" t="s">
        <v>1498</v>
      </c>
      <c r="I1006" s="5" t="s">
        <v>233</v>
      </c>
      <c r="J1006" s="5" t="s">
        <v>10</v>
      </c>
      <c r="K1006" s="5">
        <v>15.2</v>
      </c>
      <c r="L1006" s="5" t="s">
        <v>192</v>
      </c>
      <c r="M1006" s="5">
        <v>1100</v>
      </c>
      <c r="N1006" s="5" t="s">
        <v>170</v>
      </c>
      <c r="O1006" s="6" t="s">
        <v>1499</v>
      </c>
      <c r="P1006" s="6" t="s">
        <v>1500</v>
      </c>
      <c r="Q1006" s="6"/>
      <c r="R1006" s="6"/>
      <c r="S1006" s="6">
        <v>15</v>
      </c>
      <c r="T1006" s="6">
        <v>3.96</v>
      </c>
      <c r="U1006" s="6">
        <v>6000</v>
      </c>
      <c r="V1006" s="6">
        <v>9.57</v>
      </c>
      <c r="W1006" s="6">
        <v>6000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7">
        <v>65</v>
      </c>
      <c r="AD1006" s="7" t="s">
        <v>52</v>
      </c>
      <c r="AE1006" s="7">
        <v>17.77</v>
      </c>
      <c r="AF1006" s="7">
        <v>397</v>
      </c>
      <c r="AG1006" s="7">
        <v>24.18</v>
      </c>
      <c r="AH1006" s="7">
        <v>27.85</v>
      </c>
      <c r="AI1006" s="7">
        <v>31.64</v>
      </c>
      <c r="AJ1006" s="9">
        <v>204.05067705282701</v>
      </c>
      <c r="AK1006" s="9">
        <v>205.31796382024399</v>
      </c>
      <c r="AL1006" s="9">
        <v>232.981166312178</v>
      </c>
      <c r="AM1006" s="9">
        <v>44.637793653999097</v>
      </c>
      <c r="AN1006" s="9">
        <v>0.68673528698460196</v>
      </c>
      <c r="AO1006" s="9">
        <v>0.64230815433093402</v>
      </c>
      <c r="AP1006" s="9">
        <v>410.326931881061</v>
      </c>
      <c r="AQ1006" s="9">
        <v>6.3127220289393904</v>
      </c>
      <c r="AR1006" s="9">
        <v>7.5076228296389598</v>
      </c>
      <c r="AS1006" s="8" t="s">
        <v>169</v>
      </c>
      <c r="AT1006" s="8" t="s">
        <v>169</v>
      </c>
      <c r="AU1006" s="10" t="s">
        <v>169</v>
      </c>
      <c r="AV1006" s="10">
        <v>0</v>
      </c>
      <c r="AW1006" s="8"/>
      <c r="AX1006" s="10" t="s">
        <v>169</v>
      </c>
      <c r="AY1006" s="8"/>
      <c r="AZ1006" s="8"/>
      <c r="BA1006" s="8"/>
      <c r="BB1006" s="8"/>
      <c r="BC1006" s="8"/>
      <c r="BD1006" s="8"/>
      <c r="BE1006" s="8"/>
      <c r="BF1006" s="12">
        <v>0.49</v>
      </c>
      <c r="BG1006" s="13">
        <v>198.830010350251</v>
      </c>
      <c r="BH1006" s="96" t="str">
        <f>+VLOOKUP(G1006,Liste!$A$7:$G$50,3,FALSE)</f>
        <v>Pin Noir d'Autriche</v>
      </c>
      <c r="BI1006" s="96" t="str">
        <f>+VLOOKUP(H1006,Liste!$B$7:$G$50,5,FALSE)</f>
        <v>GSM Alpes du Sud</v>
      </c>
      <c r="BJ1006" s="135">
        <f t="shared" si="301"/>
        <v>65</v>
      </c>
      <c r="BK1006" s="135" t="str">
        <f t="shared" si="303"/>
        <v>Pin Noir d'Autriche_F2_PO2_d4_GSM Alpes du Sud_65_</v>
      </c>
      <c r="BL1006" s="322"/>
      <c r="BM1006" s="13">
        <v>52.788464972800902</v>
      </c>
      <c r="BN1006" s="13">
        <v>251.618475323052</v>
      </c>
      <c r="BO1006" s="13" t="s">
        <v>169</v>
      </c>
      <c r="BP1006" s="13">
        <v>198.86807572232701</v>
      </c>
      <c r="BQ1006" s="13">
        <v>7.8071083609062999</v>
      </c>
      <c r="BT1006" s="298" t="str">
        <f>+VLOOKUP(G1006,Liste!$A$7:$H$50,8,FALSE)</f>
        <v>Résineux</v>
      </c>
      <c r="BU1006" s="298">
        <f t="shared" si="304"/>
        <v>0</v>
      </c>
      <c r="BV1006" s="300">
        <f t="shared" si="305"/>
        <v>1</v>
      </c>
      <c r="BW1006" s="321">
        <v>0</v>
      </c>
      <c r="BX1006" s="298">
        <f t="shared" si="306"/>
        <v>0.43</v>
      </c>
      <c r="BY1006">
        <f t="shared" si="307"/>
        <v>0</v>
      </c>
      <c r="BZ1006" s="304">
        <f t="shared" si="308"/>
        <v>0</v>
      </c>
      <c r="CB1006" s="299">
        <v>0.6</v>
      </c>
      <c r="CC1006" s="299">
        <v>0.4</v>
      </c>
      <c r="CD1006">
        <f t="shared" si="309"/>
        <v>0</v>
      </c>
      <c r="CE1006">
        <f t="shared" si="310"/>
        <v>0</v>
      </c>
      <c r="CF1006">
        <f t="shared" si="311"/>
        <v>0</v>
      </c>
      <c r="CG1006">
        <f t="shared" si="312"/>
        <v>0</v>
      </c>
      <c r="CH1006">
        <f t="shared" si="313"/>
        <v>0</v>
      </c>
      <c r="CI1006">
        <f t="shared" si="314"/>
        <v>0</v>
      </c>
      <c r="CJ1006">
        <f t="shared" si="315"/>
        <v>0</v>
      </c>
      <c r="CK1006">
        <f t="shared" si="316"/>
        <v>0</v>
      </c>
      <c r="CL1006">
        <f t="shared" si="317"/>
        <v>0</v>
      </c>
      <c r="CM1006">
        <f t="shared" si="319"/>
        <v>0</v>
      </c>
      <c r="CN1006">
        <f t="shared" si="318"/>
        <v>0</v>
      </c>
      <c r="CO1006">
        <f t="shared" si="302"/>
        <v>0</v>
      </c>
    </row>
    <row r="1007" spans="1:93" s="12" customFormat="1" x14ac:dyDescent="0.25">
      <c r="A1007" s="4">
        <v>2021</v>
      </c>
      <c r="B1007" s="318">
        <v>44279</v>
      </c>
      <c r="C1007" s="4" t="s">
        <v>1494</v>
      </c>
      <c r="D1007" s="4" t="s">
        <v>1495</v>
      </c>
      <c r="E1007" s="4"/>
      <c r="F1007" s="4" t="s">
        <v>1496</v>
      </c>
      <c r="G1007" s="5" t="s">
        <v>1497</v>
      </c>
      <c r="H1007" s="5" t="s">
        <v>1498</v>
      </c>
      <c r="I1007" s="5" t="s">
        <v>233</v>
      </c>
      <c r="J1007" s="5" t="s">
        <v>10</v>
      </c>
      <c r="K1007" s="5">
        <v>15.2</v>
      </c>
      <c r="L1007" s="5" t="s">
        <v>192</v>
      </c>
      <c r="M1007" s="5">
        <v>1100</v>
      </c>
      <c r="N1007" s="5" t="s">
        <v>170</v>
      </c>
      <c r="O1007" s="6" t="s">
        <v>1499</v>
      </c>
      <c r="P1007" s="6" t="s">
        <v>1500</v>
      </c>
      <c r="Q1007" s="6"/>
      <c r="R1007" s="6"/>
      <c r="S1007" s="6">
        <v>15</v>
      </c>
      <c r="T1007" s="6">
        <v>3.96</v>
      </c>
      <c r="U1007" s="6">
        <v>6000</v>
      </c>
      <c r="V1007" s="6">
        <v>9.57</v>
      </c>
      <c r="W1007" s="6">
        <v>6000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7">
        <v>70</v>
      </c>
      <c r="AD1007" s="7" t="s">
        <v>52</v>
      </c>
      <c r="AE1007" s="7">
        <v>18.36</v>
      </c>
      <c r="AF1007" s="7">
        <v>397</v>
      </c>
      <c r="AG1007" s="7">
        <v>27.4</v>
      </c>
      <c r="AH1007" s="7">
        <v>29.64</v>
      </c>
      <c r="AI1007" s="7">
        <v>33.72</v>
      </c>
      <c r="AJ1007" s="9">
        <v>238.32166697811101</v>
      </c>
      <c r="AK1007" s="9">
        <v>239.85709015137701</v>
      </c>
      <c r="AL1007" s="9">
        <v>270.51928046037301</v>
      </c>
      <c r="AM1007" s="9">
        <v>47.849334425653801</v>
      </c>
      <c r="AN1007" s="9">
        <v>0.683561920366483</v>
      </c>
      <c r="AO1007" s="9">
        <v>0.63904259286043397</v>
      </c>
      <c r="AP1007" s="9">
        <v>447.86504602925498</v>
      </c>
      <c r="AQ1007" s="9">
        <v>6.3980720861322196</v>
      </c>
      <c r="AR1007" s="9">
        <v>7.6313760202186502</v>
      </c>
      <c r="AS1007" s="8" t="s">
        <v>169</v>
      </c>
      <c r="AT1007" s="8" t="s">
        <v>169</v>
      </c>
      <c r="AU1007" s="10" t="s">
        <v>169</v>
      </c>
      <c r="AV1007" s="10">
        <v>0</v>
      </c>
      <c r="AW1007" s="8"/>
      <c r="AX1007" s="10" t="s">
        <v>169</v>
      </c>
      <c r="AY1007" s="8"/>
      <c r="AZ1007" s="8"/>
      <c r="BA1007" s="8"/>
      <c r="BB1007" s="8"/>
      <c r="BC1007" s="8"/>
      <c r="BD1007" s="8"/>
      <c r="BE1007" s="8"/>
      <c r="BF1007" s="12">
        <v>0.49</v>
      </c>
      <c r="BG1007" s="13">
        <v>230.865662599556</v>
      </c>
      <c r="BH1007" s="96" t="str">
        <f>+VLOOKUP(G1007,Liste!$A$7:$G$50,3,FALSE)</f>
        <v>Pin Noir d'Autriche</v>
      </c>
      <c r="BI1007" s="96" t="str">
        <f>+VLOOKUP(H1007,Liste!$B$7:$G$50,5,FALSE)</f>
        <v>GSM Alpes du Sud</v>
      </c>
      <c r="BJ1007" s="135">
        <f t="shared" si="301"/>
        <v>70</v>
      </c>
      <c r="BK1007" s="135" t="str">
        <f t="shared" si="303"/>
        <v>Pin Noir d'Autriche_F2_PO2_d4_GSM Alpes du Sud_70_</v>
      </c>
      <c r="BL1007" s="322"/>
      <c r="BM1007" s="13">
        <v>60.237191015587598</v>
      </c>
      <c r="BN1007" s="13">
        <v>291.102853615144</v>
      </c>
      <c r="BO1007" s="13" t="s">
        <v>169</v>
      </c>
      <c r="BP1007" s="13">
        <v>198.86807572232701</v>
      </c>
      <c r="BQ1007" s="13">
        <v>7.9218579244506504</v>
      </c>
      <c r="BT1007" s="298" t="str">
        <f>+VLOOKUP(G1007,Liste!$A$7:$H$50,8,FALSE)</f>
        <v>Résineux</v>
      </c>
      <c r="BU1007" s="298">
        <f t="shared" si="304"/>
        <v>0</v>
      </c>
      <c r="BV1007" s="300">
        <f t="shared" si="305"/>
        <v>1</v>
      </c>
      <c r="BW1007" s="321">
        <v>0</v>
      </c>
      <c r="BX1007" s="298">
        <f t="shared" si="306"/>
        <v>0.43</v>
      </c>
      <c r="BY1007">
        <f t="shared" si="307"/>
        <v>0</v>
      </c>
      <c r="BZ1007" s="304">
        <f t="shared" si="308"/>
        <v>0</v>
      </c>
      <c r="CB1007" s="299">
        <v>0.6</v>
      </c>
      <c r="CC1007" s="299">
        <v>0.4</v>
      </c>
      <c r="CD1007">
        <f t="shared" si="309"/>
        <v>0</v>
      </c>
      <c r="CE1007">
        <f t="shared" si="310"/>
        <v>0</v>
      </c>
      <c r="CF1007">
        <f t="shared" si="311"/>
        <v>0</v>
      </c>
      <c r="CG1007">
        <f t="shared" si="312"/>
        <v>0</v>
      </c>
      <c r="CH1007">
        <f t="shared" si="313"/>
        <v>0</v>
      </c>
      <c r="CI1007">
        <f t="shared" si="314"/>
        <v>0</v>
      </c>
      <c r="CJ1007">
        <f t="shared" si="315"/>
        <v>0</v>
      </c>
      <c r="CK1007">
        <f t="shared" si="316"/>
        <v>0</v>
      </c>
      <c r="CL1007">
        <f t="shared" si="317"/>
        <v>0</v>
      </c>
      <c r="CM1007">
        <f t="shared" si="319"/>
        <v>0</v>
      </c>
      <c r="CN1007">
        <f t="shared" si="318"/>
        <v>0</v>
      </c>
      <c r="CO1007">
        <f t="shared" si="302"/>
        <v>0</v>
      </c>
    </row>
    <row r="1008" spans="1:93" s="12" customFormat="1" x14ac:dyDescent="0.25">
      <c r="A1008" s="4">
        <v>2021</v>
      </c>
      <c r="B1008" s="318">
        <v>44279</v>
      </c>
      <c r="C1008" s="4" t="s">
        <v>1494</v>
      </c>
      <c r="D1008" s="4" t="s">
        <v>1495</v>
      </c>
      <c r="E1008" s="4"/>
      <c r="F1008" s="4" t="s">
        <v>1496</v>
      </c>
      <c r="G1008" s="5" t="s">
        <v>1497</v>
      </c>
      <c r="H1008" s="5" t="s">
        <v>1498</v>
      </c>
      <c r="I1008" s="5" t="s">
        <v>233</v>
      </c>
      <c r="J1008" s="5" t="s">
        <v>10</v>
      </c>
      <c r="K1008" s="5">
        <v>15.2</v>
      </c>
      <c r="L1008" s="5" t="s">
        <v>192</v>
      </c>
      <c r="M1008" s="5">
        <v>1100</v>
      </c>
      <c r="N1008" s="5" t="s">
        <v>170</v>
      </c>
      <c r="O1008" s="6" t="s">
        <v>1499</v>
      </c>
      <c r="P1008" s="6" t="s">
        <v>1500</v>
      </c>
      <c r="Q1008" s="6"/>
      <c r="R1008" s="6"/>
      <c r="S1008" s="6">
        <v>15</v>
      </c>
      <c r="T1008" s="6">
        <v>3.96</v>
      </c>
      <c r="U1008" s="6">
        <v>6000</v>
      </c>
      <c r="V1008" s="6">
        <v>9.57</v>
      </c>
      <c r="W1008" s="6">
        <v>6000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7">
        <v>75</v>
      </c>
      <c r="AD1008" s="7" t="s">
        <v>52</v>
      </c>
      <c r="AE1008" s="7">
        <v>18.97</v>
      </c>
      <c r="AF1008" s="7">
        <v>396</v>
      </c>
      <c r="AG1008" s="7">
        <v>30.54</v>
      </c>
      <c r="AH1008" s="7">
        <v>31.33</v>
      </c>
      <c r="AI1008" s="7">
        <v>35.76</v>
      </c>
      <c r="AJ1008" s="9">
        <v>272.71612220050201</v>
      </c>
      <c r="AK1008" s="9">
        <v>274.53039699724098</v>
      </c>
      <c r="AL1008" s="9">
        <v>308.13009251399899</v>
      </c>
      <c r="AM1008" s="9">
        <v>51.044547389956001</v>
      </c>
      <c r="AN1008" s="9">
        <v>0.68059396519941295</v>
      </c>
      <c r="AO1008" s="9">
        <v>0.60417860659520395</v>
      </c>
      <c r="AP1008" s="9">
        <v>486.02192613034902</v>
      </c>
      <c r="AQ1008" s="9">
        <v>6.4802923484046504</v>
      </c>
      <c r="AR1008" s="9">
        <v>7.0426113605479497</v>
      </c>
      <c r="AS1008" s="8" t="s">
        <v>169</v>
      </c>
      <c r="AT1008" s="8" t="s">
        <v>169</v>
      </c>
      <c r="AU1008" s="10" t="s">
        <v>169</v>
      </c>
      <c r="AV1008" s="10">
        <v>0</v>
      </c>
      <c r="AW1008" s="8"/>
      <c r="AX1008" s="10" t="s">
        <v>169</v>
      </c>
      <c r="AY1008" s="8"/>
      <c r="AZ1008" s="8"/>
      <c r="BA1008" s="8"/>
      <c r="BB1008" s="8"/>
      <c r="BC1008" s="8"/>
      <c r="BD1008" s="8"/>
      <c r="BE1008" s="8"/>
      <c r="BF1008" s="12">
        <v>0.49</v>
      </c>
      <c r="BG1008" s="13">
        <v>262.96335645298802</v>
      </c>
      <c r="BH1008" s="96" t="str">
        <f>+VLOOKUP(G1008,Liste!$A$7:$G$50,3,FALSE)</f>
        <v>Pin Noir d'Autriche</v>
      </c>
      <c r="BI1008" s="96" t="str">
        <f>+VLOOKUP(H1008,Liste!$B$7:$G$50,5,FALSE)</f>
        <v>GSM Alpes du Sud</v>
      </c>
      <c r="BJ1008" s="135">
        <f t="shared" si="301"/>
        <v>75</v>
      </c>
      <c r="BK1008" s="135" t="str">
        <f t="shared" si="303"/>
        <v>Pin Noir d'Autriche_F2_PO2_d4_GSM Alpes du Sud_75_</v>
      </c>
      <c r="BL1008" s="322"/>
      <c r="BM1008" s="13">
        <v>67.5802547680305</v>
      </c>
      <c r="BN1008" s="13">
        <v>330.54361122101898</v>
      </c>
      <c r="BO1008" s="13" t="s">
        <v>169</v>
      </c>
      <c r="BP1008" s="13">
        <v>198.86807572232701</v>
      </c>
      <c r="BQ1008" s="13">
        <v>7.2992722360965701</v>
      </c>
      <c r="BT1008" s="298" t="str">
        <f>+VLOOKUP(G1008,Liste!$A$7:$H$50,8,FALSE)</f>
        <v>Résineux</v>
      </c>
      <c r="BU1008" s="298">
        <f t="shared" si="304"/>
        <v>0</v>
      </c>
      <c r="BV1008" s="300">
        <f t="shared" si="305"/>
        <v>1</v>
      </c>
      <c r="BW1008" s="321">
        <v>0</v>
      </c>
      <c r="BX1008" s="298">
        <f t="shared" si="306"/>
        <v>0.43</v>
      </c>
      <c r="BY1008">
        <f t="shared" si="307"/>
        <v>0</v>
      </c>
      <c r="BZ1008" s="304">
        <f t="shared" si="308"/>
        <v>0</v>
      </c>
      <c r="CB1008" s="299">
        <v>0.6</v>
      </c>
      <c r="CC1008" s="299">
        <v>0.4</v>
      </c>
      <c r="CD1008">
        <f t="shared" si="309"/>
        <v>0</v>
      </c>
      <c r="CE1008">
        <f t="shared" si="310"/>
        <v>0</v>
      </c>
      <c r="CF1008">
        <f t="shared" si="311"/>
        <v>0</v>
      </c>
      <c r="CG1008">
        <f t="shared" si="312"/>
        <v>0</v>
      </c>
      <c r="CH1008">
        <f t="shared" si="313"/>
        <v>0</v>
      </c>
      <c r="CI1008">
        <f t="shared" si="314"/>
        <v>0</v>
      </c>
      <c r="CJ1008">
        <f t="shared" si="315"/>
        <v>0</v>
      </c>
      <c r="CK1008">
        <f t="shared" si="316"/>
        <v>0</v>
      </c>
      <c r="CL1008">
        <f t="shared" si="317"/>
        <v>0</v>
      </c>
      <c r="CM1008">
        <f t="shared" si="319"/>
        <v>0</v>
      </c>
      <c r="CN1008">
        <f t="shared" si="318"/>
        <v>0</v>
      </c>
      <c r="CO1008">
        <f t="shared" si="302"/>
        <v>0</v>
      </c>
    </row>
    <row r="1009" spans="1:93" s="12" customFormat="1" x14ac:dyDescent="0.25">
      <c r="A1009" s="4">
        <v>2021</v>
      </c>
      <c r="B1009" s="318">
        <v>44279</v>
      </c>
      <c r="C1009" s="4" t="s">
        <v>1494</v>
      </c>
      <c r="D1009" s="4" t="s">
        <v>1495</v>
      </c>
      <c r="E1009" s="4"/>
      <c r="F1009" s="4" t="s">
        <v>1496</v>
      </c>
      <c r="G1009" s="5" t="s">
        <v>1497</v>
      </c>
      <c r="H1009" s="5" t="s">
        <v>1498</v>
      </c>
      <c r="I1009" s="5" t="s">
        <v>233</v>
      </c>
      <c r="J1009" s="5" t="s">
        <v>10</v>
      </c>
      <c r="K1009" s="5">
        <v>15.2</v>
      </c>
      <c r="L1009" s="5" t="s">
        <v>192</v>
      </c>
      <c r="M1009" s="5">
        <v>1100</v>
      </c>
      <c r="N1009" s="5" t="s">
        <v>170</v>
      </c>
      <c r="O1009" s="6" t="s">
        <v>1499</v>
      </c>
      <c r="P1009" s="6" t="s">
        <v>1500</v>
      </c>
      <c r="Q1009" s="6"/>
      <c r="R1009" s="6"/>
      <c r="S1009" s="6">
        <v>15</v>
      </c>
      <c r="T1009" s="6">
        <v>3.96</v>
      </c>
      <c r="U1009" s="6">
        <v>6000</v>
      </c>
      <c r="V1009" s="6">
        <v>9.57</v>
      </c>
      <c r="W1009" s="6">
        <v>6000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7">
        <v>75</v>
      </c>
      <c r="AD1009" s="7" t="s">
        <v>53</v>
      </c>
      <c r="AE1009" s="7">
        <v>18.940000000000001</v>
      </c>
      <c r="AF1009" s="7">
        <v>275</v>
      </c>
      <c r="AG1009" s="7">
        <v>22.16</v>
      </c>
      <c r="AH1009" s="7">
        <v>32.03</v>
      </c>
      <c r="AI1009" s="7">
        <v>35.619999999999997</v>
      </c>
      <c r="AJ1009" s="9">
        <v>197.65071843395799</v>
      </c>
      <c r="AK1009" s="9">
        <v>199.03759909271099</v>
      </c>
      <c r="AL1009" s="9">
        <v>223.60570890380299</v>
      </c>
      <c r="AM1009" s="9">
        <v>51.044547389956001</v>
      </c>
      <c r="AN1009" s="9">
        <v>0.68059396519941295</v>
      </c>
      <c r="AO1009" s="9">
        <v>0.60417860659520395</v>
      </c>
      <c r="AP1009" s="9">
        <v>486.02192613034902</v>
      </c>
      <c r="AQ1009" s="9">
        <v>6.4802923484046504</v>
      </c>
      <c r="AR1009" s="9">
        <v>7.0426113605479497</v>
      </c>
      <c r="AS1009" s="8">
        <v>121</v>
      </c>
      <c r="AT1009" s="8">
        <v>8.379999999999999</v>
      </c>
      <c r="AU1009" s="10">
        <v>29.695072058097313</v>
      </c>
      <c r="AV1009" s="10">
        <v>75.065403766544023</v>
      </c>
      <c r="AW1009" s="8">
        <v>0.9</v>
      </c>
      <c r="AX1009" s="10">
        <v>0.62037523774003323</v>
      </c>
      <c r="AY1009" s="8"/>
      <c r="AZ1009" s="8"/>
      <c r="BA1009" s="8"/>
      <c r="BB1009" s="8"/>
      <c r="BC1009" s="8"/>
      <c r="BD1009" s="8"/>
      <c r="BE1009" s="8"/>
      <c r="BF1009" s="12">
        <v>0.49</v>
      </c>
      <c r="BG1009" s="13">
        <v>190.82883874032001</v>
      </c>
      <c r="BH1009" s="96" t="str">
        <f>+VLOOKUP(G1009,Liste!$A$7:$G$50,3,FALSE)</f>
        <v>Pin Noir d'Autriche</v>
      </c>
      <c r="BI1009" s="96" t="str">
        <f>+VLOOKUP(H1009,Liste!$B$7:$G$50,5,FALSE)</f>
        <v>GSM Alpes du Sud</v>
      </c>
      <c r="BJ1009" s="135">
        <f t="shared" si="301"/>
        <v>75</v>
      </c>
      <c r="BK1009" s="135" t="str">
        <f t="shared" si="303"/>
        <v>Pin Noir d'Autriche_F2_PO2_d4_GSM Alpes du Sud_75_</v>
      </c>
      <c r="BL1009" s="322"/>
      <c r="BM1009" s="13">
        <v>50.906992515418303</v>
      </c>
      <c r="BN1009" s="13">
        <v>241.73583125573899</v>
      </c>
      <c r="BO1009" s="13">
        <v>88.807779965279991</v>
      </c>
      <c r="BP1009" s="13">
        <v>198.86807572232701</v>
      </c>
      <c r="BQ1009" s="13">
        <v>7.2992722360965701</v>
      </c>
      <c r="BT1009" s="298" t="str">
        <f>+VLOOKUP(G1009,Liste!$A$7:$H$50,8,FALSE)</f>
        <v>Résineux</v>
      </c>
      <c r="BU1009" s="298">
        <f t="shared" si="304"/>
        <v>0</v>
      </c>
      <c r="BV1009" s="300">
        <f t="shared" si="305"/>
        <v>1</v>
      </c>
      <c r="BW1009" s="321">
        <v>0</v>
      </c>
      <c r="BX1009" s="298">
        <f t="shared" si="306"/>
        <v>0.43</v>
      </c>
      <c r="BY1009">
        <f t="shared" si="307"/>
        <v>0</v>
      </c>
      <c r="BZ1009" s="304">
        <f t="shared" si="308"/>
        <v>0</v>
      </c>
      <c r="CB1009" s="299">
        <v>0.6</v>
      </c>
      <c r="CC1009" s="299">
        <v>0.4</v>
      </c>
      <c r="CD1009">
        <f t="shared" si="309"/>
        <v>0</v>
      </c>
      <c r="CE1009">
        <f t="shared" si="310"/>
        <v>0</v>
      </c>
      <c r="CF1009">
        <f t="shared" si="311"/>
        <v>0</v>
      </c>
      <c r="CG1009">
        <f t="shared" si="312"/>
        <v>0</v>
      </c>
      <c r="CH1009">
        <f t="shared" si="313"/>
        <v>0</v>
      </c>
      <c r="CI1009">
        <f t="shared" si="314"/>
        <v>0</v>
      </c>
      <c r="CJ1009">
        <f t="shared" si="315"/>
        <v>0</v>
      </c>
      <c r="CK1009">
        <f t="shared" si="316"/>
        <v>0</v>
      </c>
      <c r="CL1009">
        <f t="shared" si="317"/>
        <v>0</v>
      </c>
      <c r="CM1009">
        <f t="shared" si="319"/>
        <v>0</v>
      </c>
      <c r="CN1009">
        <f t="shared" si="318"/>
        <v>0</v>
      </c>
      <c r="CO1009">
        <f t="shared" si="302"/>
        <v>0</v>
      </c>
    </row>
    <row r="1010" spans="1:93" s="12" customFormat="1" x14ac:dyDescent="0.25">
      <c r="A1010" s="4">
        <v>2021</v>
      </c>
      <c r="B1010" s="318">
        <v>44279</v>
      </c>
      <c r="C1010" s="4" t="s">
        <v>1494</v>
      </c>
      <c r="D1010" s="4" t="s">
        <v>1495</v>
      </c>
      <c r="E1010" s="4"/>
      <c r="F1010" s="4" t="s">
        <v>1496</v>
      </c>
      <c r="G1010" s="5" t="s">
        <v>1497</v>
      </c>
      <c r="H1010" s="5" t="s">
        <v>1498</v>
      </c>
      <c r="I1010" s="5" t="s">
        <v>233</v>
      </c>
      <c r="J1010" s="5" t="s">
        <v>10</v>
      </c>
      <c r="K1010" s="5">
        <v>15.2</v>
      </c>
      <c r="L1010" s="5" t="s">
        <v>192</v>
      </c>
      <c r="M1010" s="5">
        <v>1100</v>
      </c>
      <c r="N1010" s="5" t="s">
        <v>170</v>
      </c>
      <c r="O1010" s="6" t="s">
        <v>1499</v>
      </c>
      <c r="P1010" s="6" t="s">
        <v>1500</v>
      </c>
      <c r="Q1010" s="6"/>
      <c r="R1010" s="6"/>
      <c r="S1010" s="6">
        <v>15</v>
      </c>
      <c r="T1010" s="6">
        <v>3.96</v>
      </c>
      <c r="U1010" s="6">
        <v>6000</v>
      </c>
      <c r="V1010" s="6">
        <v>9.57</v>
      </c>
      <c r="W1010" s="6">
        <v>6000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7">
        <v>80</v>
      </c>
      <c r="AD1010" s="7" t="s">
        <v>52</v>
      </c>
      <c r="AE1010" s="7">
        <v>19.510000000000002</v>
      </c>
      <c r="AF1010" s="7">
        <v>275</v>
      </c>
      <c r="AG1010" s="7">
        <v>25.18</v>
      </c>
      <c r="AH1010" s="7">
        <v>34.15</v>
      </c>
      <c r="AI1010" s="7">
        <v>38.15</v>
      </c>
      <c r="AJ1010" s="9">
        <v>229.34172706760799</v>
      </c>
      <c r="AK1010" s="9">
        <v>231.056220291523</v>
      </c>
      <c r="AL1010" s="9">
        <v>258.81876570654202</v>
      </c>
      <c r="AM1010" s="9">
        <v>54.065440422931999</v>
      </c>
      <c r="AN1010" s="9">
        <v>0.67581800528665004</v>
      </c>
      <c r="AO1010" s="9">
        <v>0.58136826103211103</v>
      </c>
      <c r="AP1010" s="9">
        <v>521.23498293308796</v>
      </c>
      <c r="AQ1010" s="9">
        <v>6.5154372866635999</v>
      </c>
      <c r="AR1010" s="9">
        <v>6.8570295359779303</v>
      </c>
      <c r="AS1010" s="8" t="s">
        <v>169</v>
      </c>
      <c r="AT1010" s="8" t="s">
        <v>169</v>
      </c>
      <c r="AU1010" s="10" t="s">
        <v>169</v>
      </c>
      <c r="AV1010" s="10">
        <v>0</v>
      </c>
      <c r="AW1010" s="8"/>
      <c r="AX1010" s="10" t="s">
        <v>169</v>
      </c>
      <c r="AY1010" s="8"/>
      <c r="AZ1010" s="8"/>
      <c r="BA1010" s="8"/>
      <c r="BB1010" s="8"/>
      <c r="BC1010" s="8"/>
      <c r="BD1010" s="8"/>
      <c r="BE1010" s="8"/>
      <c r="BF1010" s="12">
        <v>0.49</v>
      </c>
      <c r="BG1010" s="13">
        <v>220.88024830005801</v>
      </c>
      <c r="BH1010" s="96" t="str">
        <f>+VLOOKUP(G1010,Liste!$A$7:$G$50,3,FALSE)</f>
        <v>Pin Noir d'Autriche</v>
      </c>
      <c r="BI1010" s="96" t="str">
        <f>+VLOOKUP(H1010,Liste!$B$7:$G$50,5,FALSE)</f>
        <v>GSM Alpes du Sud</v>
      </c>
      <c r="BJ1010" s="135">
        <f t="shared" si="301"/>
        <v>80</v>
      </c>
      <c r="BK1010" s="135" t="str">
        <f t="shared" si="303"/>
        <v>Pin Noir d'Autriche_F2_PO2_d4_GSM Alpes du Sud_80_</v>
      </c>
      <c r="BL1010" s="322"/>
      <c r="BM1010" s="13">
        <v>57.9291847105413</v>
      </c>
      <c r="BN1010" s="13">
        <v>278.8094330106</v>
      </c>
      <c r="BO1010" s="13" t="s">
        <v>169</v>
      </c>
      <c r="BP1010" s="13">
        <v>198.86807572232701</v>
      </c>
      <c r="BQ1010" s="13">
        <v>7.0972122342079302</v>
      </c>
      <c r="BT1010" s="298" t="str">
        <f>+VLOOKUP(G1010,Liste!$A$7:$H$50,8,FALSE)</f>
        <v>Résineux</v>
      </c>
      <c r="BU1010" s="298">
        <f t="shared" si="304"/>
        <v>0</v>
      </c>
      <c r="BV1010" s="300">
        <f t="shared" si="305"/>
        <v>1</v>
      </c>
      <c r="BW1010" s="321">
        <v>0</v>
      </c>
      <c r="BX1010" s="298">
        <f t="shared" si="306"/>
        <v>0.43</v>
      </c>
      <c r="BY1010">
        <f t="shared" si="307"/>
        <v>0</v>
      </c>
      <c r="BZ1010" s="304">
        <f t="shared" si="308"/>
        <v>0</v>
      </c>
      <c r="CB1010" s="299">
        <v>0.6</v>
      </c>
      <c r="CC1010" s="299">
        <v>0.4</v>
      </c>
      <c r="CD1010">
        <f t="shared" si="309"/>
        <v>0</v>
      </c>
      <c r="CE1010">
        <f t="shared" si="310"/>
        <v>0</v>
      </c>
      <c r="CF1010">
        <f t="shared" si="311"/>
        <v>0</v>
      </c>
      <c r="CG1010">
        <f t="shared" si="312"/>
        <v>0</v>
      </c>
      <c r="CH1010">
        <f t="shared" si="313"/>
        <v>0</v>
      </c>
      <c r="CI1010">
        <f t="shared" si="314"/>
        <v>0</v>
      </c>
      <c r="CJ1010">
        <f t="shared" si="315"/>
        <v>0</v>
      </c>
      <c r="CK1010">
        <f t="shared" si="316"/>
        <v>0</v>
      </c>
      <c r="CL1010">
        <f t="shared" si="317"/>
        <v>0</v>
      </c>
      <c r="CM1010">
        <f t="shared" si="319"/>
        <v>0</v>
      </c>
      <c r="CN1010">
        <f t="shared" si="318"/>
        <v>0</v>
      </c>
      <c r="CO1010">
        <f t="shared" si="302"/>
        <v>0</v>
      </c>
    </row>
    <row r="1011" spans="1:93" s="12" customFormat="1" x14ac:dyDescent="0.25">
      <c r="A1011" s="4">
        <v>2021</v>
      </c>
      <c r="B1011" s="318">
        <v>44279</v>
      </c>
      <c r="C1011" s="4" t="s">
        <v>1494</v>
      </c>
      <c r="D1011" s="4" t="s">
        <v>1495</v>
      </c>
      <c r="E1011" s="4"/>
      <c r="F1011" s="4" t="s">
        <v>1496</v>
      </c>
      <c r="G1011" s="5" t="s">
        <v>1497</v>
      </c>
      <c r="H1011" s="5" t="s">
        <v>1498</v>
      </c>
      <c r="I1011" s="5" t="s">
        <v>233</v>
      </c>
      <c r="J1011" s="5" t="s">
        <v>10</v>
      </c>
      <c r="K1011" s="5">
        <v>15.2</v>
      </c>
      <c r="L1011" s="5" t="s">
        <v>192</v>
      </c>
      <c r="M1011" s="5">
        <v>1100</v>
      </c>
      <c r="N1011" s="5" t="s">
        <v>170</v>
      </c>
      <c r="O1011" s="6" t="s">
        <v>1499</v>
      </c>
      <c r="P1011" s="6" t="s">
        <v>1500</v>
      </c>
      <c r="Q1011" s="6"/>
      <c r="R1011" s="6"/>
      <c r="S1011" s="6">
        <v>15</v>
      </c>
      <c r="T1011" s="6">
        <v>3.96</v>
      </c>
      <c r="U1011" s="6">
        <v>6000</v>
      </c>
      <c r="V1011" s="6">
        <v>9.57</v>
      </c>
      <c r="W1011" s="6">
        <v>6000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7">
        <v>85</v>
      </c>
      <c r="AD1011" s="7" t="s">
        <v>52</v>
      </c>
      <c r="AE1011" s="7">
        <v>19.87</v>
      </c>
      <c r="AF1011" s="7">
        <v>275</v>
      </c>
      <c r="AG1011" s="7">
        <v>28.09</v>
      </c>
      <c r="AH1011" s="7">
        <v>36.06</v>
      </c>
      <c r="AI1011" s="7">
        <v>40.409999999999997</v>
      </c>
      <c r="AJ1011" s="9">
        <v>260.12335031401301</v>
      </c>
      <c r="AK1011" s="9">
        <v>262.17874737463802</v>
      </c>
      <c r="AL1011" s="9">
        <v>293.103913386432</v>
      </c>
      <c r="AM1011" s="9">
        <v>56.972281728092597</v>
      </c>
      <c r="AN1011" s="9">
        <v>0.67026213797755996</v>
      </c>
      <c r="AO1011" s="9">
        <v>0.59318083162198398</v>
      </c>
      <c r="AP1011" s="9">
        <v>555.52013061297805</v>
      </c>
      <c r="AQ1011" s="9">
        <v>6.5355309483879802</v>
      </c>
      <c r="AR1011" s="9">
        <v>7.0843718324380003</v>
      </c>
      <c r="AS1011" s="8" t="s">
        <v>169</v>
      </c>
      <c r="AT1011" s="8" t="s">
        <v>169</v>
      </c>
      <c r="AU1011" s="10" t="s">
        <v>169</v>
      </c>
      <c r="AV1011" s="10">
        <v>0</v>
      </c>
      <c r="AW1011" s="8"/>
      <c r="AX1011" s="10" t="s">
        <v>169</v>
      </c>
      <c r="AY1011" s="8"/>
      <c r="AZ1011" s="8"/>
      <c r="BA1011" s="8"/>
      <c r="BB1011" s="8"/>
      <c r="BC1011" s="8"/>
      <c r="BD1011" s="8"/>
      <c r="BE1011" s="8"/>
      <c r="BF1011" s="12">
        <v>0.49</v>
      </c>
      <c r="BG1011" s="13">
        <v>250.13976474920401</v>
      </c>
      <c r="BH1011" s="96" t="str">
        <f>+VLOOKUP(G1011,Liste!$A$7:$G$50,3,FALSE)</f>
        <v>Pin Noir d'Autriche</v>
      </c>
      <c r="BI1011" s="96" t="str">
        <f>+VLOOKUP(H1011,Liste!$B$7:$G$50,5,FALSE)</f>
        <v>GSM Alpes du Sud</v>
      </c>
      <c r="BJ1011" s="135">
        <f t="shared" si="301"/>
        <v>85</v>
      </c>
      <c r="BK1011" s="135" t="str">
        <f t="shared" si="303"/>
        <v>Pin Noir d'Autriche_F2_PO2_d4_GSM Alpes du Sud_85_</v>
      </c>
      <c r="BL1011" s="322"/>
      <c r="BM1011" s="13">
        <v>64.659845417034603</v>
      </c>
      <c r="BN1011" s="13">
        <v>314.79961016623901</v>
      </c>
      <c r="BO1011" s="13" t="s">
        <v>169</v>
      </c>
      <c r="BP1011" s="13">
        <v>198.86807572232701</v>
      </c>
      <c r="BQ1011" s="13">
        <v>7.3231560184901996</v>
      </c>
      <c r="BT1011" s="298" t="str">
        <f>+VLOOKUP(G1011,Liste!$A$7:$H$50,8,FALSE)</f>
        <v>Résineux</v>
      </c>
      <c r="BU1011" s="298">
        <f t="shared" si="304"/>
        <v>0</v>
      </c>
      <c r="BV1011" s="300">
        <f t="shared" si="305"/>
        <v>1</v>
      </c>
      <c r="BW1011" s="321">
        <v>0</v>
      </c>
      <c r="BX1011" s="298">
        <f t="shared" si="306"/>
        <v>0.43</v>
      </c>
      <c r="BY1011">
        <f t="shared" si="307"/>
        <v>0</v>
      </c>
      <c r="BZ1011" s="304">
        <f t="shared" si="308"/>
        <v>0</v>
      </c>
      <c r="CB1011" s="299">
        <v>0.6</v>
      </c>
      <c r="CC1011" s="299">
        <v>0.4</v>
      </c>
      <c r="CD1011">
        <f t="shared" si="309"/>
        <v>0</v>
      </c>
      <c r="CE1011">
        <f t="shared" si="310"/>
        <v>0</v>
      </c>
      <c r="CF1011">
        <f t="shared" si="311"/>
        <v>0</v>
      </c>
      <c r="CG1011">
        <f t="shared" si="312"/>
        <v>0</v>
      </c>
      <c r="CH1011">
        <f t="shared" si="313"/>
        <v>0</v>
      </c>
      <c r="CI1011">
        <f t="shared" si="314"/>
        <v>0</v>
      </c>
      <c r="CJ1011">
        <f t="shared" si="315"/>
        <v>0</v>
      </c>
      <c r="CK1011">
        <f t="shared" si="316"/>
        <v>0</v>
      </c>
      <c r="CL1011">
        <f t="shared" si="317"/>
        <v>0</v>
      </c>
      <c r="CM1011">
        <f t="shared" si="319"/>
        <v>0</v>
      </c>
      <c r="CN1011">
        <f t="shared" si="318"/>
        <v>0</v>
      </c>
      <c r="CO1011">
        <f t="shared" si="302"/>
        <v>0</v>
      </c>
    </row>
    <row r="1012" spans="1:93" s="12" customFormat="1" x14ac:dyDescent="0.25">
      <c r="A1012" s="4">
        <v>2021</v>
      </c>
      <c r="B1012" s="318">
        <v>44279</v>
      </c>
      <c r="C1012" s="4" t="s">
        <v>1494</v>
      </c>
      <c r="D1012" s="4" t="s">
        <v>1495</v>
      </c>
      <c r="E1012" s="4"/>
      <c r="F1012" s="4" t="s">
        <v>1496</v>
      </c>
      <c r="G1012" s="5" t="s">
        <v>1497</v>
      </c>
      <c r="H1012" s="5" t="s">
        <v>1498</v>
      </c>
      <c r="I1012" s="5" t="s">
        <v>233</v>
      </c>
      <c r="J1012" s="5" t="s">
        <v>10</v>
      </c>
      <c r="K1012" s="5">
        <v>15.2</v>
      </c>
      <c r="L1012" s="5" t="s">
        <v>192</v>
      </c>
      <c r="M1012" s="5">
        <v>1100</v>
      </c>
      <c r="N1012" s="5" t="s">
        <v>170</v>
      </c>
      <c r="O1012" s="6" t="s">
        <v>1499</v>
      </c>
      <c r="P1012" s="6" t="s">
        <v>1500</v>
      </c>
      <c r="Q1012" s="6"/>
      <c r="R1012" s="6"/>
      <c r="S1012" s="6">
        <v>15</v>
      </c>
      <c r="T1012" s="6">
        <v>3.96</v>
      </c>
      <c r="U1012" s="6">
        <v>6000</v>
      </c>
      <c r="V1012" s="6">
        <v>9.57</v>
      </c>
      <c r="W1012" s="6">
        <v>6000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7">
        <v>90</v>
      </c>
      <c r="AD1012" s="7" t="s">
        <v>52</v>
      </c>
      <c r="AE1012" s="7">
        <v>20.27</v>
      </c>
      <c r="AF1012" s="7">
        <v>275</v>
      </c>
      <c r="AG1012" s="7">
        <v>31.06</v>
      </c>
      <c r="AH1012" s="7">
        <v>37.92</v>
      </c>
      <c r="AI1012" s="7">
        <v>42.62</v>
      </c>
      <c r="AJ1012" s="9">
        <v>291.88771713710702</v>
      </c>
      <c r="AK1012" s="9">
        <v>294.31108836819698</v>
      </c>
      <c r="AL1012" s="9">
        <v>328.525772548622</v>
      </c>
      <c r="AM1012" s="9">
        <v>59.938185886202497</v>
      </c>
      <c r="AN1012" s="9">
        <v>0.66597984318002701</v>
      </c>
      <c r="AO1012" s="9">
        <v>0.55370244108043498</v>
      </c>
      <c r="AP1012" s="9">
        <v>590.94198977516805</v>
      </c>
      <c r="AQ1012" s="9">
        <v>6.5660221086129802</v>
      </c>
      <c r="AR1012" s="9">
        <v>6.5501768813558998</v>
      </c>
      <c r="AS1012" s="8" t="s">
        <v>169</v>
      </c>
      <c r="AT1012" s="8" t="s">
        <v>169</v>
      </c>
      <c r="AU1012" s="10" t="s">
        <v>169</v>
      </c>
      <c r="AV1012" s="10">
        <v>0</v>
      </c>
      <c r="AW1012" s="8"/>
      <c r="AX1012" s="10" t="s">
        <v>169</v>
      </c>
      <c r="AY1012" s="8"/>
      <c r="AZ1012" s="8"/>
      <c r="BA1012" s="8"/>
      <c r="BB1012" s="8"/>
      <c r="BC1012" s="8"/>
      <c r="BD1012" s="8"/>
      <c r="BE1012" s="8"/>
      <c r="BF1012" s="12">
        <v>0.49</v>
      </c>
      <c r="BG1012" s="13">
        <v>280.36936972253602</v>
      </c>
      <c r="BH1012" s="96" t="str">
        <f>+VLOOKUP(G1012,Liste!$A$7:$G$50,3,FALSE)</f>
        <v>Pin Noir d'Autriche</v>
      </c>
      <c r="BI1012" s="96" t="str">
        <f>+VLOOKUP(H1012,Liste!$B$7:$G$50,5,FALSE)</f>
        <v>GSM Alpes du Sud</v>
      </c>
      <c r="BJ1012" s="135">
        <f t="shared" si="301"/>
        <v>90</v>
      </c>
      <c r="BK1012" s="135" t="str">
        <f t="shared" si="303"/>
        <v>Pin Noir d'Autriche_F2_PO2_d4_GSM Alpes du Sud_90_</v>
      </c>
      <c r="BL1012" s="322"/>
      <c r="BM1012" s="13">
        <v>71.517960830532004</v>
      </c>
      <c r="BN1012" s="13">
        <v>351.88733055306801</v>
      </c>
      <c r="BO1012" s="13" t="s">
        <v>169</v>
      </c>
      <c r="BP1012" s="13">
        <v>198.86807572232701</v>
      </c>
      <c r="BQ1012" s="13">
        <v>6.7630364169378696</v>
      </c>
      <c r="BT1012" s="298" t="str">
        <f>+VLOOKUP(G1012,Liste!$A$7:$H$50,8,FALSE)</f>
        <v>Résineux</v>
      </c>
      <c r="BU1012" s="298">
        <f t="shared" si="304"/>
        <v>0</v>
      </c>
      <c r="BV1012" s="300">
        <f t="shared" si="305"/>
        <v>1</v>
      </c>
      <c r="BW1012" s="321">
        <v>0</v>
      </c>
      <c r="BX1012" s="298">
        <f t="shared" si="306"/>
        <v>0.43</v>
      </c>
      <c r="BY1012">
        <f t="shared" si="307"/>
        <v>0</v>
      </c>
      <c r="BZ1012" s="304">
        <f t="shared" si="308"/>
        <v>0</v>
      </c>
      <c r="CB1012" s="299">
        <v>0.6</v>
      </c>
      <c r="CC1012" s="299">
        <v>0.4</v>
      </c>
      <c r="CD1012">
        <f t="shared" si="309"/>
        <v>0</v>
      </c>
      <c r="CE1012">
        <f t="shared" si="310"/>
        <v>0</v>
      </c>
      <c r="CF1012">
        <f t="shared" si="311"/>
        <v>0</v>
      </c>
      <c r="CG1012">
        <f t="shared" si="312"/>
        <v>0</v>
      </c>
      <c r="CH1012">
        <f t="shared" si="313"/>
        <v>0</v>
      </c>
      <c r="CI1012">
        <f t="shared" si="314"/>
        <v>0</v>
      </c>
      <c r="CJ1012">
        <f t="shared" si="315"/>
        <v>0</v>
      </c>
      <c r="CK1012">
        <f t="shared" si="316"/>
        <v>0</v>
      </c>
      <c r="CL1012">
        <f t="shared" si="317"/>
        <v>0</v>
      </c>
      <c r="CM1012">
        <f t="shared" si="319"/>
        <v>0</v>
      </c>
      <c r="CN1012">
        <f t="shared" si="318"/>
        <v>0</v>
      </c>
      <c r="CO1012">
        <f t="shared" si="302"/>
        <v>0</v>
      </c>
    </row>
    <row r="1013" spans="1:93" s="12" customFormat="1" x14ac:dyDescent="0.25">
      <c r="A1013" s="4">
        <v>2021</v>
      </c>
      <c r="B1013" s="318">
        <v>44279</v>
      </c>
      <c r="C1013" s="4" t="s">
        <v>1494</v>
      </c>
      <c r="D1013" s="4" t="s">
        <v>1495</v>
      </c>
      <c r="E1013" s="4"/>
      <c r="F1013" s="4" t="s">
        <v>1496</v>
      </c>
      <c r="G1013" s="5" t="s">
        <v>1497</v>
      </c>
      <c r="H1013" s="5" t="s">
        <v>1498</v>
      </c>
      <c r="I1013" s="5" t="s">
        <v>233</v>
      </c>
      <c r="J1013" s="5" t="s">
        <v>10</v>
      </c>
      <c r="K1013" s="5">
        <v>15.2</v>
      </c>
      <c r="L1013" s="5" t="s">
        <v>192</v>
      </c>
      <c r="M1013" s="5">
        <v>1100</v>
      </c>
      <c r="N1013" s="5" t="s">
        <v>170</v>
      </c>
      <c r="O1013" s="6" t="s">
        <v>1499</v>
      </c>
      <c r="P1013" s="6" t="s">
        <v>1500</v>
      </c>
      <c r="Q1013" s="6"/>
      <c r="R1013" s="6"/>
      <c r="S1013" s="6">
        <v>15</v>
      </c>
      <c r="T1013" s="6">
        <v>3.96</v>
      </c>
      <c r="U1013" s="6">
        <v>6000</v>
      </c>
      <c r="V1013" s="6">
        <v>9.57</v>
      </c>
      <c r="W1013" s="6">
        <v>6000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7">
        <v>90</v>
      </c>
      <c r="AD1013" s="7" t="s">
        <v>53</v>
      </c>
      <c r="AE1013" s="7">
        <v>20.25</v>
      </c>
      <c r="AF1013" s="7">
        <v>200</v>
      </c>
      <c r="AG1013" s="7">
        <v>24.08</v>
      </c>
      <c r="AH1013" s="7">
        <v>39.15</v>
      </c>
      <c r="AI1013" s="7">
        <v>42.48</v>
      </c>
      <c r="AJ1013" s="9">
        <v>226.05593025618899</v>
      </c>
      <c r="AK1013" s="9">
        <v>228.04498181298499</v>
      </c>
      <c r="AL1013" s="9">
        <v>254.91998741715</v>
      </c>
      <c r="AM1013" s="9">
        <v>59.938185886202497</v>
      </c>
      <c r="AN1013" s="9">
        <v>0.66597984318002701</v>
      </c>
      <c r="AO1013" s="9">
        <v>0.55370244108043498</v>
      </c>
      <c r="AP1013" s="9">
        <v>590.94198977516805</v>
      </c>
      <c r="AQ1013" s="9">
        <v>6.5660221086129802</v>
      </c>
      <c r="AR1013" s="9">
        <v>6.5501768813558998</v>
      </c>
      <c r="AS1013" s="8">
        <v>75</v>
      </c>
      <c r="AT1013" s="8">
        <v>6.98</v>
      </c>
      <c r="AU1013" s="10">
        <v>34.423271241514193</v>
      </c>
      <c r="AV1013" s="10">
        <v>65.831786880918031</v>
      </c>
      <c r="AW1013" s="8">
        <v>0.82</v>
      </c>
      <c r="AX1013" s="10">
        <v>0.87775715841224045</v>
      </c>
      <c r="AY1013" s="8"/>
      <c r="AZ1013" s="8"/>
      <c r="BA1013" s="8"/>
      <c r="BB1013" s="8"/>
      <c r="BC1013" s="8"/>
      <c r="BD1013" s="8"/>
      <c r="BE1013" s="8"/>
      <c r="BF1013" s="12">
        <v>0.49</v>
      </c>
      <c r="BG1013" s="13">
        <v>217.552965928253</v>
      </c>
      <c r="BH1013" s="96" t="str">
        <f>+VLOOKUP(G1013,Liste!$A$7:$G$50,3,FALSE)</f>
        <v>Pin Noir d'Autriche</v>
      </c>
      <c r="BI1013" s="96" t="str">
        <f>+VLOOKUP(H1013,Liste!$B$7:$G$50,5,FALSE)</f>
        <v>GSM Alpes du Sud</v>
      </c>
      <c r="BJ1013" s="135">
        <f t="shared" si="301"/>
        <v>90</v>
      </c>
      <c r="BK1013" s="135" t="str">
        <f t="shared" si="303"/>
        <v>Pin Noir d'Autriche_F2_PO2_d4_GSM Alpes du Sud_90_</v>
      </c>
      <c r="BL1013" s="322"/>
      <c r="BM1013" s="13">
        <v>57.1574489343501</v>
      </c>
      <c r="BN1013" s="13">
        <v>274.71041486260299</v>
      </c>
      <c r="BO1013" s="13">
        <v>77.176915690465023</v>
      </c>
      <c r="BP1013" s="13">
        <v>198.86807572232701</v>
      </c>
      <c r="BQ1013" s="13">
        <v>6.7630364169378696</v>
      </c>
      <c r="BT1013" s="298" t="str">
        <f>+VLOOKUP(G1013,Liste!$A$7:$H$50,8,FALSE)</f>
        <v>Résineux</v>
      </c>
      <c r="BU1013" s="298">
        <f t="shared" si="304"/>
        <v>0</v>
      </c>
      <c r="BV1013" s="300">
        <f t="shared" si="305"/>
        <v>1</v>
      </c>
      <c r="BW1013" s="321">
        <v>0</v>
      </c>
      <c r="BX1013" s="298">
        <f t="shared" si="306"/>
        <v>0.43</v>
      </c>
      <c r="BY1013">
        <f t="shared" si="307"/>
        <v>0</v>
      </c>
      <c r="BZ1013" s="304">
        <f t="shared" si="308"/>
        <v>0</v>
      </c>
      <c r="CB1013" s="299">
        <v>0.6</v>
      </c>
      <c r="CC1013" s="299">
        <v>0.4</v>
      </c>
      <c r="CD1013">
        <f t="shared" si="309"/>
        <v>0</v>
      </c>
      <c r="CE1013">
        <f t="shared" si="310"/>
        <v>0</v>
      </c>
      <c r="CF1013">
        <f t="shared" si="311"/>
        <v>0</v>
      </c>
      <c r="CG1013">
        <f t="shared" si="312"/>
        <v>0</v>
      </c>
      <c r="CH1013">
        <f t="shared" si="313"/>
        <v>0</v>
      </c>
      <c r="CI1013">
        <f t="shared" si="314"/>
        <v>0</v>
      </c>
      <c r="CJ1013">
        <f t="shared" si="315"/>
        <v>0</v>
      </c>
      <c r="CK1013">
        <f t="shared" si="316"/>
        <v>0</v>
      </c>
      <c r="CL1013">
        <f t="shared" si="317"/>
        <v>0</v>
      </c>
      <c r="CM1013">
        <f t="shared" si="319"/>
        <v>0</v>
      </c>
      <c r="CN1013">
        <f t="shared" si="318"/>
        <v>0</v>
      </c>
      <c r="CO1013">
        <f t="shared" si="302"/>
        <v>0</v>
      </c>
    </row>
    <row r="1014" spans="1:93" s="12" customFormat="1" x14ac:dyDescent="0.25">
      <c r="A1014" s="4">
        <v>2021</v>
      </c>
      <c r="B1014" s="318">
        <v>44279</v>
      </c>
      <c r="C1014" s="4" t="s">
        <v>1494</v>
      </c>
      <c r="D1014" s="4" t="s">
        <v>1495</v>
      </c>
      <c r="E1014" s="4"/>
      <c r="F1014" s="4" t="s">
        <v>1496</v>
      </c>
      <c r="G1014" s="5" t="s">
        <v>1497</v>
      </c>
      <c r="H1014" s="5" t="s">
        <v>1498</v>
      </c>
      <c r="I1014" s="5" t="s">
        <v>233</v>
      </c>
      <c r="J1014" s="5" t="s">
        <v>10</v>
      </c>
      <c r="K1014" s="5">
        <v>15.2</v>
      </c>
      <c r="L1014" s="5" t="s">
        <v>192</v>
      </c>
      <c r="M1014" s="5">
        <v>1100</v>
      </c>
      <c r="N1014" s="5" t="s">
        <v>170</v>
      </c>
      <c r="O1014" s="6" t="s">
        <v>1499</v>
      </c>
      <c r="P1014" s="6" t="s">
        <v>1500</v>
      </c>
      <c r="Q1014" s="6"/>
      <c r="R1014" s="6"/>
      <c r="S1014" s="6">
        <v>15</v>
      </c>
      <c r="T1014" s="6">
        <v>3.96</v>
      </c>
      <c r="U1014" s="6">
        <v>6000</v>
      </c>
      <c r="V1014" s="6">
        <v>9.57</v>
      </c>
      <c r="W1014" s="6">
        <v>6000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7">
        <v>95</v>
      </c>
      <c r="AD1014" s="7" t="s">
        <v>52</v>
      </c>
      <c r="AE1014" s="7">
        <v>20.58</v>
      </c>
      <c r="AF1014" s="7">
        <v>200</v>
      </c>
      <c r="AG1014" s="7">
        <v>26.85</v>
      </c>
      <c r="AH1014" s="7">
        <v>41.34</v>
      </c>
      <c r="AI1014" s="7">
        <v>44.94</v>
      </c>
      <c r="AJ1014" s="9">
        <v>255.0600031077</v>
      </c>
      <c r="AK1014" s="9">
        <v>257.44863685539798</v>
      </c>
      <c r="AL1014" s="9">
        <v>287.67087182392902</v>
      </c>
      <c r="AM1014" s="9">
        <v>62.7066980916047</v>
      </c>
      <c r="AN1014" s="9">
        <v>0.66007050622741703</v>
      </c>
      <c r="AO1014" s="9">
        <v>0.576537510977707</v>
      </c>
      <c r="AP1014" s="9">
        <v>623.69287418194699</v>
      </c>
      <c r="AQ1014" s="9">
        <v>6.5651881492836601</v>
      </c>
      <c r="AR1014" s="9">
        <v>6.8500969114950303</v>
      </c>
      <c r="AS1014" s="8" t="s">
        <v>169</v>
      </c>
      <c r="AT1014" s="8" t="s">
        <v>169</v>
      </c>
      <c r="AU1014" s="10" t="s">
        <v>169</v>
      </c>
      <c r="AV1014" s="10">
        <v>0</v>
      </c>
      <c r="AW1014" s="8"/>
      <c r="AX1014" s="10" t="s">
        <v>169</v>
      </c>
      <c r="AY1014" s="8"/>
      <c r="AZ1014" s="8"/>
      <c r="BA1014" s="8"/>
      <c r="BB1014" s="8"/>
      <c r="BC1014" s="8"/>
      <c r="BD1014" s="8"/>
      <c r="BE1014" s="8"/>
      <c r="BF1014" s="12">
        <v>0.49</v>
      </c>
      <c r="BG1014" s="13">
        <v>245.503116529072</v>
      </c>
      <c r="BH1014" s="96" t="str">
        <f>+VLOOKUP(G1014,Liste!$A$7:$G$50,3,FALSE)</f>
        <v>Pin Noir d'Autriche</v>
      </c>
      <c r="BI1014" s="96" t="str">
        <f>+VLOOKUP(H1014,Liste!$B$7:$G$50,5,FALSE)</f>
        <v>GSM Alpes du Sud</v>
      </c>
      <c r="BJ1014" s="135">
        <f t="shared" si="301"/>
        <v>95</v>
      </c>
      <c r="BK1014" s="135" t="str">
        <f t="shared" si="303"/>
        <v>Pin Noir d'Autriche_F2_PO2_d4_GSM Alpes du Sud_95_</v>
      </c>
      <c r="BL1014" s="322"/>
      <c r="BM1014" s="13">
        <v>63.599656382454398</v>
      </c>
      <c r="BN1014" s="13">
        <v>309.10277291152602</v>
      </c>
      <c r="BO1014" s="13" t="s">
        <v>169</v>
      </c>
      <c r="BP1014" s="13">
        <v>198.86807572232701</v>
      </c>
      <c r="BQ1014" s="13">
        <v>7.0650594853434301</v>
      </c>
      <c r="BT1014" s="298" t="str">
        <f>+VLOOKUP(G1014,Liste!$A$7:$H$50,8,FALSE)</f>
        <v>Résineux</v>
      </c>
      <c r="BU1014" s="298">
        <f t="shared" si="304"/>
        <v>0</v>
      </c>
      <c r="BV1014" s="300">
        <f t="shared" si="305"/>
        <v>1</v>
      </c>
      <c r="BW1014" s="321">
        <v>0</v>
      </c>
      <c r="BX1014" s="298">
        <f t="shared" si="306"/>
        <v>0.43</v>
      </c>
      <c r="BY1014">
        <f t="shared" si="307"/>
        <v>0</v>
      </c>
      <c r="BZ1014" s="304">
        <f t="shared" si="308"/>
        <v>0</v>
      </c>
      <c r="CB1014" s="299">
        <v>0.6</v>
      </c>
      <c r="CC1014" s="299">
        <v>0.4</v>
      </c>
      <c r="CD1014">
        <f t="shared" si="309"/>
        <v>0</v>
      </c>
      <c r="CE1014">
        <f t="shared" si="310"/>
        <v>0</v>
      </c>
      <c r="CF1014">
        <f t="shared" si="311"/>
        <v>0</v>
      </c>
      <c r="CG1014">
        <f t="shared" si="312"/>
        <v>0</v>
      </c>
      <c r="CH1014">
        <f t="shared" si="313"/>
        <v>0</v>
      </c>
      <c r="CI1014">
        <f t="shared" si="314"/>
        <v>0</v>
      </c>
      <c r="CJ1014">
        <f t="shared" si="315"/>
        <v>0</v>
      </c>
      <c r="CK1014">
        <f t="shared" si="316"/>
        <v>0</v>
      </c>
      <c r="CL1014">
        <f t="shared" si="317"/>
        <v>0</v>
      </c>
      <c r="CM1014">
        <f t="shared" si="319"/>
        <v>0</v>
      </c>
      <c r="CN1014">
        <f t="shared" si="318"/>
        <v>0</v>
      </c>
      <c r="CO1014">
        <f t="shared" si="302"/>
        <v>0</v>
      </c>
    </row>
    <row r="1015" spans="1:93" s="12" customFormat="1" x14ac:dyDescent="0.25">
      <c r="A1015" s="4">
        <v>2021</v>
      </c>
      <c r="B1015" s="318">
        <v>44279</v>
      </c>
      <c r="C1015" s="4" t="s">
        <v>1494</v>
      </c>
      <c r="D1015" s="4" t="s">
        <v>1495</v>
      </c>
      <c r="E1015" s="4"/>
      <c r="F1015" s="4" t="s">
        <v>1496</v>
      </c>
      <c r="G1015" s="5" t="s">
        <v>1497</v>
      </c>
      <c r="H1015" s="5" t="s">
        <v>1498</v>
      </c>
      <c r="I1015" s="5" t="s">
        <v>233</v>
      </c>
      <c r="J1015" s="5" t="s">
        <v>10</v>
      </c>
      <c r="K1015" s="5">
        <v>15.2</v>
      </c>
      <c r="L1015" s="5" t="s">
        <v>192</v>
      </c>
      <c r="M1015" s="5">
        <v>1100</v>
      </c>
      <c r="N1015" s="5" t="s">
        <v>170</v>
      </c>
      <c r="O1015" s="6" t="s">
        <v>1499</v>
      </c>
      <c r="P1015" s="6" t="s">
        <v>1500</v>
      </c>
      <c r="Q1015" s="6"/>
      <c r="R1015" s="6"/>
      <c r="S1015" s="6">
        <v>15</v>
      </c>
      <c r="T1015" s="6">
        <v>3.96</v>
      </c>
      <c r="U1015" s="6">
        <v>6000</v>
      </c>
      <c r="V1015" s="6">
        <v>9.57</v>
      </c>
      <c r="W1015" s="6">
        <v>6000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7">
        <v>100</v>
      </c>
      <c r="AD1015" s="7" t="s">
        <v>52</v>
      </c>
      <c r="AE1015" s="7">
        <v>20.9</v>
      </c>
      <c r="AF1015" s="7">
        <v>200</v>
      </c>
      <c r="AG1015" s="7">
        <v>29.73</v>
      </c>
      <c r="AH1015" s="7">
        <v>43.51</v>
      </c>
      <c r="AI1015" s="7">
        <v>47.4</v>
      </c>
      <c r="AJ1015" s="9">
        <v>285.23060222871999</v>
      </c>
      <c r="AK1015" s="9">
        <v>288.07099986616203</v>
      </c>
      <c r="AL1015" s="9">
        <v>321.92135638140502</v>
      </c>
      <c r="AM1015" s="9">
        <v>65.589385646493199</v>
      </c>
      <c r="AN1015" s="9">
        <v>0.65589385646493203</v>
      </c>
      <c r="AO1015" s="9">
        <v>0.48587194024725</v>
      </c>
      <c r="AP1015" s="9">
        <v>657.94335873942305</v>
      </c>
      <c r="AQ1015" s="9">
        <v>6.57943358739423</v>
      </c>
      <c r="AR1015" s="9">
        <v>5.7372275219099702</v>
      </c>
      <c r="AS1015" s="8" t="s">
        <v>169</v>
      </c>
      <c r="AT1015" s="8" t="s">
        <v>169</v>
      </c>
      <c r="AU1015" s="10" t="s">
        <v>169</v>
      </c>
      <c r="AV1015" s="10">
        <v>0</v>
      </c>
      <c r="AW1015" s="8"/>
      <c r="AX1015" s="10" t="s">
        <v>169</v>
      </c>
      <c r="AY1015" s="8"/>
      <c r="AZ1015" s="8"/>
      <c r="BA1015" s="8"/>
      <c r="BB1015" s="8"/>
      <c r="BC1015" s="8"/>
      <c r="BD1015" s="8"/>
      <c r="BE1015" s="8"/>
      <c r="BF1015" s="12">
        <v>0.49</v>
      </c>
      <c r="BG1015" s="13">
        <v>274.73305089182998</v>
      </c>
      <c r="BH1015" s="96" t="str">
        <f>+VLOOKUP(G1015,Liste!$A$7:$G$50,3,FALSE)</f>
        <v>Pin Noir d'Autriche</v>
      </c>
      <c r="BI1015" s="96" t="str">
        <f>+VLOOKUP(H1015,Liste!$B$7:$G$50,5,FALSE)</f>
        <v>GSM Alpes du Sud</v>
      </c>
      <c r="BJ1015" s="135">
        <f t="shared" si="301"/>
        <v>100</v>
      </c>
      <c r="BK1015" s="135" t="str">
        <f t="shared" si="303"/>
        <v>Pin Noir d'Autriche_F2_PO2_d4_GSM Alpes du Sud_100_</v>
      </c>
      <c r="BL1015" s="322"/>
      <c r="BM1015" s="13">
        <v>70.246076887339299</v>
      </c>
      <c r="BN1015" s="13">
        <v>344.97912777917003</v>
      </c>
      <c r="BO1015" s="13" t="s">
        <v>169</v>
      </c>
      <c r="BP1015" s="13">
        <v>198.86807572232701</v>
      </c>
      <c r="BQ1015" s="13">
        <v>5.9115799815535599</v>
      </c>
      <c r="BT1015" s="298" t="str">
        <f>+VLOOKUP(G1015,Liste!$A$7:$H$50,8,FALSE)</f>
        <v>Résineux</v>
      </c>
      <c r="BU1015" s="298">
        <f t="shared" si="304"/>
        <v>0</v>
      </c>
      <c r="BV1015" s="300">
        <f t="shared" si="305"/>
        <v>1</v>
      </c>
      <c r="BW1015" s="321">
        <v>0</v>
      </c>
      <c r="BX1015" s="298">
        <f t="shared" si="306"/>
        <v>0.43</v>
      </c>
      <c r="BY1015">
        <f t="shared" si="307"/>
        <v>0</v>
      </c>
      <c r="BZ1015" s="304">
        <f t="shared" si="308"/>
        <v>0</v>
      </c>
      <c r="CB1015" s="299">
        <v>0.6</v>
      </c>
      <c r="CC1015" s="299">
        <v>0.4</v>
      </c>
      <c r="CD1015">
        <f t="shared" si="309"/>
        <v>0</v>
      </c>
      <c r="CE1015">
        <f t="shared" si="310"/>
        <v>0</v>
      </c>
      <c r="CF1015">
        <f t="shared" si="311"/>
        <v>0</v>
      </c>
      <c r="CG1015">
        <f t="shared" si="312"/>
        <v>0</v>
      </c>
      <c r="CH1015">
        <f t="shared" si="313"/>
        <v>0</v>
      </c>
      <c r="CI1015">
        <f t="shared" si="314"/>
        <v>0</v>
      </c>
      <c r="CJ1015">
        <f t="shared" si="315"/>
        <v>0</v>
      </c>
      <c r="CK1015">
        <f t="shared" si="316"/>
        <v>0</v>
      </c>
      <c r="CL1015">
        <f t="shared" si="317"/>
        <v>0</v>
      </c>
      <c r="CM1015">
        <f t="shared" si="319"/>
        <v>0</v>
      </c>
      <c r="CN1015">
        <f t="shared" si="318"/>
        <v>0</v>
      </c>
      <c r="CO1015">
        <f t="shared" si="302"/>
        <v>0</v>
      </c>
    </row>
    <row r="1016" spans="1:93" s="12" customFormat="1" x14ac:dyDescent="0.25">
      <c r="A1016" s="4">
        <v>2021</v>
      </c>
      <c r="B1016" s="318">
        <v>44279</v>
      </c>
      <c r="C1016" s="4" t="s">
        <v>1494</v>
      </c>
      <c r="D1016" s="4" t="s">
        <v>1495</v>
      </c>
      <c r="E1016" s="4"/>
      <c r="F1016" s="4" t="s">
        <v>1496</v>
      </c>
      <c r="G1016" s="5" t="s">
        <v>1497</v>
      </c>
      <c r="H1016" s="5" t="s">
        <v>1498</v>
      </c>
      <c r="I1016" s="5" t="s">
        <v>233</v>
      </c>
      <c r="J1016" s="5" t="s">
        <v>10</v>
      </c>
      <c r="K1016" s="5">
        <v>15.2</v>
      </c>
      <c r="L1016" s="5" t="s">
        <v>192</v>
      </c>
      <c r="M1016" s="5">
        <v>1100</v>
      </c>
      <c r="N1016" s="5" t="s">
        <v>170</v>
      </c>
      <c r="O1016" s="6" t="s">
        <v>1499</v>
      </c>
      <c r="P1016" s="6" t="s">
        <v>1500</v>
      </c>
      <c r="Q1016" s="6"/>
      <c r="R1016" s="6"/>
      <c r="S1016" s="6">
        <v>15</v>
      </c>
      <c r="T1016" s="6">
        <v>3.96</v>
      </c>
      <c r="U1016" s="6">
        <v>6000</v>
      </c>
      <c r="V1016" s="6">
        <v>9.57</v>
      </c>
      <c r="W1016" s="6">
        <v>6000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7">
        <v>100</v>
      </c>
      <c r="AD1016" s="7" t="s">
        <v>53</v>
      </c>
      <c r="AE1016" s="7">
        <v>20.9</v>
      </c>
      <c r="AF1016" s="7">
        <v>125</v>
      </c>
      <c r="AG1016" s="7">
        <v>20.170000000000002</v>
      </c>
      <c r="AH1016" s="7">
        <v>45.33</v>
      </c>
      <c r="AI1016" s="7">
        <v>46.82</v>
      </c>
      <c r="AJ1016" s="9">
        <v>193.01721981653799</v>
      </c>
      <c r="AK1016" s="9">
        <v>195.08292628731999</v>
      </c>
      <c r="AL1016" s="9">
        <v>218.53877430237699</v>
      </c>
      <c r="AM1016" s="9">
        <v>65.589385646493199</v>
      </c>
      <c r="AN1016" s="9">
        <v>0.65589385646493203</v>
      </c>
      <c r="AO1016" s="9">
        <v>0.48587194024725</v>
      </c>
      <c r="AP1016" s="9">
        <v>657.94335873942305</v>
      </c>
      <c r="AQ1016" s="9">
        <v>6.57943358739423</v>
      </c>
      <c r="AR1016" s="9">
        <v>5.7372275219099702</v>
      </c>
      <c r="AS1016" s="8">
        <v>75</v>
      </c>
      <c r="AT1016" s="8">
        <v>9.5599999999999987</v>
      </c>
      <c r="AU1016" s="10">
        <v>40.285928143158799</v>
      </c>
      <c r="AV1016" s="10">
        <v>92.213382412182</v>
      </c>
      <c r="AW1016" s="8">
        <v>0.86</v>
      </c>
      <c r="AX1016" s="10">
        <v>1.2295117654957599</v>
      </c>
      <c r="AY1016" s="8"/>
      <c r="AZ1016" s="8"/>
      <c r="BA1016" s="8"/>
      <c r="BB1016" s="8"/>
      <c r="BC1016" s="8"/>
      <c r="BD1016" s="8"/>
      <c r="BE1016" s="8"/>
      <c r="BF1016" s="12">
        <v>0.49</v>
      </c>
      <c r="BG1016" s="13">
        <v>186.504632302554</v>
      </c>
      <c r="BH1016" s="96" t="str">
        <f>+VLOOKUP(G1016,Liste!$A$7:$G$50,3,FALSE)</f>
        <v>Pin Noir d'Autriche</v>
      </c>
      <c r="BI1016" s="96" t="str">
        <f>+VLOOKUP(H1016,Liste!$B$7:$G$50,5,FALSE)</f>
        <v>GSM Alpes du Sud</v>
      </c>
      <c r="BJ1016" s="135">
        <f t="shared" si="301"/>
        <v>100</v>
      </c>
      <c r="BK1016" s="135" t="str">
        <f t="shared" si="303"/>
        <v>Pin Noir d'Autriche_F2_PO2_d4_GSM Alpes du Sud_100_</v>
      </c>
      <c r="BL1016" s="322"/>
      <c r="BM1016" s="13">
        <v>49.886351962472297</v>
      </c>
      <c r="BN1016" s="13">
        <v>236.39098426502599</v>
      </c>
      <c r="BO1016" s="13">
        <v>108.58814351414404</v>
      </c>
      <c r="BP1016" s="13">
        <v>198.86807572232701</v>
      </c>
      <c r="BQ1016" s="13">
        <v>5.9115799815535599</v>
      </c>
      <c r="BT1016" s="298" t="str">
        <f>+VLOOKUP(G1016,Liste!$A$7:$H$50,8,FALSE)</f>
        <v>Résineux</v>
      </c>
      <c r="BU1016" s="298">
        <f t="shared" si="304"/>
        <v>0</v>
      </c>
      <c r="BV1016" s="300">
        <f t="shared" si="305"/>
        <v>1</v>
      </c>
      <c r="BW1016" s="321">
        <v>0</v>
      </c>
      <c r="BX1016" s="298">
        <f t="shared" si="306"/>
        <v>0.43</v>
      </c>
      <c r="BY1016">
        <f t="shared" si="307"/>
        <v>0</v>
      </c>
      <c r="BZ1016" s="304">
        <f t="shared" si="308"/>
        <v>0</v>
      </c>
      <c r="CB1016" s="299">
        <v>0.6</v>
      </c>
      <c r="CC1016" s="299">
        <v>0.4</v>
      </c>
      <c r="CD1016">
        <f t="shared" si="309"/>
        <v>0</v>
      </c>
      <c r="CE1016">
        <f t="shared" si="310"/>
        <v>0</v>
      </c>
      <c r="CF1016">
        <f t="shared" si="311"/>
        <v>0</v>
      </c>
      <c r="CG1016">
        <f t="shared" si="312"/>
        <v>0</v>
      </c>
      <c r="CH1016">
        <f t="shared" si="313"/>
        <v>0</v>
      </c>
      <c r="CI1016">
        <f t="shared" si="314"/>
        <v>0</v>
      </c>
      <c r="CJ1016">
        <f t="shared" si="315"/>
        <v>0</v>
      </c>
      <c r="CK1016">
        <f t="shared" si="316"/>
        <v>0</v>
      </c>
      <c r="CL1016">
        <f t="shared" si="317"/>
        <v>0</v>
      </c>
      <c r="CM1016">
        <f t="shared" si="319"/>
        <v>0</v>
      </c>
      <c r="CN1016">
        <f t="shared" si="318"/>
        <v>0</v>
      </c>
      <c r="CO1016">
        <f t="shared" si="302"/>
        <v>0</v>
      </c>
    </row>
    <row r="1017" spans="1:93" s="12" customFormat="1" x14ac:dyDescent="0.25">
      <c r="A1017" s="4">
        <v>2021</v>
      </c>
      <c r="B1017" s="318">
        <v>44279</v>
      </c>
      <c r="C1017" s="4" t="s">
        <v>1494</v>
      </c>
      <c r="D1017" s="4" t="s">
        <v>1495</v>
      </c>
      <c r="E1017" s="4"/>
      <c r="F1017" s="4" t="s">
        <v>1496</v>
      </c>
      <c r="G1017" s="5" t="s">
        <v>1497</v>
      </c>
      <c r="H1017" s="5" t="s">
        <v>1498</v>
      </c>
      <c r="I1017" s="5" t="s">
        <v>233</v>
      </c>
      <c r="J1017" s="5" t="s">
        <v>10</v>
      </c>
      <c r="K1017" s="5">
        <v>15.2</v>
      </c>
      <c r="L1017" s="5" t="s">
        <v>192</v>
      </c>
      <c r="M1017" s="5">
        <v>1100</v>
      </c>
      <c r="N1017" s="5" t="s">
        <v>170</v>
      </c>
      <c r="O1017" s="6" t="s">
        <v>1499</v>
      </c>
      <c r="P1017" s="6" t="s">
        <v>1500</v>
      </c>
      <c r="Q1017" s="6"/>
      <c r="R1017" s="6"/>
      <c r="S1017" s="6">
        <v>15</v>
      </c>
      <c r="T1017" s="6">
        <v>3.96</v>
      </c>
      <c r="U1017" s="6">
        <v>6000</v>
      </c>
      <c r="V1017" s="6">
        <v>9.57</v>
      </c>
      <c r="W1017" s="6">
        <v>6000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7">
        <v>105</v>
      </c>
      <c r="AD1017" s="7" t="s">
        <v>52</v>
      </c>
      <c r="AE1017" s="7">
        <v>21.14</v>
      </c>
      <c r="AF1017" s="7">
        <v>125</v>
      </c>
      <c r="AG1017" s="7">
        <v>22.6</v>
      </c>
      <c r="AH1017" s="7">
        <v>47.98</v>
      </c>
      <c r="AI1017" s="7">
        <v>49.58</v>
      </c>
      <c r="AJ1017" s="9">
        <v>217.93456680143001</v>
      </c>
      <c r="AK1017" s="9">
        <v>220.44160628433201</v>
      </c>
      <c r="AL1017" s="9">
        <v>247.22491191192699</v>
      </c>
      <c r="AM1017" s="9">
        <v>68.018745347729407</v>
      </c>
      <c r="AN1017" s="9">
        <v>0.64779757474027999</v>
      </c>
      <c r="AO1017" s="9">
        <v>0.50971271092195702</v>
      </c>
      <c r="AP1017" s="9">
        <v>686.629496348972</v>
      </c>
      <c r="AQ1017" s="9">
        <v>6.5393285366568801</v>
      </c>
      <c r="AR1017" s="9">
        <v>6.0566480931753199</v>
      </c>
      <c r="AS1017" s="8" t="s">
        <v>169</v>
      </c>
      <c r="AT1017" s="8" t="s">
        <v>169</v>
      </c>
      <c r="AU1017" s="10" t="s">
        <v>169</v>
      </c>
      <c r="AV1017" s="10">
        <v>0</v>
      </c>
      <c r="AW1017" s="8"/>
      <c r="AX1017" s="10" t="s">
        <v>169</v>
      </c>
      <c r="AY1017" s="8"/>
      <c r="AZ1017" s="8"/>
      <c r="BA1017" s="8"/>
      <c r="BB1017" s="8"/>
      <c r="BC1017" s="8"/>
      <c r="BD1017" s="8"/>
      <c r="BE1017" s="8"/>
      <c r="BF1017" s="12">
        <v>0.49</v>
      </c>
      <c r="BG1017" s="13">
        <v>210.98586024083701</v>
      </c>
      <c r="BH1017" s="96" t="str">
        <f>+VLOOKUP(G1017,Liste!$A$7:$G$50,3,FALSE)</f>
        <v>Pin Noir d'Autriche</v>
      </c>
      <c r="BI1017" s="96" t="str">
        <f>+VLOOKUP(H1017,Liste!$B$7:$G$50,5,FALSE)</f>
        <v>GSM Alpes du Sud</v>
      </c>
      <c r="BJ1017" s="135">
        <f t="shared" si="301"/>
        <v>105</v>
      </c>
      <c r="BK1017" s="135" t="str">
        <f t="shared" si="303"/>
        <v>Pin Noir d'Autriche_F2_PO2_d4_GSM Alpes du Sud_105_</v>
      </c>
      <c r="BL1017" s="322"/>
      <c r="BM1017" s="13">
        <v>55.630204495284303</v>
      </c>
      <c r="BN1017" s="13">
        <v>266.61606473612102</v>
      </c>
      <c r="BO1017" s="13" t="s">
        <v>169</v>
      </c>
      <c r="BP1017" s="13">
        <v>198.86807572232701</v>
      </c>
      <c r="BQ1017" s="13">
        <v>6.2353659732851403</v>
      </c>
      <c r="BT1017" s="298" t="str">
        <f>+VLOOKUP(G1017,Liste!$A$7:$H$50,8,FALSE)</f>
        <v>Résineux</v>
      </c>
      <c r="BU1017" s="298">
        <f t="shared" si="304"/>
        <v>0</v>
      </c>
      <c r="BV1017" s="300">
        <f t="shared" si="305"/>
        <v>1</v>
      </c>
      <c r="BW1017" s="321">
        <v>0</v>
      </c>
      <c r="BX1017" s="298">
        <f t="shared" si="306"/>
        <v>0.43</v>
      </c>
      <c r="BY1017">
        <f t="shared" si="307"/>
        <v>0</v>
      </c>
      <c r="BZ1017" s="304">
        <f t="shared" si="308"/>
        <v>0</v>
      </c>
      <c r="CB1017" s="299">
        <v>0.6</v>
      </c>
      <c r="CC1017" s="299">
        <v>0.4</v>
      </c>
      <c r="CD1017">
        <f t="shared" si="309"/>
        <v>0</v>
      </c>
      <c r="CE1017">
        <f t="shared" si="310"/>
        <v>0</v>
      </c>
      <c r="CF1017">
        <f t="shared" si="311"/>
        <v>0</v>
      </c>
      <c r="CG1017">
        <f t="shared" si="312"/>
        <v>0</v>
      </c>
      <c r="CH1017">
        <f t="shared" si="313"/>
        <v>0</v>
      </c>
      <c r="CI1017">
        <f t="shared" si="314"/>
        <v>0</v>
      </c>
      <c r="CJ1017">
        <f t="shared" si="315"/>
        <v>0</v>
      </c>
      <c r="CK1017">
        <f t="shared" si="316"/>
        <v>0</v>
      </c>
      <c r="CL1017">
        <f t="shared" si="317"/>
        <v>0</v>
      </c>
      <c r="CM1017">
        <f t="shared" si="319"/>
        <v>0</v>
      </c>
      <c r="CN1017">
        <f t="shared" si="318"/>
        <v>0</v>
      </c>
      <c r="CO1017">
        <f t="shared" si="302"/>
        <v>0</v>
      </c>
    </row>
    <row r="1018" spans="1:93" s="12" customFormat="1" x14ac:dyDescent="0.25">
      <c r="A1018" s="4">
        <v>2021</v>
      </c>
      <c r="B1018" s="318">
        <v>44279</v>
      </c>
      <c r="C1018" s="4" t="s">
        <v>1494</v>
      </c>
      <c r="D1018" s="4" t="s">
        <v>1495</v>
      </c>
      <c r="E1018" s="4"/>
      <c r="F1018" s="4" t="s">
        <v>1496</v>
      </c>
      <c r="G1018" s="5" t="s">
        <v>1497</v>
      </c>
      <c r="H1018" s="5" t="s">
        <v>1498</v>
      </c>
      <c r="I1018" s="5" t="s">
        <v>233</v>
      </c>
      <c r="J1018" s="5" t="s">
        <v>10</v>
      </c>
      <c r="K1018" s="5">
        <v>15.2</v>
      </c>
      <c r="L1018" s="5" t="s">
        <v>192</v>
      </c>
      <c r="M1018" s="5">
        <v>1100</v>
      </c>
      <c r="N1018" s="5" t="s">
        <v>170</v>
      </c>
      <c r="O1018" s="6" t="s">
        <v>1499</v>
      </c>
      <c r="P1018" s="6" t="s">
        <v>1500</v>
      </c>
      <c r="Q1018" s="6"/>
      <c r="R1018" s="6"/>
      <c r="S1018" s="6">
        <v>15</v>
      </c>
      <c r="T1018" s="6">
        <v>3.96</v>
      </c>
      <c r="U1018" s="6">
        <v>6000</v>
      </c>
      <c r="V1018" s="6">
        <v>9.57</v>
      </c>
      <c r="W1018" s="6">
        <v>6000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7">
        <v>110</v>
      </c>
      <c r="AD1018" s="7" t="s">
        <v>52</v>
      </c>
      <c r="AE1018" s="7">
        <v>21.35</v>
      </c>
      <c r="AF1018" s="7">
        <v>125</v>
      </c>
      <c r="AG1018" s="7">
        <v>25.15</v>
      </c>
      <c r="AH1018" s="7">
        <v>50.61</v>
      </c>
      <c r="AI1018" s="7">
        <v>52.33</v>
      </c>
      <c r="AJ1018" s="9">
        <v>244.08592884839101</v>
      </c>
      <c r="AK1018" s="9">
        <v>247.09514600426601</v>
      </c>
      <c r="AL1018" s="9">
        <v>277.50815237780301</v>
      </c>
      <c r="AM1018" s="9">
        <v>70.567308902339207</v>
      </c>
      <c r="AN1018" s="9">
        <v>0.64152099002126595</v>
      </c>
      <c r="AO1018" s="7"/>
      <c r="AP1018" s="9">
        <v>716.91273681484904</v>
      </c>
      <c r="AQ1018" s="9">
        <v>6.51738851649863</v>
      </c>
      <c r="AR1018" s="7"/>
      <c r="AS1018" s="8" t="s">
        <v>169</v>
      </c>
      <c r="AT1018" s="8" t="s">
        <v>169</v>
      </c>
      <c r="AU1018" s="10" t="s">
        <v>169</v>
      </c>
      <c r="AV1018" s="10">
        <v>0</v>
      </c>
      <c r="AW1018" s="8"/>
      <c r="AX1018" s="10" t="s">
        <v>169</v>
      </c>
      <c r="AY1018" s="8"/>
      <c r="AZ1018" s="8"/>
      <c r="BA1018" s="8"/>
      <c r="BB1018" s="8"/>
      <c r="BC1018" s="8"/>
      <c r="BD1018" s="8"/>
      <c r="BE1018" s="8"/>
      <c r="BF1018" s="12">
        <v>0.49</v>
      </c>
      <c r="BG1018" s="13">
        <v>236.83008237509</v>
      </c>
      <c r="BH1018" s="96" t="str">
        <f>+VLOOKUP(G1018,Liste!$A$7:$G$50,3,FALSE)</f>
        <v>Pin Noir d'Autriche</v>
      </c>
      <c r="BI1018" s="96" t="str">
        <f>+VLOOKUP(H1018,Liste!$B$7:$G$50,5,FALSE)</f>
        <v>GSM Alpes du Sud</v>
      </c>
      <c r="BJ1018" s="135">
        <f t="shared" si="301"/>
        <v>110</v>
      </c>
      <c r="BK1018" s="135" t="str">
        <f t="shared" si="303"/>
        <v>Pin Noir d'Autriche_F2_PO2_d4_GSM Alpes du Sud_110_</v>
      </c>
      <c r="BL1018" s="322"/>
      <c r="BM1018" s="13">
        <v>61.610227203071602</v>
      </c>
      <c r="BN1018" s="13">
        <v>298.44030957816199</v>
      </c>
      <c r="BO1018" s="13" t="s">
        <v>169</v>
      </c>
      <c r="BP1018" s="13">
        <v>198.86807572232701</v>
      </c>
      <c r="BQ1018" s="13"/>
      <c r="BT1018" s="298" t="str">
        <f>+VLOOKUP(G1018,Liste!$A$7:$H$50,8,FALSE)</f>
        <v>Résineux</v>
      </c>
      <c r="BU1018" s="298">
        <f t="shared" si="304"/>
        <v>0</v>
      </c>
      <c r="BV1018" s="300">
        <f t="shared" si="305"/>
        <v>1</v>
      </c>
      <c r="BW1018" s="321">
        <v>0</v>
      </c>
      <c r="BX1018" s="298">
        <f t="shared" si="306"/>
        <v>0.43</v>
      </c>
      <c r="BY1018">
        <f t="shared" si="307"/>
        <v>0</v>
      </c>
      <c r="BZ1018" s="304">
        <f t="shared" si="308"/>
        <v>0</v>
      </c>
      <c r="CB1018" s="299">
        <v>0.6</v>
      </c>
      <c r="CC1018" s="299">
        <v>0.4</v>
      </c>
      <c r="CD1018">
        <f t="shared" si="309"/>
        <v>0</v>
      </c>
      <c r="CE1018">
        <f t="shared" si="310"/>
        <v>0</v>
      </c>
      <c r="CF1018">
        <f t="shared" si="311"/>
        <v>0</v>
      </c>
      <c r="CG1018">
        <f t="shared" si="312"/>
        <v>0</v>
      </c>
      <c r="CH1018">
        <f t="shared" si="313"/>
        <v>0</v>
      </c>
      <c r="CI1018">
        <f t="shared" si="314"/>
        <v>0</v>
      </c>
      <c r="CJ1018">
        <f t="shared" si="315"/>
        <v>0</v>
      </c>
      <c r="CK1018">
        <f t="shared" si="316"/>
        <v>0</v>
      </c>
      <c r="CL1018">
        <f t="shared" si="317"/>
        <v>0</v>
      </c>
      <c r="CM1018">
        <f t="shared" si="319"/>
        <v>0</v>
      </c>
      <c r="CN1018">
        <f t="shared" si="318"/>
        <v>0</v>
      </c>
      <c r="CO1018">
        <f t="shared" si="302"/>
        <v>0</v>
      </c>
    </row>
    <row r="1019" spans="1:93" s="12" customFormat="1" x14ac:dyDescent="0.25">
      <c r="A1019" s="4">
        <v>2021</v>
      </c>
      <c r="B1019" s="318">
        <v>44279</v>
      </c>
      <c r="C1019" s="4" t="s">
        <v>1494</v>
      </c>
      <c r="D1019" s="4" t="s">
        <v>1495</v>
      </c>
      <c r="E1019" s="4"/>
      <c r="F1019" s="4" t="s">
        <v>1496</v>
      </c>
      <c r="G1019" s="5" t="s">
        <v>1497</v>
      </c>
      <c r="H1019" s="5" t="s">
        <v>1498</v>
      </c>
      <c r="I1019" s="5" t="s">
        <v>233</v>
      </c>
      <c r="J1019" s="5" t="s">
        <v>10</v>
      </c>
      <c r="K1019" s="5">
        <v>15.2</v>
      </c>
      <c r="L1019" s="5" t="s">
        <v>192</v>
      </c>
      <c r="M1019" s="5">
        <v>1100</v>
      </c>
      <c r="N1019" s="5" t="s">
        <v>170</v>
      </c>
      <c r="O1019" s="6" t="s">
        <v>1499</v>
      </c>
      <c r="P1019" s="6" t="s">
        <v>1500</v>
      </c>
      <c r="Q1019" s="6"/>
      <c r="R1019" s="6"/>
      <c r="S1019" s="6">
        <v>15</v>
      </c>
      <c r="T1019" s="6">
        <v>3.96</v>
      </c>
      <c r="U1019" s="6">
        <v>6000</v>
      </c>
      <c r="V1019" s="6">
        <v>9.57</v>
      </c>
      <c r="W1019" s="6">
        <v>6000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7">
        <v>110</v>
      </c>
      <c r="AD1019" s="7" t="s">
        <v>53</v>
      </c>
      <c r="AE1019" s="7">
        <v>21.35</v>
      </c>
      <c r="AF1019" s="7">
        <v>0</v>
      </c>
      <c r="AG1019" s="7">
        <v>0</v>
      </c>
      <c r="AH1019" s="7">
        <v>0</v>
      </c>
      <c r="AI1019" s="7">
        <v>0</v>
      </c>
      <c r="AJ1019" s="9">
        <v>0</v>
      </c>
      <c r="AK1019" s="9">
        <v>0</v>
      </c>
      <c r="AL1019" s="9">
        <v>0</v>
      </c>
      <c r="AM1019" s="9">
        <v>70.567308902339207</v>
      </c>
      <c r="AN1019" s="9">
        <v>0.64152099002126595</v>
      </c>
      <c r="AO1019" s="7"/>
      <c r="AP1019" s="9">
        <v>716.91273681484904</v>
      </c>
      <c r="AQ1019" s="9">
        <v>6.51738851649863</v>
      </c>
      <c r="AR1019" s="7"/>
      <c r="AS1019" s="8">
        <v>125</v>
      </c>
      <c r="AT1019" s="8">
        <v>25.15</v>
      </c>
      <c r="AU1019" s="10">
        <v>50.613811988499222</v>
      </c>
      <c r="AV1019" s="10">
        <v>244.08592884839101</v>
      </c>
      <c r="AW1019" s="8">
        <v>1</v>
      </c>
      <c r="AX1019" s="10">
        <v>1.952687430787128</v>
      </c>
      <c r="AY1019" s="8"/>
      <c r="AZ1019" s="8"/>
      <c r="BA1019" s="8"/>
      <c r="BB1019" s="8"/>
      <c r="BC1019" s="8"/>
      <c r="BD1019" s="8"/>
      <c r="BE1019" s="8"/>
      <c r="BF1019" s="12">
        <v>0.49</v>
      </c>
      <c r="BG1019" s="13">
        <v>0</v>
      </c>
      <c r="BH1019" s="96" t="str">
        <f>+VLOOKUP(G1019,Liste!$A$7:$G$50,3,FALSE)</f>
        <v>Pin Noir d'Autriche</v>
      </c>
      <c r="BI1019" s="96" t="str">
        <f>+VLOOKUP(H1019,Liste!$B$7:$G$50,5,FALSE)</f>
        <v>GSM Alpes du Sud</v>
      </c>
      <c r="BJ1019" s="135">
        <f t="shared" si="301"/>
        <v>110</v>
      </c>
      <c r="BK1019" s="135" t="str">
        <f t="shared" si="303"/>
        <v>Pin Noir d'Autriche_F2_PO2_d4_GSM Alpes du Sud_110_</v>
      </c>
      <c r="BL1019" s="322"/>
      <c r="BM1019" s="13">
        <v>0</v>
      </c>
      <c r="BN1019" s="13">
        <v>0</v>
      </c>
      <c r="BO1019" s="13">
        <v>298.44030957816199</v>
      </c>
      <c r="BP1019" s="13">
        <v>198.86807572232701</v>
      </c>
      <c r="BQ1019" s="13"/>
      <c r="BT1019" s="298" t="str">
        <f>+VLOOKUP(G1019,Liste!$A$7:$H$50,8,FALSE)</f>
        <v>Résineux</v>
      </c>
      <c r="BU1019" s="298">
        <f t="shared" si="304"/>
        <v>0</v>
      </c>
      <c r="BV1019" s="300">
        <f t="shared" si="305"/>
        <v>1</v>
      </c>
      <c r="BW1019" s="321">
        <v>0</v>
      </c>
      <c r="BX1019" s="298">
        <f t="shared" si="306"/>
        <v>0.43</v>
      </c>
      <c r="BY1019">
        <f t="shared" si="307"/>
        <v>0</v>
      </c>
      <c r="BZ1019" s="304">
        <f t="shared" si="308"/>
        <v>0</v>
      </c>
      <c r="CB1019" s="299">
        <v>0.6</v>
      </c>
      <c r="CC1019" s="299">
        <v>0.4</v>
      </c>
      <c r="CD1019">
        <f t="shared" si="309"/>
        <v>0</v>
      </c>
      <c r="CE1019">
        <f t="shared" si="310"/>
        <v>0</v>
      </c>
      <c r="CF1019">
        <f t="shared" si="311"/>
        <v>0</v>
      </c>
      <c r="CG1019">
        <f t="shared" si="312"/>
        <v>0</v>
      </c>
      <c r="CH1019">
        <f t="shared" si="313"/>
        <v>0</v>
      </c>
      <c r="CI1019">
        <f t="shared" si="314"/>
        <v>0</v>
      </c>
      <c r="CJ1019">
        <f t="shared" si="315"/>
        <v>0</v>
      </c>
      <c r="CK1019">
        <f t="shared" si="316"/>
        <v>0</v>
      </c>
      <c r="CL1019">
        <f t="shared" si="317"/>
        <v>0</v>
      </c>
      <c r="CM1019">
        <f t="shared" si="319"/>
        <v>0</v>
      </c>
      <c r="CN1019">
        <f t="shared" si="318"/>
        <v>0</v>
      </c>
      <c r="CO1019">
        <f t="shared" si="302"/>
        <v>0</v>
      </c>
    </row>
    <row r="1020" spans="1:93" s="12" customFormat="1" x14ac:dyDescent="0.25">
      <c r="A1020" s="4">
        <v>2021</v>
      </c>
      <c r="B1020" s="318">
        <v>44279</v>
      </c>
      <c r="C1020" s="4" t="s">
        <v>1494</v>
      </c>
      <c r="D1020" s="4" t="s">
        <v>1495</v>
      </c>
      <c r="E1020" s="4"/>
      <c r="F1020" s="4" t="s">
        <v>1496</v>
      </c>
      <c r="G1020" s="5" t="s">
        <v>15</v>
      </c>
      <c r="H1020" s="5" t="s">
        <v>1498</v>
      </c>
      <c r="I1020" s="5" t="s">
        <v>1501</v>
      </c>
      <c r="J1020" s="5" t="s">
        <v>9</v>
      </c>
      <c r="K1020" s="5">
        <v>15.1</v>
      </c>
      <c r="L1020" s="5" t="s">
        <v>192</v>
      </c>
      <c r="M1020" s="5">
        <v>1100</v>
      </c>
      <c r="N1020" s="5" t="s">
        <v>170</v>
      </c>
      <c r="O1020" s="6" t="s">
        <v>1499</v>
      </c>
      <c r="P1020" s="6" t="s">
        <v>1500</v>
      </c>
      <c r="Q1020" s="6"/>
      <c r="R1020" s="6"/>
      <c r="S1020" s="6">
        <v>15</v>
      </c>
      <c r="T1020" s="6">
        <v>3.64</v>
      </c>
      <c r="U1020" s="6">
        <v>6001</v>
      </c>
      <c r="V1020" s="6">
        <v>9.11</v>
      </c>
      <c r="W1020" s="6">
        <v>6001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7">
        <v>25</v>
      </c>
      <c r="AD1020" s="7" t="s">
        <v>52</v>
      </c>
      <c r="AE1020" s="7">
        <v>8.3699999999999992</v>
      </c>
      <c r="AF1020" s="7">
        <v>1095</v>
      </c>
      <c r="AG1020" s="7">
        <v>15.29</v>
      </c>
      <c r="AH1020" s="7">
        <v>13.33</v>
      </c>
      <c r="AI1020" s="7">
        <v>15.1</v>
      </c>
      <c r="AJ1020" s="9">
        <v>61.424581450843903</v>
      </c>
      <c r="AK1020" s="9">
        <v>62.125105900342596</v>
      </c>
      <c r="AL1020" s="9">
        <v>93.317698240130596</v>
      </c>
      <c r="AM1020" s="9">
        <v>15.3382137640581</v>
      </c>
      <c r="AN1020" s="9">
        <v>0.61352855056232602</v>
      </c>
      <c r="AO1020" s="9">
        <v>1.2255682714634599</v>
      </c>
      <c r="AP1020" s="9">
        <v>93.571915933894005</v>
      </c>
      <c r="AQ1020" s="9">
        <v>3.74287663735576</v>
      </c>
      <c r="AR1020" s="9">
        <v>10.606112595114899</v>
      </c>
      <c r="AS1020" s="8"/>
      <c r="AT1020" s="8"/>
      <c r="AU1020" s="8"/>
      <c r="AV1020" s="10">
        <v>0</v>
      </c>
      <c r="AW1020" s="8"/>
      <c r="AX1020" s="8"/>
      <c r="AY1020" s="8"/>
      <c r="AZ1020" s="8"/>
      <c r="BA1020" s="8"/>
      <c r="BB1020" s="8"/>
      <c r="BC1020" s="8"/>
      <c r="BD1020" s="8"/>
      <c r="BE1020" s="8"/>
      <c r="BF1020" s="12">
        <v>0.44</v>
      </c>
      <c r="BG1020" s="13">
        <v>71.512462751353397</v>
      </c>
      <c r="BH1020" s="96" t="str">
        <f>+VLOOKUP(G1020,Liste!$A$7:$G$50,3,FALSE)</f>
        <v>Pin sylvestre</v>
      </c>
      <c r="BI1020" s="96" t="str">
        <f>+VLOOKUP(H1020,Liste!$B$7:$G$50,5,FALSE)</f>
        <v>GSM Alpes du Sud</v>
      </c>
      <c r="BJ1020" s="135">
        <f t="shared" si="301"/>
        <v>25</v>
      </c>
      <c r="BK1020" s="135" t="str">
        <f t="shared" si="303"/>
        <v>Pin sylvestre_F1_PS1_d3_GSM Alpes du Sud_25_</v>
      </c>
      <c r="BL1020" s="322"/>
      <c r="BM1020" s="13">
        <v>21.386124767833</v>
      </c>
      <c r="BN1020" s="13">
        <v>92.898587519186293</v>
      </c>
      <c r="BP1020" s="13">
        <v>207.95936776930901</v>
      </c>
      <c r="BQ1020" s="13">
        <v>10.215653182961001</v>
      </c>
      <c r="BT1020" s="298" t="str">
        <f>+VLOOKUP(G1020,Liste!$A$7:$H$50,8,FALSE)</f>
        <v>Résineux</v>
      </c>
      <c r="BU1020" s="298">
        <f t="shared" si="304"/>
        <v>0</v>
      </c>
      <c r="BV1020" s="300">
        <f t="shared" si="305"/>
        <v>1</v>
      </c>
      <c r="BW1020" s="321">
        <v>0</v>
      </c>
      <c r="BX1020" s="298">
        <f t="shared" si="306"/>
        <v>0.43</v>
      </c>
      <c r="BY1020">
        <f t="shared" si="307"/>
        <v>0</v>
      </c>
      <c r="BZ1020" s="304">
        <f t="shared" si="308"/>
        <v>0</v>
      </c>
      <c r="CB1020" s="299">
        <v>0.6</v>
      </c>
      <c r="CC1020" s="299">
        <v>0.4</v>
      </c>
      <c r="CD1020">
        <f t="shared" si="309"/>
        <v>0</v>
      </c>
      <c r="CE1020">
        <f t="shared" si="310"/>
        <v>0</v>
      </c>
      <c r="CF1020">
        <f t="shared" si="311"/>
        <v>0</v>
      </c>
      <c r="CG1020">
        <f t="shared" si="312"/>
        <v>0</v>
      </c>
      <c r="CH1020">
        <f t="shared" si="313"/>
        <v>0</v>
      </c>
      <c r="CI1020">
        <f t="shared" si="314"/>
        <v>0</v>
      </c>
      <c r="CJ1020">
        <f t="shared" si="315"/>
        <v>0</v>
      </c>
      <c r="CK1020">
        <f t="shared" si="316"/>
        <v>0</v>
      </c>
      <c r="CL1020">
        <f t="shared" si="317"/>
        <v>0</v>
      </c>
      <c r="CM1020">
        <f t="shared" si="319"/>
        <v>0</v>
      </c>
      <c r="CN1020">
        <f t="shared" si="318"/>
        <v>0</v>
      </c>
      <c r="CO1020">
        <f t="shared" si="302"/>
        <v>0</v>
      </c>
    </row>
    <row r="1021" spans="1:93" s="12" customFormat="1" x14ac:dyDescent="0.25">
      <c r="A1021" s="4">
        <v>2021</v>
      </c>
      <c r="B1021" s="318">
        <v>44279</v>
      </c>
      <c r="C1021" s="4" t="s">
        <v>1494</v>
      </c>
      <c r="D1021" s="4" t="s">
        <v>1495</v>
      </c>
      <c r="E1021" s="4"/>
      <c r="F1021" s="4" t="s">
        <v>1496</v>
      </c>
      <c r="G1021" s="5" t="s">
        <v>15</v>
      </c>
      <c r="H1021" s="5" t="s">
        <v>1498</v>
      </c>
      <c r="I1021" s="5" t="s">
        <v>1501</v>
      </c>
      <c r="J1021" s="5" t="s">
        <v>9</v>
      </c>
      <c r="K1021" s="5">
        <v>15.1</v>
      </c>
      <c r="L1021" s="5" t="s">
        <v>192</v>
      </c>
      <c r="M1021" s="5">
        <v>1100</v>
      </c>
      <c r="N1021" s="5" t="s">
        <v>170</v>
      </c>
      <c r="O1021" s="6" t="s">
        <v>1499</v>
      </c>
      <c r="P1021" s="6" t="s">
        <v>1500</v>
      </c>
      <c r="Q1021" s="6"/>
      <c r="R1021" s="6"/>
      <c r="S1021" s="6">
        <v>15</v>
      </c>
      <c r="T1021" s="6">
        <v>3.64</v>
      </c>
      <c r="U1021" s="6">
        <v>6001</v>
      </c>
      <c r="V1021" s="6">
        <v>9.11</v>
      </c>
      <c r="W1021" s="6">
        <v>6001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7">
        <v>30</v>
      </c>
      <c r="AD1021" s="7" t="s">
        <v>52</v>
      </c>
      <c r="AE1021" s="7">
        <v>10.4</v>
      </c>
      <c r="AF1021" s="7">
        <v>1083</v>
      </c>
      <c r="AG1021" s="7">
        <v>21.26</v>
      </c>
      <c r="AH1021" s="7">
        <v>15.81</v>
      </c>
      <c r="AI1021" s="7">
        <v>18.190000000000001</v>
      </c>
      <c r="AJ1021" s="9">
        <v>103.43560485143</v>
      </c>
      <c r="AK1021" s="9">
        <v>104.602242077163</v>
      </c>
      <c r="AL1021" s="9">
        <v>145.356497517191</v>
      </c>
      <c r="AM1021" s="9">
        <v>21.466055121375501</v>
      </c>
      <c r="AN1021" s="9">
        <v>0.71553517071251505</v>
      </c>
      <c r="AO1021" s="9">
        <v>1.06787669894655</v>
      </c>
      <c r="AP1021" s="9">
        <v>146.602478909468</v>
      </c>
      <c r="AQ1021" s="9">
        <v>4.8867492969822797</v>
      </c>
      <c r="AR1021" s="9">
        <v>10.5677740957672</v>
      </c>
      <c r="AS1021" s="8" t="s">
        <v>169</v>
      </c>
      <c r="AT1021" s="8" t="s">
        <v>169</v>
      </c>
      <c r="AU1021" s="8"/>
      <c r="AV1021" s="10">
        <v>0</v>
      </c>
      <c r="AW1021" s="8"/>
      <c r="AX1021" s="8"/>
      <c r="AY1021" s="8"/>
      <c r="AZ1021" s="8"/>
      <c r="BA1021" s="8"/>
      <c r="BB1021" s="8"/>
      <c r="BC1021" s="8"/>
      <c r="BD1021" s="8"/>
      <c r="BE1021" s="8"/>
      <c r="BF1021" s="12">
        <v>0.44</v>
      </c>
      <c r="BG1021" s="13">
        <v>111.391529264007</v>
      </c>
      <c r="BH1021" s="96" t="str">
        <f>+VLOOKUP(G1021,Liste!$A$7:$G$50,3,FALSE)</f>
        <v>Pin sylvestre</v>
      </c>
      <c r="BI1021" s="96" t="str">
        <f>+VLOOKUP(H1021,Liste!$B$7:$G$50,5,FALSE)</f>
        <v>GSM Alpes du Sud</v>
      </c>
      <c r="BJ1021" s="135">
        <f t="shared" si="301"/>
        <v>30</v>
      </c>
      <c r="BK1021" s="135" t="str">
        <f t="shared" si="303"/>
        <v>Pin sylvestre_F1_PS1_d3_GSM Alpes du Sud_30_</v>
      </c>
      <c r="BL1021" s="322"/>
      <c r="BM1021" s="13">
        <v>31.637267725411299</v>
      </c>
      <c r="BN1021" s="13">
        <v>143.02879698941899</v>
      </c>
      <c r="BO1021" s="12" t="s">
        <v>169</v>
      </c>
      <c r="BP1021" s="13">
        <v>207.95936776930901</v>
      </c>
      <c r="BQ1021" s="13">
        <v>10.091023686384499</v>
      </c>
      <c r="BT1021" s="298" t="str">
        <f>+VLOOKUP(G1021,Liste!$A$7:$H$50,8,FALSE)</f>
        <v>Résineux</v>
      </c>
      <c r="BU1021" s="298">
        <f t="shared" si="304"/>
        <v>0</v>
      </c>
      <c r="BV1021" s="300">
        <f t="shared" si="305"/>
        <v>1</v>
      </c>
      <c r="BW1021" s="321">
        <v>0</v>
      </c>
      <c r="BX1021" s="298">
        <f t="shared" si="306"/>
        <v>0.43</v>
      </c>
      <c r="BY1021">
        <f t="shared" si="307"/>
        <v>0</v>
      </c>
      <c r="BZ1021" s="304">
        <f t="shared" si="308"/>
        <v>0</v>
      </c>
      <c r="CB1021" s="299">
        <v>0.6</v>
      </c>
      <c r="CC1021" s="299">
        <v>0.4</v>
      </c>
      <c r="CD1021">
        <f t="shared" si="309"/>
        <v>0</v>
      </c>
      <c r="CE1021">
        <f t="shared" si="310"/>
        <v>0</v>
      </c>
      <c r="CF1021">
        <f t="shared" si="311"/>
        <v>0</v>
      </c>
      <c r="CG1021">
        <f t="shared" si="312"/>
        <v>0</v>
      </c>
      <c r="CH1021">
        <f t="shared" si="313"/>
        <v>0</v>
      </c>
      <c r="CI1021">
        <f t="shared" si="314"/>
        <v>0</v>
      </c>
      <c r="CJ1021">
        <f t="shared" si="315"/>
        <v>0</v>
      </c>
      <c r="CK1021">
        <f t="shared" si="316"/>
        <v>0</v>
      </c>
      <c r="CL1021">
        <f t="shared" si="317"/>
        <v>0</v>
      </c>
      <c r="CM1021">
        <f t="shared" si="319"/>
        <v>0</v>
      </c>
      <c r="CN1021">
        <f t="shared" si="318"/>
        <v>0</v>
      </c>
      <c r="CO1021">
        <f t="shared" si="302"/>
        <v>0</v>
      </c>
    </row>
    <row r="1022" spans="1:93" s="12" customFormat="1" x14ac:dyDescent="0.25">
      <c r="A1022" s="4">
        <v>2021</v>
      </c>
      <c r="B1022" s="318">
        <v>44279</v>
      </c>
      <c r="C1022" s="4" t="s">
        <v>1494</v>
      </c>
      <c r="D1022" s="4" t="s">
        <v>1495</v>
      </c>
      <c r="E1022" s="4"/>
      <c r="F1022" s="4" t="s">
        <v>1496</v>
      </c>
      <c r="G1022" s="5" t="s">
        <v>15</v>
      </c>
      <c r="H1022" s="5" t="s">
        <v>1498</v>
      </c>
      <c r="I1022" s="5" t="s">
        <v>1501</v>
      </c>
      <c r="J1022" s="5" t="s">
        <v>9</v>
      </c>
      <c r="K1022" s="5">
        <v>15.1</v>
      </c>
      <c r="L1022" s="5" t="s">
        <v>192</v>
      </c>
      <c r="M1022" s="5">
        <v>1100</v>
      </c>
      <c r="N1022" s="5" t="s">
        <v>170</v>
      </c>
      <c r="O1022" s="6" t="s">
        <v>1499</v>
      </c>
      <c r="P1022" s="6" t="s">
        <v>1500</v>
      </c>
      <c r="Q1022" s="6"/>
      <c r="R1022" s="6"/>
      <c r="S1022" s="6">
        <v>15</v>
      </c>
      <c r="T1022" s="6">
        <v>3.64</v>
      </c>
      <c r="U1022" s="6">
        <v>6001</v>
      </c>
      <c r="V1022" s="6">
        <v>9.11</v>
      </c>
      <c r="W1022" s="6">
        <v>6001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7">
        <v>35</v>
      </c>
      <c r="AD1022" s="7" t="s">
        <v>52</v>
      </c>
      <c r="AE1022" s="7">
        <v>11.97</v>
      </c>
      <c r="AF1022" s="7">
        <v>1066</v>
      </c>
      <c r="AG1022" s="7">
        <v>26.26</v>
      </c>
      <c r="AH1022" s="7">
        <v>17.71</v>
      </c>
      <c r="AI1022" s="7">
        <v>20.6</v>
      </c>
      <c r="AJ1022" s="9">
        <v>145.955010633184</v>
      </c>
      <c r="AK1022" s="9">
        <v>147.54361349715199</v>
      </c>
      <c r="AL1022" s="9">
        <v>195.877244957594</v>
      </c>
      <c r="AM1022" s="9">
        <v>26.805438616108201</v>
      </c>
      <c r="AN1022" s="9">
        <v>0.76586967474595002</v>
      </c>
      <c r="AO1022" s="9">
        <v>0.93812549173411997</v>
      </c>
      <c r="AP1022" s="9">
        <v>199.44134938830399</v>
      </c>
      <c r="AQ1022" s="9">
        <v>5.6983242682372603</v>
      </c>
      <c r="AR1022" s="9">
        <v>10.0565865439196</v>
      </c>
      <c r="AS1022" s="8" t="s">
        <v>169</v>
      </c>
      <c r="AT1022" s="8" t="s">
        <v>169</v>
      </c>
      <c r="AU1022" s="8" t="s">
        <v>169</v>
      </c>
      <c r="AV1022" s="10">
        <v>0</v>
      </c>
      <c r="AW1022" s="8"/>
      <c r="AX1022" s="8"/>
      <c r="AY1022" s="8"/>
      <c r="AZ1022" s="8"/>
      <c r="BA1022" s="8"/>
      <c r="BB1022" s="8"/>
      <c r="BC1022" s="8"/>
      <c r="BD1022" s="8"/>
      <c r="BE1022" s="8"/>
      <c r="BF1022" s="12">
        <v>0.44</v>
      </c>
      <c r="BG1022" s="13">
        <v>150.10726205250299</v>
      </c>
      <c r="BH1022" s="96" t="str">
        <f>+VLOOKUP(G1022,Liste!$A$7:$G$50,3,FALSE)</f>
        <v>Pin sylvestre</v>
      </c>
      <c r="BI1022" s="96" t="str">
        <f>+VLOOKUP(H1022,Liste!$B$7:$G$50,5,FALSE)</f>
        <v>GSM Alpes du Sud</v>
      </c>
      <c r="BJ1022" s="135">
        <f t="shared" si="301"/>
        <v>35</v>
      </c>
      <c r="BK1022" s="135" t="str">
        <f t="shared" si="303"/>
        <v>Pin sylvestre_F1_PS1_d3_GSM Alpes du Sud_35_</v>
      </c>
      <c r="BL1022" s="322"/>
      <c r="BM1022" s="13">
        <v>41.178350013364103</v>
      </c>
      <c r="BN1022" s="13">
        <v>191.28561206586701</v>
      </c>
      <c r="BO1022" s="12" t="s">
        <v>169</v>
      </c>
      <c r="BP1022" s="13">
        <v>207.95936776930901</v>
      </c>
      <c r="BQ1022" s="13">
        <v>9.5457592633014006</v>
      </c>
      <c r="BT1022" s="298" t="str">
        <f>+VLOOKUP(G1022,Liste!$A$7:$H$50,8,FALSE)</f>
        <v>Résineux</v>
      </c>
      <c r="BU1022" s="298">
        <f t="shared" si="304"/>
        <v>0</v>
      </c>
      <c r="BV1022" s="300">
        <f t="shared" si="305"/>
        <v>1</v>
      </c>
      <c r="BW1022" s="321">
        <v>0</v>
      </c>
      <c r="BX1022" s="298">
        <f t="shared" si="306"/>
        <v>0.43</v>
      </c>
      <c r="BY1022">
        <f t="shared" si="307"/>
        <v>0</v>
      </c>
      <c r="BZ1022" s="304">
        <f t="shared" si="308"/>
        <v>0</v>
      </c>
      <c r="CB1022" s="299">
        <v>0.6</v>
      </c>
      <c r="CC1022" s="299">
        <v>0.4</v>
      </c>
      <c r="CD1022">
        <f t="shared" si="309"/>
        <v>0</v>
      </c>
      <c r="CE1022">
        <f t="shared" si="310"/>
        <v>0</v>
      </c>
      <c r="CF1022">
        <f t="shared" si="311"/>
        <v>0</v>
      </c>
      <c r="CG1022">
        <f t="shared" si="312"/>
        <v>0</v>
      </c>
      <c r="CH1022">
        <f t="shared" si="313"/>
        <v>0</v>
      </c>
      <c r="CI1022">
        <f t="shared" si="314"/>
        <v>0</v>
      </c>
      <c r="CJ1022">
        <f t="shared" si="315"/>
        <v>0</v>
      </c>
      <c r="CK1022">
        <f t="shared" si="316"/>
        <v>0</v>
      </c>
      <c r="CL1022">
        <f t="shared" si="317"/>
        <v>0</v>
      </c>
      <c r="CM1022">
        <f t="shared" si="319"/>
        <v>0</v>
      </c>
      <c r="CN1022">
        <f t="shared" si="318"/>
        <v>0</v>
      </c>
      <c r="CO1022">
        <f t="shared" si="302"/>
        <v>0</v>
      </c>
    </row>
    <row r="1023" spans="1:93" s="12" customFormat="1" x14ac:dyDescent="0.25">
      <c r="A1023" s="4">
        <v>2021</v>
      </c>
      <c r="B1023" s="318">
        <v>44279</v>
      </c>
      <c r="C1023" s="4" t="s">
        <v>1494</v>
      </c>
      <c r="D1023" s="4" t="s">
        <v>1495</v>
      </c>
      <c r="E1023" s="4"/>
      <c r="F1023" s="4" t="s">
        <v>1496</v>
      </c>
      <c r="G1023" s="5" t="s">
        <v>15</v>
      </c>
      <c r="H1023" s="5" t="s">
        <v>1498</v>
      </c>
      <c r="I1023" s="5" t="s">
        <v>1501</v>
      </c>
      <c r="J1023" s="5" t="s">
        <v>9</v>
      </c>
      <c r="K1023" s="5">
        <v>15.1</v>
      </c>
      <c r="L1023" s="5" t="s">
        <v>192</v>
      </c>
      <c r="M1023" s="5">
        <v>1100</v>
      </c>
      <c r="N1023" s="5" t="s">
        <v>170</v>
      </c>
      <c r="O1023" s="6" t="s">
        <v>1499</v>
      </c>
      <c r="P1023" s="6" t="s">
        <v>1500</v>
      </c>
      <c r="Q1023" s="6"/>
      <c r="R1023" s="6"/>
      <c r="S1023" s="6">
        <v>15</v>
      </c>
      <c r="T1023" s="6">
        <v>3.64</v>
      </c>
      <c r="U1023" s="6">
        <v>6001</v>
      </c>
      <c r="V1023" s="6">
        <v>9.11</v>
      </c>
      <c r="W1023" s="6">
        <v>6001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7">
        <v>40</v>
      </c>
      <c r="AD1023" s="7" t="s">
        <v>52</v>
      </c>
      <c r="AE1023" s="7">
        <v>13.3</v>
      </c>
      <c r="AF1023" s="7">
        <v>1048</v>
      </c>
      <c r="AG1023" s="7">
        <v>30.5</v>
      </c>
      <c r="AH1023" s="7">
        <v>19.25</v>
      </c>
      <c r="AI1023" s="7">
        <v>22.61</v>
      </c>
      <c r="AJ1023" s="9">
        <v>185.806916636967</v>
      </c>
      <c r="AK1023" s="9">
        <v>187.82159559653601</v>
      </c>
      <c r="AL1023" s="9">
        <v>242.813903031894</v>
      </c>
      <c r="AM1023" s="9">
        <v>31.496066074778799</v>
      </c>
      <c r="AN1023" s="9">
        <v>0.78740165186947098</v>
      </c>
      <c r="AO1023" s="9">
        <v>0.87437555062081196</v>
      </c>
      <c r="AP1023" s="9">
        <v>249.72428210790201</v>
      </c>
      <c r="AQ1023" s="9">
        <v>6.2431070526975603</v>
      </c>
      <c r="AR1023" s="9">
        <v>9.6883167443888496</v>
      </c>
      <c r="AS1023" s="8" t="s">
        <v>169</v>
      </c>
      <c r="AT1023" s="8" t="s">
        <v>169</v>
      </c>
      <c r="AU1023" s="8" t="s">
        <v>169</v>
      </c>
      <c r="AV1023" s="10">
        <v>0</v>
      </c>
      <c r="AW1023" s="8"/>
      <c r="AX1023" s="8"/>
      <c r="AY1023" s="8"/>
      <c r="AZ1023" s="8"/>
      <c r="BA1023" s="8"/>
      <c r="BB1023" s="8"/>
      <c r="BC1023" s="8"/>
      <c r="BD1023" s="8"/>
      <c r="BE1023" s="8"/>
      <c r="BF1023" s="12">
        <v>0.44</v>
      </c>
      <c r="BG1023" s="13">
        <v>186.07638769010799</v>
      </c>
      <c r="BH1023" s="96" t="str">
        <f>+VLOOKUP(G1023,Liste!$A$7:$G$50,3,FALSE)</f>
        <v>Pin sylvestre</v>
      </c>
      <c r="BI1023" s="96" t="str">
        <f>+VLOOKUP(H1023,Liste!$B$7:$G$50,5,FALSE)</f>
        <v>GSM Alpes du Sud</v>
      </c>
      <c r="BJ1023" s="135">
        <f t="shared" si="301"/>
        <v>40</v>
      </c>
      <c r="BK1023" s="135" t="str">
        <f t="shared" si="303"/>
        <v>Pin sylvestre_F1_PS1_d3_GSM Alpes du Sud_40_</v>
      </c>
      <c r="BL1023" s="322"/>
      <c r="BM1023" s="13">
        <v>49.7851246231318</v>
      </c>
      <c r="BN1023" s="13">
        <v>235.86151231324001</v>
      </c>
      <c r="BO1023" s="12" t="s">
        <v>169</v>
      </c>
      <c r="BP1023" s="13">
        <v>207.95936776930901</v>
      </c>
      <c r="BQ1023" s="13">
        <v>9.15551410314837</v>
      </c>
      <c r="BT1023" s="298" t="str">
        <f>+VLOOKUP(G1023,Liste!$A$7:$H$50,8,FALSE)</f>
        <v>Résineux</v>
      </c>
      <c r="BU1023" s="298">
        <f t="shared" si="304"/>
        <v>0</v>
      </c>
      <c r="BV1023" s="300">
        <f t="shared" si="305"/>
        <v>1</v>
      </c>
      <c r="BW1023" s="321">
        <v>0</v>
      </c>
      <c r="BX1023" s="298">
        <f t="shared" si="306"/>
        <v>0.43</v>
      </c>
      <c r="BY1023">
        <f t="shared" si="307"/>
        <v>0</v>
      </c>
      <c r="BZ1023" s="304">
        <f t="shared" si="308"/>
        <v>0</v>
      </c>
      <c r="CB1023" s="299">
        <v>0.6</v>
      </c>
      <c r="CC1023" s="299">
        <v>0.4</v>
      </c>
      <c r="CD1023">
        <f t="shared" si="309"/>
        <v>0</v>
      </c>
      <c r="CE1023">
        <f t="shared" si="310"/>
        <v>0</v>
      </c>
      <c r="CF1023">
        <f t="shared" si="311"/>
        <v>0</v>
      </c>
      <c r="CG1023">
        <f t="shared" si="312"/>
        <v>0</v>
      </c>
      <c r="CH1023">
        <f t="shared" si="313"/>
        <v>0</v>
      </c>
      <c r="CI1023">
        <f t="shared" si="314"/>
        <v>0</v>
      </c>
      <c r="CJ1023">
        <f t="shared" si="315"/>
        <v>0</v>
      </c>
      <c r="CK1023">
        <f t="shared" si="316"/>
        <v>0</v>
      </c>
      <c r="CL1023">
        <f t="shared" si="317"/>
        <v>0</v>
      </c>
      <c r="CM1023">
        <f t="shared" si="319"/>
        <v>0</v>
      </c>
      <c r="CN1023">
        <f t="shared" si="318"/>
        <v>0</v>
      </c>
      <c r="CO1023">
        <f t="shared" si="302"/>
        <v>0</v>
      </c>
    </row>
    <row r="1024" spans="1:93" s="12" customFormat="1" x14ac:dyDescent="0.25">
      <c r="A1024" s="4">
        <v>2021</v>
      </c>
      <c r="B1024" s="318">
        <v>44279</v>
      </c>
      <c r="C1024" s="4" t="s">
        <v>1494</v>
      </c>
      <c r="D1024" s="4" t="s">
        <v>1495</v>
      </c>
      <c r="E1024" s="4"/>
      <c r="F1024" s="4" t="s">
        <v>1496</v>
      </c>
      <c r="G1024" s="5" t="s">
        <v>15</v>
      </c>
      <c r="H1024" s="5" t="s">
        <v>1498</v>
      </c>
      <c r="I1024" s="5" t="s">
        <v>1501</v>
      </c>
      <c r="J1024" s="5" t="s">
        <v>9</v>
      </c>
      <c r="K1024" s="5">
        <v>15.1</v>
      </c>
      <c r="L1024" s="5" t="s">
        <v>192</v>
      </c>
      <c r="M1024" s="5">
        <v>1100</v>
      </c>
      <c r="N1024" s="5" t="s">
        <v>170</v>
      </c>
      <c r="O1024" s="6" t="s">
        <v>1499</v>
      </c>
      <c r="P1024" s="6" t="s">
        <v>1500</v>
      </c>
      <c r="Q1024" s="6"/>
      <c r="R1024" s="6"/>
      <c r="S1024" s="6">
        <v>15</v>
      </c>
      <c r="T1024" s="6">
        <v>3.64</v>
      </c>
      <c r="U1024" s="6">
        <v>6001</v>
      </c>
      <c r="V1024" s="6">
        <v>9.11</v>
      </c>
      <c r="W1024" s="6">
        <v>6001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7">
        <v>45</v>
      </c>
      <c r="AD1024" s="7" t="s">
        <v>52</v>
      </c>
      <c r="AE1024" s="7">
        <v>14.41</v>
      </c>
      <c r="AF1024" s="7">
        <v>1039</v>
      </c>
      <c r="AG1024" s="7">
        <v>34.61</v>
      </c>
      <c r="AH1024" s="7">
        <v>20.6</v>
      </c>
      <c r="AI1024" s="7">
        <v>24.33</v>
      </c>
      <c r="AJ1024" s="9">
        <v>224.91579966215201</v>
      </c>
      <c r="AK1024" s="9">
        <v>227.40897855729401</v>
      </c>
      <c r="AL1024" s="9">
        <v>289.15178501701598</v>
      </c>
      <c r="AM1024" s="9">
        <v>35.867943827882897</v>
      </c>
      <c r="AN1024" s="9">
        <v>0.79706541839739797</v>
      </c>
      <c r="AO1024" s="9">
        <v>0.83162261208298005</v>
      </c>
      <c r="AP1024" s="9">
        <v>298.16586582984701</v>
      </c>
      <c r="AQ1024" s="9">
        <v>6.6259081295521502</v>
      </c>
      <c r="AR1024" s="9">
        <v>9.3121110255688695</v>
      </c>
      <c r="AS1024" s="8" t="s">
        <v>169</v>
      </c>
      <c r="AT1024" s="8" t="s">
        <v>169</v>
      </c>
      <c r="AU1024" s="8" t="s">
        <v>169</v>
      </c>
      <c r="AV1024" s="10">
        <v>0</v>
      </c>
      <c r="AW1024" s="8"/>
      <c r="AX1024" s="8"/>
      <c r="AY1024" s="8"/>
      <c r="AZ1024" s="8"/>
      <c r="BA1024" s="8"/>
      <c r="BB1024" s="8"/>
      <c r="BC1024" s="8"/>
      <c r="BD1024" s="8"/>
      <c r="BE1024" s="8"/>
      <c r="BF1024" s="12">
        <v>0.44</v>
      </c>
      <c r="BG1024" s="13">
        <v>221.58665125137301</v>
      </c>
      <c r="BH1024" s="96" t="str">
        <f>+VLOOKUP(G1024,Liste!$A$7:$G$50,3,FALSE)</f>
        <v>Pin sylvestre</v>
      </c>
      <c r="BI1024" s="96" t="str">
        <f>+VLOOKUP(H1024,Liste!$B$7:$G$50,5,FALSE)</f>
        <v>GSM Alpes du Sud</v>
      </c>
      <c r="BJ1024" s="135">
        <f t="shared" si="301"/>
        <v>45</v>
      </c>
      <c r="BK1024" s="135" t="str">
        <f t="shared" si="303"/>
        <v>Pin sylvestre_F1_PS1_d3_GSM Alpes du Sud_45_</v>
      </c>
      <c r="BL1024" s="322"/>
      <c r="BM1024" s="13">
        <v>58.092854302470997</v>
      </c>
      <c r="BN1024" s="13">
        <v>279.67950555384402</v>
      </c>
      <c r="BO1024" s="12" t="s">
        <v>169</v>
      </c>
      <c r="BP1024" s="13">
        <v>207.95936776930901</v>
      </c>
      <c r="BQ1024" s="13">
        <v>8.7692246247654104</v>
      </c>
      <c r="BT1024" s="298" t="str">
        <f>+VLOOKUP(G1024,Liste!$A$7:$H$50,8,FALSE)</f>
        <v>Résineux</v>
      </c>
      <c r="BU1024" s="298">
        <f t="shared" si="304"/>
        <v>0</v>
      </c>
      <c r="BV1024" s="300">
        <f t="shared" si="305"/>
        <v>1</v>
      </c>
      <c r="BW1024" s="321">
        <v>0</v>
      </c>
      <c r="BX1024" s="298">
        <f t="shared" si="306"/>
        <v>0.43</v>
      </c>
      <c r="BY1024">
        <f t="shared" si="307"/>
        <v>0</v>
      </c>
      <c r="BZ1024" s="304">
        <f t="shared" si="308"/>
        <v>0</v>
      </c>
      <c r="CB1024" s="299">
        <v>0.6</v>
      </c>
      <c r="CC1024" s="299">
        <v>0.4</v>
      </c>
      <c r="CD1024">
        <f t="shared" si="309"/>
        <v>0</v>
      </c>
      <c r="CE1024">
        <f t="shared" si="310"/>
        <v>0</v>
      </c>
      <c r="CF1024">
        <f t="shared" si="311"/>
        <v>0</v>
      </c>
      <c r="CG1024">
        <f t="shared" si="312"/>
        <v>0</v>
      </c>
      <c r="CH1024">
        <f t="shared" si="313"/>
        <v>0</v>
      </c>
      <c r="CI1024">
        <f t="shared" si="314"/>
        <v>0</v>
      </c>
      <c r="CJ1024">
        <f t="shared" si="315"/>
        <v>0</v>
      </c>
      <c r="CK1024">
        <f t="shared" si="316"/>
        <v>0</v>
      </c>
      <c r="CL1024">
        <f t="shared" si="317"/>
        <v>0</v>
      </c>
      <c r="CM1024">
        <f t="shared" si="319"/>
        <v>0</v>
      </c>
      <c r="CN1024">
        <f t="shared" si="318"/>
        <v>0</v>
      </c>
      <c r="CO1024">
        <f t="shared" si="302"/>
        <v>0</v>
      </c>
    </row>
    <row r="1025" spans="1:93" s="12" customFormat="1" x14ac:dyDescent="0.25">
      <c r="A1025" s="4">
        <v>2021</v>
      </c>
      <c r="B1025" s="318">
        <v>44279</v>
      </c>
      <c r="C1025" s="4" t="s">
        <v>1494</v>
      </c>
      <c r="D1025" s="4" t="s">
        <v>1495</v>
      </c>
      <c r="E1025" s="4"/>
      <c r="F1025" s="4" t="s">
        <v>1496</v>
      </c>
      <c r="G1025" s="5" t="s">
        <v>15</v>
      </c>
      <c r="H1025" s="5" t="s">
        <v>1498</v>
      </c>
      <c r="I1025" s="5" t="s">
        <v>1501</v>
      </c>
      <c r="J1025" s="5" t="s">
        <v>9</v>
      </c>
      <c r="K1025" s="5">
        <v>15.1</v>
      </c>
      <c r="L1025" s="5" t="s">
        <v>192</v>
      </c>
      <c r="M1025" s="5">
        <v>1100</v>
      </c>
      <c r="N1025" s="5" t="s">
        <v>170</v>
      </c>
      <c r="O1025" s="6" t="s">
        <v>1499</v>
      </c>
      <c r="P1025" s="6" t="s">
        <v>1500</v>
      </c>
      <c r="Q1025" s="6"/>
      <c r="R1025" s="6"/>
      <c r="S1025" s="6">
        <v>15</v>
      </c>
      <c r="T1025" s="6">
        <v>3.64</v>
      </c>
      <c r="U1025" s="6">
        <v>6001</v>
      </c>
      <c r="V1025" s="6">
        <v>9.11</v>
      </c>
      <c r="W1025" s="6">
        <v>6001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7">
        <v>50</v>
      </c>
      <c r="AD1025" s="7" t="s">
        <v>52</v>
      </c>
      <c r="AE1025" s="7">
        <v>15.11</v>
      </c>
      <c r="AF1025" s="7">
        <v>1019</v>
      </c>
      <c r="AG1025" s="7">
        <v>38.14</v>
      </c>
      <c r="AH1025" s="7">
        <v>21.83</v>
      </c>
      <c r="AI1025" s="7">
        <v>25.89</v>
      </c>
      <c r="AJ1025" s="9">
        <v>259.70695080408802</v>
      </c>
      <c r="AK1025" s="9">
        <v>262.69844529706</v>
      </c>
      <c r="AL1025" s="9">
        <v>330.44237317023101</v>
      </c>
      <c r="AM1025" s="9">
        <v>40.026056888297802</v>
      </c>
      <c r="AN1025" s="9">
        <v>0.80052113776595601</v>
      </c>
      <c r="AO1025" s="9">
        <v>0.70453143064024604</v>
      </c>
      <c r="AP1025" s="9">
        <v>344.726420957691</v>
      </c>
      <c r="AQ1025" s="9">
        <v>6.8945284191538203</v>
      </c>
      <c r="AR1025" s="9">
        <v>7.6074783436160303</v>
      </c>
      <c r="AS1025" s="8" t="s">
        <v>169</v>
      </c>
      <c r="AT1025" s="8" t="s">
        <v>169</v>
      </c>
      <c r="AU1025" s="8" t="s">
        <v>169</v>
      </c>
      <c r="AV1025" s="10">
        <v>0</v>
      </c>
      <c r="AW1025" s="8"/>
      <c r="AX1025" s="8"/>
      <c r="AY1025" s="8"/>
      <c r="AZ1025" s="8"/>
      <c r="BA1025" s="8"/>
      <c r="BB1025" s="8"/>
      <c r="BC1025" s="8"/>
      <c r="BD1025" s="8"/>
      <c r="BE1025" s="8"/>
      <c r="BF1025" s="12">
        <v>0.44</v>
      </c>
      <c r="BG1025" s="13">
        <v>253.229005306121</v>
      </c>
      <c r="BH1025" s="96" t="str">
        <f>+VLOOKUP(G1025,Liste!$A$7:$G$50,3,FALSE)</f>
        <v>Pin sylvestre</v>
      </c>
      <c r="BI1025" s="96" t="str">
        <f>+VLOOKUP(H1025,Liste!$B$7:$G$50,5,FALSE)</f>
        <v>GSM Alpes du Sud</v>
      </c>
      <c r="BJ1025" s="135">
        <f t="shared" si="301"/>
        <v>50</v>
      </c>
      <c r="BK1025" s="135" t="str">
        <f t="shared" si="303"/>
        <v>Pin sylvestre_F1_PS1_d3_GSM Alpes du Sud_50_</v>
      </c>
      <c r="BL1025" s="322"/>
      <c r="BM1025" s="13">
        <v>65.364941845376507</v>
      </c>
      <c r="BN1025" s="13">
        <v>318.59394715149699</v>
      </c>
      <c r="BO1025" s="12" t="s">
        <v>169</v>
      </c>
      <c r="BP1025" s="13">
        <v>207.95936776930901</v>
      </c>
      <c r="BQ1025" s="13">
        <v>7.14483854531926</v>
      </c>
      <c r="BT1025" s="298" t="str">
        <f>+VLOOKUP(G1025,Liste!$A$7:$H$50,8,FALSE)</f>
        <v>Résineux</v>
      </c>
      <c r="BU1025" s="298">
        <f t="shared" si="304"/>
        <v>0</v>
      </c>
      <c r="BV1025" s="300">
        <f t="shared" si="305"/>
        <v>1</v>
      </c>
      <c r="BW1025" s="321">
        <v>0</v>
      </c>
      <c r="BX1025" s="298">
        <f t="shared" si="306"/>
        <v>0.43</v>
      </c>
      <c r="BY1025">
        <f t="shared" si="307"/>
        <v>0</v>
      </c>
      <c r="BZ1025" s="304">
        <f t="shared" si="308"/>
        <v>0</v>
      </c>
      <c r="CB1025" s="299">
        <v>0.6</v>
      </c>
      <c r="CC1025" s="299">
        <v>0.4</v>
      </c>
      <c r="CD1025">
        <f t="shared" si="309"/>
        <v>0</v>
      </c>
      <c r="CE1025">
        <f t="shared" si="310"/>
        <v>0</v>
      </c>
      <c r="CF1025">
        <f t="shared" si="311"/>
        <v>0</v>
      </c>
      <c r="CG1025">
        <f t="shared" si="312"/>
        <v>0</v>
      </c>
      <c r="CH1025">
        <f t="shared" si="313"/>
        <v>0</v>
      </c>
      <c r="CI1025">
        <f t="shared" si="314"/>
        <v>0</v>
      </c>
      <c r="CJ1025">
        <f t="shared" si="315"/>
        <v>0</v>
      </c>
      <c r="CK1025">
        <f t="shared" si="316"/>
        <v>0</v>
      </c>
      <c r="CL1025">
        <f t="shared" si="317"/>
        <v>0</v>
      </c>
      <c r="CM1025">
        <f t="shared" si="319"/>
        <v>0</v>
      </c>
      <c r="CN1025">
        <f t="shared" si="318"/>
        <v>0</v>
      </c>
      <c r="CO1025">
        <f t="shared" si="302"/>
        <v>0</v>
      </c>
    </row>
    <row r="1026" spans="1:93" s="12" customFormat="1" x14ac:dyDescent="0.25">
      <c r="A1026" s="4">
        <v>2021</v>
      </c>
      <c r="B1026" s="318">
        <v>44279</v>
      </c>
      <c r="C1026" s="4" t="s">
        <v>1494</v>
      </c>
      <c r="D1026" s="4" t="s">
        <v>1495</v>
      </c>
      <c r="E1026" s="4"/>
      <c r="F1026" s="4" t="s">
        <v>1496</v>
      </c>
      <c r="G1026" s="5" t="s">
        <v>15</v>
      </c>
      <c r="H1026" s="5" t="s">
        <v>1498</v>
      </c>
      <c r="I1026" s="5" t="s">
        <v>1501</v>
      </c>
      <c r="J1026" s="5" t="s">
        <v>9</v>
      </c>
      <c r="K1026" s="5">
        <v>15.1</v>
      </c>
      <c r="L1026" s="5" t="s">
        <v>192</v>
      </c>
      <c r="M1026" s="5">
        <v>1100</v>
      </c>
      <c r="N1026" s="5" t="s">
        <v>170</v>
      </c>
      <c r="O1026" s="6" t="s">
        <v>1499</v>
      </c>
      <c r="P1026" s="6" t="s">
        <v>1500</v>
      </c>
      <c r="Q1026" s="6"/>
      <c r="R1026" s="6"/>
      <c r="S1026" s="6">
        <v>15</v>
      </c>
      <c r="T1026" s="6">
        <v>3.64</v>
      </c>
      <c r="U1026" s="6">
        <v>6001</v>
      </c>
      <c r="V1026" s="6">
        <v>9.11</v>
      </c>
      <c r="W1026" s="6">
        <v>6001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7">
        <v>50</v>
      </c>
      <c r="AD1026" s="7" t="s">
        <v>53</v>
      </c>
      <c r="AE1026" s="7">
        <v>15.11</v>
      </c>
      <c r="AF1026" s="7">
        <v>622</v>
      </c>
      <c r="AG1026" s="7">
        <v>25.07</v>
      </c>
      <c r="AH1026" s="7">
        <v>22.65</v>
      </c>
      <c r="AI1026" s="7">
        <v>25.89</v>
      </c>
      <c r="AJ1026" s="9">
        <v>171.032584781628</v>
      </c>
      <c r="AK1026" s="9">
        <v>173.17409454441099</v>
      </c>
      <c r="AL1026" s="9">
        <v>218.063650410702</v>
      </c>
      <c r="AM1026" s="9">
        <v>40.026056888297802</v>
      </c>
      <c r="AN1026" s="9">
        <v>0.80052113776595601</v>
      </c>
      <c r="AO1026" s="9">
        <v>0.70453143064024604</v>
      </c>
      <c r="AP1026" s="9">
        <v>344.726420957691</v>
      </c>
      <c r="AQ1026" s="9">
        <v>6.8945284191538203</v>
      </c>
      <c r="AR1026" s="9">
        <v>7.6074783436160303</v>
      </c>
      <c r="AS1026" s="8">
        <v>397</v>
      </c>
      <c r="AT1026" s="8">
        <v>13.07</v>
      </c>
      <c r="AU1026" s="10">
        <v>20.473759607992331</v>
      </c>
      <c r="AV1026" s="10">
        <v>88.674366022460021</v>
      </c>
      <c r="AW1026" s="10">
        <v>0.88</v>
      </c>
      <c r="AX1026" s="10">
        <v>0.22336112348226705</v>
      </c>
      <c r="AY1026" s="8"/>
      <c r="AZ1026" s="8"/>
      <c r="BA1026" s="8"/>
      <c r="BB1026" s="8"/>
      <c r="BC1026" s="8"/>
      <c r="BD1026" s="8"/>
      <c r="BE1026" s="8"/>
      <c r="BF1026" s="12">
        <v>0.44</v>
      </c>
      <c r="BG1026" s="13">
        <v>167.109444098068</v>
      </c>
      <c r="BH1026" s="96" t="str">
        <f>+VLOOKUP(G1026,Liste!$A$7:$G$50,3,FALSE)</f>
        <v>Pin sylvestre</v>
      </c>
      <c r="BI1026" s="96" t="str">
        <f>+VLOOKUP(H1026,Liste!$B$7:$G$50,5,FALSE)</f>
        <v>GSM Alpes du Sud</v>
      </c>
      <c r="BJ1026" s="135">
        <f t="shared" si="301"/>
        <v>50</v>
      </c>
      <c r="BK1026" s="135" t="str">
        <f t="shared" si="303"/>
        <v>Pin sylvestre_F1_PS1_d3_GSM Alpes du Sud_50_</v>
      </c>
      <c r="BL1026" s="322"/>
      <c r="BM1026" s="13">
        <v>45.273500425131303</v>
      </c>
      <c r="BN1026" s="13">
        <v>212.382944523199</v>
      </c>
      <c r="BO1026" s="13">
        <v>106.21100262829799</v>
      </c>
      <c r="BP1026" s="13">
        <v>207.95936776930901</v>
      </c>
      <c r="BQ1026" s="13">
        <v>7.14483854531926</v>
      </c>
      <c r="BT1026" s="298" t="str">
        <f>+VLOOKUP(G1026,Liste!$A$7:$H$50,8,FALSE)</f>
        <v>Résineux</v>
      </c>
      <c r="BU1026" s="298">
        <f t="shared" si="304"/>
        <v>0</v>
      </c>
      <c r="BV1026" s="300">
        <f t="shared" si="305"/>
        <v>1</v>
      </c>
      <c r="BW1026" s="321">
        <v>0</v>
      </c>
      <c r="BX1026" s="298">
        <f t="shared" si="306"/>
        <v>0.43</v>
      </c>
      <c r="BY1026">
        <f t="shared" si="307"/>
        <v>0</v>
      </c>
      <c r="BZ1026" s="304">
        <f t="shared" si="308"/>
        <v>0</v>
      </c>
      <c r="CB1026" s="299">
        <v>0.6</v>
      </c>
      <c r="CC1026" s="299">
        <v>0.4</v>
      </c>
      <c r="CD1026">
        <f t="shared" si="309"/>
        <v>0</v>
      </c>
      <c r="CE1026">
        <f t="shared" si="310"/>
        <v>0</v>
      </c>
      <c r="CF1026">
        <f t="shared" si="311"/>
        <v>0</v>
      </c>
      <c r="CG1026">
        <f t="shared" si="312"/>
        <v>0</v>
      </c>
      <c r="CH1026">
        <f t="shared" si="313"/>
        <v>0</v>
      </c>
      <c r="CI1026">
        <f t="shared" si="314"/>
        <v>0</v>
      </c>
      <c r="CJ1026">
        <f t="shared" si="315"/>
        <v>0</v>
      </c>
      <c r="CK1026">
        <f t="shared" si="316"/>
        <v>0</v>
      </c>
      <c r="CL1026">
        <f t="shared" si="317"/>
        <v>0</v>
      </c>
      <c r="CM1026">
        <f t="shared" si="319"/>
        <v>0</v>
      </c>
      <c r="CN1026">
        <f t="shared" si="318"/>
        <v>0</v>
      </c>
      <c r="CO1026">
        <f t="shared" si="302"/>
        <v>0</v>
      </c>
    </row>
    <row r="1027" spans="1:93" s="12" customFormat="1" x14ac:dyDescent="0.25">
      <c r="A1027" s="4">
        <v>2021</v>
      </c>
      <c r="B1027" s="318">
        <v>44279</v>
      </c>
      <c r="C1027" s="4" t="s">
        <v>1494</v>
      </c>
      <c r="D1027" s="4" t="s">
        <v>1495</v>
      </c>
      <c r="E1027" s="4"/>
      <c r="F1027" s="4" t="s">
        <v>1496</v>
      </c>
      <c r="G1027" s="5" t="s">
        <v>15</v>
      </c>
      <c r="H1027" s="5" t="s">
        <v>1498</v>
      </c>
      <c r="I1027" s="5" t="s">
        <v>1501</v>
      </c>
      <c r="J1027" s="5" t="s">
        <v>9</v>
      </c>
      <c r="K1027" s="5">
        <v>15.1</v>
      </c>
      <c r="L1027" s="5" t="s">
        <v>192</v>
      </c>
      <c r="M1027" s="5">
        <v>1100</v>
      </c>
      <c r="N1027" s="5" t="s">
        <v>170</v>
      </c>
      <c r="O1027" s="6" t="s">
        <v>1499</v>
      </c>
      <c r="P1027" s="6" t="s">
        <v>1500</v>
      </c>
      <c r="Q1027" s="6"/>
      <c r="R1027" s="6"/>
      <c r="S1027" s="6">
        <v>15</v>
      </c>
      <c r="T1027" s="6">
        <v>3.64</v>
      </c>
      <c r="U1027" s="6">
        <v>6001</v>
      </c>
      <c r="V1027" s="6">
        <v>9.11</v>
      </c>
      <c r="W1027" s="6">
        <v>6001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7">
        <v>55</v>
      </c>
      <c r="AD1027" s="7" t="s">
        <v>52</v>
      </c>
      <c r="AE1027" s="7">
        <v>15.73</v>
      </c>
      <c r="AF1027" s="7">
        <v>617</v>
      </c>
      <c r="AG1027" s="7">
        <v>28.37</v>
      </c>
      <c r="AH1027" s="7">
        <v>24.2</v>
      </c>
      <c r="AI1027" s="7">
        <v>27.72</v>
      </c>
      <c r="AJ1027" s="9">
        <v>200.36329093368201</v>
      </c>
      <c r="AK1027" s="9">
        <v>203.06820366588801</v>
      </c>
      <c r="AL1027" s="9">
        <v>254.158473853012</v>
      </c>
      <c r="AM1027" s="9">
        <v>43.548714041498997</v>
      </c>
      <c r="AN1027" s="9">
        <v>0.79179480075452802</v>
      </c>
      <c r="AO1027" s="9">
        <v>0.67322603947106896</v>
      </c>
      <c r="AP1027" s="9">
        <v>382.76381267577102</v>
      </c>
      <c r="AQ1027" s="9">
        <v>6.9593420486503801</v>
      </c>
      <c r="AR1027" s="9">
        <v>7.3173961028753398</v>
      </c>
      <c r="AS1027" s="8" t="s">
        <v>169</v>
      </c>
      <c r="AT1027" s="8" t="s">
        <v>169</v>
      </c>
      <c r="AU1027" s="10" t="s">
        <v>169</v>
      </c>
      <c r="AV1027" s="10">
        <v>0</v>
      </c>
      <c r="AW1027" s="8"/>
      <c r="AX1027" s="10" t="s">
        <v>169</v>
      </c>
      <c r="AY1027" s="8"/>
      <c r="AZ1027" s="8"/>
      <c r="BA1027" s="8"/>
      <c r="BB1027" s="8"/>
      <c r="BC1027" s="8"/>
      <c r="BD1027" s="8"/>
      <c r="BE1027" s="8"/>
      <c r="BF1027" s="12">
        <v>0.44</v>
      </c>
      <c r="BG1027" s="13">
        <v>194.770110462692</v>
      </c>
      <c r="BH1027" s="96" t="str">
        <f>+VLOOKUP(G1027,Liste!$A$7:$G$50,3,FALSE)</f>
        <v>Pin sylvestre</v>
      </c>
      <c r="BI1027" s="96" t="str">
        <f>+VLOOKUP(H1027,Liste!$B$7:$G$50,5,FALSE)</f>
        <v>GSM Alpes du Sud</v>
      </c>
      <c r="BJ1027" s="135">
        <f t="shared" ref="BJ1027:BJ1090" si="320">+AC1027</f>
        <v>55</v>
      </c>
      <c r="BK1027" s="135" t="str">
        <f t="shared" si="303"/>
        <v>Pin sylvestre_F1_PS1_d3_GSM Alpes du Sud_55_</v>
      </c>
      <c r="BL1027" s="322"/>
      <c r="BM1027" s="13">
        <v>51.8349052657152</v>
      </c>
      <c r="BN1027" s="13">
        <v>246.60501572840701</v>
      </c>
      <c r="BO1027" s="13" t="s">
        <v>169</v>
      </c>
      <c r="BP1027" s="13">
        <v>207.95936776930901</v>
      </c>
      <c r="BQ1027" s="13">
        <v>6.8580841850420402</v>
      </c>
      <c r="BT1027" s="298" t="str">
        <f>+VLOOKUP(G1027,Liste!$A$7:$H$50,8,FALSE)</f>
        <v>Résineux</v>
      </c>
      <c r="BU1027" s="298">
        <f t="shared" si="304"/>
        <v>0</v>
      </c>
      <c r="BV1027" s="300">
        <f t="shared" si="305"/>
        <v>1</v>
      </c>
      <c r="BW1027" s="321">
        <v>0</v>
      </c>
      <c r="BX1027" s="298">
        <f t="shared" si="306"/>
        <v>0.43</v>
      </c>
      <c r="BY1027">
        <f t="shared" si="307"/>
        <v>0</v>
      </c>
      <c r="BZ1027" s="304">
        <f t="shared" si="308"/>
        <v>0</v>
      </c>
      <c r="CB1027" s="299">
        <v>0.6</v>
      </c>
      <c r="CC1027" s="299">
        <v>0.4</v>
      </c>
      <c r="CD1027">
        <f t="shared" si="309"/>
        <v>0</v>
      </c>
      <c r="CE1027">
        <f t="shared" si="310"/>
        <v>0</v>
      </c>
      <c r="CF1027">
        <f t="shared" si="311"/>
        <v>0</v>
      </c>
      <c r="CG1027">
        <f t="shared" si="312"/>
        <v>0</v>
      </c>
      <c r="CH1027">
        <f t="shared" si="313"/>
        <v>0</v>
      </c>
      <c r="CI1027">
        <f t="shared" si="314"/>
        <v>0</v>
      </c>
      <c r="CJ1027">
        <f t="shared" si="315"/>
        <v>0</v>
      </c>
      <c r="CK1027">
        <f t="shared" si="316"/>
        <v>0</v>
      </c>
      <c r="CL1027">
        <f t="shared" si="317"/>
        <v>0</v>
      </c>
      <c r="CM1027">
        <f t="shared" si="319"/>
        <v>0</v>
      </c>
      <c r="CN1027">
        <f t="shared" si="318"/>
        <v>0</v>
      </c>
      <c r="CO1027">
        <f t="shared" ref="CO1027:CO1090" si="321">+IF(BJ1027=30,CN1027/30,0)</f>
        <v>0</v>
      </c>
    </row>
    <row r="1028" spans="1:93" s="12" customFormat="1" x14ac:dyDescent="0.25">
      <c r="A1028" s="4">
        <v>2021</v>
      </c>
      <c r="B1028" s="318">
        <v>44279</v>
      </c>
      <c r="C1028" s="4" t="s">
        <v>1494</v>
      </c>
      <c r="D1028" s="4" t="s">
        <v>1495</v>
      </c>
      <c r="E1028" s="4"/>
      <c r="F1028" s="4" t="s">
        <v>1496</v>
      </c>
      <c r="G1028" s="5" t="s">
        <v>15</v>
      </c>
      <c r="H1028" s="5" t="s">
        <v>1498</v>
      </c>
      <c r="I1028" s="5" t="s">
        <v>1501</v>
      </c>
      <c r="J1028" s="5" t="s">
        <v>9</v>
      </c>
      <c r="K1028" s="5">
        <v>15.1</v>
      </c>
      <c r="L1028" s="5" t="s">
        <v>192</v>
      </c>
      <c r="M1028" s="5">
        <v>1100</v>
      </c>
      <c r="N1028" s="5" t="s">
        <v>170</v>
      </c>
      <c r="O1028" s="6" t="s">
        <v>1499</v>
      </c>
      <c r="P1028" s="6" t="s">
        <v>1500</v>
      </c>
      <c r="Q1028" s="6"/>
      <c r="R1028" s="6"/>
      <c r="S1028" s="6">
        <v>15</v>
      </c>
      <c r="T1028" s="6">
        <v>3.64</v>
      </c>
      <c r="U1028" s="6">
        <v>6001</v>
      </c>
      <c r="V1028" s="6">
        <v>9.11</v>
      </c>
      <c r="W1028" s="6">
        <v>6001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7">
        <v>60</v>
      </c>
      <c r="AD1028" s="7" t="s">
        <v>52</v>
      </c>
      <c r="AE1028" s="7">
        <v>16.190000000000001</v>
      </c>
      <c r="AF1028" s="7">
        <v>602</v>
      </c>
      <c r="AG1028" s="7">
        <v>31.05</v>
      </c>
      <c r="AH1028" s="7">
        <v>25.63</v>
      </c>
      <c r="AI1028" s="7">
        <v>29.35</v>
      </c>
      <c r="AJ1028" s="9">
        <v>224.90878126877701</v>
      </c>
      <c r="AK1028" s="9">
        <v>228.17005379537099</v>
      </c>
      <c r="AL1028" s="9">
        <v>284.587656925494</v>
      </c>
      <c r="AM1028" s="9">
        <v>46.9148442388544</v>
      </c>
      <c r="AN1028" s="9">
        <v>0.78191407064757301</v>
      </c>
      <c r="AO1028" s="9">
        <v>0.68445126889399999</v>
      </c>
      <c r="AP1028" s="9">
        <v>419.35079319014801</v>
      </c>
      <c r="AQ1028" s="9">
        <v>6.9891798865024599</v>
      </c>
      <c r="AR1028" s="9">
        <v>7.4658845375626601</v>
      </c>
      <c r="AS1028" s="8" t="s">
        <v>169</v>
      </c>
      <c r="AT1028" s="8" t="s">
        <v>169</v>
      </c>
      <c r="AU1028" s="10" t="s">
        <v>169</v>
      </c>
      <c r="AV1028" s="10">
        <v>0</v>
      </c>
      <c r="AW1028" s="8"/>
      <c r="AX1028" s="10" t="s">
        <v>169</v>
      </c>
      <c r="AY1028" s="8"/>
      <c r="AZ1028" s="8"/>
      <c r="BA1028" s="8"/>
      <c r="BB1028" s="8"/>
      <c r="BC1028" s="8"/>
      <c r="BD1028" s="8"/>
      <c r="BE1028" s="8"/>
      <c r="BF1028" s="12">
        <v>0.44</v>
      </c>
      <c r="BG1028" s="13">
        <v>218.089007757237</v>
      </c>
      <c r="BH1028" s="96" t="str">
        <f>+VLOOKUP(G1028,Liste!$A$7:$G$50,3,FALSE)</f>
        <v>Pin sylvestre</v>
      </c>
      <c r="BI1028" s="96" t="str">
        <f>+VLOOKUP(H1028,Liste!$B$7:$G$50,5,FALSE)</f>
        <v>GSM Alpes du Sud</v>
      </c>
      <c r="BJ1028" s="135">
        <f t="shared" si="320"/>
        <v>60</v>
      </c>
      <c r="BK1028" s="135" t="str">
        <f t="shared" ref="BK1028:BK1091" si="322">+_xlfn.CONCAT(BH1028,"_",J1028,"_",I1028,"_",BI1028,"_",BJ1028,"_")</f>
        <v>Pin sylvestre_F1_PS1_d3_GSM Alpes du Sud_60_</v>
      </c>
      <c r="BL1028" s="322"/>
      <c r="BM1028" s="13">
        <v>57.281871739883897</v>
      </c>
      <c r="BN1028" s="13">
        <v>275.370879497121</v>
      </c>
      <c r="BO1028" s="13" t="s">
        <v>169</v>
      </c>
      <c r="BP1028" s="13">
        <v>207.95936776930901</v>
      </c>
      <c r="BQ1028" s="13">
        <v>6.9842201733077998</v>
      </c>
      <c r="BT1028" s="298" t="str">
        <f>+VLOOKUP(G1028,Liste!$A$7:$H$50,8,FALSE)</f>
        <v>Résineux</v>
      </c>
      <c r="BU1028" s="298">
        <f t="shared" ref="BU1028:BU1091" si="323">IF(BT1028="Résineux",0%,100%)</f>
        <v>0</v>
      </c>
      <c r="BV1028" s="300">
        <f t="shared" ref="BV1028:BV1091" si="324">+IF(BT1028="Résineux",100%,0%)</f>
        <v>1</v>
      </c>
      <c r="BW1028" s="321">
        <v>0</v>
      </c>
      <c r="BX1028" s="298">
        <f t="shared" ref="BX1028:BX1091" si="325">+IF(BV1028&lt;&gt;0,0.43,0.25)</f>
        <v>0.43</v>
      </c>
      <c r="BY1028">
        <f t="shared" ref="BY1028:BY1091" si="326">+IF(BJ1028&lt;=30,AV1028*BX1028,0)</f>
        <v>0</v>
      </c>
      <c r="BZ1028" s="304">
        <f t="shared" ref="BZ1028:BZ1091" si="327">+IF(BJ1028&gt;=31,0,BY1028+BZ1027)</f>
        <v>0</v>
      </c>
      <c r="CB1028" s="299">
        <v>0.6</v>
      </c>
      <c r="CC1028" s="299">
        <v>0.4</v>
      </c>
      <c r="CD1028">
        <f t="shared" ref="CD1028:CD1091" si="328">+IF(BJ1028&lt;=31,AV1028*CA1028*0.5,0)</f>
        <v>0</v>
      </c>
      <c r="CE1028">
        <f t="shared" ref="CE1028:CE1091" si="329">IF(BJ1028&lt;=31,AV1028*CB1028,0)</f>
        <v>0</v>
      </c>
      <c r="CF1028">
        <f t="shared" ref="CF1028:CF1091" si="330">IF(BJ1028&lt;=31,AV1028*CC1028,0)</f>
        <v>0</v>
      </c>
      <c r="CG1028">
        <f t="shared" ref="CG1028:CG1091" si="331">CD1028*44/12*0.475*BF1028</f>
        <v>0</v>
      </c>
      <c r="CH1028">
        <f t="shared" ref="CH1028:CH1091" si="332">CE1028*44/12*0.475*BF1028</f>
        <v>0</v>
      </c>
      <c r="CI1028">
        <f t="shared" ref="CI1028:CI1091" si="333">CF1028*44/12*0.475*BF1028</f>
        <v>0</v>
      </c>
      <c r="CJ1028">
        <f t="shared" ref="CJ1028:CJ1091" si="334">+IF(BJ1028&lt;=31,CJ1027*EXP(-$CJ$1)+CG1027*(1-EXP(-$CJ$1))/$CJ$1,0)</f>
        <v>0</v>
      </c>
      <c r="CK1028">
        <f t="shared" ref="CK1028:CK1091" si="335">+IF(BJ1028&lt;=31,CK1027*EXP(-$CK$1)+CH1027*(1-EXP(-$CK$1))/$CK$1,0)</f>
        <v>0</v>
      </c>
      <c r="CL1028">
        <f t="shared" ref="CL1028:CL1091" si="336">+IF(BJ1028&lt;=31,CL1027*EXP(-$CL$1)+CI1027*(1-EXP(-$CL$1))/$CL$1,0)</f>
        <v>0</v>
      </c>
      <c r="CM1028">
        <f t="shared" si="319"/>
        <v>0</v>
      </c>
      <c r="CN1028">
        <f t="shared" ref="CN1028:CN1091" si="337">+IF(BJ1028&lt;=31,CM1028+CN1027,0)</f>
        <v>0</v>
      </c>
      <c r="CO1028">
        <f t="shared" si="321"/>
        <v>0</v>
      </c>
    </row>
    <row r="1029" spans="1:93" s="12" customFormat="1" x14ac:dyDescent="0.25">
      <c r="A1029" s="4">
        <v>2021</v>
      </c>
      <c r="B1029" s="318">
        <v>44279</v>
      </c>
      <c r="C1029" s="4" t="s">
        <v>1494</v>
      </c>
      <c r="D1029" s="4" t="s">
        <v>1495</v>
      </c>
      <c r="E1029" s="4"/>
      <c r="F1029" s="4" t="s">
        <v>1496</v>
      </c>
      <c r="G1029" s="5" t="s">
        <v>15</v>
      </c>
      <c r="H1029" s="5" t="s">
        <v>1498</v>
      </c>
      <c r="I1029" s="5" t="s">
        <v>1501</v>
      </c>
      <c r="J1029" s="5" t="s">
        <v>9</v>
      </c>
      <c r="K1029" s="5">
        <v>15.1</v>
      </c>
      <c r="L1029" s="5" t="s">
        <v>192</v>
      </c>
      <c r="M1029" s="5">
        <v>1100</v>
      </c>
      <c r="N1029" s="5" t="s">
        <v>170</v>
      </c>
      <c r="O1029" s="6" t="s">
        <v>1499</v>
      </c>
      <c r="P1029" s="6" t="s">
        <v>1500</v>
      </c>
      <c r="Q1029" s="6"/>
      <c r="R1029" s="6"/>
      <c r="S1029" s="6">
        <v>15</v>
      </c>
      <c r="T1029" s="6">
        <v>3.64</v>
      </c>
      <c r="U1029" s="6">
        <v>6001</v>
      </c>
      <c r="V1029" s="6">
        <v>9.11</v>
      </c>
      <c r="W1029" s="6">
        <v>6001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7">
        <v>65</v>
      </c>
      <c r="AD1029" s="7" t="s">
        <v>52</v>
      </c>
      <c r="AE1029" s="7">
        <v>16.57</v>
      </c>
      <c r="AF1029" s="7">
        <v>590</v>
      </c>
      <c r="AG1029" s="7">
        <v>33.83</v>
      </c>
      <c r="AH1029" s="7">
        <v>27.02</v>
      </c>
      <c r="AI1029" s="7">
        <v>31.04</v>
      </c>
      <c r="AJ1029" s="9">
        <v>249.94559642336199</v>
      </c>
      <c r="AK1029" s="9">
        <v>253.82800424134001</v>
      </c>
      <c r="AL1029" s="9">
        <v>315.94329436092801</v>
      </c>
      <c r="AM1029" s="9">
        <v>50.3371005833244</v>
      </c>
      <c r="AN1029" s="9">
        <v>0.77441693205114404</v>
      </c>
      <c r="AO1029" s="9">
        <v>0.67326155046362701</v>
      </c>
      <c r="AP1029" s="9">
        <v>456.68021587796102</v>
      </c>
      <c r="AQ1029" s="9">
        <v>7.0258494750455496</v>
      </c>
      <c r="AR1029" s="9">
        <v>7.3144626738919403</v>
      </c>
      <c r="AS1029" s="8" t="s">
        <v>169</v>
      </c>
      <c r="AT1029" s="8" t="s">
        <v>169</v>
      </c>
      <c r="AU1029" s="10" t="s">
        <v>169</v>
      </c>
      <c r="AV1029" s="10">
        <v>0</v>
      </c>
      <c r="AW1029" s="8"/>
      <c r="AX1029" s="10" t="s">
        <v>169</v>
      </c>
      <c r="AY1029" s="8"/>
      <c r="AZ1029" s="8"/>
      <c r="BA1029" s="8"/>
      <c r="BB1029" s="8"/>
      <c r="BC1029" s="8"/>
      <c r="BD1029" s="8"/>
      <c r="BE1029" s="8"/>
      <c r="BF1029" s="12">
        <v>0.44</v>
      </c>
      <c r="BG1029" s="13">
        <v>242.11787791192501</v>
      </c>
      <c r="BH1029" s="96" t="str">
        <f>+VLOOKUP(G1029,Liste!$A$7:$G$50,3,FALSE)</f>
        <v>Pin sylvestre</v>
      </c>
      <c r="BI1029" s="96" t="str">
        <f>+VLOOKUP(H1029,Liste!$B$7:$G$50,5,FALSE)</f>
        <v>GSM Alpes du Sud</v>
      </c>
      <c r="BJ1029" s="135">
        <f t="shared" si="320"/>
        <v>65</v>
      </c>
      <c r="BK1029" s="135" t="str">
        <f t="shared" si="322"/>
        <v>Pin sylvestre_F1_PS1_d3_GSM Alpes du Sud_65_</v>
      </c>
      <c r="BL1029" s="322"/>
      <c r="BM1029" s="13">
        <v>62.824136488225697</v>
      </c>
      <c r="BN1029" s="13">
        <v>304.94201440015098</v>
      </c>
      <c r="BO1029" s="13" t="s">
        <v>169</v>
      </c>
      <c r="BP1029" s="13">
        <v>207.95936776930901</v>
      </c>
      <c r="BQ1029" s="13">
        <v>6.8309494797214096</v>
      </c>
      <c r="BT1029" s="298" t="str">
        <f>+VLOOKUP(G1029,Liste!$A$7:$H$50,8,FALSE)</f>
        <v>Résineux</v>
      </c>
      <c r="BU1029" s="298">
        <f t="shared" si="323"/>
        <v>0</v>
      </c>
      <c r="BV1029" s="300">
        <f t="shared" si="324"/>
        <v>1</v>
      </c>
      <c r="BW1029" s="321">
        <v>0</v>
      </c>
      <c r="BX1029" s="298">
        <f t="shared" si="325"/>
        <v>0.43</v>
      </c>
      <c r="BY1029">
        <f t="shared" si="326"/>
        <v>0</v>
      </c>
      <c r="BZ1029" s="304">
        <f t="shared" si="327"/>
        <v>0</v>
      </c>
      <c r="CB1029" s="299">
        <v>0.6</v>
      </c>
      <c r="CC1029" s="299">
        <v>0.4</v>
      </c>
      <c r="CD1029">
        <f t="shared" si="328"/>
        <v>0</v>
      </c>
      <c r="CE1029">
        <f t="shared" si="329"/>
        <v>0</v>
      </c>
      <c r="CF1029">
        <f t="shared" si="330"/>
        <v>0</v>
      </c>
      <c r="CG1029">
        <f t="shared" si="331"/>
        <v>0</v>
      </c>
      <c r="CH1029">
        <f t="shared" si="332"/>
        <v>0</v>
      </c>
      <c r="CI1029">
        <f t="shared" si="333"/>
        <v>0</v>
      </c>
      <c r="CJ1029">
        <f t="shared" si="334"/>
        <v>0</v>
      </c>
      <c r="CK1029">
        <f t="shared" si="335"/>
        <v>0</v>
      </c>
      <c r="CL1029">
        <f t="shared" si="336"/>
        <v>0</v>
      </c>
      <c r="CM1029">
        <f t="shared" ref="CM1029:CM1092" si="338">+CJ1029+CK1029+CL1029</f>
        <v>0</v>
      </c>
      <c r="CN1029">
        <f t="shared" si="337"/>
        <v>0</v>
      </c>
      <c r="CO1029">
        <f t="shared" si="321"/>
        <v>0</v>
      </c>
    </row>
    <row r="1030" spans="1:93" s="12" customFormat="1" x14ac:dyDescent="0.25">
      <c r="A1030" s="4">
        <v>2021</v>
      </c>
      <c r="B1030" s="318">
        <v>44279</v>
      </c>
      <c r="C1030" s="4" t="s">
        <v>1494</v>
      </c>
      <c r="D1030" s="4" t="s">
        <v>1495</v>
      </c>
      <c r="E1030" s="4"/>
      <c r="F1030" s="4" t="s">
        <v>1496</v>
      </c>
      <c r="G1030" s="5" t="s">
        <v>15</v>
      </c>
      <c r="H1030" s="5" t="s">
        <v>1498</v>
      </c>
      <c r="I1030" s="5" t="s">
        <v>1501</v>
      </c>
      <c r="J1030" s="5" t="s">
        <v>9</v>
      </c>
      <c r="K1030" s="5">
        <v>15.1</v>
      </c>
      <c r="L1030" s="5" t="s">
        <v>192</v>
      </c>
      <c r="M1030" s="5">
        <v>1100</v>
      </c>
      <c r="N1030" s="5" t="s">
        <v>170</v>
      </c>
      <c r="O1030" s="6" t="s">
        <v>1499</v>
      </c>
      <c r="P1030" s="6" t="s">
        <v>1500</v>
      </c>
      <c r="Q1030" s="6"/>
      <c r="R1030" s="6"/>
      <c r="S1030" s="6">
        <v>15</v>
      </c>
      <c r="T1030" s="6">
        <v>3.64</v>
      </c>
      <c r="U1030" s="6">
        <v>6001</v>
      </c>
      <c r="V1030" s="6">
        <v>9.11</v>
      </c>
      <c r="W1030" s="6">
        <v>6001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7">
        <v>70</v>
      </c>
      <c r="AD1030" s="7" t="s">
        <v>52</v>
      </c>
      <c r="AE1030" s="7">
        <v>16.850000000000001</v>
      </c>
      <c r="AF1030" s="7">
        <v>576</v>
      </c>
      <c r="AG1030" s="7">
        <v>36.43</v>
      </c>
      <c r="AH1030" s="7">
        <v>28.38</v>
      </c>
      <c r="AI1030" s="7">
        <v>32.75</v>
      </c>
      <c r="AJ1030" s="9">
        <v>273.22767319688</v>
      </c>
      <c r="AK1030" s="9">
        <v>277.77586888258401</v>
      </c>
      <c r="AL1030" s="9">
        <v>345.54275441880202</v>
      </c>
      <c r="AM1030" s="9">
        <v>53.7034083356425</v>
      </c>
      <c r="AN1030" s="9">
        <v>0.76719154765203601</v>
      </c>
      <c r="AO1030" s="9">
        <v>0.62793809798477696</v>
      </c>
      <c r="AP1030" s="9">
        <v>493.25252924742102</v>
      </c>
      <c r="AQ1030" s="9">
        <v>7.0464647035345802</v>
      </c>
      <c r="AR1030" s="9">
        <v>6.7539645205122696</v>
      </c>
      <c r="AS1030" s="8" t="s">
        <v>169</v>
      </c>
      <c r="AT1030" s="8" t="s">
        <v>169</v>
      </c>
      <c r="AU1030" s="10" t="s">
        <v>169</v>
      </c>
      <c r="AV1030" s="10">
        <v>0</v>
      </c>
      <c r="AW1030" s="8"/>
      <c r="AX1030" s="10" t="s">
        <v>169</v>
      </c>
      <c r="AY1030" s="8"/>
      <c r="AZ1030" s="8"/>
      <c r="BA1030" s="8"/>
      <c r="BB1030" s="8"/>
      <c r="BC1030" s="8"/>
      <c r="BD1030" s="8"/>
      <c r="BE1030" s="8"/>
      <c r="BF1030" s="12">
        <v>0.44</v>
      </c>
      <c r="BG1030" s="13">
        <v>264.80093080294199</v>
      </c>
      <c r="BH1030" s="96" t="str">
        <f>+VLOOKUP(G1030,Liste!$A$7:$G$50,3,FALSE)</f>
        <v>Pin sylvestre</v>
      </c>
      <c r="BI1030" s="96" t="str">
        <f>+VLOOKUP(H1030,Liste!$B$7:$G$50,5,FALSE)</f>
        <v>GSM Alpes du Sud</v>
      </c>
      <c r="BJ1030" s="135">
        <f t="shared" si="320"/>
        <v>70</v>
      </c>
      <c r="BK1030" s="135" t="str">
        <f t="shared" si="322"/>
        <v>Pin sylvestre_F1_PS1_d3_GSM Alpes du Sud_70_</v>
      </c>
      <c r="BL1030" s="322"/>
      <c r="BM1030" s="13">
        <v>67.997363241404202</v>
      </c>
      <c r="BN1030" s="13">
        <v>332.79829404434599</v>
      </c>
      <c r="BO1030" s="13" t="s">
        <v>169</v>
      </c>
      <c r="BP1030" s="13">
        <v>207.95936776930901</v>
      </c>
      <c r="BQ1030" s="13">
        <v>6.2981215512182196</v>
      </c>
      <c r="BT1030" s="298" t="str">
        <f>+VLOOKUP(G1030,Liste!$A$7:$H$50,8,FALSE)</f>
        <v>Résineux</v>
      </c>
      <c r="BU1030" s="298">
        <f t="shared" si="323"/>
        <v>0</v>
      </c>
      <c r="BV1030" s="300">
        <f t="shared" si="324"/>
        <v>1</v>
      </c>
      <c r="BW1030" s="321">
        <v>0</v>
      </c>
      <c r="BX1030" s="298">
        <f t="shared" si="325"/>
        <v>0.43</v>
      </c>
      <c r="BY1030">
        <f t="shared" si="326"/>
        <v>0</v>
      </c>
      <c r="BZ1030" s="304">
        <f t="shared" si="327"/>
        <v>0</v>
      </c>
      <c r="CB1030" s="299">
        <v>0.6</v>
      </c>
      <c r="CC1030" s="299">
        <v>0.4</v>
      </c>
      <c r="CD1030">
        <f t="shared" si="328"/>
        <v>0</v>
      </c>
      <c r="CE1030">
        <f t="shared" si="329"/>
        <v>0</v>
      </c>
      <c r="CF1030">
        <f t="shared" si="330"/>
        <v>0</v>
      </c>
      <c r="CG1030">
        <f t="shared" si="331"/>
        <v>0</v>
      </c>
      <c r="CH1030">
        <f t="shared" si="332"/>
        <v>0</v>
      </c>
      <c r="CI1030">
        <f t="shared" si="333"/>
        <v>0</v>
      </c>
      <c r="CJ1030">
        <f t="shared" si="334"/>
        <v>0</v>
      </c>
      <c r="CK1030">
        <f t="shared" si="335"/>
        <v>0</v>
      </c>
      <c r="CL1030">
        <f t="shared" si="336"/>
        <v>0</v>
      </c>
      <c r="CM1030">
        <f t="shared" si="338"/>
        <v>0</v>
      </c>
      <c r="CN1030">
        <f t="shared" si="337"/>
        <v>0</v>
      </c>
      <c r="CO1030">
        <f t="shared" si="321"/>
        <v>0</v>
      </c>
    </row>
    <row r="1031" spans="1:93" s="12" customFormat="1" x14ac:dyDescent="0.25">
      <c r="A1031" s="4">
        <v>2021</v>
      </c>
      <c r="B1031" s="318">
        <v>44279</v>
      </c>
      <c r="C1031" s="4" t="s">
        <v>1494</v>
      </c>
      <c r="D1031" s="4" t="s">
        <v>1495</v>
      </c>
      <c r="E1031" s="4"/>
      <c r="F1031" s="4" t="s">
        <v>1496</v>
      </c>
      <c r="G1031" s="5" t="s">
        <v>15</v>
      </c>
      <c r="H1031" s="5" t="s">
        <v>1498</v>
      </c>
      <c r="I1031" s="5" t="s">
        <v>1501</v>
      </c>
      <c r="J1031" s="5" t="s">
        <v>9</v>
      </c>
      <c r="K1031" s="5">
        <v>15.1</v>
      </c>
      <c r="L1031" s="5" t="s">
        <v>192</v>
      </c>
      <c r="M1031" s="5">
        <v>1100</v>
      </c>
      <c r="N1031" s="5" t="s">
        <v>170</v>
      </c>
      <c r="O1031" s="6" t="s">
        <v>1499</v>
      </c>
      <c r="P1031" s="6" t="s">
        <v>1500</v>
      </c>
      <c r="Q1031" s="6"/>
      <c r="R1031" s="6"/>
      <c r="S1031" s="6">
        <v>15</v>
      </c>
      <c r="T1031" s="6">
        <v>3.64</v>
      </c>
      <c r="U1031" s="6">
        <v>6001</v>
      </c>
      <c r="V1031" s="6">
        <v>9.11</v>
      </c>
      <c r="W1031" s="6">
        <v>6001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7">
        <v>70</v>
      </c>
      <c r="AD1031" s="7" t="s">
        <v>53</v>
      </c>
      <c r="AE1031" s="7">
        <v>16.850000000000001</v>
      </c>
      <c r="AF1031" s="7">
        <v>388</v>
      </c>
      <c r="AG1031" s="7">
        <v>27.02</v>
      </c>
      <c r="AH1031" s="7">
        <v>29.78</v>
      </c>
      <c r="AI1031" s="7">
        <v>32.75</v>
      </c>
      <c r="AJ1031" s="9">
        <v>202.878817123967</v>
      </c>
      <c r="AK1031" s="9">
        <v>206.53291381892501</v>
      </c>
      <c r="AL1031" s="9">
        <v>257.606190488192</v>
      </c>
      <c r="AM1031" s="9">
        <v>53.7034083356425</v>
      </c>
      <c r="AN1031" s="9">
        <v>0.76719154765203601</v>
      </c>
      <c r="AO1031" s="9">
        <v>0.62793809798477696</v>
      </c>
      <c r="AP1031" s="9">
        <v>493.25252924742102</v>
      </c>
      <c r="AQ1031" s="9">
        <v>7.0464647035345802</v>
      </c>
      <c r="AR1031" s="9">
        <v>6.7539645205122696</v>
      </c>
      <c r="AS1031" s="8">
        <v>188</v>
      </c>
      <c r="AT1031" s="8">
        <v>9.41</v>
      </c>
      <c r="AU1031" s="10">
        <v>25.244742570376275</v>
      </c>
      <c r="AV1031" s="10">
        <v>70.348856072913009</v>
      </c>
      <c r="AW1031" s="8">
        <v>0.79</v>
      </c>
      <c r="AX1031" s="10">
        <v>0.37419604294102665</v>
      </c>
      <c r="AY1031" s="8"/>
      <c r="AZ1031" s="8"/>
      <c r="BA1031" s="8"/>
      <c r="BB1031" s="8"/>
      <c r="BC1031" s="8"/>
      <c r="BD1031" s="8"/>
      <c r="BE1031" s="8"/>
      <c r="BF1031" s="12">
        <v>0.44</v>
      </c>
      <c r="BG1031" s="13">
        <v>197.41221064411801</v>
      </c>
      <c r="BH1031" s="96" t="str">
        <f>+VLOOKUP(G1031,Liste!$A$7:$G$50,3,FALSE)</f>
        <v>Pin sylvestre</v>
      </c>
      <c r="BI1031" s="96" t="str">
        <f>+VLOOKUP(H1031,Liste!$B$7:$G$50,5,FALSE)</f>
        <v>GSM Alpes du Sud</v>
      </c>
      <c r="BJ1031" s="135">
        <f t="shared" si="320"/>
        <v>70</v>
      </c>
      <c r="BK1031" s="135" t="str">
        <f t="shared" si="322"/>
        <v>Pin sylvestre_F1_PS1_d3_GSM Alpes du Sud_70_</v>
      </c>
      <c r="BL1031" s="322"/>
      <c r="BM1031" s="13">
        <v>52.4557224037247</v>
      </c>
      <c r="BN1031" s="13">
        <v>249.867933047842</v>
      </c>
      <c r="BO1031" s="13">
        <v>82.930360996503993</v>
      </c>
      <c r="BP1031" s="13">
        <v>207.95936776930901</v>
      </c>
      <c r="BQ1031" s="13">
        <v>6.2981215512182196</v>
      </c>
      <c r="BT1031" s="298" t="str">
        <f>+VLOOKUP(G1031,Liste!$A$7:$H$50,8,FALSE)</f>
        <v>Résineux</v>
      </c>
      <c r="BU1031" s="298">
        <f t="shared" si="323"/>
        <v>0</v>
      </c>
      <c r="BV1031" s="300">
        <f t="shared" si="324"/>
        <v>1</v>
      </c>
      <c r="BW1031" s="321">
        <v>0</v>
      </c>
      <c r="BX1031" s="298">
        <f t="shared" si="325"/>
        <v>0.43</v>
      </c>
      <c r="BY1031">
        <f t="shared" si="326"/>
        <v>0</v>
      </c>
      <c r="BZ1031" s="304">
        <f t="shared" si="327"/>
        <v>0</v>
      </c>
      <c r="CB1031" s="299">
        <v>0.6</v>
      </c>
      <c r="CC1031" s="299">
        <v>0.4</v>
      </c>
      <c r="CD1031">
        <f t="shared" si="328"/>
        <v>0</v>
      </c>
      <c r="CE1031">
        <f t="shared" si="329"/>
        <v>0</v>
      </c>
      <c r="CF1031">
        <f t="shared" si="330"/>
        <v>0</v>
      </c>
      <c r="CG1031">
        <f t="shared" si="331"/>
        <v>0</v>
      </c>
      <c r="CH1031">
        <f t="shared" si="332"/>
        <v>0</v>
      </c>
      <c r="CI1031">
        <f t="shared" si="333"/>
        <v>0</v>
      </c>
      <c r="CJ1031">
        <f t="shared" si="334"/>
        <v>0</v>
      </c>
      <c r="CK1031">
        <f t="shared" si="335"/>
        <v>0</v>
      </c>
      <c r="CL1031">
        <f t="shared" si="336"/>
        <v>0</v>
      </c>
      <c r="CM1031">
        <f t="shared" si="338"/>
        <v>0</v>
      </c>
      <c r="CN1031">
        <f t="shared" si="337"/>
        <v>0</v>
      </c>
      <c r="CO1031">
        <f t="shared" si="321"/>
        <v>0</v>
      </c>
    </row>
    <row r="1032" spans="1:93" s="12" customFormat="1" x14ac:dyDescent="0.25">
      <c r="A1032" s="4">
        <v>2021</v>
      </c>
      <c r="B1032" s="318">
        <v>44279</v>
      </c>
      <c r="C1032" s="4" t="s">
        <v>1494</v>
      </c>
      <c r="D1032" s="4" t="s">
        <v>1495</v>
      </c>
      <c r="E1032" s="4"/>
      <c r="F1032" s="4" t="s">
        <v>1496</v>
      </c>
      <c r="G1032" s="5" t="s">
        <v>15</v>
      </c>
      <c r="H1032" s="5" t="s">
        <v>1498</v>
      </c>
      <c r="I1032" s="5" t="s">
        <v>1501</v>
      </c>
      <c r="J1032" s="5" t="s">
        <v>9</v>
      </c>
      <c r="K1032" s="5">
        <v>15.1</v>
      </c>
      <c r="L1032" s="5" t="s">
        <v>192</v>
      </c>
      <c r="M1032" s="5">
        <v>1100</v>
      </c>
      <c r="N1032" s="5" t="s">
        <v>170</v>
      </c>
      <c r="O1032" s="6" t="s">
        <v>1499</v>
      </c>
      <c r="P1032" s="6" t="s">
        <v>1500</v>
      </c>
      <c r="Q1032" s="6"/>
      <c r="R1032" s="6"/>
      <c r="S1032" s="6">
        <v>15</v>
      </c>
      <c r="T1032" s="6">
        <v>3.64</v>
      </c>
      <c r="U1032" s="6">
        <v>6001</v>
      </c>
      <c r="V1032" s="6">
        <v>9.11</v>
      </c>
      <c r="W1032" s="6">
        <v>6001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7">
        <v>75</v>
      </c>
      <c r="AD1032" s="7" t="s">
        <v>52</v>
      </c>
      <c r="AE1032" s="7">
        <v>17.13</v>
      </c>
      <c r="AF1032" s="7">
        <v>383</v>
      </c>
      <c r="AG1032" s="7">
        <v>29.82</v>
      </c>
      <c r="AH1032" s="7">
        <v>31.49</v>
      </c>
      <c r="AI1032" s="7">
        <v>34.69</v>
      </c>
      <c r="AJ1032" s="9">
        <v>226.21647859567099</v>
      </c>
      <c r="AK1032" s="9">
        <v>230.640693780221</v>
      </c>
      <c r="AL1032" s="9">
        <v>288.07604118275702</v>
      </c>
      <c r="AM1032" s="9">
        <v>56.8430988255664</v>
      </c>
      <c r="AN1032" s="9">
        <v>0.75790798434088502</v>
      </c>
      <c r="AO1032" s="9">
        <v>0.64509109177161394</v>
      </c>
      <c r="AP1032" s="9">
        <v>527.02235184998199</v>
      </c>
      <c r="AQ1032" s="9">
        <v>7.0269646913330899</v>
      </c>
      <c r="AR1032" s="9">
        <v>6.9769943802538803</v>
      </c>
      <c r="AS1032" s="8" t="s">
        <v>169</v>
      </c>
      <c r="AT1032" s="8" t="s">
        <v>169</v>
      </c>
      <c r="AU1032" s="10" t="s">
        <v>169</v>
      </c>
      <c r="AV1032" s="10">
        <v>0</v>
      </c>
      <c r="AW1032" s="8"/>
      <c r="AX1032" s="10" t="s">
        <v>169</v>
      </c>
      <c r="AY1032" s="8"/>
      <c r="AZ1032" s="8"/>
      <c r="BA1032" s="8"/>
      <c r="BB1032" s="8"/>
      <c r="BC1032" s="8"/>
      <c r="BD1032" s="8"/>
      <c r="BE1032" s="8"/>
      <c r="BF1032" s="12">
        <v>0.44</v>
      </c>
      <c r="BG1032" s="13">
        <v>220.762272893052</v>
      </c>
      <c r="BH1032" s="96" t="str">
        <f>+VLOOKUP(G1032,Liste!$A$7:$G$50,3,FALSE)</f>
        <v>Pin sylvestre</v>
      </c>
      <c r="BI1032" s="96" t="str">
        <f>+VLOOKUP(H1032,Liste!$B$7:$G$50,5,FALSE)</f>
        <v>GSM Alpes du Sud</v>
      </c>
      <c r="BJ1032" s="135">
        <f t="shared" si="320"/>
        <v>75</v>
      </c>
      <c r="BK1032" s="135" t="str">
        <f t="shared" si="322"/>
        <v>Pin sylvestre_F1_PS1_d3_GSM Alpes du Sud_75_</v>
      </c>
      <c r="BL1032" s="322"/>
      <c r="BM1032" s="13">
        <v>57.901844539404998</v>
      </c>
      <c r="BN1032" s="13">
        <v>278.66411743245698</v>
      </c>
      <c r="BO1032" s="13" t="s">
        <v>169</v>
      </c>
      <c r="BP1032" s="13">
        <v>207.95936776930901</v>
      </c>
      <c r="BQ1032" s="13">
        <v>6.4973414267899097</v>
      </c>
      <c r="BT1032" s="298" t="str">
        <f>+VLOOKUP(G1032,Liste!$A$7:$H$50,8,FALSE)</f>
        <v>Résineux</v>
      </c>
      <c r="BU1032" s="298">
        <f t="shared" si="323"/>
        <v>0</v>
      </c>
      <c r="BV1032" s="300">
        <f t="shared" si="324"/>
        <v>1</v>
      </c>
      <c r="BW1032" s="321">
        <v>0</v>
      </c>
      <c r="BX1032" s="298">
        <f t="shared" si="325"/>
        <v>0.43</v>
      </c>
      <c r="BY1032">
        <f t="shared" si="326"/>
        <v>0</v>
      </c>
      <c r="BZ1032" s="304">
        <f t="shared" si="327"/>
        <v>0</v>
      </c>
      <c r="CB1032" s="299">
        <v>0.6</v>
      </c>
      <c r="CC1032" s="299">
        <v>0.4</v>
      </c>
      <c r="CD1032">
        <f t="shared" si="328"/>
        <v>0</v>
      </c>
      <c r="CE1032">
        <f t="shared" si="329"/>
        <v>0</v>
      </c>
      <c r="CF1032">
        <f t="shared" si="330"/>
        <v>0</v>
      </c>
      <c r="CG1032">
        <f t="shared" si="331"/>
        <v>0</v>
      </c>
      <c r="CH1032">
        <f t="shared" si="332"/>
        <v>0</v>
      </c>
      <c r="CI1032">
        <f t="shared" si="333"/>
        <v>0</v>
      </c>
      <c r="CJ1032">
        <f t="shared" si="334"/>
        <v>0</v>
      </c>
      <c r="CK1032">
        <f t="shared" si="335"/>
        <v>0</v>
      </c>
      <c r="CL1032">
        <f t="shared" si="336"/>
        <v>0</v>
      </c>
      <c r="CM1032">
        <f t="shared" si="338"/>
        <v>0</v>
      </c>
      <c r="CN1032">
        <f t="shared" si="337"/>
        <v>0</v>
      </c>
      <c r="CO1032">
        <f t="shared" si="321"/>
        <v>0</v>
      </c>
    </row>
    <row r="1033" spans="1:93" s="12" customFormat="1" x14ac:dyDescent="0.25">
      <c r="A1033" s="4">
        <v>2021</v>
      </c>
      <c r="B1033" s="318">
        <v>44279</v>
      </c>
      <c r="C1033" s="4" t="s">
        <v>1494</v>
      </c>
      <c r="D1033" s="4" t="s">
        <v>1495</v>
      </c>
      <c r="E1033" s="4"/>
      <c r="F1033" s="4" t="s">
        <v>1496</v>
      </c>
      <c r="G1033" s="5" t="s">
        <v>15</v>
      </c>
      <c r="H1033" s="5" t="s">
        <v>1498</v>
      </c>
      <c r="I1033" s="5" t="s">
        <v>1501</v>
      </c>
      <c r="J1033" s="5" t="s">
        <v>9</v>
      </c>
      <c r="K1033" s="5">
        <v>15.1</v>
      </c>
      <c r="L1033" s="5" t="s">
        <v>192</v>
      </c>
      <c r="M1033" s="5">
        <v>1100</v>
      </c>
      <c r="N1033" s="5" t="s">
        <v>170</v>
      </c>
      <c r="O1033" s="6" t="s">
        <v>1499</v>
      </c>
      <c r="P1033" s="6" t="s">
        <v>1500</v>
      </c>
      <c r="Q1033" s="6"/>
      <c r="R1033" s="6"/>
      <c r="S1033" s="6">
        <v>15</v>
      </c>
      <c r="T1033" s="6">
        <v>3.64</v>
      </c>
      <c r="U1033" s="6">
        <v>6001</v>
      </c>
      <c r="V1033" s="6">
        <v>9.11</v>
      </c>
      <c r="W1033" s="6">
        <v>6001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7">
        <v>80</v>
      </c>
      <c r="AD1033" s="7" t="s">
        <v>52</v>
      </c>
      <c r="AE1033" s="7">
        <v>17.32</v>
      </c>
      <c r="AF1033" s="7">
        <v>377</v>
      </c>
      <c r="AG1033" s="7">
        <v>32.590000000000003</v>
      </c>
      <c r="AH1033" s="7">
        <v>33.18</v>
      </c>
      <c r="AI1033" s="7">
        <v>36.61</v>
      </c>
      <c r="AJ1033" s="9">
        <v>249.289561090245</v>
      </c>
      <c r="AK1033" s="9">
        <v>254.54928787198901</v>
      </c>
      <c r="AL1033" s="9">
        <v>318.503429780901</v>
      </c>
      <c r="AM1033" s="9">
        <v>60.068554284424501</v>
      </c>
      <c r="AN1033" s="9">
        <v>0.75085692855530595</v>
      </c>
      <c r="AO1033" s="9">
        <v>0.65368300053319495</v>
      </c>
      <c r="AP1033" s="9">
        <v>561.90732375125197</v>
      </c>
      <c r="AQ1033" s="9">
        <v>7.0238415468906403</v>
      </c>
      <c r="AR1033" s="9">
        <v>7.1097818505054198</v>
      </c>
      <c r="AS1033" s="8" t="s">
        <v>169</v>
      </c>
      <c r="AT1033" s="8" t="s">
        <v>169</v>
      </c>
      <c r="AU1033" s="10" t="s">
        <v>169</v>
      </c>
      <c r="AV1033" s="10">
        <v>0</v>
      </c>
      <c r="AW1033" s="8"/>
      <c r="AX1033" s="10" t="s">
        <v>169</v>
      </c>
      <c r="AY1033" s="8"/>
      <c r="AZ1033" s="8"/>
      <c r="BA1033" s="8"/>
      <c r="BB1033" s="8"/>
      <c r="BC1033" s="8"/>
      <c r="BD1033" s="8"/>
      <c r="BE1033" s="8"/>
      <c r="BF1033" s="12">
        <v>0.44</v>
      </c>
      <c r="BG1033" s="13">
        <v>244.07979502209699</v>
      </c>
      <c r="BH1033" s="96" t="str">
        <f>+VLOOKUP(G1033,Liste!$A$7:$G$50,3,FALSE)</f>
        <v>Pin sylvestre</v>
      </c>
      <c r="BI1033" s="96" t="str">
        <f>+VLOOKUP(H1033,Liste!$B$7:$G$50,5,FALSE)</f>
        <v>GSM Alpes du Sud</v>
      </c>
      <c r="BJ1033" s="135">
        <f t="shared" si="320"/>
        <v>80</v>
      </c>
      <c r="BK1033" s="135" t="str">
        <f t="shared" si="322"/>
        <v>Pin sylvestre_F1_PS1_d3_GSM Alpes du Sud_80_</v>
      </c>
      <c r="BL1033" s="322"/>
      <c r="BM1033" s="13">
        <v>63.273742162241703</v>
      </c>
      <c r="BN1033" s="13">
        <v>307.35353718433799</v>
      </c>
      <c r="BO1033" s="13" t="s">
        <v>169</v>
      </c>
      <c r="BP1033" s="13">
        <v>207.95936776930901</v>
      </c>
      <c r="BQ1033" s="13">
        <v>6.6124747869711404</v>
      </c>
      <c r="BT1033" s="298" t="str">
        <f>+VLOOKUP(G1033,Liste!$A$7:$H$50,8,FALSE)</f>
        <v>Résineux</v>
      </c>
      <c r="BU1033" s="298">
        <f t="shared" si="323"/>
        <v>0</v>
      </c>
      <c r="BV1033" s="300">
        <f t="shared" si="324"/>
        <v>1</v>
      </c>
      <c r="BW1033" s="321">
        <v>0</v>
      </c>
      <c r="BX1033" s="298">
        <f t="shared" si="325"/>
        <v>0.43</v>
      </c>
      <c r="BY1033">
        <f t="shared" si="326"/>
        <v>0</v>
      </c>
      <c r="BZ1033" s="304">
        <f t="shared" si="327"/>
        <v>0</v>
      </c>
      <c r="CB1033" s="299">
        <v>0.6</v>
      </c>
      <c r="CC1033" s="299">
        <v>0.4</v>
      </c>
      <c r="CD1033">
        <f t="shared" si="328"/>
        <v>0</v>
      </c>
      <c r="CE1033">
        <f t="shared" si="329"/>
        <v>0</v>
      </c>
      <c r="CF1033">
        <f t="shared" si="330"/>
        <v>0</v>
      </c>
      <c r="CG1033">
        <f t="shared" si="331"/>
        <v>0</v>
      </c>
      <c r="CH1033">
        <f t="shared" si="332"/>
        <v>0</v>
      </c>
      <c r="CI1033">
        <f t="shared" si="333"/>
        <v>0</v>
      </c>
      <c r="CJ1033">
        <f t="shared" si="334"/>
        <v>0</v>
      </c>
      <c r="CK1033">
        <f t="shared" si="335"/>
        <v>0</v>
      </c>
      <c r="CL1033">
        <f t="shared" si="336"/>
        <v>0</v>
      </c>
      <c r="CM1033">
        <f t="shared" si="338"/>
        <v>0</v>
      </c>
      <c r="CN1033">
        <f t="shared" si="337"/>
        <v>0</v>
      </c>
      <c r="CO1033">
        <f t="shared" si="321"/>
        <v>0</v>
      </c>
    </row>
    <row r="1034" spans="1:93" s="12" customFormat="1" x14ac:dyDescent="0.25">
      <c r="A1034" s="4">
        <v>2021</v>
      </c>
      <c r="B1034" s="318">
        <v>44279</v>
      </c>
      <c r="C1034" s="4" t="s">
        <v>1494</v>
      </c>
      <c r="D1034" s="4" t="s">
        <v>1495</v>
      </c>
      <c r="E1034" s="4"/>
      <c r="F1034" s="4" t="s">
        <v>1496</v>
      </c>
      <c r="G1034" s="5" t="s">
        <v>15</v>
      </c>
      <c r="H1034" s="5" t="s">
        <v>1498</v>
      </c>
      <c r="I1034" s="5" t="s">
        <v>1501</v>
      </c>
      <c r="J1034" s="5" t="s">
        <v>9</v>
      </c>
      <c r="K1034" s="5">
        <v>15.1</v>
      </c>
      <c r="L1034" s="5" t="s">
        <v>192</v>
      </c>
      <c r="M1034" s="5">
        <v>1100</v>
      </c>
      <c r="N1034" s="5" t="s">
        <v>170</v>
      </c>
      <c r="O1034" s="6" t="s">
        <v>1499</v>
      </c>
      <c r="P1034" s="6" t="s">
        <v>1500</v>
      </c>
      <c r="Q1034" s="6"/>
      <c r="R1034" s="6"/>
      <c r="S1034" s="6">
        <v>15</v>
      </c>
      <c r="T1034" s="6">
        <v>3.64</v>
      </c>
      <c r="U1034" s="6">
        <v>6001</v>
      </c>
      <c r="V1034" s="6">
        <v>9.11</v>
      </c>
      <c r="W1034" s="6">
        <v>6001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7">
        <v>85</v>
      </c>
      <c r="AD1034" s="7" t="s">
        <v>52</v>
      </c>
      <c r="AE1034" s="7">
        <v>17.53</v>
      </c>
      <c r="AF1034" s="7">
        <v>374</v>
      </c>
      <c r="AG1034" s="7">
        <v>35.57</v>
      </c>
      <c r="AH1034" s="7">
        <v>34.799999999999997</v>
      </c>
      <c r="AI1034" s="7">
        <v>38.53</v>
      </c>
      <c r="AJ1034" s="9">
        <v>273.98208520545802</v>
      </c>
      <c r="AK1034" s="9">
        <v>280.16909994381001</v>
      </c>
      <c r="AL1034" s="9">
        <v>351.24681776337297</v>
      </c>
      <c r="AM1034" s="9">
        <v>63.336969287090398</v>
      </c>
      <c r="AN1034" s="9">
        <v>0.74514081514223995</v>
      </c>
      <c r="AO1034" s="9">
        <v>0.58843940332990596</v>
      </c>
      <c r="AP1034" s="9">
        <v>597.45623300377895</v>
      </c>
      <c r="AQ1034" s="9">
        <v>7.0288968588679799</v>
      </c>
      <c r="AR1034" s="9">
        <v>6.3884195386132898</v>
      </c>
      <c r="AS1034" s="8" t="s">
        <v>169</v>
      </c>
      <c r="AT1034" s="8" t="s">
        <v>169</v>
      </c>
      <c r="AU1034" s="10" t="s">
        <v>169</v>
      </c>
      <c r="AV1034" s="10">
        <v>0</v>
      </c>
      <c r="AW1034" s="8"/>
      <c r="AX1034" s="10" t="s">
        <v>169</v>
      </c>
      <c r="AY1034" s="8"/>
      <c r="AZ1034" s="8"/>
      <c r="BA1034" s="8"/>
      <c r="BB1034" s="8"/>
      <c r="BC1034" s="8"/>
      <c r="BD1034" s="8"/>
      <c r="BE1034" s="8"/>
      <c r="BF1034" s="12">
        <v>0.44</v>
      </c>
      <c r="BG1034" s="13">
        <v>269.17214467933201</v>
      </c>
      <c r="BH1034" s="96" t="str">
        <f>+VLOOKUP(G1034,Liste!$A$7:$G$50,3,FALSE)</f>
        <v>Pin sylvestre</v>
      </c>
      <c r="BI1034" s="96" t="str">
        <f>+VLOOKUP(H1034,Liste!$B$7:$G$50,5,FALSE)</f>
        <v>GSM Alpes du Sud</v>
      </c>
      <c r="BJ1034" s="135">
        <f t="shared" si="320"/>
        <v>85</v>
      </c>
      <c r="BK1034" s="135" t="str">
        <f t="shared" si="322"/>
        <v>Pin sylvestre_F1_PS1_d3_GSM Alpes du Sud_85_</v>
      </c>
      <c r="BL1034" s="322"/>
      <c r="BM1034" s="13">
        <v>68.988230384381893</v>
      </c>
      <c r="BN1034" s="13">
        <v>338.16037506371401</v>
      </c>
      <c r="BO1034" s="13" t="s">
        <v>169</v>
      </c>
      <c r="BP1034" s="13">
        <v>207.95936776930901</v>
      </c>
      <c r="BQ1034" s="13">
        <v>5.9346976756310603</v>
      </c>
      <c r="BT1034" s="298" t="str">
        <f>+VLOOKUP(G1034,Liste!$A$7:$H$50,8,FALSE)</f>
        <v>Résineux</v>
      </c>
      <c r="BU1034" s="298">
        <f t="shared" si="323"/>
        <v>0</v>
      </c>
      <c r="BV1034" s="300">
        <f t="shared" si="324"/>
        <v>1</v>
      </c>
      <c r="BW1034" s="321">
        <v>0</v>
      </c>
      <c r="BX1034" s="298">
        <f t="shared" si="325"/>
        <v>0.43</v>
      </c>
      <c r="BY1034">
        <f t="shared" si="326"/>
        <v>0</v>
      </c>
      <c r="BZ1034" s="304">
        <f t="shared" si="327"/>
        <v>0</v>
      </c>
      <c r="CB1034" s="299">
        <v>0.6</v>
      </c>
      <c r="CC1034" s="299">
        <v>0.4</v>
      </c>
      <c r="CD1034">
        <f t="shared" si="328"/>
        <v>0</v>
      </c>
      <c r="CE1034">
        <f t="shared" si="329"/>
        <v>0</v>
      </c>
      <c r="CF1034">
        <f t="shared" si="330"/>
        <v>0</v>
      </c>
      <c r="CG1034">
        <f t="shared" si="331"/>
        <v>0</v>
      </c>
      <c r="CH1034">
        <f t="shared" si="332"/>
        <v>0</v>
      </c>
      <c r="CI1034">
        <f t="shared" si="333"/>
        <v>0</v>
      </c>
      <c r="CJ1034">
        <f t="shared" si="334"/>
        <v>0</v>
      </c>
      <c r="CK1034">
        <f t="shared" si="335"/>
        <v>0</v>
      </c>
      <c r="CL1034">
        <f t="shared" si="336"/>
        <v>0</v>
      </c>
      <c r="CM1034">
        <f t="shared" si="338"/>
        <v>0</v>
      </c>
      <c r="CN1034">
        <f t="shared" si="337"/>
        <v>0</v>
      </c>
      <c r="CO1034">
        <f t="shared" si="321"/>
        <v>0</v>
      </c>
    </row>
    <row r="1035" spans="1:93" s="12" customFormat="1" x14ac:dyDescent="0.25">
      <c r="A1035" s="4">
        <v>2021</v>
      </c>
      <c r="B1035" s="318">
        <v>44279</v>
      </c>
      <c r="C1035" s="4" t="s">
        <v>1494</v>
      </c>
      <c r="D1035" s="4" t="s">
        <v>1495</v>
      </c>
      <c r="E1035" s="4"/>
      <c r="F1035" s="4" t="s">
        <v>1496</v>
      </c>
      <c r="G1035" s="5" t="s">
        <v>15</v>
      </c>
      <c r="H1035" s="5" t="s">
        <v>1498</v>
      </c>
      <c r="I1035" s="5" t="s">
        <v>1501</v>
      </c>
      <c r="J1035" s="5" t="s">
        <v>9</v>
      </c>
      <c r="K1035" s="5">
        <v>15.1</v>
      </c>
      <c r="L1035" s="5" t="s">
        <v>192</v>
      </c>
      <c r="M1035" s="5">
        <v>1100</v>
      </c>
      <c r="N1035" s="5" t="s">
        <v>170</v>
      </c>
      <c r="O1035" s="6" t="s">
        <v>1499</v>
      </c>
      <c r="P1035" s="6" t="s">
        <v>1500</v>
      </c>
      <c r="Q1035" s="6"/>
      <c r="R1035" s="6"/>
      <c r="S1035" s="6">
        <v>15</v>
      </c>
      <c r="T1035" s="6">
        <v>3.64</v>
      </c>
      <c r="U1035" s="6">
        <v>6001</v>
      </c>
      <c r="V1035" s="6">
        <v>9.11</v>
      </c>
      <c r="W1035" s="6">
        <v>6001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7">
        <v>85</v>
      </c>
      <c r="AD1035" s="7" t="s">
        <v>53</v>
      </c>
      <c r="AE1035" s="7">
        <v>17.53</v>
      </c>
      <c r="AF1035" s="7">
        <v>254</v>
      </c>
      <c r="AG1035" s="7">
        <v>26.04</v>
      </c>
      <c r="AH1035" s="7">
        <v>36.130000000000003</v>
      </c>
      <c r="AI1035" s="7">
        <v>38.53</v>
      </c>
      <c r="AJ1035" s="9">
        <v>200.76554466892199</v>
      </c>
      <c r="AK1035" s="9">
        <v>205.55290006182699</v>
      </c>
      <c r="AL1035" s="9">
        <v>258.36989857733801</v>
      </c>
      <c r="AM1035" s="9">
        <v>63.336969287090398</v>
      </c>
      <c r="AN1035" s="9">
        <v>0.74514081514223995</v>
      </c>
      <c r="AO1035" s="9">
        <v>0.58843940332990596</v>
      </c>
      <c r="AP1035" s="9">
        <v>597.45623300377895</v>
      </c>
      <c r="AQ1035" s="9">
        <v>7.0288968588679799</v>
      </c>
      <c r="AR1035" s="9">
        <v>6.3884195386132898</v>
      </c>
      <c r="AS1035" s="8">
        <v>120</v>
      </c>
      <c r="AT1035" s="8">
        <v>9.5300000000000011</v>
      </c>
      <c r="AU1035" s="10">
        <v>31.798811378894474</v>
      </c>
      <c r="AV1035" s="10">
        <v>73.21654053653603</v>
      </c>
      <c r="AW1035" s="8">
        <v>0.84</v>
      </c>
      <c r="AX1035" s="10">
        <v>0.61013783780446695</v>
      </c>
      <c r="AY1035" s="8"/>
      <c r="AZ1035" s="8"/>
      <c r="BA1035" s="8"/>
      <c r="BB1035" s="8"/>
      <c r="BC1035" s="8"/>
      <c r="BD1035" s="8"/>
      <c r="BE1035" s="8"/>
      <c r="BF1035" s="12">
        <v>0.44</v>
      </c>
      <c r="BG1035" s="13">
        <v>197.997465609767</v>
      </c>
      <c r="BH1035" s="96" t="str">
        <f>+VLOOKUP(G1035,Liste!$A$7:$G$50,3,FALSE)</f>
        <v>Pin sylvestre</v>
      </c>
      <c r="BI1035" s="96" t="str">
        <f>+VLOOKUP(H1035,Liste!$B$7:$G$50,5,FALSE)</f>
        <v>GSM Alpes du Sud</v>
      </c>
      <c r="BJ1035" s="135">
        <f t="shared" si="320"/>
        <v>85</v>
      </c>
      <c r="BK1035" s="135" t="str">
        <f t="shared" si="322"/>
        <v>Pin sylvestre_F1_PS1_d3_GSM Alpes du Sud_85_</v>
      </c>
      <c r="BL1035" s="322"/>
      <c r="BM1035" s="13">
        <v>52.593109143311601</v>
      </c>
      <c r="BN1035" s="13">
        <v>250.59057475307799</v>
      </c>
      <c r="BO1035" s="13">
        <v>87.569800310636026</v>
      </c>
      <c r="BP1035" s="13">
        <v>207.95936776930901</v>
      </c>
      <c r="BQ1035" s="13">
        <v>5.9346976756310603</v>
      </c>
      <c r="BT1035" s="298" t="str">
        <f>+VLOOKUP(G1035,Liste!$A$7:$H$50,8,FALSE)</f>
        <v>Résineux</v>
      </c>
      <c r="BU1035" s="298">
        <f t="shared" si="323"/>
        <v>0</v>
      </c>
      <c r="BV1035" s="300">
        <f t="shared" si="324"/>
        <v>1</v>
      </c>
      <c r="BW1035" s="321">
        <v>0</v>
      </c>
      <c r="BX1035" s="298">
        <f t="shared" si="325"/>
        <v>0.43</v>
      </c>
      <c r="BY1035">
        <f t="shared" si="326"/>
        <v>0</v>
      </c>
      <c r="BZ1035" s="304">
        <f t="shared" si="327"/>
        <v>0</v>
      </c>
      <c r="CB1035" s="299">
        <v>0.6</v>
      </c>
      <c r="CC1035" s="299">
        <v>0.4</v>
      </c>
      <c r="CD1035">
        <f t="shared" si="328"/>
        <v>0</v>
      </c>
      <c r="CE1035">
        <f t="shared" si="329"/>
        <v>0</v>
      </c>
      <c r="CF1035">
        <f t="shared" si="330"/>
        <v>0</v>
      </c>
      <c r="CG1035">
        <f t="shared" si="331"/>
        <v>0</v>
      </c>
      <c r="CH1035">
        <f t="shared" si="332"/>
        <v>0</v>
      </c>
      <c r="CI1035">
        <f t="shared" si="333"/>
        <v>0</v>
      </c>
      <c r="CJ1035">
        <f t="shared" si="334"/>
        <v>0</v>
      </c>
      <c r="CK1035">
        <f t="shared" si="335"/>
        <v>0</v>
      </c>
      <c r="CL1035">
        <f t="shared" si="336"/>
        <v>0</v>
      </c>
      <c r="CM1035">
        <f t="shared" si="338"/>
        <v>0</v>
      </c>
      <c r="CN1035">
        <f t="shared" si="337"/>
        <v>0</v>
      </c>
      <c r="CO1035">
        <f t="shared" si="321"/>
        <v>0</v>
      </c>
    </row>
    <row r="1036" spans="1:93" s="12" customFormat="1" x14ac:dyDescent="0.25">
      <c r="A1036" s="4">
        <v>2021</v>
      </c>
      <c r="B1036" s="318">
        <v>44279</v>
      </c>
      <c r="C1036" s="4" t="s">
        <v>1494</v>
      </c>
      <c r="D1036" s="4" t="s">
        <v>1495</v>
      </c>
      <c r="E1036" s="4"/>
      <c r="F1036" s="4" t="s">
        <v>1496</v>
      </c>
      <c r="G1036" s="5" t="s">
        <v>15</v>
      </c>
      <c r="H1036" s="5" t="s">
        <v>1498</v>
      </c>
      <c r="I1036" s="5" t="s">
        <v>1501</v>
      </c>
      <c r="J1036" s="5" t="s">
        <v>9</v>
      </c>
      <c r="K1036" s="5">
        <v>15.1</v>
      </c>
      <c r="L1036" s="5" t="s">
        <v>192</v>
      </c>
      <c r="M1036" s="5">
        <v>1100</v>
      </c>
      <c r="N1036" s="5" t="s">
        <v>170</v>
      </c>
      <c r="O1036" s="6" t="s">
        <v>1499</v>
      </c>
      <c r="P1036" s="6" t="s">
        <v>1500</v>
      </c>
      <c r="Q1036" s="6"/>
      <c r="R1036" s="6"/>
      <c r="S1036" s="6">
        <v>15</v>
      </c>
      <c r="T1036" s="6">
        <v>3.64</v>
      </c>
      <c r="U1036" s="6">
        <v>6001</v>
      </c>
      <c r="V1036" s="6">
        <v>9.11</v>
      </c>
      <c r="W1036" s="6">
        <v>6001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7">
        <v>90</v>
      </c>
      <c r="AD1036" s="7" t="s">
        <v>52</v>
      </c>
      <c r="AE1036" s="7">
        <v>17.59</v>
      </c>
      <c r="AF1036" s="7">
        <v>251</v>
      </c>
      <c r="AG1036" s="7">
        <v>28.69</v>
      </c>
      <c r="AH1036" s="7">
        <v>38.15</v>
      </c>
      <c r="AI1036" s="7">
        <v>40.770000000000003</v>
      </c>
      <c r="AJ1036" s="9">
        <v>222.21735516637699</v>
      </c>
      <c r="AK1036" s="9">
        <v>227.948980708535</v>
      </c>
      <c r="AL1036" s="9">
        <v>287.48989706985401</v>
      </c>
      <c r="AM1036" s="9">
        <v>66.279166303739999</v>
      </c>
      <c r="AN1036" s="9">
        <v>0.73643518115266604</v>
      </c>
      <c r="AO1036" s="9">
        <v>0.58751699559849402</v>
      </c>
      <c r="AP1036" s="9">
        <v>629.39833069684505</v>
      </c>
      <c r="AQ1036" s="9">
        <v>6.9933147855205</v>
      </c>
      <c r="AR1036" s="9">
        <v>6.4307996096121496</v>
      </c>
      <c r="AS1036" s="8" t="s">
        <v>169</v>
      </c>
      <c r="AT1036" s="8" t="s">
        <v>169</v>
      </c>
      <c r="AU1036" s="10" t="s">
        <v>169</v>
      </c>
      <c r="AV1036" s="10">
        <v>0</v>
      </c>
      <c r="AW1036" s="8"/>
      <c r="AX1036" s="10" t="s">
        <v>169</v>
      </c>
      <c r="AY1036" s="8"/>
      <c r="AZ1036" s="8"/>
      <c r="BA1036" s="8"/>
      <c r="BB1036" s="8"/>
      <c r="BC1036" s="8"/>
      <c r="BD1036" s="8"/>
      <c r="BE1036" s="8"/>
      <c r="BF1036" s="12">
        <v>0.44</v>
      </c>
      <c r="BG1036" s="13">
        <v>220.313091121198</v>
      </c>
      <c r="BH1036" s="96" t="str">
        <f>+VLOOKUP(G1036,Liste!$A$7:$G$50,3,FALSE)</f>
        <v>Pin sylvestre</v>
      </c>
      <c r="BI1036" s="96" t="str">
        <f>+VLOOKUP(H1036,Liste!$B$7:$G$50,5,FALSE)</f>
        <v>GSM Alpes du Sud</v>
      </c>
      <c r="BJ1036" s="135">
        <f t="shared" si="320"/>
        <v>90</v>
      </c>
      <c r="BK1036" s="135" t="str">
        <f t="shared" si="322"/>
        <v>Pin sylvestre_F1_PS1_d3_GSM Alpes du Sud_90_</v>
      </c>
      <c r="BL1036" s="322"/>
      <c r="BM1036" s="13">
        <v>57.797733486688003</v>
      </c>
      <c r="BN1036" s="13">
        <v>278.110824607886</v>
      </c>
      <c r="BO1036" s="13" t="s">
        <v>169</v>
      </c>
      <c r="BP1036" s="13">
        <v>207.95936776930901</v>
      </c>
      <c r="BQ1036" s="13">
        <v>5.9678848800733704</v>
      </c>
      <c r="BT1036" s="298" t="str">
        <f>+VLOOKUP(G1036,Liste!$A$7:$H$50,8,FALSE)</f>
        <v>Résineux</v>
      </c>
      <c r="BU1036" s="298">
        <f t="shared" si="323"/>
        <v>0</v>
      </c>
      <c r="BV1036" s="300">
        <f t="shared" si="324"/>
        <v>1</v>
      </c>
      <c r="BW1036" s="321">
        <v>0</v>
      </c>
      <c r="BX1036" s="298">
        <f t="shared" si="325"/>
        <v>0.43</v>
      </c>
      <c r="BY1036">
        <f t="shared" si="326"/>
        <v>0</v>
      </c>
      <c r="BZ1036" s="304">
        <f t="shared" si="327"/>
        <v>0</v>
      </c>
      <c r="CB1036" s="299">
        <v>0.6</v>
      </c>
      <c r="CC1036" s="299">
        <v>0.4</v>
      </c>
      <c r="CD1036">
        <f t="shared" si="328"/>
        <v>0</v>
      </c>
      <c r="CE1036">
        <f t="shared" si="329"/>
        <v>0</v>
      </c>
      <c r="CF1036">
        <f t="shared" si="330"/>
        <v>0</v>
      </c>
      <c r="CG1036">
        <f t="shared" si="331"/>
        <v>0</v>
      </c>
      <c r="CH1036">
        <f t="shared" si="332"/>
        <v>0</v>
      </c>
      <c r="CI1036">
        <f t="shared" si="333"/>
        <v>0</v>
      </c>
      <c r="CJ1036">
        <f t="shared" si="334"/>
        <v>0</v>
      </c>
      <c r="CK1036">
        <f t="shared" si="335"/>
        <v>0</v>
      </c>
      <c r="CL1036">
        <f t="shared" si="336"/>
        <v>0</v>
      </c>
      <c r="CM1036">
        <f t="shared" si="338"/>
        <v>0</v>
      </c>
      <c r="CN1036">
        <f t="shared" si="337"/>
        <v>0</v>
      </c>
      <c r="CO1036">
        <f t="shared" si="321"/>
        <v>0</v>
      </c>
    </row>
    <row r="1037" spans="1:93" s="12" customFormat="1" x14ac:dyDescent="0.25">
      <c r="A1037" s="4">
        <v>2021</v>
      </c>
      <c r="B1037" s="318">
        <v>44279</v>
      </c>
      <c r="C1037" s="4" t="s">
        <v>1494</v>
      </c>
      <c r="D1037" s="4" t="s">
        <v>1495</v>
      </c>
      <c r="E1037" s="4"/>
      <c r="F1037" s="4" t="s">
        <v>1496</v>
      </c>
      <c r="G1037" s="5" t="s">
        <v>15</v>
      </c>
      <c r="H1037" s="5" t="s">
        <v>1498</v>
      </c>
      <c r="I1037" s="5" t="s">
        <v>1501</v>
      </c>
      <c r="J1037" s="5" t="s">
        <v>9</v>
      </c>
      <c r="K1037" s="5">
        <v>15.1</v>
      </c>
      <c r="L1037" s="5" t="s">
        <v>192</v>
      </c>
      <c r="M1037" s="5">
        <v>1100</v>
      </c>
      <c r="N1037" s="5" t="s">
        <v>170</v>
      </c>
      <c r="O1037" s="6" t="s">
        <v>1499</v>
      </c>
      <c r="P1037" s="6" t="s">
        <v>1500</v>
      </c>
      <c r="Q1037" s="6"/>
      <c r="R1037" s="6"/>
      <c r="S1037" s="6">
        <v>15</v>
      </c>
      <c r="T1037" s="6">
        <v>3.64</v>
      </c>
      <c r="U1037" s="6">
        <v>6001</v>
      </c>
      <c r="V1037" s="6">
        <v>9.11</v>
      </c>
      <c r="W1037" s="6">
        <v>6001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7">
        <v>95</v>
      </c>
      <c r="AD1037" s="7" t="s">
        <v>52</v>
      </c>
      <c r="AE1037" s="7">
        <v>17.68</v>
      </c>
      <c r="AF1037" s="7">
        <v>246</v>
      </c>
      <c r="AG1037" s="7">
        <v>31.08</v>
      </c>
      <c r="AH1037" s="7">
        <v>40.11</v>
      </c>
      <c r="AI1037" s="7">
        <v>42.94</v>
      </c>
      <c r="AJ1037" s="9">
        <v>241.58134869020199</v>
      </c>
      <c r="AK1037" s="9">
        <v>248.269040616371</v>
      </c>
      <c r="AL1037" s="9">
        <v>314.17270754632801</v>
      </c>
      <c r="AM1037" s="9">
        <v>69.2167512817324</v>
      </c>
      <c r="AN1037" s="9">
        <v>0.72859738191297296</v>
      </c>
      <c r="AO1037" s="9">
        <v>0.61247557635528005</v>
      </c>
      <c r="AP1037" s="9">
        <v>661.55232874490605</v>
      </c>
      <c r="AQ1037" s="9">
        <v>6.9637087236305897</v>
      </c>
      <c r="AR1037" s="9">
        <v>6.7356969716719703</v>
      </c>
      <c r="AS1037" s="8" t="s">
        <v>169</v>
      </c>
      <c r="AT1037" s="8" t="s">
        <v>169</v>
      </c>
      <c r="AU1037" s="10" t="s">
        <v>169</v>
      </c>
      <c r="AV1037" s="10">
        <v>0</v>
      </c>
      <c r="AW1037" s="8"/>
      <c r="AX1037" s="10" t="s">
        <v>169</v>
      </c>
      <c r="AY1037" s="8"/>
      <c r="AZ1037" s="8"/>
      <c r="BA1037" s="8"/>
      <c r="BB1037" s="8"/>
      <c r="BC1037" s="8"/>
      <c r="BD1037" s="8"/>
      <c r="BE1037" s="8"/>
      <c r="BF1037" s="12">
        <v>0.44</v>
      </c>
      <c r="BG1037" s="13">
        <v>240.761018216336</v>
      </c>
      <c r="BH1037" s="96" t="str">
        <f>+VLOOKUP(G1037,Liste!$A$7:$G$50,3,FALSE)</f>
        <v>Pin sylvestre</v>
      </c>
      <c r="BI1037" s="96" t="str">
        <f>+VLOOKUP(H1037,Liste!$B$7:$G$50,5,FALSE)</f>
        <v>GSM Alpes du Sud</v>
      </c>
      <c r="BJ1037" s="135">
        <f t="shared" si="320"/>
        <v>95</v>
      </c>
      <c r="BK1037" s="135" t="str">
        <f t="shared" si="322"/>
        <v>Pin sylvestre_F1_PS1_d3_GSM Alpes du Sud_95_</v>
      </c>
      <c r="BL1037" s="322"/>
      <c r="BM1037" s="13">
        <v>62.5129417527463</v>
      </c>
      <c r="BN1037" s="13">
        <v>303.273959969082</v>
      </c>
      <c r="BO1037" s="13" t="s">
        <v>169</v>
      </c>
      <c r="BP1037" s="13">
        <v>207.95936776930901</v>
      </c>
      <c r="BQ1037" s="13">
        <v>6.2445476351863798</v>
      </c>
      <c r="BT1037" s="298" t="str">
        <f>+VLOOKUP(G1037,Liste!$A$7:$H$50,8,FALSE)</f>
        <v>Résineux</v>
      </c>
      <c r="BU1037" s="298">
        <f t="shared" si="323"/>
        <v>0</v>
      </c>
      <c r="BV1037" s="300">
        <f t="shared" si="324"/>
        <v>1</v>
      </c>
      <c r="BW1037" s="321">
        <v>0</v>
      </c>
      <c r="BX1037" s="298">
        <f t="shared" si="325"/>
        <v>0.43</v>
      </c>
      <c r="BY1037">
        <f t="shared" si="326"/>
        <v>0</v>
      </c>
      <c r="BZ1037" s="304">
        <f t="shared" si="327"/>
        <v>0</v>
      </c>
      <c r="CB1037" s="299">
        <v>0.6</v>
      </c>
      <c r="CC1037" s="299">
        <v>0.4</v>
      </c>
      <c r="CD1037">
        <f t="shared" si="328"/>
        <v>0</v>
      </c>
      <c r="CE1037">
        <f t="shared" si="329"/>
        <v>0</v>
      </c>
      <c r="CF1037">
        <f t="shared" si="330"/>
        <v>0</v>
      </c>
      <c r="CG1037">
        <f t="shared" si="331"/>
        <v>0</v>
      </c>
      <c r="CH1037">
        <f t="shared" si="332"/>
        <v>0</v>
      </c>
      <c r="CI1037">
        <f t="shared" si="333"/>
        <v>0</v>
      </c>
      <c r="CJ1037">
        <f t="shared" si="334"/>
        <v>0</v>
      </c>
      <c r="CK1037">
        <f t="shared" si="335"/>
        <v>0</v>
      </c>
      <c r="CL1037">
        <f t="shared" si="336"/>
        <v>0</v>
      </c>
      <c r="CM1037">
        <f t="shared" si="338"/>
        <v>0</v>
      </c>
      <c r="CN1037">
        <f t="shared" si="337"/>
        <v>0</v>
      </c>
      <c r="CO1037">
        <f t="shared" si="321"/>
        <v>0</v>
      </c>
    </row>
    <row r="1038" spans="1:93" s="12" customFormat="1" x14ac:dyDescent="0.25">
      <c r="A1038" s="4">
        <v>2021</v>
      </c>
      <c r="B1038" s="318">
        <v>44279</v>
      </c>
      <c r="C1038" s="4" t="s">
        <v>1494</v>
      </c>
      <c r="D1038" s="4" t="s">
        <v>1495</v>
      </c>
      <c r="E1038" s="4"/>
      <c r="F1038" s="4" t="s">
        <v>1496</v>
      </c>
      <c r="G1038" s="5" t="s">
        <v>15</v>
      </c>
      <c r="H1038" s="5" t="s">
        <v>1498</v>
      </c>
      <c r="I1038" s="5" t="s">
        <v>1501</v>
      </c>
      <c r="J1038" s="5" t="s">
        <v>9</v>
      </c>
      <c r="K1038" s="5">
        <v>15.1</v>
      </c>
      <c r="L1038" s="5" t="s">
        <v>192</v>
      </c>
      <c r="M1038" s="5">
        <v>1100</v>
      </c>
      <c r="N1038" s="5" t="s">
        <v>170</v>
      </c>
      <c r="O1038" s="6" t="s">
        <v>1499</v>
      </c>
      <c r="P1038" s="6" t="s">
        <v>1500</v>
      </c>
      <c r="Q1038" s="6"/>
      <c r="R1038" s="6"/>
      <c r="S1038" s="6">
        <v>15</v>
      </c>
      <c r="T1038" s="6">
        <v>3.64</v>
      </c>
      <c r="U1038" s="6">
        <v>6001</v>
      </c>
      <c r="V1038" s="6">
        <v>9.11</v>
      </c>
      <c r="W1038" s="6">
        <v>6001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7">
        <v>100</v>
      </c>
      <c r="AD1038" s="7" t="s">
        <v>52</v>
      </c>
      <c r="AE1038" s="7">
        <v>17.82</v>
      </c>
      <c r="AF1038" s="7">
        <v>241</v>
      </c>
      <c r="AG1038" s="7">
        <v>33.51</v>
      </c>
      <c r="AH1038" s="7">
        <v>42.08</v>
      </c>
      <c r="AI1038" s="7">
        <v>45.05</v>
      </c>
      <c r="AJ1038" s="9">
        <v>261.07549018242401</v>
      </c>
      <c r="AK1038" s="9">
        <v>268.80255475508102</v>
      </c>
      <c r="AL1038" s="9">
        <v>341.38329045680098</v>
      </c>
      <c r="AM1038" s="9">
        <v>72.279129163508799</v>
      </c>
      <c r="AN1038" s="9">
        <v>0.72279129163508804</v>
      </c>
      <c r="AO1038" s="9">
        <v>0.51963238711503501</v>
      </c>
      <c r="AP1038" s="9">
        <v>695.23081360326603</v>
      </c>
      <c r="AQ1038" s="9">
        <v>6.9523081360326602</v>
      </c>
      <c r="AR1038" s="9">
        <v>5.7533105592604903</v>
      </c>
      <c r="AS1038" s="8" t="s">
        <v>169</v>
      </c>
      <c r="AT1038" s="8" t="s">
        <v>169</v>
      </c>
      <c r="AU1038" s="10" t="s">
        <v>169</v>
      </c>
      <c r="AV1038" s="10">
        <v>0</v>
      </c>
      <c r="AW1038" s="8"/>
      <c r="AX1038" s="10" t="s">
        <v>169</v>
      </c>
      <c r="AY1038" s="8"/>
      <c r="AZ1038" s="8"/>
      <c r="BA1038" s="8"/>
      <c r="BB1038" s="8"/>
      <c r="BC1038" s="8"/>
      <c r="BD1038" s="8"/>
      <c r="BE1038" s="8"/>
      <c r="BF1038" s="12">
        <v>0.44</v>
      </c>
      <c r="BG1038" s="13">
        <v>261.61339492006198</v>
      </c>
      <c r="BH1038" s="96" t="str">
        <f>+VLOOKUP(G1038,Liste!$A$7:$G$50,3,FALSE)</f>
        <v>Pin sylvestre</v>
      </c>
      <c r="BI1038" s="96" t="str">
        <f>+VLOOKUP(H1038,Liste!$B$7:$G$50,5,FALSE)</f>
        <v>GSM Alpes du Sud</v>
      </c>
      <c r="BJ1038" s="135">
        <f t="shared" si="320"/>
        <v>100</v>
      </c>
      <c r="BK1038" s="135" t="str">
        <f t="shared" si="322"/>
        <v>Pin sylvestre_F1_PS1_d3_GSM Alpes du Sud_100_</v>
      </c>
      <c r="BL1038" s="322"/>
      <c r="BM1038" s="13">
        <v>67.273612740502998</v>
      </c>
      <c r="BN1038" s="13">
        <v>328.88700766056502</v>
      </c>
      <c r="BO1038" s="13" t="s">
        <v>169</v>
      </c>
      <c r="BP1038" s="13">
        <v>207.95936776930901</v>
      </c>
      <c r="BQ1038" s="13">
        <v>5.3289588794129497</v>
      </c>
      <c r="BT1038" s="298" t="str">
        <f>+VLOOKUP(G1038,Liste!$A$7:$H$50,8,FALSE)</f>
        <v>Résineux</v>
      </c>
      <c r="BU1038" s="298">
        <f t="shared" si="323"/>
        <v>0</v>
      </c>
      <c r="BV1038" s="300">
        <f t="shared" si="324"/>
        <v>1</v>
      </c>
      <c r="BW1038" s="321">
        <v>0</v>
      </c>
      <c r="BX1038" s="298">
        <f t="shared" si="325"/>
        <v>0.43</v>
      </c>
      <c r="BY1038">
        <f t="shared" si="326"/>
        <v>0</v>
      </c>
      <c r="BZ1038" s="304">
        <f t="shared" si="327"/>
        <v>0</v>
      </c>
      <c r="CB1038" s="299">
        <v>0.6</v>
      </c>
      <c r="CC1038" s="299">
        <v>0.4</v>
      </c>
      <c r="CD1038">
        <f t="shared" si="328"/>
        <v>0</v>
      </c>
      <c r="CE1038">
        <f t="shared" si="329"/>
        <v>0</v>
      </c>
      <c r="CF1038">
        <f t="shared" si="330"/>
        <v>0</v>
      </c>
      <c r="CG1038">
        <f t="shared" si="331"/>
        <v>0</v>
      </c>
      <c r="CH1038">
        <f t="shared" si="332"/>
        <v>0</v>
      </c>
      <c r="CI1038">
        <f t="shared" si="333"/>
        <v>0</v>
      </c>
      <c r="CJ1038">
        <f t="shared" si="334"/>
        <v>0</v>
      </c>
      <c r="CK1038">
        <f t="shared" si="335"/>
        <v>0</v>
      </c>
      <c r="CL1038">
        <f t="shared" si="336"/>
        <v>0</v>
      </c>
      <c r="CM1038">
        <f t="shared" si="338"/>
        <v>0</v>
      </c>
      <c r="CN1038">
        <f t="shared" si="337"/>
        <v>0</v>
      </c>
      <c r="CO1038">
        <f t="shared" si="321"/>
        <v>0</v>
      </c>
    </row>
    <row r="1039" spans="1:93" s="12" customFormat="1" x14ac:dyDescent="0.25">
      <c r="A1039" s="4">
        <v>2021</v>
      </c>
      <c r="B1039" s="318">
        <v>44279</v>
      </c>
      <c r="C1039" s="4" t="s">
        <v>1494</v>
      </c>
      <c r="D1039" s="4" t="s">
        <v>1495</v>
      </c>
      <c r="E1039" s="4"/>
      <c r="F1039" s="4" t="s">
        <v>1496</v>
      </c>
      <c r="G1039" s="5" t="s">
        <v>15</v>
      </c>
      <c r="H1039" s="5" t="s">
        <v>1498</v>
      </c>
      <c r="I1039" s="5" t="s">
        <v>1501</v>
      </c>
      <c r="J1039" s="5" t="s">
        <v>9</v>
      </c>
      <c r="K1039" s="5">
        <v>15.1</v>
      </c>
      <c r="L1039" s="5" t="s">
        <v>192</v>
      </c>
      <c r="M1039" s="5">
        <v>1100</v>
      </c>
      <c r="N1039" s="5" t="s">
        <v>170</v>
      </c>
      <c r="O1039" s="6" t="s">
        <v>1499</v>
      </c>
      <c r="P1039" s="6" t="s">
        <v>1500</v>
      </c>
      <c r="Q1039" s="6"/>
      <c r="R1039" s="6"/>
      <c r="S1039" s="6">
        <v>15</v>
      </c>
      <c r="T1039" s="6">
        <v>3.64</v>
      </c>
      <c r="U1039" s="6">
        <v>6001</v>
      </c>
      <c r="V1039" s="6">
        <v>9.11</v>
      </c>
      <c r="W1039" s="6">
        <v>6001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7">
        <v>100</v>
      </c>
      <c r="AD1039" s="7" t="s">
        <v>53</v>
      </c>
      <c r="AE1039" s="7">
        <v>17.809999999999999</v>
      </c>
      <c r="AF1039" s="7">
        <v>126</v>
      </c>
      <c r="AG1039" s="7">
        <v>19.18</v>
      </c>
      <c r="AH1039" s="7">
        <v>44.03</v>
      </c>
      <c r="AI1039" s="7">
        <v>44.91</v>
      </c>
      <c r="AJ1039" s="9">
        <v>149.970607768001</v>
      </c>
      <c r="AK1039" s="9">
        <v>154.65882273322799</v>
      </c>
      <c r="AL1039" s="9">
        <v>196.970034267404</v>
      </c>
      <c r="AM1039" s="9">
        <v>72.279129163508799</v>
      </c>
      <c r="AN1039" s="9">
        <v>0.72279129163508804</v>
      </c>
      <c r="AO1039" s="9">
        <v>0.51963238711503501</v>
      </c>
      <c r="AP1039" s="9">
        <v>695.23081360326603</v>
      </c>
      <c r="AQ1039" s="9">
        <v>6.9523081360326602</v>
      </c>
      <c r="AR1039" s="9">
        <v>5.7533105592604903</v>
      </c>
      <c r="AS1039" s="8">
        <v>115</v>
      </c>
      <c r="AT1039" s="8">
        <v>14.329999999999998</v>
      </c>
      <c r="AU1039" s="10">
        <v>39.831735955418303</v>
      </c>
      <c r="AV1039" s="10">
        <v>111.104882414423</v>
      </c>
      <c r="AW1039" s="8">
        <v>0.9</v>
      </c>
      <c r="AX1039" s="10">
        <v>0.96612941229933047</v>
      </c>
      <c r="AY1039" s="8"/>
      <c r="AZ1039" s="8"/>
      <c r="BA1039" s="8"/>
      <c r="BB1039" s="8"/>
      <c r="BC1039" s="8"/>
      <c r="BD1039" s="8"/>
      <c r="BE1039" s="8"/>
      <c r="BF1039" s="12">
        <v>0.44</v>
      </c>
      <c r="BG1039" s="13">
        <v>150.944702926921</v>
      </c>
      <c r="BH1039" s="96" t="str">
        <f>+VLOOKUP(G1039,Liste!$A$7:$G$50,3,FALSE)</f>
        <v>Pin sylvestre</v>
      </c>
      <c r="BI1039" s="96" t="str">
        <f>+VLOOKUP(H1039,Liste!$B$7:$G$50,5,FALSE)</f>
        <v>GSM Alpes du Sud</v>
      </c>
      <c r="BJ1039" s="135">
        <f t="shared" si="320"/>
        <v>100</v>
      </c>
      <c r="BK1039" s="135" t="str">
        <f t="shared" si="322"/>
        <v>Pin sylvestre_F1_PS1_d3_GSM Alpes du Sud_100_</v>
      </c>
      <c r="BL1039" s="322"/>
      <c r="BM1039" s="13">
        <v>41.381275387229401</v>
      </c>
      <c r="BN1039" s="13">
        <v>192.32597831415001</v>
      </c>
      <c r="BO1039" s="13">
        <v>136.56102934641501</v>
      </c>
      <c r="BP1039" s="13">
        <v>207.95936776930901</v>
      </c>
      <c r="BQ1039" s="13">
        <v>5.3289588794129497</v>
      </c>
      <c r="BT1039" s="298" t="str">
        <f>+VLOOKUP(G1039,Liste!$A$7:$H$50,8,FALSE)</f>
        <v>Résineux</v>
      </c>
      <c r="BU1039" s="298">
        <f t="shared" si="323"/>
        <v>0</v>
      </c>
      <c r="BV1039" s="300">
        <f t="shared" si="324"/>
        <v>1</v>
      </c>
      <c r="BW1039" s="321">
        <v>0</v>
      </c>
      <c r="BX1039" s="298">
        <f t="shared" si="325"/>
        <v>0.43</v>
      </c>
      <c r="BY1039">
        <f t="shared" si="326"/>
        <v>0</v>
      </c>
      <c r="BZ1039" s="304">
        <f t="shared" si="327"/>
        <v>0</v>
      </c>
      <c r="CB1039" s="299">
        <v>0.6</v>
      </c>
      <c r="CC1039" s="299">
        <v>0.4</v>
      </c>
      <c r="CD1039">
        <f t="shared" si="328"/>
        <v>0</v>
      </c>
      <c r="CE1039">
        <f t="shared" si="329"/>
        <v>0</v>
      </c>
      <c r="CF1039">
        <f t="shared" si="330"/>
        <v>0</v>
      </c>
      <c r="CG1039">
        <f t="shared" si="331"/>
        <v>0</v>
      </c>
      <c r="CH1039">
        <f t="shared" si="332"/>
        <v>0</v>
      </c>
      <c r="CI1039">
        <f t="shared" si="333"/>
        <v>0</v>
      </c>
      <c r="CJ1039">
        <f t="shared" si="334"/>
        <v>0</v>
      </c>
      <c r="CK1039">
        <f t="shared" si="335"/>
        <v>0</v>
      </c>
      <c r="CL1039">
        <f t="shared" si="336"/>
        <v>0</v>
      </c>
      <c r="CM1039">
        <f t="shared" si="338"/>
        <v>0</v>
      </c>
      <c r="CN1039">
        <f t="shared" si="337"/>
        <v>0</v>
      </c>
      <c r="CO1039">
        <f t="shared" si="321"/>
        <v>0</v>
      </c>
    </row>
    <row r="1040" spans="1:93" s="12" customFormat="1" x14ac:dyDescent="0.25">
      <c r="A1040" s="4">
        <v>2021</v>
      </c>
      <c r="B1040" s="318">
        <v>44279</v>
      </c>
      <c r="C1040" s="4" t="s">
        <v>1494</v>
      </c>
      <c r="D1040" s="4" t="s">
        <v>1495</v>
      </c>
      <c r="E1040" s="4"/>
      <c r="F1040" s="4" t="s">
        <v>1496</v>
      </c>
      <c r="G1040" s="5" t="s">
        <v>15</v>
      </c>
      <c r="H1040" s="5" t="s">
        <v>1498</v>
      </c>
      <c r="I1040" s="5" t="s">
        <v>1501</v>
      </c>
      <c r="J1040" s="5" t="s">
        <v>9</v>
      </c>
      <c r="K1040" s="5">
        <v>15.1</v>
      </c>
      <c r="L1040" s="5" t="s">
        <v>192</v>
      </c>
      <c r="M1040" s="5">
        <v>1100</v>
      </c>
      <c r="N1040" s="5" t="s">
        <v>170</v>
      </c>
      <c r="O1040" s="6" t="s">
        <v>1499</v>
      </c>
      <c r="P1040" s="6" t="s">
        <v>1500</v>
      </c>
      <c r="Q1040" s="6"/>
      <c r="R1040" s="6"/>
      <c r="S1040" s="6">
        <v>15</v>
      </c>
      <c r="T1040" s="6">
        <v>3.64</v>
      </c>
      <c r="U1040" s="6">
        <v>6001</v>
      </c>
      <c r="V1040" s="6">
        <v>9.11</v>
      </c>
      <c r="W1040" s="6">
        <v>6001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7">
        <v>105</v>
      </c>
      <c r="AD1040" s="7" t="s">
        <v>52</v>
      </c>
      <c r="AE1040" s="7">
        <v>17.88</v>
      </c>
      <c r="AF1040" s="7">
        <v>124</v>
      </c>
      <c r="AG1040" s="7">
        <v>21.46</v>
      </c>
      <c r="AH1040" s="7">
        <v>46.94</v>
      </c>
      <c r="AI1040" s="7">
        <v>47.87</v>
      </c>
      <c r="AJ1040" s="9">
        <v>167.908356231993</v>
      </c>
      <c r="AK1040" s="9">
        <v>173.64256150729199</v>
      </c>
      <c r="AL1040" s="9">
        <v>222.39753594668801</v>
      </c>
      <c r="AM1040" s="9">
        <v>74.877291099084005</v>
      </c>
      <c r="AN1040" s="9">
        <v>0.71311705808651404</v>
      </c>
      <c r="AO1040" s="9">
        <v>0.52866693371514395</v>
      </c>
      <c r="AP1040" s="9">
        <v>723.99736639956802</v>
      </c>
      <c r="AQ1040" s="9">
        <v>6.8952130133292204</v>
      </c>
      <c r="AR1040" s="9">
        <v>5.9127362167067803</v>
      </c>
      <c r="AS1040" s="8" t="s">
        <v>169</v>
      </c>
      <c r="AT1040" s="8" t="s">
        <v>169</v>
      </c>
      <c r="AU1040" s="10" t="s">
        <v>169</v>
      </c>
      <c r="AV1040" s="10">
        <v>0</v>
      </c>
      <c r="AW1040" s="8"/>
      <c r="AX1040" s="10" t="s">
        <v>169</v>
      </c>
      <c r="AY1040" s="8"/>
      <c r="AZ1040" s="8"/>
      <c r="BA1040" s="8"/>
      <c r="BB1040" s="8"/>
      <c r="BC1040" s="8"/>
      <c r="BD1040" s="8"/>
      <c r="BE1040" s="8"/>
      <c r="BF1040" s="12">
        <v>0.44</v>
      </c>
      <c r="BG1040" s="13">
        <v>170.43064504714499</v>
      </c>
      <c r="BH1040" s="96" t="str">
        <f>+VLOOKUP(G1040,Liste!$A$7:$G$50,3,FALSE)</f>
        <v>Pin sylvestre</v>
      </c>
      <c r="BI1040" s="96" t="str">
        <f>+VLOOKUP(H1040,Liste!$B$7:$G$50,5,FALSE)</f>
        <v>GSM Alpes du Sud</v>
      </c>
      <c r="BJ1040" s="135">
        <f t="shared" si="320"/>
        <v>105</v>
      </c>
      <c r="BK1040" s="135" t="str">
        <f t="shared" si="322"/>
        <v>Pin sylvestre_F1_PS1_d3_GSM Alpes du Sud_105_</v>
      </c>
      <c r="BL1040" s="322"/>
      <c r="BM1040" s="13">
        <v>46.067636612064199</v>
      </c>
      <c r="BN1040" s="13">
        <v>216.498281659209</v>
      </c>
      <c r="BO1040" s="13" t="s">
        <v>169</v>
      </c>
      <c r="BP1040" s="13">
        <v>207.95936776930901</v>
      </c>
      <c r="BQ1040" s="13">
        <v>5.4722029901613896</v>
      </c>
      <c r="BT1040" s="298" t="str">
        <f>+VLOOKUP(G1040,Liste!$A$7:$H$50,8,FALSE)</f>
        <v>Résineux</v>
      </c>
      <c r="BU1040" s="298">
        <f t="shared" si="323"/>
        <v>0</v>
      </c>
      <c r="BV1040" s="300">
        <f t="shared" si="324"/>
        <v>1</v>
      </c>
      <c r="BW1040" s="321">
        <v>0</v>
      </c>
      <c r="BX1040" s="298">
        <f t="shared" si="325"/>
        <v>0.43</v>
      </c>
      <c r="BY1040">
        <f t="shared" si="326"/>
        <v>0</v>
      </c>
      <c r="BZ1040" s="304">
        <f t="shared" si="327"/>
        <v>0</v>
      </c>
      <c r="CB1040" s="299">
        <v>0.6</v>
      </c>
      <c r="CC1040" s="299">
        <v>0.4</v>
      </c>
      <c r="CD1040">
        <f t="shared" si="328"/>
        <v>0</v>
      </c>
      <c r="CE1040">
        <f t="shared" si="329"/>
        <v>0</v>
      </c>
      <c r="CF1040">
        <f t="shared" si="330"/>
        <v>0</v>
      </c>
      <c r="CG1040">
        <f t="shared" si="331"/>
        <v>0</v>
      </c>
      <c r="CH1040">
        <f t="shared" si="332"/>
        <v>0</v>
      </c>
      <c r="CI1040">
        <f t="shared" si="333"/>
        <v>0</v>
      </c>
      <c r="CJ1040">
        <f t="shared" si="334"/>
        <v>0</v>
      </c>
      <c r="CK1040">
        <f t="shared" si="335"/>
        <v>0</v>
      </c>
      <c r="CL1040">
        <f t="shared" si="336"/>
        <v>0</v>
      </c>
      <c r="CM1040">
        <f t="shared" si="338"/>
        <v>0</v>
      </c>
      <c r="CN1040">
        <f t="shared" si="337"/>
        <v>0</v>
      </c>
      <c r="CO1040">
        <f t="shared" si="321"/>
        <v>0</v>
      </c>
    </row>
    <row r="1041" spans="1:93" s="12" customFormat="1" x14ac:dyDescent="0.25">
      <c r="A1041" s="4">
        <v>2021</v>
      </c>
      <c r="B1041" s="318">
        <v>44279</v>
      </c>
      <c r="C1041" s="4" t="s">
        <v>1494</v>
      </c>
      <c r="D1041" s="4" t="s">
        <v>1495</v>
      </c>
      <c r="E1041" s="4"/>
      <c r="F1041" s="4" t="s">
        <v>1496</v>
      </c>
      <c r="G1041" s="5" t="s">
        <v>15</v>
      </c>
      <c r="H1041" s="5" t="s">
        <v>1498</v>
      </c>
      <c r="I1041" s="5" t="s">
        <v>1501</v>
      </c>
      <c r="J1041" s="5" t="s">
        <v>9</v>
      </c>
      <c r="K1041" s="5">
        <v>15.1</v>
      </c>
      <c r="L1041" s="5" t="s">
        <v>192</v>
      </c>
      <c r="M1041" s="5">
        <v>1100</v>
      </c>
      <c r="N1041" s="5" t="s">
        <v>170</v>
      </c>
      <c r="O1041" s="6" t="s">
        <v>1499</v>
      </c>
      <c r="P1041" s="6" t="s">
        <v>1500</v>
      </c>
      <c r="Q1041" s="6"/>
      <c r="R1041" s="6"/>
      <c r="S1041" s="6">
        <v>15</v>
      </c>
      <c r="T1041" s="6">
        <v>3.64</v>
      </c>
      <c r="U1041" s="6">
        <v>6001</v>
      </c>
      <c r="V1041" s="6">
        <v>9.11</v>
      </c>
      <c r="W1041" s="6">
        <v>6001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7">
        <v>110</v>
      </c>
      <c r="AD1041" s="7" t="s">
        <v>52</v>
      </c>
      <c r="AE1041" s="7">
        <v>17.95</v>
      </c>
      <c r="AF1041" s="7">
        <v>122</v>
      </c>
      <c r="AG1041" s="7">
        <v>23.76</v>
      </c>
      <c r="AH1041" s="7">
        <v>49.8</v>
      </c>
      <c r="AI1041" s="7">
        <v>50.75</v>
      </c>
      <c r="AJ1041" s="9">
        <v>186.17373678672999</v>
      </c>
      <c r="AK1041" s="9">
        <v>193.04716877901899</v>
      </c>
      <c r="AL1041" s="9">
        <v>248.538644696566</v>
      </c>
      <c r="AM1041" s="9">
        <v>77.520625767659695</v>
      </c>
      <c r="AN1041" s="9">
        <v>0.70473296152417897</v>
      </c>
      <c r="AO1041" s="7"/>
      <c r="AP1041" s="9">
        <v>753.56104748310202</v>
      </c>
      <c r="AQ1041" s="9">
        <v>6.8505549771191099</v>
      </c>
      <c r="AR1041" s="7"/>
      <c r="AS1041" s="8" t="s">
        <v>169</v>
      </c>
      <c r="AT1041" s="8" t="s">
        <v>169</v>
      </c>
      <c r="AU1041" s="10" t="s">
        <v>169</v>
      </c>
      <c r="AV1041" s="10">
        <v>0</v>
      </c>
      <c r="AW1041" s="8"/>
      <c r="AX1041" s="10" t="s">
        <v>169</v>
      </c>
      <c r="AY1041" s="8"/>
      <c r="AZ1041" s="8"/>
      <c r="BA1041" s="8"/>
      <c r="BB1041" s="8"/>
      <c r="BC1041" s="8"/>
      <c r="BD1041" s="8"/>
      <c r="BE1041" s="8"/>
      <c r="BF1041" s="12">
        <v>0.44</v>
      </c>
      <c r="BG1041" s="13">
        <v>190.46344805246801</v>
      </c>
      <c r="BH1041" s="96" t="str">
        <f>+VLOOKUP(G1041,Liste!$A$7:$G$50,3,FALSE)</f>
        <v>Pin sylvestre</v>
      </c>
      <c r="BI1041" s="96" t="str">
        <f>+VLOOKUP(H1041,Liste!$B$7:$G$50,5,FALSE)</f>
        <v>GSM Alpes du Sud</v>
      </c>
      <c r="BJ1041" s="135">
        <f t="shared" si="320"/>
        <v>110</v>
      </c>
      <c r="BK1041" s="135" t="str">
        <f t="shared" si="322"/>
        <v>Pin sylvestre_F1_PS1_d3_GSM Alpes du Sud_110_</v>
      </c>
      <c r="BL1041" s="322"/>
      <c r="BM1041" s="13">
        <v>50.82085446376</v>
      </c>
      <c r="BN1041" s="13">
        <v>241.284302516228</v>
      </c>
      <c r="BO1041" s="13" t="s">
        <v>169</v>
      </c>
      <c r="BP1041" s="13">
        <v>207.95936776930901</v>
      </c>
      <c r="BQ1041" s="13"/>
      <c r="BT1041" s="298" t="str">
        <f>+VLOOKUP(G1041,Liste!$A$7:$H$50,8,FALSE)</f>
        <v>Résineux</v>
      </c>
      <c r="BU1041" s="298">
        <f t="shared" si="323"/>
        <v>0</v>
      </c>
      <c r="BV1041" s="300">
        <f t="shared" si="324"/>
        <v>1</v>
      </c>
      <c r="BW1041" s="321">
        <v>0</v>
      </c>
      <c r="BX1041" s="298">
        <f t="shared" si="325"/>
        <v>0.43</v>
      </c>
      <c r="BY1041">
        <f t="shared" si="326"/>
        <v>0</v>
      </c>
      <c r="BZ1041" s="304">
        <f t="shared" si="327"/>
        <v>0</v>
      </c>
      <c r="CB1041" s="299">
        <v>0.6</v>
      </c>
      <c r="CC1041" s="299">
        <v>0.4</v>
      </c>
      <c r="CD1041">
        <f t="shared" si="328"/>
        <v>0</v>
      </c>
      <c r="CE1041">
        <f t="shared" si="329"/>
        <v>0</v>
      </c>
      <c r="CF1041">
        <f t="shared" si="330"/>
        <v>0</v>
      </c>
      <c r="CG1041">
        <f t="shared" si="331"/>
        <v>0</v>
      </c>
      <c r="CH1041">
        <f t="shared" si="332"/>
        <v>0</v>
      </c>
      <c r="CI1041">
        <f t="shared" si="333"/>
        <v>0</v>
      </c>
      <c r="CJ1041">
        <f t="shared" si="334"/>
        <v>0</v>
      </c>
      <c r="CK1041">
        <f t="shared" si="335"/>
        <v>0</v>
      </c>
      <c r="CL1041">
        <f t="shared" si="336"/>
        <v>0</v>
      </c>
      <c r="CM1041">
        <f t="shared" si="338"/>
        <v>0</v>
      </c>
      <c r="CN1041">
        <f t="shared" si="337"/>
        <v>0</v>
      </c>
      <c r="CO1041">
        <f t="shared" si="321"/>
        <v>0</v>
      </c>
    </row>
    <row r="1042" spans="1:93" s="12" customFormat="1" x14ac:dyDescent="0.25">
      <c r="A1042" s="4">
        <v>2021</v>
      </c>
      <c r="B1042" s="318">
        <v>44279</v>
      </c>
      <c r="C1042" s="4" t="s">
        <v>1494</v>
      </c>
      <c r="D1042" s="4" t="s">
        <v>1495</v>
      </c>
      <c r="E1042" s="4"/>
      <c r="F1042" s="4" t="s">
        <v>1496</v>
      </c>
      <c r="G1042" s="5" t="s">
        <v>15</v>
      </c>
      <c r="H1042" s="5" t="s">
        <v>1498</v>
      </c>
      <c r="I1042" s="5" t="s">
        <v>1501</v>
      </c>
      <c r="J1042" s="5" t="s">
        <v>9</v>
      </c>
      <c r="K1042" s="5">
        <v>15.1</v>
      </c>
      <c r="L1042" s="5" t="s">
        <v>192</v>
      </c>
      <c r="M1042" s="5">
        <v>1100</v>
      </c>
      <c r="N1042" s="5" t="s">
        <v>170</v>
      </c>
      <c r="O1042" s="6" t="s">
        <v>1499</v>
      </c>
      <c r="P1042" s="6" t="s">
        <v>1500</v>
      </c>
      <c r="Q1042" s="6"/>
      <c r="R1042" s="6"/>
      <c r="S1042" s="6">
        <v>15</v>
      </c>
      <c r="T1042" s="6">
        <v>3.64</v>
      </c>
      <c r="U1042" s="6">
        <v>6001</v>
      </c>
      <c r="V1042" s="6">
        <v>9.11</v>
      </c>
      <c r="W1042" s="6">
        <v>6001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7">
        <v>110</v>
      </c>
      <c r="AD1042" s="7" t="s">
        <v>53</v>
      </c>
      <c r="AE1042" s="7">
        <v>17.95</v>
      </c>
      <c r="AF1042" s="7">
        <v>0</v>
      </c>
      <c r="AG1042" s="7">
        <v>0</v>
      </c>
      <c r="AH1042" s="7">
        <v>0</v>
      </c>
      <c r="AI1042" s="7">
        <v>0</v>
      </c>
      <c r="AJ1042" s="9">
        <v>0</v>
      </c>
      <c r="AK1042" s="9">
        <v>0</v>
      </c>
      <c r="AL1042" s="9">
        <v>0</v>
      </c>
      <c r="AM1042" s="9">
        <v>77.520625767659695</v>
      </c>
      <c r="AN1042" s="9">
        <v>0.70473296152417897</v>
      </c>
      <c r="AO1042" s="7"/>
      <c r="AP1042" s="9">
        <v>753.56104748310202</v>
      </c>
      <c r="AQ1042" s="9">
        <v>6.8505549771191099</v>
      </c>
      <c r="AR1042" s="7"/>
      <c r="AS1042" s="8">
        <v>122</v>
      </c>
      <c r="AT1042" s="8">
        <v>23.76</v>
      </c>
      <c r="AU1042" s="10">
        <v>49.796447617478542</v>
      </c>
      <c r="AV1042" s="10">
        <v>186.17373678672999</v>
      </c>
      <c r="AW1042" s="8">
        <v>1</v>
      </c>
      <c r="AX1042" s="10">
        <v>1.5260142359568032</v>
      </c>
      <c r="AY1042" s="8"/>
      <c r="AZ1042" s="8"/>
      <c r="BA1042" s="8"/>
      <c r="BB1042" s="8"/>
      <c r="BC1042" s="8"/>
      <c r="BD1042" s="8"/>
      <c r="BE1042" s="8"/>
      <c r="BF1042" s="12">
        <v>0.44</v>
      </c>
      <c r="BG1042" s="13">
        <v>0</v>
      </c>
      <c r="BH1042" s="96" t="str">
        <f>+VLOOKUP(G1042,Liste!$A$7:$G$50,3,FALSE)</f>
        <v>Pin sylvestre</v>
      </c>
      <c r="BI1042" s="96" t="str">
        <f>+VLOOKUP(H1042,Liste!$B$7:$G$50,5,FALSE)</f>
        <v>GSM Alpes du Sud</v>
      </c>
      <c r="BJ1042" s="135">
        <f t="shared" si="320"/>
        <v>110</v>
      </c>
      <c r="BK1042" s="135" t="str">
        <f t="shared" si="322"/>
        <v>Pin sylvestre_F1_PS1_d3_GSM Alpes du Sud_110_</v>
      </c>
      <c r="BL1042" s="322"/>
      <c r="BM1042" s="13">
        <v>0</v>
      </c>
      <c r="BN1042" s="13">
        <v>0</v>
      </c>
      <c r="BO1042" s="13">
        <v>241.284302516228</v>
      </c>
      <c r="BP1042" s="13">
        <v>207.95936776930901</v>
      </c>
      <c r="BQ1042" s="13"/>
      <c r="BT1042" s="298" t="str">
        <f>+VLOOKUP(G1042,Liste!$A$7:$H$50,8,FALSE)</f>
        <v>Résineux</v>
      </c>
      <c r="BU1042" s="298">
        <f t="shared" si="323"/>
        <v>0</v>
      </c>
      <c r="BV1042" s="300">
        <f t="shared" si="324"/>
        <v>1</v>
      </c>
      <c r="BW1042" s="321">
        <v>0</v>
      </c>
      <c r="BX1042" s="298">
        <f t="shared" si="325"/>
        <v>0.43</v>
      </c>
      <c r="BY1042">
        <f t="shared" si="326"/>
        <v>0</v>
      </c>
      <c r="BZ1042" s="304">
        <f t="shared" si="327"/>
        <v>0</v>
      </c>
      <c r="CB1042" s="299">
        <v>0.6</v>
      </c>
      <c r="CC1042" s="299">
        <v>0.4</v>
      </c>
      <c r="CD1042">
        <f t="shared" si="328"/>
        <v>0</v>
      </c>
      <c r="CE1042">
        <f t="shared" si="329"/>
        <v>0</v>
      </c>
      <c r="CF1042">
        <f t="shared" si="330"/>
        <v>0</v>
      </c>
      <c r="CG1042">
        <f t="shared" si="331"/>
        <v>0</v>
      </c>
      <c r="CH1042">
        <f t="shared" si="332"/>
        <v>0</v>
      </c>
      <c r="CI1042">
        <f t="shared" si="333"/>
        <v>0</v>
      </c>
      <c r="CJ1042">
        <f t="shared" si="334"/>
        <v>0</v>
      </c>
      <c r="CK1042">
        <f t="shared" si="335"/>
        <v>0</v>
      </c>
      <c r="CL1042">
        <f t="shared" si="336"/>
        <v>0</v>
      </c>
      <c r="CM1042">
        <f t="shared" si="338"/>
        <v>0</v>
      </c>
      <c r="CN1042">
        <f t="shared" si="337"/>
        <v>0</v>
      </c>
      <c r="CO1042">
        <f t="shared" si="321"/>
        <v>0</v>
      </c>
    </row>
    <row r="1043" spans="1:93" s="12" customFormat="1" x14ac:dyDescent="0.25">
      <c r="A1043" s="4">
        <v>2021</v>
      </c>
      <c r="B1043" s="318">
        <v>44279</v>
      </c>
      <c r="C1043" s="4" t="s">
        <v>1494</v>
      </c>
      <c r="D1043" s="4" t="s">
        <v>1495</v>
      </c>
      <c r="E1043" s="4"/>
      <c r="F1043" s="4" t="s">
        <v>1496</v>
      </c>
      <c r="G1043" s="5" t="s">
        <v>15</v>
      </c>
      <c r="H1043" s="5" t="s">
        <v>1498</v>
      </c>
      <c r="I1043" s="5" t="s">
        <v>1502</v>
      </c>
      <c r="J1043" s="5" t="s">
        <v>10</v>
      </c>
      <c r="K1043" s="5">
        <v>11</v>
      </c>
      <c r="L1043" s="5" t="s">
        <v>1503</v>
      </c>
      <c r="M1043" s="5">
        <v>1100</v>
      </c>
      <c r="N1043" s="5" t="s">
        <v>170</v>
      </c>
      <c r="O1043" s="6" t="s">
        <v>1499</v>
      </c>
      <c r="P1043" s="6" t="s">
        <v>1500</v>
      </c>
      <c r="Q1043" s="6"/>
      <c r="R1043" s="6"/>
      <c r="S1043" s="6">
        <v>20</v>
      </c>
      <c r="T1043" s="6">
        <v>4.46</v>
      </c>
      <c r="U1043" s="6">
        <v>6000</v>
      </c>
      <c r="V1043" s="6">
        <v>7.1</v>
      </c>
      <c r="W1043" s="6">
        <v>6000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7">
        <v>30</v>
      </c>
      <c r="AD1043" s="7" t="s">
        <v>52</v>
      </c>
      <c r="AE1043" s="7">
        <v>7.67</v>
      </c>
      <c r="AF1043" s="7">
        <v>1096</v>
      </c>
      <c r="AG1043" s="7">
        <v>8.85</v>
      </c>
      <c r="AH1043" s="7">
        <v>10.14</v>
      </c>
      <c r="AI1043" s="7">
        <v>11.52</v>
      </c>
      <c r="AJ1043" s="9">
        <v>30.934683761287399</v>
      </c>
      <c r="AK1043" s="9">
        <v>31.004755837233901</v>
      </c>
      <c r="AL1043" s="9">
        <v>50.767416868035099</v>
      </c>
      <c r="AM1043" s="9">
        <v>8.8736817488260495</v>
      </c>
      <c r="AN1043" s="9">
        <v>1.69573873258661</v>
      </c>
      <c r="AO1043" s="9">
        <v>0.92435306684163898</v>
      </c>
      <c r="AP1043" s="9">
        <v>50.872161977598303</v>
      </c>
      <c r="AQ1043" s="9">
        <v>1.7165591912898499</v>
      </c>
      <c r="AR1043" s="9">
        <v>6.5529091647311102</v>
      </c>
      <c r="AS1043" s="8"/>
      <c r="AT1043" s="8"/>
      <c r="AU1043" s="8"/>
      <c r="AV1043" s="10">
        <v>0</v>
      </c>
      <c r="AW1043" s="8"/>
      <c r="AX1043" s="8"/>
      <c r="AY1043" s="8"/>
      <c r="AZ1043" s="8"/>
      <c r="BA1043" s="8"/>
      <c r="BB1043" s="8"/>
      <c r="BC1043" s="8"/>
      <c r="BD1043" s="8"/>
      <c r="BE1043" s="8"/>
      <c r="BF1043" s="12">
        <v>0.44</v>
      </c>
      <c r="BG1043" s="13">
        <v>38.904763793204303</v>
      </c>
      <c r="BH1043" s="96" t="str">
        <f>+VLOOKUP(G1043,Liste!$A$7:$G$50,3,FALSE)</f>
        <v>Pin sylvestre</v>
      </c>
      <c r="BI1043" s="96" t="str">
        <f>+VLOOKUP(H1043,Liste!$B$7:$G$50,5,FALSE)</f>
        <v>GSM Alpes du Sud</v>
      </c>
      <c r="BJ1043" s="135">
        <f t="shared" si="320"/>
        <v>30</v>
      </c>
      <c r="BK1043" s="135" t="str">
        <f t="shared" si="322"/>
        <v>Pin sylvestre_F2_PS2_d2_GSM Alpes du Sud_30_</v>
      </c>
      <c r="BL1043" s="322"/>
      <c r="BM1043" s="13">
        <v>12.4889766746146</v>
      </c>
      <c r="BN1043" s="13">
        <v>51.393740467818802</v>
      </c>
      <c r="BP1043" s="13">
        <v>133.567642172782</v>
      </c>
      <c r="BQ1043" s="13">
        <v>6.4020461778964597</v>
      </c>
      <c r="BT1043" s="298" t="str">
        <f>+VLOOKUP(G1043,Liste!$A$7:$H$50,8,FALSE)</f>
        <v>Résineux</v>
      </c>
      <c r="BU1043" s="298">
        <f t="shared" si="323"/>
        <v>0</v>
      </c>
      <c r="BV1043" s="300">
        <f t="shared" si="324"/>
        <v>1</v>
      </c>
      <c r="BW1043" s="321">
        <v>0</v>
      </c>
      <c r="BX1043" s="298">
        <f t="shared" si="325"/>
        <v>0.43</v>
      </c>
      <c r="BY1043">
        <f t="shared" si="326"/>
        <v>0</v>
      </c>
      <c r="BZ1043" s="304">
        <f t="shared" si="327"/>
        <v>0</v>
      </c>
      <c r="CB1043" s="299">
        <v>0.6</v>
      </c>
      <c r="CC1043" s="299">
        <v>0.4</v>
      </c>
      <c r="CD1043">
        <f t="shared" si="328"/>
        <v>0</v>
      </c>
      <c r="CE1043">
        <f t="shared" si="329"/>
        <v>0</v>
      </c>
      <c r="CF1043">
        <f t="shared" si="330"/>
        <v>0</v>
      </c>
      <c r="CG1043">
        <f t="shared" si="331"/>
        <v>0</v>
      </c>
      <c r="CH1043">
        <f t="shared" si="332"/>
        <v>0</v>
      </c>
      <c r="CI1043">
        <f t="shared" si="333"/>
        <v>0</v>
      </c>
      <c r="CJ1043">
        <f t="shared" si="334"/>
        <v>0</v>
      </c>
      <c r="CK1043">
        <f t="shared" si="335"/>
        <v>0</v>
      </c>
      <c r="CL1043">
        <f t="shared" si="336"/>
        <v>0</v>
      </c>
      <c r="CM1043">
        <f t="shared" si="338"/>
        <v>0</v>
      </c>
      <c r="CN1043">
        <f t="shared" si="337"/>
        <v>0</v>
      </c>
      <c r="CO1043">
        <f t="shared" si="321"/>
        <v>0</v>
      </c>
    </row>
    <row r="1044" spans="1:93" s="12" customFormat="1" x14ac:dyDescent="0.25">
      <c r="A1044" s="4">
        <v>2021</v>
      </c>
      <c r="B1044" s="318">
        <v>44279</v>
      </c>
      <c r="C1044" s="4" t="s">
        <v>1494</v>
      </c>
      <c r="D1044" s="4" t="s">
        <v>1495</v>
      </c>
      <c r="E1044" s="4"/>
      <c r="F1044" s="4" t="s">
        <v>1496</v>
      </c>
      <c r="G1044" s="5" t="s">
        <v>15</v>
      </c>
      <c r="H1044" s="5" t="s">
        <v>1498</v>
      </c>
      <c r="I1044" s="5" t="s">
        <v>1502</v>
      </c>
      <c r="J1044" s="5" t="s">
        <v>10</v>
      </c>
      <c r="K1044" s="5">
        <v>11</v>
      </c>
      <c r="L1044" s="5" t="s">
        <v>1503</v>
      </c>
      <c r="M1044" s="5">
        <v>1100</v>
      </c>
      <c r="N1044" s="5" t="s">
        <v>170</v>
      </c>
      <c r="O1044" s="6" t="s">
        <v>1499</v>
      </c>
      <c r="P1044" s="6" t="s">
        <v>1500</v>
      </c>
      <c r="Q1044" s="6"/>
      <c r="R1044" s="6"/>
      <c r="S1044" s="6">
        <v>20</v>
      </c>
      <c r="T1044" s="6">
        <v>4.46</v>
      </c>
      <c r="U1044" s="6">
        <v>6000</v>
      </c>
      <c r="V1044" s="6">
        <v>7.1</v>
      </c>
      <c r="W1044" s="6">
        <v>6000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7">
        <v>35</v>
      </c>
      <c r="AD1044" s="7" t="str">
        <f>IF(AC1043=AC1044,"ap","av")</f>
        <v>av</v>
      </c>
      <c r="AE1044" s="7">
        <v>8.84</v>
      </c>
      <c r="AF1044" s="7">
        <v>1085</v>
      </c>
      <c r="AG1044" s="7">
        <v>13.38</v>
      </c>
      <c r="AH1044" s="7">
        <v>12.53</v>
      </c>
      <c r="AI1044" s="7">
        <v>14.5</v>
      </c>
      <c r="AJ1044" s="9">
        <v>55.187479510779497</v>
      </c>
      <c r="AK1044" s="9">
        <v>55.586591748605997</v>
      </c>
      <c r="AL1044" s="9">
        <v>82.985210504450095</v>
      </c>
      <c r="AM1044" s="9">
        <v>13.4954470830342</v>
      </c>
      <c r="AN1044" s="9">
        <v>2.3896202228929702</v>
      </c>
      <c r="AO1044" s="9">
        <v>0.84293414576849302</v>
      </c>
      <c r="AP1044" s="9">
        <v>83.636707801253806</v>
      </c>
      <c r="AQ1044" s="9">
        <v>2.3859144750907899</v>
      </c>
      <c r="AR1044" s="9">
        <v>6.5358758235117396</v>
      </c>
      <c r="AS1044" s="8" t="s">
        <v>169</v>
      </c>
      <c r="AT1044" s="8" t="s">
        <v>169</v>
      </c>
      <c r="AU1044" s="8" t="s">
        <v>169</v>
      </c>
      <c r="AV1044" s="10">
        <v>0</v>
      </c>
      <c r="AW1044" s="8" t="s">
        <v>169</v>
      </c>
      <c r="AX1044" s="8" t="s">
        <v>169</v>
      </c>
      <c r="AY1044" s="8"/>
      <c r="AZ1044" s="8"/>
      <c r="BA1044" s="8"/>
      <c r="BB1044" s="8"/>
      <c r="BC1044" s="8"/>
      <c r="BD1044" s="8"/>
      <c r="BE1044" s="8"/>
      <c r="BF1044" s="12">
        <v>0.44</v>
      </c>
      <c r="BG1044" s="13">
        <v>63.594332983243604</v>
      </c>
      <c r="BH1044" s="96" t="str">
        <f>+VLOOKUP(G1044,Liste!$A$7:$G$50,3,FALSE)</f>
        <v>Pin sylvestre</v>
      </c>
      <c r="BI1044" s="96" t="str">
        <f>+VLOOKUP(H1044,Liste!$B$7:$G$50,5,FALSE)</f>
        <v>GSM Alpes du Sud</v>
      </c>
      <c r="BJ1044" s="135">
        <f t="shared" si="320"/>
        <v>35</v>
      </c>
      <c r="BK1044" s="135" t="str">
        <f t="shared" si="322"/>
        <v>Pin sylvestre_F2_PS2_d2_GSM Alpes du Sud_35_</v>
      </c>
      <c r="BL1044" s="322"/>
      <c r="BM1044" s="13">
        <v>19.279728258976299</v>
      </c>
      <c r="BN1044" s="13">
        <v>82.874061242219895</v>
      </c>
      <c r="BO1044" s="12" t="s">
        <v>169</v>
      </c>
      <c r="BP1044" s="13">
        <v>133.567642172782</v>
      </c>
      <c r="BQ1044" s="13">
        <v>6.3223611318561899</v>
      </c>
      <c r="BT1044" s="298" t="str">
        <f>+VLOOKUP(G1044,Liste!$A$7:$H$50,8,FALSE)</f>
        <v>Résineux</v>
      </c>
      <c r="BU1044" s="298">
        <f t="shared" si="323"/>
        <v>0</v>
      </c>
      <c r="BV1044" s="300">
        <f t="shared" si="324"/>
        <v>1</v>
      </c>
      <c r="BW1044" s="321">
        <v>0</v>
      </c>
      <c r="BX1044" s="298">
        <f t="shared" si="325"/>
        <v>0.43</v>
      </c>
      <c r="BY1044">
        <f t="shared" si="326"/>
        <v>0</v>
      </c>
      <c r="BZ1044" s="304">
        <f t="shared" si="327"/>
        <v>0</v>
      </c>
      <c r="CB1044" s="299">
        <v>0.6</v>
      </c>
      <c r="CC1044" s="299">
        <v>0.4</v>
      </c>
      <c r="CD1044">
        <f t="shared" si="328"/>
        <v>0</v>
      </c>
      <c r="CE1044">
        <f t="shared" si="329"/>
        <v>0</v>
      </c>
      <c r="CF1044">
        <f t="shared" si="330"/>
        <v>0</v>
      </c>
      <c r="CG1044">
        <f t="shared" si="331"/>
        <v>0</v>
      </c>
      <c r="CH1044">
        <f t="shared" si="332"/>
        <v>0</v>
      </c>
      <c r="CI1044">
        <f t="shared" si="333"/>
        <v>0</v>
      </c>
      <c r="CJ1044">
        <f t="shared" si="334"/>
        <v>0</v>
      </c>
      <c r="CK1044">
        <f t="shared" si="335"/>
        <v>0</v>
      </c>
      <c r="CL1044">
        <f t="shared" si="336"/>
        <v>0</v>
      </c>
      <c r="CM1044">
        <f t="shared" si="338"/>
        <v>0</v>
      </c>
      <c r="CN1044">
        <f t="shared" si="337"/>
        <v>0</v>
      </c>
      <c r="CO1044">
        <f t="shared" si="321"/>
        <v>0</v>
      </c>
    </row>
    <row r="1045" spans="1:93" s="12" customFormat="1" x14ac:dyDescent="0.25">
      <c r="A1045" s="4">
        <v>2021</v>
      </c>
      <c r="B1045" s="318">
        <v>44279</v>
      </c>
      <c r="C1045" s="4" t="s">
        <v>1494</v>
      </c>
      <c r="D1045" s="4" t="s">
        <v>1495</v>
      </c>
      <c r="E1045" s="4"/>
      <c r="F1045" s="4" t="s">
        <v>1496</v>
      </c>
      <c r="G1045" s="5" t="s">
        <v>15</v>
      </c>
      <c r="H1045" s="5" t="s">
        <v>1498</v>
      </c>
      <c r="I1045" s="5" t="s">
        <v>1502</v>
      </c>
      <c r="J1045" s="5" t="s">
        <v>10</v>
      </c>
      <c r="K1045" s="5">
        <v>11</v>
      </c>
      <c r="L1045" s="5" t="s">
        <v>1503</v>
      </c>
      <c r="M1045" s="5">
        <v>1100</v>
      </c>
      <c r="N1045" s="5" t="s">
        <v>170</v>
      </c>
      <c r="O1045" s="6" t="s">
        <v>1499</v>
      </c>
      <c r="P1045" s="6" t="s">
        <v>1500</v>
      </c>
      <c r="Q1045" s="6"/>
      <c r="R1045" s="6"/>
      <c r="S1045" s="6">
        <v>20</v>
      </c>
      <c r="T1045" s="6">
        <v>4.46</v>
      </c>
      <c r="U1045" s="6">
        <v>6000</v>
      </c>
      <c r="V1045" s="6">
        <v>7.1</v>
      </c>
      <c r="W1045" s="6">
        <v>6000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7">
        <v>40</v>
      </c>
      <c r="AD1045" s="7" t="str">
        <f t="shared" ref="AD1045:AD1064" si="339">IF(AC1044=AC1045,"ap","av")</f>
        <v>av</v>
      </c>
      <c r="AE1045" s="7">
        <v>9.7200000000000006</v>
      </c>
      <c r="AF1045" s="7">
        <v>1069</v>
      </c>
      <c r="AG1045" s="7">
        <v>17.399999999999999</v>
      </c>
      <c r="AH1045" s="7">
        <v>14.39</v>
      </c>
      <c r="AI1045" s="7">
        <v>16.850000000000001</v>
      </c>
      <c r="AJ1045" s="9">
        <v>79.235901412632501</v>
      </c>
      <c r="AK1045" s="9">
        <v>80.038032397603899</v>
      </c>
      <c r="AL1045" s="9">
        <v>114.438460133669</v>
      </c>
      <c r="AM1045" s="9">
        <v>17.7101178118767</v>
      </c>
      <c r="AN1045" s="9">
        <v>2.9079021729703101</v>
      </c>
      <c r="AO1045" s="9">
        <v>0.78964857175334402</v>
      </c>
      <c r="AP1045" s="9">
        <v>116.316086918813</v>
      </c>
      <c r="AQ1045" s="9">
        <v>2.87797030718647</v>
      </c>
      <c r="AR1045" s="9">
        <v>6.4493895365231397</v>
      </c>
      <c r="AS1045" s="8" t="s">
        <v>169</v>
      </c>
      <c r="AT1045" s="8" t="s">
        <v>169</v>
      </c>
      <c r="AU1045" s="8" t="s">
        <v>169</v>
      </c>
      <c r="AV1045" s="10">
        <v>0</v>
      </c>
      <c r="AW1045" s="8" t="s">
        <v>169</v>
      </c>
      <c r="AX1045" s="8" t="s">
        <v>169</v>
      </c>
      <c r="AY1045" s="8"/>
      <c r="AZ1045" s="8"/>
      <c r="BA1045" s="8"/>
      <c r="BB1045" s="8"/>
      <c r="BC1045" s="8"/>
      <c r="BD1045" s="8"/>
      <c r="BE1045" s="8"/>
      <c r="BF1045" s="12">
        <v>0.44</v>
      </c>
      <c r="BG1045" s="13">
        <v>87.698006615768307</v>
      </c>
      <c r="BH1045" s="96" t="str">
        <f>+VLOOKUP(G1045,Liste!$A$7:$G$50,3,FALSE)</f>
        <v>Pin sylvestre</v>
      </c>
      <c r="BI1045" s="96" t="str">
        <f>+VLOOKUP(H1045,Liste!$B$7:$G$50,5,FALSE)</f>
        <v>GSM Alpes du Sud</v>
      </c>
      <c r="BJ1045" s="135">
        <f t="shared" si="320"/>
        <v>40</v>
      </c>
      <c r="BK1045" s="135" t="str">
        <f t="shared" si="322"/>
        <v>Pin sylvestre_F2_PS2_d2_GSM Alpes du Sud_40_</v>
      </c>
      <c r="BL1045" s="322"/>
      <c r="BM1045" s="13">
        <v>25.610975095294702</v>
      </c>
      <c r="BN1045" s="13">
        <v>113.308981711063</v>
      </c>
      <c r="BO1045" s="12" t="s">
        <v>169</v>
      </c>
      <c r="BP1045" s="13">
        <v>133.567642172782</v>
      </c>
      <c r="BQ1045" s="13">
        <v>6.1966301713038696</v>
      </c>
      <c r="BT1045" s="298" t="str">
        <f>+VLOOKUP(G1045,Liste!$A$7:$H$50,8,FALSE)</f>
        <v>Résineux</v>
      </c>
      <c r="BU1045" s="298">
        <f t="shared" si="323"/>
        <v>0</v>
      </c>
      <c r="BV1045" s="300">
        <f t="shared" si="324"/>
        <v>1</v>
      </c>
      <c r="BW1045" s="321">
        <v>0</v>
      </c>
      <c r="BX1045" s="298">
        <f t="shared" si="325"/>
        <v>0.43</v>
      </c>
      <c r="BY1045">
        <f t="shared" si="326"/>
        <v>0</v>
      </c>
      <c r="BZ1045" s="304">
        <f t="shared" si="327"/>
        <v>0</v>
      </c>
      <c r="CB1045" s="299">
        <v>0.6</v>
      </c>
      <c r="CC1045" s="299">
        <v>0.4</v>
      </c>
      <c r="CD1045">
        <f t="shared" si="328"/>
        <v>0</v>
      </c>
      <c r="CE1045">
        <f t="shared" si="329"/>
        <v>0</v>
      </c>
      <c r="CF1045">
        <f t="shared" si="330"/>
        <v>0</v>
      </c>
      <c r="CG1045">
        <f t="shared" si="331"/>
        <v>0</v>
      </c>
      <c r="CH1045">
        <f t="shared" si="332"/>
        <v>0</v>
      </c>
      <c r="CI1045">
        <f t="shared" si="333"/>
        <v>0</v>
      </c>
      <c r="CJ1045">
        <f t="shared" si="334"/>
        <v>0</v>
      </c>
      <c r="CK1045">
        <f t="shared" si="335"/>
        <v>0</v>
      </c>
      <c r="CL1045">
        <f t="shared" si="336"/>
        <v>0</v>
      </c>
      <c r="CM1045">
        <f t="shared" si="338"/>
        <v>0</v>
      </c>
      <c r="CN1045">
        <f t="shared" si="337"/>
        <v>0</v>
      </c>
      <c r="CO1045">
        <f t="shared" si="321"/>
        <v>0</v>
      </c>
    </row>
    <row r="1046" spans="1:93" s="12" customFormat="1" x14ac:dyDescent="0.25">
      <c r="A1046" s="4">
        <v>2021</v>
      </c>
      <c r="B1046" s="318">
        <v>44279</v>
      </c>
      <c r="C1046" s="4" t="s">
        <v>1494</v>
      </c>
      <c r="D1046" s="4" t="s">
        <v>1495</v>
      </c>
      <c r="E1046" s="4"/>
      <c r="F1046" s="4" t="s">
        <v>1496</v>
      </c>
      <c r="G1046" s="5" t="s">
        <v>15</v>
      </c>
      <c r="H1046" s="5" t="s">
        <v>1498</v>
      </c>
      <c r="I1046" s="5" t="s">
        <v>1502</v>
      </c>
      <c r="J1046" s="5" t="s">
        <v>10</v>
      </c>
      <c r="K1046" s="5">
        <v>11</v>
      </c>
      <c r="L1046" s="5" t="s">
        <v>1503</v>
      </c>
      <c r="M1046" s="5">
        <v>1100</v>
      </c>
      <c r="N1046" s="5" t="s">
        <v>170</v>
      </c>
      <c r="O1046" s="6" t="s">
        <v>1499</v>
      </c>
      <c r="P1046" s="6" t="s">
        <v>1500</v>
      </c>
      <c r="Q1046" s="6"/>
      <c r="R1046" s="6"/>
      <c r="S1046" s="6">
        <v>20</v>
      </c>
      <c r="T1046" s="6">
        <v>4.46</v>
      </c>
      <c r="U1046" s="6">
        <v>6000</v>
      </c>
      <c r="V1046" s="6">
        <v>7.1</v>
      </c>
      <c r="W1046" s="6">
        <v>6000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7">
        <v>45</v>
      </c>
      <c r="AD1046" s="7" t="str">
        <f t="shared" si="339"/>
        <v>av</v>
      </c>
      <c r="AE1046" s="7">
        <v>10.43</v>
      </c>
      <c r="AF1046" s="7">
        <v>1057</v>
      </c>
      <c r="AG1046" s="7">
        <v>21.16</v>
      </c>
      <c r="AH1046" s="7">
        <v>15.96</v>
      </c>
      <c r="AI1046" s="7">
        <v>18.89</v>
      </c>
      <c r="AJ1046" s="9">
        <v>103.56640497876499</v>
      </c>
      <c r="AK1046" s="9">
        <v>104.786101826623</v>
      </c>
      <c r="AL1046" s="9">
        <v>145.477210753441</v>
      </c>
      <c r="AM1046" s="9">
        <v>21.6583606706434</v>
      </c>
      <c r="AN1046" s="9">
        <v>3.3014007689206299</v>
      </c>
      <c r="AO1046" s="9">
        <v>0.72329721285208504</v>
      </c>
      <c r="AP1046" s="9">
        <v>148.563034601428</v>
      </c>
      <c r="AQ1046" s="9">
        <v>3.2467102920883999</v>
      </c>
      <c r="AR1046" s="9">
        <v>6.1363347710276503</v>
      </c>
      <c r="AS1046" s="8" t="s">
        <v>169</v>
      </c>
      <c r="AT1046" s="8" t="s">
        <v>169</v>
      </c>
      <c r="AU1046" s="8" t="s">
        <v>169</v>
      </c>
      <c r="AV1046" s="10">
        <v>0</v>
      </c>
      <c r="AW1046" s="8" t="s">
        <v>169</v>
      </c>
      <c r="AX1046" s="8" t="s">
        <v>169</v>
      </c>
      <c r="AY1046" s="8"/>
      <c r="AZ1046" s="8"/>
      <c r="BA1046" s="8"/>
      <c r="BB1046" s="8"/>
      <c r="BC1046" s="8"/>
      <c r="BD1046" s="8"/>
      <c r="BE1046" s="8"/>
      <c r="BF1046" s="12">
        <v>0.44</v>
      </c>
      <c r="BG1046" s="13">
        <v>111.48403584072</v>
      </c>
      <c r="BH1046" s="96" t="str">
        <f>+VLOOKUP(G1046,Liste!$A$7:$G$50,3,FALSE)</f>
        <v>Pin sylvestre</v>
      </c>
      <c r="BI1046" s="96" t="str">
        <f>+VLOOKUP(H1046,Liste!$B$7:$G$50,5,FALSE)</f>
        <v>GSM Alpes du Sud</v>
      </c>
      <c r="BJ1046" s="135">
        <f t="shared" si="320"/>
        <v>45</v>
      </c>
      <c r="BK1046" s="135" t="str">
        <f t="shared" si="322"/>
        <v>Pin sylvestre_F2_PS2_d2_GSM Alpes du Sud_45_</v>
      </c>
      <c r="BL1046" s="322"/>
      <c r="BM1046" s="13">
        <v>31.660481947533601</v>
      </c>
      <c r="BN1046" s="13">
        <v>143.14451778825401</v>
      </c>
      <c r="BO1046" s="12" t="s">
        <v>169</v>
      </c>
      <c r="BP1046" s="13">
        <v>133.567642172782</v>
      </c>
      <c r="BQ1046" s="13">
        <v>5.8664460073468696</v>
      </c>
      <c r="BT1046" s="298" t="str">
        <f>+VLOOKUP(G1046,Liste!$A$7:$H$50,8,FALSE)</f>
        <v>Résineux</v>
      </c>
      <c r="BU1046" s="298">
        <f t="shared" si="323"/>
        <v>0</v>
      </c>
      <c r="BV1046" s="300">
        <f t="shared" si="324"/>
        <v>1</v>
      </c>
      <c r="BW1046" s="321">
        <v>0</v>
      </c>
      <c r="BX1046" s="298">
        <f t="shared" si="325"/>
        <v>0.43</v>
      </c>
      <c r="BY1046">
        <f t="shared" si="326"/>
        <v>0</v>
      </c>
      <c r="BZ1046" s="304">
        <f t="shared" si="327"/>
        <v>0</v>
      </c>
      <c r="CB1046" s="299">
        <v>0.6</v>
      </c>
      <c r="CC1046" s="299">
        <v>0.4</v>
      </c>
      <c r="CD1046">
        <f t="shared" si="328"/>
        <v>0</v>
      </c>
      <c r="CE1046">
        <f t="shared" si="329"/>
        <v>0</v>
      </c>
      <c r="CF1046">
        <f t="shared" si="330"/>
        <v>0</v>
      </c>
      <c r="CG1046">
        <f t="shared" si="331"/>
        <v>0</v>
      </c>
      <c r="CH1046">
        <f t="shared" si="332"/>
        <v>0</v>
      </c>
      <c r="CI1046">
        <f t="shared" si="333"/>
        <v>0</v>
      </c>
      <c r="CJ1046">
        <f t="shared" si="334"/>
        <v>0</v>
      </c>
      <c r="CK1046">
        <f t="shared" si="335"/>
        <v>0</v>
      </c>
      <c r="CL1046">
        <f t="shared" si="336"/>
        <v>0</v>
      </c>
      <c r="CM1046">
        <f t="shared" si="338"/>
        <v>0</v>
      </c>
      <c r="CN1046">
        <f t="shared" si="337"/>
        <v>0</v>
      </c>
      <c r="CO1046">
        <f t="shared" si="321"/>
        <v>0</v>
      </c>
    </row>
    <row r="1047" spans="1:93" s="12" customFormat="1" x14ac:dyDescent="0.25">
      <c r="A1047" s="4">
        <v>2021</v>
      </c>
      <c r="B1047" s="318">
        <v>44279</v>
      </c>
      <c r="C1047" s="4" t="s">
        <v>1494</v>
      </c>
      <c r="D1047" s="4" t="s">
        <v>1495</v>
      </c>
      <c r="E1047" s="4"/>
      <c r="F1047" s="4" t="s">
        <v>1496</v>
      </c>
      <c r="G1047" s="5" t="s">
        <v>15</v>
      </c>
      <c r="H1047" s="5" t="s">
        <v>1498</v>
      </c>
      <c r="I1047" s="5" t="s">
        <v>1502</v>
      </c>
      <c r="J1047" s="5" t="s">
        <v>10</v>
      </c>
      <c r="K1047" s="5">
        <v>11</v>
      </c>
      <c r="L1047" s="5" t="s">
        <v>1503</v>
      </c>
      <c r="M1047" s="5">
        <v>1100</v>
      </c>
      <c r="N1047" s="5" t="s">
        <v>170</v>
      </c>
      <c r="O1047" s="6" t="s">
        <v>1499</v>
      </c>
      <c r="P1047" s="6" t="s">
        <v>1500</v>
      </c>
      <c r="Q1047" s="6"/>
      <c r="R1047" s="6"/>
      <c r="S1047" s="6">
        <v>20</v>
      </c>
      <c r="T1047" s="6">
        <v>4.46</v>
      </c>
      <c r="U1047" s="6">
        <v>6000</v>
      </c>
      <c r="V1047" s="6">
        <v>7.1</v>
      </c>
      <c r="W1047" s="6">
        <v>6000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7">
        <v>50</v>
      </c>
      <c r="AD1047" s="7" t="str">
        <f t="shared" si="339"/>
        <v>av</v>
      </c>
      <c r="AE1047" s="7">
        <v>11.03</v>
      </c>
      <c r="AF1047" s="7">
        <v>1045</v>
      </c>
      <c r="AG1047" s="7">
        <v>24.56</v>
      </c>
      <c r="AH1047" s="7">
        <v>17.3</v>
      </c>
      <c r="AI1047" s="7">
        <v>20.69</v>
      </c>
      <c r="AJ1047" s="9">
        <v>126.297336526154</v>
      </c>
      <c r="AK1047" s="9">
        <v>127.96567999786799</v>
      </c>
      <c r="AL1047" s="9">
        <v>174.67580459155101</v>
      </c>
      <c r="AM1047" s="9">
        <v>25.2748467349039</v>
      </c>
      <c r="AN1047" s="9">
        <v>3.5848941691313301</v>
      </c>
      <c r="AO1047" s="9">
        <v>0.69167797500601602</v>
      </c>
      <c r="AP1047" s="9">
        <v>179.244708456566</v>
      </c>
      <c r="AQ1047" s="9">
        <v>3.5086838636142499</v>
      </c>
      <c r="AR1047" s="9">
        <v>5.9649169087301903</v>
      </c>
      <c r="AS1047" s="8" t="s">
        <v>169</v>
      </c>
      <c r="AT1047" s="8" t="s">
        <v>169</v>
      </c>
      <c r="AU1047" s="8" t="s">
        <v>169</v>
      </c>
      <c r="AV1047" s="10">
        <v>0</v>
      </c>
      <c r="AW1047" s="8" t="s">
        <v>169</v>
      </c>
      <c r="AX1047" s="8" t="s">
        <v>169</v>
      </c>
      <c r="AY1047" s="8"/>
      <c r="AZ1047" s="8"/>
      <c r="BA1047" s="8"/>
      <c r="BB1047" s="8"/>
      <c r="BC1047" s="8"/>
      <c r="BD1047" s="8"/>
      <c r="BE1047" s="8"/>
      <c r="BF1047" s="12">
        <v>0.44</v>
      </c>
      <c r="BG1047" s="13">
        <v>133.85989158532499</v>
      </c>
      <c r="BH1047" s="96" t="str">
        <f>+VLOOKUP(G1047,Liste!$A$7:$G$50,3,FALSE)</f>
        <v>Pin sylvestre</v>
      </c>
      <c r="BI1047" s="96" t="str">
        <f>+VLOOKUP(H1047,Liste!$B$7:$G$50,5,FALSE)</f>
        <v>GSM Alpes du Sud</v>
      </c>
      <c r="BJ1047" s="135">
        <f t="shared" si="320"/>
        <v>50</v>
      </c>
      <c r="BK1047" s="135" t="str">
        <f t="shared" si="322"/>
        <v>Pin sylvestre_F2_PS2_d2_GSM Alpes du Sud_50_</v>
      </c>
      <c r="BL1047" s="322"/>
      <c r="BM1047" s="13">
        <v>37.214205359969803</v>
      </c>
      <c r="BN1047" s="13">
        <v>171.074096945295</v>
      </c>
      <c r="BO1047" s="12" t="s">
        <v>169</v>
      </c>
      <c r="BP1047" s="13">
        <v>133.567642172782</v>
      </c>
      <c r="BQ1047" s="13">
        <v>5.6804084208303003</v>
      </c>
      <c r="BT1047" s="298" t="str">
        <f>+VLOOKUP(G1047,Liste!$A$7:$H$50,8,FALSE)</f>
        <v>Résineux</v>
      </c>
      <c r="BU1047" s="298">
        <f t="shared" si="323"/>
        <v>0</v>
      </c>
      <c r="BV1047" s="300">
        <f t="shared" si="324"/>
        <v>1</v>
      </c>
      <c r="BW1047" s="321">
        <v>0</v>
      </c>
      <c r="BX1047" s="298">
        <f t="shared" si="325"/>
        <v>0.43</v>
      </c>
      <c r="BY1047">
        <f t="shared" si="326"/>
        <v>0</v>
      </c>
      <c r="BZ1047" s="304">
        <f t="shared" si="327"/>
        <v>0</v>
      </c>
      <c r="CB1047" s="299">
        <v>0.6</v>
      </c>
      <c r="CC1047" s="299">
        <v>0.4</v>
      </c>
      <c r="CD1047">
        <f t="shared" si="328"/>
        <v>0</v>
      </c>
      <c r="CE1047">
        <f t="shared" si="329"/>
        <v>0</v>
      </c>
      <c r="CF1047">
        <f t="shared" si="330"/>
        <v>0</v>
      </c>
      <c r="CG1047">
        <f t="shared" si="331"/>
        <v>0</v>
      </c>
      <c r="CH1047">
        <f t="shared" si="332"/>
        <v>0</v>
      </c>
      <c r="CI1047">
        <f t="shared" si="333"/>
        <v>0</v>
      </c>
      <c r="CJ1047">
        <f t="shared" si="334"/>
        <v>0</v>
      </c>
      <c r="CK1047">
        <f t="shared" si="335"/>
        <v>0</v>
      </c>
      <c r="CL1047">
        <f t="shared" si="336"/>
        <v>0</v>
      </c>
      <c r="CM1047">
        <f t="shared" si="338"/>
        <v>0</v>
      </c>
      <c r="CN1047">
        <f t="shared" si="337"/>
        <v>0</v>
      </c>
      <c r="CO1047">
        <f t="shared" si="321"/>
        <v>0</v>
      </c>
    </row>
    <row r="1048" spans="1:93" s="12" customFormat="1" x14ac:dyDescent="0.25">
      <c r="A1048" s="4">
        <v>2021</v>
      </c>
      <c r="B1048" s="318">
        <v>44279</v>
      </c>
      <c r="C1048" s="4" t="s">
        <v>1494</v>
      </c>
      <c r="D1048" s="4" t="s">
        <v>1495</v>
      </c>
      <c r="E1048" s="4"/>
      <c r="F1048" s="4" t="s">
        <v>1496</v>
      </c>
      <c r="G1048" s="5" t="s">
        <v>15</v>
      </c>
      <c r="H1048" s="5" t="s">
        <v>1498</v>
      </c>
      <c r="I1048" s="5" t="s">
        <v>1502</v>
      </c>
      <c r="J1048" s="5" t="s">
        <v>10</v>
      </c>
      <c r="K1048" s="5">
        <v>11</v>
      </c>
      <c r="L1048" s="5" t="s">
        <v>1503</v>
      </c>
      <c r="M1048" s="5">
        <v>1100</v>
      </c>
      <c r="N1048" s="5" t="s">
        <v>170</v>
      </c>
      <c r="O1048" s="6" t="s">
        <v>1499</v>
      </c>
      <c r="P1048" s="6" t="s">
        <v>1500</v>
      </c>
      <c r="Q1048" s="6"/>
      <c r="R1048" s="6"/>
      <c r="S1048" s="6">
        <v>20</v>
      </c>
      <c r="T1048" s="6">
        <v>4.46</v>
      </c>
      <c r="U1048" s="6">
        <v>6000</v>
      </c>
      <c r="V1048" s="6">
        <v>7.1</v>
      </c>
      <c r="W1048" s="6">
        <v>6000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7">
        <v>55</v>
      </c>
      <c r="AD1048" s="7" t="str">
        <f t="shared" si="339"/>
        <v>av</v>
      </c>
      <c r="AE1048" s="7">
        <v>11.49</v>
      </c>
      <c r="AF1048" s="7">
        <v>1032</v>
      </c>
      <c r="AG1048" s="7">
        <v>27.68</v>
      </c>
      <c r="AH1048" s="7">
        <v>18.48</v>
      </c>
      <c r="AI1048" s="7">
        <v>22.26</v>
      </c>
      <c r="AJ1048" s="9">
        <v>147.31007417247301</v>
      </c>
      <c r="AK1048" s="9">
        <v>149.46333267210699</v>
      </c>
      <c r="AL1048" s="9">
        <v>202.039992388266</v>
      </c>
      <c r="AM1048" s="9">
        <v>28.7332366099339</v>
      </c>
      <c r="AN1048" s="9">
        <v>3.8012598727312299</v>
      </c>
      <c r="AO1048" s="9">
        <v>0.66860161979737398</v>
      </c>
      <c r="AP1048" s="9">
        <v>209.06929300021699</v>
      </c>
      <c r="AQ1048" s="9">
        <v>3.7061133688157102</v>
      </c>
      <c r="AR1048" s="9">
        <v>5.8353513570618398</v>
      </c>
      <c r="AS1048" s="8" t="s">
        <v>169</v>
      </c>
      <c r="AT1048" s="8" t="s">
        <v>169</v>
      </c>
      <c r="AU1048" s="8" t="s">
        <v>169</v>
      </c>
      <c r="AV1048" s="10">
        <v>0</v>
      </c>
      <c r="AW1048" s="8" t="s">
        <v>169</v>
      </c>
      <c r="AX1048" s="8" t="s">
        <v>169</v>
      </c>
      <c r="AY1048" s="8"/>
      <c r="AZ1048" s="8"/>
      <c r="BA1048" s="8"/>
      <c r="BB1048" s="8"/>
      <c r="BC1048" s="8"/>
      <c r="BD1048" s="8"/>
      <c r="BE1048" s="8"/>
      <c r="BF1048" s="12">
        <v>0.44</v>
      </c>
      <c r="BG1048" s="13">
        <v>154.82998083354099</v>
      </c>
      <c r="BH1048" s="96" t="str">
        <f>+VLOOKUP(G1048,Liste!$A$7:$G$50,3,FALSE)</f>
        <v>Pin sylvestre</v>
      </c>
      <c r="BI1048" s="96" t="str">
        <f>+VLOOKUP(H1048,Liste!$B$7:$G$50,5,FALSE)</f>
        <v>GSM Alpes du Sud</v>
      </c>
      <c r="BJ1048" s="135">
        <f t="shared" si="320"/>
        <v>55</v>
      </c>
      <c r="BK1048" s="135" t="str">
        <f t="shared" si="322"/>
        <v>Pin sylvestre_F2_PS2_d2_GSM Alpes du Sud_55_</v>
      </c>
      <c r="BL1048" s="322"/>
      <c r="BM1048" s="13">
        <v>42.321039516131698</v>
      </c>
      <c r="BN1048" s="13">
        <v>197.15102034967299</v>
      </c>
      <c r="BO1048" s="12" t="s">
        <v>169</v>
      </c>
      <c r="BP1048" s="13">
        <v>133.567642172782</v>
      </c>
      <c r="BQ1048" s="13">
        <v>5.5392634033101302</v>
      </c>
      <c r="BT1048" s="298" t="str">
        <f>+VLOOKUP(G1048,Liste!$A$7:$H$50,8,FALSE)</f>
        <v>Résineux</v>
      </c>
      <c r="BU1048" s="298">
        <f t="shared" si="323"/>
        <v>0</v>
      </c>
      <c r="BV1048" s="300">
        <f t="shared" si="324"/>
        <v>1</v>
      </c>
      <c r="BW1048" s="321">
        <v>0</v>
      </c>
      <c r="BX1048" s="298">
        <f t="shared" si="325"/>
        <v>0.43</v>
      </c>
      <c r="BY1048">
        <f t="shared" si="326"/>
        <v>0</v>
      </c>
      <c r="BZ1048" s="304">
        <f t="shared" si="327"/>
        <v>0</v>
      </c>
      <c r="CB1048" s="299">
        <v>0.6</v>
      </c>
      <c r="CC1048" s="299">
        <v>0.4</v>
      </c>
      <c r="CD1048">
        <f t="shared" si="328"/>
        <v>0</v>
      </c>
      <c r="CE1048">
        <f t="shared" si="329"/>
        <v>0</v>
      </c>
      <c r="CF1048">
        <f t="shared" si="330"/>
        <v>0</v>
      </c>
      <c r="CG1048">
        <f t="shared" si="331"/>
        <v>0</v>
      </c>
      <c r="CH1048">
        <f t="shared" si="332"/>
        <v>0</v>
      </c>
      <c r="CI1048">
        <f t="shared" si="333"/>
        <v>0</v>
      </c>
      <c r="CJ1048">
        <f t="shared" si="334"/>
        <v>0</v>
      </c>
      <c r="CK1048">
        <f t="shared" si="335"/>
        <v>0</v>
      </c>
      <c r="CL1048">
        <f t="shared" si="336"/>
        <v>0</v>
      </c>
      <c r="CM1048">
        <f t="shared" si="338"/>
        <v>0</v>
      </c>
      <c r="CN1048">
        <f t="shared" si="337"/>
        <v>0</v>
      </c>
      <c r="CO1048">
        <f t="shared" si="321"/>
        <v>0</v>
      </c>
    </row>
    <row r="1049" spans="1:93" s="12" customFormat="1" x14ac:dyDescent="0.25">
      <c r="A1049" s="4">
        <v>2021</v>
      </c>
      <c r="B1049" s="318">
        <v>44279</v>
      </c>
      <c r="C1049" s="4" t="s">
        <v>1494</v>
      </c>
      <c r="D1049" s="4" t="s">
        <v>1495</v>
      </c>
      <c r="E1049" s="4"/>
      <c r="F1049" s="4" t="s">
        <v>1496</v>
      </c>
      <c r="G1049" s="5" t="s">
        <v>15</v>
      </c>
      <c r="H1049" s="5" t="s">
        <v>1498</v>
      </c>
      <c r="I1049" s="5" t="s">
        <v>1502</v>
      </c>
      <c r="J1049" s="5" t="s">
        <v>10</v>
      </c>
      <c r="K1049" s="5">
        <v>11</v>
      </c>
      <c r="L1049" s="5" t="s">
        <v>1503</v>
      </c>
      <c r="M1049" s="5">
        <v>1100</v>
      </c>
      <c r="N1049" s="5" t="s">
        <v>170</v>
      </c>
      <c r="O1049" s="6" t="s">
        <v>1499</v>
      </c>
      <c r="P1049" s="6" t="s">
        <v>1500</v>
      </c>
      <c r="Q1049" s="6"/>
      <c r="R1049" s="6"/>
      <c r="S1049" s="6">
        <v>20</v>
      </c>
      <c r="T1049" s="6">
        <v>4.46</v>
      </c>
      <c r="U1049" s="6">
        <v>6000</v>
      </c>
      <c r="V1049" s="6">
        <v>7.1</v>
      </c>
      <c r="W1049" s="6">
        <v>6000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7">
        <v>60</v>
      </c>
      <c r="AD1049" s="7" t="str">
        <f t="shared" si="339"/>
        <v>av</v>
      </c>
      <c r="AE1049" s="7">
        <v>11.79</v>
      </c>
      <c r="AF1049" s="7">
        <v>1016</v>
      </c>
      <c r="AG1049" s="7">
        <v>30.59</v>
      </c>
      <c r="AH1049" s="7">
        <v>19.579999999999998</v>
      </c>
      <c r="AI1049" s="7">
        <v>23.84</v>
      </c>
      <c r="AJ1049" s="9">
        <v>167.09905957287199</v>
      </c>
      <c r="AK1049" s="9">
        <v>169.77734856138201</v>
      </c>
      <c r="AL1049" s="9">
        <v>228.10934638844901</v>
      </c>
      <c r="AM1049" s="9">
        <v>32.076244708920797</v>
      </c>
      <c r="AN1049" s="9">
        <v>3.9707674964254398</v>
      </c>
      <c r="AO1049" s="9">
        <v>0.63124477661992096</v>
      </c>
      <c r="AP1049" s="9">
        <v>238.24604978552699</v>
      </c>
      <c r="AQ1049" s="9">
        <v>3.8588758716902398</v>
      </c>
      <c r="AR1049" s="9">
        <v>5.5517288007349199</v>
      </c>
      <c r="AS1049" s="8" t="s">
        <v>169</v>
      </c>
      <c r="AT1049" s="8" t="s">
        <v>169</v>
      </c>
      <c r="AU1049" s="8" t="s">
        <v>169</v>
      </c>
      <c r="AV1049" s="10">
        <v>0</v>
      </c>
      <c r="AW1049" s="8" t="s">
        <v>169</v>
      </c>
      <c r="AX1049" s="8" t="s">
        <v>169</v>
      </c>
      <c r="AY1049" s="8"/>
      <c r="AZ1049" s="8"/>
      <c r="BA1049" s="8"/>
      <c r="BB1049" s="8"/>
      <c r="BC1049" s="8"/>
      <c r="BD1049" s="8"/>
      <c r="BE1049" s="8"/>
      <c r="BF1049" s="12">
        <v>0.44</v>
      </c>
      <c r="BG1049" s="13">
        <v>174.80779578234799</v>
      </c>
      <c r="BH1049" s="96" t="str">
        <f>+VLOOKUP(G1049,Liste!$A$7:$G$50,3,FALSE)</f>
        <v>Pin sylvestre</v>
      </c>
      <c r="BI1049" s="96" t="str">
        <f>+VLOOKUP(H1049,Liste!$B$7:$G$50,5,FALSE)</f>
        <v>GSM Alpes du Sud</v>
      </c>
      <c r="BJ1049" s="135">
        <f t="shared" si="320"/>
        <v>60</v>
      </c>
      <c r="BK1049" s="135" t="str">
        <f t="shared" si="322"/>
        <v>Pin sylvestre_F2_PS2_d2_GSM Alpes du Sud_60_</v>
      </c>
      <c r="BL1049" s="322"/>
      <c r="BM1049" s="13">
        <v>47.111519889035897</v>
      </c>
      <c r="BN1049" s="13">
        <v>221.919315671384</v>
      </c>
      <c r="BO1049" s="12" t="s">
        <v>169</v>
      </c>
      <c r="BP1049" s="13">
        <v>133.567642172782</v>
      </c>
      <c r="BQ1049" s="13">
        <v>5.2559408276939097</v>
      </c>
      <c r="BT1049" s="298" t="str">
        <f>+VLOOKUP(G1049,Liste!$A$7:$H$50,8,FALSE)</f>
        <v>Résineux</v>
      </c>
      <c r="BU1049" s="298">
        <f t="shared" si="323"/>
        <v>0</v>
      </c>
      <c r="BV1049" s="300">
        <f t="shared" si="324"/>
        <v>1</v>
      </c>
      <c r="BW1049" s="321">
        <v>0</v>
      </c>
      <c r="BX1049" s="298">
        <f t="shared" si="325"/>
        <v>0.43</v>
      </c>
      <c r="BY1049">
        <f t="shared" si="326"/>
        <v>0</v>
      </c>
      <c r="BZ1049" s="304">
        <f t="shared" si="327"/>
        <v>0</v>
      </c>
      <c r="CB1049" s="299">
        <v>0.6</v>
      </c>
      <c r="CC1049" s="299">
        <v>0.4</v>
      </c>
      <c r="CD1049">
        <f t="shared" si="328"/>
        <v>0</v>
      </c>
      <c r="CE1049">
        <f t="shared" si="329"/>
        <v>0</v>
      </c>
      <c r="CF1049">
        <f t="shared" si="330"/>
        <v>0</v>
      </c>
      <c r="CG1049">
        <f t="shared" si="331"/>
        <v>0</v>
      </c>
      <c r="CH1049">
        <f t="shared" si="332"/>
        <v>0</v>
      </c>
      <c r="CI1049">
        <f t="shared" si="333"/>
        <v>0</v>
      </c>
      <c r="CJ1049">
        <f t="shared" si="334"/>
        <v>0</v>
      </c>
      <c r="CK1049">
        <f t="shared" si="335"/>
        <v>0</v>
      </c>
      <c r="CL1049">
        <f t="shared" si="336"/>
        <v>0</v>
      </c>
      <c r="CM1049">
        <f t="shared" si="338"/>
        <v>0</v>
      </c>
      <c r="CN1049">
        <f t="shared" si="337"/>
        <v>0</v>
      </c>
      <c r="CO1049">
        <f t="shared" si="321"/>
        <v>0</v>
      </c>
    </row>
    <row r="1050" spans="1:93" s="12" customFormat="1" x14ac:dyDescent="0.25">
      <c r="A1050" s="4">
        <v>2021</v>
      </c>
      <c r="B1050" s="318">
        <v>44279</v>
      </c>
      <c r="C1050" s="4" t="s">
        <v>1494</v>
      </c>
      <c r="D1050" s="4" t="s">
        <v>1495</v>
      </c>
      <c r="E1050" s="4"/>
      <c r="F1050" s="4" t="s">
        <v>1496</v>
      </c>
      <c r="G1050" s="5" t="s">
        <v>15</v>
      </c>
      <c r="H1050" s="5" t="s">
        <v>1498</v>
      </c>
      <c r="I1050" s="5" t="s">
        <v>1502</v>
      </c>
      <c r="J1050" s="5" t="s">
        <v>10</v>
      </c>
      <c r="K1050" s="5">
        <v>11</v>
      </c>
      <c r="L1050" s="5" t="s">
        <v>1503</v>
      </c>
      <c r="M1050" s="5">
        <v>1100</v>
      </c>
      <c r="N1050" s="5" t="s">
        <v>170</v>
      </c>
      <c r="O1050" s="6" t="s">
        <v>1499</v>
      </c>
      <c r="P1050" s="6" t="s">
        <v>1500</v>
      </c>
      <c r="Q1050" s="6"/>
      <c r="R1050" s="6"/>
      <c r="S1050" s="6">
        <v>20</v>
      </c>
      <c r="T1050" s="6">
        <v>4.46</v>
      </c>
      <c r="U1050" s="6">
        <v>6000</v>
      </c>
      <c r="V1050" s="6">
        <v>7.1</v>
      </c>
      <c r="W1050" s="6">
        <v>6000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7">
        <v>65</v>
      </c>
      <c r="AD1050" s="7" t="str">
        <f t="shared" si="339"/>
        <v>av</v>
      </c>
      <c r="AE1050" s="7">
        <v>12.07</v>
      </c>
      <c r="AF1050" s="7">
        <v>996</v>
      </c>
      <c r="AG1050" s="7">
        <v>33.14</v>
      </c>
      <c r="AH1050" s="7">
        <v>20.58</v>
      </c>
      <c r="AI1050" s="7">
        <v>25.31</v>
      </c>
      <c r="AJ1050" s="9">
        <v>184.49787904452799</v>
      </c>
      <c r="AK1050" s="9">
        <v>187.70786307335101</v>
      </c>
      <c r="AL1050" s="9">
        <v>251.31797631968101</v>
      </c>
      <c r="AM1050" s="9">
        <v>35.232468592020403</v>
      </c>
      <c r="AN1050" s="9">
        <v>4.0923799044492499</v>
      </c>
      <c r="AO1050" s="9">
        <v>0.61431247343381301</v>
      </c>
      <c r="AP1050" s="9">
        <v>266.00469378920099</v>
      </c>
      <c r="AQ1050" s="9">
        <v>3.96634240676745</v>
      </c>
      <c r="AR1050" s="9">
        <v>5.2876241900693204</v>
      </c>
      <c r="AS1050" s="8" t="s">
        <v>169</v>
      </c>
      <c r="AT1050" s="8" t="s">
        <v>169</v>
      </c>
      <c r="AU1050" s="8" t="s">
        <v>169</v>
      </c>
      <c r="AV1050" s="10">
        <v>0</v>
      </c>
      <c r="AW1050" s="8" t="s">
        <v>169</v>
      </c>
      <c r="AX1050" s="8" t="s">
        <v>169</v>
      </c>
      <c r="AY1050" s="8"/>
      <c r="AZ1050" s="8"/>
      <c r="BA1050" s="8"/>
      <c r="BB1050" s="8"/>
      <c r="BC1050" s="8"/>
      <c r="BD1050" s="8"/>
      <c r="BE1050" s="8"/>
      <c r="BF1050" s="12">
        <v>0.44</v>
      </c>
      <c r="BG1050" s="13">
        <v>192.59334251964901</v>
      </c>
      <c r="BH1050" s="96" t="str">
        <f>+VLOOKUP(G1050,Liste!$A$7:$G$50,3,FALSE)</f>
        <v>Pin sylvestre</v>
      </c>
      <c r="BI1050" s="96" t="str">
        <f>+VLOOKUP(H1050,Liste!$B$7:$G$50,5,FALSE)</f>
        <v>GSM Alpes du Sud</v>
      </c>
      <c r="BJ1050" s="135">
        <f t="shared" si="320"/>
        <v>65</v>
      </c>
      <c r="BK1050" s="135" t="str">
        <f t="shared" si="322"/>
        <v>Pin sylvestre_F2_PS2_d2_GSM Alpes du Sud_65_</v>
      </c>
      <c r="BL1050" s="322"/>
      <c r="BM1050" s="13">
        <v>51.322691301557199</v>
      </c>
      <c r="BN1050" s="13">
        <v>243.91603382120601</v>
      </c>
      <c r="BO1050" s="12" t="s">
        <v>169</v>
      </c>
      <c r="BP1050" s="13">
        <v>133.567642172782</v>
      </c>
      <c r="BQ1050" s="13">
        <v>4.99462403701932</v>
      </c>
      <c r="BT1050" s="298" t="str">
        <f>+VLOOKUP(G1050,Liste!$A$7:$H$50,8,FALSE)</f>
        <v>Résineux</v>
      </c>
      <c r="BU1050" s="298">
        <f t="shared" si="323"/>
        <v>0</v>
      </c>
      <c r="BV1050" s="300">
        <f t="shared" si="324"/>
        <v>1</v>
      </c>
      <c r="BW1050" s="321">
        <v>0</v>
      </c>
      <c r="BX1050" s="298">
        <f t="shared" si="325"/>
        <v>0.43</v>
      </c>
      <c r="BY1050">
        <f t="shared" si="326"/>
        <v>0</v>
      </c>
      <c r="BZ1050" s="304">
        <f t="shared" si="327"/>
        <v>0</v>
      </c>
      <c r="CB1050" s="299">
        <v>0.6</v>
      </c>
      <c r="CC1050" s="299">
        <v>0.4</v>
      </c>
      <c r="CD1050">
        <f t="shared" si="328"/>
        <v>0</v>
      </c>
      <c r="CE1050">
        <f t="shared" si="329"/>
        <v>0</v>
      </c>
      <c r="CF1050">
        <f t="shared" si="330"/>
        <v>0</v>
      </c>
      <c r="CG1050">
        <f t="shared" si="331"/>
        <v>0</v>
      </c>
      <c r="CH1050">
        <f t="shared" si="332"/>
        <v>0</v>
      </c>
      <c r="CI1050">
        <f t="shared" si="333"/>
        <v>0</v>
      </c>
      <c r="CJ1050">
        <f t="shared" si="334"/>
        <v>0</v>
      </c>
      <c r="CK1050">
        <f t="shared" si="335"/>
        <v>0</v>
      </c>
      <c r="CL1050">
        <f t="shared" si="336"/>
        <v>0</v>
      </c>
      <c r="CM1050">
        <f t="shared" si="338"/>
        <v>0</v>
      </c>
      <c r="CN1050">
        <f t="shared" si="337"/>
        <v>0</v>
      </c>
      <c r="CO1050">
        <f t="shared" si="321"/>
        <v>0</v>
      </c>
    </row>
    <row r="1051" spans="1:93" s="12" customFormat="1" x14ac:dyDescent="0.25">
      <c r="A1051" s="4">
        <v>2021</v>
      </c>
      <c r="B1051" s="318">
        <v>44279</v>
      </c>
      <c r="C1051" s="4" t="s">
        <v>1494</v>
      </c>
      <c r="D1051" s="4" t="s">
        <v>1495</v>
      </c>
      <c r="E1051" s="4"/>
      <c r="F1051" s="4" t="s">
        <v>1496</v>
      </c>
      <c r="G1051" s="5" t="s">
        <v>15</v>
      </c>
      <c r="H1051" s="5" t="s">
        <v>1498</v>
      </c>
      <c r="I1051" s="5" t="s">
        <v>1502</v>
      </c>
      <c r="J1051" s="5" t="s">
        <v>10</v>
      </c>
      <c r="K1051" s="5">
        <v>11</v>
      </c>
      <c r="L1051" s="5" t="s">
        <v>1503</v>
      </c>
      <c r="M1051" s="5">
        <v>1100</v>
      </c>
      <c r="N1051" s="5" t="s">
        <v>170</v>
      </c>
      <c r="O1051" s="6" t="s">
        <v>1499</v>
      </c>
      <c r="P1051" s="6" t="s">
        <v>1500</v>
      </c>
      <c r="Q1051" s="6"/>
      <c r="R1051" s="6"/>
      <c r="S1051" s="6">
        <v>20</v>
      </c>
      <c r="T1051" s="6">
        <v>4.46</v>
      </c>
      <c r="U1051" s="6">
        <v>6000</v>
      </c>
      <c r="V1051" s="6">
        <v>7.1</v>
      </c>
      <c r="W1051" s="6">
        <v>6000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7">
        <v>65</v>
      </c>
      <c r="AD1051" s="7" t="str">
        <f t="shared" si="339"/>
        <v>ap</v>
      </c>
      <c r="AE1051" s="7">
        <v>12.07</v>
      </c>
      <c r="AF1051" s="7">
        <v>522</v>
      </c>
      <c r="AG1051" s="7">
        <v>20.07</v>
      </c>
      <c r="AH1051" s="7">
        <v>22.13</v>
      </c>
      <c r="AI1051" s="7">
        <v>25.31</v>
      </c>
      <c r="AJ1051" s="9">
        <v>112.021506308429</v>
      </c>
      <c r="AK1051" s="9">
        <v>114.25619127596001</v>
      </c>
      <c r="AL1051" s="9">
        <v>153.41576830888499</v>
      </c>
      <c r="AM1051" s="9">
        <v>35.232468592020403</v>
      </c>
      <c r="AN1051" s="9">
        <v>4.0923799044492499</v>
      </c>
      <c r="AO1051" s="9">
        <v>0.61431247343381301</v>
      </c>
      <c r="AP1051" s="9">
        <v>266.00469378920099</v>
      </c>
      <c r="AQ1051" s="9">
        <v>3.96634240676745</v>
      </c>
      <c r="AR1051" s="9">
        <v>5.2876241900693204</v>
      </c>
      <c r="AS1051" s="8">
        <v>474</v>
      </c>
      <c r="AT1051" s="8">
        <v>13.07</v>
      </c>
      <c r="AU1051" s="10">
        <v>18.737156416707077</v>
      </c>
      <c r="AV1051" s="10">
        <v>72.476372736098995</v>
      </c>
      <c r="AW1051" s="8">
        <v>0.83</v>
      </c>
      <c r="AX1051" s="10">
        <v>0.15290373994957593</v>
      </c>
      <c r="AY1051" s="8"/>
      <c r="AZ1051" s="8"/>
      <c r="BA1051" s="8"/>
      <c r="BB1051" s="8"/>
      <c r="BC1051" s="8"/>
      <c r="BD1051" s="8"/>
      <c r="BE1051" s="8"/>
      <c r="BF1051" s="12">
        <v>0.44</v>
      </c>
      <c r="BG1051" s="13">
        <v>117.567617114043</v>
      </c>
      <c r="BH1051" s="96" t="str">
        <f>+VLOOKUP(G1051,Liste!$A$7:$G$50,3,FALSE)</f>
        <v>Pin sylvestre</v>
      </c>
      <c r="BI1051" s="96" t="str">
        <f>+VLOOKUP(H1051,Liste!$B$7:$G$50,5,FALSE)</f>
        <v>GSM Alpes du Sud</v>
      </c>
      <c r="BJ1051" s="135">
        <f t="shared" si="320"/>
        <v>65</v>
      </c>
      <c r="BK1051" s="135" t="str">
        <f t="shared" si="322"/>
        <v>Pin sylvestre_F2_PS2_d2_GSM Alpes du Sud_65_</v>
      </c>
      <c r="BL1051" s="322"/>
      <c r="BM1051" s="13">
        <v>33.182310380904099</v>
      </c>
      <c r="BN1051" s="13">
        <v>150.749927494947</v>
      </c>
      <c r="BO1051" s="13">
        <v>93.166106326259012</v>
      </c>
      <c r="BP1051" s="13">
        <v>133.567642172782</v>
      </c>
      <c r="BQ1051" s="13">
        <v>4.99462403701932</v>
      </c>
      <c r="BT1051" s="298" t="str">
        <f>+VLOOKUP(G1051,Liste!$A$7:$H$50,8,FALSE)</f>
        <v>Résineux</v>
      </c>
      <c r="BU1051" s="298">
        <f t="shared" si="323"/>
        <v>0</v>
      </c>
      <c r="BV1051" s="300">
        <f t="shared" si="324"/>
        <v>1</v>
      </c>
      <c r="BW1051" s="321">
        <v>0</v>
      </c>
      <c r="BX1051" s="298">
        <f t="shared" si="325"/>
        <v>0.43</v>
      </c>
      <c r="BY1051">
        <f t="shared" si="326"/>
        <v>0</v>
      </c>
      <c r="BZ1051" s="304">
        <f t="shared" si="327"/>
        <v>0</v>
      </c>
      <c r="CB1051" s="299">
        <v>0.6</v>
      </c>
      <c r="CC1051" s="299">
        <v>0.4</v>
      </c>
      <c r="CD1051">
        <f t="shared" si="328"/>
        <v>0</v>
      </c>
      <c r="CE1051">
        <f t="shared" si="329"/>
        <v>0</v>
      </c>
      <c r="CF1051">
        <f t="shared" si="330"/>
        <v>0</v>
      </c>
      <c r="CG1051">
        <f t="shared" si="331"/>
        <v>0</v>
      </c>
      <c r="CH1051">
        <f t="shared" si="332"/>
        <v>0</v>
      </c>
      <c r="CI1051">
        <f t="shared" si="333"/>
        <v>0</v>
      </c>
      <c r="CJ1051">
        <f t="shared" si="334"/>
        <v>0</v>
      </c>
      <c r="CK1051">
        <f t="shared" si="335"/>
        <v>0</v>
      </c>
      <c r="CL1051">
        <f t="shared" si="336"/>
        <v>0</v>
      </c>
      <c r="CM1051">
        <f t="shared" si="338"/>
        <v>0</v>
      </c>
      <c r="CN1051">
        <f t="shared" si="337"/>
        <v>0</v>
      </c>
      <c r="CO1051">
        <f t="shared" si="321"/>
        <v>0</v>
      </c>
    </row>
    <row r="1052" spans="1:93" s="12" customFormat="1" x14ac:dyDescent="0.25">
      <c r="A1052" s="4">
        <v>2021</v>
      </c>
      <c r="B1052" s="318">
        <v>44279</v>
      </c>
      <c r="C1052" s="4" t="s">
        <v>1494</v>
      </c>
      <c r="D1052" s="4" t="s">
        <v>1495</v>
      </c>
      <c r="E1052" s="4"/>
      <c r="F1052" s="4" t="s">
        <v>1496</v>
      </c>
      <c r="G1052" s="5" t="s">
        <v>15</v>
      </c>
      <c r="H1052" s="5" t="s">
        <v>1498</v>
      </c>
      <c r="I1052" s="5" t="s">
        <v>1502</v>
      </c>
      <c r="J1052" s="5" t="s">
        <v>10</v>
      </c>
      <c r="K1052" s="5">
        <v>11</v>
      </c>
      <c r="L1052" s="5" t="s">
        <v>1503</v>
      </c>
      <c r="M1052" s="5">
        <v>1100</v>
      </c>
      <c r="N1052" s="5" t="s">
        <v>170</v>
      </c>
      <c r="O1052" s="6" t="s">
        <v>1499</v>
      </c>
      <c r="P1052" s="6" t="s">
        <v>1500</v>
      </c>
      <c r="Q1052" s="6"/>
      <c r="R1052" s="6"/>
      <c r="S1052" s="6">
        <v>20</v>
      </c>
      <c r="T1052" s="6">
        <v>4.46</v>
      </c>
      <c r="U1052" s="6">
        <v>6000</v>
      </c>
      <c r="V1052" s="6">
        <v>7.1</v>
      </c>
      <c r="W1052" s="6">
        <v>6000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7">
        <v>70</v>
      </c>
      <c r="AD1052" s="7" t="str">
        <f t="shared" si="339"/>
        <v>av</v>
      </c>
      <c r="AE1052" s="7">
        <v>12.27</v>
      </c>
      <c r="AF1052" s="7">
        <v>516</v>
      </c>
      <c r="AG1052" s="7">
        <v>22.93</v>
      </c>
      <c r="AH1052" s="7">
        <v>23.78</v>
      </c>
      <c r="AI1052" s="7">
        <v>27.28</v>
      </c>
      <c r="AJ1052" s="9">
        <v>129.662078430511</v>
      </c>
      <c r="AK1052" s="9">
        <v>132.59144010344701</v>
      </c>
      <c r="AL1052" s="9">
        <v>178.211796943004</v>
      </c>
      <c r="AM1052" s="9">
        <v>38.304030959189497</v>
      </c>
      <c r="AN1052" s="9">
        <v>4.1777544962792499</v>
      </c>
      <c r="AO1052" s="9">
        <v>0.62611552342714805</v>
      </c>
      <c r="AP1052" s="9">
        <v>292.442814739548</v>
      </c>
      <c r="AQ1052" s="9">
        <v>4.0397910946425801</v>
      </c>
      <c r="AR1052" s="9">
        <v>5.44234256666972</v>
      </c>
      <c r="AS1052" s="8" t="s">
        <v>169</v>
      </c>
      <c r="AT1052" s="8" t="s">
        <v>169</v>
      </c>
      <c r="AU1052" s="10" t="s">
        <v>169</v>
      </c>
      <c r="AV1052" s="10">
        <v>0</v>
      </c>
      <c r="AW1052" s="8"/>
      <c r="AX1052" s="10" t="s">
        <v>169</v>
      </c>
      <c r="AY1052" s="8"/>
      <c r="AZ1052" s="8"/>
      <c r="BA1052" s="8"/>
      <c r="BB1052" s="8"/>
      <c r="BC1052" s="8"/>
      <c r="BD1052" s="8"/>
      <c r="BE1052" s="8"/>
      <c r="BF1052" s="12">
        <v>0.44</v>
      </c>
      <c r="BG1052" s="13">
        <v>136.56964039065599</v>
      </c>
      <c r="BH1052" s="96" t="str">
        <f>+VLOOKUP(G1052,Liste!$A$7:$G$50,3,FALSE)</f>
        <v>Pin sylvestre</v>
      </c>
      <c r="BI1052" s="96" t="str">
        <f>+VLOOKUP(H1052,Liste!$B$7:$G$50,5,FALSE)</f>
        <v>GSM Alpes du Sud</v>
      </c>
      <c r="BJ1052" s="135">
        <f t="shared" si="320"/>
        <v>70</v>
      </c>
      <c r="BK1052" s="135" t="str">
        <f t="shared" si="322"/>
        <v>Pin sylvestre_F2_PS2_d2_GSM Alpes du Sud_70_</v>
      </c>
      <c r="BL1052" s="322"/>
      <c r="BM1052" s="13">
        <v>37.879072505806803</v>
      </c>
      <c r="BN1052" s="13">
        <v>174.44871289646301</v>
      </c>
      <c r="BO1052" s="13" t="s">
        <v>169</v>
      </c>
      <c r="BP1052" s="13">
        <v>133.567642172782</v>
      </c>
      <c r="BQ1052" s="13">
        <v>5.1304602642704902</v>
      </c>
      <c r="BT1052" s="298" t="str">
        <f>+VLOOKUP(G1052,Liste!$A$7:$H$50,8,FALSE)</f>
        <v>Résineux</v>
      </c>
      <c r="BU1052" s="298">
        <f t="shared" si="323"/>
        <v>0</v>
      </c>
      <c r="BV1052" s="300">
        <f t="shared" si="324"/>
        <v>1</v>
      </c>
      <c r="BW1052" s="321">
        <v>0</v>
      </c>
      <c r="BX1052" s="298">
        <f t="shared" si="325"/>
        <v>0.43</v>
      </c>
      <c r="BY1052">
        <f t="shared" si="326"/>
        <v>0</v>
      </c>
      <c r="BZ1052" s="304">
        <f t="shared" si="327"/>
        <v>0</v>
      </c>
      <c r="CB1052" s="299">
        <v>0.6</v>
      </c>
      <c r="CC1052" s="299">
        <v>0.4</v>
      </c>
      <c r="CD1052">
        <f t="shared" si="328"/>
        <v>0</v>
      </c>
      <c r="CE1052">
        <f t="shared" si="329"/>
        <v>0</v>
      </c>
      <c r="CF1052">
        <f t="shared" si="330"/>
        <v>0</v>
      </c>
      <c r="CG1052">
        <f t="shared" si="331"/>
        <v>0</v>
      </c>
      <c r="CH1052">
        <f t="shared" si="332"/>
        <v>0</v>
      </c>
      <c r="CI1052">
        <f t="shared" si="333"/>
        <v>0</v>
      </c>
      <c r="CJ1052">
        <f t="shared" si="334"/>
        <v>0</v>
      </c>
      <c r="CK1052">
        <f t="shared" si="335"/>
        <v>0</v>
      </c>
      <c r="CL1052">
        <f t="shared" si="336"/>
        <v>0</v>
      </c>
      <c r="CM1052">
        <f t="shared" si="338"/>
        <v>0</v>
      </c>
      <c r="CN1052">
        <f t="shared" si="337"/>
        <v>0</v>
      </c>
      <c r="CO1052">
        <f t="shared" si="321"/>
        <v>0</v>
      </c>
    </row>
    <row r="1053" spans="1:93" s="12" customFormat="1" x14ac:dyDescent="0.25">
      <c r="A1053" s="4">
        <v>2021</v>
      </c>
      <c r="B1053" s="318">
        <v>44279</v>
      </c>
      <c r="C1053" s="4" t="s">
        <v>1494</v>
      </c>
      <c r="D1053" s="4" t="s">
        <v>1495</v>
      </c>
      <c r="E1053" s="4"/>
      <c r="F1053" s="4" t="s">
        <v>1496</v>
      </c>
      <c r="G1053" s="5" t="s">
        <v>15</v>
      </c>
      <c r="H1053" s="5" t="s">
        <v>1498</v>
      </c>
      <c r="I1053" s="5" t="s">
        <v>1502</v>
      </c>
      <c r="J1053" s="5" t="s">
        <v>10</v>
      </c>
      <c r="K1053" s="5">
        <v>11</v>
      </c>
      <c r="L1053" s="5" t="s">
        <v>1503</v>
      </c>
      <c r="M1053" s="5">
        <v>1100</v>
      </c>
      <c r="N1053" s="5" t="s">
        <v>170</v>
      </c>
      <c r="O1053" s="6" t="s">
        <v>1499</v>
      </c>
      <c r="P1053" s="6" t="s">
        <v>1500</v>
      </c>
      <c r="Q1053" s="6"/>
      <c r="R1053" s="6"/>
      <c r="S1053" s="6">
        <v>20</v>
      </c>
      <c r="T1053" s="6">
        <v>4.46</v>
      </c>
      <c r="U1053" s="6">
        <v>6000</v>
      </c>
      <c r="V1053" s="6">
        <v>7.1</v>
      </c>
      <c r="W1053" s="6">
        <v>6000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7">
        <v>75</v>
      </c>
      <c r="AD1053" s="7" t="str">
        <f t="shared" si="339"/>
        <v>av</v>
      </c>
      <c r="AE1053" s="7">
        <v>12.47</v>
      </c>
      <c r="AF1053" s="7">
        <v>508</v>
      </c>
      <c r="AG1053" s="7">
        <v>25.74</v>
      </c>
      <c r="AH1053" s="7">
        <v>25.4</v>
      </c>
      <c r="AI1053" s="7">
        <v>29.22</v>
      </c>
      <c r="AJ1053" s="9">
        <v>146.94170048925699</v>
      </c>
      <c r="AK1053" s="9">
        <v>150.648056878152</v>
      </c>
      <c r="AL1053" s="9">
        <v>202.95522072484701</v>
      </c>
      <c r="AM1053" s="9">
        <v>41.434608576325203</v>
      </c>
      <c r="AN1053" s="9">
        <v>4.26206036763862</v>
      </c>
      <c r="AO1053" s="9">
        <v>0.630206252482445</v>
      </c>
      <c r="AP1053" s="9">
        <v>319.65452757289597</v>
      </c>
      <c r="AQ1053" s="9">
        <v>4.1125023726177696</v>
      </c>
      <c r="AR1053" s="9">
        <v>5.5331734894609799</v>
      </c>
      <c r="AS1053" s="8" t="s">
        <v>169</v>
      </c>
      <c r="AT1053" s="8" t="s">
        <v>169</v>
      </c>
      <c r="AU1053" s="10" t="s">
        <v>169</v>
      </c>
      <c r="AV1053" s="10">
        <v>0</v>
      </c>
      <c r="AW1053" s="8"/>
      <c r="AX1053" s="10" t="s">
        <v>169</v>
      </c>
      <c r="AY1053" s="8"/>
      <c r="AZ1053" s="8"/>
      <c r="BA1053" s="8"/>
      <c r="BB1053" s="8"/>
      <c r="BC1053" s="8"/>
      <c r="BD1053" s="8"/>
      <c r="BE1053" s="8"/>
      <c r="BF1053" s="12">
        <v>0.44</v>
      </c>
      <c r="BG1053" s="13">
        <v>155.53135081547501</v>
      </c>
      <c r="BH1053" s="96" t="str">
        <f>+VLOOKUP(G1053,Liste!$A$7:$G$50,3,FALSE)</f>
        <v>Pin sylvestre</v>
      </c>
      <c r="BI1053" s="96" t="str">
        <f>+VLOOKUP(H1053,Liste!$B$7:$G$50,5,FALSE)</f>
        <v>GSM Alpes du Sud</v>
      </c>
      <c r="BJ1053" s="135">
        <f t="shared" si="320"/>
        <v>75</v>
      </c>
      <c r="BK1053" s="135" t="str">
        <f t="shared" si="322"/>
        <v>Pin sylvestre_F2_PS2_d2_GSM Alpes du Sud_75_</v>
      </c>
      <c r="BL1053" s="322"/>
      <c r="BM1053" s="13">
        <v>42.490391320159397</v>
      </c>
      <c r="BN1053" s="13">
        <v>198.02174213563401</v>
      </c>
      <c r="BO1053" s="13" t="s">
        <v>169</v>
      </c>
      <c r="BP1053" s="13">
        <v>133.567642172782</v>
      </c>
      <c r="BQ1053" s="13">
        <v>5.2063765063695797</v>
      </c>
      <c r="BT1053" s="298" t="str">
        <f>+VLOOKUP(G1053,Liste!$A$7:$H$50,8,FALSE)</f>
        <v>Résineux</v>
      </c>
      <c r="BU1053" s="298">
        <f t="shared" si="323"/>
        <v>0</v>
      </c>
      <c r="BV1053" s="300">
        <f t="shared" si="324"/>
        <v>1</v>
      </c>
      <c r="BW1053" s="321">
        <v>0</v>
      </c>
      <c r="BX1053" s="298">
        <f t="shared" si="325"/>
        <v>0.43</v>
      </c>
      <c r="BY1053">
        <f t="shared" si="326"/>
        <v>0</v>
      </c>
      <c r="BZ1053" s="304">
        <f t="shared" si="327"/>
        <v>0</v>
      </c>
      <c r="CB1053" s="299">
        <v>0.6</v>
      </c>
      <c r="CC1053" s="299">
        <v>0.4</v>
      </c>
      <c r="CD1053">
        <f t="shared" si="328"/>
        <v>0</v>
      </c>
      <c r="CE1053">
        <f t="shared" si="329"/>
        <v>0</v>
      </c>
      <c r="CF1053">
        <f t="shared" si="330"/>
        <v>0</v>
      </c>
      <c r="CG1053">
        <f t="shared" si="331"/>
        <v>0</v>
      </c>
      <c r="CH1053">
        <f t="shared" si="332"/>
        <v>0</v>
      </c>
      <c r="CI1053">
        <f t="shared" si="333"/>
        <v>0</v>
      </c>
      <c r="CJ1053">
        <f t="shared" si="334"/>
        <v>0</v>
      </c>
      <c r="CK1053">
        <f t="shared" si="335"/>
        <v>0</v>
      </c>
      <c r="CL1053">
        <f t="shared" si="336"/>
        <v>0</v>
      </c>
      <c r="CM1053">
        <f t="shared" si="338"/>
        <v>0</v>
      </c>
      <c r="CN1053">
        <f t="shared" si="337"/>
        <v>0</v>
      </c>
      <c r="CO1053">
        <f t="shared" si="321"/>
        <v>0</v>
      </c>
    </row>
    <row r="1054" spans="1:93" s="12" customFormat="1" x14ac:dyDescent="0.25">
      <c r="A1054" s="4">
        <v>2021</v>
      </c>
      <c r="B1054" s="318">
        <v>44279</v>
      </c>
      <c r="C1054" s="4" t="s">
        <v>1494</v>
      </c>
      <c r="D1054" s="4" t="s">
        <v>1495</v>
      </c>
      <c r="E1054" s="4"/>
      <c r="F1054" s="4" t="s">
        <v>1496</v>
      </c>
      <c r="G1054" s="5" t="s">
        <v>15</v>
      </c>
      <c r="H1054" s="5" t="s">
        <v>1498</v>
      </c>
      <c r="I1054" s="5" t="s">
        <v>1502</v>
      </c>
      <c r="J1054" s="5" t="s">
        <v>10</v>
      </c>
      <c r="K1054" s="5">
        <v>11</v>
      </c>
      <c r="L1054" s="5" t="s">
        <v>1503</v>
      </c>
      <c r="M1054" s="5">
        <v>1100</v>
      </c>
      <c r="N1054" s="5" t="s">
        <v>170</v>
      </c>
      <c r="O1054" s="6" t="s">
        <v>1499</v>
      </c>
      <c r="P1054" s="6" t="s">
        <v>1500</v>
      </c>
      <c r="Q1054" s="6"/>
      <c r="R1054" s="6"/>
      <c r="S1054" s="6">
        <v>20</v>
      </c>
      <c r="T1054" s="6">
        <v>4.46</v>
      </c>
      <c r="U1054" s="6">
        <v>6000</v>
      </c>
      <c r="V1054" s="6">
        <v>7.1</v>
      </c>
      <c r="W1054" s="6">
        <v>6000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7">
        <v>80</v>
      </c>
      <c r="AD1054" s="7" t="str">
        <f t="shared" si="339"/>
        <v>av</v>
      </c>
      <c r="AE1054" s="7">
        <v>12.61</v>
      </c>
      <c r="AF1054" s="7">
        <v>501</v>
      </c>
      <c r="AG1054" s="7">
        <v>28.56</v>
      </c>
      <c r="AH1054" s="7">
        <v>26.94</v>
      </c>
      <c r="AI1054" s="7">
        <v>31.13</v>
      </c>
      <c r="AJ1054" s="9">
        <v>164.29620405676999</v>
      </c>
      <c r="AK1054" s="9">
        <v>168.84847553367101</v>
      </c>
      <c r="AL1054" s="9">
        <v>228.06847387184001</v>
      </c>
      <c r="AM1054" s="9">
        <v>44.5856398387374</v>
      </c>
      <c r="AN1054" s="9">
        <v>4.3415049377525197</v>
      </c>
      <c r="AO1054" s="9">
        <v>0.63192971293344302</v>
      </c>
      <c r="AP1054" s="9">
        <v>347.32039502020098</v>
      </c>
      <c r="AQ1054" s="9">
        <v>4.1808695059772596</v>
      </c>
      <c r="AR1054" s="9">
        <v>5.5917618174247901</v>
      </c>
      <c r="AS1054" s="8" t="s">
        <v>169</v>
      </c>
      <c r="AT1054" s="8" t="s">
        <v>169</v>
      </c>
      <c r="AU1054" s="10" t="s">
        <v>169</v>
      </c>
      <c r="AV1054" s="10">
        <v>0</v>
      </c>
      <c r="AW1054" s="8"/>
      <c r="AX1054" s="10" t="s">
        <v>169</v>
      </c>
      <c r="AY1054" s="8"/>
      <c r="AZ1054" s="8"/>
      <c r="BA1054" s="8"/>
      <c r="BB1054" s="8"/>
      <c r="BC1054" s="8"/>
      <c r="BD1054" s="8"/>
      <c r="BE1054" s="8"/>
      <c r="BF1054" s="12">
        <v>0.44</v>
      </c>
      <c r="BG1054" s="13">
        <v>174.77647381045401</v>
      </c>
      <c r="BH1054" s="96" t="str">
        <f>+VLOOKUP(G1054,Liste!$A$7:$G$50,3,FALSE)</f>
        <v>Pin sylvestre</v>
      </c>
      <c r="BI1054" s="96" t="str">
        <f>+VLOOKUP(H1054,Liste!$B$7:$G$50,5,FALSE)</f>
        <v>GSM Alpes du Sud</v>
      </c>
      <c r="BJ1054" s="135">
        <f t="shared" si="320"/>
        <v>80</v>
      </c>
      <c r="BK1054" s="135" t="str">
        <f t="shared" si="322"/>
        <v>Pin sylvestre_F2_PS2_d2_GSM Alpes du Sud_80_</v>
      </c>
      <c r="BL1054" s="322"/>
      <c r="BM1054" s="13">
        <v>47.104060974161897</v>
      </c>
      <c r="BN1054" s="13">
        <v>221.880534784616</v>
      </c>
      <c r="BO1054" s="13" t="s">
        <v>169</v>
      </c>
      <c r="BP1054" s="13">
        <v>133.567642172782</v>
      </c>
      <c r="BQ1054" s="13">
        <v>5.2524386815517303</v>
      </c>
      <c r="BT1054" s="298" t="str">
        <f>+VLOOKUP(G1054,Liste!$A$7:$H$50,8,FALSE)</f>
        <v>Résineux</v>
      </c>
      <c r="BU1054" s="298">
        <f t="shared" si="323"/>
        <v>0</v>
      </c>
      <c r="BV1054" s="300">
        <f t="shared" si="324"/>
        <v>1</v>
      </c>
      <c r="BW1054" s="321">
        <v>0</v>
      </c>
      <c r="BX1054" s="298">
        <f t="shared" si="325"/>
        <v>0.43</v>
      </c>
      <c r="BY1054">
        <f t="shared" si="326"/>
        <v>0</v>
      </c>
      <c r="BZ1054" s="304">
        <f t="shared" si="327"/>
        <v>0</v>
      </c>
      <c r="CB1054" s="299">
        <v>0.6</v>
      </c>
      <c r="CC1054" s="299">
        <v>0.4</v>
      </c>
      <c r="CD1054">
        <f t="shared" si="328"/>
        <v>0</v>
      </c>
      <c r="CE1054">
        <f t="shared" si="329"/>
        <v>0</v>
      </c>
      <c r="CF1054">
        <f t="shared" si="330"/>
        <v>0</v>
      </c>
      <c r="CG1054">
        <f t="shared" si="331"/>
        <v>0</v>
      </c>
      <c r="CH1054">
        <f t="shared" si="332"/>
        <v>0</v>
      </c>
      <c r="CI1054">
        <f t="shared" si="333"/>
        <v>0</v>
      </c>
      <c r="CJ1054">
        <f t="shared" si="334"/>
        <v>0</v>
      </c>
      <c r="CK1054">
        <f t="shared" si="335"/>
        <v>0</v>
      </c>
      <c r="CL1054">
        <f t="shared" si="336"/>
        <v>0</v>
      </c>
      <c r="CM1054">
        <f t="shared" si="338"/>
        <v>0</v>
      </c>
      <c r="CN1054">
        <f t="shared" si="337"/>
        <v>0</v>
      </c>
      <c r="CO1054">
        <f t="shared" si="321"/>
        <v>0</v>
      </c>
    </row>
    <row r="1055" spans="1:93" s="12" customFormat="1" x14ac:dyDescent="0.25">
      <c r="A1055" s="4">
        <v>2021</v>
      </c>
      <c r="B1055" s="318">
        <v>44279</v>
      </c>
      <c r="C1055" s="4" t="s">
        <v>1494</v>
      </c>
      <c r="D1055" s="4" t="s">
        <v>1495</v>
      </c>
      <c r="E1055" s="4"/>
      <c r="F1055" s="4" t="s">
        <v>1496</v>
      </c>
      <c r="G1055" s="5" t="s">
        <v>15</v>
      </c>
      <c r="H1055" s="5" t="s">
        <v>1498</v>
      </c>
      <c r="I1055" s="5" t="s">
        <v>1502</v>
      </c>
      <c r="J1055" s="5" t="s">
        <v>10</v>
      </c>
      <c r="K1055" s="5">
        <v>11</v>
      </c>
      <c r="L1055" s="5" t="s">
        <v>1503</v>
      </c>
      <c r="M1055" s="5">
        <v>1100</v>
      </c>
      <c r="N1055" s="5" t="s">
        <v>170</v>
      </c>
      <c r="O1055" s="6" t="s">
        <v>1499</v>
      </c>
      <c r="P1055" s="6" t="s">
        <v>1500</v>
      </c>
      <c r="Q1055" s="6"/>
      <c r="R1055" s="6"/>
      <c r="S1055" s="6">
        <v>20</v>
      </c>
      <c r="T1055" s="6">
        <v>4.46</v>
      </c>
      <c r="U1055" s="6">
        <v>6000</v>
      </c>
      <c r="V1055" s="6">
        <v>7.1</v>
      </c>
      <c r="W1055" s="6">
        <v>6000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7">
        <v>85</v>
      </c>
      <c r="AD1055" s="7" t="str">
        <f t="shared" si="339"/>
        <v>av</v>
      </c>
      <c r="AE1055" s="7">
        <v>12.73</v>
      </c>
      <c r="AF1055" s="7">
        <v>492</v>
      </c>
      <c r="AG1055" s="7">
        <v>31.22</v>
      </c>
      <c r="AH1055" s="7">
        <v>28.42</v>
      </c>
      <c r="AI1055" s="7">
        <v>33.01</v>
      </c>
      <c r="AJ1055" s="9">
        <v>180.545135336817</v>
      </c>
      <c r="AK1055" s="9">
        <v>185.98943222862999</v>
      </c>
      <c r="AL1055" s="9">
        <v>252.03291944776299</v>
      </c>
      <c r="AM1055" s="9">
        <v>47.7452884034047</v>
      </c>
      <c r="AN1055" s="9">
        <v>4.4150494600861796</v>
      </c>
      <c r="AO1055" s="9">
        <v>0.56308913979664899</v>
      </c>
      <c r="AP1055" s="9">
        <v>375.27920410732497</v>
      </c>
      <c r="AQ1055" s="9">
        <v>4.2439029868934099</v>
      </c>
      <c r="AR1055" s="9">
        <v>5.0061549517695099</v>
      </c>
      <c r="AS1055" s="8" t="s">
        <v>169</v>
      </c>
      <c r="AT1055" s="8" t="s">
        <v>169</v>
      </c>
      <c r="AU1055" s="10" t="s">
        <v>169</v>
      </c>
      <c r="AV1055" s="10">
        <v>0</v>
      </c>
      <c r="AW1055" s="8"/>
      <c r="AX1055" s="10" t="s">
        <v>169</v>
      </c>
      <c r="AY1055" s="8"/>
      <c r="AZ1055" s="8"/>
      <c r="BA1055" s="8"/>
      <c r="BB1055" s="8"/>
      <c r="BC1055" s="8"/>
      <c r="BD1055" s="8"/>
      <c r="BE1055" s="8"/>
      <c r="BF1055" s="12">
        <v>0.44</v>
      </c>
      <c r="BG1055" s="13">
        <v>193.141227270136</v>
      </c>
      <c r="BH1055" s="96" t="str">
        <f>+VLOOKUP(G1055,Liste!$A$7:$G$50,3,FALSE)</f>
        <v>Pin sylvestre</v>
      </c>
      <c r="BI1055" s="96" t="str">
        <f>+VLOOKUP(H1055,Liste!$B$7:$G$50,5,FALSE)</f>
        <v>GSM Alpes du Sud</v>
      </c>
      <c r="BJ1055" s="135">
        <f t="shared" si="320"/>
        <v>85</v>
      </c>
      <c r="BK1055" s="135" t="str">
        <f t="shared" si="322"/>
        <v>Pin sylvestre_F2_PS2_d2_GSM Alpes du Sud_85_</v>
      </c>
      <c r="BL1055" s="322"/>
      <c r="BM1055" s="13">
        <v>51.451676904239399</v>
      </c>
      <c r="BN1055" s="13">
        <v>244.59290417437501</v>
      </c>
      <c r="BO1055" s="13" t="s">
        <v>169</v>
      </c>
      <c r="BP1055" s="13">
        <v>133.567642172782</v>
      </c>
      <c r="BQ1055" s="13">
        <v>4.6952554057115004</v>
      </c>
      <c r="BT1055" s="298" t="str">
        <f>+VLOOKUP(G1055,Liste!$A$7:$H$50,8,FALSE)</f>
        <v>Résineux</v>
      </c>
      <c r="BU1055" s="298">
        <f t="shared" si="323"/>
        <v>0</v>
      </c>
      <c r="BV1055" s="300">
        <f t="shared" si="324"/>
        <v>1</v>
      </c>
      <c r="BW1055" s="321">
        <v>0</v>
      </c>
      <c r="BX1055" s="298">
        <f t="shared" si="325"/>
        <v>0.43</v>
      </c>
      <c r="BY1055">
        <f t="shared" si="326"/>
        <v>0</v>
      </c>
      <c r="BZ1055" s="304">
        <f t="shared" si="327"/>
        <v>0</v>
      </c>
      <c r="CB1055" s="299">
        <v>0.6</v>
      </c>
      <c r="CC1055" s="299">
        <v>0.4</v>
      </c>
      <c r="CD1055">
        <f t="shared" si="328"/>
        <v>0</v>
      </c>
      <c r="CE1055">
        <f t="shared" si="329"/>
        <v>0</v>
      </c>
      <c r="CF1055">
        <f t="shared" si="330"/>
        <v>0</v>
      </c>
      <c r="CG1055">
        <f t="shared" si="331"/>
        <v>0</v>
      </c>
      <c r="CH1055">
        <f t="shared" si="332"/>
        <v>0</v>
      </c>
      <c r="CI1055">
        <f t="shared" si="333"/>
        <v>0</v>
      </c>
      <c r="CJ1055">
        <f t="shared" si="334"/>
        <v>0</v>
      </c>
      <c r="CK1055">
        <f t="shared" si="335"/>
        <v>0</v>
      </c>
      <c r="CL1055">
        <f t="shared" si="336"/>
        <v>0</v>
      </c>
      <c r="CM1055">
        <f t="shared" si="338"/>
        <v>0</v>
      </c>
      <c r="CN1055">
        <f t="shared" si="337"/>
        <v>0</v>
      </c>
      <c r="CO1055">
        <f t="shared" si="321"/>
        <v>0</v>
      </c>
    </row>
    <row r="1056" spans="1:93" x14ac:dyDescent="0.25">
      <c r="A1056" s="4">
        <v>2021</v>
      </c>
      <c r="B1056" s="318">
        <v>44279</v>
      </c>
      <c r="C1056" s="4" t="s">
        <v>1494</v>
      </c>
      <c r="D1056" s="4" t="s">
        <v>1495</v>
      </c>
      <c r="F1056" s="4" t="s">
        <v>1496</v>
      </c>
      <c r="G1056" s="5" t="s">
        <v>15</v>
      </c>
      <c r="H1056" s="5" t="s">
        <v>1498</v>
      </c>
      <c r="I1056" s="5" t="s">
        <v>1502</v>
      </c>
      <c r="J1056" s="5" t="s">
        <v>10</v>
      </c>
      <c r="K1056" s="5">
        <v>11</v>
      </c>
      <c r="L1056" s="5" t="s">
        <v>1503</v>
      </c>
      <c r="M1056" s="5">
        <v>1100</v>
      </c>
      <c r="N1056" s="5" t="s">
        <v>170</v>
      </c>
      <c r="O1056" s="6" t="s">
        <v>1499</v>
      </c>
      <c r="P1056" s="6" t="s">
        <v>1500</v>
      </c>
      <c r="S1056" s="6">
        <v>20</v>
      </c>
      <c r="T1056" s="6">
        <v>4.46</v>
      </c>
      <c r="U1056" s="6">
        <v>6000</v>
      </c>
      <c r="V1056" s="6">
        <v>7.1</v>
      </c>
      <c r="W1056" s="6">
        <v>6000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7">
        <v>85</v>
      </c>
      <c r="AD1056" s="7" t="str">
        <f t="shared" si="339"/>
        <v>ap</v>
      </c>
      <c r="AE1056" s="7">
        <v>12.73</v>
      </c>
      <c r="AF1056" s="7">
        <v>259</v>
      </c>
      <c r="AG1056" s="7">
        <v>18.059999999999999</v>
      </c>
      <c r="AH1056" s="7">
        <v>29.79</v>
      </c>
      <c r="AI1056" s="7">
        <v>32.869999999999997</v>
      </c>
      <c r="AJ1056" s="9">
        <v>104.24132063487799</v>
      </c>
      <c r="AK1056" s="9">
        <v>107.638406955524</v>
      </c>
      <c r="AL1056" s="9">
        <v>146.58573922055299</v>
      </c>
      <c r="AM1056" s="9">
        <v>47.7452884034047</v>
      </c>
      <c r="AN1056" s="9">
        <v>4.4150494600861796</v>
      </c>
      <c r="AO1056" s="9">
        <v>0.56308913979664899</v>
      </c>
      <c r="AP1056" s="9">
        <v>375.27920410732497</v>
      </c>
      <c r="AQ1056" s="9">
        <v>4.2439029868934099</v>
      </c>
      <c r="AR1056" s="9">
        <v>5.0061549517695099</v>
      </c>
      <c r="AS1056" s="8">
        <v>233</v>
      </c>
      <c r="AT1056" s="8">
        <v>13.16</v>
      </c>
      <c r="AU1056" s="10">
        <v>26.816682086758302</v>
      </c>
      <c r="AV1056" s="10">
        <v>76.303814701939004</v>
      </c>
      <c r="AW1056" s="8">
        <v>0.89</v>
      </c>
      <c r="AX1056" s="10">
        <v>0.32748418327012446</v>
      </c>
      <c r="BF1056" s="12">
        <v>0.44</v>
      </c>
      <c r="BG1056" s="13">
        <v>112.333538156017</v>
      </c>
      <c r="BH1056" s="96" t="str">
        <f>+VLOOKUP(G1056,Liste!$A$7:$G$50,3,FALSE)</f>
        <v>Pin sylvestre</v>
      </c>
      <c r="BI1056" s="96" t="str">
        <f>+VLOOKUP(H1056,Liste!$B$7:$G$50,5,FALSE)</f>
        <v>GSM Alpes du Sud</v>
      </c>
      <c r="BJ1056" s="135">
        <f t="shared" si="320"/>
        <v>85</v>
      </c>
      <c r="BK1056" s="135" t="str">
        <f t="shared" si="322"/>
        <v>Pin sylvestre_F2_PS2_d2_GSM Alpes du Sud_85_</v>
      </c>
      <c r="BL1056" s="322"/>
      <c r="BM1056" s="13">
        <v>31.8735572009214</v>
      </c>
      <c r="BN1056" s="13">
        <v>144.207095356938</v>
      </c>
      <c r="BO1056" s="13">
        <v>100.38580881743701</v>
      </c>
      <c r="BP1056" s="13">
        <v>133.567642172782</v>
      </c>
      <c r="BQ1056" s="13">
        <v>4.6952554057115004</v>
      </c>
      <c r="BT1056" s="298" t="str">
        <f>+VLOOKUP(G1056,Liste!$A$7:$H$50,8,FALSE)</f>
        <v>Résineux</v>
      </c>
      <c r="BU1056" s="298">
        <f t="shared" si="323"/>
        <v>0</v>
      </c>
      <c r="BV1056" s="300">
        <f t="shared" si="324"/>
        <v>1</v>
      </c>
      <c r="BW1056" s="321">
        <v>0</v>
      </c>
      <c r="BX1056" s="298">
        <f t="shared" si="325"/>
        <v>0.43</v>
      </c>
      <c r="BY1056">
        <f t="shared" si="326"/>
        <v>0</v>
      </c>
      <c r="BZ1056" s="304">
        <f t="shared" si="327"/>
        <v>0</v>
      </c>
      <c r="CB1056" s="299">
        <v>0.6</v>
      </c>
      <c r="CC1056" s="299">
        <v>0.4</v>
      </c>
      <c r="CD1056">
        <f t="shared" si="328"/>
        <v>0</v>
      </c>
      <c r="CE1056">
        <f t="shared" si="329"/>
        <v>0</v>
      </c>
      <c r="CF1056">
        <f t="shared" si="330"/>
        <v>0</v>
      </c>
      <c r="CG1056">
        <f t="shared" si="331"/>
        <v>0</v>
      </c>
      <c r="CH1056">
        <f t="shared" si="332"/>
        <v>0</v>
      </c>
      <c r="CI1056">
        <f t="shared" si="333"/>
        <v>0</v>
      </c>
      <c r="CJ1056">
        <f t="shared" si="334"/>
        <v>0</v>
      </c>
      <c r="CK1056">
        <f t="shared" si="335"/>
        <v>0</v>
      </c>
      <c r="CL1056">
        <f t="shared" si="336"/>
        <v>0</v>
      </c>
      <c r="CM1056">
        <f t="shared" si="338"/>
        <v>0</v>
      </c>
      <c r="CN1056">
        <f t="shared" si="337"/>
        <v>0</v>
      </c>
      <c r="CO1056">
        <f t="shared" si="321"/>
        <v>0</v>
      </c>
    </row>
    <row r="1057" spans="1:93" x14ac:dyDescent="0.25">
      <c r="A1057" s="4">
        <v>2021</v>
      </c>
      <c r="B1057" s="318">
        <v>44279</v>
      </c>
      <c r="C1057" s="4" t="s">
        <v>1494</v>
      </c>
      <c r="D1057" s="4" t="s">
        <v>1495</v>
      </c>
      <c r="F1057" s="4" t="s">
        <v>1496</v>
      </c>
      <c r="G1057" s="5" t="s">
        <v>15</v>
      </c>
      <c r="H1057" s="5" t="s">
        <v>1498</v>
      </c>
      <c r="I1057" s="5" t="s">
        <v>1502</v>
      </c>
      <c r="J1057" s="5" t="s">
        <v>10</v>
      </c>
      <c r="K1057" s="5">
        <v>11</v>
      </c>
      <c r="L1057" s="5" t="s">
        <v>1503</v>
      </c>
      <c r="M1057" s="5">
        <v>1100</v>
      </c>
      <c r="N1057" s="5" t="s">
        <v>170</v>
      </c>
      <c r="O1057" s="6" t="s">
        <v>1499</v>
      </c>
      <c r="P1057" s="6" t="s">
        <v>1500</v>
      </c>
      <c r="S1057" s="6">
        <v>20</v>
      </c>
      <c r="T1057" s="6">
        <v>4.46</v>
      </c>
      <c r="U1057" s="6">
        <v>6000</v>
      </c>
      <c r="V1057" s="6">
        <v>7.1</v>
      </c>
      <c r="W1057" s="6">
        <v>6000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7">
        <v>90</v>
      </c>
      <c r="AD1057" s="7" t="str">
        <f t="shared" si="339"/>
        <v>av</v>
      </c>
      <c r="AE1057" s="7">
        <v>12.84</v>
      </c>
      <c r="AF1057" s="7">
        <v>256</v>
      </c>
      <c r="AG1057" s="7">
        <v>20.66</v>
      </c>
      <c r="AH1057" s="7">
        <v>32.06</v>
      </c>
      <c r="AI1057" s="7">
        <v>35.479999999999997</v>
      </c>
      <c r="AJ1057" s="9">
        <v>119.606861977481</v>
      </c>
      <c r="AK1057" s="9">
        <v>123.97106769369999</v>
      </c>
      <c r="AL1057" s="9">
        <v>169.93439262493399</v>
      </c>
      <c r="AM1057" s="9">
        <v>50.560734102387897</v>
      </c>
      <c r="AN1057" s="9">
        <v>4.4478886540685902</v>
      </c>
      <c r="AO1057" s="9">
        <v>0.58181649718873996</v>
      </c>
      <c r="AP1057" s="9">
        <v>400.30997886617303</v>
      </c>
      <c r="AQ1057" s="9">
        <v>4.2689781212721902</v>
      </c>
      <c r="AR1057" s="9">
        <v>5.23065158669763</v>
      </c>
      <c r="AS1057" s="8" t="s">
        <v>169</v>
      </c>
      <c r="AT1057" s="8" t="s">
        <v>169</v>
      </c>
      <c r="AU1057" s="10" t="s">
        <v>169</v>
      </c>
      <c r="AV1057" s="10">
        <v>0</v>
      </c>
      <c r="AX1057" s="10" t="s">
        <v>169</v>
      </c>
      <c r="BF1057" s="12">
        <v>0.44</v>
      </c>
      <c r="BG1057" s="13">
        <v>130.226389548241</v>
      </c>
      <c r="BH1057" s="96" t="str">
        <f>+VLOOKUP(G1057,Liste!$A$7:$G$50,3,FALSE)</f>
        <v>Pin sylvestre</v>
      </c>
      <c r="BI1057" s="96" t="str">
        <f>+VLOOKUP(H1057,Liste!$B$7:$G$50,5,FALSE)</f>
        <v>GSM Alpes du Sud</v>
      </c>
      <c r="BJ1057" s="135">
        <f t="shared" si="320"/>
        <v>90</v>
      </c>
      <c r="BK1057" s="135" t="str">
        <f t="shared" si="322"/>
        <v>Pin sylvestre_F2_PS2_d2_GSM Alpes du Sud_90_</v>
      </c>
      <c r="BL1057" s="322"/>
      <c r="BM1057" s="13">
        <v>36.3202167882</v>
      </c>
      <c r="BN1057" s="13">
        <v>166.54660633644099</v>
      </c>
      <c r="BO1057" s="13" t="s">
        <v>169</v>
      </c>
      <c r="BP1057" s="13">
        <v>133.567642172782</v>
      </c>
      <c r="BQ1057" s="13">
        <v>4.8991584903230496</v>
      </c>
      <c r="BT1057" s="298" t="str">
        <f>+VLOOKUP(G1057,Liste!$A$7:$H$50,8,FALSE)</f>
        <v>Résineux</v>
      </c>
      <c r="BU1057" s="298">
        <f t="shared" si="323"/>
        <v>0</v>
      </c>
      <c r="BV1057" s="300">
        <f t="shared" si="324"/>
        <v>1</v>
      </c>
      <c r="BW1057" s="321">
        <v>0</v>
      </c>
      <c r="BX1057" s="298">
        <f t="shared" si="325"/>
        <v>0.43</v>
      </c>
      <c r="BY1057">
        <f t="shared" si="326"/>
        <v>0</v>
      </c>
      <c r="BZ1057" s="304">
        <f t="shared" si="327"/>
        <v>0</v>
      </c>
      <c r="CB1057" s="299">
        <v>0.6</v>
      </c>
      <c r="CC1057" s="299">
        <v>0.4</v>
      </c>
      <c r="CD1057">
        <f t="shared" si="328"/>
        <v>0</v>
      </c>
      <c r="CE1057">
        <f t="shared" si="329"/>
        <v>0</v>
      </c>
      <c r="CF1057">
        <f t="shared" si="330"/>
        <v>0</v>
      </c>
      <c r="CG1057">
        <f t="shared" si="331"/>
        <v>0</v>
      </c>
      <c r="CH1057">
        <f t="shared" si="332"/>
        <v>0</v>
      </c>
      <c r="CI1057">
        <f t="shared" si="333"/>
        <v>0</v>
      </c>
      <c r="CJ1057">
        <f t="shared" si="334"/>
        <v>0</v>
      </c>
      <c r="CK1057">
        <f t="shared" si="335"/>
        <v>0</v>
      </c>
      <c r="CL1057">
        <f t="shared" si="336"/>
        <v>0</v>
      </c>
      <c r="CM1057">
        <f t="shared" si="338"/>
        <v>0</v>
      </c>
      <c r="CN1057">
        <f t="shared" si="337"/>
        <v>0</v>
      </c>
      <c r="CO1057">
        <f t="shared" si="321"/>
        <v>0</v>
      </c>
    </row>
    <row r="1058" spans="1:93" x14ac:dyDescent="0.25">
      <c r="A1058" s="4">
        <v>2021</v>
      </c>
      <c r="B1058" s="318">
        <v>44279</v>
      </c>
      <c r="C1058" s="4" t="s">
        <v>1494</v>
      </c>
      <c r="D1058" s="4" t="s">
        <v>1495</v>
      </c>
      <c r="F1058" s="4" t="s">
        <v>1496</v>
      </c>
      <c r="G1058" s="5" t="s">
        <v>15</v>
      </c>
      <c r="H1058" s="5" t="s">
        <v>1498</v>
      </c>
      <c r="I1058" s="5" t="s">
        <v>1502</v>
      </c>
      <c r="J1058" s="5" t="s">
        <v>10</v>
      </c>
      <c r="K1058" s="5">
        <v>11</v>
      </c>
      <c r="L1058" s="5" t="s">
        <v>1503</v>
      </c>
      <c r="M1058" s="5">
        <v>1100</v>
      </c>
      <c r="N1058" s="5" t="s">
        <v>170</v>
      </c>
      <c r="O1058" s="6" t="s">
        <v>1499</v>
      </c>
      <c r="P1058" s="6" t="s">
        <v>1500</v>
      </c>
      <c r="S1058" s="6">
        <v>20</v>
      </c>
      <c r="T1058" s="6">
        <v>4.46</v>
      </c>
      <c r="U1058" s="6">
        <v>6000</v>
      </c>
      <c r="V1058" s="6">
        <v>7.1</v>
      </c>
      <c r="W1058" s="6">
        <v>6000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7">
        <v>95</v>
      </c>
      <c r="AD1058" s="7" t="str">
        <f t="shared" si="339"/>
        <v>av</v>
      </c>
      <c r="AE1058" s="7">
        <v>12.93</v>
      </c>
      <c r="AF1058" s="7">
        <v>253</v>
      </c>
      <c r="AG1058" s="7">
        <v>23.37</v>
      </c>
      <c r="AH1058" s="7">
        <v>34.29</v>
      </c>
      <c r="AI1058" s="7">
        <v>37.97</v>
      </c>
      <c r="AJ1058" s="9">
        <v>135.47353386607301</v>
      </c>
      <c r="AK1058" s="9">
        <v>140.93146769997799</v>
      </c>
      <c r="AL1058" s="9">
        <v>194.430248071894</v>
      </c>
      <c r="AM1058" s="9">
        <v>53.469816588331597</v>
      </c>
      <c r="AN1058" s="9">
        <v>4.4890867031543298</v>
      </c>
      <c r="AO1058" s="9">
        <v>0.58501943415128199</v>
      </c>
      <c r="AP1058" s="9">
        <v>426.46323679966099</v>
      </c>
      <c r="AQ1058" s="9">
        <v>4.3021455091169702</v>
      </c>
      <c r="AR1058" s="9">
        <v>5.3143850287961101</v>
      </c>
      <c r="AS1058" s="8" t="s">
        <v>169</v>
      </c>
      <c r="AT1058" s="8" t="s">
        <v>169</v>
      </c>
      <c r="AU1058" s="10" t="s">
        <v>169</v>
      </c>
      <c r="AV1058" s="10">
        <v>0</v>
      </c>
      <c r="AX1058" s="10" t="s">
        <v>169</v>
      </c>
      <c r="BF1058" s="12">
        <v>0.44</v>
      </c>
      <c r="BG1058" s="13">
        <v>148.99838010576201</v>
      </c>
      <c r="BH1058" s="96" t="str">
        <f>+VLOOKUP(G1058,Liste!$A$7:$G$50,3,FALSE)</f>
        <v>Pin sylvestre</v>
      </c>
      <c r="BI1058" s="96" t="str">
        <f>+VLOOKUP(H1058,Liste!$B$7:$G$50,5,FALSE)</f>
        <v>GSM Alpes du Sud</v>
      </c>
      <c r="BJ1058" s="135">
        <f t="shared" si="320"/>
        <v>95</v>
      </c>
      <c r="BK1058" s="135" t="str">
        <f t="shared" si="322"/>
        <v>Pin sylvestre_F2_PS2_d2_GSM Alpes du Sud_95_</v>
      </c>
      <c r="BL1058" s="322"/>
      <c r="BM1058" s="13">
        <v>40.909447134122402</v>
      </c>
      <c r="BN1058" s="13">
        <v>189.907827239884</v>
      </c>
      <c r="BO1058" s="13" t="s">
        <v>169</v>
      </c>
      <c r="BP1058" s="13">
        <v>133.567642172782</v>
      </c>
      <c r="BQ1058" s="13">
        <v>4.9710946375126204</v>
      </c>
      <c r="BT1058" s="298" t="str">
        <f>+VLOOKUP(G1058,Liste!$A$7:$H$50,8,FALSE)</f>
        <v>Résineux</v>
      </c>
      <c r="BU1058" s="298">
        <f t="shared" si="323"/>
        <v>0</v>
      </c>
      <c r="BV1058" s="300">
        <f t="shared" si="324"/>
        <v>1</v>
      </c>
      <c r="BW1058" s="321">
        <v>0</v>
      </c>
      <c r="BX1058" s="298">
        <f t="shared" si="325"/>
        <v>0.43</v>
      </c>
      <c r="BY1058">
        <f t="shared" si="326"/>
        <v>0</v>
      </c>
      <c r="BZ1058" s="304">
        <f t="shared" si="327"/>
        <v>0</v>
      </c>
      <c r="CB1058" s="299">
        <v>0.6</v>
      </c>
      <c r="CC1058" s="299">
        <v>0.4</v>
      </c>
      <c r="CD1058">
        <f t="shared" si="328"/>
        <v>0</v>
      </c>
      <c r="CE1058">
        <f t="shared" si="329"/>
        <v>0</v>
      </c>
      <c r="CF1058">
        <f t="shared" si="330"/>
        <v>0</v>
      </c>
      <c r="CG1058">
        <f t="shared" si="331"/>
        <v>0</v>
      </c>
      <c r="CH1058">
        <f t="shared" si="332"/>
        <v>0</v>
      </c>
      <c r="CI1058">
        <f t="shared" si="333"/>
        <v>0</v>
      </c>
      <c r="CJ1058">
        <f t="shared" si="334"/>
        <v>0</v>
      </c>
      <c r="CK1058">
        <f t="shared" si="335"/>
        <v>0</v>
      </c>
      <c r="CL1058">
        <f t="shared" si="336"/>
        <v>0</v>
      </c>
      <c r="CM1058">
        <f t="shared" si="338"/>
        <v>0</v>
      </c>
      <c r="CN1058">
        <f t="shared" si="337"/>
        <v>0</v>
      </c>
      <c r="CO1058">
        <f t="shared" si="321"/>
        <v>0</v>
      </c>
    </row>
    <row r="1059" spans="1:93" x14ac:dyDescent="0.25">
      <c r="A1059" s="4">
        <v>2021</v>
      </c>
      <c r="B1059" s="318">
        <v>44279</v>
      </c>
      <c r="C1059" s="4" t="s">
        <v>1494</v>
      </c>
      <c r="D1059" s="4" t="s">
        <v>1495</v>
      </c>
      <c r="F1059" s="4" t="s">
        <v>1496</v>
      </c>
      <c r="G1059" s="5" t="s">
        <v>15</v>
      </c>
      <c r="H1059" s="5" t="s">
        <v>1498</v>
      </c>
      <c r="I1059" s="5" t="s">
        <v>1502</v>
      </c>
      <c r="J1059" s="5" t="s">
        <v>10</v>
      </c>
      <c r="K1059" s="5">
        <v>11</v>
      </c>
      <c r="L1059" s="5" t="s">
        <v>1503</v>
      </c>
      <c r="M1059" s="5">
        <v>1100</v>
      </c>
      <c r="N1059" s="5" t="s">
        <v>170</v>
      </c>
      <c r="O1059" s="6" t="s">
        <v>1499</v>
      </c>
      <c r="P1059" s="6" t="s">
        <v>1500</v>
      </c>
      <c r="S1059" s="6">
        <v>20</v>
      </c>
      <c r="T1059" s="6">
        <v>4.46</v>
      </c>
      <c r="U1059" s="6">
        <v>6000</v>
      </c>
      <c r="V1059" s="6">
        <v>7.1</v>
      </c>
      <c r="W1059" s="6">
        <v>6000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7">
        <v>100</v>
      </c>
      <c r="AD1059" s="7" t="str">
        <f t="shared" si="339"/>
        <v>av</v>
      </c>
      <c r="AE1059" s="7">
        <v>13.02</v>
      </c>
      <c r="AF1059" s="7">
        <v>244</v>
      </c>
      <c r="AG1059" s="7">
        <v>25.47</v>
      </c>
      <c r="AH1059" s="7">
        <v>36.46</v>
      </c>
      <c r="AI1059" s="7">
        <v>40.29</v>
      </c>
      <c r="AJ1059" s="9">
        <v>147.79135157670299</v>
      </c>
      <c r="AK1059" s="9">
        <v>154.28661932025301</v>
      </c>
      <c r="AL1059" s="9">
        <v>214.185973997019</v>
      </c>
      <c r="AM1059" s="9">
        <v>56.394913759087999</v>
      </c>
      <c r="AN1059" s="9">
        <v>4.5303516194364102</v>
      </c>
      <c r="AO1059" s="9">
        <v>0.59528230577982599</v>
      </c>
      <c r="AP1059" s="9">
        <v>453.03516194364101</v>
      </c>
      <c r="AQ1059" s="9">
        <v>4.33559296553676</v>
      </c>
      <c r="AR1059" s="9">
        <v>5.4553190411593597</v>
      </c>
      <c r="AS1059" s="8" t="s">
        <v>169</v>
      </c>
      <c r="AT1059" s="8" t="s">
        <v>169</v>
      </c>
      <c r="AU1059" s="10" t="s">
        <v>169</v>
      </c>
      <c r="AV1059" s="10">
        <v>0</v>
      </c>
      <c r="AX1059" s="10" t="s">
        <v>169</v>
      </c>
      <c r="BF1059" s="12">
        <v>0.44</v>
      </c>
      <c r="BG1059" s="13">
        <v>164.137851406382</v>
      </c>
      <c r="BH1059" s="96" t="str">
        <f>+VLOOKUP(G1059,Liste!$A$7:$G$50,3,FALSE)</f>
        <v>Pin sylvestre</v>
      </c>
      <c r="BI1059" s="96" t="str">
        <f>+VLOOKUP(H1059,Liste!$B$7:$G$50,5,FALSE)</f>
        <v>GSM Alpes du Sud</v>
      </c>
      <c r="BJ1059" s="135">
        <f t="shared" si="320"/>
        <v>100</v>
      </c>
      <c r="BK1059" s="135" t="str">
        <f t="shared" si="322"/>
        <v>Pin sylvestre_F2_PS2_d2_GSM Alpes du Sud_100_</v>
      </c>
      <c r="BL1059" s="322"/>
      <c r="BM1059" s="13">
        <v>44.561401549093503</v>
      </c>
      <c r="BN1059" s="13">
        <v>208.699252955475</v>
      </c>
      <c r="BO1059" s="13" t="s">
        <v>169</v>
      </c>
      <c r="BP1059" s="13">
        <v>133.567642172782</v>
      </c>
      <c r="BQ1059" s="13">
        <v>5.0965658033671701</v>
      </c>
      <c r="BT1059" s="298" t="str">
        <f>+VLOOKUP(G1059,Liste!$A$7:$H$50,8,FALSE)</f>
        <v>Résineux</v>
      </c>
      <c r="BU1059" s="298">
        <f t="shared" si="323"/>
        <v>0</v>
      </c>
      <c r="BV1059" s="300">
        <f t="shared" si="324"/>
        <v>1</v>
      </c>
      <c r="BW1059" s="321">
        <v>0</v>
      </c>
      <c r="BX1059" s="298">
        <f t="shared" si="325"/>
        <v>0.43</v>
      </c>
      <c r="BY1059">
        <f t="shared" si="326"/>
        <v>0</v>
      </c>
      <c r="BZ1059" s="304">
        <f t="shared" si="327"/>
        <v>0</v>
      </c>
      <c r="CB1059" s="299">
        <v>0.6</v>
      </c>
      <c r="CC1059" s="299">
        <v>0.4</v>
      </c>
      <c r="CD1059">
        <f t="shared" si="328"/>
        <v>0</v>
      </c>
      <c r="CE1059">
        <f t="shared" si="329"/>
        <v>0</v>
      </c>
      <c r="CF1059">
        <f t="shared" si="330"/>
        <v>0</v>
      </c>
      <c r="CG1059">
        <f t="shared" si="331"/>
        <v>0</v>
      </c>
      <c r="CH1059">
        <f t="shared" si="332"/>
        <v>0</v>
      </c>
      <c r="CI1059">
        <f t="shared" si="333"/>
        <v>0</v>
      </c>
      <c r="CJ1059">
        <f t="shared" si="334"/>
        <v>0</v>
      </c>
      <c r="CK1059">
        <f t="shared" si="335"/>
        <v>0</v>
      </c>
      <c r="CL1059">
        <f t="shared" si="336"/>
        <v>0</v>
      </c>
      <c r="CM1059">
        <f t="shared" si="338"/>
        <v>0</v>
      </c>
      <c r="CN1059">
        <f t="shared" si="337"/>
        <v>0</v>
      </c>
      <c r="CO1059">
        <f t="shared" si="321"/>
        <v>0</v>
      </c>
    </row>
    <row r="1060" spans="1:93" x14ac:dyDescent="0.25">
      <c r="A1060" s="4">
        <v>2021</v>
      </c>
      <c r="B1060" s="318">
        <v>44279</v>
      </c>
      <c r="C1060" s="4" t="s">
        <v>1494</v>
      </c>
      <c r="D1060" s="4" t="s">
        <v>1495</v>
      </c>
      <c r="F1060" s="4" t="s">
        <v>1496</v>
      </c>
      <c r="G1060" s="5" t="s">
        <v>15</v>
      </c>
      <c r="H1060" s="5" t="s">
        <v>1498</v>
      </c>
      <c r="I1060" s="5" t="s">
        <v>1502</v>
      </c>
      <c r="J1060" s="5" t="s">
        <v>10</v>
      </c>
      <c r="K1060" s="5">
        <v>11</v>
      </c>
      <c r="L1060" s="5" t="s">
        <v>1503</v>
      </c>
      <c r="M1060" s="5">
        <v>1100</v>
      </c>
      <c r="N1060" s="5" t="s">
        <v>170</v>
      </c>
      <c r="O1060" s="6" t="s">
        <v>1499</v>
      </c>
      <c r="P1060" s="6" t="s">
        <v>1500</v>
      </c>
      <c r="S1060" s="6">
        <v>20</v>
      </c>
      <c r="T1060" s="6">
        <v>4.46</v>
      </c>
      <c r="U1060" s="6">
        <v>6000</v>
      </c>
      <c r="V1060" s="6">
        <v>7.1</v>
      </c>
      <c r="W1060" s="6">
        <v>6000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7">
        <v>105</v>
      </c>
      <c r="AD1060" s="7" t="str">
        <f t="shared" si="339"/>
        <v>av</v>
      </c>
      <c r="AE1060" s="7">
        <v>13.11</v>
      </c>
      <c r="AF1060" s="7">
        <v>241</v>
      </c>
      <c r="AG1060" s="7">
        <v>28.15</v>
      </c>
      <c r="AH1060" s="7">
        <v>38.56</v>
      </c>
      <c r="AI1060" s="7">
        <v>42.53</v>
      </c>
      <c r="AJ1060" s="9">
        <v>163.350428246165</v>
      </c>
      <c r="AK1060" s="9">
        <v>171.10752654638</v>
      </c>
      <c r="AL1060" s="9">
        <v>238.975152588838</v>
      </c>
      <c r="AM1060" s="9">
        <v>59.371325287987098</v>
      </c>
      <c r="AN1060" s="9">
        <v>4.5743976871375098</v>
      </c>
      <c r="AO1060" s="9">
        <v>0.45831587654731398</v>
      </c>
      <c r="AP1060" s="9">
        <v>480.31175714943799</v>
      </c>
      <c r="AQ1060" s="9">
        <v>4.3718297673382001</v>
      </c>
      <c r="AR1060" s="9">
        <v>4.2264281979891596</v>
      </c>
      <c r="AS1060" s="8" t="s">
        <v>169</v>
      </c>
      <c r="AT1060" s="8" t="s">
        <v>169</v>
      </c>
      <c r="AU1060" s="10" t="s">
        <v>169</v>
      </c>
      <c r="AV1060" s="10">
        <v>0</v>
      </c>
      <c r="AX1060" s="10" t="s">
        <v>169</v>
      </c>
      <c r="BF1060" s="12">
        <v>0.44</v>
      </c>
      <c r="BG1060" s="13">
        <v>183.134625267247</v>
      </c>
      <c r="BH1060" s="96" t="str">
        <f>+VLOOKUP(G1060,Liste!$A$7:$G$50,3,FALSE)</f>
        <v>Pin sylvestre</v>
      </c>
      <c r="BI1060" s="96" t="str">
        <f>+VLOOKUP(H1060,Liste!$B$7:$G$50,5,FALSE)</f>
        <v>GSM Alpes du Sud</v>
      </c>
      <c r="BJ1060" s="135">
        <f t="shared" si="320"/>
        <v>105</v>
      </c>
      <c r="BK1060" s="135" t="str">
        <f t="shared" si="322"/>
        <v>Pin sylvestre_F2_PS2_d2_GSM Alpes du Sud_105_</v>
      </c>
      <c r="BL1060" s="322"/>
      <c r="BM1060" s="13">
        <v>49.089021762321302</v>
      </c>
      <c r="BN1060" s="13">
        <v>232.22364702956801</v>
      </c>
      <c r="BO1060" s="13" t="s">
        <v>169</v>
      </c>
      <c r="BP1060" s="13">
        <v>133.567642172782</v>
      </c>
      <c r="BQ1060" s="13">
        <v>3.9443189025928098</v>
      </c>
      <c r="BT1060" s="298" t="str">
        <f>+VLOOKUP(G1060,Liste!$A$7:$H$50,8,FALSE)</f>
        <v>Résineux</v>
      </c>
      <c r="BU1060" s="298">
        <f t="shared" si="323"/>
        <v>0</v>
      </c>
      <c r="BV1060" s="300">
        <f t="shared" si="324"/>
        <v>1</v>
      </c>
      <c r="BW1060" s="321">
        <v>0</v>
      </c>
      <c r="BX1060" s="298">
        <f t="shared" si="325"/>
        <v>0.43</v>
      </c>
      <c r="BY1060">
        <f t="shared" si="326"/>
        <v>0</v>
      </c>
      <c r="BZ1060" s="304">
        <f t="shared" si="327"/>
        <v>0</v>
      </c>
      <c r="CB1060" s="299">
        <v>0.6</v>
      </c>
      <c r="CC1060" s="299">
        <v>0.4</v>
      </c>
      <c r="CD1060">
        <f t="shared" si="328"/>
        <v>0</v>
      </c>
      <c r="CE1060">
        <f t="shared" si="329"/>
        <v>0</v>
      </c>
      <c r="CF1060">
        <f t="shared" si="330"/>
        <v>0</v>
      </c>
      <c r="CG1060">
        <f t="shared" si="331"/>
        <v>0</v>
      </c>
      <c r="CH1060">
        <f t="shared" si="332"/>
        <v>0</v>
      </c>
      <c r="CI1060">
        <f t="shared" si="333"/>
        <v>0</v>
      </c>
      <c r="CJ1060">
        <f t="shared" si="334"/>
        <v>0</v>
      </c>
      <c r="CK1060">
        <f t="shared" si="335"/>
        <v>0</v>
      </c>
      <c r="CL1060">
        <f t="shared" si="336"/>
        <v>0</v>
      </c>
      <c r="CM1060">
        <f t="shared" si="338"/>
        <v>0</v>
      </c>
      <c r="CN1060">
        <f t="shared" si="337"/>
        <v>0</v>
      </c>
      <c r="CO1060">
        <f t="shared" si="321"/>
        <v>0</v>
      </c>
    </row>
    <row r="1061" spans="1:93" x14ac:dyDescent="0.25">
      <c r="A1061" s="4">
        <v>2021</v>
      </c>
      <c r="B1061" s="318">
        <v>44279</v>
      </c>
      <c r="C1061" s="4" t="s">
        <v>1494</v>
      </c>
      <c r="D1061" s="4" t="s">
        <v>1495</v>
      </c>
      <c r="F1061" s="4" t="s">
        <v>1496</v>
      </c>
      <c r="G1061" s="5" t="s">
        <v>15</v>
      </c>
      <c r="H1061" s="5" t="s">
        <v>1498</v>
      </c>
      <c r="I1061" s="5" t="s">
        <v>1502</v>
      </c>
      <c r="J1061" s="5" t="s">
        <v>10</v>
      </c>
      <c r="K1061" s="5">
        <v>11</v>
      </c>
      <c r="L1061" s="5" t="s">
        <v>1503</v>
      </c>
      <c r="M1061" s="5">
        <v>1100</v>
      </c>
      <c r="N1061" s="5" t="s">
        <v>170</v>
      </c>
      <c r="O1061" s="6" t="s">
        <v>1499</v>
      </c>
      <c r="P1061" s="6" t="s">
        <v>1500</v>
      </c>
      <c r="S1061" s="6">
        <v>20</v>
      </c>
      <c r="T1061" s="6">
        <v>4.46</v>
      </c>
      <c r="U1061" s="6">
        <v>6000</v>
      </c>
      <c r="V1061" s="6">
        <v>7.1</v>
      </c>
      <c r="W1061" s="6">
        <v>6000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7">
        <v>105</v>
      </c>
      <c r="AD1061" s="7" t="str">
        <f t="shared" si="339"/>
        <v>ap</v>
      </c>
      <c r="AE1061" s="7">
        <v>13.08</v>
      </c>
      <c r="AF1061" s="7">
        <v>125</v>
      </c>
      <c r="AG1061" s="7">
        <v>15.06</v>
      </c>
      <c r="AH1061" s="7">
        <v>39.159999999999997</v>
      </c>
      <c r="AI1061" s="7">
        <v>40.450000000000003</v>
      </c>
      <c r="AJ1061" s="9">
        <v>87.256350983704095</v>
      </c>
      <c r="AK1061" s="9">
        <v>91.473706407088201</v>
      </c>
      <c r="AL1061" s="9">
        <v>127.98762280551399</v>
      </c>
      <c r="AM1061" s="9">
        <v>59.371325287987098</v>
      </c>
      <c r="AN1061" s="9">
        <v>4.5743976871375098</v>
      </c>
      <c r="AO1061" s="9">
        <v>0.45831587654731398</v>
      </c>
      <c r="AP1061" s="9">
        <v>480.31175714943799</v>
      </c>
      <c r="AQ1061" s="9">
        <v>4.3718297673382001</v>
      </c>
      <c r="AR1061" s="9">
        <v>4.2264281979891596</v>
      </c>
      <c r="AS1061" s="8">
        <v>116</v>
      </c>
      <c r="AT1061" s="8">
        <v>13.089999999999998</v>
      </c>
      <c r="AU1061" s="10">
        <v>37.90494649799416</v>
      </c>
      <c r="AV1061" s="10">
        <v>76.0940772624609</v>
      </c>
      <c r="AW1061" s="8">
        <v>0.97</v>
      </c>
      <c r="AX1061" s="10">
        <v>0.65598342467638704</v>
      </c>
      <c r="BF1061" s="12">
        <v>0.44</v>
      </c>
      <c r="BG1061" s="13">
        <v>98.081181609958804</v>
      </c>
      <c r="BH1061" s="96" t="str">
        <f>+VLOOKUP(G1061,Liste!$A$7:$G$50,3,FALSE)</f>
        <v>Pin sylvestre</v>
      </c>
      <c r="BI1061" s="96" t="str">
        <f>+VLOOKUP(H1061,Liste!$B$7:$G$50,5,FALSE)</f>
        <v>GSM Alpes du Sud</v>
      </c>
      <c r="BJ1061" s="135">
        <f t="shared" si="320"/>
        <v>105</v>
      </c>
      <c r="BK1061" s="135" t="str">
        <f t="shared" si="322"/>
        <v>Pin sylvestre_F2_PS2_d2_GSM Alpes du Sud_105_</v>
      </c>
      <c r="BL1061" s="322"/>
      <c r="BM1061" s="13">
        <v>28.272584488477399</v>
      </c>
      <c r="BN1061" s="13">
        <v>126.353766098436</v>
      </c>
      <c r="BO1061" s="13">
        <v>105.86988093113202</v>
      </c>
      <c r="BP1061" s="13">
        <v>133.567642172782</v>
      </c>
      <c r="BQ1061" s="13">
        <v>3.9443189025928098</v>
      </c>
      <c r="BT1061" s="298" t="str">
        <f>+VLOOKUP(G1061,Liste!$A$7:$H$50,8,FALSE)</f>
        <v>Résineux</v>
      </c>
      <c r="BU1061" s="298">
        <f t="shared" si="323"/>
        <v>0</v>
      </c>
      <c r="BV1061" s="300">
        <f t="shared" si="324"/>
        <v>1</v>
      </c>
      <c r="BW1061" s="321">
        <v>0</v>
      </c>
      <c r="BX1061" s="298">
        <f t="shared" si="325"/>
        <v>0.43</v>
      </c>
      <c r="BY1061">
        <f t="shared" si="326"/>
        <v>0</v>
      </c>
      <c r="BZ1061" s="304">
        <f t="shared" si="327"/>
        <v>0</v>
      </c>
      <c r="CB1061" s="299">
        <v>0.6</v>
      </c>
      <c r="CC1061" s="299">
        <v>0.4</v>
      </c>
      <c r="CD1061">
        <f t="shared" si="328"/>
        <v>0</v>
      </c>
      <c r="CE1061">
        <f t="shared" si="329"/>
        <v>0</v>
      </c>
      <c r="CF1061">
        <f t="shared" si="330"/>
        <v>0</v>
      </c>
      <c r="CG1061">
        <f t="shared" si="331"/>
        <v>0</v>
      </c>
      <c r="CH1061">
        <f t="shared" si="332"/>
        <v>0</v>
      </c>
      <c r="CI1061">
        <f t="shared" si="333"/>
        <v>0</v>
      </c>
      <c r="CJ1061">
        <f t="shared" si="334"/>
        <v>0</v>
      </c>
      <c r="CK1061">
        <f t="shared" si="335"/>
        <v>0</v>
      </c>
      <c r="CL1061">
        <f t="shared" si="336"/>
        <v>0</v>
      </c>
      <c r="CM1061">
        <f t="shared" si="338"/>
        <v>0</v>
      </c>
      <c r="CN1061">
        <f t="shared" si="337"/>
        <v>0</v>
      </c>
      <c r="CO1061">
        <f t="shared" si="321"/>
        <v>0</v>
      </c>
    </row>
    <row r="1062" spans="1:93" x14ac:dyDescent="0.25">
      <c r="A1062" s="4">
        <v>2021</v>
      </c>
      <c r="B1062" s="318">
        <v>44279</v>
      </c>
      <c r="C1062" s="4" t="s">
        <v>1494</v>
      </c>
      <c r="D1062" s="4" t="s">
        <v>1495</v>
      </c>
      <c r="F1062" s="4" t="s">
        <v>1496</v>
      </c>
      <c r="G1062" s="5" t="s">
        <v>15</v>
      </c>
      <c r="H1062" s="5" t="s">
        <v>1498</v>
      </c>
      <c r="I1062" s="5" t="s">
        <v>1502</v>
      </c>
      <c r="J1062" s="5" t="s">
        <v>10</v>
      </c>
      <c r="K1062" s="5">
        <v>11</v>
      </c>
      <c r="L1062" s="5" t="s">
        <v>1503</v>
      </c>
      <c r="M1062" s="5">
        <v>1100</v>
      </c>
      <c r="N1062" s="5" t="s">
        <v>170</v>
      </c>
      <c r="O1062" s="6" t="s">
        <v>1499</v>
      </c>
      <c r="P1062" s="6" t="s">
        <v>1500</v>
      </c>
      <c r="S1062" s="6">
        <v>20</v>
      </c>
      <c r="T1062" s="6">
        <v>4.46</v>
      </c>
      <c r="U1062" s="6">
        <v>6000</v>
      </c>
      <c r="V1062" s="6">
        <v>7.1</v>
      </c>
      <c r="W1062" s="6">
        <v>6000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7">
        <v>110</v>
      </c>
      <c r="AD1062" s="7" t="str">
        <f t="shared" si="339"/>
        <v>av</v>
      </c>
      <c r="AE1062" s="7">
        <v>13.12</v>
      </c>
      <c r="AF1062" s="7">
        <v>125</v>
      </c>
      <c r="AG1062" s="7">
        <v>17.350000000000001</v>
      </c>
      <c r="AH1062" s="7">
        <v>42.04</v>
      </c>
      <c r="AI1062" s="7">
        <v>43.35</v>
      </c>
      <c r="AJ1062" s="9">
        <v>100.31721070674401</v>
      </c>
      <c r="AK1062" s="9">
        <v>105.659112984925</v>
      </c>
      <c r="AL1062" s="9">
        <v>149.11976379545999</v>
      </c>
      <c r="AM1062" s="9">
        <v>61.662904670723698</v>
      </c>
      <c r="AN1062" s="9">
        <v>4.5585808921762201</v>
      </c>
      <c r="AO1062" s="9">
        <v>0.46671563450662501</v>
      </c>
      <c r="AP1062" s="9">
        <v>501.44389813938398</v>
      </c>
      <c r="AQ1062" s="9">
        <v>4.3523974553043203</v>
      </c>
      <c r="AR1062" s="9">
        <v>4.3541906384660702</v>
      </c>
      <c r="AS1062" s="8" t="s">
        <v>169</v>
      </c>
      <c r="AT1062" s="8" t="s">
        <v>169</v>
      </c>
      <c r="AU1062" s="10" t="s">
        <v>169</v>
      </c>
      <c r="AV1062" s="10">
        <v>0</v>
      </c>
      <c r="AX1062" s="10" t="s">
        <v>169</v>
      </c>
      <c r="BF1062" s="12">
        <v>0.44</v>
      </c>
      <c r="BG1062" s="13">
        <v>114.275445655254</v>
      </c>
      <c r="BH1062" s="96" t="str">
        <f>+VLOOKUP(G1062,Liste!$A$7:$G$50,3,FALSE)</f>
        <v>Pin sylvestre</v>
      </c>
      <c r="BI1062" s="96" t="str">
        <f>+VLOOKUP(H1062,Liste!$B$7:$G$50,5,FALSE)</f>
        <v>GSM Alpes du Sud</v>
      </c>
      <c r="BJ1062" s="135">
        <f t="shared" si="320"/>
        <v>110</v>
      </c>
      <c r="BK1062" s="135" t="str">
        <f t="shared" si="322"/>
        <v>Pin sylvestre_F2_PS2_d2_GSM Alpes du Sud_110_</v>
      </c>
      <c r="BL1062" s="322"/>
      <c r="BM1062" s="13">
        <v>32.359931890600102</v>
      </c>
      <c r="BN1062" s="13">
        <v>146.635377545854</v>
      </c>
      <c r="BO1062" s="13" t="s">
        <v>169</v>
      </c>
      <c r="BP1062" s="13">
        <v>133.567642172782</v>
      </c>
      <c r="BQ1062" s="13">
        <v>4.0599436625537999</v>
      </c>
      <c r="BT1062" s="298" t="str">
        <f>+VLOOKUP(G1062,Liste!$A$7:$H$50,8,FALSE)</f>
        <v>Résineux</v>
      </c>
      <c r="BU1062" s="298">
        <f t="shared" si="323"/>
        <v>0</v>
      </c>
      <c r="BV1062" s="300">
        <f t="shared" si="324"/>
        <v>1</v>
      </c>
      <c r="BW1062" s="321">
        <v>0</v>
      </c>
      <c r="BX1062" s="298">
        <f t="shared" si="325"/>
        <v>0.43</v>
      </c>
      <c r="BY1062">
        <f t="shared" si="326"/>
        <v>0</v>
      </c>
      <c r="BZ1062" s="304">
        <f t="shared" si="327"/>
        <v>0</v>
      </c>
      <c r="CB1062" s="299">
        <v>0.6</v>
      </c>
      <c r="CC1062" s="299">
        <v>0.4</v>
      </c>
      <c r="CD1062">
        <f t="shared" si="328"/>
        <v>0</v>
      </c>
      <c r="CE1062">
        <f t="shared" si="329"/>
        <v>0</v>
      </c>
      <c r="CF1062">
        <f t="shared" si="330"/>
        <v>0</v>
      </c>
      <c r="CG1062">
        <f t="shared" si="331"/>
        <v>0</v>
      </c>
      <c r="CH1062">
        <f t="shared" si="332"/>
        <v>0</v>
      </c>
      <c r="CI1062">
        <f t="shared" si="333"/>
        <v>0</v>
      </c>
      <c r="CJ1062">
        <f t="shared" si="334"/>
        <v>0</v>
      </c>
      <c r="CK1062">
        <f t="shared" si="335"/>
        <v>0</v>
      </c>
      <c r="CL1062">
        <f t="shared" si="336"/>
        <v>0</v>
      </c>
      <c r="CM1062">
        <f t="shared" si="338"/>
        <v>0</v>
      </c>
      <c r="CN1062">
        <f t="shared" si="337"/>
        <v>0</v>
      </c>
      <c r="CO1062">
        <f t="shared" si="321"/>
        <v>0</v>
      </c>
    </row>
    <row r="1063" spans="1:93" x14ac:dyDescent="0.25">
      <c r="A1063" s="4">
        <v>2021</v>
      </c>
      <c r="B1063" s="318">
        <v>44279</v>
      </c>
      <c r="C1063" s="4" t="s">
        <v>1494</v>
      </c>
      <c r="D1063" s="4" t="s">
        <v>1495</v>
      </c>
      <c r="F1063" s="4" t="s">
        <v>1496</v>
      </c>
      <c r="G1063" s="5" t="s">
        <v>15</v>
      </c>
      <c r="H1063" s="5" t="s">
        <v>1498</v>
      </c>
      <c r="I1063" s="5" t="s">
        <v>1502</v>
      </c>
      <c r="J1063" s="5" t="s">
        <v>10</v>
      </c>
      <c r="K1063" s="5">
        <v>11</v>
      </c>
      <c r="L1063" s="5" t="s">
        <v>1503</v>
      </c>
      <c r="M1063" s="5">
        <v>1100</v>
      </c>
      <c r="N1063" s="5" t="s">
        <v>170</v>
      </c>
      <c r="O1063" s="6" t="s">
        <v>1499</v>
      </c>
      <c r="P1063" s="6" t="s">
        <v>1500</v>
      </c>
      <c r="S1063" s="6">
        <v>20</v>
      </c>
      <c r="T1063" s="6">
        <v>4.46</v>
      </c>
      <c r="U1063" s="6">
        <v>6000</v>
      </c>
      <c r="V1063" s="6">
        <v>7.1</v>
      </c>
      <c r="W1063" s="6">
        <v>6000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7">
        <v>115</v>
      </c>
      <c r="AD1063" s="7" t="str">
        <f t="shared" si="339"/>
        <v>av</v>
      </c>
      <c r="AE1063" s="7">
        <v>13.16</v>
      </c>
      <c r="AF1063" s="7">
        <v>124</v>
      </c>
      <c r="AG1063" s="7">
        <v>19.57</v>
      </c>
      <c r="AH1063" s="7">
        <v>44.82</v>
      </c>
      <c r="AI1063" s="7">
        <v>46.18</v>
      </c>
      <c r="AJ1063" s="9">
        <v>112.770194473544</v>
      </c>
      <c r="AK1063" s="9">
        <v>119.326803033754</v>
      </c>
      <c r="AL1063" s="9">
        <v>169.85502763311899</v>
      </c>
      <c r="AM1063" s="9">
        <v>63.9964828432568</v>
      </c>
      <c r="AN1063" s="9">
        <v>4.5496943594062103</v>
      </c>
      <c r="AP1063" s="9">
        <v>523.21485133171404</v>
      </c>
      <c r="AQ1063" s="9">
        <v>4.3396820730108203</v>
      </c>
      <c r="AS1063" s="8" t="s">
        <v>169</v>
      </c>
      <c r="AT1063" s="8" t="s">
        <v>169</v>
      </c>
      <c r="AU1063" s="10" t="s">
        <v>169</v>
      </c>
      <c r="AV1063" s="10">
        <v>0</v>
      </c>
      <c r="AX1063" s="10" t="s">
        <v>169</v>
      </c>
      <c r="BF1063" s="12">
        <v>0.44</v>
      </c>
      <c r="BG1063" s="13">
        <v>130.16556950951301</v>
      </c>
      <c r="BH1063" s="96" t="str">
        <f>+VLOOKUP(G1063,Liste!$A$7:$G$50,3,FALSE)</f>
        <v>Pin sylvestre</v>
      </c>
      <c r="BI1063" s="96" t="str">
        <f>+VLOOKUP(H1063,Liste!$B$7:$G$50,5,FALSE)</f>
        <v>GSM Alpes du Sud</v>
      </c>
      <c r="BJ1063" s="135">
        <f t="shared" si="320"/>
        <v>115</v>
      </c>
      <c r="BK1063" s="135" t="str">
        <f t="shared" si="322"/>
        <v>Pin sylvestre_F2_PS2_d2_GSM Alpes du Sud_115_</v>
      </c>
      <c r="BL1063" s="322"/>
      <c r="BM1063" s="13">
        <v>36.305228099561397</v>
      </c>
      <c r="BN1063" s="13">
        <v>166.47079760907499</v>
      </c>
      <c r="BO1063" s="13" t="s">
        <v>169</v>
      </c>
      <c r="BP1063" s="13">
        <v>133.567642172782</v>
      </c>
      <c r="BQ1063" s="13"/>
      <c r="BT1063" s="298" t="str">
        <f>+VLOOKUP(G1063,Liste!$A$7:$H$50,8,FALSE)</f>
        <v>Résineux</v>
      </c>
      <c r="BU1063" s="298">
        <f t="shared" si="323"/>
        <v>0</v>
      </c>
      <c r="BV1063" s="300">
        <f t="shared" si="324"/>
        <v>1</v>
      </c>
      <c r="BW1063" s="321">
        <v>0</v>
      </c>
      <c r="BX1063" s="298">
        <f t="shared" si="325"/>
        <v>0.43</v>
      </c>
      <c r="BY1063">
        <f t="shared" si="326"/>
        <v>0</v>
      </c>
      <c r="BZ1063" s="304">
        <f t="shared" si="327"/>
        <v>0</v>
      </c>
      <c r="CB1063" s="299">
        <v>0.6</v>
      </c>
      <c r="CC1063" s="299">
        <v>0.4</v>
      </c>
      <c r="CD1063">
        <f t="shared" si="328"/>
        <v>0</v>
      </c>
      <c r="CE1063">
        <f t="shared" si="329"/>
        <v>0</v>
      </c>
      <c r="CF1063">
        <f t="shared" si="330"/>
        <v>0</v>
      </c>
      <c r="CG1063">
        <f t="shared" si="331"/>
        <v>0</v>
      </c>
      <c r="CH1063">
        <f t="shared" si="332"/>
        <v>0</v>
      </c>
      <c r="CI1063">
        <f t="shared" si="333"/>
        <v>0</v>
      </c>
      <c r="CJ1063">
        <f t="shared" si="334"/>
        <v>0</v>
      </c>
      <c r="CK1063">
        <f t="shared" si="335"/>
        <v>0</v>
      </c>
      <c r="CL1063">
        <f t="shared" si="336"/>
        <v>0</v>
      </c>
      <c r="CM1063">
        <f t="shared" si="338"/>
        <v>0</v>
      </c>
      <c r="CN1063">
        <f t="shared" si="337"/>
        <v>0</v>
      </c>
      <c r="CO1063">
        <f t="shared" si="321"/>
        <v>0</v>
      </c>
    </row>
    <row r="1064" spans="1:93" x14ac:dyDescent="0.25">
      <c r="A1064" s="4">
        <v>2021</v>
      </c>
      <c r="B1064" s="318">
        <v>44279</v>
      </c>
      <c r="C1064" s="4" t="s">
        <v>1494</v>
      </c>
      <c r="D1064" s="4" t="s">
        <v>1495</v>
      </c>
      <c r="F1064" s="4" t="s">
        <v>1496</v>
      </c>
      <c r="G1064" s="5" t="s">
        <v>15</v>
      </c>
      <c r="H1064" s="5" t="s">
        <v>1498</v>
      </c>
      <c r="I1064" s="5" t="s">
        <v>1502</v>
      </c>
      <c r="J1064" s="5" t="s">
        <v>10</v>
      </c>
      <c r="K1064" s="5">
        <v>11</v>
      </c>
      <c r="L1064" s="5" t="s">
        <v>1503</v>
      </c>
      <c r="M1064" s="5">
        <v>1100</v>
      </c>
      <c r="N1064" s="5" t="s">
        <v>170</v>
      </c>
      <c r="O1064" s="6" t="s">
        <v>1499</v>
      </c>
      <c r="P1064" s="6" t="s">
        <v>1500</v>
      </c>
      <c r="S1064" s="6">
        <v>20</v>
      </c>
      <c r="T1064" s="6">
        <v>4.46</v>
      </c>
      <c r="U1064" s="6">
        <v>6000</v>
      </c>
      <c r="V1064" s="6">
        <v>7.1</v>
      </c>
      <c r="W1064" s="6">
        <v>6000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7">
        <v>115</v>
      </c>
      <c r="AD1064" s="7" t="str">
        <f t="shared" si="339"/>
        <v>ap</v>
      </c>
      <c r="AE1064" s="7">
        <v>13.16</v>
      </c>
      <c r="AF1064" s="7">
        <v>0</v>
      </c>
      <c r="AG1064" s="7">
        <v>0</v>
      </c>
      <c r="AH1064" s="7">
        <v>0</v>
      </c>
      <c r="AI1064" s="7">
        <v>0</v>
      </c>
      <c r="AJ1064" s="9">
        <v>0</v>
      </c>
      <c r="AK1064" s="9">
        <v>0</v>
      </c>
      <c r="AL1064" s="9">
        <v>0</v>
      </c>
      <c r="AM1064" s="9">
        <v>63.9964828432568</v>
      </c>
      <c r="AN1064" s="9">
        <v>4.5496943594062103</v>
      </c>
      <c r="AP1064" s="9">
        <v>523.21485133171404</v>
      </c>
      <c r="AQ1064" s="9">
        <v>4.3396820730108203</v>
      </c>
      <c r="AS1064" s="8">
        <v>124</v>
      </c>
      <c r="AT1064" s="8">
        <v>19.57</v>
      </c>
      <c r="AU1064" s="10">
        <v>44.826995296313768</v>
      </c>
      <c r="AV1064" s="10">
        <v>112.770194473544</v>
      </c>
      <c r="AW1064" s="8">
        <v>1</v>
      </c>
      <c r="AX1064" s="10">
        <v>0.90943705220599991</v>
      </c>
      <c r="BF1064" s="12">
        <v>0.44</v>
      </c>
      <c r="BG1064" s="13">
        <v>0</v>
      </c>
      <c r="BH1064" s="96" t="str">
        <f>+VLOOKUP(G1064,Liste!$A$7:$G$50,3,FALSE)</f>
        <v>Pin sylvestre</v>
      </c>
      <c r="BI1064" s="96" t="str">
        <f>+VLOOKUP(H1064,Liste!$B$7:$G$50,5,FALSE)</f>
        <v>GSM Alpes du Sud</v>
      </c>
      <c r="BJ1064" s="135">
        <f t="shared" si="320"/>
        <v>115</v>
      </c>
      <c r="BK1064" s="135" t="str">
        <f t="shared" si="322"/>
        <v>Pin sylvestre_F2_PS2_d2_GSM Alpes du Sud_115_</v>
      </c>
      <c r="BL1064" s="322"/>
      <c r="BM1064" s="13">
        <v>0</v>
      </c>
      <c r="BN1064" s="13">
        <v>0</v>
      </c>
      <c r="BO1064" s="13">
        <v>166.47079760907499</v>
      </c>
      <c r="BP1064" s="13">
        <v>133.567642172782</v>
      </c>
      <c r="BQ1064" s="13"/>
      <c r="BT1064" s="298" t="str">
        <f>+VLOOKUP(G1064,Liste!$A$7:$H$50,8,FALSE)</f>
        <v>Résineux</v>
      </c>
      <c r="BU1064" s="298">
        <f t="shared" si="323"/>
        <v>0</v>
      </c>
      <c r="BV1064" s="300">
        <f t="shared" si="324"/>
        <v>1</v>
      </c>
      <c r="BW1064" s="321">
        <v>0</v>
      </c>
      <c r="BX1064" s="298">
        <f t="shared" si="325"/>
        <v>0.43</v>
      </c>
      <c r="BY1064">
        <f t="shared" si="326"/>
        <v>0</v>
      </c>
      <c r="BZ1064" s="304">
        <f t="shared" si="327"/>
        <v>0</v>
      </c>
      <c r="CB1064" s="299">
        <v>0.6</v>
      </c>
      <c r="CC1064" s="299">
        <v>0.4</v>
      </c>
      <c r="CD1064">
        <f t="shared" si="328"/>
        <v>0</v>
      </c>
      <c r="CE1064">
        <f t="shared" si="329"/>
        <v>0</v>
      </c>
      <c r="CF1064">
        <f t="shared" si="330"/>
        <v>0</v>
      </c>
      <c r="CG1064">
        <f t="shared" si="331"/>
        <v>0</v>
      </c>
      <c r="CH1064">
        <f t="shared" si="332"/>
        <v>0</v>
      </c>
      <c r="CI1064">
        <f t="shared" si="333"/>
        <v>0</v>
      </c>
      <c r="CJ1064">
        <f t="shared" si="334"/>
        <v>0</v>
      </c>
      <c r="CK1064">
        <f t="shared" si="335"/>
        <v>0</v>
      </c>
      <c r="CL1064">
        <f t="shared" si="336"/>
        <v>0</v>
      </c>
      <c r="CM1064">
        <f t="shared" si="338"/>
        <v>0</v>
      </c>
      <c r="CN1064">
        <f t="shared" si="337"/>
        <v>0</v>
      </c>
      <c r="CO1064">
        <f t="shared" si="321"/>
        <v>0</v>
      </c>
    </row>
    <row r="1065" spans="1:93" x14ac:dyDescent="0.25">
      <c r="A1065" s="4">
        <v>2021</v>
      </c>
      <c r="B1065" s="318">
        <v>44279</v>
      </c>
      <c r="C1065" s="4" t="s">
        <v>1494</v>
      </c>
      <c r="D1065" s="4" t="s">
        <v>1495</v>
      </c>
      <c r="F1065" s="4" t="s">
        <v>1496</v>
      </c>
      <c r="G1065" s="5" t="s">
        <v>432</v>
      </c>
      <c r="H1065" s="5" t="s">
        <v>1498</v>
      </c>
      <c r="I1065" s="5" t="s">
        <v>228</v>
      </c>
      <c r="J1065" s="5" t="s">
        <v>10</v>
      </c>
      <c r="K1065" s="5">
        <v>14</v>
      </c>
      <c r="L1065" s="5" t="s">
        <v>192</v>
      </c>
      <c r="M1065" s="5">
        <v>3000</v>
      </c>
      <c r="N1065" s="5" t="s">
        <v>170</v>
      </c>
      <c r="O1065" s="6" t="s">
        <v>1499</v>
      </c>
      <c r="P1065" s="6" t="s">
        <v>1500</v>
      </c>
      <c r="S1065" s="6">
        <v>70</v>
      </c>
      <c r="T1065" s="6">
        <v>16.989999999999998</v>
      </c>
      <c r="U1065" s="6">
        <v>2299</v>
      </c>
      <c r="V1065" s="6">
        <v>46.07</v>
      </c>
      <c r="W1065" s="6">
        <v>0</v>
      </c>
      <c r="X1065" s="6">
        <v>582</v>
      </c>
      <c r="Y1065" s="6">
        <v>948</v>
      </c>
      <c r="Z1065" s="6">
        <v>642</v>
      </c>
      <c r="AA1065" s="6">
        <v>127</v>
      </c>
      <c r="AB1065" s="6">
        <v>0</v>
      </c>
      <c r="AC1065" s="7">
        <v>30</v>
      </c>
      <c r="AD1065" s="7" t="s">
        <v>52</v>
      </c>
      <c r="AJ1065" s="9">
        <v>130.30028344109499</v>
      </c>
      <c r="AK1065" s="9">
        <v>130.875465007478</v>
      </c>
      <c r="AL1065" s="9">
        <v>176.187334604499</v>
      </c>
      <c r="AU1065" s="10"/>
      <c r="AV1065" s="10">
        <v>0</v>
      </c>
      <c r="AX1065" s="10"/>
      <c r="BF1065" s="12">
        <v>0.38</v>
      </c>
      <c r="BG1065" s="13">
        <v>116.606650952411</v>
      </c>
      <c r="BH1065" s="96" t="str">
        <f>+VLOOKUP(G1065,Liste!$A$7:$G$50,3,FALSE)</f>
        <v>Sapin pectiné</v>
      </c>
      <c r="BI1065" s="96" t="str">
        <f>+VLOOKUP(H1065,Liste!$B$7:$G$50,5,FALSE)</f>
        <v>GSM Alpes du Sud</v>
      </c>
      <c r="BJ1065" s="135">
        <f t="shared" si="320"/>
        <v>30</v>
      </c>
      <c r="BK1065" s="135" t="str">
        <f t="shared" si="322"/>
        <v>Sapin pectiné_F2_SP2_4_GSM Alpes du Sud_30_</v>
      </c>
      <c r="BL1065" s="322"/>
      <c r="BM1065" s="13">
        <v>32.9425431165131</v>
      </c>
      <c r="BN1065" s="13">
        <v>149.54919406892401</v>
      </c>
      <c r="BO1065" s="13" t="s">
        <v>169</v>
      </c>
      <c r="BP1065" s="13">
        <v>228.371756193122</v>
      </c>
      <c r="BQ1065" s="13"/>
      <c r="BT1065" s="298" t="str">
        <f>+VLOOKUP(G1065,Liste!$A$7:$H$50,8,FALSE)</f>
        <v>Résineux</v>
      </c>
      <c r="BU1065" s="298">
        <f t="shared" si="323"/>
        <v>0</v>
      </c>
      <c r="BV1065" s="300">
        <f t="shared" si="324"/>
        <v>1</v>
      </c>
      <c r="BW1065" s="321">
        <v>0</v>
      </c>
      <c r="BX1065" s="298">
        <f t="shared" si="325"/>
        <v>0.43</v>
      </c>
      <c r="BY1065">
        <f t="shared" si="326"/>
        <v>0</v>
      </c>
      <c r="BZ1065" s="304">
        <f t="shared" si="327"/>
        <v>0</v>
      </c>
      <c r="CB1065" s="299">
        <v>0.6</v>
      </c>
      <c r="CC1065" s="299">
        <v>0.4</v>
      </c>
      <c r="CD1065">
        <f t="shared" si="328"/>
        <v>0</v>
      </c>
      <c r="CE1065">
        <f t="shared" si="329"/>
        <v>0</v>
      </c>
      <c r="CF1065">
        <f t="shared" si="330"/>
        <v>0</v>
      </c>
      <c r="CG1065">
        <f t="shared" si="331"/>
        <v>0</v>
      </c>
      <c r="CH1065">
        <f t="shared" si="332"/>
        <v>0</v>
      </c>
      <c r="CI1065">
        <f t="shared" si="333"/>
        <v>0</v>
      </c>
      <c r="CJ1065">
        <f t="shared" si="334"/>
        <v>0</v>
      </c>
      <c r="CK1065">
        <f t="shared" si="335"/>
        <v>0</v>
      </c>
      <c r="CL1065">
        <f t="shared" si="336"/>
        <v>0</v>
      </c>
      <c r="CM1065">
        <f t="shared" si="338"/>
        <v>0</v>
      </c>
      <c r="CN1065">
        <f t="shared" si="337"/>
        <v>0</v>
      </c>
      <c r="CO1065">
        <f t="shared" si="321"/>
        <v>0</v>
      </c>
    </row>
    <row r="1066" spans="1:93" x14ac:dyDescent="0.25">
      <c r="A1066" s="4">
        <v>2021</v>
      </c>
      <c r="B1066" s="318">
        <v>44279</v>
      </c>
      <c r="C1066" s="4" t="s">
        <v>1494</v>
      </c>
      <c r="D1066" s="4" t="s">
        <v>1495</v>
      </c>
      <c r="F1066" s="4" t="s">
        <v>1496</v>
      </c>
      <c r="G1066" s="5" t="s">
        <v>432</v>
      </c>
      <c r="H1066" s="5" t="s">
        <v>1498</v>
      </c>
      <c r="I1066" s="5" t="s">
        <v>228</v>
      </c>
      <c r="J1066" s="5" t="s">
        <v>10</v>
      </c>
      <c r="K1066" s="5">
        <v>14</v>
      </c>
      <c r="L1066" s="5" t="s">
        <v>192</v>
      </c>
      <c r="M1066" s="5">
        <v>3000</v>
      </c>
      <c r="N1066" s="5" t="s">
        <v>170</v>
      </c>
      <c r="O1066" s="6" t="s">
        <v>1499</v>
      </c>
      <c r="P1066" s="6" t="s">
        <v>1500</v>
      </c>
      <c r="S1066" s="6">
        <v>70</v>
      </c>
      <c r="T1066" s="6">
        <v>16.989999999999998</v>
      </c>
      <c r="U1066" s="6">
        <v>2299</v>
      </c>
      <c r="V1066" s="6">
        <v>46.07</v>
      </c>
      <c r="W1066" s="6">
        <v>0</v>
      </c>
      <c r="X1066" s="6">
        <v>582</v>
      </c>
      <c r="Y1066" s="6">
        <v>948</v>
      </c>
      <c r="Z1066" s="6">
        <v>642</v>
      </c>
      <c r="AA1066" s="6">
        <v>127</v>
      </c>
      <c r="AB1066" s="6">
        <v>0</v>
      </c>
      <c r="AC1066" s="7">
        <v>70</v>
      </c>
      <c r="AD1066" s="7" t="s">
        <v>52</v>
      </c>
      <c r="AE1066" s="7">
        <v>16.989999999999998</v>
      </c>
      <c r="AF1066" s="7">
        <v>2299</v>
      </c>
      <c r="AG1066" s="7">
        <v>46.07</v>
      </c>
      <c r="AH1066" s="7">
        <v>15.97</v>
      </c>
      <c r="AI1066" s="7">
        <v>24.76</v>
      </c>
      <c r="AJ1066" s="9">
        <v>304.033994695888</v>
      </c>
      <c r="AK1066" s="9">
        <v>305.37608501745001</v>
      </c>
      <c r="AL1066" s="9">
        <v>411.10378074383198</v>
      </c>
      <c r="AM1066" s="9">
        <v>46.067089262610303</v>
      </c>
      <c r="AN1066" s="9">
        <v>0.65810127518014705</v>
      </c>
      <c r="AO1066" s="9">
        <v>1.58660157105016</v>
      </c>
      <c r="AP1066" s="9">
        <v>411.10378074383198</v>
      </c>
      <c r="AQ1066" s="9">
        <v>5.8729111534833196</v>
      </c>
      <c r="AR1066" s="9">
        <v>16.359209298566199</v>
      </c>
      <c r="AS1066" s="8" t="s">
        <v>169</v>
      </c>
      <c r="AT1066" s="8" t="s">
        <v>169</v>
      </c>
      <c r="AU1066" s="8" t="s">
        <v>169</v>
      </c>
      <c r="AV1066" s="10">
        <v>0</v>
      </c>
      <c r="AW1066" s="8" t="s">
        <v>169</v>
      </c>
      <c r="AX1066" s="8" t="s">
        <v>169</v>
      </c>
      <c r="BF1066" s="12">
        <v>0.38</v>
      </c>
      <c r="BG1066" s="13">
        <v>272.08218555562598</v>
      </c>
      <c r="BH1066" s="96" t="str">
        <f>+VLOOKUP(G1066,Liste!$A$7:$G$50,3,FALSE)</f>
        <v>Sapin pectiné</v>
      </c>
      <c r="BI1066" s="96" t="str">
        <f>+VLOOKUP(H1066,Liste!$B$7:$G$50,5,FALSE)</f>
        <v>GSM Alpes du Sud</v>
      </c>
      <c r="BJ1066" s="135">
        <f t="shared" si="320"/>
        <v>70</v>
      </c>
      <c r="BK1066" s="135" t="str">
        <f t="shared" si="322"/>
        <v>Sapin pectiné_F2_SP2_4_GSM Alpes du Sud_70_</v>
      </c>
      <c r="BL1066" s="322"/>
      <c r="BM1066" s="13">
        <v>69.646839040628805</v>
      </c>
      <c r="BN1066" s="13">
        <v>341.72902459625499</v>
      </c>
      <c r="BO1066" s="13" t="s">
        <v>169</v>
      </c>
      <c r="BP1066" s="13">
        <v>228.371756193122</v>
      </c>
      <c r="BQ1066" s="13">
        <v>13.249497588471099</v>
      </c>
      <c r="BT1066" s="298" t="str">
        <f>+VLOOKUP(G1066,Liste!$A$7:$H$50,8,FALSE)</f>
        <v>Résineux</v>
      </c>
      <c r="BU1066" s="298">
        <f t="shared" si="323"/>
        <v>0</v>
      </c>
      <c r="BV1066" s="300">
        <f t="shared" si="324"/>
        <v>1</v>
      </c>
      <c r="BW1066" s="321">
        <v>0</v>
      </c>
      <c r="BX1066" s="298">
        <f t="shared" si="325"/>
        <v>0.43</v>
      </c>
      <c r="BY1066">
        <f t="shared" si="326"/>
        <v>0</v>
      </c>
      <c r="BZ1066" s="304">
        <f t="shared" si="327"/>
        <v>0</v>
      </c>
      <c r="CB1066" s="299">
        <v>0.6</v>
      </c>
      <c r="CC1066" s="299">
        <v>0.4</v>
      </c>
      <c r="CD1066">
        <f t="shared" si="328"/>
        <v>0</v>
      </c>
      <c r="CE1066">
        <f t="shared" si="329"/>
        <v>0</v>
      </c>
      <c r="CF1066">
        <f t="shared" si="330"/>
        <v>0</v>
      </c>
      <c r="CG1066">
        <f t="shared" si="331"/>
        <v>0</v>
      </c>
      <c r="CH1066">
        <f t="shared" si="332"/>
        <v>0</v>
      </c>
      <c r="CI1066">
        <f t="shared" si="333"/>
        <v>0</v>
      </c>
      <c r="CJ1066">
        <f t="shared" si="334"/>
        <v>0</v>
      </c>
      <c r="CK1066">
        <f t="shared" si="335"/>
        <v>0</v>
      </c>
      <c r="CL1066">
        <f t="shared" si="336"/>
        <v>0</v>
      </c>
      <c r="CM1066">
        <f t="shared" si="338"/>
        <v>0</v>
      </c>
      <c r="CN1066">
        <f t="shared" si="337"/>
        <v>0</v>
      </c>
      <c r="CO1066">
        <f t="shared" si="321"/>
        <v>0</v>
      </c>
    </row>
    <row r="1067" spans="1:93" x14ac:dyDescent="0.25">
      <c r="A1067" s="4">
        <v>2021</v>
      </c>
      <c r="B1067" s="318">
        <v>44279</v>
      </c>
      <c r="C1067" s="4" t="s">
        <v>1494</v>
      </c>
      <c r="D1067" s="4" t="s">
        <v>1495</v>
      </c>
      <c r="F1067" s="4" t="s">
        <v>1496</v>
      </c>
      <c r="G1067" s="5" t="s">
        <v>432</v>
      </c>
      <c r="H1067" s="5" t="s">
        <v>1498</v>
      </c>
      <c r="I1067" s="5" t="s">
        <v>228</v>
      </c>
      <c r="J1067" s="5" t="s">
        <v>10</v>
      </c>
      <c r="K1067" s="5">
        <v>14</v>
      </c>
      <c r="L1067" s="5" t="s">
        <v>192</v>
      </c>
      <c r="M1067" s="5">
        <v>3000</v>
      </c>
      <c r="N1067" s="5" t="s">
        <v>170</v>
      </c>
      <c r="O1067" s="6" t="s">
        <v>1499</v>
      </c>
      <c r="P1067" s="6" t="s">
        <v>1500</v>
      </c>
      <c r="S1067" s="6">
        <v>70</v>
      </c>
      <c r="T1067" s="6">
        <v>16.989999999999998</v>
      </c>
      <c r="U1067" s="6">
        <v>2299</v>
      </c>
      <c r="V1067" s="6">
        <v>46.07</v>
      </c>
      <c r="W1067" s="6">
        <v>0</v>
      </c>
      <c r="X1067" s="6">
        <v>582</v>
      </c>
      <c r="Y1067" s="6">
        <v>948</v>
      </c>
      <c r="Z1067" s="6">
        <v>642</v>
      </c>
      <c r="AA1067" s="6">
        <v>127</v>
      </c>
      <c r="AB1067" s="6">
        <v>0</v>
      </c>
      <c r="AC1067" s="7">
        <v>75</v>
      </c>
      <c r="AD1067" s="7" t="s">
        <v>52</v>
      </c>
      <c r="AE1067" s="7">
        <v>17.48</v>
      </c>
      <c r="AF1067" s="7">
        <v>2240</v>
      </c>
      <c r="AG1067" s="7">
        <v>52.93</v>
      </c>
      <c r="AH1067" s="7">
        <v>17.350000000000001</v>
      </c>
      <c r="AI1067" s="7">
        <v>26.42</v>
      </c>
      <c r="AJ1067" s="9">
        <v>361.09929132360202</v>
      </c>
      <c r="AK1067" s="9">
        <v>363.07186649301002</v>
      </c>
      <c r="AL1067" s="9">
        <v>483.60129521388399</v>
      </c>
      <c r="AM1067" s="9">
        <v>54.000097117861102</v>
      </c>
      <c r="AN1067" s="9">
        <v>0.72000129490481402</v>
      </c>
      <c r="AO1067" s="9">
        <v>0.968165183917851</v>
      </c>
      <c r="AP1067" s="9">
        <v>492.89982723666299</v>
      </c>
      <c r="AQ1067" s="9">
        <v>6.5719976964888396</v>
      </c>
      <c r="AR1067" s="9">
        <v>9.9978964902969807</v>
      </c>
      <c r="AS1067" s="8" t="s">
        <v>169</v>
      </c>
      <c r="AT1067" s="8" t="s">
        <v>169</v>
      </c>
      <c r="AU1067" s="8" t="s">
        <v>169</v>
      </c>
      <c r="AV1067" s="10">
        <v>0</v>
      </c>
      <c r="AW1067" s="8" t="s">
        <v>169</v>
      </c>
      <c r="AX1067" s="8" t="s">
        <v>169</v>
      </c>
      <c r="BF1067" s="12">
        <v>0.38</v>
      </c>
      <c r="BG1067" s="13">
        <v>320.063457215722</v>
      </c>
      <c r="BH1067" s="96" t="str">
        <f>+VLOOKUP(G1067,Liste!$A$7:$G$50,3,FALSE)</f>
        <v>Sapin pectiné</v>
      </c>
      <c r="BI1067" s="96" t="str">
        <f>+VLOOKUP(H1067,Liste!$B$7:$G$50,5,FALSE)</f>
        <v>GSM Alpes du Sud</v>
      </c>
      <c r="BJ1067" s="135">
        <f t="shared" si="320"/>
        <v>75</v>
      </c>
      <c r="BK1067" s="135" t="str">
        <f t="shared" si="322"/>
        <v>Sapin pectiné_F2_SP2_4_GSM Alpes du Sud_75_</v>
      </c>
      <c r="BL1067" s="322"/>
      <c r="BM1067" s="13">
        <v>80.394623641461905</v>
      </c>
      <c r="BN1067" s="13">
        <v>400.45808085718397</v>
      </c>
      <c r="BO1067" s="13" t="s">
        <v>169</v>
      </c>
      <c r="BP1067" s="13">
        <v>228.371756193122</v>
      </c>
      <c r="BQ1067" s="13">
        <v>8.0739509358557697</v>
      </c>
      <c r="BT1067" s="298" t="str">
        <f>+VLOOKUP(G1067,Liste!$A$7:$H$50,8,FALSE)</f>
        <v>Résineux</v>
      </c>
      <c r="BU1067" s="298">
        <f t="shared" si="323"/>
        <v>0</v>
      </c>
      <c r="BV1067" s="300">
        <f t="shared" si="324"/>
        <v>1</v>
      </c>
      <c r="BW1067" s="321">
        <v>0</v>
      </c>
      <c r="BX1067" s="298">
        <f t="shared" si="325"/>
        <v>0.43</v>
      </c>
      <c r="BY1067">
        <f t="shared" si="326"/>
        <v>0</v>
      </c>
      <c r="BZ1067" s="304">
        <f t="shared" si="327"/>
        <v>0</v>
      </c>
      <c r="CB1067" s="299">
        <v>0.6</v>
      </c>
      <c r="CC1067" s="299">
        <v>0.4</v>
      </c>
      <c r="CD1067">
        <f t="shared" si="328"/>
        <v>0</v>
      </c>
      <c r="CE1067">
        <f t="shared" si="329"/>
        <v>0</v>
      </c>
      <c r="CF1067">
        <f t="shared" si="330"/>
        <v>0</v>
      </c>
      <c r="CG1067">
        <f t="shared" si="331"/>
        <v>0</v>
      </c>
      <c r="CH1067">
        <f t="shared" si="332"/>
        <v>0</v>
      </c>
      <c r="CI1067">
        <f t="shared" si="333"/>
        <v>0</v>
      </c>
      <c r="CJ1067">
        <f t="shared" si="334"/>
        <v>0</v>
      </c>
      <c r="CK1067">
        <f t="shared" si="335"/>
        <v>0</v>
      </c>
      <c r="CL1067">
        <f t="shared" si="336"/>
        <v>0</v>
      </c>
      <c r="CM1067">
        <f t="shared" si="338"/>
        <v>0</v>
      </c>
      <c r="CN1067">
        <f t="shared" si="337"/>
        <v>0</v>
      </c>
      <c r="CO1067">
        <f t="shared" si="321"/>
        <v>0</v>
      </c>
    </row>
    <row r="1068" spans="1:93" x14ac:dyDescent="0.25">
      <c r="A1068" s="4">
        <v>2021</v>
      </c>
      <c r="B1068" s="318">
        <v>44279</v>
      </c>
      <c r="C1068" s="4" t="s">
        <v>1494</v>
      </c>
      <c r="D1068" s="4" t="s">
        <v>1495</v>
      </c>
      <c r="F1068" s="4" t="s">
        <v>1496</v>
      </c>
      <c r="G1068" s="5" t="s">
        <v>432</v>
      </c>
      <c r="H1068" s="5" t="s">
        <v>1498</v>
      </c>
      <c r="I1068" s="5" t="s">
        <v>228</v>
      </c>
      <c r="J1068" s="5" t="s">
        <v>10</v>
      </c>
      <c r="K1068" s="5">
        <v>14</v>
      </c>
      <c r="L1068" s="5" t="s">
        <v>192</v>
      </c>
      <c r="M1068" s="5">
        <v>3000</v>
      </c>
      <c r="N1068" s="5" t="s">
        <v>170</v>
      </c>
      <c r="O1068" s="6" t="s">
        <v>1499</v>
      </c>
      <c r="P1068" s="6" t="s">
        <v>1500</v>
      </c>
      <c r="S1068" s="6">
        <v>70</v>
      </c>
      <c r="T1068" s="6">
        <v>16.989999999999998</v>
      </c>
      <c r="U1068" s="6">
        <v>2299</v>
      </c>
      <c r="V1068" s="6">
        <v>46.07</v>
      </c>
      <c r="W1068" s="6">
        <v>0</v>
      </c>
      <c r="X1068" s="6">
        <v>582</v>
      </c>
      <c r="Y1068" s="6">
        <v>948</v>
      </c>
      <c r="Z1068" s="6">
        <v>642</v>
      </c>
      <c r="AA1068" s="6">
        <v>127</v>
      </c>
      <c r="AB1068" s="6">
        <v>0</v>
      </c>
      <c r="AC1068" s="7">
        <v>75</v>
      </c>
      <c r="AD1068" s="7" t="s">
        <v>53</v>
      </c>
      <c r="AE1068" s="7">
        <v>17.41</v>
      </c>
      <c r="AF1068" s="7">
        <v>877</v>
      </c>
      <c r="AG1068" s="7">
        <v>23.03</v>
      </c>
      <c r="AH1068" s="7">
        <v>18.28</v>
      </c>
      <c r="AI1068" s="7">
        <v>26.23</v>
      </c>
      <c r="AJ1068" s="9">
        <v>162.552888779634</v>
      </c>
      <c r="AK1068" s="9">
        <v>163.516638617322</v>
      </c>
      <c r="AL1068" s="9">
        <v>215.58428396691201</v>
      </c>
      <c r="AM1068" s="9">
        <v>54.000097117861102</v>
      </c>
      <c r="AN1068" s="9">
        <v>0.72000129490481402</v>
      </c>
      <c r="AO1068" s="9">
        <v>0.968165183917851</v>
      </c>
      <c r="AP1068" s="9">
        <v>492.89982723666299</v>
      </c>
      <c r="AQ1068" s="9">
        <v>6.5719976964888396</v>
      </c>
      <c r="AR1068" s="9">
        <v>9.9978964902969807</v>
      </c>
      <c r="AS1068" s="8">
        <v>1363</v>
      </c>
      <c r="AT1068" s="8">
        <v>29.9</v>
      </c>
      <c r="AU1068" s="10">
        <v>16.712550230251797</v>
      </c>
      <c r="AV1068" s="10">
        <v>198.54640254396801</v>
      </c>
      <c r="AW1068" s="8">
        <v>0.93</v>
      </c>
      <c r="AX1068" s="10">
        <v>0.1456686739134028</v>
      </c>
      <c r="BF1068" s="12">
        <v>0.38</v>
      </c>
      <c r="BG1068" s="13">
        <v>142.68086527210099</v>
      </c>
      <c r="BH1068" s="96" t="str">
        <f>+VLOOKUP(G1068,Liste!$A$7:$G$50,3,FALSE)</f>
        <v>Sapin pectiné</v>
      </c>
      <c r="BI1068" s="96" t="str">
        <f>+VLOOKUP(H1068,Liste!$B$7:$G$50,5,FALSE)</f>
        <v>GSM Alpes du Sud</v>
      </c>
      <c r="BJ1068" s="135">
        <f t="shared" si="320"/>
        <v>75</v>
      </c>
      <c r="BK1068" s="135" t="str">
        <f t="shared" si="322"/>
        <v>Sapin pectiné_F2_SP2_4_GSM Alpes du Sud_75_</v>
      </c>
      <c r="BL1068" s="322"/>
      <c r="BM1068" s="13">
        <v>39.372950283854998</v>
      </c>
      <c r="BN1068" s="13">
        <v>182.05381555595599</v>
      </c>
      <c r="BO1068" s="13">
        <v>218.40426530122798</v>
      </c>
      <c r="BP1068" s="13">
        <v>228.371756193122</v>
      </c>
      <c r="BQ1068" s="13">
        <v>8.0739509358557697</v>
      </c>
      <c r="BT1068" s="298" t="str">
        <f>+VLOOKUP(G1068,Liste!$A$7:$H$50,8,FALSE)</f>
        <v>Résineux</v>
      </c>
      <c r="BU1068" s="298">
        <f t="shared" si="323"/>
        <v>0</v>
      </c>
      <c r="BV1068" s="300">
        <f t="shared" si="324"/>
        <v>1</v>
      </c>
      <c r="BW1068" s="321">
        <v>0</v>
      </c>
      <c r="BX1068" s="298">
        <f t="shared" si="325"/>
        <v>0.43</v>
      </c>
      <c r="BY1068">
        <f t="shared" si="326"/>
        <v>0</v>
      </c>
      <c r="BZ1068" s="304">
        <f t="shared" si="327"/>
        <v>0</v>
      </c>
      <c r="CB1068" s="299">
        <v>0.6</v>
      </c>
      <c r="CC1068" s="299">
        <v>0.4</v>
      </c>
      <c r="CD1068">
        <f t="shared" si="328"/>
        <v>0</v>
      </c>
      <c r="CE1068">
        <f t="shared" si="329"/>
        <v>0</v>
      </c>
      <c r="CF1068">
        <f t="shared" si="330"/>
        <v>0</v>
      </c>
      <c r="CG1068">
        <f t="shared" si="331"/>
        <v>0</v>
      </c>
      <c r="CH1068">
        <f t="shared" si="332"/>
        <v>0</v>
      </c>
      <c r="CI1068">
        <f t="shared" si="333"/>
        <v>0</v>
      </c>
      <c r="CJ1068">
        <f t="shared" si="334"/>
        <v>0</v>
      </c>
      <c r="CK1068">
        <f t="shared" si="335"/>
        <v>0</v>
      </c>
      <c r="CL1068">
        <f t="shared" si="336"/>
        <v>0</v>
      </c>
      <c r="CM1068">
        <f t="shared" si="338"/>
        <v>0</v>
      </c>
      <c r="CN1068">
        <f t="shared" si="337"/>
        <v>0</v>
      </c>
      <c r="CO1068">
        <f t="shared" si="321"/>
        <v>0</v>
      </c>
    </row>
    <row r="1069" spans="1:93" x14ac:dyDescent="0.25">
      <c r="A1069" s="4">
        <v>2021</v>
      </c>
      <c r="B1069" s="318">
        <v>44279</v>
      </c>
      <c r="C1069" s="4" t="s">
        <v>1494</v>
      </c>
      <c r="D1069" s="4" t="s">
        <v>1495</v>
      </c>
      <c r="F1069" s="4" t="s">
        <v>1496</v>
      </c>
      <c r="G1069" s="5" t="s">
        <v>432</v>
      </c>
      <c r="H1069" s="5" t="s">
        <v>1498</v>
      </c>
      <c r="I1069" s="5" t="s">
        <v>228</v>
      </c>
      <c r="J1069" s="5" t="s">
        <v>10</v>
      </c>
      <c r="K1069" s="5">
        <v>14</v>
      </c>
      <c r="L1069" s="5" t="s">
        <v>192</v>
      </c>
      <c r="M1069" s="5">
        <v>3000</v>
      </c>
      <c r="N1069" s="5" t="s">
        <v>170</v>
      </c>
      <c r="O1069" s="6" t="s">
        <v>1499</v>
      </c>
      <c r="P1069" s="6" t="s">
        <v>1500</v>
      </c>
      <c r="S1069" s="6">
        <v>70</v>
      </c>
      <c r="T1069" s="6">
        <v>16.989999999999998</v>
      </c>
      <c r="U1069" s="6">
        <v>2299</v>
      </c>
      <c r="V1069" s="6">
        <v>46.07</v>
      </c>
      <c r="W1069" s="6">
        <v>0</v>
      </c>
      <c r="X1069" s="6">
        <v>582</v>
      </c>
      <c r="Y1069" s="6">
        <v>948</v>
      </c>
      <c r="Z1069" s="6">
        <v>642</v>
      </c>
      <c r="AA1069" s="6">
        <v>127</v>
      </c>
      <c r="AB1069" s="6">
        <v>0</v>
      </c>
      <c r="AC1069" s="7">
        <v>80</v>
      </c>
      <c r="AD1069" s="7" t="s">
        <v>52</v>
      </c>
      <c r="AE1069" s="7">
        <v>17.829999999999998</v>
      </c>
      <c r="AF1069" s="7">
        <v>867</v>
      </c>
      <c r="AG1069" s="7">
        <v>27.66</v>
      </c>
      <c r="AH1069" s="7">
        <v>20.149999999999999</v>
      </c>
      <c r="AI1069" s="7">
        <v>28.44</v>
      </c>
      <c r="AJ1069" s="9">
        <v>199.13496713100599</v>
      </c>
      <c r="AK1069" s="9">
        <v>200.63982894014401</v>
      </c>
      <c r="AL1069" s="9">
        <v>263.69537139650998</v>
      </c>
      <c r="AM1069" s="9">
        <v>58.840923037450303</v>
      </c>
      <c r="AN1069" s="9">
        <v>0.73551153796812896</v>
      </c>
      <c r="AO1069" s="9">
        <v>0.944691855490704</v>
      </c>
      <c r="AP1069" s="9">
        <v>542.88930968814805</v>
      </c>
      <c r="AQ1069" s="9">
        <v>6.7861163711018504</v>
      </c>
      <c r="AR1069" s="9">
        <v>9.9635541549829405</v>
      </c>
      <c r="AS1069" s="8" t="s">
        <v>169</v>
      </c>
      <c r="AT1069" s="8" t="s">
        <v>169</v>
      </c>
      <c r="AU1069" s="10" t="s">
        <v>169</v>
      </c>
      <c r="AV1069" s="10">
        <v>0</v>
      </c>
      <c r="AX1069" s="10" t="s">
        <v>169</v>
      </c>
      <c r="BF1069" s="12">
        <v>0.38</v>
      </c>
      <c r="BG1069" s="13">
        <v>174.52238663592399</v>
      </c>
      <c r="BH1069" s="96" t="str">
        <f>+VLOOKUP(G1069,Liste!$A$7:$G$50,3,FALSE)</f>
        <v>Sapin pectiné</v>
      </c>
      <c r="BI1069" s="96" t="str">
        <f>+VLOOKUP(H1069,Liste!$B$7:$G$50,5,FALSE)</f>
        <v>GSM Alpes du Sud</v>
      </c>
      <c r="BJ1069" s="135">
        <f t="shared" si="320"/>
        <v>80</v>
      </c>
      <c r="BK1069" s="135" t="str">
        <f t="shared" si="322"/>
        <v>Sapin pectiné_F2_SP2_4_GSM Alpes du Sud_80_</v>
      </c>
      <c r="BL1069" s="322"/>
      <c r="BM1069" s="13">
        <v>47.0435477082343</v>
      </c>
      <c r="BN1069" s="13">
        <v>221.56593434415799</v>
      </c>
      <c r="BO1069" s="13" t="s">
        <v>169</v>
      </c>
      <c r="BP1069" s="13">
        <v>228.371756193122</v>
      </c>
      <c r="BQ1069" s="13">
        <v>8.0307393286447795</v>
      </c>
      <c r="BT1069" s="298" t="str">
        <f>+VLOOKUP(G1069,Liste!$A$7:$H$50,8,FALSE)</f>
        <v>Résineux</v>
      </c>
      <c r="BU1069" s="298">
        <f t="shared" si="323"/>
        <v>0</v>
      </c>
      <c r="BV1069" s="300">
        <f t="shared" si="324"/>
        <v>1</v>
      </c>
      <c r="BW1069" s="321">
        <v>0</v>
      </c>
      <c r="BX1069" s="298">
        <f t="shared" si="325"/>
        <v>0.43</v>
      </c>
      <c r="BY1069">
        <f t="shared" si="326"/>
        <v>0</v>
      </c>
      <c r="BZ1069" s="304">
        <f t="shared" si="327"/>
        <v>0</v>
      </c>
      <c r="CB1069" s="299">
        <v>0.6</v>
      </c>
      <c r="CC1069" s="299">
        <v>0.4</v>
      </c>
      <c r="CD1069">
        <f t="shared" si="328"/>
        <v>0</v>
      </c>
      <c r="CE1069">
        <f t="shared" si="329"/>
        <v>0</v>
      </c>
      <c r="CF1069">
        <f t="shared" si="330"/>
        <v>0</v>
      </c>
      <c r="CG1069">
        <f t="shared" si="331"/>
        <v>0</v>
      </c>
      <c r="CH1069">
        <f t="shared" si="332"/>
        <v>0</v>
      </c>
      <c r="CI1069">
        <f t="shared" si="333"/>
        <v>0</v>
      </c>
      <c r="CJ1069">
        <f t="shared" si="334"/>
        <v>0</v>
      </c>
      <c r="CK1069">
        <f t="shared" si="335"/>
        <v>0</v>
      </c>
      <c r="CL1069">
        <f t="shared" si="336"/>
        <v>0</v>
      </c>
      <c r="CM1069">
        <f t="shared" si="338"/>
        <v>0</v>
      </c>
      <c r="CN1069">
        <f t="shared" si="337"/>
        <v>0</v>
      </c>
      <c r="CO1069">
        <f t="shared" si="321"/>
        <v>0</v>
      </c>
    </row>
    <row r="1070" spans="1:93" x14ac:dyDescent="0.25">
      <c r="A1070" s="4">
        <v>2021</v>
      </c>
      <c r="B1070" s="318">
        <v>44279</v>
      </c>
      <c r="C1070" s="4" t="s">
        <v>1494</v>
      </c>
      <c r="D1070" s="4" t="s">
        <v>1495</v>
      </c>
      <c r="F1070" s="4" t="s">
        <v>1496</v>
      </c>
      <c r="G1070" s="5" t="s">
        <v>432</v>
      </c>
      <c r="H1070" s="5" t="s">
        <v>1498</v>
      </c>
      <c r="I1070" s="5" t="s">
        <v>228</v>
      </c>
      <c r="J1070" s="5" t="s">
        <v>10</v>
      </c>
      <c r="K1070" s="5">
        <v>14</v>
      </c>
      <c r="L1070" s="5" t="s">
        <v>192</v>
      </c>
      <c r="M1070" s="5">
        <v>3000</v>
      </c>
      <c r="N1070" s="5" t="s">
        <v>170</v>
      </c>
      <c r="O1070" s="6" t="s">
        <v>1499</v>
      </c>
      <c r="P1070" s="6" t="s">
        <v>1500</v>
      </c>
      <c r="S1070" s="6">
        <v>70</v>
      </c>
      <c r="T1070" s="6">
        <v>16.989999999999998</v>
      </c>
      <c r="U1070" s="6">
        <v>2299</v>
      </c>
      <c r="V1070" s="6">
        <v>46.07</v>
      </c>
      <c r="W1070" s="6">
        <v>0</v>
      </c>
      <c r="X1070" s="6">
        <v>582</v>
      </c>
      <c r="Y1070" s="6">
        <v>948</v>
      </c>
      <c r="Z1070" s="6">
        <v>642</v>
      </c>
      <c r="AA1070" s="6">
        <v>127</v>
      </c>
      <c r="AB1070" s="6">
        <v>0</v>
      </c>
      <c r="AC1070" s="7">
        <v>85</v>
      </c>
      <c r="AD1070" s="7" t="s">
        <v>52</v>
      </c>
      <c r="AE1070" s="7">
        <v>18.16</v>
      </c>
      <c r="AF1070" s="7">
        <v>855</v>
      </c>
      <c r="AG1070" s="7">
        <v>31.99</v>
      </c>
      <c r="AH1070" s="7">
        <v>21.83</v>
      </c>
      <c r="AI1070" s="7">
        <v>30.4</v>
      </c>
      <c r="AJ1070" s="9">
        <v>233.80204745164099</v>
      </c>
      <c r="AK1070" s="9">
        <v>235.901099387995</v>
      </c>
      <c r="AL1070" s="9">
        <v>309.78869884480201</v>
      </c>
      <c r="AM1070" s="9">
        <v>63.564382314903803</v>
      </c>
      <c r="AN1070" s="9">
        <v>0.74781626252828004</v>
      </c>
      <c r="AO1070" s="9">
        <v>0.92281841296752798</v>
      </c>
      <c r="AP1070" s="9">
        <v>592.70708046306299</v>
      </c>
      <c r="AQ1070" s="9">
        <v>6.9730244760360298</v>
      </c>
      <c r="AR1070" s="9">
        <v>9.9295936428804907</v>
      </c>
      <c r="AS1070" s="8" t="s">
        <v>169</v>
      </c>
      <c r="AT1070" s="8" t="s">
        <v>169</v>
      </c>
      <c r="AU1070" s="10" t="s">
        <v>169</v>
      </c>
      <c r="AV1070" s="10">
        <v>0</v>
      </c>
      <c r="AX1070" s="10" t="s">
        <v>169</v>
      </c>
      <c r="BF1070" s="12">
        <v>0.38</v>
      </c>
      <c r="BG1070" s="13">
        <v>205.02848718545101</v>
      </c>
      <c r="BH1070" s="96" t="str">
        <f>+VLOOKUP(G1070,Liste!$A$7:$G$50,3,FALSE)</f>
        <v>Sapin pectiné</v>
      </c>
      <c r="BI1070" s="96" t="str">
        <f>+VLOOKUP(H1070,Liste!$B$7:$G$50,5,FALSE)</f>
        <v>GSM Alpes du Sud</v>
      </c>
      <c r="BJ1070" s="135">
        <f t="shared" si="320"/>
        <v>85</v>
      </c>
      <c r="BK1070" s="135" t="str">
        <f t="shared" si="322"/>
        <v>Sapin pectiné_F2_SP2_4_GSM Alpes du Sud_85_</v>
      </c>
      <c r="BL1070" s="322"/>
      <c r="BM1070" s="13">
        <v>54.2399685511296</v>
      </c>
      <c r="BN1070" s="13">
        <v>259.26845573658102</v>
      </c>
      <c r="BO1070" s="13" t="s">
        <v>169</v>
      </c>
      <c r="BP1070" s="13">
        <v>228.371756193122</v>
      </c>
      <c r="BQ1070" s="13">
        <v>7.9894336325551301</v>
      </c>
      <c r="BT1070" s="298" t="str">
        <f>+VLOOKUP(G1070,Liste!$A$7:$H$50,8,FALSE)</f>
        <v>Résineux</v>
      </c>
      <c r="BU1070" s="298">
        <f t="shared" si="323"/>
        <v>0</v>
      </c>
      <c r="BV1070" s="300">
        <f t="shared" si="324"/>
        <v>1</v>
      </c>
      <c r="BW1070" s="321">
        <v>0</v>
      </c>
      <c r="BX1070" s="298">
        <f t="shared" si="325"/>
        <v>0.43</v>
      </c>
      <c r="BY1070">
        <f t="shared" si="326"/>
        <v>0</v>
      </c>
      <c r="BZ1070" s="304">
        <f t="shared" si="327"/>
        <v>0</v>
      </c>
      <c r="CB1070" s="299">
        <v>0.6</v>
      </c>
      <c r="CC1070" s="299">
        <v>0.4</v>
      </c>
      <c r="CD1070">
        <f t="shared" si="328"/>
        <v>0</v>
      </c>
      <c r="CE1070">
        <f t="shared" si="329"/>
        <v>0</v>
      </c>
      <c r="CF1070">
        <f t="shared" si="330"/>
        <v>0</v>
      </c>
      <c r="CG1070">
        <f t="shared" si="331"/>
        <v>0</v>
      </c>
      <c r="CH1070">
        <f t="shared" si="332"/>
        <v>0</v>
      </c>
      <c r="CI1070">
        <f t="shared" si="333"/>
        <v>0</v>
      </c>
      <c r="CJ1070">
        <f t="shared" si="334"/>
        <v>0</v>
      </c>
      <c r="CK1070">
        <f t="shared" si="335"/>
        <v>0</v>
      </c>
      <c r="CL1070">
        <f t="shared" si="336"/>
        <v>0</v>
      </c>
      <c r="CM1070">
        <f t="shared" si="338"/>
        <v>0</v>
      </c>
      <c r="CN1070">
        <f t="shared" si="337"/>
        <v>0</v>
      </c>
      <c r="CO1070">
        <f t="shared" si="321"/>
        <v>0</v>
      </c>
    </row>
    <row r="1071" spans="1:93" x14ac:dyDescent="0.25">
      <c r="A1071" s="4">
        <v>2021</v>
      </c>
      <c r="B1071" s="318">
        <v>44279</v>
      </c>
      <c r="C1071" s="4" t="s">
        <v>1494</v>
      </c>
      <c r="D1071" s="4" t="s">
        <v>1495</v>
      </c>
      <c r="F1071" s="4" t="s">
        <v>1496</v>
      </c>
      <c r="G1071" s="5" t="s">
        <v>432</v>
      </c>
      <c r="H1071" s="5" t="s">
        <v>1498</v>
      </c>
      <c r="I1071" s="5" t="s">
        <v>228</v>
      </c>
      <c r="J1071" s="5" t="s">
        <v>10</v>
      </c>
      <c r="K1071" s="5">
        <v>14</v>
      </c>
      <c r="L1071" s="5" t="s">
        <v>192</v>
      </c>
      <c r="M1071" s="5">
        <v>3000</v>
      </c>
      <c r="N1071" s="5" t="s">
        <v>170</v>
      </c>
      <c r="O1071" s="6" t="s">
        <v>1499</v>
      </c>
      <c r="P1071" s="6" t="s">
        <v>1500</v>
      </c>
      <c r="S1071" s="6">
        <v>70</v>
      </c>
      <c r="T1071" s="6">
        <v>16.989999999999998</v>
      </c>
      <c r="U1071" s="6">
        <v>2299</v>
      </c>
      <c r="V1071" s="6">
        <v>46.07</v>
      </c>
      <c r="W1071" s="6">
        <v>0</v>
      </c>
      <c r="X1071" s="6">
        <v>582</v>
      </c>
      <c r="Y1071" s="6">
        <v>948</v>
      </c>
      <c r="Z1071" s="6">
        <v>642</v>
      </c>
      <c r="AA1071" s="6">
        <v>127</v>
      </c>
      <c r="AB1071" s="6">
        <v>0</v>
      </c>
      <c r="AC1071" s="7">
        <v>90</v>
      </c>
      <c r="AD1071" s="7" t="s">
        <v>52</v>
      </c>
      <c r="AE1071" s="7">
        <v>18.47</v>
      </c>
      <c r="AF1071" s="7">
        <v>844</v>
      </c>
      <c r="AG1071" s="7">
        <v>36.24</v>
      </c>
      <c r="AH1071" s="7">
        <v>23.38</v>
      </c>
      <c r="AI1071" s="7">
        <v>32.21</v>
      </c>
      <c r="AJ1071" s="9">
        <v>268.350752243535</v>
      </c>
      <c r="AK1071" s="9">
        <v>271.092890201827</v>
      </c>
      <c r="AL1071" s="9">
        <v>355.94344680901901</v>
      </c>
      <c r="AM1071" s="9">
        <v>68.178474379741502</v>
      </c>
      <c r="AN1071" s="9">
        <v>0.75753860421935004</v>
      </c>
      <c r="AO1071" s="9">
        <v>0.90368790755657102</v>
      </c>
      <c r="AP1071" s="9">
        <v>642.35504867746499</v>
      </c>
      <c r="AQ1071" s="9">
        <v>7.1372783186384998</v>
      </c>
      <c r="AR1071" s="9">
        <v>9.8509616071052104</v>
      </c>
      <c r="AS1071" s="8" t="s">
        <v>169</v>
      </c>
      <c r="AT1071" s="8" t="s">
        <v>169</v>
      </c>
      <c r="AU1071" s="10" t="s">
        <v>169</v>
      </c>
      <c r="AV1071" s="10">
        <v>0</v>
      </c>
      <c r="AX1071" s="10" t="s">
        <v>169</v>
      </c>
      <c r="BF1071" s="12">
        <v>0.38</v>
      </c>
      <c r="BG1071" s="13">
        <v>235.57523787976899</v>
      </c>
      <c r="BH1071" s="96" t="str">
        <f>+VLOOKUP(G1071,Liste!$A$7:$G$50,3,FALSE)</f>
        <v>Sapin pectiné</v>
      </c>
      <c r="BI1071" s="96" t="str">
        <f>+VLOOKUP(H1071,Liste!$B$7:$G$50,5,FALSE)</f>
        <v>GSM Alpes du Sud</v>
      </c>
      <c r="BJ1071" s="135">
        <f t="shared" si="320"/>
        <v>90</v>
      </c>
      <c r="BK1071" s="135" t="str">
        <f t="shared" si="322"/>
        <v>Sapin pectiné_F2_SP2_4_GSM Alpes du Sud_90_</v>
      </c>
      <c r="BL1071" s="322"/>
      <c r="BM1071" s="13">
        <v>61.321694044446502</v>
      </c>
      <c r="BN1071" s="13">
        <v>296.89693192421498</v>
      </c>
      <c r="BO1071" s="13" t="s">
        <v>169</v>
      </c>
      <c r="BP1071" s="13">
        <v>228.371756193122</v>
      </c>
      <c r="BQ1071" s="13">
        <v>7.9136028407664298</v>
      </c>
      <c r="BT1071" s="298" t="str">
        <f>+VLOOKUP(G1071,Liste!$A$7:$H$50,8,FALSE)</f>
        <v>Résineux</v>
      </c>
      <c r="BU1071" s="298">
        <f t="shared" si="323"/>
        <v>0</v>
      </c>
      <c r="BV1071" s="300">
        <f t="shared" si="324"/>
        <v>1</v>
      </c>
      <c r="BW1071" s="321">
        <v>0</v>
      </c>
      <c r="BX1071" s="298">
        <f t="shared" si="325"/>
        <v>0.43</v>
      </c>
      <c r="BY1071">
        <f t="shared" si="326"/>
        <v>0</v>
      </c>
      <c r="BZ1071" s="304">
        <f t="shared" si="327"/>
        <v>0</v>
      </c>
      <c r="CB1071" s="299">
        <v>0.6</v>
      </c>
      <c r="CC1071" s="299">
        <v>0.4</v>
      </c>
      <c r="CD1071">
        <f t="shared" si="328"/>
        <v>0</v>
      </c>
      <c r="CE1071">
        <f t="shared" si="329"/>
        <v>0</v>
      </c>
      <c r="CF1071">
        <f t="shared" si="330"/>
        <v>0</v>
      </c>
      <c r="CG1071">
        <f t="shared" si="331"/>
        <v>0</v>
      </c>
      <c r="CH1071">
        <f t="shared" si="332"/>
        <v>0</v>
      </c>
      <c r="CI1071">
        <f t="shared" si="333"/>
        <v>0</v>
      </c>
      <c r="CJ1071">
        <f t="shared" si="334"/>
        <v>0</v>
      </c>
      <c r="CK1071">
        <f t="shared" si="335"/>
        <v>0</v>
      </c>
      <c r="CL1071">
        <f t="shared" si="336"/>
        <v>0</v>
      </c>
      <c r="CM1071">
        <f t="shared" si="338"/>
        <v>0</v>
      </c>
      <c r="CN1071">
        <f t="shared" si="337"/>
        <v>0</v>
      </c>
      <c r="CO1071">
        <f t="shared" si="321"/>
        <v>0</v>
      </c>
    </row>
    <row r="1072" spans="1:93" x14ac:dyDescent="0.25">
      <c r="A1072" s="4">
        <v>2021</v>
      </c>
      <c r="B1072" s="318">
        <v>44279</v>
      </c>
      <c r="C1072" s="4" t="s">
        <v>1494</v>
      </c>
      <c r="D1072" s="4" t="s">
        <v>1495</v>
      </c>
      <c r="F1072" s="4" t="s">
        <v>1496</v>
      </c>
      <c r="G1072" s="5" t="s">
        <v>432</v>
      </c>
      <c r="H1072" s="5" t="s">
        <v>1498</v>
      </c>
      <c r="I1072" s="5" t="s">
        <v>228</v>
      </c>
      <c r="J1072" s="5" t="s">
        <v>10</v>
      </c>
      <c r="K1072" s="5">
        <v>14</v>
      </c>
      <c r="L1072" s="5" t="s">
        <v>192</v>
      </c>
      <c r="M1072" s="5">
        <v>3000</v>
      </c>
      <c r="N1072" s="5" t="s">
        <v>170</v>
      </c>
      <c r="O1072" s="6" t="s">
        <v>1499</v>
      </c>
      <c r="P1072" s="6" t="s">
        <v>1500</v>
      </c>
      <c r="S1072" s="6">
        <v>70</v>
      </c>
      <c r="T1072" s="6">
        <v>16.989999999999998</v>
      </c>
      <c r="U1072" s="6">
        <v>2299</v>
      </c>
      <c r="V1072" s="6">
        <v>46.07</v>
      </c>
      <c r="W1072" s="6">
        <v>0</v>
      </c>
      <c r="X1072" s="6">
        <v>582</v>
      </c>
      <c r="Y1072" s="6">
        <v>948</v>
      </c>
      <c r="Z1072" s="6">
        <v>642</v>
      </c>
      <c r="AA1072" s="6">
        <v>127</v>
      </c>
      <c r="AB1072" s="6">
        <v>0</v>
      </c>
      <c r="AC1072" s="7">
        <v>95</v>
      </c>
      <c r="AD1072" s="7" t="s">
        <v>52</v>
      </c>
      <c r="AE1072" s="7">
        <v>18.75</v>
      </c>
      <c r="AF1072" s="7">
        <v>838</v>
      </c>
      <c r="AG1072" s="7">
        <v>40.54</v>
      </c>
      <c r="AH1072" s="7">
        <v>24.82</v>
      </c>
      <c r="AI1072" s="7">
        <v>33.85</v>
      </c>
      <c r="AJ1072" s="9">
        <v>303.445887012443</v>
      </c>
      <c r="AK1072" s="9">
        <v>306.88565841808798</v>
      </c>
      <c r="AL1072" s="9">
        <v>403.149539258738</v>
      </c>
      <c r="AM1072" s="9">
        <v>72.696913917524299</v>
      </c>
      <c r="AN1072" s="9">
        <v>0.76523067281604595</v>
      </c>
      <c r="AO1072" s="9">
        <v>0.69385829214388395</v>
      </c>
      <c r="AP1072" s="9">
        <v>691.60985671299102</v>
      </c>
      <c r="AQ1072" s="9">
        <v>7.2801037548735898</v>
      </c>
      <c r="AR1072" s="9">
        <v>7.7146686619117899</v>
      </c>
      <c r="AS1072" s="8" t="s">
        <v>169</v>
      </c>
      <c r="AT1072" s="8" t="s">
        <v>169</v>
      </c>
      <c r="AU1072" s="10" t="s">
        <v>169</v>
      </c>
      <c r="AV1072" s="10">
        <v>0</v>
      </c>
      <c r="AX1072" s="10" t="s">
        <v>169</v>
      </c>
      <c r="BF1072" s="12">
        <v>0.38</v>
      </c>
      <c r="BG1072" s="13">
        <v>266.81780339940798</v>
      </c>
      <c r="BH1072" s="96" t="str">
        <f>+VLOOKUP(G1072,Liste!$A$7:$G$50,3,FALSE)</f>
        <v>Sapin pectiné</v>
      </c>
      <c r="BI1072" s="96" t="str">
        <f>+VLOOKUP(H1072,Liste!$B$7:$G$50,5,FALSE)</f>
        <v>GSM Alpes du Sud</v>
      </c>
      <c r="BJ1072" s="135">
        <f t="shared" si="320"/>
        <v>95</v>
      </c>
      <c r="BK1072" s="135" t="str">
        <f t="shared" si="322"/>
        <v>Sapin pectiné_F2_SP2_4_GSM Alpes du Sud_95_</v>
      </c>
      <c r="BL1072" s="322"/>
      <c r="BM1072" s="13">
        <v>68.454782791666403</v>
      </c>
      <c r="BN1072" s="13">
        <v>335.27258619107403</v>
      </c>
      <c r="BO1072" s="13" t="s">
        <v>169</v>
      </c>
      <c r="BP1072" s="13">
        <v>228.371756193122</v>
      </c>
      <c r="BQ1072" s="13">
        <v>6.1893613547494404</v>
      </c>
      <c r="BT1072" s="298" t="str">
        <f>+VLOOKUP(G1072,Liste!$A$7:$H$50,8,FALSE)</f>
        <v>Résineux</v>
      </c>
      <c r="BU1072" s="298">
        <f t="shared" si="323"/>
        <v>0</v>
      </c>
      <c r="BV1072" s="300">
        <f t="shared" si="324"/>
        <v>1</v>
      </c>
      <c r="BW1072" s="321">
        <v>0</v>
      </c>
      <c r="BX1072" s="298">
        <f t="shared" si="325"/>
        <v>0.43</v>
      </c>
      <c r="BY1072">
        <f t="shared" si="326"/>
        <v>0</v>
      </c>
      <c r="BZ1072" s="304">
        <f t="shared" si="327"/>
        <v>0</v>
      </c>
      <c r="CB1072" s="299">
        <v>0.6</v>
      </c>
      <c r="CC1072" s="299">
        <v>0.4</v>
      </c>
      <c r="CD1072">
        <f t="shared" si="328"/>
        <v>0</v>
      </c>
      <c r="CE1072">
        <f t="shared" si="329"/>
        <v>0</v>
      </c>
      <c r="CF1072">
        <f t="shared" si="330"/>
        <v>0</v>
      </c>
      <c r="CG1072">
        <f t="shared" si="331"/>
        <v>0</v>
      </c>
      <c r="CH1072">
        <f t="shared" si="332"/>
        <v>0</v>
      </c>
      <c r="CI1072">
        <f t="shared" si="333"/>
        <v>0</v>
      </c>
      <c r="CJ1072">
        <f t="shared" si="334"/>
        <v>0</v>
      </c>
      <c r="CK1072">
        <f t="shared" si="335"/>
        <v>0</v>
      </c>
      <c r="CL1072">
        <f t="shared" si="336"/>
        <v>0</v>
      </c>
      <c r="CM1072">
        <f t="shared" si="338"/>
        <v>0</v>
      </c>
      <c r="CN1072">
        <f t="shared" si="337"/>
        <v>0</v>
      </c>
      <c r="CO1072">
        <f t="shared" si="321"/>
        <v>0</v>
      </c>
    </row>
    <row r="1073" spans="1:93" x14ac:dyDescent="0.25">
      <c r="A1073" s="4">
        <v>2021</v>
      </c>
      <c r="B1073" s="318">
        <v>44279</v>
      </c>
      <c r="C1073" s="4" t="s">
        <v>1494</v>
      </c>
      <c r="D1073" s="4" t="s">
        <v>1495</v>
      </c>
      <c r="F1073" s="4" t="s">
        <v>1496</v>
      </c>
      <c r="G1073" s="5" t="s">
        <v>432</v>
      </c>
      <c r="H1073" s="5" t="s">
        <v>1498</v>
      </c>
      <c r="I1073" s="5" t="s">
        <v>228</v>
      </c>
      <c r="J1073" s="5" t="s">
        <v>10</v>
      </c>
      <c r="K1073" s="5">
        <v>14</v>
      </c>
      <c r="L1073" s="5" t="s">
        <v>192</v>
      </c>
      <c r="M1073" s="5">
        <v>3000</v>
      </c>
      <c r="N1073" s="5" t="s">
        <v>170</v>
      </c>
      <c r="O1073" s="6" t="s">
        <v>1499</v>
      </c>
      <c r="P1073" s="6" t="s">
        <v>1500</v>
      </c>
      <c r="S1073" s="6">
        <v>70</v>
      </c>
      <c r="T1073" s="6">
        <v>16.989999999999998</v>
      </c>
      <c r="U1073" s="6">
        <v>2299</v>
      </c>
      <c r="V1073" s="6">
        <v>46.07</v>
      </c>
      <c r="W1073" s="6">
        <v>0</v>
      </c>
      <c r="X1073" s="6">
        <v>582</v>
      </c>
      <c r="Y1073" s="6">
        <v>948</v>
      </c>
      <c r="Z1073" s="6">
        <v>642</v>
      </c>
      <c r="AA1073" s="6">
        <v>127</v>
      </c>
      <c r="AB1073" s="6">
        <v>0</v>
      </c>
      <c r="AC1073" s="7">
        <v>95</v>
      </c>
      <c r="AD1073" s="7" t="s">
        <v>53</v>
      </c>
      <c r="AE1073" s="7">
        <v>18.75</v>
      </c>
      <c r="AF1073" s="7">
        <v>515</v>
      </c>
      <c r="AG1073" s="7">
        <v>27.12</v>
      </c>
      <c r="AH1073" s="7">
        <v>25.89</v>
      </c>
      <c r="AI1073" s="7">
        <v>33.82</v>
      </c>
      <c r="AJ1073" s="9">
        <v>208.76430932608301</v>
      </c>
      <c r="AK1073" s="9">
        <v>211.18396088011599</v>
      </c>
      <c r="AL1073" s="9">
        <v>275.61322351005202</v>
      </c>
      <c r="AM1073" s="9">
        <v>72.696913917524299</v>
      </c>
      <c r="AN1073" s="9">
        <v>0.76523067281604595</v>
      </c>
      <c r="AO1073" s="9">
        <v>0.69385829214388395</v>
      </c>
      <c r="AP1073" s="9">
        <v>691.60985671299102</v>
      </c>
      <c r="AQ1073" s="9">
        <v>7.2801037548735898</v>
      </c>
      <c r="AR1073" s="9">
        <v>7.7146686619117899</v>
      </c>
      <c r="AS1073" s="8">
        <v>323</v>
      </c>
      <c r="AT1073" s="8">
        <v>13.419999999999998</v>
      </c>
      <c r="AU1073" s="10">
        <v>23.000117572956913</v>
      </c>
      <c r="AV1073" s="10">
        <v>94.681577686359987</v>
      </c>
      <c r="AW1073" s="8">
        <v>0.86</v>
      </c>
      <c r="AX1073" s="10">
        <v>0.29313181946241484</v>
      </c>
      <c r="BF1073" s="12">
        <v>0.38</v>
      </c>
      <c r="BG1073" s="13">
        <v>182.41001842640301</v>
      </c>
      <c r="BH1073" s="96" t="str">
        <f>+VLOOKUP(G1073,Liste!$A$7:$G$50,3,FALSE)</f>
        <v>Sapin pectiné</v>
      </c>
      <c r="BI1073" s="96" t="str">
        <f>+VLOOKUP(H1073,Liste!$B$7:$G$50,5,FALSE)</f>
        <v>GSM Alpes du Sud</v>
      </c>
      <c r="BJ1073" s="135">
        <f t="shared" si="320"/>
        <v>95</v>
      </c>
      <c r="BK1073" s="135" t="str">
        <f t="shared" si="322"/>
        <v>Sapin pectiné_F2_SP2_4_GSM Alpes du Sud_95_</v>
      </c>
      <c r="BL1073" s="322"/>
      <c r="BM1073" s="13">
        <v>48.917360541999003</v>
      </c>
      <c r="BN1073" s="13">
        <v>231.327378968402</v>
      </c>
      <c r="BO1073" s="13">
        <v>103.94520722267202</v>
      </c>
      <c r="BP1073" s="13">
        <v>228.371756193122</v>
      </c>
      <c r="BQ1073" s="13">
        <v>6.1893613547494404</v>
      </c>
      <c r="BT1073" s="298" t="str">
        <f>+VLOOKUP(G1073,Liste!$A$7:$H$50,8,FALSE)</f>
        <v>Résineux</v>
      </c>
      <c r="BU1073" s="298">
        <f t="shared" si="323"/>
        <v>0</v>
      </c>
      <c r="BV1073" s="300">
        <f t="shared" si="324"/>
        <v>1</v>
      </c>
      <c r="BW1073" s="321">
        <v>0</v>
      </c>
      <c r="BX1073" s="298">
        <f t="shared" si="325"/>
        <v>0.43</v>
      </c>
      <c r="BY1073">
        <f t="shared" si="326"/>
        <v>0</v>
      </c>
      <c r="BZ1073" s="304">
        <f t="shared" si="327"/>
        <v>0</v>
      </c>
      <c r="CB1073" s="299">
        <v>0.6</v>
      </c>
      <c r="CC1073" s="299">
        <v>0.4</v>
      </c>
      <c r="CD1073">
        <f t="shared" si="328"/>
        <v>0</v>
      </c>
      <c r="CE1073">
        <f t="shared" si="329"/>
        <v>0</v>
      </c>
      <c r="CF1073">
        <f t="shared" si="330"/>
        <v>0</v>
      </c>
      <c r="CG1073">
        <f t="shared" si="331"/>
        <v>0</v>
      </c>
      <c r="CH1073">
        <f t="shared" si="332"/>
        <v>0</v>
      </c>
      <c r="CI1073">
        <f t="shared" si="333"/>
        <v>0</v>
      </c>
      <c r="CJ1073">
        <f t="shared" si="334"/>
        <v>0</v>
      </c>
      <c r="CK1073">
        <f t="shared" si="335"/>
        <v>0</v>
      </c>
      <c r="CL1073">
        <f t="shared" si="336"/>
        <v>0</v>
      </c>
      <c r="CM1073">
        <f t="shared" si="338"/>
        <v>0</v>
      </c>
      <c r="CN1073">
        <f t="shared" si="337"/>
        <v>0</v>
      </c>
      <c r="CO1073">
        <f t="shared" si="321"/>
        <v>0</v>
      </c>
    </row>
    <row r="1074" spans="1:93" x14ac:dyDescent="0.25">
      <c r="A1074" s="4">
        <v>2021</v>
      </c>
      <c r="B1074" s="318">
        <v>44279</v>
      </c>
      <c r="C1074" s="4" t="s">
        <v>1494</v>
      </c>
      <c r="D1074" s="4" t="s">
        <v>1495</v>
      </c>
      <c r="F1074" s="4" t="s">
        <v>1496</v>
      </c>
      <c r="G1074" s="5" t="s">
        <v>432</v>
      </c>
      <c r="H1074" s="5" t="s">
        <v>1498</v>
      </c>
      <c r="I1074" s="5" t="s">
        <v>228</v>
      </c>
      <c r="J1074" s="5" t="s">
        <v>10</v>
      </c>
      <c r="K1074" s="5">
        <v>14</v>
      </c>
      <c r="L1074" s="5" t="s">
        <v>192</v>
      </c>
      <c r="M1074" s="5">
        <v>3000</v>
      </c>
      <c r="N1074" s="5" t="s">
        <v>170</v>
      </c>
      <c r="O1074" s="6" t="s">
        <v>1499</v>
      </c>
      <c r="P1074" s="6" t="s">
        <v>1500</v>
      </c>
      <c r="S1074" s="6">
        <v>70</v>
      </c>
      <c r="T1074" s="6">
        <v>16.989999999999998</v>
      </c>
      <c r="U1074" s="6">
        <v>2299</v>
      </c>
      <c r="V1074" s="6">
        <v>46.07</v>
      </c>
      <c r="W1074" s="6">
        <v>0</v>
      </c>
      <c r="X1074" s="6">
        <v>582</v>
      </c>
      <c r="Y1074" s="6">
        <v>948</v>
      </c>
      <c r="Z1074" s="6">
        <v>642</v>
      </c>
      <c r="AA1074" s="6">
        <v>127</v>
      </c>
      <c r="AB1074" s="6">
        <v>0</v>
      </c>
      <c r="AC1074" s="7">
        <v>100</v>
      </c>
      <c r="AD1074" s="7" t="s">
        <v>52</v>
      </c>
      <c r="AE1074" s="7">
        <v>18.98</v>
      </c>
      <c r="AF1074" s="7">
        <v>512</v>
      </c>
      <c r="AG1074" s="7">
        <v>30.49</v>
      </c>
      <c r="AH1074" s="7">
        <v>27.53</v>
      </c>
      <c r="AI1074" s="7">
        <v>35.64</v>
      </c>
      <c r="AJ1074" s="9">
        <v>236.44607721374501</v>
      </c>
      <c r="AK1074" s="9">
        <v>239.48581138914699</v>
      </c>
      <c r="AL1074" s="9">
        <v>313.27861822539597</v>
      </c>
      <c r="AM1074" s="9">
        <v>76.166205378243802</v>
      </c>
      <c r="AN1074" s="9">
        <v>0.76166205378243801</v>
      </c>
      <c r="AO1074" s="9">
        <v>0.67431260641420498</v>
      </c>
      <c r="AP1074" s="9">
        <v>730.18320002254995</v>
      </c>
      <c r="AQ1074" s="9">
        <v>7.3018320002254997</v>
      </c>
      <c r="AR1074" s="9">
        <v>7.5758173030825899</v>
      </c>
      <c r="AS1074" s="8" t="s">
        <v>169</v>
      </c>
      <c r="AT1074" s="8" t="s">
        <v>169</v>
      </c>
      <c r="AU1074" s="10" t="s">
        <v>169</v>
      </c>
      <c r="AV1074" s="10">
        <v>0</v>
      </c>
      <c r="AX1074" s="10" t="s">
        <v>169</v>
      </c>
      <c r="BF1074" s="12">
        <v>0.38</v>
      </c>
      <c r="BG1074" s="13">
        <v>207.33823216217399</v>
      </c>
      <c r="BH1074" s="96" t="str">
        <f>+VLOOKUP(G1074,Liste!$A$7:$G$50,3,FALSE)</f>
        <v>Sapin pectiné</v>
      </c>
      <c r="BI1074" s="96" t="str">
        <f>+VLOOKUP(H1074,Liste!$B$7:$G$50,5,FALSE)</f>
        <v>GSM Alpes du Sud</v>
      </c>
      <c r="BJ1074" s="135">
        <f t="shared" si="320"/>
        <v>100</v>
      </c>
      <c r="BK1074" s="135" t="str">
        <f t="shared" si="322"/>
        <v>Sapin pectiné_F2_SP2_4_GSM Alpes du Sud_100_</v>
      </c>
      <c r="BL1074" s="322"/>
      <c r="BM1074" s="13">
        <v>54.779530492567297</v>
      </c>
      <c r="BN1074" s="13">
        <v>262.11776265474202</v>
      </c>
      <c r="BO1074" s="13" t="s">
        <v>169</v>
      </c>
      <c r="BP1074" s="13">
        <v>228.371756193122</v>
      </c>
      <c r="BQ1074" s="13">
        <v>6.0714935834395201</v>
      </c>
      <c r="BT1074" s="298" t="str">
        <f>+VLOOKUP(G1074,Liste!$A$7:$H$50,8,FALSE)</f>
        <v>Résineux</v>
      </c>
      <c r="BU1074" s="298">
        <f t="shared" si="323"/>
        <v>0</v>
      </c>
      <c r="BV1074" s="300">
        <f t="shared" si="324"/>
        <v>1</v>
      </c>
      <c r="BW1074" s="321">
        <v>0</v>
      </c>
      <c r="BX1074" s="298">
        <f t="shared" si="325"/>
        <v>0.43</v>
      </c>
      <c r="BY1074">
        <f t="shared" si="326"/>
        <v>0</v>
      </c>
      <c r="BZ1074" s="304">
        <f t="shared" si="327"/>
        <v>0</v>
      </c>
      <c r="CB1074" s="299">
        <v>0.6</v>
      </c>
      <c r="CC1074" s="299">
        <v>0.4</v>
      </c>
      <c r="CD1074">
        <f t="shared" si="328"/>
        <v>0</v>
      </c>
      <c r="CE1074">
        <f t="shared" si="329"/>
        <v>0</v>
      </c>
      <c r="CF1074">
        <f t="shared" si="330"/>
        <v>0</v>
      </c>
      <c r="CG1074">
        <f t="shared" si="331"/>
        <v>0</v>
      </c>
      <c r="CH1074">
        <f t="shared" si="332"/>
        <v>0</v>
      </c>
      <c r="CI1074">
        <f t="shared" si="333"/>
        <v>0</v>
      </c>
      <c r="CJ1074">
        <f t="shared" si="334"/>
        <v>0</v>
      </c>
      <c r="CK1074">
        <f t="shared" si="335"/>
        <v>0</v>
      </c>
      <c r="CL1074">
        <f t="shared" si="336"/>
        <v>0</v>
      </c>
      <c r="CM1074">
        <f t="shared" si="338"/>
        <v>0</v>
      </c>
      <c r="CN1074">
        <f t="shared" si="337"/>
        <v>0</v>
      </c>
      <c r="CO1074">
        <f t="shared" si="321"/>
        <v>0</v>
      </c>
    </row>
    <row r="1075" spans="1:93" x14ac:dyDescent="0.25">
      <c r="A1075" s="4">
        <v>2021</v>
      </c>
      <c r="B1075" s="318">
        <v>44279</v>
      </c>
      <c r="C1075" s="4" t="s">
        <v>1494</v>
      </c>
      <c r="D1075" s="4" t="s">
        <v>1495</v>
      </c>
      <c r="F1075" s="4" t="s">
        <v>1496</v>
      </c>
      <c r="G1075" s="5" t="s">
        <v>432</v>
      </c>
      <c r="H1075" s="5" t="s">
        <v>1498</v>
      </c>
      <c r="I1075" s="5" t="s">
        <v>228</v>
      </c>
      <c r="J1075" s="5" t="s">
        <v>10</v>
      </c>
      <c r="K1075" s="5">
        <v>14</v>
      </c>
      <c r="L1075" s="5" t="s">
        <v>192</v>
      </c>
      <c r="M1075" s="5">
        <v>3000</v>
      </c>
      <c r="N1075" s="5" t="s">
        <v>170</v>
      </c>
      <c r="O1075" s="6" t="s">
        <v>1499</v>
      </c>
      <c r="P1075" s="6" t="s">
        <v>1500</v>
      </c>
      <c r="S1075" s="6">
        <v>70</v>
      </c>
      <c r="T1075" s="6">
        <v>16.989999999999998</v>
      </c>
      <c r="U1075" s="6">
        <v>2299</v>
      </c>
      <c r="V1075" s="6">
        <v>46.07</v>
      </c>
      <c r="W1075" s="6">
        <v>0</v>
      </c>
      <c r="X1075" s="6">
        <v>582</v>
      </c>
      <c r="Y1075" s="6">
        <v>948</v>
      </c>
      <c r="Z1075" s="6">
        <v>642</v>
      </c>
      <c r="AA1075" s="6">
        <v>127</v>
      </c>
      <c r="AB1075" s="6">
        <v>0</v>
      </c>
      <c r="AC1075" s="7">
        <v>105</v>
      </c>
      <c r="AD1075" s="7" t="s">
        <v>52</v>
      </c>
      <c r="AE1075" s="7">
        <v>19.18</v>
      </c>
      <c r="AF1075" s="7">
        <v>505</v>
      </c>
      <c r="AG1075" s="7">
        <v>33.57</v>
      </c>
      <c r="AH1075" s="7">
        <v>29.09</v>
      </c>
      <c r="AI1075" s="7">
        <v>37.32</v>
      </c>
      <c r="AJ1075" s="9">
        <v>262.219151733285</v>
      </c>
      <c r="AK1075" s="9">
        <v>265.89504714075099</v>
      </c>
      <c r="AL1075" s="9">
        <v>348.59834143423501</v>
      </c>
      <c r="AM1075" s="9">
        <v>79.537768410314797</v>
      </c>
      <c r="AN1075" s="9">
        <v>0.75750255628871199</v>
      </c>
      <c r="AO1075" s="9">
        <v>0.65467919642205497</v>
      </c>
      <c r="AP1075" s="9">
        <v>768.06228653796302</v>
      </c>
      <c r="AQ1075" s="9">
        <v>7.3148789194091703</v>
      </c>
      <c r="AR1075" s="9">
        <v>7.4049730005344596</v>
      </c>
      <c r="AS1075" s="8" t="s">
        <v>169</v>
      </c>
      <c r="AT1075" s="8" t="s">
        <v>169</v>
      </c>
      <c r="AU1075" s="10" t="s">
        <v>169</v>
      </c>
      <c r="AV1075" s="10">
        <v>0</v>
      </c>
      <c r="AX1075" s="10" t="s">
        <v>169</v>
      </c>
      <c r="BF1075" s="12">
        <v>0.38</v>
      </c>
      <c r="BG1075" s="13">
        <v>230.714002305891</v>
      </c>
      <c r="BH1075" s="96" t="str">
        <f>+VLOOKUP(G1075,Liste!$A$7:$G$50,3,FALSE)</f>
        <v>Sapin pectiné</v>
      </c>
      <c r="BI1075" s="96" t="str">
        <f>+VLOOKUP(H1075,Liste!$B$7:$G$50,5,FALSE)</f>
        <v>GSM Alpes du Sud</v>
      </c>
      <c r="BJ1075" s="135">
        <f t="shared" si="320"/>
        <v>105</v>
      </c>
      <c r="BK1075" s="135" t="str">
        <f t="shared" si="322"/>
        <v>Sapin pectiné_F2_SP2_4_GSM Alpes du Sud_105_</v>
      </c>
      <c r="BL1075" s="322"/>
      <c r="BM1075" s="13">
        <v>60.202224723931003</v>
      </c>
      <c r="BN1075" s="13">
        <v>290.91622702982198</v>
      </c>
      <c r="BO1075" s="13" t="s">
        <v>169</v>
      </c>
      <c r="BP1075" s="13">
        <v>228.371756193122</v>
      </c>
      <c r="BQ1075" s="13">
        <v>5.9287184114700997</v>
      </c>
      <c r="BT1075" s="298" t="str">
        <f>+VLOOKUP(G1075,Liste!$A$7:$H$50,8,FALSE)</f>
        <v>Résineux</v>
      </c>
      <c r="BU1075" s="298">
        <f t="shared" si="323"/>
        <v>0</v>
      </c>
      <c r="BV1075" s="300">
        <f t="shared" si="324"/>
        <v>1</v>
      </c>
      <c r="BW1075" s="321">
        <v>0</v>
      </c>
      <c r="BX1075" s="298">
        <f t="shared" si="325"/>
        <v>0.43</v>
      </c>
      <c r="BY1075">
        <f t="shared" si="326"/>
        <v>0</v>
      </c>
      <c r="BZ1075" s="304">
        <f t="shared" si="327"/>
        <v>0</v>
      </c>
      <c r="CB1075" s="299">
        <v>0.6</v>
      </c>
      <c r="CC1075" s="299">
        <v>0.4</v>
      </c>
      <c r="CD1075">
        <f t="shared" si="328"/>
        <v>0</v>
      </c>
      <c r="CE1075">
        <f t="shared" si="329"/>
        <v>0</v>
      </c>
      <c r="CF1075">
        <f t="shared" si="330"/>
        <v>0</v>
      </c>
      <c r="CG1075">
        <f t="shared" si="331"/>
        <v>0</v>
      </c>
      <c r="CH1075">
        <f t="shared" si="332"/>
        <v>0</v>
      </c>
      <c r="CI1075">
        <f t="shared" si="333"/>
        <v>0</v>
      </c>
      <c r="CJ1075">
        <f t="shared" si="334"/>
        <v>0</v>
      </c>
      <c r="CK1075">
        <f t="shared" si="335"/>
        <v>0</v>
      </c>
      <c r="CL1075">
        <f t="shared" si="336"/>
        <v>0</v>
      </c>
      <c r="CM1075">
        <f t="shared" si="338"/>
        <v>0</v>
      </c>
      <c r="CN1075">
        <f t="shared" si="337"/>
        <v>0</v>
      </c>
      <c r="CO1075">
        <f t="shared" si="321"/>
        <v>0</v>
      </c>
    </row>
    <row r="1076" spans="1:93" x14ac:dyDescent="0.25">
      <c r="A1076" s="4">
        <v>2021</v>
      </c>
      <c r="B1076" s="318">
        <v>44279</v>
      </c>
      <c r="C1076" s="4" t="s">
        <v>1494</v>
      </c>
      <c r="D1076" s="4" t="s">
        <v>1495</v>
      </c>
      <c r="F1076" s="4" t="s">
        <v>1496</v>
      </c>
      <c r="G1076" s="5" t="s">
        <v>432</v>
      </c>
      <c r="H1076" s="5" t="s">
        <v>1498</v>
      </c>
      <c r="I1076" s="5" t="s">
        <v>228</v>
      </c>
      <c r="J1076" s="5" t="s">
        <v>10</v>
      </c>
      <c r="K1076" s="5">
        <v>14</v>
      </c>
      <c r="L1076" s="5" t="s">
        <v>192</v>
      </c>
      <c r="M1076" s="5">
        <v>3000</v>
      </c>
      <c r="N1076" s="5" t="s">
        <v>170</v>
      </c>
      <c r="O1076" s="6" t="s">
        <v>1499</v>
      </c>
      <c r="P1076" s="6" t="s">
        <v>1500</v>
      </c>
      <c r="S1076" s="6">
        <v>70</v>
      </c>
      <c r="T1076" s="6">
        <v>16.989999999999998</v>
      </c>
      <c r="U1076" s="6">
        <v>2299</v>
      </c>
      <c r="V1076" s="6">
        <v>46.07</v>
      </c>
      <c r="W1076" s="6">
        <v>0</v>
      </c>
      <c r="X1076" s="6">
        <v>582</v>
      </c>
      <c r="Y1076" s="6">
        <v>948</v>
      </c>
      <c r="Z1076" s="6">
        <v>642</v>
      </c>
      <c r="AA1076" s="6">
        <v>127</v>
      </c>
      <c r="AB1076" s="6">
        <v>0</v>
      </c>
      <c r="AC1076" s="7">
        <v>110</v>
      </c>
      <c r="AD1076" s="7" t="s">
        <v>52</v>
      </c>
      <c r="AE1076" s="7">
        <v>19.34</v>
      </c>
      <c r="AF1076" s="7">
        <v>499</v>
      </c>
      <c r="AG1076" s="7">
        <v>36.35</v>
      </c>
      <c r="AH1076" s="7">
        <v>30.45</v>
      </c>
      <c r="AI1076" s="7">
        <v>38.82</v>
      </c>
      <c r="AJ1076" s="9">
        <v>284.79044027214201</v>
      </c>
      <c r="AK1076" s="9">
        <v>289.08931324555198</v>
      </c>
      <c r="AL1076" s="9">
        <v>380.11327963385099</v>
      </c>
      <c r="AM1076" s="9">
        <v>82.811164392425098</v>
      </c>
      <c r="AN1076" s="9">
        <v>0.75282876720386405</v>
      </c>
      <c r="AO1076" s="9">
        <v>0.63961282020139598</v>
      </c>
      <c r="AP1076" s="9">
        <v>805.08715154063498</v>
      </c>
      <c r="AQ1076" s="9">
        <v>7.3189741049148704</v>
      </c>
      <c r="AR1076" s="9">
        <v>7.2845417202070601</v>
      </c>
      <c r="AS1076" s="8" t="s">
        <v>169</v>
      </c>
      <c r="AT1076" s="8" t="s">
        <v>169</v>
      </c>
      <c r="AU1076" s="10" t="s">
        <v>169</v>
      </c>
      <c r="AV1076" s="10">
        <v>0</v>
      </c>
      <c r="AX1076" s="10" t="s">
        <v>169</v>
      </c>
      <c r="BF1076" s="12">
        <v>0.38</v>
      </c>
      <c r="BG1076" s="13">
        <v>251.57163890433699</v>
      </c>
      <c r="BH1076" s="96" t="str">
        <f>+VLOOKUP(G1076,Liste!$A$7:$G$50,3,FALSE)</f>
        <v>Sapin pectiné</v>
      </c>
      <c r="BI1076" s="96" t="str">
        <f>+VLOOKUP(H1076,Liste!$B$7:$G$50,5,FALSE)</f>
        <v>GSM Alpes du Sud</v>
      </c>
      <c r="BJ1076" s="135">
        <f t="shared" si="320"/>
        <v>110</v>
      </c>
      <c r="BK1076" s="135" t="str">
        <f t="shared" si="322"/>
        <v>Sapin pectiné_F2_SP2_4_GSM Alpes du Sud_110_</v>
      </c>
      <c r="BL1076" s="322"/>
      <c r="BM1076" s="13">
        <v>64.986785432424298</v>
      </c>
      <c r="BN1076" s="13">
        <v>316.55842433676099</v>
      </c>
      <c r="BO1076" s="13" t="s">
        <v>169</v>
      </c>
      <c r="BP1076" s="13">
        <v>228.371756193122</v>
      </c>
      <c r="BQ1076" s="13">
        <v>5.8269384752353703</v>
      </c>
      <c r="BT1076" s="298" t="str">
        <f>+VLOOKUP(G1076,Liste!$A$7:$H$50,8,FALSE)</f>
        <v>Résineux</v>
      </c>
      <c r="BU1076" s="298">
        <f t="shared" si="323"/>
        <v>0</v>
      </c>
      <c r="BV1076" s="300">
        <f t="shared" si="324"/>
        <v>1</v>
      </c>
      <c r="BW1076" s="321">
        <v>0</v>
      </c>
      <c r="BX1076" s="298">
        <f t="shared" si="325"/>
        <v>0.43</v>
      </c>
      <c r="BY1076">
        <f t="shared" si="326"/>
        <v>0</v>
      </c>
      <c r="BZ1076" s="304">
        <f t="shared" si="327"/>
        <v>0</v>
      </c>
      <c r="CB1076" s="299">
        <v>0.6</v>
      </c>
      <c r="CC1076" s="299">
        <v>0.4</v>
      </c>
      <c r="CD1076">
        <f t="shared" si="328"/>
        <v>0</v>
      </c>
      <c r="CE1076">
        <f t="shared" si="329"/>
        <v>0</v>
      </c>
      <c r="CF1076">
        <f t="shared" si="330"/>
        <v>0</v>
      </c>
      <c r="CG1076">
        <f t="shared" si="331"/>
        <v>0</v>
      </c>
      <c r="CH1076">
        <f t="shared" si="332"/>
        <v>0</v>
      </c>
      <c r="CI1076">
        <f t="shared" si="333"/>
        <v>0</v>
      </c>
      <c r="CJ1076">
        <f t="shared" si="334"/>
        <v>0</v>
      </c>
      <c r="CK1076">
        <f t="shared" si="335"/>
        <v>0</v>
      </c>
      <c r="CL1076">
        <f t="shared" si="336"/>
        <v>0</v>
      </c>
      <c r="CM1076">
        <f t="shared" si="338"/>
        <v>0</v>
      </c>
      <c r="CN1076">
        <f t="shared" si="337"/>
        <v>0</v>
      </c>
      <c r="CO1076">
        <f t="shared" si="321"/>
        <v>0</v>
      </c>
    </row>
    <row r="1077" spans="1:93" x14ac:dyDescent="0.25">
      <c r="A1077" s="4">
        <v>2021</v>
      </c>
      <c r="B1077" s="318">
        <v>44279</v>
      </c>
      <c r="C1077" s="4" t="s">
        <v>1494</v>
      </c>
      <c r="D1077" s="4" t="s">
        <v>1495</v>
      </c>
      <c r="F1077" s="4" t="s">
        <v>1496</v>
      </c>
      <c r="G1077" s="5" t="s">
        <v>432</v>
      </c>
      <c r="H1077" s="5" t="s">
        <v>1498</v>
      </c>
      <c r="I1077" s="5" t="s">
        <v>228</v>
      </c>
      <c r="J1077" s="5" t="s">
        <v>10</v>
      </c>
      <c r="K1077" s="5">
        <v>14</v>
      </c>
      <c r="L1077" s="5" t="s">
        <v>192</v>
      </c>
      <c r="M1077" s="5">
        <v>3000</v>
      </c>
      <c r="N1077" s="5" t="s">
        <v>170</v>
      </c>
      <c r="O1077" s="6" t="s">
        <v>1499</v>
      </c>
      <c r="P1077" s="6" t="s">
        <v>1500</v>
      </c>
      <c r="S1077" s="6">
        <v>70</v>
      </c>
      <c r="T1077" s="6">
        <v>16.989999999999998</v>
      </c>
      <c r="U1077" s="6">
        <v>2299</v>
      </c>
      <c r="V1077" s="6">
        <v>46.07</v>
      </c>
      <c r="W1077" s="6">
        <v>0</v>
      </c>
      <c r="X1077" s="6">
        <v>582</v>
      </c>
      <c r="Y1077" s="6">
        <v>948</v>
      </c>
      <c r="Z1077" s="6">
        <v>642</v>
      </c>
      <c r="AA1077" s="6">
        <v>127</v>
      </c>
      <c r="AB1077" s="6">
        <v>0</v>
      </c>
      <c r="AC1077" s="7">
        <v>115</v>
      </c>
      <c r="AD1077" s="7" t="s">
        <v>52</v>
      </c>
      <c r="AE1077" s="7">
        <v>19.489999999999998</v>
      </c>
      <c r="AF1077" s="7">
        <v>493</v>
      </c>
      <c r="AG1077" s="7">
        <v>39.17</v>
      </c>
      <c r="AH1077" s="7">
        <v>31.8</v>
      </c>
      <c r="AI1077" s="7">
        <v>40.29</v>
      </c>
      <c r="AJ1077" s="9">
        <v>308.07398189406302</v>
      </c>
      <c r="AK1077" s="9">
        <v>313.04035897019202</v>
      </c>
      <c r="AL1077" s="9">
        <v>412.67459313137999</v>
      </c>
      <c r="AM1077" s="9">
        <v>86.009228493432005</v>
      </c>
      <c r="AN1077" s="9">
        <v>0.74790633472549595</v>
      </c>
      <c r="AO1077" s="9">
        <v>0.52586162342237797</v>
      </c>
      <c r="AP1077" s="9">
        <v>841.50986014167097</v>
      </c>
      <c r="AQ1077" s="9">
        <v>7.3174770447101798</v>
      </c>
      <c r="AR1077" s="9">
        <v>6.0273971465958498</v>
      </c>
      <c r="AS1077" s="8" t="s">
        <v>169</v>
      </c>
      <c r="AT1077" s="8" t="s">
        <v>169</v>
      </c>
      <c r="AU1077" s="10" t="s">
        <v>169</v>
      </c>
      <c r="AV1077" s="10">
        <v>0</v>
      </c>
      <c r="AX1077" s="10" t="s">
        <v>169</v>
      </c>
      <c r="BF1077" s="12">
        <v>0.38</v>
      </c>
      <c r="BG1077" s="13">
        <v>273.12180155411897</v>
      </c>
      <c r="BH1077" s="96" t="str">
        <f>+VLOOKUP(G1077,Liste!$A$7:$G$50,3,FALSE)</f>
        <v>Sapin pectiné</v>
      </c>
      <c r="BI1077" s="96" t="str">
        <f>+VLOOKUP(H1077,Liste!$B$7:$G$50,5,FALSE)</f>
        <v>GSM Alpes du Sud</v>
      </c>
      <c r="BJ1077" s="135">
        <f t="shared" si="320"/>
        <v>115</v>
      </c>
      <c r="BK1077" s="135" t="str">
        <f t="shared" si="322"/>
        <v>Sapin pectiné_F2_SP2_4_GSM Alpes du Sud_115_</v>
      </c>
      <c r="BL1077" s="322"/>
      <c r="BM1077" s="13">
        <v>69.881928692197604</v>
      </c>
      <c r="BN1077" s="13">
        <v>343.00373024631602</v>
      </c>
      <c r="BO1077" s="13" t="s">
        <v>169</v>
      </c>
      <c r="BP1077" s="13">
        <v>228.371756193122</v>
      </c>
      <c r="BQ1077" s="13">
        <v>4.81750971749352</v>
      </c>
      <c r="BT1077" s="298" t="str">
        <f>+VLOOKUP(G1077,Liste!$A$7:$H$50,8,FALSE)</f>
        <v>Résineux</v>
      </c>
      <c r="BU1077" s="298">
        <f t="shared" si="323"/>
        <v>0</v>
      </c>
      <c r="BV1077" s="300">
        <f t="shared" si="324"/>
        <v>1</v>
      </c>
      <c r="BW1077" s="321">
        <v>0</v>
      </c>
      <c r="BX1077" s="298">
        <f t="shared" si="325"/>
        <v>0.43</v>
      </c>
      <c r="BY1077">
        <f t="shared" si="326"/>
        <v>0</v>
      </c>
      <c r="BZ1077" s="304">
        <f t="shared" si="327"/>
        <v>0</v>
      </c>
      <c r="CB1077" s="299">
        <v>0.6</v>
      </c>
      <c r="CC1077" s="299">
        <v>0.4</v>
      </c>
      <c r="CD1077">
        <f t="shared" si="328"/>
        <v>0</v>
      </c>
      <c r="CE1077">
        <f t="shared" si="329"/>
        <v>0</v>
      </c>
      <c r="CF1077">
        <f t="shared" si="330"/>
        <v>0</v>
      </c>
      <c r="CG1077">
        <f t="shared" si="331"/>
        <v>0</v>
      </c>
      <c r="CH1077">
        <f t="shared" si="332"/>
        <v>0</v>
      </c>
      <c r="CI1077">
        <f t="shared" si="333"/>
        <v>0</v>
      </c>
      <c r="CJ1077">
        <f t="shared" si="334"/>
        <v>0</v>
      </c>
      <c r="CK1077">
        <f t="shared" si="335"/>
        <v>0</v>
      </c>
      <c r="CL1077">
        <f t="shared" si="336"/>
        <v>0</v>
      </c>
      <c r="CM1077">
        <f t="shared" si="338"/>
        <v>0</v>
      </c>
      <c r="CN1077">
        <f t="shared" si="337"/>
        <v>0</v>
      </c>
      <c r="CO1077">
        <f t="shared" si="321"/>
        <v>0</v>
      </c>
    </row>
    <row r="1078" spans="1:93" x14ac:dyDescent="0.25">
      <c r="A1078" s="4">
        <v>2021</v>
      </c>
      <c r="B1078" s="318">
        <v>44279</v>
      </c>
      <c r="C1078" s="4" t="s">
        <v>1494</v>
      </c>
      <c r="D1078" s="4" t="s">
        <v>1495</v>
      </c>
      <c r="F1078" s="4" t="s">
        <v>1496</v>
      </c>
      <c r="G1078" s="5" t="s">
        <v>432</v>
      </c>
      <c r="H1078" s="5" t="s">
        <v>1498</v>
      </c>
      <c r="I1078" s="5" t="s">
        <v>228</v>
      </c>
      <c r="J1078" s="5" t="s">
        <v>10</v>
      </c>
      <c r="K1078" s="5">
        <v>14</v>
      </c>
      <c r="L1078" s="5" t="s">
        <v>192</v>
      </c>
      <c r="M1078" s="5">
        <v>3000</v>
      </c>
      <c r="N1078" s="5" t="s">
        <v>170</v>
      </c>
      <c r="O1078" s="6" t="s">
        <v>1499</v>
      </c>
      <c r="P1078" s="6" t="s">
        <v>1500</v>
      </c>
      <c r="S1078" s="6">
        <v>70</v>
      </c>
      <c r="T1078" s="6">
        <v>16.989999999999998</v>
      </c>
      <c r="U1078" s="6">
        <v>2299</v>
      </c>
      <c r="V1078" s="6">
        <v>46.07</v>
      </c>
      <c r="W1078" s="6">
        <v>0</v>
      </c>
      <c r="X1078" s="6">
        <v>582</v>
      </c>
      <c r="Y1078" s="6">
        <v>948</v>
      </c>
      <c r="Z1078" s="6">
        <v>642</v>
      </c>
      <c r="AA1078" s="6">
        <v>127</v>
      </c>
      <c r="AB1078" s="6">
        <v>0</v>
      </c>
      <c r="AC1078" s="7">
        <v>115</v>
      </c>
      <c r="AD1078" s="7" t="s">
        <v>53</v>
      </c>
      <c r="AE1078" s="7">
        <v>19.46</v>
      </c>
      <c r="AF1078" s="7">
        <v>359</v>
      </c>
      <c r="AG1078" s="7">
        <v>29.13</v>
      </c>
      <c r="AH1078" s="7">
        <v>32.14</v>
      </c>
      <c r="AI1078" s="7">
        <v>40.19</v>
      </c>
      <c r="AJ1078" s="9">
        <v>232.20330312010699</v>
      </c>
      <c r="AK1078" s="9">
        <v>235.96177155746699</v>
      </c>
      <c r="AL1078" s="9">
        <v>310.189663331227</v>
      </c>
      <c r="AM1078" s="9">
        <v>86.009228493432005</v>
      </c>
      <c r="AN1078" s="9">
        <v>0.74790633472549595</v>
      </c>
      <c r="AO1078" s="9">
        <v>0.52586162342237797</v>
      </c>
      <c r="AP1078" s="9">
        <v>841.50986014167097</v>
      </c>
      <c r="AQ1078" s="9">
        <v>7.3174770447101798</v>
      </c>
      <c r="AR1078" s="9">
        <v>6.0273971465958498</v>
      </c>
      <c r="AS1078" s="8">
        <v>134</v>
      </c>
      <c r="AT1078" s="8">
        <v>10.040000000000003</v>
      </c>
      <c r="AU1078" s="10">
        <v>30.886558237955949</v>
      </c>
      <c r="AV1078" s="10">
        <v>75.87067877395603</v>
      </c>
      <c r="AW1078" s="8">
        <v>0.94</v>
      </c>
      <c r="AX1078" s="10">
        <v>0.56619909532803003</v>
      </c>
      <c r="BF1078" s="12">
        <v>0.38</v>
      </c>
      <c r="BG1078" s="13">
        <v>205.293858848051</v>
      </c>
      <c r="BH1078" s="96" t="str">
        <f>+VLOOKUP(G1078,Liste!$A$7:$G$50,3,FALSE)</f>
        <v>Sapin pectiné</v>
      </c>
      <c r="BI1078" s="96" t="str">
        <f>+VLOOKUP(H1078,Liste!$B$7:$G$50,5,FALSE)</f>
        <v>GSM Alpes du Sud</v>
      </c>
      <c r="BJ1078" s="135">
        <f t="shared" si="320"/>
        <v>115</v>
      </c>
      <c r="BK1078" s="135" t="str">
        <f t="shared" si="322"/>
        <v>Sapin pectiné_F2_SP2_4_GSM Alpes du Sud_115_</v>
      </c>
      <c r="BL1078" s="322"/>
      <c r="BM1078" s="13">
        <v>54.301995836386602</v>
      </c>
      <c r="BN1078" s="13">
        <v>259.59585468443697</v>
      </c>
      <c r="BO1078" s="13">
        <v>83.407875561879052</v>
      </c>
      <c r="BP1078" s="13">
        <v>228.371756193122</v>
      </c>
      <c r="BQ1078" s="13">
        <v>4.81750971749352</v>
      </c>
      <c r="BT1078" s="298" t="str">
        <f>+VLOOKUP(G1078,Liste!$A$7:$H$50,8,FALSE)</f>
        <v>Résineux</v>
      </c>
      <c r="BU1078" s="298">
        <f t="shared" si="323"/>
        <v>0</v>
      </c>
      <c r="BV1078" s="300">
        <f t="shared" si="324"/>
        <v>1</v>
      </c>
      <c r="BW1078" s="321">
        <v>0</v>
      </c>
      <c r="BX1078" s="298">
        <f t="shared" si="325"/>
        <v>0.43</v>
      </c>
      <c r="BY1078">
        <f t="shared" si="326"/>
        <v>0</v>
      </c>
      <c r="BZ1078" s="304">
        <f t="shared" si="327"/>
        <v>0</v>
      </c>
      <c r="CB1078" s="299">
        <v>0.6</v>
      </c>
      <c r="CC1078" s="299">
        <v>0.4</v>
      </c>
      <c r="CD1078">
        <f t="shared" si="328"/>
        <v>0</v>
      </c>
      <c r="CE1078">
        <f t="shared" si="329"/>
        <v>0</v>
      </c>
      <c r="CF1078">
        <f t="shared" si="330"/>
        <v>0</v>
      </c>
      <c r="CG1078">
        <f t="shared" si="331"/>
        <v>0</v>
      </c>
      <c r="CH1078">
        <f t="shared" si="332"/>
        <v>0</v>
      </c>
      <c r="CI1078">
        <f t="shared" si="333"/>
        <v>0</v>
      </c>
      <c r="CJ1078">
        <f t="shared" si="334"/>
        <v>0</v>
      </c>
      <c r="CK1078">
        <f t="shared" si="335"/>
        <v>0</v>
      </c>
      <c r="CL1078">
        <f t="shared" si="336"/>
        <v>0</v>
      </c>
      <c r="CM1078">
        <f t="shared" si="338"/>
        <v>0</v>
      </c>
      <c r="CN1078">
        <f t="shared" si="337"/>
        <v>0</v>
      </c>
      <c r="CO1078">
        <f t="shared" si="321"/>
        <v>0</v>
      </c>
    </row>
    <row r="1079" spans="1:93" x14ac:dyDescent="0.25">
      <c r="A1079" s="4">
        <v>2021</v>
      </c>
      <c r="B1079" s="318">
        <v>44279</v>
      </c>
      <c r="C1079" s="4" t="s">
        <v>1494</v>
      </c>
      <c r="D1079" s="4" t="s">
        <v>1495</v>
      </c>
      <c r="F1079" s="4" t="s">
        <v>1496</v>
      </c>
      <c r="G1079" s="5" t="s">
        <v>432</v>
      </c>
      <c r="H1079" s="5" t="s">
        <v>1498</v>
      </c>
      <c r="I1079" s="5" t="s">
        <v>228</v>
      </c>
      <c r="J1079" s="5" t="s">
        <v>10</v>
      </c>
      <c r="K1079" s="5">
        <v>14</v>
      </c>
      <c r="L1079" s="5" t="s">
        <v>192</v>
      </c>
      <c r="M1079" s="5">
        <v>3000</v>
      </c>
      <c r="N1079" s="5" t="s">
        <v>170</v>
      </c>
      <c r="O1079" s="6" t="s">
        <v>1499</v>
      </c>
      <c r="P1079" s="6" t="s">
        <v>1500</v>
      </c>
      <c r="S1079" s="6">
        <v>70</v>
      </c>
      <c r="T1079" s="6">
        <v>16.989999999999998</v>
      </c>
      <c r="U1079" s="6">
        <v>2299</v>
      </c>
      <c r="V1079" s="6">
        <v>46.07</v>
      </c>
      <c r="W1079" s="6">
        <v>0</v>
      </c>
      <c r="X1079" s="6">
        <v>582</v>
      </c>
      <c r="Y1079" s="6">
        <v>948</v>
      </c>
      <c r="Z1079" s="6">
        <v>642</v>
      </c>
      <c r="AA1079" s="6">
        <v>127</v>
      </c>
      <c r="AB1079" s="6">
        <v>0</v>
      </c>
      <c r="AC1079" s="7">
        <v>120</v>
      </c>
      <c r="AD1079" s="7" t="s">
        <v>52</v>
      </c>
      <c r="AE1079" s="7">
        <v>19.59</v>
      </c>
      <c r="AF1079" s="7">
        <v>355</v>
      </c>
      <c r="AG1079" s="7">
        <v>31.43</v>
      </c>
      <c r="AH1079" s="7">
        <v>33.57</v>
      </c>
      <c r="AI1079" s="7">
        <v>41.75</v>
      </c>
      <c r="AJ1079" s="9">
        <v>251.00753557872201</v>
      </c>
      <c r="AK1079" s="9">
        <v>255.35030272724401</v>
      </c>
      <c r="AL1079" s="9">
        <v>336.80977628212997</v>
      </c>
      <c r="AM1079" s="9">
        <v>88.638536610543895</v>
      </c>
      <c r="AN1079" s="9">
        <v>0.73865447175453303</v>
      </c>
      <c r="AO1079" s="9">
        <v>0.50531877419329596</v>
      </c>
      <c r="AP1079" s="9">
        <v>871.64684587465001</v>
      </c>
      <c r="AQ1079" s="9">
        <v>7.2637237156220804</v>
      </c>
      <c r="AR1079" s="9">
        <v>5.8299177854551498</v>
      </c>
      <c r="AS1079" s="8" t="s">
        <v>169</v>
      </c>
      <c r="AT1079" s="8" t="s">
        <v>169</v>
      </c>
      <c r="AU1079" s="10" t="s">
        <v>169</v>
      </c>
      <c r="AV1079" s="10">
        <v>0</v>
      </c>
      <c r="AX1079" s="10" t="s">
        <v>169</v>
      </c>
      <c r="BF1079" s="12">
        <v>0.38</v>
      </c>
      <c r="BG1079" s="13">
        <v>222.91193693605601</v>
      </c>
      <c r="BH1079" s="96" t="str">
        <f>+VLOOKUP(G1079,Liste!$A$7:$G$50,3,FALSE)</f>
        <v>Sapin pectiné</v>
      </c>
      <c r="BI1079" s="96" t="str">
        <f>+VLOOKUP(H1079,Liste!$B$7:$G$50,5,FALSE)</f>
        <v>GSM Alpes du Sud</v>
      </c>
      <c r="BJ1079" s="135">
        <f t="shared" si="320"/>
        <v>120</v>
      </c>
      <c r="BK1079" s="135" t="str">
        <f t="shared" si="322"/>
        <v>Sapin pectiné_F2_SP2_4_GSM Alpes du Sud_120_</v>
      </c>
      <c r="BL1079" s="322"/>
      <c r="BM1079" s="13">
        <v>58.399751888076104</v>
      </c>
      <c r="BN1079" s="13">
        <v>281.31168882413198</v>
      </c>
      <c r="BO1079" s="13" t="s">
        <v>169</v>
      </c>
      <c r="BP1079" s="13">
        <v>228.371756193122</v>
      </c>
      <c r="BQ1079" s="13">
        <v>4.6565032913795497</v>
      </c>
      <c r="BT1079" s="298" t="str">
        <f>+VLOOKUP(G1079,Liste!$A$7:$H$50,8,FALSE)</f>
        <v>Résineux</v>
      </c>
      <c r="BU1079" s="298">
        <f t="shared" si="323"/>
        <v>0</v>
      </c>
      <c r="BV1079" s="300">
        <f t="shared" si="324"/>
        <v>1</v>
      </c>
      <c r="BW1079" s="321">
        <v>0</v>
      </c>
      <c r="BX1079" s="298">
        <f t="shared" si="325"/>
        <v>0.43</v>
      </c>
      <c r="BY1079">
        <f t="shared" si="326"/>
        <v>0</v>
      </c>
      <c r="BZ1079" s="304">
        <f t="shared" si="327"/>
        <v>0</v>
      </c>
      <c r="CB1079" s="299">
        <v>0.6</v>
      </c>
      <c r="CC1079" s="299">
        <v>0.4</v>
      </c>
      <c r="CD1079">
        <f t="shared" si="328"/>
        <v>0</v>
      </c>
      <c r="CE1079">
        <f t="shared" si="329"/>
        <v>0</v>
      </c>
      <c r="CF1079">
        <f t="shared" si="330"/>
        <v>0</v>
      </c>
      <c r="CG1079">
        <f t="shared" si="331"/>
        <v>0</v>
      </c>
      <c r="CH1079">
        <f t="shared" si="332"/>
        <v>0</v>
      </c>
      <c r="CI1079">
        <f t="shared" si="333"/>
        <v>0</v>
      </c>
      <c r="CJ1079">
        <f t="shared" si="334"/>
        <v>0</v>
      </c>
      <c r="CK1079">
        <f t="shared" si="335"/>
        <v>0</v>
      </c>
      <c r="CL1079">
        <f t="shared" si="336"/>
        <v>0</v>
      </c>
      <c r="CM1079">
        <f t="shared" si="338"/>
        <v>0</v>
      </c>
      <c r="CN1079">
        <f t="shared" si="337"/>
        <v>0</v>
      </c>
      <c r="CO1079">
        <f t="shared" si="321"/>
        <v>0</v>
      </c>
    </row>
    <row r="1080" spans="1:93" x14ac:dyDescent="0.25">
      <c r="A1080" s="4">
        <v>2021</v>
      </c>
      <c r="B1080" s="318">
        <v>44279</v>
      </c>
      <c r="C1080" s="4" t="s">
        <v>1494</v>
      </c>
      <c r="D1080" s="4" t="s">
        <v>1495</v>
      </c>
      <c r="F1080" s="4" t="s">
        <v>1496</v>
      </c>
      <c r="G1080" s="5" t="s">
        <v>432</v>
      </c>
      <c r="H1080" s="5" t="s">
        <v>1498</v>
      </c>
      <c r="I1080" s="5" t="s">
        <v>228</v>
      </c>
      <c r="J1080" s="5" t="s">
        <v>10</v>
      </c>
      <c r="K1080" s="5">
        <v>14</v>
      </c>
      <c r="L1080" s="5" t="s">
        <v>192</v>
      </c>
      <c r="M1080" s="5">
        <v>3000</v>
      </c>
      <c r="N1080" s="5" t="s">
        <v>170</v>
      </c>
      <c r="O1080" s="6" t="s">
        <v>1499</v>
      </c>
      <c r="P1080" s="6" t="s">
        <v>1500</v>
      </c>
      <c r="S1080" s="6">
        <v>70</v>
      </c>
      <c r="T1080" s="6">
        <v>16.989999999999998</v>
      </c>
      <c r="U1080" s="6">
        <v>2299</v>
      </c>
      <c r="V1080" s="6">
        <v>46.07</v>
      </c>
      <c r="W1080" s="6">
        <v>0</v>
      </c>
      <c r="X1080" s="6">
        <v>582</v>
      </c>
      <c r="Y1080" s="6">
        <v>948</v>
      </c>
      <c r="Z1080" s="6">
        <v>642</v>
      </c>
      <c r="AA1080" s="6">
        <v>127</v>
      </c>
      <c r="AB1080" s="6">
        <v>0</v>
      </c>
      <c r="AC1080" s="7">
        <v>125</v>
      </c>
      <c r="AD1080" s="7" t="s">
        <v>52</v>
      </c>
      <c r="AE1080" s="7">
        <v>19.670000000000002</v>
      </c>
      <c r="AF1080" s="7">
        <v>345</v>
      </c>
      <c r="AG1080" s="7">
        <v>33.119999999999997</v>
      </c>
      <c r="AH1080" s="7">
        <v>34.96</v>
      </c>
      <c r="AI1080" s="7">
        <v>43.15</v>
      </c>
      <c r="AJ1080" s="9">
        <v>265.16215718565797</v>
      </c>
      <c r="AK1080" s="9">
        <v>270.02902764562702</v>
      </c>
      <c r="AL1080" s="9">
        <v>357.26672596024798</v>
      </c>
      <c r="AM1080" s="9">
        <v>91.165130481510403</v>
      </c>
      <c r="AN1080" s="9">
        <v>0.72932104385208296</v>
      </c>
      <c r="AO1080" s="9">
        <v>0.49219948484269799</v>
      </c>
      <c r="AP1080" s="9">
        <v>900.79643480192601</v>
      </c>
      <c r="AQ1080" s="9">
        <v>7.2063714784153996</v>
      </c>
      <c r="AR1080" s="9">
        <v>5.6965326492979802</v>
      </c>
      <c r="AS1080" s="8" t="s">
        <v>169</v>
      </c>
      <c r="AT1080" s="8" t="s">
        <v>169</v>
      </c>
      <c r="AU1080" s="10" t="s">
        <v>169</v>
      </c>
      <c r="AV1080" s="10">
        <v>0</v>
      </c>
      <c r="AX1080" s="10" t="s">
        <v>169</v>
      </c>
      <c r="BF1080" s="12">
        <v>0.38</v>
      </c>
      <c r="BG1080" s="13">
        <v>236.45102813135799</v>
      </c>
      <c r="BH1080" s="96" t="str">
        <f>+VLOOKUP(G1080,Liste!$A$7:$G$50,3,FALSE)</f>
        <v>Sapin pectiné</v>
      </c>
      <c r="BI1080" s="96" t="str">
        <f>+VLOOKUP(H1080,Liste!$B$7:$G$50,5,FALSE)</f>
        <v>GSM Alpes du Sud</v>
      </c>
      <c r="BJ1080" s="135">
        <f t="shared" si="320"/>
        <v>125</v>
      </c>
      <c r="BK1080" s="135" t="str">
        <f t="shared" si="322"/>
        <v>Sapin pectiné_F2_SP2_4_GSM Alpes du Sud_125_</v>
      </c>
      <c r="BL1080" s="322"/>
      <c r="BM1080" s="13">
        <v>61.523088018438401</v>
      </c>
      <c r="BN1080" s="13">
        <v>297.97411614979598</v>
      </c>
      <c r="BO1080" s="13" t="s">
        <v>169</v>
      </c>
      <c r="BP1080" s="13">
        <v>228.371756193122</v>
      </c>
      <c r="BQ1080" s="13">
        <v>4.54706564645819</v>
      </c>
      <c r="BT1080" s="298" t="str">
        <f>+VLOOKUP(G1080,Liste!$A$7:$H$50,8,FALSE)</f>
        <v>Résineux</v>
      </c>
      <c r="BU1080" s="298">
        <f t="shared" si="323"/>
        <v>0</v>
      </c>
      <c r="BV1080" s="300">
        <f t="shared" si="324"/>
        <v>1</v>
      </c>
      <c r="BW1080" s="321">
        <v>0</v>
      </c>
      <c r="BX1080" s="298">
        <f t="shared" si="325"/>
        <v>0.43</v>
      </c>
      <c r="BY1080">
        <f t="shared" si="326"/>
        <v>0</v>
      </c>
      <c r="BZ1080" s="304">
        <f t="shared" si="327"/>
        <v>0</v>
      </c>
      <c r="CB1080" s="299">
        <v>0.6</v>
      </c>
      <c r="CC1080" s="299">
        <v>0.4</v>
      </c>
      <c r="CD1080">
        <f t="shared" si="328"/>
        <v>0</v>
      </c>
      <c r="CE1080">
        <f t="shared" si="329"/>
        <v>0</v>
      </c>
      <c r="CF1080">
        <f t="shared" si="330"/>
        <v>0</v>
      </c>
      <c r="CG1080">
        <f t="shared" si="331"/>
        <v>0</v>
      </c>
      <c r="CH1080">
        <f t="shared" si="332"/>
        <v>0</v>
      </c>
      <c r="CI1080">
        <f t="shared" si="333"/>
        <v>0</v>
      </c>
      <c r="CJ1080">
        <f t="shared" si="334"/>
        <v>0</v>
      </c>
      <c r="CK1080">
        <f t="shared" si="335"/>
        <v>0</v>
      </c>
      <c r="CL1080">
        <f t="shared" si="336"/>
        <v>0</v>
      </c>
      <c r="CM1080">
        <f t="shared" si="338"/>
        <v>0</v>
      </c>
      <c r="CN1080">
        <f t="shared" si="337"/>
        <v>0</v>
      </c>
      <c r="CO1080">
        <f t="shared" si="321"/>
        <v>0</v>
      </c>
    </row>
    <row r="1081" spans="1:93" x14ac:dyDescent="0.25">
      <c r="A1081" s="4">
        <v>2021</v>
      </c>
      <c r="B1081" s="318">
        <v>44279</v>
      </c>
      <c r="C1081" s="4" t="s">
        <v>1494</v>
      </c>
      <c r="D1081" s="4" t="s">
        <v>1495</v>
      </c>
      <c r="F1081" s="4" t="s">
        <v>1496</v>
      </c>
      <c r="G1081" s="5" t="s">
        <v>432</v>
      </c>
      <c r="H1081" s="5" t="s">
        <v>1498</v>
      </c>
      <c r="I1081" s="5" t="s">
        <v>228</v>
      </c>
      <c r="J1081" s="5" t="s">
        <v>10</v>
      </c>
      <c r="K1081" s="5">
        <v>14</v>
      </c>
      <c r="L1081" s="5" t="s">
        <v>192</v>
      </c>
      <c r="M1081" s="5">
        <v>3000</v>
      </c>
      <c r="N1081" s="5" t="s">
        <v>170</v>
      </c>
      <c r="O1081" s="6" t="s">
        <v>1499</v>
      </c>
      <c r="P1081" s="6" t="s">
        <v>1500</v>
      </c>
      <c r="S1081" s="6">
        <v>70</v>
      </c>
      <c r="T1081" s="6">
        <v>16.989999999999998</v>
      </c>
      <c r="U1081" s="6">
        <v>2299</v>
      </c>
      <c r="V1081" s="6">
        <v>46.07</v>
      </c>
      <c r="W1081" s="6">
        <v>0</v>
      </c>
      <c r="X1081" s="6">
        <v>582</v>
      </c>
      <c r="Y1081" s="6">
        <v>948</v>
      </c>
      <c r="Z1081" s="6">
        <v>642</v>
      </c>
      <c r="AA1081" s="6">
        <v>127</v>
      </c>
      <c r="AB1081" s="6">
        <v>0</v>
      </c>
      <c r="AC1081" s="7">
        <v>130</v>
      </c>
      <c r="AD1081" s="7" t="s">
        <v>52</v>
      </c>
      <c r="AE1081" s="7">
        <v>19.77</v>
      </c>
      <c r="AF1081" s="7">
        <v>338</v>
      </c>
      <c r="AG1081" s="7">
        <v>34.979999999999997</v>
      </c>
      <c r="AH1081" s="7">
        <v>36.299999999999997</v>
      </c>
      <c r="AI1081" s="7">
        <v>44.53</v>
      </c>
      <c r="AJ1081" s="9">
        <v>280.47582680770103</v>
      </c>
      <c r="AK1081" s="9">
        <v>285.91077479402298</v>
      </c>
      <c r="AL1081" s="9">
        <v>379.45742520339297</v>
      </c>
      <c r="AM1081" s="9">
        <v>93.626127905723905</v>
      </c>
      <c r="AN1081" s="9">
        <v>0.72020098389018405</v>
      </c>
      <c r="AO1081" s="9">
        <v>0.481811576255748</v>
      </c>
      <c r="AP1081" s="9">
        <v>929.27909804841602</v>
      </c>
      <c r="AQ1081" s="9">
        <v>7.1483007542185799</v>
      </c>
      <c r="AR1081" s="9">
        <v>5.6265194174872297</v>
      </c>
      <c r="AS1081" s="8" t="s">
        <v>169</v>
      </c>
      <c r="AT1081" s="8" t="s">
        <v>169</v>
      </c>
      <c r="AU1081" s="10" t="s">
        <v>169</v>
      </c>
      <c r="AV1081" s="10">
        <v>0</v>
      </c>
      <c r="AX1081" s="10" t="s">
        <v>169</v>
      </c>
      <c r="BF1081" s="12">
        <v>0.38</v>
      </c>
      <c r="BG1081" s="13">
        <v>251.137572580446</v>
      </c>
      <c r="BH1081" s="96" t="str">
        <f>+VLOOKUP(G1081,Liste!$A$7:$G$50,3,FALSE)</f>
        <v>Sapin pectiné</v>
      </c>
      <c r="BI1081" s="96" t="str">
        <f>+VLOOKUP(H1081,Liste!$B$7:$G$50,5,FALSE)</f>
        <v>GSM Alpes du Sud</v>
      </c>
      <c r="BJ1081" s="135">
        <f t="shared" si="320"/>
        <v>130</v>
      </c>
      <c r="BK1081" s="135" t="str">
        <f t="shared" si="322"/>
        <v>Sapin pectiné_F2_SP2_4_GSM Alpes du Sud_130_</v>
      </c>
      <c r="BL1081" s="322"/>
      <c r="BM1081" s="13">
        <v>64.887697945468304</v>
      </c>
      <c r="BN1081" s="13">
        <v>316.02527052591398</v>
      </c>
      <c r="BO1081" s="13" t="s">
        <v>169</v>
      </c>
      <c r="BP1081" s="13">
        <v>228.371756193122</v>
      </c>
      <c r="BQ1081" s="13">
        <v>4.4884630748221301</v>
      </c>
      <c r="BT1081" s="298" t="str">
        <f>+VLOOKUP(G1081,Liste!$A$7:$H$50,8,FALSE)</f>
        <v>Résineux</v>
      </c>
      <c r="BU1081" s="298">
        <f t="shared" si="323"/>
        <v>0</v>
      </c>
      <c r="BV1081" s="300">
        <f t="shared" si="324"/>
        <v>1</v>
      </c>
      <c r="BW1081" s="321">
        <v>0</v>
      </c>
      <c r="BX1081" s="298">
        <f t="shared" si="325"/>
        <v>0.43</v>
      </c>
      <c r="BY1081">
        <f t="shared" si="326"/>
        <v>0</v>
      </c>
      <c r="BZ1081" s="304">
        <f t="shared" si="327"/>
        <v>0</v>
      </c>
      <c r="CB1081" s="299">
        <v>0.6</v>
      </c>
      <c r="CC1081" s="299">
        <v>0.4</v>
      </c>
      <c r="CD1081">
        <f t="shared" si="328"/>
        <v>0</v>
      </c>
      <c r="CE1081">
        <f t="shared" si="329"/>
        <v>0</v>
      </c>
      <c r="CF1081">
        <f t="shared" si="330"/>
        <v>0</v>
      </c>
      <c r="CG1081">
        <f t="shared" si="331"/>
        <v>0</v>
      </c>
      <c r="CH1081">
        <f t="shared" si="332"/>
        <v>0</v>
      </c>
      <c r="CI1081">
        <f t="shared" si="333"/>
        <v>0</v>
      </c>
      <c r="CJ1081">
        <f t="shared" si="334"/>
        <v>0</v>
      </c>
      <c r="CK1081">
        <f t="shared" si="335"/>
        <v>0</v>
      </c>
      <c r="CL1081">
        <f t="shared" si="336"/>
        <v>0</v>
      </c>
      <c r="CM1081">
        <f t="shared" si="338"/>
        <v>0</v>
      </c>
      <c r="CN1081">
        <f t="shared" si="337"/>
        <v>0</v>
      </c>
      <c r="CO1081">
        <f t="shared" si="321"/>
        <v>0</v>
      </c>
    </row>
    <row r="1082" spans="1:93" x14ac:dyDescent="0.25">
      <c r="A1082" s="4">
        <v>2021</v>
      </c>
      <c r="B1082" s="318">
        <v>44279</v>
      </c>
      <c r="C1082" s="4" t="s">
        <v>1494</v>
      </c>
      <c r="D1082" s="4" t="s">
        <v>1495</v>
      </c>
      <c r="F1082" s="4" t="s">
        <v>1496</v>
      </c>
      <c r="G1082" s="5" t="s">
        <v>432</v>
      </c>
      <c r="H1082" s="5" t="s">
        <v>1498</v>
      </c>
      <c r="I1082" s="5" t="s">
        <v>228</v>
      </c>
      <c r="J1082" s="5" t="s">
        <v>10</v>
      </c>
      <c r="K1082" s="5">
        <v>14</v>
      </c>
      <c r="L1082" s="5" t="s">
        <v>192</v>
      </c>
      <c r="M1082" s="5">
        <v>3000</v>
      </c>
      <c r="N1082" s="5" t="s">
        <v>170</v>
      </c>
      <c r="O1082" s="6" t="s">
        <v>1499</v>
      </c>
      <c r="P1082" s="6" t="s">
        <v>1500</v>
      </c>
      <c r="S1082" s="6">
        <v>70</v>
      </c>
      <c r="T1082" s="6">
        <v>16.989999999999998</v>
      </c>
      <c r="U1082" s="6">
        <v>2299</v>
      </c>
      <c r="V1082" s="6">
        <v>46.07</v>
      </c>
      <c r="W1082" s="6">
        <v>0</v>
      </c>
      <c r="X1082" s="6">
        <v>582</v>
      </c>
      <c r="Y1082" s="6">
        <v>948</v>
      </c>
      <c r="Z1082" s="6">
        <v>642</v>
      </c>
      <c r="AA1082" s="6">
        <v>127</v>
      </c>
      <c r="AB1082" s="6">
        <v>0</v>
      </c>
      <c r="AC1082" s="7">
        <v>135</v>
      </c>
      <c r="AD1082" s="7" t="s">
        <v>52</v>
      </c>
      <c r="AE1082" s="7">
        <v>19.86</v>
      </c>
      <c r="AF1082" s="7">
        <v>333</v>
      </c>
      <c r="AG1082" s="7">
        <v>36.99</v>
      </c>
      <c r="AH1082" s="7">
        <v>37.61</v>
      </c>
      <c r="AI1082" s="7">
        <v>45.9</v>
      </c>
      <c r="AJ1082" s="9">
        <v>297.35025495842399</v>
      </c>
      <c r="AK1082" s="9">
        <v>303.39714547203999</v>
      </c>
      <c r="AL1082" s="9">
        <v>403.75025421391501</v>
      </c>
      <c r="AM1082" s="9">
        <v>96.035185787002604</v>
      </c>
      <c r="AN1082" s="9">
        <v>0.71137174657039004</v>
      </c>
      <c r="AO1082" s="9">
        <v>0.40421566399514602</v>
      </c>
      <c r="AP1082" s="9">
        <v>957.41169513585203</v>
      </c>
      <c r="AQ1082" s="9">
        <v>7.09193848248779</v>
      </c>
      <c r="AR1082" s="9">
        <v>4.7330657983173703</v>
      </c>
      <c r="AS1082" s="8" t="s">
        <v>169</v>
      </c>
      <c r="AT1082" s="8" t="s">
        <v>169</v>
      </c>
      <c r="AU1082" s="10" t="s">
        <v>169</v>
      </c>
      <c r="AV1082" s="10">
        <v>0</v>
      </c>
      <c r="AX1082" s="10" t="s">
        <v>169</v>
      </c>
      <c r="BF1082" s="12">
        <v>0.38</v>
      </c>
      <c r="BG1082" s="13">
        <v>267.21537658057599</v>
      </c>
      <c r="BH1082" s="96" t="str">
        <f>+VLOOKUP(G1082,Liste!$A$7:$G$50,3,FALSE)</f>
        <v>Sapin pectiné</v>
      </c>
      <c r="BI1082" s="96" t="str">
        <f>+VLOOKUP(H1082,Liste!$B$7:$G$50,5,FALSE)</f>
        <v>GSM Alpes du Sud</v>
      </c>
      <c r="BJ1082" s="135">
        <f t="shared" si="320"/>
        <v>135</v>
      </c>
      <c r="BK1082" s="135" t="str">
        <f t="shared" si="322"/>
        <v>Sapin pectiné_F2_SP2_4_GSM Alpes du Sud_135_</v>
      </c>
      <c r="BL1082" s="322"/>
      <c r="BM1082" s="13">
        <v>68.544903404636401</v>
      </c>
      <c r="BN1082" s="13">
        <v>335.760279985213</v>
      </c>
      <c r="BO1082" s="13" t="s">
        <v>169</v>
      </c>
      <c r="BP1082" s="13">
        <v>228.371756193122</v>
      </c>
      <c r="BQ1082" s="13">
        <v>3.7736995246082201</v>
      </c>
      <c r="BT1082" s="298" t="str">
        <f>+VLOOKUP(G1082,Liste!$A$7:$H$50,8,FALSE)</f>
        <v>Résineux</v>
      </c>
      <c r="BU1082" s="298">
        <f t="shared" si="323"/>
        <v>0</v>
      </c>
      <c r="BV1082" s="300">
        <f t="shared" si="324"/>
        <v>1</v>
      </c>
      <c r="BW1082" s="321">
        <v>0</v>
      </c>
      <c r="BX1082" s="298">
        <f t="shared" si="325"/>
        <v>0.43</v>
      </c>
      <c r="BY1082">
        <f t="shared" si="326"/>
        <v>0</v>
      </c>
      <c r="BZ1082" s="304">
        <f t="shared" si="327"/>
        <v>0</v>
      </c>
      <c r="CB1082" s="299">
        <v>0.6</v>
      </c>
      <c r="CC1082" s="299">
        <v>0.4</v>
      </c>
      <c r="CD1082">
        <f t="shared" si="328"/>
        <v>0</v>
      </c>
      <c r="CE1082">
        <f t="shared" si="329"/>
        <v>0</v>
      </c>
      <c r="CF1082">
        <f t="shared" si="330"/>
        <v>0</v>
      </c>
      <c r="CG1082">
        <f t="shared" si="331"/>
        <v>0</v>
      </c>
      <c r="CH1082">
        <f t="shared" si="332"/>
        <v>0</v>
      </c>
      <c r="CI1082">
        <f t="shared" si="333"/>
        <v>0</v>
      </c>
      <c r="CJ1082">
        <f t="shared" si="334"/>
        <v>0</v>
      </c>
      <c r="CK1082">
        <f t="shared" si="335"/>
        <v>0</v>
      </c>
      <c r="CL1082">
        <f t="shared" si="336"/>
        <v>0</v>
      </c>
      <c r="CM1082">
        <f t="shared" si="338"/>
        <v>0</v>
      </c>
      <c r="CN1082">
        <f t="shared" si="337"/>
        <v>0</v>
      </c>
      <c r="CO1082">
        <f t="shared" si="321"/>
        <v>0</v>
      </c>
    </row>
    <row r="1083" spans="1:93" x14ac:dyDescent="0.25">
      <c r="A1083" s="4">
        <v>2021</v>
      </c>
      <c r="B1083" s="318">
        <v>44279</v>
      </c>
      <c r="C1083" s="4" t="s">
        <v>1494</v>
      </c>
      <c r="D1083" s="4" t="s">
        <v>1495</v>
      </c>
      <c r="F1083" s="4" t="s">
        <v>1496</v>
      </c>
      <c r="G1083" s="5" t="s">
        <v>432</v>
      </c>
      <c r="H1083" s="5" t="s">
        <v>1498</v>
      </c>
      <c r="I1083" s="5" t="s">
        <v>228</v>
      </c>
      <c r="J1083" s="5" t="s">
        <v>10</v>
      </c>
      <c r="K1083" s="5">
        <v>14</v>
      </c>
      <c r="L1083" s="5" t="s">
        <v>192</v>
      </c>
      <c r="M1083" s="5">
        <v>3000</v>
      </c>
      <c r="N1083" s="5" t="s">
        <v>170</v>
      </c>
      <c r="O1083" s="6" t="s">
        <v>1499</v>
      </c>
      <c r="P1083" s="6" t="s">
        <v>1500</v>
      </c>
      <c r="S1083" s="6">
        <v>70</v>
      </c>
      <c r="T1083" s="6">
        <v>16.989999999999998</v>
      </c>
      <c r="U1083" s="6">
        <v>2299</v>
      </c>
      <c r="V1083" s="6">
        <v>46.07</v>
      </c>
      <c r="W1083" s="6">
        <v>0</v>
      </c>
      <c r="X1083" s="6">
        <v>582</v>
      </c>
      <c r="Y1083" s="6">
        <v>948</v>
      </c>
      <c r="Z1083" s="6">
        <v>642</v>
      </c>
      <c r="AA1083" s="6">
        <v>127</v>
      </c>
      <c r="AB1083" s="6">
        <v>0</v>
      </c>
      <c r="AC1083" s="7">
        <v>135</v>
      </c>
      <c r="AD1083" s="7" t="s">
        <v>53</v>
      </c>
      <c r="AE1083" s="7">
        <v>19.71</v>
      </c>
      <c r="AF1083" s="7">
        <v>250</v>
      </c>
      <c r="AG1083" s="7">
        <v>28.03</v>
      </c>
      <c r="AH1083" s="7">
        <v>37.78</v>
      </c>
      <c r="AI1083" s="7">
        <v>45.35</v>
      </c>
      <c r="AJ1083" s="9">
        <v>227.179567682591</v>
      </c>
      <c r="AK1083" s="9">
        <v>231.79135106285099</v>
      </c>
      <c r="AL1083" s="9">
        <v>307.85225292265699</v>
      </c>
      <c r="AM1083" s="9">
        <v>96.035185787002604</v>
      </c>
      <c r="AN1083" s="9">
        <v>0.71137174657039004</v>
      </c>
      <c r="AO1083" s="9">
        <v>0.40421566399514602</v>
      </c>
      <c r="AP1083" s="9">
        <v>957.41169513585203</v>
      </c>
      <c r="AQ1083" s="9">
        <v>7.09193848248779</v>
      </c>
      <c r="AR1083" s="9">
        <v>4.7330657983173703</v>
      </c>
      <c r="AS1083" s="8">
        <v>83</v>
      </c>
      <c r="AT1083" s="8">
        <v>8.9600000000000009</v>
      </c>
      <c r="AU1083" s="10">
        <v>37.074048860285366</v>
      </c>
      <c r="AV1083" s="10">
        <v>70.170687275832989</v>
      </c>
      <c r="AW1083" s="8">
        <v>0.97</v>
      </c>
      <c r="AX1083" s="10">
        <v>0.84542996717871066</v>
      </c>
      <c r="BF1083" s="12">
        <v>0.38</v>
      </c>
      <c r="BG1083" s="13">
        <v>203.746882725978</v>
      </c>
      <c r="BH1083" s="96" t="str">
        <f>+VLOOKUP(G1083,Liste!$A$7:$G$50,3,FALSE)</f>
        <v>Sapin pectiné</v>
      </c>
      <c r="BI1083" s="96" t="str">
        <f>+VLOOKUP(H1083,Liste!$B$7:$G$50,5,FALSE)</f>
        <v>GSM Alpes du Sud</v>
      </c>
      <c r="BJ1083" s="135">
        <f t="shared" si="320"/>
        <v>135</v>
      </c>
      <c r="BK1083" s="135" t="str">
        <f t="shared" si="322"/>
        <v>Sapin pectiné_F2_SP2_4_GSM Alpes du Sud_135_</v>
      </c>
      <c r="BL1083" s="322"/>
      <c r="BM1083" s="13">
        <v>53.940277844893899</v>
      </c>
      <c r="BN1083" s="13">
        <v>257.68716057087198</v>
      </c>
      <c r="BO1083" s="13">
        <v>78.073119414341022</v>
      </c>
      <c r="BP1083" s="13">
        <v>228.371756193122</v>
      </c>
      <c r="BQ1083" s="13">
        <v>3.7736995246082201</v>
      </c>
      <c r="BT1083" s="298" t="str">
        <f>+VLOOKUP(G1083,Liste!$A$7:$H$50,8,FALSE)</f>
        <v>Résineux</v>
      </c>
      <c r="BU1083" s="298">
        <f t="shared" si="323"/>
        <v>0</v>
      </c>
      <c r="BV1083" s="300">
        <f t="shared" si="324"/>
        <v>1</v>
      </c>
      <c r="BW1083" s="321">
        <v>0</v>
      </c>
      <c r="BX1083" s="298">
        <f t="shared" si="325"/>
        <v>0.43</v>
      </c>
      <c r="BY1083">
        <f t="shared" si="326"/>
        <v>0</v>
      </c>
      <c r="BZ1083" s="304">
        <f t="shared" si="327"/>
        <v>0</v>
      </c>
      <c r="CB1083" s="299">
        <v>0.6</v>
      </c>
      <c r="CC1083" s="299">
        <v>0.4</v>
      </c>
      <c r="CD1083">
        <f t="shared" si="328"/>
        <v>0</v>
      </c>
      <c r="CE1083">
        <f t="shared" si="329"/>
        <v>0</v>
      </c>
      <c r="CF1083">
        <f t="shared" si="330"/>
        <v>0</v>
      </c>
      <c r="CG1083">
        <f t="shared" si="331"/>
        <v>0</v>
      </c>
      <c r="CH1083">
        <f t="shared" si="332"/>
        <v>0</v>
      </c>
      <c r="CI1083">
        <f t="shared" si="333"/>
        <v>0</v>
      </c>
      <c r="CJ1083">
        <f t="shared" si="334"/>
        <v>0</v>
      </c>
      <c r="CK1083">
        <f t="shared" si="335"/>
        <v>0</v>
      </c>
      <c r="CL1083">
        <f t="shared" si="336"/>
        <v>0</v>
      </c>
      <c r="CM1083">
        <f t="shared" si="338"/>
        <v>0</v>
      </c>
      <c r="CN1083">
        <f t="shared" si="337"/>
        <v>0</v>
      </c>
      <c r="CO1083">
        <f t="shared" si="321"/>
        <v>0</v>
      </c>
    </row>
    <row r="1084" spans="1:93" x14ac:dyDescent="0.25">
      <c r="A1084" s="4">
        <v>2021</v>
      </c>
      <c r="B1084" s="318">
        <v>44279</v>
      </c>
      <c r="C1084" s="4" t="s">
        <v>1494</v>
      </c>
      <c r="D1084" s="4" t="s">
        <v>1495</v>
      </c>
      <c r="F1084" s="4" t="s">
        <v>1496</v>
      </c>
      <c r="G1084" s="5" t="s">
        <v>432</v>
      </c>
      <c r="H1084" s="5" t="s">
        <v>1498</v>
      </c>
      <c r="I1084" s="5" t="s">
        <v>228</v>
      </c>
      <c r="J1084" s="5" t="s">
        <v>10</v>
      </c>
      <c r="K1084" s="5">
        <v>14</v>
      </c>
      <c r="L1084" s="5" t="s">
        <v>192</v>
      </c>
      <c r="M1084" s="5">
        <v>3000</v>
      </c>
      <c r="N1084" s="5" t="s">
        <v>170</v>
      </c>
      <c r="O1084" s="6" t="s">
        <v>1499</v>
      </c>
      <c r="P1084" s="6" t="s">
        <v>1500</v>
      </c>
      <c r="S1084" s="6">
        <v>70</v>
      </c>
      <c r="T1084" s="6">
        <v>16.989999999999998</v>
      </c>
      <c r="U1084" s="6">
        <v>2299</v>
      </c>
      <c r="V1084" s="6">
        <v>46.07</v>
      </c>
      <c r="W1084" s="6">
        <v>0</v>
      </c>
      <c r="X1084" s="6">
        <v>582</v>
      </c>
      <c r="Y1084" s="6">
        <v>948</v>
      </c>
      <c r="Z1084" s="6">
        <v>642</v>
      </c>
      <c r="AA1084" s="6">
        <v>127</v>
      </c>
      <c r="AB1084" s="6">
        <v>0</v>
      </c>
      <c r="AC1084" s="7">
        <v>140</v>
      </c>
      <c r="AD1084" s="7" t="s">
        <v>52</v>
      </c>
      <c r="AE1084" s="7">
        <v>19.78</v>
      </c>
      <c r="AF1084" s="7">
        <v>249</v>
      </c>
      <c r="AG1084" s="7">
        <v>29.99</v>
      </c>
      <c r="AH1084" s="7">
        <v>39.159999999999997</v>
      </c>
      <c r="AI1084" s="7">
        <v>46.81</v>
      </c>
      <c r="AJ1084" s="9">
        <v>243.12323299689601</v>
      </c>
      <c r="AK1084" s="9">
        <v>248.31990685551199</v>
      </c>
      <c r="AL1084" s="9">
        <v>330.98091757473202</v>
      </c>
      <c r="AM1084" s="9">
        <v>98.056264106978404</v>
      </c>
      <c r="AN1084" s="9">
        <v>0.70040188647841695</v>
      </c>
      <c r="AO1084" s="9">
        <v>0.39578755159133699</v>
      </c>
      <c r="AP1084" s="9">
        <v>981.07702412743902</v>
      </c>
      <c r="AQ1084" s="9">
        <v>7.0076930294817004</v>
      </c>
      <c r="AR1084" s="9">
        <v>4.6358650770312604</v>
      </c>
      <c r="AS1084" s="8" t="s">
        <v>169</v>
      </c>
      <c r="AT1084" s="8" t="s">
        <v>169</v>
      </c>
      <c r="AU1084" s="10" t="s">
        <v>169</v>
      </c>
      <c r="AV1084" s="10">
        <v>0</v>
      </c>
      <c r="AX1084" s="10" t="s">
        <v>169</v>
      </c>
      <c r="BF1084" s="12">
        <v>0.38</v>
      </c>
      <c r="BG1084" s="13">
        <v>219.05420394820999</v>
      </c>
      <c r="BH1084" s="96" t="str">
        <f>+VLOOKUP(G1084,Liste!$A$7:$G$50,3,FALSE)</f>
        <v>Sapin pectiné</v>
      </c>
      <c r="BI1084" s="96" t="str">
        <f>+VLOOKUP(H1084,Liste!$B$7:$G$50,5,FALSE)</f>
        <v>GSM Alpes du Sud</v>
      </c>
      <c r="BJ1084" s="135">
        <f t="shared" si="320"/>
        <v>140</v>
      </c>
      <c r="BK1084" s="135" t="str">
        <f t="shared" si="322"/>
        <v>Sapin pectiné_F2_SP2_4_GSM Alpes du Sud_140_</v>
      </c>
      <c r="BL1084" s="322"/>
      <c r="BM1084" s="13">
        <v>57.505817598865498</v>
      </c>
      <c r="BN1084" s="13">
        <v>276.56002154707602</v>
      </c>
      <c r="BO1084" s="13" t="s">
        <v>169</v>
      </c>
      <c r="BP1084" s="13">
        <v>228.371756193122</v>
      </c>
      <c r="BQ1084" s="13">
        <v>3.69445754109445</v>
      </c>
      <c r="BT1084" s="298" t="str">
        <f>+VLOOKUP(G1084,Liste!$A$7:$H$50,8,FALSE)</f>
        <v>Résineux</v>
      </c>
      <c r="BU1084" s="298">
        <f t="shared" si="323"/>
        <v>0</v>
      </c>
      <c r="BV1084" s="300">
        <f t="shared" si="324"/>
        <v>1</v>
      </c>
      <c r="BW1084" s="321">
        <v>0</v>
      </c>
      <c r="BX1084" s="298">
        <f t="shared" si="325"/>
        <v>0.43</v>
      </c>
      <c r="BY1084">
        <f t="shared" si="326"/>
        <v>0</v>
      </c>
      <c r="BZ1084" s="304">
        <f t="shared" si="327"/>
        <v>0</v>
      </c>
      <c r="CB1084" s="299">
        <v>0.6</v>
      </c>
      <c r="CC1084" s="299">
        <v>0.4</v>
      </c>
      <c r="CD1084">
        <f t="shared" si="328"/>
        <v>0</v>
      </c>
      <c r="CE1084">
        <f t="shared" si="329"/>
        <v>0</v>
      </c>
      <c r="CF1084">
        <f t="shared" si="330"/>
        <v>0</v>
      </c>
      <c r="CG1084">
        <f t="shared" si="331"/>
        <v>0</v>
      </c>
      <c r="CH1084">
        <f t="shared" si="332"/>
        <v>0</v>
      </c>
      <c r="CI1084">
        <f t="shared" si="333"/>
        <v>0</v>
      </c>
      <c r="CJ1084">
        <f t="shared" si="334"/>
        <v>0</v>
      </c>
      <c r="CK1084">
        <f t="shared" si="335"/>
        <v>0</v>
      </c>
      <c r="CL1084">
        <f t="shared" si="336"/>
        <v>0</v>
      </c>
      <c r="CM1084">
        <f t="shared" si="338"/>
        <v>0</v>
      </c>
      <c r="CN1084">
        <f t="shared" si="337"/>
        <v>0</v>
      </c>
      <c r="CO1084">
        <f t="shared" si="321"/>
        <v>0</v>
      </c>
    </row>
    <row r="1085" spans="1:93" x14ac:dyDescent="0.25">
      <c r="A1085" s="4">
        <v>2021</v>
      </c>
      <c r="B1085" s="318">
        <v>44279</v>
      </c>
      <c r="C1085" s="4" t="s">
        <v>1494</v>
      </c>
      <c r="D1085" s="4" t="s">
        <v>1495</v>
      </c>
      <c r="F1085" s="4" t="s">
        <v>1496</v>
      </c>
      <c r="G1085" s="5" t="s">
        <v>432</v>
      </c>
      <c r="H1085" s="5" t="s">
        <v>1498</v>
      </c>
      <c r="I1085" s="5" t="s">
        <v>228</v>
      </c>
      <c r="J1085" s="5" t="s">
        <v>10</v>
      </c>
      <c r="K1085" s="5">
        <v>14</v>
      </c>
      <c r="L1085" s="5" t="s">
        <v>192</v>
      </c>
      <c r="M1085" s="5">
        <v>3000</v>
      </c>
      <c r="N1085" s="5" t="s">
        <v>170</v>
      </c>
      <c r="O1085" s="6" t="s">
        <v>1499</v>
      </c>
      <c r="P1085" s="6" t="s">
        <v>1500</v>
      </c>
      <c r="S1085" s="6">
        <v>70</v>
      </c>
      <c r="T1085" s="6">
        <v>16.989999999999998</v>
      </c>
      <c r="U1085" s="6">
        <v>2299</v>
      </c>
      <c r="V1085" s="6">
        <v>46.07</v>
      </c>
      <c r="W1085" s="6">
        <v>0</v>
      </c>
      <c r="X1085" s="6">
        <v>582</v>
      </c>
      <c r="Y1085" s="6">
        <v>948</v>
      </c>
      <c r="Z1085" s="6">
        <v>642</v>
      </c>
      <c r="AA1085" s="6">
        <v>127</v>
      </c>
      <c r="AB1085" s="6">
        <v>0</v>
      </c>
      <c r="AC1085" s="7">
        <v>145</v>
      </c>
      <c r="AD1085" s="7" t="s">
        <v>52</v>
      </c>
      <c r="AE1085" s="7">
        <v>19.84</v>
      </c>
      <c r="AF1085" s="7">
        <v>248</v>
      </c>
      <c r="AG1085" s="7">
        <v>31.74</v>
      </c>
      <c r="AH1085" s="7">
        <v>40.369999999999997</v>
      </c>
      <c r="AI1085" s="7">
        <v>48.09</v>
      </c>
      <c r="AJ1085" s="9">
        <v>256.85900439544997</v>
      </c>
      <c r="AK1085" s="9">
        <v>262.61256086557103</v>
      </c>
      <c r="AL1085" s="9">
        <v>351.37595218813101</v>
      </c>
      <c r="AM1085" s="9">
        <v>100.035201864935</v>
      </c>
      <c r="AN1085" s="9">
        <v>0.68989794389610404</v>
      </c>
      <c r="AO1085" s="9">
        <v>0.387089073723763</v>
      </c>
      <c r="AP1085" s="9">
        <v>1004.25634951259</v>
      </c>
      <c r="AQ1085" s="9">
        <v>6.9259058587075497</v>
      </c>
      <c r="AR1085" s="9">
        <v>4.5670694905108604</v>
      </c>
      <c r="AS1085" s="8" t="s">
        <v>169</v>
      </c>
      <c r="AT1085" s="8" t="s">
        <v>169</v>
      </c>
      <c r="AU1085" s="10" t="s">
        <v>169</v>
      </c>
      <c r="AV1085" s="10">
        <v>0</v>
      </c>
      <c r="AX1085" s="10" t="s">
        <v>169</v>
      </c>
      <c r="BF1085" s="12">
        <v>0.38</v>
      </c>
      <c r="BG1085" s="13">
        <v>232.55231768984501</v>
      </c>
      <c r="BH1085" s="96" t="str">
        <f>+VLOOKUP(G1085,Liste!$A$7:$G$50,3,FALSE)</f>
        <v>Sapin pectiné</v>
      </c>
      <c r="BI1085" s="96" t="str">
        <f>+VLOOKUP(H1085,Liste!$B$7:$G$50,5,FALSE)</f>
        <v>GSM Alpes du Sud</v>
      </c>
      <c r="BJ1085" s="135">
        <f t="shared" si="320"/>
        <v>145</v>
      </c>
      <c r="BK1085" s="135" t="str">
        <f t="shared" si="322"/>
        <v>Sapin pectiné_F2_SP2_4_GSM Alpes du Sud_145_</v>
      </c>
      <c r="BL1085" s="322"/>
      <c r="BM1085" s="13">
        <v>60.625880827137699</v>
      </c>
      <c r="BN1085" s="13">
        <v>293.17819851698198</v>
      </c>
      <c r="BO1085" s="13" t="s">
        <v>169</v>
      </c>
      <c r="BP1085" s="13">
        <v>228.371756193122</v>
      </c>
      <c r="BQ1085" s="13">
        <v>3.63798881849109</v>
      </c>
      <c r="BT1085" s="298" t="str">
        <f>+VLOOKUP(G1085,Liste!$A$7:$H$50,8,FALSE)</f>
        <v>Résineux</v>
      </c>
      <c r="BU1085" s="298">
        <f t="shared" si="323"/>
        <v>0</v>
      </c>
      <c r="BV1085" s="300">
        <f t="shared" si="324"/>
        <v>1</v>
      </c>
      <c r="BW1085" s="321">
        <v>0</v>
      </c>
      <c r="BX1085" s="298">
        <f t="shared" si="325"/>
        <v>0.43</v>
      </c>
      <c r="BY1085">
        <f t="shared" si="326"/>
        <v>0</v>
      </c>
      <c r="BZ1085" s="304">
        <f t="shared" si="327"/>
        <v>0</v>
      </c>
      <c r="CB1085" s="299">
        <v>0.6</v>
      </c>
      <c r="CC1085" s="299">
        <v>0.4</v>
      </c>
      <c r="CD1085">
        <f t="shared" si="328"/>
        <v>0</v>
      </c>
      <c r="CE1085">
        <f t="shared" si="329"/>
        <v>0</v>
      </c>
      <c r="CF1085">
        <f t="shared" si="330"/>
        <v>0</v>
      </c>
      <c r="CG1085">
        <f t="shared" si="331"/>
        <v>0</v>
      </c>
      <c r="CH1085">
        <f t="shared" si="332"/>
        <v>0</v>
      </c>
      <c r="CI1085">
        <f t="shared" si="333"/>
        <v>0</v>
      </c>
      <c r="CJ1085">
        <f t="shared" si="334"/>
        <v>0</v>
      </c>
      <c r="CK1085">
        <f t="shared" si="335"/>
        <v>0</v>
      </c>
      <c r="CL1085">
        <f t="shared" si="336"/>
        <v>0</v>
      </c>
      <c r="CM1085">
        <f t="shared" si="338"/>
        <v>0</v>
      </c>
      <c r="CN1085">
        <f t="shared" si="337"/>
        <v>0</v>
      </c>
      <c r="CO1085">
        <f t="shared" si="321"/>
        <v>0</v>
      </c>
    </row>
    <row r="1086" spans="1:93" x14ac:dyDescent="0.25">
      <c r="A1086" s="4">
        <v>2021</v>
      </c>
      <c r="B1086" s="318">
        <v>44279</v>
      </c>
      <c r="C1086" s="4" t="s">
        <v>1494</v>
      </c>
      <c r="D1086" s="4" t="s">
        <v>1495</v>
      </c>
      <c r="F1086" s="4" t="s">
        <v>1496</v>
      </c>
      <c r="G1086" s="5" t="s">
        <v>432</v>
      </c>
      <c r="H1086" s="5" t="s">
        <v>1498</v>
      </c>
      <c r="I1086" s="5" t="s">
        <v>228</v>
      </c>
      <c r="J1086" s="5" t="s">
        <v>10</v>
      </c>
      <c r="K1086" s="5">
        <v>14</v>
      </c>
      <c r="L1086" s="5" t="s">
        <v>192</v>
      </c>
      <c r="M1086" s="5">
        <v>3000</v>
      </c>
      <c r="N1086" s="5" t="s">
        <v>170</v>
      </c>
      <c r="O1086" s="6" t="s">
        <v>1499</v>
      </c>
      <c r="P1086" s="6" t="s">
        <v>1500</v>
      </c>
      <c r="S1086" s="6">
        <v>70</v>
      </c>
      <c r="T1086" s="6">
        <v>16.989999999999998</v>
      </c>
      <c r="U1086" s="6">
        <v>2299</v>
      </c>
      <c r="V1086" s="6">
        <v>46.07</v>
      </c>
      <c r="W1086" s="6">
        <v>0</v>
      </c>
      <c r="X1086" s="6">
        <v>582</v>
      </c>
      <c r="Y1086" s="6">
        <v>948</v>
      </c>
      <c r="Z1086" s="6">
        <v>642</v>
      </c>
      <c r="AA1086" s="6">
        <v>127</v>
      </c>
      <c r="AB1086" s="6">
        <v>0</v>
      </c>
      <c r="AC1086" s="7">
        <v>150</v>
      </c>
      <c r="AD1086" s="7" t="s">
        <v>52</v>
      </c>
      <c r="AE1086" s="7">
        <v>19.91</v>
      </c>
      <c r="AF1086" s="7">
        <v>246</v>
      </c>
      <c r="AG1086" s="7">
        <v>33.31</v>
      </c>
      <c r="AH1086" s="7">
        <v>41.52</v>
      </c>
      <c r="AI1086" s="7">
        <v>49.34</v>
      </c>
      <c r="AJ1086" s="9">
        <v>269.12108691624098</v>
      </c>
      <c r="AK1086" s="9">
        <v>275.41542578416897</v>
      </c>
      <c r="AL1086" s="9">
        <v>369.841862389124</v>
      </c>
      <c r="AM1086" s="9">
        <v>101.970647233554</v>
      </c>
      <c r="AN1086" s="9">
        <v>0.67980431489035897</v>
      </c>
      <c r="AO1086" s="9">
        <v>0.28998845152645503</v>
      </c>
      <c r="AP1086" s="9">
        <v>1027.09169696515</v>
      </c>
      <c r="AQ1086" s="9">
        <v>6.84727797976766</v>
      </c>
      <c r="AR1086" s="9">
        <v>3.5403788334534099</v>
      </c>
      <c r="AS1086" s="8" t="s">
        <v>169</v>
      </c>
      <c r="AT1086" s="8" t="s">
        <v>169</v>
      </c>
      <c r="AU1086" s="10" t="s">
        <v>169</v>
      </c>
      <c r="AV1086" s="10">
        <v>0</v>
      </c>
      <c r="AX1086" s="10" t="s">
        <v>169</v>
      </c>
      <c r="BF1086" s="12">
        <v>0.38</v>
      </c>
      <c r="BG1086" s="13">
        <v>244.773672591202</v>
      </c>
      <c r="BH1086" s="96" t="str">
        <f>+VLOOKUP(G1086,Liste!$A$7:$G$50,3,FALSE)</f>
        <v>Sapin pectiné</v>
      </c>
      <c r="BI1086" s="96" t="str">
        <f>+VLOOKUP(H1086,Liste!$B$7:$G$50,5,FALSE)</f>
        <v>GSM Alpes du Sud</v>
      </c>
      <c r="BJ1086" s="135">
        <f t="shared" si="320"/>
        <v>150</v>
      </c>
      <c r="BK1086" s="135" t="str">
        <f t="shared" si="322"/>
        <v>Sapin pectiné_F2_SP2_4_GSM Alpes du Sud_150_</v>
      </c>
      <c r="BL1086" s="322"/>
      <c r="BM1086" s="13">
        <v>63.432654808904303</v>
      </c>
      <c r="BN1086" s="13">
        <v>308.20632740010598</v>
      </c>
      <c r="BO1086" s="13" t="s">
        <v>169</v>
      </c>
      <c r="BP1086" s="13">
        <v>228.371756193122</v>
      </c>
      <c r="BQ1086" s="13">
        <v>2.8190618069433602</v>
      </c>
      <c r="BT1086" s="298" t="str">
        <f>+VLOOKUP(G1086,Liste!$A$7:$H$50,8,FALSE)</f>
        <v>Résineux</v>
      </c>
      <c r="BU1086" s="298">
        <f t="shared" si="323"/>
        <v>0</v>
      </c>
      <c r="BV1086" s="300">
        <f t="shared" si="324"/>
        <v>1</v>
      </c>
      <c r="BW1086" s="321">
        <v>0</v>
      </c>
      <c r="BX1086" s="298">
        <f t="shared" si="325"/>
        <v>0.43</v>
      </c>
      <c r="BY1086">
        <f t="shared" si="326"/>
        <v>0</v>
      </c>
      <c r="BZ1086" s="304">
        <f t="shared" si="327"/>
        <v>0</v>
      </c>
      <c r="CB1086" s="299">
        <v>0.6</v>
      </c>
      <c r="CC1086" s="299">
        <v>0.4</v>
      </c>
      <c r="CD1086">
        <f t="shared" si="328"/>
        <v>0</v>
      </c>
      <c r="CE1086">
        <f t="shared" si="329"/>
        <v>0</v>
      </c>
      <c r="CF1086">
        <f t="shared" si="330"/>
        <v>0</v>
      </c>
      <c r="CG1086">
        <f t="shared" si="331"/>
        <v>0</v>
      </c>
      <c r="CH1086">
        <f t="shared" si="332"/>
        <v>0</v>
      </c>
      <c r="CI1086">
        <f t="shared" si="333"/>
        <v>0</v>
      </c>
      <c r="CJ1086">
        <f t="shared" si="334"/>
        <v>0</v>
      </c>
      <c r="CK1086">
        <f t="shared" si="335"/>
        <v>0</v>
      </c>
      <c r="CL1086">
        <f t="shared" si="336"/>
        <v>0</v>
      </c>
      <c r="CM1086">
        <f t="shared" si="338"/>
        <v>0</v>
      </c>
      <c r="CN1086">
        <f t="shared" si="337"/>
        <v>0</v>
      </c>
      <c r="CO1086">
        <f t="shared" si="321"/>
        <v>0</v>
      </c>
    </row>
    <row r="1087" spans="1:93" x14ac:dyDescent="0.25">
      <c r="A1087" s="4">
        <v>2021</v>
      </c>
      <c r="B1087" s="318">
        <v>44279</v>
      </c>
      <c r="C1087" s="4" t="s">
        <v>1494</v>
      </c>
      <c r="D1087" s="4" t="s">
        <v>1495</v>
      </c>
      <c r="F1087" s="4" t="s">
        <v>1496</v>
      </c>
      <c r="G1087" s="5" t="s">
        <v>432</v>
      </c>
      <c r="H1087" s="5" t="s">
        <v>1498</v>
      </c>
      <c r="I1087" s="5" t="s">
        <v>228</v>
      </c>
      <c r="J1087" s="5" t="s">
        <v>10</v>
      </c>
      <c r="K1087" s="5">
        <v>14</v>
      </c>
      <c r="L1087" s="5" t="s">
        <v>192</v>
      </c>
      <c r="M1087" s="5">
        <v>3000</v>
      </c>
      <c r="N1087" s="5" t="s">
        <v>170</v>
      </c>
      <c r="O1087" s="6" t="s">
        <v>1499</v>
      </c>
      <c r="P1087" s="6" t="s">
        <v>1500</v>
      </c>
      <c r="S1087" s="6">
        <v>70</v>
      </c>
      <c r="T1087" s="6">
        <v>16.989999999999998</v>
      </c>
      <c r="U1087" s="6">
        <v>2299</v>
      </c>
      <c r="V1087" s="6">
        <v>46.07</v>
      </c>
      <c r="W1087" s="6">
        <v>0</v>
      </c>
      <c r="X1087" s="6">
        <v>582</v>
      </c>
      <c r="Y1087" s="6">
        <v>948</v>
      </c>
      <c r="Z1087" s="6">
        <v>642</v>
      </c>
      <c r="AA1087" s="6">
        <v>127</v>
      </c>
      <c r="AB1087" s="6">
        <v>0</v>
      </c>
      <c r="AC1087" s="7">
        <v>150</v>
      </c>
      <c r="AD1087" s="7" t="s">
        <v>53</v>
      </c>
      <c r="AE1087" s="7">
        <v>19.440000000000001</v>
      </c>
      <c r="AF1087" s="7">
        <v>147</v>
      </c>
      <c r="AG1087" s="7">
        <v>22.03</v>
      </c>
      <c r="AH1087" s="7">
        <v>43.69</v>
      </c>
      <c r="AI1087" s="7">
        <v>48.08</v>
      </c>
      <c r="AJ1087" s="9">
        <v>185.72262305736899</v>
      </c>
      <c r="AK1087" s="9">
        <v>189.983696933635</v>
      </c>
      <c r="AL1087" s="9">
        <v>252.34696609976601</v>
      </c>
      <c r="AM1087" s="9">
        <v>101.970647233554</v>
      </c>
      <c r="AN1087" s="9">
        <v>0.67980431489035897</v>
      </c>
      <c r="AO1087" s="9">
        <v>0.28998845152645503</v>
      </c>
      <c r="AP1087" s="9">
        <v>1027.09169696515</v>
      </c>
      <c r="AQ1087" s="9">
        <v>6.84727797976766</v>
      </c>
      <c r="AR1087" s="9">
        <v>3.5403788334534099</v>
      </c>
      <c r="AS1087" s="8">
        <v>99</v>
      </c>
      <c r="AT1087" s="8">
        <v>11.280000000000001</v>
      </c>
      <c r="AU1087" s="10">
        <v>38.088337068818625</v>
      </c>
      <c r="AV1087" s="10">
        <v>83.398463858871992</v>
      </c>
      <c r="AW1087" s="8">
        <v>0.84</v>
      </c>
      <c r="AX1087" s="10">
        <v>0.84240872584719184</v>
      </c>
      <c r="BF1087" s="12">
        <v>0.38</v>
      </c>
      <c r="BG1087" s="13">
        <v>167.01163373036201</v>
      </c>
      <c r="BH1087" s="96" t="str">
        <f>+VLOOKUP(G1087,Liste!$A$7:$G$50,3,FALSE)</f>
        <v>Sapin pectiné</v>
      </c>
      <c r="BI1087" s="96" t="str">
        <f>+VLOOKUP(H1087,Liste!$B$7:$G$50,5,FALSE)</f>
        <v>GSM Alpes du Sud</v>
      </c>
      <c r="BJ1087" s="135">
        <f t="shared" si="320"/>
        <v>150</v>
      </c>
      <c r="BK1087" s="135" t="str">
        <f t="shared" si="322"/>
        <v>Sapin pectiné_F2_SP2_4_GSM Alpes du Sud_150_</v>
      </c>
      <c r="BL1087" s="322"/>
      <c r="BM1087" s="13">
        <v>45.250085192562302</v>
      </c>
      <c r="BN1087" s="13">
        <v>212.26171892292399</v>
      </c>
      <c r="BO1087" s="13">
        <v>95.944608477181987</v>
      </c>
      <c r="BP1087" s="13">
        <v>228.371756193122</v>
      </c>
      <c r="BQ1087" s="13">
        <v>2.8190618069433602</v>
      </c>
      <c r="BT1087" s="298" t="str">
        <f>+VLOOKUP(G1087,Liste!$A$7:$H$50,8,FALSE)</f>
        <v>Résineux</v>
      </c>
      <c r="BU1087" s="298">
        <f t="shared" si="323"/>
        <v>0</v>
      </c>
      <c r="BV1087" s="300">
        <f t="shared" si="324"/>
        <v>1</v>
      </c>
      <c r="BW1087" s="321">
        <v>0</v>
      </c>
      <c r="BX1087" s="298">
        <f t="shared" si="325"/>
        <v>0.43</v>
      </c>
      <c r="BY1087">
        <f t="shared" si="326"/>
        <v>0</v>
      </c>
      <c r="BZ1087" s="304">
        <f t="shared" si="327"/>
        <v>0</v>
      </c>
      <c r="CB1087" s="299">
        <v>0.6</v>
      </c>
      <c r="CC1087" s="299">
        <v>0.4</v>
      </c>
      <c r="CD1087">
        <f t="shared" si="328"/>
        <v>0</v>
      </c>
      <c r="CE1087">
        <f t="shared" si="329"/>
        <v>0</v>
      </c>
      <c r="CF1087">
        <f t="shared" si="330"/>
        <v>0</v>
      </c>
      <c r="CG1087">
        <f t="shared" si="331"/>
        <v>0</v>
      </c>
      <c r="CH1087">
        <f t="shared" si="332"/>
        <v>0</v>
      </c>
      <c r="CI1087">
        <f t="shared" si="333"/>
        <v>0</v>
      </c>
      <c r="CJ1087">
        <f t="shared" si="334"/>
        <v>0</v>
      </c>
      <c r="CK1087">
        <f t="shared" si="335"/>
        <v>0</v>
      </c>
      <c r="CL1087">
        <f t="shared" si="336"/>
        <v>0</v>
      </c>
      <c r="CM1087">
        <f t="shared" si="338"/>
        <v>0</v>
      </c>
      <c r="CN1087">
        <f t="shared" si="337"/>
        <v>0</v>
      </c>
      <c r="CO1087">
        <f t="shared" si="321"/>
        <v>0</v>
      </c>
    </row>
    <row r="1088" spans="1:93" x14ac:dyDescent="0.25">
      <c r="A1088" s="4">
        <v>2021</v>
      </c>
      <c r="B1088" s="318">
        <v>44279</v>
      </c>
      <c r="C1088" s="4" t="s">
        <v>1494</v>
      </c>
      <c r="D1088" s="4" t="s">
        <v>1495</v>
      </c>
      <c r="F1088" s="4" t="s">
        <v>1496</v>
      </c>
      <c r="G1088" s="5" t="s">
        <v>432</v>
      </c>
      <c r="H1088" s="5" t="s">
        <v>1498</v>
      </c>
      <c r="I1088" s="5" t="s">
        <v>228</v>
      </c>
      <c r="J1088" s="5" t="s">
        <v>10</v>
      </c>
      <c r="K1088" s="5">
        <v>14</v>
      </c>
      <c r="L1088" s="5" t="s">
        <v>192</v>
      </c>
      <c r="M1088" s="5">
        <v>3000</v>
      </c>
      <c r="N1088" s="5" t="s">
        <v>170</v>
      </c>
      <c r="O1088" s="6" t="s">
        <v>1499</v>
      </c>
      <c r="P1088" s="6" t="s">
        <v>1500</v>
      </c>
      <c r="S1088" s="6">
        <v>70</v>
      </c>
      <c r="T1088" s="6">
        <v>16.989999999999998</v>
      </c>
      <c r="U1088" s="6">
        <v>2299</v>
      </c>
      <c r="V1088" s="6">
        <v>46.07</v>
      </c>
      <c r="W1088" s="6">
        <v>0</v>
      </c>
      <c r="X1088" s="6">
        <v>582</v>
      </c>
      <c r="Y1088" s="6">
        <v>948</v>
      </c>
      <c r="Z1088" s="6">
        <v>642</v>
      </c>
      <c r="AA1088" s="6">
        <v>127</v>
      </c>
      <c r="AB1088" s="6">
        <v>0</v>
      </c>
      <c r="AC1088" s="7">
        <v>155</v>
      </c>
      <c r="AD1088" s="7" t="s">
        <v>52</v>
      </c>
      <c r="AE1088" s="7">
        <v>19.5</v>
      </c>
      <c r="AF1088" s="7">
        <v>147</v>
      </c>
      <c r="AG1088" s="7">
        <v>23.49</v>
      </c>
      <c r="AH1088" s="7">
        <v>45.1</v>
      </c>
      <c r="AI1088" s="7">
        <v>49.56</v>
      </c>
      <c r="AJ1088" s="9">
        <v>197.83239649916399</v>
      </c>
      <c r="AK1088" s="9">
        <v>202.580461089343</v>
      </c>
      <c r="AL1088" s="9">
        <v>270.04886026703298</v>
      </c>
      <c r="AM1088" s="9">
        <v>103.42058949118601</v>
      </c>
      <c r="AN1088" s="9">
        <v>0.667229609620556</v>
      </c>
      <c r="AO1088" s="9">
        <v>0.286298512724738</v>
      </c>
      <c r="AP1088" s="9">
        <v>1044.79359113242</v>
      </c>
      <c r="AQ1088" s="9">
        <v>6.7406038137575202</v>
      </c>
      <c r="AR1088" s="9">
        <v>3.4990030196559001</v>
      </c>
      <c r="AS1088" s="8" t="s">
        <v>169</v>
      </c>
      <c r="AT1088" s="8" t="s">
        <v>169</v>
      </c>
      <c r="AU1088" s="10" t="s">
        <v>169</v>
      </c>
      <c r="AV1088" s="10">
        <v>0</v>
      </c>
      <c r="AX1088" s="10" t="s">
        <v>169</v>
      </c>
      <c r="BF1088" s="12">
        <v>0.38</v>
      </c>
      <c r="BG1088" s="13">
        <v>178.72733735339801</v>
      </c>
      <c r="BH1088" s="96" t="str">
        <f>+VLOOKUP(G1088,Liste!$A$7:$G$50,3,FALSE)</f>
        <v>Sapin pectiné</v>
      </c>
      <c r="BI1088" s="96" t="str">
        <f>+VLOOKUP(H1088,Liste!$B$7:$G$50,5,FALSE)</f>
        <v>GSM Alpes du Sud</v>
      </c>
      <c r="BJ1088" s="135">
        <f t="shared" si="320"/>
        <v>155</v>
      </c>
      <c r="BK1088" s="135" t="str">
        <f t="shared" si="322"/>
        <v>Sapin pectiné_F2_SP2_4_GSM Alpes du Sud_155_</v>
      </c>
      <c r="BL1088" s="322"/>
      <c r="BM1088" s="13">
        <v>48.043689355144998</v>
      </c>
      <c r="BN1088" s="13">
        <v>226.77102670854299</v>
      </c>
      <c r="BO1088" s="13" t="s">
        <v>169</v>
      </c>
      <c r="BP1088" s="13">
        <v>228.371756193122</v>
      </c>
      <c r="BQ1088" s="13">
        <v>2.7851944961399102</v>
      </c>
      <c r="BT1088" s="298" t="str">
        <f>+VLOOKUP(G1088,Liste!$A$7:$H$50,8,FALSE)</f>
        <v>Résineux</v>
      </c>
      <c r="BU1088" s="298">
        <f t="shared" si="323"/>
        <v>0</v>
      </c>
      <c r="BV1088" s="300">
        <f t="shared" si="324"/>
        <v>1</v>
      </c>
      <c r="BW1088" s="321">
        <v>0</v>
      </c>
      <c r="BX1088" s="298">
        <f t="shared" si="325"/>
        <v>0.43</v>
      </c>
      <c r="BY1088">
        <f t="shared" si="326"/>
        <v>0</v>
      </c>
      <c r="BZ1088" s="304">
        <f t="shared" si="327"/>
        <v>0</v>
      </c>
      <c r="CB1088" s="299">
        <v>0.6</v>
      </c>
      <c r="CC1088" s="299">
        <v>0.4</v>
      </c>
      <c r="CD1088">
        <f t="shared" si="328"/>
        <v>0</v>
      </c>
      <c r="CE1088">
        <f t="shared" si="329"/>
        <v>0</v>
      </c>
      <c r="CF1088">
        <f t="shared" si="330"/>
        <v>0</v>
      </c>
      <c r="CG1088">
        <f t="shared" si="331"/>
        <v>0</v>
      </c>
      <c r="CH1088">
        <f t="shared" si="332"/>
        <v>0</v>
      </c>
      <c r="CI1088">
        <f t="shared" si="333"/>
        <v>0</v>
      </c>
      <c r="CJ1088">
        <f t="shared" si="334"/>
        <v>0</v>
      </c>
      <c r="CK1088">
        <f t="shared" si="335"/>
        <v>0</v>
      </c>
      <c r="CL1088">
        <f t="shared" si="336"/>
        <v>0</v>
      </c>
      <c r="CM1088">
        <f t="shared" si="338"/>
        <v>0</v>
      </c>
      <c r="CN1088">
        <f t="shared" si="337"/>
        <v>0</v>
      </c>
      <c r="CO1088">
        <f t="shared" si="321"/>
        <v>0</v>
      </c>
    </row>
    <row r="1089" spans="1:93" x14ac:dyDescent="0.25">
      <c r="A1089" s="4">
        <v>2021</v>
      </c>
      <c r="B1089" s="318">
        <v>44279</v>
      </c>
      <c r="C1089" s="4" t="s">
        <v>1494</v>
      </c>
      <c r="D1089" s="4" t="s">
        <v>1495</v>
      </c>
      <c r="F1089" s="4" t="s">
        <v>1496</v>
      </c>
      <c r="G1089" s="5" t="s">
        <v>432</v>
      </c>
      <c r="H1089" s="5" t="s">
        <v>1498</v>
      </c>
      <c r="I1089" s="5" t="s">
        <v>228</v>
      </c>
      <c r="J1089" s="5" t="s">
        <v>10</v>
      </c>
      <c r="K1089" s="5">
        <v>14</v>
      </c>
      <c r="L1089" s="5" t="s">
        <v>192</v>
      </c>
      <c r="M1089" s="5">
        <v>3000</v>
      </c>
      <c r="N1089" s="5" t="s">
        <v>170</v>
      </c>
      <c r="O1089" s="6" t="s">
        <v>1499</v>
      </c>
      <c r="P1089" s="6" t="s">
        <v>1500</v>
      </c>
      <c r="S1089" s="6">
        <v>70</v>
      </c>
      <c r="T1089" s="6">
        <v>16.989999999999998</v>
      </c>
      <c r="U1089" s="6">
        <v>2299</v>
      </c>
      <c r="V1089" s="6">
        <v>46.07</v>
      </c>
      <c r="W1089" s="6">
        <v>0</v>
      </c>
      <c r="X1089" s="6">
        <v>582</v>
      </c>
      <c r="Y1089" s="6">
        <v>948</v>
      </c>
      <c r="Z1089" s="6">
        <v>642</v>
      </c>
      <c r="AA1089" s="6">
        <v>127</v>
      </c>
      <c r="AB1089" s="6">
        <v>0</v>
      </c>
      <c r="AC1089" s="7">
        <v>160</v>
      </c>
      <c r="AD1089" s="7" t="s">
        <v>52</v>
      </c>
      <c r="AE1089" s="7">
        <v>19.57</v>
      </c>
      <c r="AF1089" s="7">
        <v>147</v>
      </c>
      <c r="AG1089" s="7">
        <v>24.92</v>
      </c>
      <c r="AH1089" s="7">
        <v>46.46</v>
      </c>
      <c r="AI1089" s="7">
        <v>50.99</v>
      </c>
      <c r="AJ1089" s="9">
        <v>209.68763861045301</v>
      </c>
      <c r="AK1089" s="9">
        <v>214.93689926720501</v>
      </c>
      <c r="AL1089" s="9">
        <v>287.543875365313</v>
      </c>
      <c r="AM1089" s="9">
        <v>104.85208205481</v>
      </c>
      <c r="AN1089" s="9">
        <v>0.65532551284256102</v>
      </c>
      <c r="AO1089" s="9">
        <v>0.18955058613907699</v>
      </c>
      <c r="AP1089" s="9">
        <v>1062.2886062307</v>
      </c>
      <c r="AQ1089" s="9">
        <v>6.6393037889418496</v>
      </c>
      <c r="AR1089" s="9">
        <v>2.3135751179547701</v>
      </c>
      <c r="AS1089" s="8" t="s">
        <v>169</v>
      </c>
      <c r="AT1089" s="8" t="s">
        <v>169</v>
      </c>
      <c r="AU1089" s="10" t="s">
        <v>169</v>
      </c>
      <c r="AV1089" s="10">
        <v>0</v>
      </c>
      <c r="AX1089" s="10" t="s">
        <v>169</v>
      </c>
      <c r="BF1089" s="12">
        <v>0.38</v>
      </c>
      <c r="BG1089" s="13">
        <v>190.306121512609</v>
      </c>
      <c r="BH1089" s="96" t="str">
        <f>+VLOOKUP(G1089,Liste!$A$7:$G$50,3,FALSE)</f>
        <v>Sapin pectiné</v>
      </c>
      <c r="BI1089" s="96" t="str">
        <f>+VLOOKUP(H1089,Liste!$B$7:$G$50,5,FALSE)</f>
        <v>GSM Alpes du Sud</v>
      </c>
      <c r="BJ1089" s="135">
        <f t="shared" si="320"/>
        <v>160</v>
      </c>
      <c r="BK1089" s="135" t="str">
        <f t="shared" si="322"/>
        <v>Sapin pectiné_F2_SP2_4_GSM Alpes du Sud_160_</v>
      </c>
      <c r="BL1089" s="322"/>
      <c r="BM1089" s="13">
        <v>50.783760016587003</v>
      </c>
      <c r="BN1089" s="13">
        <v>241.08988152919599</v>
      </c>
      <c r="BO1089" s="13" t="s">
        <v>169</v>
      </c>
      <c r="BP1089" s="13">
        <v>228.371756193122</v>
      </c>
      <c r="BQ1089" s="13">
        <v>1.8411031125074</v>
      </c>
      <c r="BT1089" s="298" t="str">
        <f>+VLOOKUP(G1089,Liste!$A$7:$H$50,8,FALSE)</f>
        <v>Résineux</v>
      </c>
      <c r="BU1089" s="298">
        <f t="shared" si="323"/>
        <v>0</v>
      </c>
      <c r="BV1089" s="300">
        <f t="shared" si="324"/>
        <v>1</v>
      </c>
      <c r="BW1089" s="321">
        <v>0</v>
      </c>
      <c r="BX1089" s="298">
        <f t="shared" si="325"/>
        <v>0.43</v>
      </c>
      <c r="BY1089">
        <f t="shared" si="326"/>
        <v>0</v>
      </c>
      <c r="BZ1089" s="304">
        <f t="shared" si="327"/>
        <v>0</v>
      </c>
      <c r="CB1089" s="299">
        <v>0.6</v>
      </c>
      <c r="CC1089" s="299">
        <v>0.4</v>
      </c>
      <c r="CD1089">
        <f t="shared" si="328"/>
        <v>0</v>
      </c>
      <c r="CE1089">
        <f t="shared" si="329"/>
        <v>0</v>
      </c>
      <c r="CF1089">
        <f t="shared" si="330"/>
        <v>0</v>
      </c>
      <c r="CG1089">
        <f t="shared" si="331"/>
        <v>0</v>
      </c>
      <c r="CH1089">
        <f t="shared" si="332"/>
        <v>0</v>
      </c>
      <c r="CI1089">
        <f t="shared" si="333"/>
        <v>0</v>
      </c>
      <c r="CJ1089">
        <f t="shared" si="334"/>
        <v>0</v>
      </c>
      <c r="CK1089">
        <f t="shared" si="335"/>
        <v>0</v>
      </c>
      <c r="CL1089">
        <f t="shared" si="336"/>
        <v>0</v>
      </c>
      <c r="CM1089">
        <f t="shared" si="338"/>
        <v>0</v>
      </c>
      <c r="CN1089">
        <f t="shared" si="337"/>
        <v>0</v>
      </c>
      <c r="CO1089">
        <f t="shared" si="321"/>
        <v>0</v>
      </c>
    </row>
    <row r="1090" spans="1:93" x14ac:dyDescent="0.25">
      <c r="A1090" s="4">
        <v>2021</v>
      </c>
      <c r="B1090" s="318">
        <v>44279</v>
      </c>
      <c r="C1090" s="4" t="s">
        <v>1494</v>
      </c>
      <c r="D1090" s="4" t="s">
        <v>1495</v>
      </c>
      <c r="F1090" s="4" t="s">
        <v>1496</v>
      </c>
      <c r="G1090" s="5" t="s">
        <v>432</v>
      </c>
      <c r="H1090" s="5" t="s">
        <v>1498</v>
      </c>
      <c r="I1090" s="5" t="s">
        <v>228</v>
      </c>
      <c r="J1090" s="5" t="s">
        <v>10</v>
      </c>
      <c r="K1090" s="5">
        <v>14</v>
      </c>
      <c r="L1090" s="5" t="s">
        <v>192</v>
      </c>
      <c r="M1090" s="5">
        <v>3000</v>
      </c>
      <c r="N1090" s="5" t="s">
        <v>170</v>
      </c>
      <c r="O1090" s="6" t="s">
        <v>1499</v>
      </c>
      <c r="P1090" s="6" t="s">
        <v>1500</v>
      </c>
      <c r="S1090" s="6">
        <v>70</v>
      </c>
      <c r="T1090" s="6">
        <v>16.989999999999998</v>
      </c>
      <c r="U1090" s="6">
        <v>2299</v>
      </c>
      <c r="V1090" s="6">
        <v>46.07</v>
      </c>
      <c r="W1090" s="6">
        <v>0</v>
      </c>
      <c r="X1090" s="6">
        <v>582</v>
      </c>
      <c r="Y1090" s="6">
        <v>948</v>
      </c>
      <c r="Z1090" s="6">
        <v>642</v>
      </c>
      <c r="AA1090" s="6">
        <v>127</v>
      </c>
      <c r="AB1090" s="6">
        <v>0</v>
      </c>
      <c r="AC1090" s="7">
        <v>160</v>
      </c>
      <c r="AD1090" s="7" t="s">
        <v>53</v>
      </c>
      <c r="AE1090" s="7">
        <v>18.010000000000002</v>
      </c>
      <c r="AF1090" s="7">
        <v>76</v>
      </c>
      <c r="AG1090" s="7">
        <v>13.2</v>
      </c>
      <c r="AH1090" s="7">
        <v>47.03</v>
      </c>
      <c r="AI1090" s="7">
        <v>47.03</v>
      </c>
      <c r="AJ1090" s="9">
        <v>112.121715440161</v>
      </c>
      <c r="AK1090" s="9">
        <v>114.897172205381</v>
      </c>
      <c r="AL1090" s="9">
        <v>153.26012035786599</v>
      </c>
      <c r="AM1090" s="9">
        <v>104.85208205481</v>
      </c>
      <c r="AN1090" s="9">
        <v>0.65532551284256102</v>
      </c>
      <c r="AO1090" s="9">
        <v>0.18955058613907699</v>
      </c>
      <c r="AP1090" s="9">
        <v>1062.2886062307</v>
      </c>
      <c r="AQ1090" s="9">
        <v>6.6393037889418496</v>
      </c>
      <c r="AR1090" s="9">
        <v>2.3135751179547701</v>
      </c>
      <c r="AS1090" s="8">
        <v>71</v>
      </c>
      <c r="AT1090" s="8">
        <v>11.720000000000002</v>
      </c>
      <c r="AU1090" s="10">
        <v>45.844758657667008</v>
      </c>
      <c r="AV1090" s="10">
        <v>97.56592317029201</v>
      </c>
      <c r="AW1090" s="8">
        <v>0.97</v>
      </c>
      <c r="AX1090" s="10">
        <v>1.3741679319759439</v>
      </c>
      <c r="BF1090" s="12">
        <v>0.38</v>
      </c>
      <c r="BG1090" s="13">
        <v>101.432656323514</v>
      </c>
      <c r="BH1090" s="96" t="str">
        <f>+VLOOKUP(G1090,Liste!$A$7:$G$50,3,FALSE)</f>
        <v>Sapin pectiné</v>
      </c>
      <c r="BI1090" s="96" t="str">
        <f>+VLOOKUP(H1090,Liste!$B$7:$G$50,5,FALSE)</f>
        <v>GSM Alpes du Sud</v>
      </c>
      <c r="BJ1090" s="135">
        <f t="shared" si="320"/>
        <v>160</v>
      </c>
      <c r="BK1090" s="135" t="str">
        <f t="shared" si="322"/>
        <v>Sapin pectiné_F2_SP2_4_GSM Alpes du Sud_160_</v>
      </c>
      <c r="BL1090" s="322"/>
      <c r="BM1090" s="13">
        <v>29.124541606632601</v>
      </c>
      <c r="BN1090" s="13">
        <v>130.557197930147</v>
      </c>
      <c r="BO1090" s="13">
        <v>110.53268359904899</v>
      </c>
      <c r="BP1090" s="13">
        <v>228.371756193122</v>
      </c>
      <c r="BQ1090" s="13">
        <v>1.8411031125074</v>
      </c>
      <c r="BT1090" s="298" t="str">
        <f>+VLOOKUP(G1090,Liste!$A$7:$H$50,8,FALSE)</f>
        <v>Résineux</v>
      </c>
      <c r="BU1090" s="298">
        <f t="shared" si="323"/>
        <v>0</v>
      </c>
      <c r="BV1090" s="300">
        <f t="shared" si="324"/>
        <v>1</v>
      </c>
      <c r="BW1090" s="321">
        <v>0</v>
      </c>
      <c r="BX1090" s="298">
        <f t="shared" si="325"/>
        <v>0.43</v>
      </c>
      <c r="BY1090">
        <f t="shared" si="326"/>
        <v>0</v>
      </c>
      <c r="BZ1090" s="304">
        <f t="shared" si="327"/>
        <v>0</v>
      </c>
      <c r="CB1090" s="299">
        <v>0.6</v>
      </c>
      <c r="CC1090" s="299">
        <v>0.4</v>
      </c>
      <c r="CD1090">
        <f t="shared" si="328"/>
        <v>0</v>
      </c>
      <c r="CE1090">
        <f t="shared" si="329"/>
        <v>0</v>
      </c>
      <c r="CF1090">
        <f t="shared" si="330"/>
        <v>0</v>
      </c>
      <c r="CG1090">
        <f t="shared" si="331"/>
        <v>0</v>
      </c>
      <c r="CH1090">
        <f t="shared" si="332"/>
        <v>0</v>
      </c>
      <c r="CI1090">
        <f t="shared" si="333"/>
        <v>0</v>
      </c>
      <c r="CJ1090">
        <f t="shared" si="334"/>
        <v>0</v>
      </c>
      <c r="CK1090">
        <f t="shared" si="335"/>
        <v>0</v>
      </c>
      <c r="CL1090">
        <f t="shared" si="336"/>
        <v>0</v>
      </c>
      <c r="CM1090">
        <f t="shared" si="338"/>
        <v>0</v>
      </c>
      <c r="CN1090">
        <f t="shared" si="337"/>
        <v>0</v>
      </c>
      <c r="CO1090">
        <f t="shared" si="321"/>
        <v>0</v>
      </c>
    </row>
    <row r="1091" spans="1:93" x14ac:dyDescent="0.25">
      <c r="A1091" s="4">
        <v>2021</v>
      </c>
      <c r="B1091" s="318">
        <v>44279</v>
      </c>
      <c r="C1091" s="4" t="s">
        <v>1494</v>
      </c>
      <c r="D1091" s="4" t="s">
        <v>1495</v>
      </c>
      <c r="F1091" s="4" t="s">
        <v>1496</v>
      </c>
      <c r="G1091" s="5" t="s">
        <v>432</v>
      </c>
      <c r="H1091" s="5" t="s">
        <v>1498</v>
      </c>
      <c r="I1091" s="5" t="s">
        <v>228</v>
      </c>
      <c r="J1091" s="5" t="s">
        <v>10</v>
      </c>
      <c r="K1091" s="5">
        <v>14</v>
      </c>
      <c r="L1091" s="5" t="s">
        <v>192</v>
      </c>
      <c r="M1091" s="5">
        <v>3000</v>
      </c>
      <c r="N1091" s="5" t="s">
        <v>170</v>
      </c>
      <c r="O1091" s="6" t="s">
        <v>1499</v>
      </c>
      <c r="P1091" s="6" t="s">
        <v>1500</v>
      </c>
      <c r="S1091" s="6">
        <v>70</v>
      </c>
      <c r="T1091" s="6">
        <v>16.989999999999998</v>
      </c>
      <c r="U1091" s="6">
        <v>2299</v>
      </c>
      <c r="V1091" s="6">
        <v>46.07</v>
      </c>
      <c r="W1091" s="6">
        <v>0</v>
      </c>
      <c r="X1091" s="6">
        <v>582</v>
      </c>
      <c r="Y1091" s="6">
        <v>948</v>
      </c>
      <c r="Z1091" s="6">
        <v>642</v>
      </c>
      <c r="AA1091" s="6">
        <v>127</v>
      </c>
      <c r="AB1091" s="6">
        <v>0</v>
      </c>
      <c r="AC1091" s="7">
        <v>165</v>
      </c>
      <c r="AD1091" s="7" t="s">
        <v>52</v>
      </c>
      <c r="AE1091" s="7">
        <v>18.059999999999999</v>
      </c>
      <c r="AF1091" s="7">
        <v>76</v>
      </c>
      <c r="AG1091" s="7">
        <v>14.15</v>
      </c>
      <c r="AH1091" s="7">
        <v>48.69</v>
      </c>
      <c r="AI1091" s="7">
        <v>48.69</v>
      </c>
      <c r="AJ1091" s="9">
        <v>119.85247687106001</v>
      </c>
      <c r="AK1091" s="9">
        <v>122.977287338823</v>
      </c>
      <c r="AL1091" s="9">
        <v>164.82799594764001</v>
      </c>
      <c r="AM1091" s="9">
        <v>105.799834985505</v>
      </c>
      <c r="AN1091" s="9">
        <v>0.64121112112427403</v>
      </c>
      <c r="AO1091" s="9">
        <v>0.18595396677633599</v>
      </c>
      <c r="AP1091" s="9">
        <v>1073.85648182047</v>
      </c>
      <c r="AQ1091" s="9">
        <v>6.5082211019422402</v>
      </c>
      <c r="AR1091" s="9">
        <v>2.2867740122153499</v>
      </c>
      <c r="AS1091" s="8" t="s">
        <v>169</v>
      </c>
      <c r="AT1091" s="8" t="s">
        <v>169</v>
      </c>
      <c r="AU1091" s="10" t="s">
        <v>169</v>
      </c>
      <c r="AV1091" s="10">
        <v>0</v>
      </c>
      <c r="AX1091" s="10" t="s">
        <v>169</v>
      </c>
      <c r="BF1091" s="12">
        <v>0.38</v>
      </c>
      <c r="BG1091" s="13">
        <v>109.08866198467901</v>
      </c>
      <c r="BH1091" s="96" t="str">
        <f>+VLOOKUP(G1091,Liste!$A$7:$G$50,3,FALSE)</f>
        <v>Sapin pectiné</v>
      </c>
      <c r="BI1091" s="96" t="str">
        <f>+VLOOKUP(H1091,Liste!$B$7:$G$50,5,FALSE)</f>
        <v>GSM Alpes du Sud</v>
      </c>
      <c r="BJ1091" s="135">
        <f t="shared" ref="BJ1091:BJ1154" si="340">+AC1091</f>
        <v>165</v>
      </c>
      <c r="BK1091" s="135" t="str">
        <f t="shared" si="322"/>
        <v>Sapin pectiné_F2_SP2_4_GSM Alpes du Sud_165_</v>
      </c>
      <c r="BL1091" s="322"/>
      <c r="BM1091" s="13">
        <v>31.0586420366837</v>
      </c>
      <c r="BN1091" s="13">
        <v>140.147304021363</v>
      </c>
      <c r="BO1091" s="13" t="s">
        <v>169</v>
      </c>
      <c r="BP1091" s="13">
        <v>228.371756193122</v>
      </c>
      <c r="BQ1091" s="13">
        <v>1.81939361173393</v>
      </c>
      <c r="BT1091" s="298" t="str">
        <f>+VLOOKUP(G1091,Liste!$A$7:$H$50,8,FALSE)</f>
        <v>Résineux</v>
      </c>
      <c r="BU1091" s="298">
        <f t="shared" si="323"/>
        <v>0</v>
      </c>
      <c r="BV1091" s="300">
        <f t="shared" si="324"/>
        <v>1</v>
      </c>
      <c r="BW1091" s="321">
        <v>0</v>
      </c>
      <c r="BX1091" s="298">
        <f t="shared" si="325"/>
        <v>0.43</v>
      </c>
      <c r="BY1091">
        <f t="shared" si="326"/>
        <v>0</v>
      </c>
      <c r="BZ1091" s="304">
        <f t="shared" si="327"/>
        <v>0</v>
      </c>
      <c r="CB1091" s="299">
        <v>0.6</v>
      </c>
      <c r="CC1091" s="299">
        <v>0.4</v>
      </c>
      <c r="CD1091">
        <f t="shared" si="328"/>
        <v>0</v>
      </c>
      <c r="CE1091">
        <f t="shared" si="329"/>
        <v>0</v>
      </c>
      <c r="CF1091">
        <f t="shared" si="330"/>
        <v>0</v>
      </c>
      <c r="CG1091">
        <f t="shared" si="331"/>
        <v>0</v>
      </c>
      <c r="CH1091">
        <f t="shared" si="332"/>
        <v>0</v>
      </c>
      <c r="CI1091">
        <f t="shared" si="333"/>
        <v>0</v>
      </c>
      <c r="CJ1091">
        <f t="shared" si="334"/>
        <v>0</v>
      </c>
      <c r="CK1091">
        <f t="shared" si="335"/>
        <v>0</v>
      </c>
      <c r="CL1091">
        <f t="shared" si="336"/>
        <v>0</v>
      </c>
      <c r="CM1091">
        <f t="shared" si="338"/>
        <v>0</v>
      </c>
      <c r="CN1091">
        <f t="shared" si="337"/>
        <v>0</v>
      </c>
      <c r="CO1091">
        <f t="shared" ref="CO1091:CO1154" si="341">+IF(BJ1091=30,CN1091/30,0)</f>
        <v>0</v>
      </c>
    </row>
    <row r="1092" spans="1:93" x14ac:dyDescent="0.25">
      <c r="A1092" s="4">
        <v>2021</v>
      </c>
      <c r="B1092" s="318">
        <v>44279</v>
      </c>
      <c r="C1092" s="4" t="s">
        <v>1494</v>
      </c>
      <c r="D1092" s="4" t="s">
        <v>1495</v>
      </c>
      <c r="F1092" s="4" t="s">
        <v>1496</v>
      </c>
      <c r="G1092" s="5" t="s">
        <v>432</v>
      </c>
      <c r="H1092" s="5" t="s">
        <v>1498</v>
      </c>
      <c r="I1092" s="5" t="s">
        <v>228</v>
      </c>
      <c r="J1092" s="5" t="s">
        <v>10</v>
      </c>
      <c r="K1092" s="5">
        <v>14</v>
      </c>
      <c r="L1092" s="5" t="s">
        <v>192</v>
      </c>
      <c r="M1092" s="5">
        <v>3000</v>
      </c>
      <c r="N1092" s="5" t="s">
        <v>170</v>
      </c>
      <c r="O1092" s="6" t="s">
        <v>1499</v>
      </c>
      <c r="P1092" s="6" t="s">
        <v>1500</v>
      </c>
      <c r="S1092" s="6">
        <v>70</v>
      </c>
      <c r="T1092" s="6">
        <v>16.989999999999998</v>
      </c>
      <c r="U1092" s="6">
        <v>2299</v>
      </c>
      <c r="V1092" s="6">
        <v>46.07</v>
      </c>
      <c r="W1092" s="6">
        <v>0</v>
      </c>
      <c r="X1092" s="6">
        <v>582</v>
      </c>
      <c r="Y1092" s="6">
        <v>948</v>
      </c>
      <c r="Z1092" s="6">
        <v>642</v>
      </c>
      <c r="AA1092" s="6">
        <v>127</v>
      </c>
      <c r="AB1092" s="6">
        <v>0</v>
      </c>
      <c r="AC1092" s="7">
        <v>170</v>
      </c>
      <c r="AD1092" s="7" t="s">
        <v>52</v>
      </c>
      <c r="AE1092" s="7">
        <v>18.079999999999998</v>
      </c>
      <c r="AF1092" s="7">
        <v>75</v>
      </c>
      <c r="AG1092" s="7">
        <v>14.85</v>
      </c>
      <c r="AH1092" s="7">
        <v>50.21</v>
      </c>
      <c r="AI1092" s="7">
        <v>50.21</v>
      </c>
      <c r="AJ1092" s="9">
        <v>125.338355659881</v>
      </c>
      <c r="AK1092" s="9">
        <v>128.76831676637201</v>
      </c>
      <c r="AL1092" s="9">
        <v>173.43326622559999</v>
      </c>
      <c r="AM1092" s="9">
        <v>106.72960481938701</v>
      </c>
      <c r="AN1092" s="9">
        <v>0.62782120481992298</v>
      </c>
      <c r="AP1092" s="9">
        <v>1085.2903518815499</v>
      </c>
      <c r="AQ1092" s="9">
        <v>6.3840608934208598</v>
      </c>
      <c r="AS1092" s="8" t="s">
        <v>169</v>
      </c>
      <c r="AT1092" s="8" t="s">
        <v>169</v>
      </c>
      <c r="AU1092" s="10" t="s">
        <v>169</v>
      </c>
      <c r="AV1092" s="10">
        <v>0</v>
      </c>
      <c r="AX1092" s="10" t="s">
        <v>169</v>
      </c>
      <c r="BF1092" s="12">
        <v>0.38</v>
      </c>
      <c r="BG1092" s="13">
        <v>114.78391669697599</v>
      </c>
      <c r="BH1092" s="96" t="str">
        <f>+VLOOKUP(G1092,Liste!$A$7:$G$50,3,FALSE)</f>
        <v>Sapin pectiné</v>
      </c>
      <c r="BI1092" s="96" t="str">
        <f>+VLOOKUP(H1092,Liste!$B$7:$G$50,5,FALSE)</f>
        <v>GSM Alpes du Sud</v>
      </c>
      <c r="BJ1092" s="135">
        <f t="shared" si="340"/>
        <v>170</v>
      </c>
      <c r="BK1092" s="135" t="str">
        <f t="shared" ref="BK1092:BK1155" si="342">+_xlfn.CONCAT(BH1092,"_",J1092,"_",I1092,"_",BI1092,"_",BJ1092,"_")</f>
        <v>Sapin pectiné_F2_SP2_4_GSM Alpes du Sud_170_</v>
      </c>
      <c r="BL1092" s="322"/>
      <c r="BM1092" s="13">
        <v>32.487125213118297</v>
      </c>
      <c r="BN1092" s="13">
        <v>147.271041910094</v>
      </c>
      <c r="BO1092" s="13" t="s">
        <v>169</v>
      </c>
      <c r="BP1092" s="13">
        <v>228.371756193122</v>
      </c>
      <c r="BQ1092" s="13"/>
      <c r="BT1092" s="298" t="str">
        <f>+VLOOKUP(G1092,Liste!$A$7:$H$50,8,FALSE)</f>
        <v>Résineux</v>
      </c>
      <c r="BU1092" s="298">
        <f t="shared" ref="BU1092:BU1155" si="343">IF(BT1092="Résineux",0%,100%)</f>
        <v>0</v>
      </c>
      <c r="BV1092" s="300">
        <f t="shared" ref="BV1092:BV1155" si="344">+IF(BT1092="Résineux",100%,0%)</f>
        <v>1</v>
      </c>
      <c r="BW1092" s="321">
        <v>0</v>
      </c>
      <c r="BX1092" s="298">
        <f t="shared" ref="BX1092:BX1155" si="345">+IF(BV1092&lt;&gt;0,0.43,0.25)</f>
        <v>0.43</v>
      </c>
      <c r="BY1092">
        <f t="shared" ref="BY1092:BY1155" si="346">+IF(BJ1092&lt;=30,AV1092*BX1092,0)</f>
        <v>0</v>
      </c>
      <c r="BZ1092" s="304">
        <f t="shared" ref="BZ1092:BZ1155" si="347">+IF(BJ1092&gt;=31,0,BY1092+BZ1091)</f>
        <v>0</v>
      </c>
      <c r="CB1092" s="299">
        <v>0.6</v>
      </c>
      <c r="CC1092" s="299">
        <v>0.4</v>
      </c>
      <c r="CD1092">
        <f t="shared" ref="CD1092:CD1155" si="348">+IF(BJ1092&lt;=31,AV1092*CA1092*0.5,0)</f>
        <v>0</v>
      </c>
      <c r="CE1092">
        <f t="shared" ref="CE1092:CE1155" si="349">IF(BJ1092&lt;=31,AV1092*CB1092,0)</f>
        <v>0</v>
      </c>
      <c r="CF1092">
        <f t="shared" ref="CF1092:CF1155" si="350">IF(BJ1092&lt;=31,AV1092*CC1092,0)</f>
        <v>0</v>
      </c>
      <c r="CG1092">
        <f t="shared" ref="CG1092:CG1155" si="351">CD1092*44/12*0.475*BF1092</f>
        <v>0</v>
      </c>
      <c r="CH1092">
        <f t="shared" ref="CH1092:CH1155" si="352">CE1092*44/12*0.475*BF1092</f>
        <v>0</v>
      </c>
      <c r="CI1092">
        <f t="shared" ref="CI1092:CI1155" si="353">CF1092*44/12*0.475*BF1092</f>
        <v>0</v>
      </c>
      <c r="CJ1092">
        <f t="shared" ref="CJ1092:CJ1155" si="354">+IF(BJ1092&lt;=31,CJ1091*EXP(-$CJ$1)+CG1091*(1-EXP(-$CJ$1))/$CJ$1,0)</f>
        <v>0</v>
      </c>
      <c r="CK1092">
        <f t="shared" ref="CK1092:CK1155" si="355">+IF(BJ1092&lt;=31,CK1091*EXP(-$CK$1)+CH1091*(1-EXP(-$CK$1))/$CK$1,0)</f>
        <v>0</v>
      </c>
      <c r="CL1092">
        <f t="shared" ref="CL1092:CL1155" si="356">+IF(BJ1092&lt;=31,CL1091*EXP(-$CL$1)+CI1091*(1-EXP(-$CL$1))/$CL$1,0)</f>
        <v>0</v>
      </c>
      <c r="CM1092">
        <f t="shared" si="338"/>
        <v>0</v>
      </c>
      <c r="CN1092">
        <f t="shared" ref="CN1092:CN1155" si="357">+IF(BJ1092&lt;=31,CM1092+CN1091,0)</f>
        <v>0</v>
      </c>
      <c r="CO1092">
        <f t="shared" si="341"/>
        <v>0</v>
      </c>
    </row>
    <row r="1093" spans="1:93" x14ac:dyDescent="0.25">
      <c r="A1093" s="4">
        <v>2021</v>
      </c>
      <c r="B1093" s="318">
        <v>44279</v>
      </c>
      <c r="C1093" s="4" t="s">
        <v>1494</v>
      </c>
      <c r="D1093" s="4" t="s">
        <v>1495</v>
      </c>
      <c r="F1093" s="4" t="s">
        <v>1496</v>
      </c>
      <c r="G1093" s="5" t="s">
        <v>432</v>
      </c>
      <c r="H1093" s="5" t="s">
        <v>1498</v>
      </c>
      <c r="I1093" s="5" t="s">
        <v>228</v>
      </c>
      <c r="J1093" s="5" t="s">
        <v>10</v>
      </c>
      <c r="K1093" s="5">
        <v>14</v>
      </c>
      <c r="L1093" s="5" t="s">
        <v>192</v>
      </c>
      <c r="M1093" s="5">
        <v>3000</v>
      </c>
      <c r="N1093" s="5" t="s">
        <v>170</v>
      </c>
      <c r="O1093" s="6" t="s">
        <v>1499</v>
      </c>
      <c r="P1093" s="6" t="s">
        <v>1500</v>
      </c>
      <c r="S1093" s="6">
        <v>70</v>
      </c>
      <c r="T1093" s="6">
        <v>16.989999999999998</v>
      </c>
      <c r="U1093" s="6">
        <v>2299</v>
      </c>
      <c r="V1093" s="6">
        <v>46.07</v>
      </c>
      <c r="W1093" s="6">
        <v>0</v>
      </c>
      <c r="X1093" s="6">
        <v>582</v>
      </c>
      <c r="Y1093" s="6">
        <v>948</v>
      </c>
      <c r="Z1093" s="6">
        <v>642</v>
      </c>
      <c r="AA1093" s="6">
        <v>127</v>
      </c>
      <c r="AB1093" s="6">
        <v>0</v>
      </c>
      <c r="AC1093" s="7">
        <v>170</v>
      </c>
      <c r="AD1093" s="7" t="s">
        <v>53</v>
      </c>
      <c r="AE1093" s="7">
        <v>18.079999999999998</v>
      </c>
      <c r="AF1093" s="7">
        <v>0</v>
      </c>
      <c r="AG1093" s="7">
        <v>0</v>
      </c>
      <c r="AH1093" s="7">
        <v>0</v>
      </c>
      <c r="AI1093" s="7">
        <v>0</v>
      </c>
      <c r="AJ1093" s="9">
        <v>0</v>
      </c>
      <c r="AK1093" s="9">
        <v>0</v>
      </c>
      <c r="AL1093" s="9">
        <v>0</v>
      </c>
      <c r="AM1093" s="9">
        <v>106.72960481938701</v>
      </c>
      <c r="AN1093" s="9">
        <v>0.62782120481992298</v>
      </c>
      <c r="AP1093" s="9">
        <v>1085.2903518815499</v>
      </c>
      <c r="AQ1093" s="9">
        <v>6.3840608934208598</v>
      </c>
      <c r="AS1093" s="8">
        <v>75</v>
      </c>
      <c r="AT1093" s="8">
        <v>14.85</v>
      </c>
      <c r="AU1093" s="10">
        <v>50.209703231304033</v>
      </c>
      <c r="AV1093" s="10">
        <v>125.338355659881</v>
      </c>
      <c r="AW1093" s="8">
        <v>1</v>
      </c>
      <c r="AX1093" s="10">
        <v>1.67117807546508</v>
      </c>
      <c r="BF1093" s="12">
        <v>0.38</v>
      </c>
      <c r="BG1093" s="13">
        <v>0</v>
      </c>
      <c r="BH1093" s="96" t="str">
        <f>+VLOOKUP(G1093,Liste!$A$7:$G$50,3,FALSE)</f>
        <v>Sapin pectiné</v>
      </c>
      <c r="BI1093" s="96" t="str">
        <f>+VLOOKUP(H1093,Liste!$B$7:$G$50,5,FALSE)</f>
        <v>GSM Alpes du Sud</v>
      </c>
      <c r="BJ1093" s="135">
        <f t="shared" si="340"/>
        <v>170</v>
      </c>
      <c r="BK1093" s="135" t="str">
        <f t="shared" si="342"/>
        <v>Sapin pectiné_F2_SP2_4_GSM Alpes du Sud_170_</v>
      </c>
      <c r="BL1093" s="322"/>
      <c r="BM1093" s="13">
        <v>0</v>
      </c>
      <c r="BN1093" s="13">
        <v>0</v>
      </c>
      <c r="BO1093" s="13">
        <v>147.271041910094</v>
      </c>
      <c r="BP1093" s="13">
        <v>228.371756193122</v>
      </c>
      <c r="BQ1093" s="13"/>
      <c r="BT1093" s="298" t="str">
        <f>+VLOOKUP(G1093,Liste!$A$7:$H$50,8,FALSE)</f>
        <v>Résineux</v>
      </c>
      <c r="BU1093" s="298">
        <f t="shared" si="343"/>
        <v>0</v>
      </c>
      <c r="BV1093" s="300">
        <f t="shared" si="344"/>
        <v>1</v>
      </c>
      <c r="BW1093" s="321">
        <v>0</v>
      </c>
      <c r="BX1093" s="298">
        <f t="shared" si="345"/>
        <v>0.43</v>
      </c>
      <c r="BY1093">
        <f t="shared" si="346"/>
        <v>0</v>
      </c>
      <c r="BZ1093" s="304">
        <f t="shared" si="347"/>
        <v>0</v>
      </c>
      <c r="CB1093" s="299">
        <v>0.6</v>
      </c>
      <c r="CC1093" s="299">
        <v>0.4</v>
      </c>
      <c r="CD1093">
        <f t="shared" si="348"/>
        <v>0</v>
      </c>
      <c r="CE1093">
        <f t="shared" si="349"/>
        <v>0</v>
      </c>
      <c r="CF1093">
        <f t="shared" si="350"/>
        <v>0</v>
      </c>
      <c r="CG1093">
        <f t="shared" si="351"/>
        <v>0</v>
      </c>
      <c r="CH1093">
        <f t="shared" si="352"/>
        <v>0</v>
      </c>
      <c r="CI1093">
        <f t="shared" si="353"/>
        <v>0</v>
      </c>
      <c r="CJ1093">
        <f t="shared" si="354"/>
        <v>0</v>
      </c>
      <c r="CK1093">
        <f t="shared" si="355"/>
        <v>0</v>
      </c>
      <c r="CL1093">
        <f t="shared" si="356"/>
        <v>0</v>
      </c>
      <c r="CM1093">
        <f t="shared" ref="CM1093:CM1156" si="358">+CJ1093+CK1093+CL1093</f>
        <v>0</v>
      </c>
      <c r="CN1093">
        <f t="shared" si="357"/>
        <v>0</v>
      </c>
      <c r="CO1093">
        <f t="shared" si="341"/>
        <v>0</v>
      </c>
    </row>
    <row r="1094" spans="1:93" x14ac:dyDescent="0.25">
      <c r="A1094" s="4">
        <v>2021</v>
      </c>
      <c r="B1094" s="318">
        <v>44279</v>
      </c>
      <c r="C1094" s="4" t="s">
        <v>1494</v>
      </c>
      <c r="D1094" s="4" t="s">
        <v>1495</v>
      </c>
      <c r="F1094" s="4" t="s">
        <v>1496</v>
      </c>
      <c r="G1094" s="5" t="s">
        <v>432</v>
      </c>
      <c r="H1094" s="5" t="s">
        <v>1498</v>
      </c>
      <c r="I1094" s="5" t="s">
        <v>226</v>
      </c>
      <c r="J1094" s="5" t="s">
        <v>9</v>
      </c>
      <c r="K1094" s="5">
        <v>20.399999999999999</v>
      </c>
      <c r="L1094" s="5" t="s">
        <v>190</v>
      </c>
      <c r="M1094" s="5">
        <v>1600</v>
      </c>
      <c r="N1094" s="5" t="s">
        <v>170</v>
      </c>
      <c r="O1094" s="6" t="s">
        <v>1499</v>
      </c>
      <c r="P1094" s="6" t="s">
        <v>1500</v>
      </c>
      <c r="S1094" s="6">
        <v>40</v>
      </c>
      <c r="T1094" s="6">
        <v>16.829999999999998</v>
      </c>
      <c r="U1094" s="6">
        <v>1499</v>
      </c>
      <c r="V1094" s="6">
        <v>24.88</v>
      </c>
      <c r="W1094" s="6">
        <v>27</v>
      </c>
      <c r="X1094" s="6">
        <v>516</v>
      </c>
      <c r="Y1094" s="6">
        <v>633</v>
      </c>
      <c r="Z1094" s="6">
        <v>307</v>
      </c>
      <c r="AA1094" s="6">
        <v>15</v>
      </c>
      <c r="AB1094" s="6">
        <v>0</v>
      </c>
      <c r="AC1094" s="7">
        <v>30</v>
      </c>
      <c r="AD1094" s="7" t="s">
        <v>52</v>
      </c>
      <c r="AJ1094" s="9">
        <v>121.844426798529</v>
      </c>
      <c r="AK1094" s="9">
        <v>122.14714972371701</v>
      </c>
      <c r="AL1094" s="9">
        <v>165.05746474915199</v>
      </c>
      <c r="AU1094" s="10"/>
      <c r="AV1094" s="10">
        <v>0</v>
      </c>
      <c r="AX1094" s="10"/>
      <c r="BF1094" s="12">
        <v>0.38</v>
      </c>
      <c r="BG1094" s="13">
        <v>109.240532086481</v>
      </c>
      <c r="BH1094" s="96" t="str">
        <f>+VLOOKUP(G1094,Liste!$A$7:$G$50,3,FALSE)</f>
        <v>Sapin pectiné</v>
      </c>
      <c r="BI1094" s="96" t="str">
        <f>+VLOOKUP(H1094,Liste!$B$7:$G$50,5,FALSE)</f>
        <v>GSM Alpes du Sud</v>
      </c>
      <c r="BJ1094" s="135">
        <f t="shared" si="340"/>
        <v>30</v>
      </c>
      <c r="BK1094" s="135" t="str">
        <f t="shared" si="342"/>
        <v>Sapin pectiné_F1_SP1_d5_GSM Alpes du Sud_30_</v>
      </c>
      <c r="BL1094" s="322"/>
      <c r="BM1094" s="13">
        <v>31.0968448783015</v>
      </c>
      <c r="BN1094" s="13">
        <v>140.33737696478201</v>
      </c>
      <c r="BO1094" s="13"/>
      <c r="BP1094" s="13">
        <v>243.702592422522</v>
      </c>
      <c r="BQ1094" s="13"/>
      <c r="BT1094" s="298" t="str">
        <f>+VLOOKUP(G1094,Liste!$A$7:$H$50,8,FALSE)</f>
        <v>Résineux</v>
      </c>
      <c r="BU1094" s="298">
        <f t="shared" si="343"/>
        <v>0</v>
      </c>
      <c r="BV1094" s="300">
        <f t="shared" si="344"/>
        <v>1</v>
      </c>
      <c r="BW1094" s="321">
        <v>0</v>
      </c>
      <c r="BX1094" s="298">
        <f t="shared" si="345"/>
        <v>0.43</v>
      </c>
      <c r="BY1094">
        <f t="shared" si="346"/>
        <v>0</v>
      </c>
      <c r="BZ1094" s="304">
        <f t="shared" si="347"/>
        <v>0</v>
      </c>
      <c r="CB1094" s="299">
        <v>0.6</v>
      </c>
      <c r="CC1094" s="299">
        <v>0.4</v>
      </c>
      <c r="CD1094">
        <f t="shared" si="348"/>
        <v>0</v>
      </c>
      <c r="CE1094">
        <f t="shared" si="349"/>
        <v>0</v>
      </c>
      <c r="CF1094">
        <f t="shared" si="350"/>
        <v>0</v>
      </c>
      <c r="CG1094">
        <f t="shared" si="351"/>
        <v>0</v>
      </c>
      <c r="CH1094">
        <f t="shared" si="352"/>
        <v>0</v>
      </c>
      <c r="CI1094">
        <f t="shared" si="353"/>
        <v>0</v>
      </c>
      <c r="CJ1094">
        <f t="shared" si="354"/>
        <v>0</v>
      </c>
      <c r="CK1094">
        <f t="shared" si="355"/>
        <v>0</v>
      </c>
      <c r="CL1094">
        <f t="shared" si="356"/>
        <v>0</v>
      </c>
      <c r="CM1094">
        <f t="shared" si="358"/>
        <v>0</v>
      </c>
      <c r="CN1094">
        <f t="shared" si="357"/>
        <v>0</v>
      </c>
      <c r="CO1094">
        <f t="shared" si="341"/>
        <v>0</v>
      </c>
    </row>
    <row r="1095" spans="1:93" x14ac:dyDescent="0.25">
      <c r="A1095" s="4">
        <v>2021</v>
      </c>
      <c r="B1095" s="318">
        <v>44279</v>
      </c>
      <c r="C1095" s="4" t="s">
        <v>1494</v>
      </c>
      <c r="D1095" s="4" t="s">
        <v>1495</v>
      </c>
      <c r="F1095" s="4" t="s">
        <v>1496</v>
      </c>
      <c r="G1095" s="5" t="s">
        <v>432</v>
      </c>
      <c r="H1095" s="5" t="s">
        <v>1498</v>
      </c>
      <c r="I1095" s="5" t="s">
        <v>226</v>
      </c>
      <c r="J1095" s="5" t="s">
        <v>9</v>
      </c>
      <c r="K1095" s="5">
        <v>20.399999999999999</v>
      </c>
      <c r="L1095" s="5" t="s">
        <v>190</v>
      </c>
      <c r="M1095" s="5">
        <v>1600</v>
      </c>
      <c r="N1095" s="5" t="s">
        <v>170</v>
      </c>
      <c r="O1095" s="6" t="s">
        <v>1499</v>
      </c>
      <c r="P1095" s="6" t="s">
        <v>1500</v>
      </c>
      <c r="S1095" s="6">
        <v>40</v>
      </c>
      <c r="T1095" s="6">
        <v>16.829999999999998</v>
      </c>
      <c r="U1095" s="6">
        <v>1499</v>
      </c>
      <c r="V1095" s="6">
        <v>24.88</v>
      </c>
      <c r="W1095" s="6">
        <v>27</v>
      </c>
      <c r="X1095" s="6">
        <v>516</v>
      </c>
      <c r="Y1095" s="6">
        <v>633</v>
      </c>
      <c r="Z1095" s="6">
        <v>307</v>
      </c>
      <c r="AA1095" s="6">
        <v>15</v>
      </c>
      <c r="AB1095" s="6">
        <v>0</v>
      </c>
      <c r="AC1095" s="7">
        <v>40</v>
      </c>
      <c r="AD1095" s="7" t="s">
        <v>52</v>
      </c>
      <c r="AE1095" s="7">
        <v>16.829999999999998</v>
      </c>
      <c r="AF1095" s="7">
        <v>1498</v>
      </c>
      <c r="AG1095" s="7">
        <v>24.88</v>
      </c>
      <c r="AH1095" s="7">
        <v>14.54</v>
      </c>
      <c r="AI1095" s="7">
        <v>21.37</v>
      </c>
      <c r="AJ1095" s="9">
        <v>162.45923573137199</v>
      </c>
      <c r="AK1095" s="9">
        <v>162.86286629828999</v>
      </c>
      <c r="AL1095" s="9">
        <v>220.07661966553599</v>
      </c>
      <c r="AM1095" s="9">
        <v>24.884635928104501</v>
      </c>
      <c r="AN1095" s="9">
        <v>0.62211589820261204</v>
      </c>
      <c r="AO1095" s="9">
        <v>1.99421979194665</v>
      </c>
      <c r="AP1095" s="9">
        <v>220.07661966553599</v>
      </c>
      <c r="AQ1095" s="9">
        <v>5.5019154916384103</v>
      </c>
      <c r="AR1095" s="9">
        <v>23.399214776520498</v>
      </c>
      <c r="AS1095" s="8" t="s">
        <v>169</v>
      </c>
      <c r="AT1095" s="8" t="s">
        <v>169</v>
      </c>
      <c r="AU1095" s="8" t="s">
        <v>169</v>
      </c>
      <c r="AV1095" s="10">
        <v>0</v>
      </c>
      <c r="AX1095" s="8" t="s">
        <v>169</v>
      </c>
      <c r="BF1095" s="12">
        <v>0.38</v>
      </c>
      <c r="BG1095" s="13">
        <v>145.654042781974</v>
      </c>
      <c r="BH1095" s="96" t="str">
        <f>+VLOOKUP(G1095,Liste!$A$7:$G$50,3,FALSE)</f>
        <v>Sapin pectiné</v>
      </c>
      <c r="BI1095" s="96" t="str">
        <f>+VLOOKUP(H1095,Liste!$B$7:$G$50,5,FALSE)</f>
        <v>GSM Alpes du Sud</v>
      </c>
      <c r="BJ1095" s="135">
        <f t="shared" si="340"/>
        <v>40</v>
      </c>
      <c r="BK1095" s="135" t="str">
        <f t="shared" si="342"/>
        <v>Sapin pectiné_F1_SP1_d5_GSM Alpes du Sud_40_</v>
      </c>
      <c r="BL1095" s="322"/>
      <c r="BM1095" s="13">
        <v>40.097029024316598</v>
      </c>
      <c r="BN1095" s="13">
        <v>185.75107180629101</v>
      </c>
      <c r="BP1095" s="13">
        <v>243.702592422522</v>
      </c>
      <c r="BQ1095" s="13">
        <v>19.1549807361815</v>
      </c>
      <c r="BT1095" s="298" t="str">
        <f>+VLOOKUP(G1095,Liste!$A$7:$H$50,8,FALSE)</f>
        <v>Résineux</v>
      </c>
      <c r="BU1095" s="298">
        <f t="shared" si="343"/>
        <v>0</v>
      </c>
      <c r="BV1095" s="300">
        <f t="shared" si="344"/>
        <v>1</v>
      </c>
      <c r="BW1095" s="321">
        <v>0</v>
      </c>
      <c r="BX1095" s="298">
        <f t="shared" si="345"/>
        <v>0.43</v>
      </c>
      <c r="BY1095">
        <f t="shared" si="346"/>
        <v>0</v>
      </c>
      <c r="BZ1095" s="304">
        <f t="shared" si="347"/>
        <v>0</v>
      </c>
      <c r="CB1095" s="299">
        <v>0.6</v>
      </c>
      <c r="CC1095" s="299">
        <v>0.4</v>
      </c>
      <c r="CD1095">
        <f t="shared" si="348"/>
        <v>0</v>
      </c>
      <c r="CE1095">
        <f t="shared" si="349"/>
        <v>0</v>
      </c>
      <c r="CF1095">
        <f t="shared" si="350"/>
        <v>0</v>
      </c>
      <c r="CG1095">
        <f t="shared" si="351"/>
        <v>0</v>
      </c>
      <c r="CH1095">
        <f t="shared" si="352"/>
        <v>0</v>
      </c>
      <c r="CI1095">
        <f t="shared" si="353"/>
        <v>0</v>
      </c>
      <c r="CJ1095">
        <f t="shared" si="354"/>
        <v>0</v>
      </c>
      <c r="CK1095">
        <f t="shared" si="355"/>
        <v>0</v>
      </c>
      <c r="CL1095">
        <f t="shared" si="356"/>
        <v>0</v>
      </c>
      <c r="CM1095">
        <f t="shared" si="358"/>
        <v>0</v>
      </c>
      <c r="CN1095">
        <f t="shared" si="357"/>
        <v>0</v>
      </c>
      <c r="CO1095">
        <f t="shared" si="341"/>
        <v>0</v>
      </c>
    </row>
    <row r="1096" spans="1:93" x14ac:dyDescent="0.25">
      <c r="A1096" s="4">
        <v>2021</v>
      </c>
      <c r="B1096" s="318">
        <v>44279</v>
      </c>
      <c r="C1096" s="4" t="s">
        <v>1494</v>
      </c>
      <c r="D1096" s="4" t="s">
        <v>1495</v>
      </c>
      <c r="F1096" s="4" t="s">
        <v>1496</v>
      </c>
      <c r="G1096" s="5" t="s">
        <v>432</v>
      </c>
      <c r="H1096" s="5" t="s">
        <v>1498</v>
      </c>
      <c r="I1096" s="5" t="s">
        <v>226</v>
      </c>
      <c r="J1096" s="5" t="s">
        <v>9</v>
      </c>
      <c r="K1096" s="5">
        <v>20.399999999999999</v>
      </c>
      <c r="L1096" s="5" t="s">
        <v>190</v>
      </c>
      <c r="M1096" s="5">
        <v>1600</v>
      </c>
      <c r="N1096" s="5" t="s">
        <v>170</v>
      </c>
      <c r="O1096" s="6" t="s">
        <v>1499</v>
      </c>
      <c r="P1096" s="6" t="s">
        <v>1500</v>
      </c>
      <c r="S1096" s="6">
        <v>40</v>
      </c>
      <c r="T1096" s="6">
        <v>16.829999999999998</v>
      </c>
      <c r="U1096" s="6">
        <v>1499</v>
      </c>
      <c r="V1096" s="6">
        <v>24.88</v>
      </c>
      <c r="W1096" s="6">
        <v>27</v>
      </c>
      <c r="X1096" s="6">
        <v>516</v>
      </c>
      <c r="Y1096" s="6">
        <v>633</v>
      </c>
      <c r="Z1096" s="6">
        <v>307</v>
      </c>
      <c r="AA1096" s="6">
        <v>15</v>
      </c>
      <c r="AB1096" s="6">
        <v>0</v>
      </c>
      <c r="AC1096" s="7">
        <v>45</v>
      </c>
      <c r="AD1096" s="7" t="str">
        <f>IF(AC1095=AC1096,"ap","av")</f>
        <v>av</v>
      </c>
      <c r="AE1096" s="7">
        <v>18.77</v>
      </c>
      <c r="AF1096" s="7">
        <v>1468</v>
      </c>
      <c r="AG1096" s="7">
        <v>34.380000000000003</v>
      </c>
      <c r="AH1096" s="7">
        <v>17.27</v>
      </c>
      <c r="AI1096" s="7">
        <v>25</v>
      </c>
      <c r="AJ1096" s="9">
        <v>256.95531330021902</v>
      </c>
      <c r="AK1096" s="9">
        <v>257.890906373544</v>
      </c>
      <c r="AL1096" s="9">
        <v>332.93653557215799</v>
      </c>
      <c r="AM1096" s="9">
        <v>34.855734887837698</v>
      </c>
      <c r="AN1096" s="9">
        <v>0.77457188639639296</v>
      </c>
      <c r="AO1096" s="9">
        <v>1.9781582942618201</v>
      </c>
      <c r="AP1096" s="9">
        <v>337.072693548139</v>
      </c>
      <c r="AQ1096" s="9">
        <v>7.4905043010697501</v>
      </c>
      <c r="AR1096" s="9">
        <v>25.461500656516201</v>
      </c>
      <c r="AS1096" s="8" t="s">
        <v>169</v>
      </c>
      <c r="AT1096" s="8" t="s">
        <v>169</v>
      </c>
      <c r="AU1096" s="8" t="s">
        <v>169</v>
      </c>
      <c r="AV1096" s="10">
        <v>0</v>
      </c>
      <c r="AX1096" s="8" t="s">
        <v>169</v>
      </c>
      <c r="BF1096" s="12">
        <v>0.38</v>
      </c>
      <c r="BG1096" s="13">
        <v>220.34849712617299</v>
      </c>
      <c r="BH1096" s="96" t="str">
        <f>+VLOOKUP(G1096,Liste!$A$7:$G$50,3,FALSE)</f>
        <v>Sapin pectiné</v>
      </c>
      <c r="BI1096" s="96" t="str">
        <f>+VLOOKUP(H1096,Liste!$B$7:$G$50,5,FALSE)</f>
        <v>GSM Alpes du Sud</v>
      </c>
      <c r="BJ1096" s="135">
        <f t="shared" si="340"/>
        <v>45</v>
      </c>
      <c r="BK1096" s="135" t="str">
        <f t="shared" si="342"/>
        <v>Sapin pectiné_F1_SP1_d5_GSM Alpes du Sud_45_</v>
      </c>
      <c r="BL1096" s="322"/>
      <c r="BM1096" s="13">
        <v>57.805940763390304</v>
      </c>
      <c r="BN1096" s="13">
        <v>278.15443788956401</v>
      </c>
      <c r="BP1096" s="13">
        <v>243.702592422522</v>
      </c>
      <c r="BQ1096" s="13">
        <v>20.6761810274722</v>
      </c>
      <c r="BT1096" s="298" t="str">
        <f>+VLOOKUP(G1096,Liste!$A$7:$H$50,8,FALSE)</f>
        <v>Résineux</v>
      </c>
      <c r="BU1096" s="298">
        <f t="shared" si="343"/>
        <v>0</v>
      </c>
      <c r="BV1096" s="300">
        <f t="shared" si="344"/>
        <v>1</v>
      </c>
      <c r="BW1096" s="321">
        <v>0</v>
      </c>
      <c r="BX1096" s="298">
        <f t="shared" si="345"/>
        <v>0.43</v>
      </c>
      <c r="BY1096">
        <f t="shared" si="346"/>
        <v>0</v>
      </c>
      <c r="BZ1096" s="304">
        <f t="shared" si="347"/>
        <v>0</v>
      </c>
      <c r="CB1096" s="299">
        <v>0.6</v>
      </c>
      <c r="CC1096" s="299">
        <v>0.4</v>
      </c>
      <c r="CD1096">
        <f t="shared" si="348"/>
        <v>0</v>
      </c>
      <c r="CE1096">
        <f t="shared" si="349"/>
        <v>0</v>
      </c>
      <c r="CF1096">
        <f t="shared" si="350"/>
        <v>0</v>
      </c>
      <c r="CG1096">
        <f t="shared" si="351"/>
        <v>0</v>
      </c>
      <c r="CH1096">
        <f t="shared" si="352"/>
        <v>0</v>
      </c>
      <c r="CI1096">
        <f t="shared" si="353"/>
        <v>0</v>
      </c>
      <c r="CJ1096">
        <f t="shared" si="354"/>
        <v>0</v>
      </c>
      <c r="CK1096">
        <f t="shared" si="355"/>
        <v>0</v>
      </c>
      <c r="CL1096">
        <f t="shared" si="356"/>
        <v>0</v>
      </c>
      <c r="CM1096">
        <f t="shared" si="358"/>
        <v>0</v>
      </c>
      <c r="CN1096">
        <f t="shared" si="357"/>
        <v>0</v>
      </c>
      <c r="CO1096">
        <f t="shared" si="341"/>
        <v>0</v>
      </c>
    </row>
    <row r="1097" spans="1:93" x14ac:dyDescent="0.25">
      <c r="A1097" s="4">
        <v>2021</v>
      </c>
      <c r="B1097" s="318">
        <v>44279</v>
      </c>
      <c r="C1097" s="4" t="s">
        <v>1494</v>
      </c>
      <c r="D1097" s="4" t="s">
        <v>1495</v>
      </c>
      <c r="F1097" s="4" t="s">
        <v>1496</v>
      </c>
      <c r="G1097" s="5" t="s">
        <v>432</v>
      </c>
      <c r="H1097" s="5" t="s">
        <v>1498</v>
      </c>
      <c r="I1097" s="5" t="s">
        <v>226</v>
      </c>
      <c r="J1097" s="5" t="s">
        <v>9</v>
      </c>
      <c r="K1097" s="5">
        <v>20.399999999999999</v>
      </c>
      <c r="L1097" s="5" t="s">
        <v>190</v>
      </c>
      <c r="M1097" s="5">
        <v>1600</v>
      </c>
      <c r="N1097" s="5" t="s">
        <v>170</v>
      </c>
      <c r="O1097" s="6" t="s">
        <v>1499</v>
      </c>
      <c r="P1097" s="6" t="s">
        <v>1500</v>
      </c>
      <c r="S1097" s="6">
        <v>40</v>
      </c>
      <c r="T1097" s="6">
        <v>16.829999999999998</v>
      </c>
      <c r="U1097" s="6">
        <v>1499</v>
      </c>
      <c r="V1097" s="6">
        <v>24.88</v>
      </c>
      <c r="W1097" s="6">
        <v>27</v>
      </c>
      <c r="X1097" s="6">
        <v>516</v>
      </c>
      <c r="Y1097" s="6">
        <v>633</v>
      </c>
      <c r="Z1097" s="6">
        <v>307</v>
      </c>
      <c r="AA1097" s="6">
        <v>15</v>
      </c>
      <c r="AB1097" s="6">
        <v>0</v>
      </c>
      <c r="AC1097" s="7">
        <v>50</v>
      </c>
      <c r="AD1097" s="7" t="str">
        <f t="shared" ref="AD1097:AD1119" si="359">IF(AC1096=AC1097,"ap","av")</f>
        <v>av</v>
      </c>
      <c r="AE1097" s="7">
        <v>20.399999999999999</v>
      </c>
      <c r="AF1097" s="7">
        <v>1441</v>
      </c>
      <c r="AG1097" s="7">
        <v>43.71</v>
      </c>
      <c r="AH1097" s="7">
        <v>19.649999999999999</v>
      </c>
      <c r="AI1097" s="7">
        <v>28.04</v>
      </c>
      <c r="AJ1097" s="9">
        <v>360.89661550399899</v>
      </c>
      <c r="AK1097" s="9">
        <v>362.466491593179</v>
      </c>
      <c r="AL1097" s="9">
        <v>454.89232717300598</v>
      </c>
      <c r="AM1097" s="9">
        <v>44.746526359146799</v>
      </c>
      <c r="AN1097" s="9">
        <v>0.89493052718293598</v>
      </c>
      <c r="AO1097" s="9">
        <v>1.5088460250420499</v>
      </c>
      <c r="AP1097" s="9">
        <v>464.38019683072002</v>
      </c>
      <c r="AQ1097" s="9">
        <v>9.2876039366143903</v>
      </c>
      <c r="AR1097" s="9">
        <v>21.125323627005201</v>
      </c>
      <c r="AS1097" s="8" t="s">
        <v>169</v>
      </c>
      <c r="AT1097" s="8" t="s">
        <v>169</v>
      </c>
      <c r="AU1097" s="8" t="s">
        <v>169</v>
      </c>
      <c r="AV1097" s="10">
        <v>0</v>
      </c>
      <c r="AX1097" s="8" t="s">
        <v>169</v>
      </c>
      <c r="BF1097" s="12">
        <v>0.38</v>
      </c>
      <c r="BG1097" s="13">
        <v>301.06290520066801</v>
      </c>
      <c r="BH1097" s="96" t="str">
        <f>+VLOOKUP(G1097,Liste!$A$7:$G$50,3,FALSE)</f>
        <v>Sapin pectiné</v>
      </c>
      <c r="BI1097" s="96" t="str">
        <f>+VLOOKUP(H1097,Liste!$B$7:$G$50,5,FALSE)</f>
        <v>GSM Alpes du Sud</v>
      </c>
      <c r="BJ1097" s="135">
        <f t="shared" si="340"/>
        <v>50</v>
      </c>
      <c r="BK1097" s="135" t="str">
        <f t="shared" si="342"/>
        <v>Sapin pectiné_F1_SP1_d5_GSM Alpes du Sud_50_</v>
      </c>
      <c r="BL1097" s="322"/>
      <c r="BM1097" s="13">
        <v>76.1626313332048</v>
      </c>
      <c r="BN1097" s="13">
        <v>377.225536533872</v>
      </c>
      <c r="BP1097" s="13">
        <v>243.702592422522</v>
      </c>
      <c r="BQ1097" s="13">
        <v>17.061099023745498</v>
      </c>
      <c r="BT1097" s="298" t="str">
        <f>+VLOOKUP(G1097,Liste!$A$7:$H$50,8,FALSE)</f>
        <v>Résineux</v>
      </c>
      <c r="BU1097" s="298">
        <f t="shared" si="343"/>
        <v>0</v>
      </c>
      <c r="BV1097" s="300">
        <f t="shared" si="344"/>
        <v>1</v>
      </c>
      <c r="BW1097" s="321">
        <v>0</v>
      </c>
      <c r="BX1097" s="298">
        <f t="shared" si="345"/>
        <v>0.43</v>
      </c>
      <c r="BY1097">
        <f t="shared" si="346"/>
        <v>0</v>
      </c>
      <c r="BZ1097" s="304">
        <f t="shared" si="347"/>
        <v>0</v>
      </c>
      <c r="CB1097" s="299">
        <v>0.6</v>
      </c>
      <c r="CC1097" s="299">
        <v>0.4</v>
      </c>
      <c r="CD1097">
        <f t="shared" si="348"/>
        <v>0</v>
      </c>
      <c r="CE1097">
        <f t="shared" si="349"/>
        <v>0</v>
      </c>
      <c r="CF1097">
        <f t="shared" si="350"/>
        <v>0</v>
      </c>
      <c r="CG1097">
        <f t="shared" si="351"/>
        <v>0</v>
      </c>
      <c r="CH1097">
        <f t="shared" si="352"/>
        <v>0</v>
      </c>
      <c r="CI1097">
        <f t="shared" si="353"/>
        <v>0</v>
      </c>
      <c r="CJ1097">
        <f t="shared" si="354"/>
        <v>0</v>
      </c>
      <c r="CK1097">
        <f t="shared" si="355"/>
        <v>0</v>
      </c>
      <c r="CL1097">
        <f t="shared" si="356"/>
        <v>0</v>
      </c>
      <c r="CM1097">
        <f t="shared" si="358"/>
        <v>0</v>
      </c>
      <c r="CN1097">
        <f t="shared" si="357"/>
        <v>0</v>
      </c>
      <c r="CO1097">
        <f t="shared" si="341"/>
        <v>0</v>
      </c>
    </row>
    <row r="1098" spans="1:93" x14ac:dyDescent="0.25">
      <c r="A1098" s="4">
        <v>2021</v>
      </c>
      <c r="B1098" s="318">
        <v>44279</v>
      </c>
      <c r="C1098" s="4" t="s">
        <v>1494</v>
      </c>
      <c r="D1098" s="4" t="s">
        <v>1495</v>
      </c>
      <c r="F1098" s="4" t="s">
        <v>1496</v>
      </c>
      <c r="G1098" s="5" t="s">
        <v>432</v>
      </c>
      <c r="H1098" s="5" t="s">
        <v>1498</v>
      </c>
      <c r="I1098" s="5" t="s">
        <v>226</v>
      </c>
      <c r="J1098" s="5" t="s">
        <v>9</v>
      </c>
      <c r="K1098" s="5">
        <v>20.399999999999999</v>
      </c>
      <c r="L1098" s="5" t="s">
        <v>190</v>
      </c>
      <c r="M1098" s="5">
        <v>1600</v>
      </c>
      <c r="N1098" s="5" t="s">
        <v>170</v>
      </c>
      <c r="O1098" s="6" t="s">
        <v>1499</v>
      </c>
      <c r="P1098" s="6" t="s">
        <v>1500</v>
      </c>
      <c r="S1098" s="6">
        <v>40</v>
      </c>
      <c r="T1098" s="6">
        <v>16.829999999999998</v>
      </c>
      <c r="U1098" s="6">
        <v>1499</v>
      </c>
      <c r="V1098" s="6">
        <v>24.88</v>
      </c>
      <c r="W1098" s="6">
        <v>27</v>
      </c>
      <c r="X1098" s="6">
        <v>516</v>
      </c>
      <c r="Y1098" s="6">
        <v>633</v>
      </c>
      <c r="Z1098" s="6">
        <v>307</v>
      </c>
      <c r="AA1098" s="6">
        <v>15</v>
      </c>
      <c r="AB1098" s="6">
        <v>0</v>
      </c>
      <c r="AC1098" s="7">
        <v>50</v>
      </c>
      <c r="AD1098" s="7" t="str">
        <f t="shared" si="359"/>
        <v>ap</v>
      </c>
      <c r="AE1098" s="7">
        <v>20.399999999999999</v>
      </c>
      <c r="AF1098" s="7">
        <v>722</v>
      </c>
      <c r="AG1098" s="7">
        <v>29.04</v>
      </c>
      <c r="AH1098" s="7">
        <v>22.63</v>
      </c>
      <c r="AI1098" s="7">
        <v>28.04</v>
      </c>
      <c r="AJ1098" s="9">
        <v>257.61038433693</v>
      </c>
      <c r="AK1098" s="9">
        <v>258.90542612479601</v>
      </c>
      <c r="AL1098" s="9">
        <v>318.96838665223203</v>
      </c>
      <c r="AM1098" s="9">
        <v>44.746526359146799</v>
      </c>
      <c r="AN1098" s="9">
        <v>0.89493052718293598</v>
      </c>
      <c r="AO1098" s="9">
        <v>1.5088460250420499</v>
      </c>
      <c r="AP1098" s="9">
        <v>464.38019683072002</v>
      </c>
      <c r="AQ1098" s="9">
        <v>9.2876039366143903</v>
      </c>
      <c r="AR1098" s="9">
        <v>21.125323627005201</v>
      </c>
      <c r="AS1098" s="8">
        <v>719</v>
      </c>
      <c r="AT1098" s="8">
        <v>14.670000000000002</v>
      </c>
      <c r="AU1098" s="10">
        <v>16.117796607241015</v>
      </c>
      <c r="AV1098" s="10">
        <v>103.28623116706899</v>
      </c>
      <c r="AW1098" s="8">
        <v>0.67</v>
      </c>
      <c r="AX1098" s="10">
        <v>0.14365261636588178</v>
      </c>
      <c r="BF1098" s="12">
        <v>0.38</v>
      </c>
      <c r="BG1098" s="13">
        <v>211.10391056600201</v>
      </c>
      <c r="BH1098" s="96" t="str">
        <f>+VLOOKUP(G1098,Liste!$A$7:$G$50,3,FALSE)</f>
        <v>Sapin pectiné</v>
      </c>
      <c r="BI1098" s="96" t="str">
        <f>+VLOOKUP(H1098,Liste!$B$7:$G$50,5,FALSE)</f>
        <v>GSM Alpes du Sud</v>
      </c>
      <c r="BJ1098" s="135">
        <f t="shared" si="340"/>
        <v>50</v>
      </c>
      <c r="BK1098" s="135" t="str">
        <f t="shared" si="342"/>
        <v>Sapin pectiné_F1_SP1_d5_GSM Alpes du Sud_50_</v>
      </c>
      <c r="BL1098" s="322"/>
      <c r="BM1098" s="13">
        <v>55.657706608193998</v>
      </c>
      <c r="BN1098" s="13">
        <v>266.76161717419598</v>
      </c>
      <c r="BO1098" s="13">
        <v>110.46391935967603</v>
      </c>
      <c r="BP1098" s="13">
        <v>243.702592422522</v>
      </c>
      <c r="BQ1098" s="13">
        <v>17.061099023745498</v>
      </c>
      <c r="BT1098" s="298" t="str">
        <f>+VLOOKUP(G1098,Liste!$A$7:$H$50,8,FALSE)</f>
        <v>Résineux</v>
      </c>
      <c r="BU1098" s="298">
        <f t="shared" si="343"/>
        <v>0</v>
      </c>
      <c r="BV1098" s="300">
        <f t="shared" si="344"/>
        <v>1</v>
      </c>
      <c r="BW1098" s="321">
        <v>0</v>
      </c>
      <c r="BX1098" s="298">
        <f t="shared" si="345"/>
        <v>0.43</v>
      </c>
      <c r="BY1098">
        <f t="shared" si="346"/>
        <v>0</v>
      </c>
      <c r="BZ1098" s="304">
        <f t="shared" si="347"/>
        <v>0</v>
      </c>
      <c r="CB1098" s="299">
        <v>0.6</v>
      </c>
      <c r="CC1098" s="299">
        <v>0.4</v>
      </c>
      <c r="CD1098">
        <f t="shared" si="348"/>
        <v>0</v>
      </c>
      <c r="CE1098">
        <f t="shared" si="349"/>
        <v>0</v>
      </c>
      <c r="CF1098">
        <f t="shared" si="350"/>
        <v>0</v>
      </c>
      <c r="CG1098">
        <f t="shared" si="351"/>
        <v>0</v>
      </c>
      <c r="CH1098">
        <f t="shared" si="352"/>
        <v>0</v>
      </c>
      <c r="CI1098">
        <f t="shared" si="353"/>
        <v>0</v>
      </c>
      <c r="CJ1098">
        <f t="shared" si="354"/>
        <v>0</v>
      </c>
      <c r="CK1098">
        <f t="shared" si="355"/>
        <v>0</v>
      </c>
      <c r="CL1098">
        <f t="shared" si="356"/>
        <v>0</v>
      </c>
      <c r="CM1098">
        <f t="shared" si="358"/>
        <v>0</v>
      </c>
      <c r="CN1098">
        <f t="shared" si="357"/>
        <v>0</v>
      </c>
      <c r="CO1098">
        <f t="shared" si="341"/>
        <v>0</v>
      </c>
    </row>
    <row r="1099" spans="1:93" x14ac:dyDescent="0.25">
      <c r="A1099" s="4">
        <v>2021</v>
      </c>
      <c r="B1099" s="318">
        <v>44279</v>
      </c>
      <c r="C1099" s="4" t="s">
        <v>1494</v>
      </c>
      <c r="D1099" s="4" t="s">
        <v>1495</v>
      </c>
      <c r="F1099" s="4" t="s">
        <v>1496</v>
      </c>
      <c r="G1099" s="5" t="s">
        <v>432</v>
      </c>
      <c r="H1099" s="5" t="s">
        <v>1498</v>
      </c>
      <c r="I1099" s="5" t="s">
        <v>226</v>
      </c>
      <c r="J1099" s="5" t="s">
        <v>9</v>
      </c>
      <c r="K1099" s="5">
        <v>20.399999999999999</v>
      </c>
      <c r="L1099" s="5" t="s">
        <v>190</v>
      </c>
      <c r="M1099" s="5">
        <v>1600</v>
      </c>
      <c r="N1099" s="5" t="s">
        <v>170</v>
      </c>
      <c r="O1099" s="6" t="s">
        <v>1499</v>
      </c>
      <c r="P1099" s="6" t="s">
        <v>1500</v>
      </c>
      <c r="S1099" s="6">
        <v>40</v>
      </c>
      <c r="T1099" s="6">
        <v>16.829999999999998</v>
      </c>
      <c r="U1099" s="6">
        <v>1499</v>
      </c>
      <c r="V1099" s="6">
        <v>24.88</v>
      </c>
      <c r="W1099" s="6">
        <v>27</v>
      </c>
      <c r="X1099" s="6">
        <v>516</v>
      </c>
      <c r="Y1099" s="6">
        <v>633</v>
      </c>
      <c r="Z1099" s="6">
        <v>307</v>
      </c>
      <c r="AA1099" s="6">
        <v>15</v>
      </c>
      <c r="AB1099" s="6">
        <v>0</v>
      </c>
      <c r="AC1099" s="7">
        <v>55</v>
      </c>
      <c r="AD1099" s="7" t="str">
        <f t="shared" si="359"/>
        <v>av</v>
      </c>
      <c r="AE1099" s="7">
        <v>21.83</v>
      </c>
      <c r="AF1099" s="7">
        <v>715</v>
      </c>
      <c r="AG1099" s="7">
        <v>36.36</v>
      </c>
      <c r="AH1099" s="7">
        <v>25.45</v>
      </c>
      <c r="AI1099" s="7">
        <v>31.25</v>
      </c>
      <c r="AJ1099" s="9">
        <v>345.48404732028899</v>
      </c>
      <c r="AK1099" s="9">
        <v>347.48842128346701</v>
      </c>
      <c r="AL1099" s="9">
        <v>422.24361445120797</v>
      </c>
      <c r="AM1099" s="9">
        <v>52.290756484356997</v>
      </c>
      <c r="AN1099" s="9">
        <v>0.95074102698830998</v>
      </c>
      <c r="AO1099" s="9">
        <v>1.45210579395299</v>
      </c>
      <c r="AP1099" s="9">
        <v>570.006814965746</v>
      </c>
      <c r="AQ1099" s="9">
        <v>10.3637602721045</v>
      </c>
      <c r="AR1099" s="9">
        <v>21.429226218006001</v>
      </c>
      <c r="AS1099" s="8" t="s">
        <v>169</v>
      </c>
      <c r="AT1099" s="8" t="s">
        <v>169</v>
      </c>
      <c r="AU1099" s="10" t="s">
        <v>169</v>
      </c>
      <c r="AV1099" s="10">
        <v>0</v>
      </c>
      <c r="AX1099" s="10" t="s">
        <v>169</v>
      </c>
      <c r="BF1099" s="12">
        <v>0.38</v>
      </c>
      <c r="BG1099" s="13">
        <v>279.45489883095797</v>
      </c>
      <c r="BH1099" s="96" t="str">
        <f>+VLOOKUP(G1099,Liste!$A$7:$G$50,3,FALSE)</f>
        <v>Sapin pectiné</v>
      </c>
      <c r="BI1099" s="96" t="str">
        <f>+VLOOKUP(H1099,Liste!$B$7:$G$50,5,FALSE)</f>
        <v>GSM Alpes du Sud</v>
      </c>
      <c r="BJ1099" s="135">
        <f t="shared" si="340"/>
        <v>55</v>
      </c>
      <c r="BK1099" s="135" t="str">
        <f t="shared" si="342"/>
        <v>Sapin pectiné_F1_SP1_d5_GSM Alpes du Sud_55_</v>
      </c>
      <c r="BL1099" s="322"/>
      <c r="BM1099" s="13">
        <v>71.311806394202307</v>
      </c>
      <c r="BN1099" s="13">
        <v>350.76670522516002</v>
      </c>
      <c r="BO1099" s="13" t="s">
        <v>169</v>
      </c>
      <c r="BP1099" s="13">
        <v>243.702592422522</v>
      </c>
      <c r="BQ1099" s="13">
        <v>17.239046916884199</v>
      </c>
      <c r="BT1099" s="298" t="str">
        <f>+VLOOKUP(G1099,Liste!$A$7:$H$50,8,FALSE)</f>
        <v>Résineux</v>
      </c>
      <c r="BU1099" s="298">
        <f t="shared" si="343"/>
        <v>0</v>
      </c>
      <c r="BV1099" s="300">
        <f t="shared" si="344"/>
        <v>1</v>
      </c>
      <c r="BW1099" s="321">
        <v>0</v>
      </c>
      <c r="BX1099" s="298">
        <f t="shared" si="345"/>
        <v>0.43</v>
      </c>
      <c r="BY1099">
        <f t="shared" si="346"/>
        <v>0</v>
      </c>
      <c r="BZ1099" s="304">
        <f t="shared" si="347"/>
        <v>0</v>
      </c>
      <c r="CB1099" s="299">
        <v>0.6</v>
      </c>
      <c r="CC1099" s="299">
        <v>0.4</v>
      </c>
      <c r="CD1099">
        <f t="shared" si="348"/>
        <v>0</v>
      </c>
      <c r="CE1099">
        <f t="shared" si="349"/>
        <v>0</v>
      </c>
      <c r="CF1099">
        <f t="shared" si="350"/>
        <v>0</v>
      </c>
      <c r="CG1099">
        <f t="shared" si="351"/>
        <v>0</v>
      </c>
      <c r="CH1099">
        <f t="shared" si="352"/>
        <v>0</v>
      </c>
      <c r="CI1099">
        <f t="shared" si="353"/>
        <v>0</v>
      </c>
      <c r="CJ1099">
        <f t="shared" si="354"/>
        <v>0</v>
      </c>
      <c r="CK1099">
        <f t="shared" si="355"/>
        <v>0</v>
      </c>
      <c r="CL1099">
        <f t="shared" si="356"/>
        <v>0</v>
      </c>
      <c r="CM1099">
        <f t="shared" si="358"/>
        <v>0</v>
      </c>
      <c r="CN1099">
        <f t="shared" si="357"/>
        <v>0</v>
      </c>
      <c r="CO1099">
        <f t="shared" si="341"/>
        <v>0</v>
      </c>
    </row>
    <row r="1100" spans="1:93" x14ac:dyDescent="0.25">
      <c r="A1100" s="4">
        <v>2021</v>
      </c>
      <c r="B1100" s="318">
        <v>44279</v>
      </c>
      <c r="C1100" s="4" t="s">
        <v>1494</v>
      </c>
      <c r="D1100" s="4" t="s">
        <v>1495</v>
      </c>
      <c r="F1100" s="4" t="s">
        <v>1496</v>
      </c>
      <c r="G1100" s="5" t="s">
        <v>432</v>
      </c>
      <c r="H1100" s="5" t="s">
        <v>1498</v>
      </c>
      <c r="I1100" s="5" t="s">
        <v>226</v>
      </c>
      <c r="J1100" s="5" t="s">
        <v>9</v>
      </c>
      <c r="K1100" s="5">
        <v>20.399999999999999</v>
      </c>
      <c r="L1100" s="5" t="s">
        <v>190</v>
      </c>
      <c r="M1100" s="5">
        <v>1600</v>
      </c>
      <c r="N1100" s="5" t="s">
        <v>170</v>
      </c>
      <c r="O1100" s="6" t="s">
        <v>1499</v>
      </c>
      <c r="P1100" s="6" t="s">
        <v>1500</v>
      </c>
      <c r="S1100" s="6">
        <v>40</v>
      </c>
      <c r="T1100" s="6">
        <v>16.829999999999998</v>
      </c>
      <c r="U1100" s="6">
        <v>1499</v>
      </c>
      <c r="V1100" s="6">
        <v>24.88</v>
      </c>
      <c r="W1100" s="6">
        <v>27</v>
      </c>
      <c r="X1100" s="6">
        <v>516</v>
      </c>
      <c r="Y1100" s="6">
        <v>633</v>
      </c>
      <c r="Z1100" s="6">
        <v>307</v>
      </c>
      <c r="AA1100" s="6">
        <v>15</v>
      </c>
      <c r="AB1100" s="6">
        <v>0</v>
      </c>
      <c r="AC1100" s="7">
        <v>60</v>
      </c>
      <c r="AD1100" s="7" t="str">
        <f t="shared" si="359"/>
        <v>av</v>
      </c>
      <c r="AE1100" s="7">
        <v>22.96</v>
      </c>
      <c r="AF1100" s="7">
        <v>705</v>
      </c>
      <c r="AG1100" s="7">
        <v>43.12</v>
      </c>
      <c r="AH1100" s="7">
        <v>27.91</v>
      </c>
      <c r="AI1100" s="7">
        <v>34.03</v>
      </c>
      <c r="AJ1100" s="9">
        <v>432.26340502377002</v>
      </c>
      <c r="AK1100" s="9">
        <v>435.00240974538798</v>
      </c>
      <c r="AL1100" s="9">
        <v>523.43017445525004</v>
      </c>
      <c r="AM1100" s="9">
        <v>59.551285454122002</v>
      </c>
      <c r="AN1100" s="9">
        <v>0.99252142423536605</v>
      </c>
      <c r="AO1100" s="9">
        <v>1.14638014192656</v>
      </c>
      <c r="AP1100" s="9">
        <v>677.15294605577606</v>
      </c>
      <c r="AQ1100" s="9">
        <v>11.2858824342629</v>
      </c>
      <c r="AR1100" s="9">
        <v>16.9106693244042</v>
      </c>
      <c r="AS1100" s="8" t="s">
        <v>169</v>
      </c>
      <c r="AT1100" s="8" t="s">
        <v>169</v>
      </c>
      <c r="AU1100" s="10" t="s">
        <v>169</v>
      </c>
      <c r="AV1100" s="10">
        <v>0</v>
      </c>
      <c r="AX1100" s="10" t="s">
        <v>169</v>
      </c>
      <c r="BF1100" s="12">
        <v>0.38</v>
      </c>
      <c r="BG1100" s="13">
        <v>346.42353712696701</v>
      </c>
      <c r="BH1100" s="96" t="str">
        <f>+VLOOKUP(G1100,Liste!$A$7:$G$50,3,FALSE)</f>
        <v>Sapin pectiné</v>
      </c>
      <c r="BI1100" s="96" t="str">
        <f>+VLOOKUP(H1100,Liste!$B$7:$G$50,5,FALSE)</f>
        <v>GSM Alpes du Sud</v>
      </c>
      <c r="BJ1100" s="135">
        <f t="shared" si="340"/>
        <v>60</v>
      </c>
      <c r="BK1100" s="135" t="str">
        <f t="shared" si="342"/>
        <v>Sapin pectiné_F1_SP1_d5_GSM Alpes du Sud_60_</v>
      </c>
      <c r="BL1100" s="322"/>
      <c r="BM1100" s="13">
        <v>86.217909184414907</v>
      </c>
      <c r="BN1100" s="13">
        <v>432.641446311381</v>
      </c>
      <c r="BO1100" s="13" t="s">
        <v>169</v>
      </c>
      <c r="BP1100" s="13">
        <v>243.702592422522</v>
      </c>
      <c r="BQ1100" s="13">
        <v>13.5640161810562</v>
      </c>
      <c r="BT1100" s="298" t="str">
        <f>+VLOOKUP(G1100,Liste!$A$7:$H$50,8,FALSE)</f>
        <v>Résineux</v>
      </c>
      <c r="BU1100" s="298">
        <f t="shared" si="343"/>
        <v>0</v>
      </c>
      <c r="BV1100" s="300">
        <f t="shared" si="344"/>
        <v>1</v>
      </c>
      <c r="BW1100" s="321">
        <v>0</v>
      </c>
      <c r="BX1100" s="298">
        <f t="shared" si="345"/>
        <v>0.43</v>
      </c>
      <c r="BY1100">
        <f t="shared" si="346"/>
        <v>0</v>
      </c>
      <c r="BZ1100" s="304">
        <f t="shared" si="347"/>
        <v>0</v>
      </c>
      <c r="CB1100" s="299">
        <v>0.6</v>
      </c>
      <c r="CC1100" s="299">
        <v>0.4</v>
      </c>
      <c r="CD1100">
        <f t="shared" si="348"/>
        <v>0</v>
      </c>
      <c r="CE1100">
        <f t="shared" si="349"/>
        <v>0</v>
      </c>
      <c r="CF1100">
        <f t="shared" si="350"/>
        <v>0</v>
      </c>
      <c r="CG1100">
        <f t="shared" si="351"/>
        <v>0</v>
      </c>
      <c r="CH1100">
        <f t="shared" si="352"/>
        <v>0</v>
      </c>
      <c r="CI1100">
        <f t="shared" si="353"/>
        <v>0</v>
      </c>
      <c r="CJ1100">
        <f t="shared" si="354"/>
        <v>0</v>
      </c>
      <c r="CK1100">
        <f t="shared" si="355"/>
        <v>0</v>
      </c>
      <c r="CL1100">
        <f t="shared" si="356"/>
        <v>0</v>
      </c>
      <c r="CM1100">
        <f t="shared" si="358"/>
        <v>0</v>
      </c>
      <c r="CN1100">
        <f t="shared" si="357"/>
        <v>0</v>
      </c>
      <c r="CO1100">
        <f t="shared" si="341"/>
        <v>0</v>
      </c>
    </row>
    <row r="1101" spans="1:93" x14ac:dyDescent="0.25">
      <c r="A1101" s="4">
        <v>2021</v>
      </c>
      <c r="B1101" s="318">
        <v>44279</v>
      </c>
      <c r="C1101" s="4" t="s">
        <v>1494</v>
      </c>
      <c r="D1101" s="4" t="s">
        <v>1495</v>
      </c>
      <c r="F1101" s="4" t="s">
        <v>1496</v>
      </c>
      <c r="G1101" s="5" t="s">
        <v>432</v>
      </c>
      <c r="H1101" s="5" t="s">
        <v>1498</v>
      </c>
      <c r="I1101" s="5" t="s">
        <v>226</v>
      </c>
      <c r="J1101" s="5" t="s">
        <v>9</v>
      </c>
      <c r="K1101" s="5">
        <v>20.399999999999999</v>
      </c>
      <c r="L1101" s="5" t="s">
        <v>190</v>
      </c>
      <c r="M1101" s="5">
        <v>1600</v>
      </c>
      <c r="N1101" s="5" t="s">
        <v>170</v>
      </c>
      <c r="O1101" s="6" t="s">
        <v>1499</v>
      </c>
      <c r="P1101" s="6" t="s">
        <v>1500</v>
      </c>
      <c r="S1101" s="6">
        <v>40</v>
      </c>
      <c r="T1101" s="6">
        <v>16.829999999999998</v>
      </c>
      <c r="U1101" s="6">
        <v>1499</v>
      </c>
      <c r="V1101" s="6">
        <v>24.88</v>
      </c>
      <c r="W1101" s="6">
        <v>27</v>
      </c>
      <c r="X1101" s="6">
        <v>516</v>
      </c>
      <c r="Y1101" s="6">
        <v>633</v>
      </c>
      <c r="Z1101" s="6">
        <v>307</v>
      </c>
      <c r="AA1101" s="6">
        <v>15</v>
      </c>
      <c r="AB1101" s="6">
        <v>0</v>
      </c>
      <c r="AC1101" s="7">
        <v>60</v>
      </c>
      <c r="AD1101" s="7" t="str">
        <f t="shared" si="359"/>
        <v>ap</v>
      </c>
      <c r="AE1101" s="7">
        <v>22.74</v>
      </c>
      <c r="AF1101" s="7">
        <v>490</v>
      </c>
      <c r="AG1101" s="7">
        <v>29.06</v>
      </c>
      <c r="AH1101" s="7">
        <v>27.48</v>
      </c>
      <c r="AI1101" s="7">
        <v>33.549999999999997</v>
      </c>
      <c r="AJ1101" s="9">
        <v>288.83921256516402</v>
      </c>
      <c r="AK1101" s="9">
        <v>290.65747695669103</v>
      </c>
      <c r="AL1101" s="9">
        <v>350.34558621820401</v>
      </c>
      <c r="AM1101" s="9">
        <v>59.551285454122002</v>
      </c>
      <c r="AN1101" s="9">
        <v>0.99252142423536605</v>
      </c>
      <c r="AO1101" s="9">
        <v>1.14638014192656</v>
      </c>
      <c r="AP1101" s="9">
        <v>677.15294605577606</v>
      </c>
      <c r="AQ1101" s="9">
        <v>11.2858824342629</v>
      </c>
      <c r="AR1101" s="9">
        <v>16.9106693244042</v>
      </c>
      <c r="AS1101" s="8">
        <v>215</v>
      </c>
      <c r="AT1101" s="8">
        <v>14.059999999999999</v>
      </c>
      <c r="AU1101" s="10">
        <v>28.855492402883289</v>
      </c>
      <c r="AV1101" s="10">
        <v>143.424192458606</v>
      </c>
      <c r="AW1101" s="8">
        <v>1.07</v>
      </c>
      <c r="AX1101" s="10">
        <v>0.66708926724933026</v>
      </c>
      <c r="BF1101" s="12">
        <v>0.38</v>
      </c>
      <c r="BG1101" s="13">
        <v>231.87038714541501</v>
      </c>
      <c r="BH1101" s="96" t="str">
        <f>+VLOOKUP(G1101,Liste!$A$7:$G$50,3,FALSE)</f>
        <v>Sapin pectiné</v>
      </c>
      <c r="BI1101" s="96" t="str">
        <f>+VLOOKUP(H1101,Liste!$B$7:$G$50,5,FALSE)</f>
        <v>GSM Alpes du Sud</v>
      </c>
      <c r="BJ1101" s="135">
        <f t="shared" si="340"/>
        <v>60</v>
      </c>
      <c r="BK1101" s="135" t="str">
        <f t="shared" si="342"/>
        <v>Sapin pectiné_F1_SP1_d5_GSM Alpes du Sud_60_</v>
      </c>
      <c r="BL1101" s="322"/>
      <c r="BM1101" s="13">
        <v>60.468769523179802</v>
      </c>
      <c r="BN1101" s="13">
        <v>292.339156668594</v>
      </c>
      <c r="BO1101" s="13">
        <v>140.302289642787</v>
      </c>
      <c r="BP1101" s="13">
        <v>243.702592422522</v>
      </c>
      <c r="BQ1101" s="13">
        <v>13.5640161810562</v>
      </c>
      <c r="BT1101" s="298" t="str">
        <f>+VLOOKUP(G1101,Liste!$A$7:$H$50,8,FALSE)</f>
        <v>Résineux</v>
      </c>
      <c r="BU1101" s="298">
        <f t="shared" si="343"/>
        <v>0</v>
      </c>
      <c r="BV1101" s="300">
        <f t="shared" si="344"/>
        <v>1</v>
      </c>
      <c r="BW1101" s="321">
        <v>0</v>
      </c>
      <c r="BX1101" s="298">
        <f t="shared" si="345"/>
        <v>0.43</v>
      </c>
      <c r="BY1101">
        <f t="shared" si="346"/>
        <v>0</v>
      </c>
      <c r="BZ1101" s="304">
        <f t="shared" si="347"/>
        <v>0</v>
      </c>
      <c r="CB1101" s="299">
        <v>0.6</v>
      </c>
      <c r="CC1101" s="299">
        <v>0.4</v>
      </c>
      <c r="CD1101">
        <f t="shared" si="348"/>
        <v>0</v>
      </c>
      <c r="CE1101">
        <f t="shared" si="349"/>
        <v>0</v>
      </c>
      <c r="CF1101">
        <f t="shared" si="350"/>
        <v>0</v>
      </c>
      <c r="CG1101">
        <f t="shared" si="351"/>
        <v>0</v>
      </c>
      <c r="CH1101">
        <f t="shared" si="352"/>
        <v>0</v>
      </c>
      <c r="CI1101">
        <f t="shared" si="353"/>
        <v>0</v>
      </c>
      <c r="CJ1101">
        <f t="shared" si="354"/>
        <v>0</v>
      </c>
      <c r="CK1101">
        <f t="shared" si="355"/>
        <v>0</v>
      </c>
      <c r="CL1101">
        <f t="shared" si="356"/>
        <v>0</v>
      </c>
      <c r="CM1101">
        <f t="shared" si="358"/>
        <v>0</v>
      </c>
      <c r="CN1101">
        <f t="shared" si="357"/>
        <v>0</v>
      </c>
      <c r="CO1101">
        <f t="shared" si="341"/>
        <v>0</v>
      </c>
    </row>
    <row r="1102" spans="1:93" x14ac:dyDescent="0.25">
      <c r="A1102" s="4">
        <v>2021</v>
      </c>
      <c r="B1102" s="318">
        <v>44279</v>
      </c>
      <c r="C1102" s="4" t="s">
        <v>1494</v>
      </c>
      <c r="D1102" s="4" t="s">
        <v>1495</v>
      </c>
      <c r="F1102" s="4" t="s">
        <v>1496</v>
      </c>
      <c r="G1102" s="5" t="s">
        <v>432</v>
      </c>
      <c r="H1102" s="5" t="s">
        <v>1498</v>
      </c>
      <c r="I1102" s="5" t="s">
        <v>226</v>
      </c>
      <c r="J1102" s="5" t="s">
        <v>9</v>
      </c>
      <c r="K1102" s="5">
        <v>20.399999999999999</v>
      </c>
      <c r="L1102" s="5" t="s">
        <v>190</v>
      </c>
      <c r="M1102" s="5">
        <v>1600</v>
      </c>
      <c r="N1102" s="5" t="s">
        <v>170</v>
      </c>
      <c r="O1102" s="6" t="s">
        <v>1499</v>
      </c>
      <c r="P1102" s="6" t="s">
        <v>1500</v>
      </c>
      <c r="S1102" s="6">
        <v>40</v>
      </c>
      <c r="T1102" s="6">
        <v>16.829999999999998</v>
      </c>
      <c r="U1102" s="6">
        <v>1499</v>
      </c>
      <c r="V1102" s="6">
        <v>24.88</v>
      </c>
      <c r="W1102" s="6">
        <v>27</v>
      </c>
      <c r="X1102" s="6">
        <v>516</v>
      </c>
      <c r="Y1102" s="6">
        <v>633</v>
      </c>
      <c r="Z1102" s="6">
        <v>307</v>
      </c>
      <c r="AA1102" s="6">
        <v>15</v>
      </c>
      <c r="AB1102" s="6">
        <v>0</v>
      </c>
      <c r="AC1102" s="7">
        <v>65</v>
      </c>
      <c r="AD1102" s="7" t="str">
        <f t="shared" si="359"/>
        <v>av</v>
      </c>
      <c r="AE1102" s="7">
        <v>23.73</v>
      </c>
      <c r="AF1102" s="7">
        <v>488</v>
      </c>
      <c r="AG1102" s="7">
        <v>34.659999999999997</v>
      </c>
      <c r="AH1102" s="7">
        <v>30.07</v>
      </c>
      <c r="AI1102" s="7">
        <v>36.51</v>
      </c>
      <c r="AJ1102" s="9">
        <v>359.17253608199701</v>
      </c>
      <c r="AK1102" s="9">
        <v>361.674914803614</v>
      </c>
      <c r="AL1102" s="9">
        <v>433.32732120042903</v>
      </c>
      <c r="AM1102" s="9">
        <v>65.283186163754806</v>
      </c>
      <c r="AN1102" s="9">
        <v>1.00435671021161</v>
      </c>
      <c r="AO1102" s="9">
        <v>1.09849599141293</v>
      </c>
      <c r="AP1102" s="9">
        <v>761.70629267779702</v>
      </c>
      <c r="AQ1102" s="9">
        <v>11.7185583488892</v>
      </c>
      <c r="AR1102" s="9">
        <v>16.8406834650661</v>
      </c>
      <c r="AS1102" s="8" t="s">
        <v>169</v>
      </c>
      <c r="AT1102" s="8" t="s">
        <v>169</v>
      </c>
      <c r="AU1102" s="10" t="s">
        <v>169</v>
      </c>
      <c r="AV1102" s="10">
        <v>0</v>
      </c>
      <c r="AX1102" s="10" t="s">
        <v>169</v>
      </c>
      <c r="BF1102" s="12">
        <v>0.38</v>
      </c>
      <c r="BG1102" s="13">
        <v>286.790465414484</v>
      </c>
      <c r="BH1102" s="96" t="str">
        <f>+VLOOKUP(G1102,Liste!$A$7:$G$50,3,FALSE)</f>
        <v>Sapin pectiné</v>
      </c>
      <c r="BI1102" s="96" t="str">
        <f>+VLOOKUP(H1102,Liste!$B$7:$G$50,5,FALSE)</f>
        <v>GSM Alpes du Sud</v>
      </c>
      <c r="BJ1102" s="135">
        <f t="shared" si="340"/>
        <v>65</v>
      </c>
      <c r="BK1102" s="135" t="str">
        <f t="shared" si="342"/>
        <v>Sapin pectiné_F1_SP1_d5_GSM Alpes du Sud_65_</v>
      </c>
      <c r="BL1102" s="322"/>
      <c r="BM1102" s="13">
        <v>72.963317482737494</v>
      </c>
      <c r="BN1102" s="13">
        <v>359.75378289722198</v>
      </c>
      <c r="BO1102" s="13" t="s">
        <v>169</v>
      </c>
      <c r="BP1102" s="13">
        <v>243.702592422522</v>
      </c>
      <c r="BQ1102" s="13">
        <v>13.477547740314201</v>
      </c>
      <c r="BT1102" s="298" t="str">
        <f>+VLOOKUP(G1102,Liste!$A$7:$H$50,8,FALSE)</f>
        <v>Résineux</v>
      </c>
      <c r="BU1102" s="298">
        <f t="shared" si="343"/>
        <v>0</v>
      </c>
      <c r="BV1102" s="300">
        <f t="shared" si="344"/>
        <v>1</v>
      </c>
      <c r="BW1102" s="321">
        <v>0</v>
      </c>
      <c r="BX1102" s="298">
        <f t="shared" si="345"/>
        <v>0.43</v>
      </c>
      <c r="BY1102">
        <f t="shared" si="346"/>
        <v>0</v>
      </c>
      <c r="BZ1102" s="304">
        <f t="shared" si="347"/>
        <v>0</v>
      </c>
      <c r="CB1102" s="299">
        <v>0.6</v>
      </c>
      <c r="CC1102" s="299">
        <v>0.4</v>
      </c>
      <c r="CD1102">
        <f t="shared" si="348"/>
        <v>0</v>
      </c>
      <c r="CE1102">
        <f t="shared" si="349"/>
        <v>0</v>
      </c>
      <c r="CF1102">
        <f t="shared" si="350"/>
        <v>0</v>
      </c>
      <c r="CG1102">
        <f t="shared" si="351"/>
        <v>0</v>
      </c>
      <c r="CH1102">
        <f t="shared" si="352"/>
        <v>0</v>
      </c>
      <c r="CI1102">
        <f t="shared" si="353"/>
        <v>0</v>
      </c>
      <c r="CJ1102">
        <f t="shared" si="354"/>
        <v>0</v>
      </c>
      <c r="CK1102">
        <f t="shared" si="355"/>
        <v>0</v>
      </c>
      <c r="CL1102">
        <f t="shared" si="356"/>
        <v>0</v>
      </c>
      <c r="CM1102">
        <f t="shared" si="358"/>
        <v>0</v>
      </c>
      <c r="CN1102">
        <f t="shared" si="357"/>
        <v>0</v>
      </c>
      <c r="CO1102">
        <f t="shared" si="341"/>
        <v>0</v>
      </c>
    </row>
    <row r="1103" spans="1:93" x14ac:dyDescent="0.25">
      <c r="A1103" s="4">
        <v>2021</v>
      </c>
      <c r="B1103" s="318">
        <v>44279</v>
      </c>
      <c r="C1103" s="4" t="s">
        <v>1494</v>
      </c>
      <c r="D1103" s="4" t="s">
        <v>1495</v>
      </c>
      <c r="F1103" s="4" t="s">
        <v>1496</v>
      </c>
      <c r="G1103" s="5" t="s">
        <v>432</v>
      </c>
      <c r="H1103" s="5" t="s">
        <v>1498</v>
      </c>
      <c r="I1103" s="5" t="s">
        <v>226</v>
      </c>
      <c r="J1103" s="5" t="s">
        <v>9</v>
      </c>
      <c r="K1103" s="5">
        <v>20.399999999999999</v>
      </c>
      <c r="L1103" s="5" t="s">
        <v>190</v>
      </c>
      <c r="M1103" s="5">
        <v>1600</v>
      </c>
      <c r="N1103" s="5" t="s">
        <v>170</v>
      </c>
      <c r="O1103" s="6" t="s">
        <v>1499</v>
      </c>
      <c r="P1103" s="6" t="s">
        <v>1500</v>
      </c>
      <c r="S1103" s="6">
        <v>40</v>
      </c>
      <c r="T1103" s="6">
        <v>16.829999999999998</v>
      </c>
      <c r="U1103" s="6">
        <v>1499</v>
      </c>
      <c r="V1103" s="6">
        <v>24.88</v>
      </c>
      <c r="W1103" s="6">
        <v>27</v>
      </c>
      <c r="X1103" s="6">
        <v>516</v>
      </c>
      <c r="Y1103" s="6">
        <v>633</v>
      </c>
      <c r="Z1103" s="6">
        <v>307</v>
      </c>
      <c r="AA1103" s="6">
        <v>15</v>
      </c>
      <c r="AB1103" s="6">
        <v>0</v>
      </c>
      <c r="AC1103" s="7">
        <v>70</v>
      </c>
      <c r="AD1103" s="7" t="str">
        <f t="shared" si="359"/>
        <v>av</v>
      </c>
      <c r="AE1103" s="7">
        <v>24.57</v>
      </c>
      <c r="AF1103" s="7">
        <v>481</v>
      </c>
      <c r="AG1103" s="7">
        <v>39.700000000000003</v>
      </c>
      <c r="AH1103" s="7">
        <v>32.42</v>
      </c>
      <c r="AI1103" s="7">
        <v>39.130000000000003</v>
      </c>
      <c r="AJ1103" s="9">
        <v>426.35354516563001</v>
      </c>
      <c r="AK1103" s="9">
        <v>429.53783354286401</v>
      </c>
      <c r="AL1103" s="9">
        <v>512.06570712091604</v>
      </c>
      <c r="AM1103" s="9">
        <v>70.775666120819395</v>
      </c>
      <c r="AN1103" s="9">
        <v>1.0110809445831299</v>
      </c>
      <c r="AO1103" s="9">
        <v>0.90238225222495905</v>
      </c>
      <c r="AP1103" s="9">
        <v>845.90971000312697</v>
      </c>
      <c r="AQ1103" s="9">
        <v>12.084424428616099</v>
      </c>
      <c r="AR1103" s="9">
        <v>13.7117005815946</v>
      </c>
      <c r="AS1103" s="8" t="s">
        <v>169</v>
      </c>
      <c r="AT1103" s="8" t="s">
        <v>169</v>
      </c>
      <c r="AU1103" s="10" t="s">
        <v>169</v>
      </c>
      <c r="AV1103" s="10">
        <v>0</v>
      </c>
      <c r="AX1103" s="10" t="s">
        <v>169</v>
      </c>
      <c r="BF1103" s="12">
        <v>0.38</v>
      </c>
      <c r="BG1103" s="13">
        <v>338.90215382952698</v>
      </c>
      <c r="BH1103" s="96" t="str">
        <f>+VLOOKUP(G1103,Liste!$A$7:$G$50,3,FALSE)</f>
        <v>Sapin pectiné</v>
      </c>
      <c r="BI1103" s="96" t="str">
        <f>+VLOOKUP(H1103,Liste!$B$7:$G$50,5,FALSE)</f>
        <v>GSM Alpes du Sud</v>
      </c>
      <c r="BJ1103" s="135">
        <f t="shared" si="340"/>
        <v>70</v>
      </c>
      <c r="BK1103" s="135" t="str">
        <f t="shared" si="342"/>
        <v>Sapin pectiné_F1_SP1_d5_GSM Alpes du Sud_70_</v>
      </c>
      <c r="BL1103" s="322"/>
      <c r="BM1103" s="13">
        <v>84.561771511864805</v>
      </c>
      <c r="BN1103" s="13">
        <v>423.46392534139102</v>
      </c>
      <c r="BO1103" s="13" t="s">
        <v>169</v>
      </c>
      <c r="BP1103" s="13">
        <v>243.702592422522</v>
      </c>
      <c r="BQ1103" s="13">
        <v>10.953426925352399</v>
      </c>
      <c r="BT1103" s="298" t="str">
        <f>+VLOOKUP(G1103,Liste!$A$7:$H$50,8,FALSE)</f>
        <v>Résineux</v>
      </c>
      <c r="BU1103" s="298">
        <f t="shared" si="343"/>
        <v>0</v>
      </c>
      <c r="BV1103" s="300">
        <f t="shared" si="344"/>
        <v>1</v>
      </c>
      <c r="BW1103" s="321">
        <v>0</v>
      </c>
      <c r="BX1103" s="298">
        <f t="shared" si="345"/>
        <v>0.43</v>
      </c>
      <c r="BY1103">
        <f t="shared" si="346"/>
        <v>0</v>
      </c>
      <c r="BZ1103" s="304">
        <f t="shared" si="347"/>
        <v>0</v>
      </c>
      <c r="CB1103" s="299">
        <v>0.6</v>
      </c>
      <c r="CC1103" s="299">
        <v>0.4</v>
      </c>
      <c r="CD1103">
        <f t="shared" si="348"/>
        <v>0</v>
      </c>
      <c r="CE1103">
        <f t="shared" si="349"/>
        <v>0</v>
      </c>
      <c r="CF1103">
        <f t="shared" si="350"/>
        <v>0</v>
      </c>
      <c r="CG1103">
        <f t="shared" si="351"/>
        <v>0</v>
      </c>
      <c r="CH1103">
        <f t="shared" si="352"/>
        <v>0</v>
      </c>
      <c r="CI1103">
        <f t="shared" si="353"/>
        <v>0</v>
      </c>
      <c r="CJ1103">
        <f t="shared" si="354"/>
        <v>0</v>
      </c>
      <c r="CK1103">
        <f t="shared" si="355"/>
        <v>0</v>
      </c>
      <c r="CL1103">
        <f t="shared" si="356"/>
        <v>0</v>
      </c>
      <c r="CM1103">
        <f t="shared" si="358"/>
        <v>0</v>
      </c>
      <c r="CN1103">
        <f t="shared" si="357"/>
        <v>0</v>
      </c>
      <c r="CO1103">
        <f t="shared" si="341"/>
        <v>0</v>
      </c>
    </row>
    <row r="1104" spans="1:93" x14ac:dyDescent="0.25">
      <c r="A1104" s="4">
        <v>2021</v>
      </c>
      <c r="B1104" s="318">
        <v>44279</v>
      </c>
      <c r="C1104" s="4" t="s">
        <v>1494</v>
      </c>
      <c r="D1104" s="4" t="s">
        <v>1495</v>
      </c>
      <c r="F1104" s="4" t="s">
        <v>1496</v>
      </c>
      <c r="G1104" s="5" t="s">
        <v>432</v>
      </c>
      <c r="H1104" s="5" t="s">
        <v>1498</v>
      </c>
      <c r="I1104" s="5" t="s">
        <v>226</v>
      </c>
      <c r="J1104" s="5" t="s">
        <v>9</v>
      </c>
      <c r="K1104" s="5">
        <v>20.399999999999999</v>
      </c>
      <c r="L1104" s="5" t="s">
        <v>190</v>
      </c>
      <c r="M1104" s="5">
        <v>1600</v>
      </c>
      <c r="N1104" s="5" t="s">
        <v>170</v>
      </c>
      <c r="O1104" s="6" t="s">
        <v>1499</v>
      </c>
      <c r="P1104" s="6" t="s">
        <v>1500</v>
      </c>
      <c r="S1104" s="6">
        <v>40</v>
      </c>
      <c r="T1104" s="6">
        <v>16.829999999999998</v>
      </c>
      <c r="U1104" s="6">
        <v>1499</v>
      </c>
      <c r="V1104" s="6">
        <v>24.88</v>
      </c>
      <c r="W1104" s="6">
        <v>27</v>
      </c>
      <c r="X1104" s="6">
        <v>516</v>
      </c>
      <c r="Y1104" s="6">
        <v>633</v>
      </c>
      <c r="Z1104" s="6">
        <v>307</v>
      </c>
      <c r="AA1104" s="6">
        <v>15</v>
      </c>
      <c r="AB1104" s="6">
        <v>0</v>
      </c>
      <c r="AC1104" s="7">
        <v>70</v>
      </c>
      <c r="AD1104" s="7" t="str">
        <f t="shared" si="359"/>
        <v>ap</v>
      </c>
      <c r="AE1104" s="7">
        <v>24.41</v>
      </c>
      <c r="AF1104" s="7">
        <v>357</v>
      </c>
      <c r="AG1104" s="7">
        <v>29.08</v>
      </c>
      <c r="AH1104" s="7">
        <v>32.200000000000003</v>
      </c>
      <c r="AI1104" s="7">
        <v>38.630000000000003</v>
      </c>
      <c r="AJ1104" s="9">
        <v>311.80303765482898</v>
      </c>
      <c r="AK1104" s="9">
        <v>314.12989591731798</v>
      </c>
      <c r="AL1104" s="9">
        <v>374.59611756514403</v>
      </c>
      <c r="AM1104" s="9">
        <v>70.775666120819395</v>
      </c>
      <c r="AN1104" s="9">
        <v>1.0110809445831299</v>
      </c>
      <c r="AO1104" s="9">
        <v>0.90238225222495905</v>
      </c>
      <c r="AP1104" s="9">
        <v>845.90971000312697</v>
      </c>
      <c r="AQ1104" s="9">
        <v>12.084424428616099</v>
      </c>
      <c r="AR1104" s="9">
        <v>13.7117005815946</v>
      </c>
      <c r="AS1104" s="8">
        <v>124</v>
      </c>
      <c r="AT1104" s="8">
        <v>10.620000000000005</v>
      </c>
      <c r="AU1104" s="10">
        <v>33.02223586767861</v>
      </c>
      <c r="AV1104" s="10">
        <v>114.55050751080103</v>
      </c>
      <c r="AW1104" s="8">
        <v>1.04</v>
      </c>
      <c r="AX1104" s="10">
        <v>0.92379441540968565</v>
      </c>
      <c r="BF1104" s="12">
        <v>0.38</v>
      </c>
      <c r="BG1104" s="13">
        <v>247.920197141865</v>
      </c>
      <c r="BH1104" s="96" t="str">
        <f>+VLOOKUP(G1104,Liste!$A$7:$G$50,3,FALSE)</f>
        <v>Sapin pectiné</v>
      </c>
      <c r="BI1104" s="96" t="str">
        <f>+VLOOKUP(H1104,Liste!$B$7:$G$50,5,FALSE)</f>
        <v>GSM Alpes du Sud</v>
      </c>
      <c r="BJ1104" s="135">
        <f t="shared" si="340"/>
        <v>70</v>
      </c>
      <c r="BK1104" s="135" t="str">
        <f t="shared" si="342"/>
        <v>Sapin pectiné_F1_SP1_d5_GSM Alpes du Sud_70_</v>
      </c>
      <c r="BL1104" s="322"/>
      <c r="BM1104" s="13">
        <v>64.152620035821897</v>
      </c>
      <c r="BN1104" s="13">
        <v>312.072817177687</v>
      </c>
      <c r="BO1104" s="13">
        <v>111.39110816370402</v>
      </c>
      <c r="BP1104" s="13">
        <v>243.702592422522</v>
      </c>
      <c r="BQ1104" s="13">
        <v>10.953426925352399</v>
      </c>
      <c r="BT1104" s="298" t="str">
        <f>+VLOOKUP(G1104,Liste!$A$7:$H$50,8,FALSE)</f>
        <v>Résineux</v>
      </c>
      <c r="BU1104" s="298">
        <f t="shared" si="343"/>
        <v>0</v>
      </c>
      <c r="BV1104" s="300">
        <f t="shared" si="344"/>
        <v>1</v>
      </c>
      <c r="BW1104" s="321">
        <v>0</v>
      </c>
      <c r="BX1104" s="298">
        <f t="shared" si="345"/>
        <v>0.43</v>
      </c>
      <c r="BY1104">
        <f t="shared" si="346"/>
        <v>0</v>
      </c>
      <c r="BZ1104" s="304">
        <f t="shared" si="347"/>
        <v>0</v>
      </c>
      <c r="CB1104" s="299">
        <v>0.6</v>
      </c>
      <c r="CC1104" s="299">
        <v>0.4</v>
      </c>
      <c r="CD1104">
        <f t="shared" si="348"/>
        <v>0</v>
      </c>
      <c r="CE1104">
        <f t="shared" si="349"/>
        <v>0</v>
      </c>
      <c r="CF1104">
        <f t="shared" si="350"/>
        <v>0</v>
      </c>
      <c r="CG1104">
        <f t="shared" si="351"/>
        <v>0</v>
      </c>
      <c r="CH1104">
        <f t="shared" si="352"/>
        <v>0</v>
      </c>
      <c r="CI1104">
        <f t="shared" si="353"/>
        <v>0</v>
      </c>
      <c r="CJ1104">
        <f t="shared" si="354"/>
        <v>0</v>
      </c>
      <c r="CK1104">
        <f t="shared" si="355"/>
        <v>0</v>
      </c>
      <c r="CL1104">
        <f t="shared" si="356"/>
        <v>0</v>
      </c>
      <c r="CM1104">
        <f t="shared" si="358"/>
        <v>0</v>
      </c>
      <c r="CN1104">
        <f t="shared" si="357"/>
        <v>0</v>
      </c>
      <c r="CO1104">
        <f t="shared" si="341"/>
        <v>0</v>
      </c>
    </row>
    <row r="1105" spans="1:93" x14ac:dyDescent="0.25">
      <c r="A1105" s="4">
        <v>2021</v>
      </c>
      <c r="B1105" s="318">
        <v>44279</v>
      </c>
      <c r="C1105" s="4" t="s">
        <v>1494</v>
      </c>
      <c r="D1105" s="4" t="s">
        <v>1495</v>
      </c>
      <c r="F1105" s="4" t="s">
        <v>1496</v>
      </c>
      <c r="G1105" s="5" t="s">
        <v>432</v>
      </c>
      <c r="H1105" s="5" t="s">
        <v>1498</v>
      </c>
      <c r="I1105" s="5" t="s">
        <v>226</v>
      </c>
      <c r="J1105" s="5" t="s">
        <v>9</v>
      </c>
      <c r="K1105" s="5">
        <v>20.399999999999999</v>
      </c>
      <c r="L1105" s="5" t="s">
        <v>190</v>
      </c>
      <c r="M1105" s="5">
        <v>1600</v>
      </c>
      <c r="N1105" s="5" t="s">
        <v>170</v>
      </c>
      <c r="O1105" s="6" t="s">
        <v>1499</v>
      </c>
      <c r="P1105" s="6" t="s">
        <v>1500</v>
      </c>
      <c r="S1105" s="6">
        <v>40</v>
      </c>
      <c r="T1105" s="6">
        <v>16.829999999999998</v>
      </c>
      <c r="U1105" s="6">
        <v>1499</v>
      </c>
      <c r="V1105" s="6">
        <v>24.88</v>
      </c>
      <c r="W1105" s="6">
        <v>27</v>
      </c>
      <c r="X1105" s="6">
        <v>516</v>
      </c>
      <c r="Y1105" s="6">
        <v>633</v>
      </c>
      <c r="Z1105" s="6">
        <v>307</v>
      </c>
      <c r="AA1105" s="6">
        <v>15</v>
      </c>
      <c r="AB1105" s="6">
        <v>0</v>
      </c>
      <c r="AC1105" s="7">
        <v>75</v>
      </c>
      <c r="AD1105" s="7" t="str">
        <f t="shared" si="359"/>
        <v>av</v>
      </c>
      <c r="AE1105" s="7">
        <v>25.09</v>
      </c>
      <c r="AF1105" s="7">
        <v>353</v>
      </c>
      <c r="AG1105" s="7">
        <v>33.270000000000003</v>
      </c>
      <c r="AH1105" s="7">
        <v>34.64</v>
      </c>
      <c r="AI1105" s="7">
        <v>41.26</v>
      </c>
      <c r="AJ1105" s="9">
        <v>365.86877569793</v>
      </c>
      <c r="AK1105" s="9">
        <v>368.83628266069201</v>
      </c>
      <c r="AL1105" s="9">
        <v>438.90810728060501</v>
      </c>
      <c r="AM1105" s="9">
        <v>75.287577381944203</v>
      </c>
      <c r="AN1105" s="9">
        <v>1.0038343650925901</v>
      </c>
      <c r="AO1105" s="9">
        <v>0.86362041341460305</v>
      </c>
      <c r="AP1105" s="9">
        <v>914.46821291109995</v>
      </c>
      <c r="AQ1105" s="9">
        <v>12.1929095054813</v>
      </c>
      <c r="AR1105" s="9">
        <v>13.4071239800023</v>
      </c>
      <c r="AS1105" s="8" t="s">
        <v>169</v>
      </c>
      <c r="AT1105" s="8" t="s">
        <v>169</v>
      </c>
      <c r="AU1105" s="10" t="s">
        <v>169</v>
      </c>
      <c r="AV1105" s="10">
        <v>0</v>
      </c>
      <c r="AX1105" s="10" t="s">
        <v>169</v>
      </c>
      <c r="BF1105" s="12">
        <v>0.38</v>
      </c>
      <c r="BG1105" s="13">
        <v>290.48401566854699</v>
      </c>
      <c r="BH1105" s="96" t="str">
        <f>+VLOOKUP(G1105,Liste!$A$7:$G$50,3,FALSE)</f>
        <v>Sapin pectiné</v>
      </c>
      <c r="BI1105" s="96" t="str">
        <f>+VLOOKUP(H1105,Liste!$B$7:$G$50,5,FALSE)</f>
        <v>GSM Alpes du Sud</v>
      </c>
      <c r="BJ1105" s="135">
        <f t="shared" si="340"/>
        <v>75</v>
      </c>
      <c r="BK1105" s="135" t="str">
        <f t="shared" si="342"/>
        <v>Sapin pectiné_F1_SP1_d5_GSM Alpes du Sud_75_</v>
      </c>
      <c r="BL1105" s="322"/>
      <c r="BM1105" s="13">
        <v>73.793006774539705</v>
      </c>
      <c r="BN1105" s="13">
        <v>364.27702244308699</v>
      </c>
      <c r="BO1105" s="13" t="s">
        <v>169</v>
      </c>
      <c r="BP1105" s="13">
        <v>243.702592422522</v>
      </c>
      <c r="BQ1105" s="13">
        <v>10.694312145961399</v>
      </c>
      <c r="BT1105" s="298" t="str">
        <f>+VLOOKUP(G1105,Liste!$A$7:$H$50,8,FALSE)</f>
        <v>Résineux</v>
      </c>
      <c r="BU1105" s="298">
        <f t="shared" si="343"/>
        <v>0</v>
      </c>
      <c r="BV1105" s="300">
        <f t="shared" si="344"/>
        <v>1</v>
      </c>
      <c r="BW1105" s="321">
        <v>0</v>
      </c>
      <c r="BX1105" s="298">
        <f t="shared" si="345"/>
        <v>0.43</v>
      </c>
      <c r="BY1105">
        <f t="shared" si="346"/>
        <v>0</v>
      </c>
      <c r="BZ1105" s="304">
        <f t="shared" si="347"/>
        <v>0</v>
      </c>
      <c r="CB1105" s="299">
        <v>0.6</v>
      </c>
      <c r="CC1105" s="299">
        <v>0.4</v>
      </c>
      <c r="CD1105">
        <f t="shared" si="348"/>
        <v>0</v>
      </c>
      <c r="CE1105">
        <f t="shared" si="349"/>
        <v>0</v>
      </c>
      <c r="CF1105">
        <f t="shared" si="350"/>
        <v>0</v>
      </c>
      <c r="CG1105">
        <f t="shared" si="351"/>
        <v>0</v>
      </c>
      <c r="CH1105">
        <f t="shared" si="352"/>
        <v>0</v>
      </c>
      <c r="CI1105">
        <f t="shared" si="353"/>
        <v>0</v>
      </c>
      <c r="CJ1105">
        <f t="shared" si="354"/>
        <v>0</v>
      </c>
      <c r="CK1105">
        <f t="shared" si="355"/>
        <v>0</v>
      </c>
      <c r="CL1105">
        <f t="shared" si="356"/>
        <v>0</v>
      </c>
      <c r="CM1105">
        <f t="shared" si="358"/>
        <v>0</v>
      </c>
      <c r="CN1105">
        <f t="shared" si="357"/>
        <v>0</v>
      </c>
      <c r="CO1105">
        <f t="shared" si="341"/>
        <v>0</v>
      </c>
    </row>
    <row r="1106" spans="1:93" x14ac:dyDescent="0.25">
      <c r="A1106" s="4">
        <v>2021</v>
      </c>
      <c r="B1106" s="318">
        <v>44279</v>
      </c>
      <c r="C1106" s="4" t="s">
        <v>1494</v>
      </c>
      <c r="D1106" s="4" t="s">
        <v>1495</v>
      </c>
      <c r="F1106" s="4" t="s">
        <v>1496</v>
      </c>
      <c r="G1106" s="5" t="s">
        <v>432</v>
      </c>
      <c r="H1106" s="5" t="s">
        <v>1498</v>
      </c>
      <c r="I1106" s="5" t="s">
        <v>226</v>
      </c>
      <c r="J1106" s="5" t="s">
        <v>9</v>
      </c>
      <c r="K1106" s="5">
        <v>20.399999999999999</v>
      </c>
      <c r="L1106" s="5" t="s">
        <v>190</v>
      </c>
      <c r="M1106" s="5">
        <v>1600</v>
      </c>
      <c r="N1106" s="5" t="s">
        <v>170</v>
      </c>
      <c r="O1106" s="6" t="s">
        <v>1499</v>
      </c>
      <c r="P1106" s="6" t="s">
        <v>1500</v>
      </c>
      <c r="S1106" s="6">
        <v>40</v>
      </c>
      <c r="T1106" s="6">
        <v>16.829999999999998</v>
      </c>
      <c r="U1106" s="6">
        <v>1499</v>
      </c>
      <c r="V1106" s="6">
        <v>24.88</v>
      </c>
      <c r="W1106" s="6">
        <v>27</v>
      </c>
      <c r="X1106" s="6">
        <v>516</v>
      </c>
      <c r="Y1106" s="6">
        <v>633</v>
      </c>
      <c r="Z1106" s="6">
        <v>307</v>
      </c>
      <c r="AA1106" s="6">
        <v>15</v>
      </c>
      <c r="AB1106" s="6">
        <v>0</v>
      </c>
      <c r="AC1106" s="7">
        <v>80</v>
      </c>
      <c r="AD1106" s="7" t="str">
        <f t="shared" si="359"/>
        <v>av</v>
      </c>
      <c r="AE1106" s="7">
        <v>25.64</v>
      </c>
      <c r="AF1106" s="7">
        <v>348</v>
      </c>
      <c r="AG1106" s="7">
        <v>37.020000000000003</v>
      </c>
      <c r="AH1106" s="7">
        <v>36.799999999999997</v>
      </c>
      <c r="AI1106" s="7">
        <v>43.59</v>
      </c>
      <c r="AJ1106" s="9">
        <v>415.80176847375901</v>
      </c>
      <c r="AK1106" s="9">
        <v>419.39690140632302</v>
      </c>
      <c r="AL1106" s="9">
        <v>498.28561491593001</v>
      </c>
      <c r="AM1106" s="9">
        <v>79.605679449017202</v>
      </c>
      <c r="AN1106" s="9">
        <v>0.99507099311271496</v>
      </c>
      <c r="AO1106" s="9">
        <v>0.72560775843022296</v>
      </c>
      <c r="AP1106" s="9">
        <v>981.50383281111101</v>
      </c>
      <c r="AQ1106" s="9">
        <v>12.2687979101389</v>
      </c>
      <c r="AR1106" s="9">
        <v>11.3870988882506</v>
      </c>
      <c r="AS1106" s="8" t="s">
        <v>169</v>
      </c>
      <c r="AT1106" s="8" t="s">
        <v>169</v>
      </c>
      <c r="AU1106" s="10" t="s">
        <v>169</v>
      </c>
      <c r="AV1106" s="10">
        <v>0</v>
      </c>
      <c r="AX1106" s="10" t="s">
        <v>169</v>
      </c>
      <c r="BF1106" s="12">
        <v>0.38</v>
      </c>
      <c r="BG1106" s="13">
        <v>329.78202947186003</v>
      </c>
      <c r="BH1106" s="96" t="str">
        <f>+VLOOKUP(G1106,Liste!$A$7:$G$50,3,FALSE)</f>
        <v>Sapin pectiné</v>
      </c>
      <c r="BI1106" s="96" t="str">
        <f>+VLOOKUP(H1106,Liste!$B$7:$G$50,5,FALSE)</f>
        <v>GSM Alpes du Sud</v>
      </c>
      <c r="BJ1106" s="135">
        <f t="shared" si="340"/>
        <v>80</v>
      </c>
      <c r="BK1106" s="135" t="str">
        <f t="shared" si="342"/>
        <v>Sapin pectiné_F1_SP1_d5_GSM Alpes du Sud_80_</v>
      </c>
      <c r="BL1106" s="322"/>
      <c r="BM1106" s="13">
        <v>82.547848919288697</v>
      </c>
      <c r="BN1106" s="13">
        <v>412.32987839114799</v>
      </c>
      <c r="BO1106" s="13" t="s">
        <v>169</v>
      </c>
      <c r="BP1106" s="13">
        <v>243.702592422522</v>
      </c>
      <c r="BQ1106" s="13">
        <v>9.0716451044248991</v>
      </c>
      <c r="BT1106" s="298" t="str">
        <f>+VLOOKUP(G1106,Liste!$A$7:$H$50,8,FALSE)</f>
        <v>Résineux</v>
      </c>
      <c r="BU1106" s="298">
        <f t="shared" si="343"/>
        <v>0</v>
      </c>
      <c r="BV1106" s="300">
        <f t="shared" si="344"/>
        <v>1</v>
      </c>
      <c r="BW1106" s="321">
        <v>0</v>
      </c>
      <c r="BX1106" s="298">
        <f t="shared" si="345"/>
        <v>0.43</v>
      </c>
      <c r="BY1106">
        <f t="shared" si="346"/>
        <v>0</v>
      </c>
      <c r="BZ1106" s="304">
        <f t="shared" si="347"/>
        <v>0</v>
      </c>
      <c r="CB1106" s="299">
        <v>0.6</v>
      </c>
      <c r="CC1106" s="299">
        <v>0.4</v>
      </c>
      <c r="CD1106">
        <f t="shared" si="348"/>
        <v>0</v>
      </c>
      <c r="CE1106">
        <f t="shared" si="349"/>
        <v>0</v>
      </c>
      <c r="CF1106">
        <f t="shared" si="350"/>
        <v>0</v>
      </c>
      <c r="CG1106">
        <f t="shared" si="351"/>
        <v>0</v>
      </c>
      <c r="CH1106">
        <f t="shared" si="352"/>
        <v>0</v>
      </c>
      <c r="CI1106">
        <f t="shared" si="353"/>
        <v>0</v>
      </c>
      <c r="CJ1106">
        <f t="shared" si="354"/>
        <v>0</v>
      </c>
      <c r="CK1106">
        <f t="shared" si="355"/>
        <v>0</v>
      </c>
      <c r="CL1106">
        <f t="shared" si="356"/>
        <v>0</v>
      </c>
      <c r="CM1106">
        <f t="shared" si="358"/>
        <v>0</v>
      </c>
      <c r="CN1106">
        <f t="shared" si="357"/>
        <v>0</v>
      </c>
      <c r="CO1106">
        <f t="shared" si="341"/>
        <v>0</v>
      </c>
    </row>
    <row r="1107" spans="1:93" x14ac:dyDescent="0.25">
      <c r="A1107" s="4">
        <v>2021</v>
      </c>
      <c r="B1107" s="318">
        <v>44279</v>
      </c>
      <c r="C1107" s="4" t="s">
        <v>1494</v>
      </c>
      <c r="D1107" s="4" t="s">
        <v>1495</v>
      </c>
      <c r="F1107" s="4" t="s">
        <v>1496</v>
      </c>
      <c r="G1107" s="5" t="s">
        <v>432</v>
      </c>
      <c r="H1107" s="5" t="s">
        <v>1498</v>
      </c>
      <c r="I1107" s="5" t="s">
        <v>226</v>
      </c>
      <c r="J1107" s="5" t="s">
        <v>9</v>
      </c>
      <c r="K1107" s="5">
        <v>20.399999999999999</v>
      </c>
      <c r="L1107" s="5" t="s">
        <v>190</v>
      </c>
      <c r="M1107" s="5">
        <v>1600</v>
      </c>
      <c r="N1107" s="5" t="s">
        <v>170</v>
      </c>
      <c r="O1107" s="6" t="s">
        <v>1499</v>
      </c>
      <c r="P1107" s="6" t="s">
        <v>1500</v>
      </c>
      <c r="S1107" s="6">
        <v>40</v>
      </c>
      <c r="T1107" s="6">
        <v>16.829999999999998</v>
      </c>
      <c r="U1107" s="6">
        <v>1499</v>
      </c>
      <c r="V1107" s="6">
        <v>24.88</v>
      </c>
      <c r="W1107" s="6">
        <v>27</v>
      </c>
      <c r="X1107" s="6">
        <v>516</v>
      </c>
      <c r="Y1107" s="6">
        <v>633</v>
      </c>
      <c r="Z1107" s="6">
        <v>307</v>
      </c>
      <c r="AA1107" s="6">
        <v>15</v>
      </c>
      <c r="AB1107" s="6">
        <v>0</v>
      </c>
      <c r="AC1107" s="7">
        <v>80</v>
      </c>
      <c r="AD1107" s="7" t="str">
        <f t="shared" si="359"/>
        <v>ap</v>
      </c>
      <c r="AE1107" s="7">
        <v>25.54</v>
      </c>
      <c r="AF1107" s="7">
        <v>270</v>
      </c>
      <c r="AG1107" s="7">
        <v>29.1</v>
      </c>
      <c r="AH1107" s="7">
        <v>37.04</v>
      </c>
      <c r="AI1107" s="7">
        <v>43.36</v>
      </c>
      <c r="AJ1107" s="9">
        <v>328.46301354395302</v>
      </c>
      <c r="AK1107" s="9">
        <v>331.32377908618298</v>
      </c>
      <c r="AL1107" s="9">
        <v>393.39676511066801</v>
      </c>
      <c r="AM1107" s="9">
        <v>79.605679449017202</v>
      </c>
      <c r="AN1107" s="9">
        <v>0.99507099311271496</v>
      </c>
      <c r="AO1107" s="9">
        <v>0.72560775843022296</v>
      </c>
      <c r="AP1107" s="9">
        <v>981.50383281111203</v>
      </c>
      <c r="AQ1107" s="9">
        <v>12.2687979101389</v>
      </c>
      <c r="AR1107" s="9">
        <v>11.3870988882506</v>
      </c>
      <c r="AS1107" s="8">
        <v>78</v>
      </c>
      <c r="AT1107" s="8">
        <v>7.9200000000000017</v>
      </c>
      <c r="AU1107" s="10">
        <v>35.955915305042595</v>
      </c>
      <c r="AV1107" s="10">
        <v>87.338754929805987</v>
      </c>
      <c r="AW1107" s="8">
        <v>0.96</v>
      </c>
      <c r="AX1107" s="10">
        <v>1.119727627305205</v>
      </c>
      <c r="BF1107" s="12">
        <v>0.38</v>
      </c>
      <c r="BG1107" s="13">
        <v>260.36309237574397</v>
      </c>
      <c r="BH1107" s="96" t="str">
        <f>+VLOOKUP(G1107,Liste!$A$7:$G$50,3,FALSE)</f>
        <v>Sapin pectiné</v>
      </c>
      <c r="BI1107" s="96" t="str">
        <f>+VLOOKUP(H1107,Liste!$B$7:$G$50,5,FALSE)</f>
        <v>GSM Alpes du Sud</v>
      </c>
      <c r="BJ1107" s="135">
        <f t="shared" si="340"/>
        <v>80</v>
      </c>
      <c r="BK1107" s="135" t="str">
        <f t="shared" si="342"/>
        <v>Sapin pectiné_F1_SP1_d5_GSM Alpes du Sud_80_</v>
      </c>
      <c r="BL1107" s="322"/>
      <c r="BM1107" s="13">
        <v>66.989443809404904</v>
      </c>
      <c r="BN1107" s="13">
        <v>327.35253618514798</v>
      </c>
      <c r="BO1107" s="13">
        <v>84.977342206000003</v>
      </c>
      <c r="BP1107" s="13">
        <v>243.702592422522</v>
      </c>
      <c r="BQ1107" s="13">
        <v>9.0716451044248991</v>
      </c>
      <c r="BT1107" s="298" t="str">
        <f>+VLOOKUP(G1107,Liste!$A$7:$H$50,8,FALSE)</f>
        <v>Résineux</v>
      </c>
      <c r="BU1107" s="298">
        <f t="shared" si="343"/>
        <v>0</v>
      </c>
      <c r="BV1107" s="300">
        <f t="shared" si="344"/>
        <v>1</v>
      </c>
      <c r="BW1107" s="321">
        <v>0</v>
      </c>
      <c r="BX1107" s="298">
        <f t="shared" si="345"/>
        <v>0.43</v>
      </c>
      <c r="BY1107">
        <f t="shared" si="346"/>
        <v>0</v>
      </c>
      <c r="BZ1107" s="304">
        <f t="shared" si="347"/>
        <v>0</v>
      </c>
      <c r="CB1107" s="299">
        <v>0.6</v>
      </c>
      <c r="CC1107" s="299">
        <v>0.4</v>
      </c>
      <c r="CD1107">
        <f t="shared" si="348"/>
        <v>0</v>
      </c>
      <c r="CE1107">
        <f t="shared" si="349"/>
        <v>0</v>
      </c>
      <c r="CF1107">
        <f t="shared" si="350"/>
        <v>0</v>
      </c>
      <c r="CG1107">
        <f t="shared" si="351"/>
        <v>0</v>
      </c>
      <c r="CH1107">
        <f t="shared" si="352"/>
        <v>0</v>
      </c>
      <c r="CI1107">
        <f t="shared" si="353"/>
        <v>0</v>
      </c>
      <c r="CJ1107">
        <f t="shared" si="354"/>
        <v>0</v>
      </c>
      <c r="CK1107">
        <f t="shared" si="355"/>
        <v>0</v>
      </c>
      <c r="CL1107">
        <f t="shared" si="356"/>
        <v>0</v>
      </c>
      <c r="CM1107">
        <f t="shared" si="358"/>
        <v>0</v>
      </c>
      <c r="CN1107">
        <f t="shared" si="357"/>
        <v>0</v>
      </c>
      <c r="CO1107">
        <f t="shared" si="341"/>
        <v>0</v>
      </c>
    </row>
    <row r="1108" spans="1:93" x14ac:dyDescent="0.25">
      <c r="A1108" s="4">
        <v>2021</v>
      </c>
      <c r="B1108" s="318">
        <v>44279</v>
      </c>
      <c r="C1108" s="4" t="s">
        <v>1494</v>
      </c>
      <c r="D1108" s="4" t="s">
        <v>1495</v>
      </c>
      <c r="F1108" s="4" t="s">
        <v>1496</v>
      </c>
      <c r="G1108" s="5" t="s">
        <v>432</v>
      </c>
      <c r="H1108" s="5" t="s">
        <v>1498</v>
      </c>
      <c r="I1108" s="5" t="s">
        <v>226</v>
      </c>
      <c r="J1108" s="5" t="s">
        <v>9</v>
      </c>
      <c r="K1108" s="5">
        <v>20.399999999999999</v>
      </c>
      <c r="L1108" s="5" t="s">
        <v>190</v>
      </c>
      <c r="M1108" s="5">
        <v>1600</v>
      </c>
      <c r="N1108" s="5" t="s">
        <v>170</v>
      </c>
      <c r="O1108" s="6" t="s">
        <v>1499</v>
      </c>
      <c r="P1108" s="6" t="s">
        <v>1500</v>
      </c>
      <c r="S1108" s="6">
        <v>40</v>
      </c>
      <c r="T1108" s="6">
        <v>16.829999999999998</v>
      </c>
      <c r="U1108" s="6">
        <v>1499</v>
      </c>
      <c r="V1108" s="6">
        <v>24.88</v>
      </c>
      <c r="W1108" s="6">
        <v>27</v>
      </c>
      <c r="X1108" s="6">
        <v>516</v>
      </c>
      <c r="Y1108" s="6">
        <v>633</v>
      </c>
      <c r="Z1108" s="6">
        <v>307</v>
      </c>
      <c r="AA1108" s="6">
        <v>15</v>
      </c>
      <c r="AB1108" s="6">
        <v>0</v>
      </c>
      <c r="AC1108" s="7">
        <v>85</v>
      </c>
      <c r="AD1108" s="7" t="str">
        <f t="shared" si="359"/>
        <v>av</v>
      </c>
      <c r="AE1108" s="7">
        <v>26.08</v>
      </c>
      <c r="AF1108" s="7">
        <v>268</v>
      </c>
      <c r="AG1108" s="7">
        <v>32.549999999999997</v>
      </c>
      <c r="AH1108" s="7">
        <v>39.33</v>
      </c>
      <c r="AI1108" s="7">
        <v>45.81</v>
      </c>
      <c r="AJ1108" s="9">
        <v>374.38222378373302</v>
      </c>
      <c r="AK1108" s="9">
        <v>377.85588350122799</v>
      </c>
      <c r="AL1108" s="9">
        <v>448.26214510113101</v>
      </c>
      <c r="AM1108" s="9">
        <v>83.233718241168305</v>
      </c>
      <c r="AN1108" s="9">
        <v>0.97922021460198105</v>
      </c>
      <c r="AO1108" s="9">
        <v>0.70109873486978203</v>
      </c>
      <c r="AP1108" s="9">
        <v>1038.43932725236</v>
      </c>
      <c r="AQ1108" s="9">
        <v>12.2169332617925</v>
      </c>
      <c r="AR1108" s="9">
        <v>11.102325188897201</v>
      </c>
      <c r="AS1108" s="8" t="s">
        <v>169</v>
      </c>
      <c r="AT1108" s="8" t="s">
        <v>169</v>
      </c>
      <c r="AU1108" s="10" t="s">
        <v>169</v>
      </c>
      <c r="AV1108" s="10">
        <v>0</v>
      </c>
      <c r="AX1108" s="10" t="s">
        <v>169</v>
      </c>
      <c r="BF1108" s="12">
        <v>0.38</v>
      </c>
      <c r="BG1108" s="13">
        <v>296.674829699432</v>
      </c>
      <c r="BH1108" s="96" t="str">
        <f>+VLOOKUP(G1108,Liste!$A$7:$G$50,3,FALSE)</f>
        <v>Sapin pectiné</v>
      </c>
      <c r="BI1108" s="96" t="str">
        <f>+VLOOKUP(H1108,Liste!$B$7:$G$50,5,FALSE)</f>
        <v>GSM Alpes du Sud</v>
      </c>
      <c r="BJ1108" s="135">
        <f t="shared" si="340"/>
        <v>85</v>
      </c>
      <c r="BK1108" s="135" t="str">
        <f t="shared" si="342"/>
        <v>Sapin pectiné_F1_SP1_d5_GSM Alpes du Sud_85_</v>
      </c>
      <c r="BL1108" s="322"/>
      <c r="BM1108" s="13">
        <v>75.180917862659399</v>
      </c>
      <c r="BN1108" s="13">
        <v>371.85574756209098</v>
      </c>
      <c r="BO1108" s="13" t="s">
        <v>169</v>
      </c>
      <c r="BP1108" s="13">
        <v>243.702592422522</v>
      </c>
      <c r="BQ1108" s="13">
        <v>8.8353640609578896</v>
      </c>
      <c r="BT1108" s="298" t="str">
        <f>+VLOOKUP(G1108,Liste!$A$7:$H$50,8,FALSE)</f>
        <v>Résineux</v>
      </c>
      <c r="BU1108" s="298">
        <f t="shared" si="343"/>
        <v>0</v>
      </c>
      <c r="BV1108" s="300">
        <f t="shared" si="344"/>
        <v>1</v>
      </c>
      <c r="BW1108" s="321">
        <v>0</v>
      </c>
      <c r="BX1108" s="298">
        <f t="shared" si="345"/>
        <v>0.43</v>
      </c>
      <c r="BY1108">
        <f t="shared" si="346"/>
        <v>0</v>
      </c>
      <c r="BZ1108" s="304">
        <f t="shared" si="347"/>
        <v>0</v>
      </c>
      <c r="CB1108" s="299">
        <v>0.6</v>
      </c>
      <c r="CC1108" s="299">
        <v>0.4</v>
      </c>
      <c r="CD1108">
        <f t="shared" si="348"/>
        <v>0</v>
      </c>
      <c r="CE1108">
        <f t="shared" si="349"/>
        <v>0</v>
      </c>
      <c r="CF1108">
        <f t="shared" si="350"/>
        <v>0</v>
      </c>
      <c r="CG1108">
        <f t="shared" si="351"/>
        <v>0</v>
      </c>
      <c r="CH1108">
        <f t="shared" si="352"/>
        <v>0</v>
      </c>
      <c r="CI1108">
        <f t="shared" si="353"/>
        <v>0</v>
      </c>
      <c r="CJ1108">
        <f t="shared" si="354"/>
        <v>0</v>
      </c>
      <c r="CK1108">
        <f t="shared" si="355"/>
        <v>0</v>
      </c>
      <c r="CL1108">
        <f t="shared" si="356"/>
        <v>0</v>
      </c>
      <c r="CM1108">
        <f t="shared" si="358"/>
        <v>0</v>
      </c>
      <c r="CN1108">
        <f t="shared" si="357"/>
        <v>0</v>
      </c>
      <c r="CO1108">
        <f t="shared" si="341"/>
        <v>0</v>
      </c>
    </row>
    <row r="1109" spans="1:93" x14ac:dyDescent="0.25">
      <c r="A1109" s="4">
        <v>2021</v>
      </c>
      <c r="B1109" s="318">
        <v>44279</v>
      </c>
      <c r="C1109" s="4" t="s">
        <v>1494</v>
      </c>
      <c r="D1109" s="4" t="s">
        <v>1495</v>
      </c>
      <c r="F1109" s="4" t="s">
        <v>1496</v>
      </c>
      <c r="G1109" s="5" t="s">
        <v>432</v>
      </c>
      <c r="H1109" s="5" t="s">
        <v>1498</v>
      </c>
      <c r="I1109" s="5" t="s">
        <v>226</v>
      </c>
      <c r="J1109" s="5" t="s">
        <v>9</v>
      </c>
      <c r="K1109" s="5">
        <v>20.399999999999999</v>
      </c>
      <c r="L1109" s="5" t="s">
        <v>190</v>
      </c>
      <c r="M1109" s="5">
        <v>1600</v>
      </c>
      <c r="N1109" s="5" t="s">
        <v>170</v>
      </c>
      <c r="O1109" s="6" t="s">
        <v>1499</v>
      </c>
      <c r="P1109" s="6" t="s">
        <v>1500</v>
      </c>
      <c r="S1109" s="6">
        <v>40</v>
      </c>
      <c r="T1109" s="6">
        <v>16.829999999999998</v>
      </c>
      <c r="U1109" s="6">
        <v>1499</v>
      </c>
      <c r="V1109" s="6">
        <v>24.88</v>
      </c>
      <c r="W1109" s="6">
        <v>27</v>
      </c>
      <c r="X1109" s="6">
        <v>516</v>
      </c>
      <c r="Y1109" s="6">
        <v>633</v>
      </c>
      <c r="Z1109" s="6">
        <v>307</v>
      </c>
      <c r="AA1109" s="6">
        <v>15</v>
      </c>
      <c r="AB1109" s="6">
        <v>0</v>
      </c>
      <c r="AC1109" s="7">
        <v>90</v>
      </c>
      <c r="AD1109" s="7" t="str">
        <f t="shared" si="359"/>
        <v>av</v>
      </c>
      <c r="AE1109" s="7">
        <v>26.51</v>
      </c>
      <c r="AF1109" s="7">
        <v>266</v>
      </c>
      <c r="AG1109" s="7">
        <v>35.85</v>
      </c>
      <c r="AH1109" s="7">
        <v>41.43</v>
      </c>
      <c r="AI1109" s="7">
        <v>48.04</v>
      </c>
      <c r="AJ1109" s="9">
        <v>418.277090288294</v>
      </c>
      <c r="AK1109" s="9">
        <v>422.38176581744</v>
      </c>
      <c r="AL1109" s="9">
        <v>500.98851811011002</v>
      </c>
      <c r="AM1109" s="9">
        <v>86.739211915517302</v>
      </c>
      <c r="AN1109" s="9">
        <v>0.96376902128352504</v>
      </c>
      <c r="AO1109" s="9">
        <v>0.608372434867405</v>
      </c>
      <c r="AP1109" s="9">
        <v>1093.9509531968499</v>
      </c>
      <c r="AQ1109" s="9">
        <v>12.155010591076101</v>
      </c>
      <c r="AR1109" s="9">
        <v>9.7990341303852304</v>
      </c>
      <c r="AS1109" s="8" t="s">
        <v>169</v>
      </c>
      <c r="AT1109" s="8" t="s">
        <v>169</v>
      </c>
      <c r="AU1109" s="10" t="s">
        <v>169</v>
      </c>
      <c r="AV1109" s="10">
        <v>0</v>
      </c>
      <c r="AX1109" s="10" t="s">
        <v>169</v>
      </c>
      <c r="BF1109" s="12">
        <v>0.38</v>
      </c>
      <c r="BG1109" s="13">
        <v>331.57090090254098</v>
      </c>
      <c r="BH1109" s="96" t="str">
        <f>+VLOOKUP(G1109,Liste!$A$7:$G$50,3,FALSE)</f>
        <v>Sapin pectiné</v>
      </c>
      <c r="BI1109" s="96" t="str">
        <f>+VLOOKUP(H1109,Liste!$B$7:$G$50,5,FALSE)</f>
        <v>GSM Alpes du Sud</v>
      </c>
      <c r="BJ1109" s="135">
        <f t="shared" si="340"/>
        <v>90</v>
      </c>
      <c r="BK1109" s="135" t="str">
        <f t="shared" si="342"/>
        <v>Sapin pectiné_F1_SP1_d5_GSM Alpes du Sud_90_</v>
      </c>
      <c r="BL1109" s="322"/>
      <c r="BM1109" s="13">
        <v>82.943376485710203</v>
      </c>
      <c r="BN1109" s="13">
        <v>414.514277388251</v>
      </c>
      <c r="BO1109" s="13" t="s">
        <v>169</v>
      </c>
      <c r="BP1109" s="13">
        <v>243.702592422522</v>
      </c>
      <c r="BQ1109" s="13">
        <v>7.7908923608100196</v>
      </c>
      <c r="BT1109" s="298" t="str">
        <f>+VLOOKUP(G1109,Liste!$A$7:$H$50,8,FALSE)</f>
        <v>Résineux</v>
      </c>
      <c r="BU1109" s="298">
        <f t="shared" si="343"/>
        <v>0</v>
      </c>
      <c r="BV1109" s="300">
        <f t="shared" si="344"/>
        <v>1</v>
      </c>
      <c r="BW1109" s="321">
        <v>0</v>
      </c>
      <c r="BX1109" s="298">
        <f t="shared" si="345"/>
        <v>0.43</v>
      </c>
      <c r="BY1109">
        <f t="shared" si="346"/>
        <v>0</v>
      </c>
      <c r="BZ1109" s="304">
        <f t="shared" si="347"/>
        <v>0</v>
      </c>
      <c r="CB1109" s="299">
        <v>0.6</v>
      </c>
      <c r="CC1109" s="299">
        <v>0.4</v>
      </c>
      <c r="CD1109">
        <f t="shared" si="348"/>
        <v>0</v>
      </c>
      <c r="CE1109">
        <f t="shared" si="349"/>
        <v>0</v>
      </c>
      <c r="CF1109">
        <f t="shared" si="350"/>
        <v>0</v>
      </c>
      <c r="CG1109">
        <f t="shared" si="351"/>
        <v>0</v>
      </c>
      <c r="CH1109">
        <f t="shared" si="352"/>
        <v>0</v>
      </c>
      <c r="CI1109">
        <f t="shared" si="353"/>
        <v>0</v>
      </c>
      <c r="CJ1109">
        <f t="shared" si="354"/>
        <v>0</v>
      </c>
      <c r="CK1109">
        <f t="shared" si="355"/>
        <v>0</v>
      </c>
      <c r="CL1109">
        <f t="shared" si="356"/>
        <v>0</v>
      </c>
      <c r="CM1109">
        <f t="shared" si="358"/>
        <v>0</v>
      </c>
      <c r="CN1109">
        <f t="shared" si="357"/>
        <v>0</v>
      </c>
      <c r="CO1109">
        <f t="shared" si="341"/>
        <v>0</v>
      </c>
    </row>
    <row r="1110" spans="1:93" x14ac:dyDescent="0.25">
      <c r="A1110" s="4">
        <v>2021</v>
      </c>
      <c r="B1110" s="318">
        <v>44279</v>
      </c>
      <c r="C1110" s="4" t="s">
        <v>1494</v>
      </c>
      <c r="D1110" s="4" t="s">
        <v>1495</v>
      </c>
      <c r="F1110" s="4" t="s">
        <v>1496</v>
      </c>
      <c r="G1110" s="5" t="s">
        <v>432</v>
      </c>
      <c r="H1110" s="5" t="s">
        <v>1498</v>
      </c>
      <c r="I1110" s="5" t="s">
        <v>226</v>
      </c>
      <c r="J1110" s="5" t="s">
        <v>9</v>
      </c>
      <c r="K1110" s="5">
        <v>20.399999999999999</v>
      </c>
      <c r="L1110" s="5" t="s">
        <v>190</v>
      </c>
      <c r="M1110" s="5">
        <v>1600</v>
      </c>
      <c r="N1110" s="5" t="s">
        <v>170</v>
      </c>
      <c r="O1110" s="6" t="s">
        <v>1499</v>
      </c>
      <c r="P1110" s="6" t="s">
        <v>1500</v>
      </c>
      <c r="S1110" s="6">
        <v>40</v>
      </c>
      <c r="T1110" s="6">
        <v>16.829999999999998</v>
      </c>
      <c r="U1110" s="6">
        <v>1499</v>
      </c>
      <c r="V1110" s="6">
        <v>24.88</v>
      </c>
      <c r="W1110" s="6">
        <v>27</v>
      </c>
      <c r="X1110" s="6">
        <v>516</v>
      </c>
      <c r="Y1110" s="6">
        <v>633</v>
      </c>
      <c r="Z1110" s="6">
        <v>307</v>
      </c>
      <c r="AA1110" s="6">
        <v>15</v>
      </c>
      <c r="AB1110" s="6">
        <v>0</v>
      </c>
      <c r="AC1110" s="7">
        <v>90</v>
      </c>
      <c r="AD1110" s="7" t="str">
        <f t="shared" si="359"/>
        <v>ap</v>
      </c>
      <c r="AE1110" s="7">
        <v>26.42</v>
      </c>
      <c r="AF1110" s="7">
        <v>220</v>
      </c>
      <c r="AG1110" s="7">
        <v>30.19</v>
      </c>
      <c r="AH1110" s="7">
        <v>41.8</v>
      </c>
      <c r="AI1110" s="7">
        <v>47.79</v>
      </c>
      <c r="AJ1110" s="9">
        <v>354.94262169696702</v>
      </c>
      <c r="AK1110" s="9">
        <v>358.42672436199098</v>
      </c>
      <c r="AL1110" s="9">
        <v>424.55833844409199</v>
      </c>
      <c r="AM1110" s="9">
        <v>86.739211915517302</v>
      </c>
      <c r="AN1110" s="9">
        <v>0.96376902128352504</v>
      </c>
      <c r="AO1110" s="9">
        <v>0.608372434867405</v>
      </c>
      <c r="AP1110" s="9">
        <v>1093.9509531968499</v>
      </c>
      <c r="AQ1110" s="9">
        <v>12.155010591076101</v>
      </c>
      <c r="AR1110" s="9">
        <v>9.7990341303852304</v>
      </c>
      <c r="AS1110" s="8">
        <v>46</v>
      </c>
      <c r="AT1110" s="8">
        <v>5.66</v>
      </c>
      <c r="AU1110" s="10">
        <v>39.580780973030393</v>
      </c>
      <c r="AV1110" s="10">
        <v>63.334468591326981</v>
      </c>
      <c r="AW1110" s="8">
        <v>0.91</v>
      </c>
      <c r="AX1110" s="10">
        <v>1.3768362737244997</v>
      </c>
      <c r="BF1110" s="12">
        <v>0.38</v>
      </c>
      <c r="BG1110" s="13">
        <v>280.98686032691501</v>
      </c>
      <c r="BH1110" s="96" t="str">
        <f>+VLOOKUP(G1110,Liste!$A$7:$G$50,3,FALSE)</f>
        <v>Sapin pectiné</v>
      </c>
      <c r="BI1110" s="96" t="str">
        <f>+VLOOKUP(H1110,Liste!$B$7:$G$50,5,FALSE)</f>
        <v>GSM Alpes du Sud</v>
      </c>
      <c r="BJ1110" s="135">
        <f t="shared" si="340"/>
        <v>90</v>
      </c>
      <c r="BK1110" s="135" t="str">
        <f t="shared" si="342"/>
        <v>Sapin pectiné_F1_SP1_d5_GSM Alpes du Sud_90_</v>
      </c>
      <c r="BL1110" s="322"/>
      <c r="BM1110" s="13">
        <v>71.657121013980898</v>
      </c>
      <c r="BN1110" s="13">
        <v>352.643981340896</v>
      </c>
      <c r="BO1110" s="13">
        <v>61.870296047354998</v>
      </c>
      <c r="BP1110" s="13">
        <v>243.702592422522</v>
      </c>
      <c r="BQ1110" s="13">
        <v>7.7908923608100196</v>
      </c>
      <c r="BT1110" s="298" t="str">
        <f>+VLOOKUP(G1110,Liste!$A$7:$H$50,8,FALSE)</f>
        <v>Résineux</v>
      </c>
      <c r="BU1110" s="298">
        <f t="shared" si="343"/>
        <v>0</v>
      </c>
      <c r="BV1110" s="300">
        <f t="shared" si="344"/>
        <v>1</v>
      </c>
      <c r="BW1110" s="321">
        <v>0</v>
      </c>
      <c r="BX1110" s="298">
        <f t="shared" si="345"/>
        <v>0.43</v>
      </c>
      <c r="BY1110">
        <f t="shared" si="346"/>
        <v>0</v>
      </c>
      <c r="BZ1110" s="304">
        <f t="shared" si="347"/>
        <v>0</v>
      </c>
      <c r="CB1110" s="299">
        <v>0.6</v>
      </c>
      <c r="CC1110" s="299">
        <v>0.4</v>
      </c>
      <c r="CD1110">
        <f t="shared" si="348"/>
        <v>0</v>
      </c>
      <c r="CE1110">
        <f t="shared" si="349"/>
        <v>0</v>
      </c>
      <c r="CF1110">
        <f t="shared" si="350"/>
        <v>0</v>
      </c>
      <c r="CG1110">
        <f t="shared" si="351"/>
        <v>0</v>
      </c>
      <c r="CH1110">
        <f t="shared" si="352"/>
        <v>0</v>
      </c>
      <c r="CI1110">
        <f t="shared" si="353"/>
        <v>0</v>
      </c>
      <c r="CJ1110">
        <f t="shared" si="354"/>
        <v>0</v>
      </c>
      <c r="CK1110">
        <f t="shared" si="355"/>
        <v>0</v>
      </c>
      <c r="CL1110">
        <f t="shared" si="356"/>
        <v>0</v>
      </c>
      <c r="CM1110">
        <f t="shared" si="358"/>
        <v>0</v>
      </c>
      <c r="CN1110">
        <f t="shared" si="357"/>
        <v>0</v>
      </c>
      <c r="CO1110">
        <f t="shared" si="341"/>
        <v>0</v>
      </c>
    </row>
    <row r="1111" spans="1:93" x14ac:dyDescent="0.25">
      <c r="A1111" s="4">
        <v>2021</v>
      </c>
      <c r="B1111" s="318">
        <v>44279</v>
      </c>
      <c r="C1111" s="4" t="s">
        <v>1494</v>
      </c>
      <c r="D1111" s="4" t="s">
        <v>1495</v>
      </c>
      <c r="F1111" s="4" t="s">
        <v>1496</v>
      </c>
      <c r="G1111" s="5" t="s">
        <v>432</v>
      </c>
      <c r="H1111" s="5" t="s">
        <v>1498</v>
      </c>
      <c r="I1111" s="5" t="s">
        <v>226</v>
      </c>
      <c r="J1111" s="5" t="s">
        <v>9</v>
      </c>
      <c r="K1111" s="5">
        <v>20.399999999999999</v>
      </c>
      <c r="L1111" s="5" t="s">
        <v>190</v>
      </c>
      <c r="M1111" s="5">
        <v>1600</v>
      </c>
      <c r="N1111" s="5" t="s">
        <v>170</v>
      </c>
      <c r="O1111" s="6" t="s">
        <v>1499</v>
      </c>
      <c r="P1111" s="6" t="s">
        <v>1500</v>
      </c>
      <c r="S1111" s="6">
        <v>40</v>
      </c>
      <c r="T1111" s="6">
        <v>16.829999999999998</v>
      </c>
      <c r="U1111" s="6">
        <v>1499</v>
      </c>
      <c r="V1111" s="6">
        <v>24.88</v>
      </c>
      <c r="W1111" s="6">
        <v>27</v>
      </c>
      <c r="X1111" s="6">
        <v>516</v>
      </c>
      <c r="Y1111" s="6">
        <v>633</v>
      </c>
      <c r="Z1111" s="6">
        <v>307</v>
      </c>
      <c r="AA1111" s="6">
        <v>15</v>
      </c>
      <c r="AB1111" s="6">
        <v>0</v>
      </c>
      <c r="AC1111" s="7">
        <v>95</v>
      </c>
      <c r="AD1111" s="7" t="str">
        <f t="shared" si="359"/>
        <v>av</v>
      </c>
      <c r="AE1111" s="7">
        <v>26.83</v>
      </c>
      <c r="AF1111" s="7">
        <v>218</v>
      </c>
      <c r="AG1111" s="7">
        <v>33.020000000000003</v>
      </c>
      <c r="AH1111" s="7">
        <v>43.92</v>
      </c>
      <c r="AI1111" s="7">
        <v>50.02</v>
      </c>
      <c r="AJ1111" s="9">
        <v>393.48182574904001</v>
      </c>
      <c r="AK1111" s="9">
        <v>397.546499351965</v>
      </c>
      <c r="AL1111" s="9">
        <v>470.86748342517802</v>
      </c>
      <c r="AM1111" s="9">
        <v>89.7810740898543</v>
      </c>
      <c r="AN1111" s="9">
        <v>0.94506393778793996</v>
      </c>
      <c r="AO1111" s="9">
        <v>0.59091954150426296</v>
      </c>
      <c r="AP1111" s="9">
        <v>1142.94612384878</v>
      </c>
      <c r="AQ1111" s="9">
        <v>12.031011829987101</v>
      </c>
      <c r="AR1111" s="9">
        <v>9.5781097075696398</v>
      </c>
      <c r="AS1111" s="8" t="s">
        <v>169</v>
      </c>
      <c r="AT1111" s="8" t="s">
        <v>169</v>
      </c>
      <c r="AU1111" s="10" t="s">
        <v>169</v>
      </c>
      <c r="AV1111" s="10">
        <v>0</v>
      </c>
      <c r="AX1111" s="10" t="s">
        <v>169</v>
      </c>
      <c r="BF1111" s="12">
        <v>0.38</v>
      </c>
      <c r="BG1111" s="13">
        <v>311.63579611356403</v>
      </c>
      <c r="BH1111" s="96" t="str">
        <f>+VLOOKUP(G1111,Liste!$A$7:$G$50,3,FALSE)</f>
        <v>Sapin pectiné</v>
      </c>
      <c r="BI1111" s="96" t="str">
        <f>+VLOOKUP(H1111,Liste!$B$7:$G$50,5,FALSE)</f>
        <v>GSM Alpes du Sud</v>
      </c>
      <c r="BJ1111" s="135">
        <f t="shared" si="340"/>
        <v>95</v>
      </c>
      <c r="BK1111" s="135" t="str">
        <f t="shared" si="342"/>
        <v>Sapin pectiné_F1_SP1_d5_GSM Alpes du Sud_95_</v>
      </c>
      <c r="BL1111" s="322"/>
      <c r="BM1111" s="13">
        <v>78.521246031511595</v>
      </c>
      <c r="BN1111" s="13">
        <v>390.15704214507502</v>
      </c>
      <c r="BO1111" s="13" t="s">
        <v>169</v>
      </c>
      <c r="BP1111" s="13">
        <v>243.702592422522</v>
      </c>
      <c r="BQ1111" s="13">
        <v>7.6089581820411896</v>
      </c>
      <c r="BT1111" s="298" t="str">
        <f>+VLOOKUP(G1111,Liste!$A$7:$H$50,8,FALSE)</f>
        <v>Résineux</v>
      </c>
      <c r="BU1111" s="298">
        <f t="shared" si="343"/>
        <v>0</v>
      </c>
      <c r="BV1111" s="300">
        <f t="shared" si="344"/>
        <v>1</v>
      </c>
      <c r="BW1111" s="321">
        <v>0</v>
      </c>
      <c r="BX1111" s="298">
        <f t="shared" si="345"/>
        <v>0.43</v>
      </c>
      <c r="BY1111">
        <f t="shared" si="346"/>
        <v>0</v>
      </c>
      <c r="BZ1111" s="304">
        <f t="shared" si="347"/>
        <v>0</v>
      </c>
      <c r="CB1111" s="299">
        <v>0.6</v>
      </c>
      <c r="CC1111" s="299">
        <v>0.4</v>
      </c>
      <c r="CD1111">
        <f t="shared" si="348"/>
        <v>0</v>
      </c>
      <c r="CE1111">
        <f t="shared" si="349"/>
        <v>0</v>
      </c>
      <c r="CF1111">
        <f t="shared" si="350"/>
        <v>0</v>
      </c>
      <c r="CG1111">
        <f t="shared" si="351"/>
        <v>0</v>
      </c>
      <c r="CH1111">
        <f t="shared" si="352"/>
        <v>0</v>
      </c>
      <c r="CI1111">
        <f t="shared" si="353"/>
        <v>0</v>
      </c>
      <c r="CJ1111">
        <f t="shared" si="354"/>
        <v>0</v>
      </c>
      <c r="CK1111">
        <f t="shared" si="355"/>
        <v>0</v>
      </c>
      <c r="CL1111">
        <f t="shared" si="356"/>
        <v>0</v>
      </c>
      <c r="CM1111">
        <f t="shared" si="358"/>
        <v>0</v>
      </c>
      <c r="CN1111">
        <f t="shared" si="357"/>
        <v>0</v>
      </c>
      <c r="CO1111">
        <f t="shared" si="341"/>
        <v>0</v>
      </c>
    </row>
    <row r="1112" spans="1:93" x14ac:dyDescent="0.25">
      <c r="A1112" s="4">
        <v>2021</v>
      </c>
      <c r="B1112" s="318">
        <v>44279</v>
      </c>
      <c r="C1112" s="4" t="s">
        <v>1494</v>
      </c>
      <c r="D1112" s="4" t="s">
        <v>1495</v>
      </c>
      <c r="F1112" s="4" t="s">
        <v>1496</v>
      </c>
      <c r="G1112" s="5" t="s">
        <v>432</v>
      </c>
      <c r="H1112" s="5" t="s">
        <v>1498</v>
      </c>
      <c r="I1112" s="5" t="s">
        <v>226</v>
      </c>
      <c r="J1112" s="5" t="s">
        <v>9</v>
      </c>
      <c r="K1112" s="5">
        <v>20.399999999999999</v>
      </c>
      <c r="L1112" s="5" t="s">
        <v>190</v>
      </c>
      <c r="M1112" s="5">
        <v>1600</v>
      </c>
      <c r="N1112" s="5" t="s">
        <v>170</v>
      </c>
      <c r="O1112" s="6" t="s">
        <v>1499</v>
      </c>
      <c r="P1112" s="6" t="s">
        <v>1500</v>
      </c>
      <c r="S1112" s="6">
        <v>40</v>
      </c>
      <c r="T1112" s="6">
        <v>16.829999999999998</v>
      </c>
      <c r="U1112" s="6">
        <v>1499</v>
      </c>
      <c r="V1112" s="6">
        <v>24.88</v>
      </c>
      <c r="W1112" s="6">
        <v>27</v>
      </c>
      <c r="X1112" s="6">
        <v>516</v>
      </c>
      <c r="Y1112" s="6">
        <v>633</v>
      </c>
      <c r="Z1112" s="6">
        <v>307</v>
      </c>
      <c r="AA1112" s="6">
        <v>15</v>
      </c>
      <c r="AB1112" s="6">
        <v>0</v>
      </c>
      <c r="AC1112" s="7">
        <v>100</v>
      </c>
      <c r="AD1112" s="7" t="str">
        <f t="shared" si="359"/>
        <v>av</v>
      </c>
      <c r="AE1112" s="7">
        <v>27.18</v>
      </c>
      <c r="AF1112" s="7">
        <v>217</v>
      </c>
      <c r="AG1112" s="7">
        <v>35.880000000000003</v>
      </c>
      <c r="AH1112" s="7">
        <v>45.88</v>
      </c>
      <c r="AI1112" s="7">
        <v>52.09</v>
      </c>
      <c r="AJ1112" s="9">
        <v>432.13598821289003</v>
      </c>
      <c r="AK1112" s="9">
        <v>436.81148742430298</v>
      </c>
      <c r="AL1112" s="9">
        <v>517.53976602417094</v>
      </c>
      <c r="AM1112" s="9">
        <v>92.735671797375602</v>
      </c>
      <c r="AN1112" s="9">
        <v>0.92735671797375596</v>
      </c>
      <c r="AO1112" s="9">
        <v>0.41890245257104702</v>
      </c>
      <c r="AP1112" s="9">
        <v>1190.83667238662</v>
      </c>
      <c r="AQ1112" s="9">
        <v>11.9083667238662</v>
      </c>
      <c r="AR1112" s="9">
        <v>6.5526863019905699</v>
      </c>
      <c r="AS1112" s="8" t="s">
        <v>169</v>
      </c>
      <c r="AT1112" s="8" t="s">
        <v>169</v>
      </c>
      <c r="AU1112" s="10" t="s">
        <v>169</v>
      </c>
      <c r="AV1112" s="10">
        <v>0</v>
      </c>
      <c r="AX1112" s="10" t="s">
        <v>169</v>
      </c>
      <c r="BF1112" s="12">
        <v>0.38</v>
      </c>
      <c r="BG1112" s="13">
        <v>342.52506848033102</v>
      </c>
      <c r="BH1112" s="96" t="str">
        <f>+VLOOKUP(G1112,Liste!$A$7:$G$50,3,FALSE)</f>
        <v>Sapin pectiné</v>
      </c>
      <c r="BI1112" s="96" t="str">
        <f>+VLOOKUP(H1112,Liste!$B$7:$G$50,5,FALSE)</f>
        <v>GSM Alpes du Sud</v>
      </c>
      <c r="BJ1112" s="135">
        <f t="shared" si="340"/>
        <v>100</v>
      </c>
      <c r="BK1112" s="135" t="str">
        <f t="shared" si="342"/>
        <v>Sapin pectiné_F1_SP1_d5_GSM Alpes du Sud_100_</v>
      </c>
      <c r="BL1112" s="322"/>
      <c r="BM1112" s="13">
        <v>85.360031452951006</v>
      </c>
      <c r="BN1112" s="13">
        <v>427.88509993328199</v>
      </c>
      <c r="BO1112" s="13" t="s">
        <v>169</v>
      </c>
      <c r="BP1112" s="13">
        <v>243.702592422522</v>
      </c>
      <c r="BQ1112" s="13">
        <v>5.2020944500849096</v>
      </c>
      <c r="BT1112" s="298" t="str">
        <f>+VLOOKUP(G1112,Liste!$A$7:$H$50,8,FALSE)</f>
        <v>Résineux</v>
      </c>
      <c r="BU1112" s="298">
        <f t="shared" si="343"/>
        <v>0</v>
      </c>
      <c r="BV1112" s="300">
        <f t="shared" si="344"/>
        <v>1</v>
      </c>
      <c r="BW1112" s="321">
        <v>0</v>
      </c>
      <c r="BX1112" s="298">
        <f t="shared" si="345"/>
        <v>0.43</v>
      </c>
      <c r="BY1112">
        <f t="shared" si="346"/>
        <v>0</v>
      </c>
      <c r="BZ1112" s="304">
        <f t="shared" si="347"/>
        <v>0</v>
      </c>
      <c r="CB1112" s="299">
        <v>0.6</v>
      </c>
      <c r="CC1112" s="299">
        <v>0.4</v>
      </c>
      <c r="CD1112">
        <f t="shared" si="348"/>
        <v>0</v>
      </c>
      <c r="CE1112">
        <f t="shared" si="349"/>
        <v>0</v>
      </c>
      <c r="CF1112">
        <f t="shared" si="350"/>
        <v>0</v>
      </c>
      <c r="CG1112">
        <f t="shared" si="351"/>
        <v>0</v>
      </c>
      <c r="CH1112">
        <f t="shared" si="352"/>
        <v>0</v>
      </c>
      <c r="CI1112">
        <f t="shared" si="353"/>
        <v>0</v>
      </c>
      <c r="CJ1112">
        <f t="shared" si="354"/>
        <v>0</v>
      </c>
      <c r="CK1112">
        <f t="shared" si="355"/>
        <v>0</v>
      </c>
      <c r="CL1112">
        <f t="shared" si="356"/>
        <v>0</v>
      </c>
      <c r="CM1112">
        <f t="shared" si="358"/>
        <v>0</v>
      </c>
      <c r="CN1112">
        <f t="shared" si="357"/>
        <v>0</v>
      </c>
      <c r="CO1112">
        <f t="shared" si="341"/>
        <v>0</v>
      </c>
    </row>
    <row r="1113" spans="1:93" x14ac:dyDescent="0.25">
      <c r="A1113" s="4">
        <v>2021</v>
      </c>
      <c r="B1113" s="318">
        <v>44279</v>
      </c>
      <c r="C1113" s="4" t="s">
        <v>1494</v>
      </c>
      <c r="D1113" s="4" t="s">
        <v>1495</v>
      </c>
      <c r="F1113" s="4" t="s">
        <v>1496</v>
      </c>
      <c r="G1113" s="5" t="s">
        <v>432</v>
      </c>
      <c r="H1113" s="5" t="s">
        <v>1498</v>
      </c>
      <c r="I1113" s="5" t="s">
        <v>226</v>
      </c>
      <c r="J1113" s="5" t="s">
        <v>9</v>
      </c>
      <c r="K1113" s="5">
        <v>20.399999999999999</v>
      </c>
      <c r="L1113" s="5" t="s">
        <v>190</v>
      </c>
      <c r="M1113" s="5">
        <v>1600</v>
      </c>
      <c r="N1113" s="5" t="s">
        <v>170</v>
      </c>
      <c r="O1113" s="6" t="s">
        <v>1499</v>
      </c>
      <c r="P1113" s="6" t="s">
        <v>1500</v>
      </c>
      <c r="S1113" s="6">
        <v>40</v>
      </c>
      <c r="T1113" s="6">
        <v>16.829999999999998</v>
      </c>
      <c r="U1113" s="6">
        <v>1499</v>
      </c>
      <c r="V1113" s="6">
        <v>24.88</v>
      </c>
      <c r="W1113" s="6">
        <v>27</v>
      </c>
      <c r="X1113" s="6">
        <v>516</v>
      </c>
      <c r="Y1113" s="6">
        <v>633</v>
      </c>
      <c r="Z1113" s="6">
        <v>307</v>
      </c>
      <c r="AA1113" s="6">
        <v>15</v>
      </c>
      <c r="AB1113" s="6">
        <v>0</v>
      </c>
      <c r="AC1113" s="7">
        <v>100</v>
      </c>
      <c r="AD1113" s="7" t="str">
        <f t="shared" si="359"/>
        <v>ap</v>
      </c>
      <c r="AE1113" s="7">
        <v>25.07</v>
      </c>
      <c r="AF1113" s="7">
        <v>128</v>
      </c>
      <c r="AG1113" s="7">
        <v>20.09</v>
      </c>
      <c r="AH1113" s="7">
        <v>44.71</v>
      </c>
      <c r="AI1113" s="7">
        <v>46.57</v>
      </c>
      <c r="AJ1113" s="9">
        <v>238.299027866307</v>
      </c>
      <c r="AK1113" s="9">
        <v>240.87280314433099</v>
      </c>
      <c r="AL1113" s="9">
        <v>286.11484847192298</v>
      </c>
      <c r="AM1113" s="9">
        <v>92.735671797375602</v>
      </c>
      <c r="AN1113" s="9">
        <v>0.92735671797375596</v>
      </c>
      <c r="AO1113" s="9">
        <v>0.41890245257104702</v>
      </c>
      <c r="AP1113" s="9">
        <v>1190.83667238662</v>
      </c>
      <c r="AQ1113" s="9">
        <v>11.9083667238662</v>
      </c>
      <c r="AR1113" s="9">
        <v>6.5526863019905699</v>
      </c>
      <c r="AS1113" s="8">
        <v>89</v>
      </c>
      <c r="AT1113" s="8">
        <v>15.790000000000003</v>
      </c>
      <c r="AU1113" s="10">
        <v>47.528173089572718</v>
      </c>
      <c r="AV1113" s="10">
        <v>193.83696034658303</v>
      </c>
      <c r="AW1113" s="8">
        <v>1.07</v>
      </c>
      <c r="AX1113" s="10">
        <v>2.1779433746807082</v>
      </c>
      <c r="BF1113" s="12">
        <v>0.38</v>
      </c>
      <c r="BG1113" s="13">
        <v>189.36034388033499</v>
      </c>
      <c r="BH1113" s="96" t="str">
        <f>+VLOOKUP(G1113,Liste!$A$7:$G$50,3,FALSE)</f>
        <v>Sapin pectiné</v>
      </c>
      <c r="BI1113" s="96" t="str">
        <f>+VLOOKUP(H1113,Liste!$B$7:$G$50,5,FALSE)</f>
        <v>GSM Alpes du Sud</v>
      </c>
      <c r="BJ1113" s="135">
        <f t="shared" si="340"/>
        <v>100</v>
      </c>
      <c r="BK1113" s="135" t="str">
        <f t="shared" si="342"/>
        <v>Sapin pectiné_F1_SP1_d5_GSM Alpes du Sud_100_</v>
      </c>
      <c r="BL1113" s="322"/>
      <c r="BM1113" s="13">
        <v>50.5606892443924</v>
      </c>
      <c r="BN1113" s="13">
        <v>239.92103312472699</v>
      </c>
      <c r="BO1113" s="13">
        <v>187.964066808555</v>
      </c>
      <c r="BP1113" s="13">
        <v>243.702592422522</v>
      </c>
      <c r="BQ1113" s="13">
        <v>5.2020944500849096</v>
      </c>
      <c r="BT1113" s="298" t="str">
        <f>+VLOOKUP(G1113,Liste!$A$7:$H$50,8,FALSE)</f>
        <v>Résineux</v>
      </c>
      <c r="BU1113" s="298">
        <f t="shared" si="343"/>
        <v>0</v>
      </c>
      <c r="BV1113" s="300">
        <f t="shared" si="344"/>
        <v>1</v>
      </c>
      <c r="BW1113" s="321">
        <v>0</v>
      </c>
      <c r="BX1113" s="298">
        <f t="shared" si="345"/>
        <v>0.43</v>
      </c>
      <c r="BY1113">
        <f t="shared" si="346"/>
        <v>0</v>
      </c>
      <c r="BZ1113" s="304">
        <f t="shared" si="347"/>
        <v>0</v>
      </c>
      <c r="CB1113" s="299">
        <v>0.6</v>
      </c>
      <c r="CC1113" s="299">
        <v>0.4</v>
      </c>
      <c r="CD1113">
        <f t="shared" si="348"/>
        <v>0</v>
      </c>
      <c r="CE1113">
        <f t="shared" si="349"/>
        <v>0</v>
      </c>
      <c r="CF1113">
        <f t="shared" si="350"/>
        <v>0</v>
      </c>
      <c r="CG1113">
        <f t="shared" si="351"/>
        <v>0</v>
      </c>
      <c r="CH1113">
        <f t="shared" si="352"/>
        <v>0</v>
      </c>
      <c r="CI1113">
        <f t="shared" si="353"/>
        <v>0</v>
      </c>
      <c r="CJ1113">
        <f t="shared" si="354"/>
        <v>0</v>
      </c>
      <c r="CK1113">
        <f t="shared" si="355"/>
        <v>0</v>
      </c>
      <c r="CL1113">
        <f t="shared" si="356"/>
        <v>0</v>
      </c>
      <c r="CM1113">
        <f t="shared" si="358"/>
        <v>0</v>
      </c>
      <c r="CN1113">
        <f t="shared" si="357"/>
        <v>0</v>
      </c>
      <c r="CO1113">
        <f t="shared" si="341"/>
        <v>0</v>
      </c>
    </row>
    <row r="1114" spans="1:93" x14ac:dyDescent="0.25">
      <c r="A1114" s="4">
        <v>2021</v>
      </c>
      <c r="B1114" s="318">
        <v>44279</v>
      </c>
      <c r="C1114" s="4" t="s">
        <v>1494</v>
      </c>
      <c r="D1114" s="4" t="s">
        <v>1495</v>
      </c>
      <c r="F1114" s="4" t="s">
        <v>1496</v>
      </c>
      <c r="G1114" s="5" t="s">
        <v>432</v>
      </c>
      <c r="H1114" s="5" t="s">
        <v>1498</v>
      </c>
      <c r="I1114" s="5" t="s">
        <v>226</v>
      </c>
      <c r="J1114" s="5" t="s">
        <v>9</v>
      </c>
      <c r="K1114" s="5">
        <v>20.399999999999999</v>
      </c>
      <c r="L1114" s="5" t="s">
        <v>190</v>
      </c>
      <c r="M1114" s="5">
        <v>1600</v>
      </c>
      <c r="N1114" s="5" t="s">
        <v>170</v>
      </c>
      <c r="O1114" s="6" t="s">
        <v>1499</v>
      </c>
      <c r="P1114" s="6" t="s">
        <v>1500</v>
      </c>
      <c r="S1114" s="6">
        <v>40</v>
      </c>
      <c r="T1114" s="6">
        <v>16.829999999999998</v>
      </c>
      <c r="U1114" s="6">
        <v>1499</v>
      </c>
      <c r="V1114" s="6">
        <v>24.88</v>
      </c>
      <c r="W1114" s="6">
        <v>27</v>
      </c>
      <c r="X1114" s="6">
        <v>516</v>
      </c>
      <c r="Y1114" s="6">
        <v>633</v>
      </c>
      <c r="Z1114" s="6">
        <v>307</v>
      </c>
      <c r="AA1114" s="6">
        <v>15</v>
      </c>
      <c r="AB1114" s="6">
        <v>0</v>
      </c>
      <c r="AC1114" s="7">
        <v>105</v>
      </c>
      <c r="AD1114" s="7" t="str">
        <f t="shared" si="359"/>
        <v>av</v>
      </c>
      <c r="AE1114" s="7">
        <v>25.34</v>
      </c>
      <c r="AF1114" s="7">
        <v>128</v>
      </c>
      <c r="AG1114" s="7">
        <v>22.19</v>
      </c>
      <c r="AH1114" s="7">
        <v>46.98</v>
      </c>
      <c r="AI1114" s="7">
        <v>48.9</v>
      </c>
      <c r="AJ1114" s="9">
        <v>264.863039977661</v>
      </c>
      <c r="AK1114" s="9">
        <v>267.91593221740402</v>
      </c>
      <c r="AL1114" s="9">
        <v>318.87827998187601</v>
      </c>
      <c r="AM1114" s="9">
        <v>94.830184060230806</v>
      </c>
      <c r="AN1114" s="9">
        <v>0.90314461009743696</v>
      </c>
      <c r="AO1114" s="9">
        <v>0.40460732320967702</v>
      </c>
      <c r="AP1114" s="9">
        <v>1223.6001038965801</v>
      </c>
      <c r="AQ1114" s="9">
        <v>11.653334322824501</v>
      </c>
      <c r="AR1114" s="9">
        <v>6.43309488785781</v>
      </c>
      <c r="AS1114" s="8" t="s">
        <v>169</v>
      </c>
      <c r="AT1114" s="8" t="s">
        <v>169</v>
      </c>
      <c r="AU1114" s="10" t="s">
        <v>169</v>
      </c>
      <c r="AV1114" s="10">
        <v>0</v>
      </c>
      <c r="AX1114" s="10" t="s">
        <v>169</v>
      </c>
      <c r="BF1114" s="12">
        <v>0.38</v>
      </c>
      <c r="BG1114" s="13">
        <v>211.044274968005</v>
      </c>
      <c r="BH1114" s="96" t="str">
        <f>+VLOOKUP(G1114,Liste!$A$7:$G$50,3,FALSE)</f>
        <v>Sapin pectiné</v>
      </c>
      <c r="BI1114" s="96" t="str">
        <f>+VLOOKUP(H1114,Liste!$B$7:$G$50,5,FALSE)</f>
        <v>GSM Alpes du Sud</v>
      </c>
      <c r="BJ1114" s="135">
        <f t="shared" si="340"/>
        <v>105</v>
      </c>
      <c r="BK1114" s="135" t="str">
        <f t="shared" si="342"/>
        <v>Sapin pectiné_F1_SP1_d5_GSM Alpes du Sud_105_</v>
      </c>
      <c r="BL1114" s="322"/>
      <c r="BM1114" s="13">
        <v>55.643813562777403</v>
      </c>
      <c r="BN1114" s="13">
        <v>266.68808853078298</v>
      </c>
      <c r="BO1114" s="13" t="s">
        <v>169</v>
      </c>
      <c r="BP1114" s="13">
        <v>243.702592422522</v>
      </c>
      <c r="BQ1114" s="13">
        <v>5.1045320565046897</v>
      </c>
      <c r="BT1114" s="298" t="str">
        <f>+VLOOKUP(G1114,Liste!$A$7:$H$50,8,FALSE)</f>
        <v>Résineux</v>
      </c>
      <c r="BU1114" s="298">
        <f t="shared" si="343"/>
        <v>0</v>
      </c>
      <c r="BV1114" s="300">
        <f t="shared" si="344"/>
        <v>1</v>
      </c>
      <c r="BW1114" s="321">
        <v>0</v>
      </c>
      <c r="BX1114" s="298">
        <f t="shared" si="345"/>
        <v>0.43</v>
      </c>
      <c r="BY1114">
        <f t="shared" si="346"/>
        <v>0</v>
      </c>
      <c r="BZ1114" s="304">
        <f t="shared" si="347"/>
        <v>0</v>
      </c>
      <c r="CB1114" s="299">
        <v>0.6</v>
      </c>
      <c r="CC1114" s="299">
        <v>0.4</v>
      </c>
      <c r="CD1114">
        <f t="shared" si="348"/>
        <v>0</v>
      </c>
      <c r="CE1114">
        <f t="shared" si="349"/>
        <v>0</v>
      </c>
      <c r="CF1114">
        <f t="shared" si="350"/>
        <v>0</v>
      </c>
      <c r="CG1114">
        <f t="shared" si="351"/>
        <v>0</v>
      </c>
      <c r="CH1114">
        <f t="shared" si="352"/>
        <v>0</v>
      </c>
      <c r="CI1114">
        <f t="shared" si="353"/>
        <v>0</v>
      </c>
      <c r="CJ1114">
        <f t="shared" si="354"/>
        <v>0</v>
      </c>
      <c r="CK1114">
        <f t="shared" si="355"/>
        <v>0</v>
      </c>
      <c r="CL1114">
        <f t="shared" si="356"/>
        <v>0</v>
      </c>
      <c r="CM1114">
        <f t="shared" si="358"/>
        <v>0</v>
      </c>
      <c r="CN1114">
        <f t="shared" si="357"/>
        <v>0</v>
      </c>
      <c r="CO1114">
        <f t="shared" si="341"/>
        <v>0</v>
      </c>
    </row>
    <row r="1115" spans="1:93" x14ac:dyDescent="0.25">
      <c r="A1115" s="4">
        <v>2021</v>
      </c>
      <c r="B1115" s="318">
        <v>44279</v>
      </c>
      <c r="C1115" s="4" t="s">
        <v>1494</v>
      </c>
      <c r="D1115" s="4" t="s">
        <v>1495</v>
      </c>
      <c r="F1115" s="4" t="s">
        <v>1496</v>
      </c>
      <c r="G1115" s="5" t="s">
        <v>432</v>
      </c>
      <c r="H1115" s="5" t="s">
        <v>1498</v>
      </c>
      <c r="I1115" s="5" t="s">
        <v>226</v>
      </c>
      <c r="J1115" s="5" t="s">
        <v>9</v>
      </c>
      <c r="K1115" s="5">
        <v>20.399999999999999</v>
      </c>
      <c r="L1115" s="5" t="s">
        <v>190</v>
      </c>
      <c r="M1115" s="5">
        <v>1600</v>
      </c>
      <c r="N1115" s="5" t="s">
        <v>170</v>
      </c>
      <c r="O1115" s="6" t="s">
        <v>1499</v>
      </c>
      <c r="P1115" s="6" t="s">
        <v>1500</v>
      </c>
      <c r="S1115" s="6">
        <v>40</v>
      </c>
      <c r="T1115" s="6">
        <v>16.829999999999998</v>
      </c>
      <c r="U1115" s="6">
        <v>1499</v>
      </c>
      <c r="V1115" s="6">
        <v>24.88</v>
      </c>
      <c r="W1115" s="6">
        <v>27</v>
      </c>
      <c r="X1115" s="6">
        <v>516</v>
      </c>
      <c r="Y1115" s="6">
        <v>633</v>
      </c>
      <c r="Z1115" s="6">
        <v>307</v>
      </c>
      <c r="AA1115" s="6">
        <v>15</v>
      </c>
      <c r="AB1115" s="6">
        <v>0</v>
      </c>
      <c r="AC1115" s="7">
        <v>110</v>
      </c>
      <c r="AD1115" s="7" t="str">
        <f t="shared" si="359"/>
        <v>av</v>
      </c>
      <c r="AE1115" s="7">
        <v>25.55</v>
      </c>
      <c r="AF1115" s="7">
        <v>127</v>
      </c>
      <c r="AG1115" s="7">
        <v>23.96</v>
      </c>
      <c r="AH1115" s="7">
        <v>49.01</v>
      </c>
      <c r="AI1115" s="7">
        <v>50.9</v>
      </c>
      <c r="AJ1115" s="9">
        <v>287.75024798910499</v>
      </c>
      <c r="AK1115" s="9">
        <v>291.244125490101</v>
      </c>
      <c r="AL1115" s="9">
        <v>347.195507132454</v>
      </c>
      <c r="AM1115" s="9">
        <v>96.853220676279193</v>
      </c>
      <c r="AN1115" s="9">
        <v>0.88048382432981098</v>
      </c>
      <c r="AO1115" s="9">
        <v>0.25237542560527099</v>
      </c>
      <c r="AP1115" s="9">
        <v>1255.76557833587</v>
      </c>
      <c r="AQ1115" s="9">
        <v>11.4160507121442</v>
      </c>
      <c r="AR1115" s="9">
        <v>4.0473078678463903</v>
      </c>
      <c r="AS1115" s="8" t="s">
        <v>169</v>
      </c>
      <c r="AT1115" s="8" t="s">
        <v>169</v>
      </c>
      <c r="AU1115" s="10" t="s">
        <v>169</v>
      </c>
      <c r="AV1115" s="10">
        <v>0</v>
      </c>
      <c r="AX1115" s="10" t="s">
        <v>169</v>
      </c>
      <c r="BF1115" s="12">
        <v>0.38</v>
      </c>
      <c r="BG1115" s="13">
        <v>229.78555980382899</v>
      </c>
      <c r="BH1115" s="96" t="str">
        <f>+VLOOKUP(G1115,Liste!$A$7:$G$50,3,FALSE)</f>
        <v>Sapin pectiné</v>
      </c>
      <c r="BI1115" s="96" t="str">
        <f>+VLOOKUP(H1115,Liste!$B$7:$G$50,5,FALSE)</f>
        <v>GSM Alpes du Sud</v>
      </c>
      <c r="BJ1115" s="135">
        <f t="shared" si="340"/>
        <v>110</v>
      </c>
      <c r="BK1115" s="135" t="str">
        <f t="shared" si="342"/>
        <v>Sapin pectiné_F1_SP1_d5_GSM Alpes du Sud_110_</v>
      </c>
      <c r="BL1115" s="322"/>
      <c r="BM1115" s="13">
        <v>59.988107716772099</v>
      </c>
      <c r="BN1115" s="13">
        <v>289.77366752060101</v>
      </c>
      <c r="BO1115" s="13" t="s">
        <v>169</v>
      </c>
      <c r="BP1115" s="13">
        <v>243.702592422522</v>
      </c>
      <c r="BQ1115" s="13">
        <v>3.2101610351654699</v>
      </c>
      <c r="BT1115" s="298" t="str">
        <f>+VLOOKUP(G1115,Liste!$A$7:$H$50,8,FALSE)</f>
        <v>Résineux</v>
      </c>
      <c r="BU1115" s="298">
        <f t="shared" si="343"/>
        <v>0</v>
      </c>
      <c r="BV1115" s="300">
        <f t="shared" si="344"/>
        <v>1</v>
      </c>
      <c r="BW1115" s="321">
        <v>0</v>
      </c>
      <c r="BX1115" s="298">
        <f t="shared" si="345"/>
        <v>0.43</v>
      </c>
      <c r="BY1115">
        <f t="shared" si="346"/>
        <v>0</v>
      </c>
      <c r="BZ1115" s="304">
        <f t="shared" si="347"/>
        <v>0</v>
      </c>
      <c r="CB1115" s="299">
        <v>0.6</v>
      </c>
      <c r="CC1115" s="299">
        <v>0.4</v>
      </c>
      <c r="CD1115">
        <f t="shared" si="348"/>
        <v>0</v>
      </c>
      <c r="CE1115">
        <f t="shared" si="349"/>
        <v>0</v>
      </c>
      <c r="CF1115">
        <f t="shared" si="350"/>
        <v>0</v>
      </c>
      <c r="CG1115">
        <f t="shared" si="351"/>
        <v>0</v>
      </c>
      <c r="CH1115">
        <f t="shared" si="352"/>
        <v>0</v>
      </c>
      <c r="CI1115">
        <f t="shared" si="353"/>
        <v>0</v>
      </c>
      <c r="CJ1115">
        <f t="shared" si="354"/>
        <v>0</v>
      </c>
      <c r="CK1115">
        <f t="shared" si="355"/>
        <v>0</v>
      </c>
      <c r="CL1115">
        <f t="shared" si="356"/>
        <v>0</v>
      </c>
      <c r="CM1115">
        <f t="shared" si="358"/>
        <v>0</v>
      </c>
      <c r="CN1115">
        <f t="shared" si="357"/>
        <v>0</v>
      </c>
      <c r="CO1115">
        <f t="shared" si="341"/>
        <v>0</v>
      </c>
    </row>
    <row r="1116" spans="1:93" x14ac:dyDescent="0.25">
      <c r="A1116" s="4">
        <v>2021</v>
      </c>
      <c r="B1116" s="318">
        <v>44279</v>
      </c>
      <c r="C1116" s="4" t="s">
        <v>1494</v>
      </c>
      <c r="D1116" s="4" t="s">
        <v>1495</v>
      </c>
      <c r="F1116" s="4" t="s">
        <v>1496</v>
      </c>
      <c r="G1116" s="5" t="s">
        <v>432</v>
      </c>
      <c r="H1116" s="5" t="s">
        <v>1498</v>
      </c>
      <c r="I1116" s="5" t="s">
        <v>226</v>
      </c>
      <c r="J1116" s="5" t="s">
        <v>9</v>
      </c>
      <c r="K1116" s="5">
        <v>20.399999999999999</v>
      </c>
      <c r="L1116" s="5" t="s">
        <v>190</v>
      </c>
      <c r="M1116" s="5">
        <v>1600</v>
      </c>
      <c r="N1116" s="5" t="s">
        <v>170</v>
      </c>
      <c r="O1116" s="6" t="s">
        <v>1499</v>
      </c>
      <c r="P1116" s="6" t="s">
        <v>1500</v>
      </c>
      <c r="S1116" s="6">
        <v>40</v>
      </c>
      <c r="T1116" s="6">
        <v>16.829999999999998</v>
      </c>
      <c r="U1116" s="6">
        <v>1499</v>
      </c>
      <c r="V1116" s="6">
        <v>24.88</v>
      </c>
      <c r="W1116" s="6">
        <v>27</v>
      </c>
      <c r="X1116" s="6">
        <v>516</v>
      </c>
      <c r="Y1116" s="6">
        <v>633</v>
      </c>
      <c r="Z1116" s="6">
        <v>307</v>
      </c>
      <c r="AA1116" s="6">
        <v>15</v>
      </c>
      <c r="AB1116" s="6">
        <v>0</v>
      </c>
      <c r="AC1116" s="7">
        <v>110</v>
      </c>
      <c r="AD1116" s="7" t="str">
        <f t="shared" si="359"/>
        <v>ap</v>
      </c>
      <c r="AE1116" s="7">
        <v>25.3</v>
      </c>
      <c r="AF1116" s="7">
        <v>60</v>
      </c>
      <c r="AG1116" s="7">
        <v>12.14</v>
      </c>
      <c r="AH1116" s="7">
        <v>50.76</v>
      </c>
      <c r="AI1116" s="7">
        <v>50.76</v>
      </c>
      <c r="AJ1116" s="9">
        <v>148.72624096534099</v>
      </c>
      <c r="AK1116" s="9">
        <v>150.54525115561401</v>
      </c>
      <c r="AL1116" s="9">
        <v>178.942225131676</v>
      </c>
      <c r="AM1116" s="9">
        <v>96.853220676279193</v>
      </c>
      <c r="AN1116" s="9">
        <v>0.88048382432981098</v>
      </c>
      <c r="AO1116" s="9">
        <v>0.25237542560527099</v>
      </c>
      <c r="AP1116" s="9">
        <v>1255.76557833587</v>
      </c>
      <c r="AQ1116" s="9">
        <v>11.4160507121442</v>
      </c>
      <c r="AR1116" s="9">
        <v>4.0473078678463903</v>
      </c>
      <c r="AS1116" s="8">
        <v>67</v>
      </c>
      <c r="AT1116" s="8">
        <v>11.82</v>
      </c>
      <c r="AU1116" s="10">
        <v>47.394330882673742</v>
      </c>
      <c r="AV1116" s="10">
        <v>139.024007023764</v>
      </c>
      <c r="AW1116" s="8">
        <v>0.94</v>
      </c>
      <c r="AX1116" s="10">
        <v>2.0749851794591643</v>
      </c>
      <c r="BF1116" s="12">
        <v>0.38</v>
      </c>
      <c r="BG1116" s="13">
        <v>118.429929332981</v>
      </c>
      <c r="BH1116" s="96" t="str">
        <f>+VLOOKUP(G1116,Liste!$A$7:$G$50,3,FALSE)</f>
        <v>Sapin pectiné</v>
      </c>
      <c r="BI1116" s="96" t="str">
        <f>+VLOOKUP(H1116,Liste!$B$7:$G$50,5,FALSE)</f>
        <v>GSM Alpes du Sud</v>
      </c>
      <c r="BJ1116" s="135">
        <f t="shared" si="340"/>
        <v>110</v>
      </c>
      <c r="BK1116" s="135" t="str">
        <f t="shared" si="342"/>
        <v>Sapin pectiné_F1_SP1_d5_GSM Alpes du Sud_110_</v>
      </c>
      <c r="BL1116" s="322"/>
      <c r="BM1116" s="13">
        <v>33.397268685601802</v>
      </c>
      <c r="BN1116" s="13">
        <v>151.827198018583</v>
      </c>
      <c r="BO1116" s="13">
        <v>137.946469502018</v>
      </c>
      <c r="BP1116" s="13">
        <v>243.702592422522</v>
      </c>
      <c r="BQ1116" s="13">
        <v>3.2101610351654699</v>
      </c>
      <c r="BT1116" s="298" t="str">
        <f>+VLOOKUP(G1116,Liste!$A$7:$H$50,8,FALSE)</f>
        <v>Résineux</v>
      </c>
      <c r="BU1116" s="298">
        <f t="shared" si="343"/>
        <v>0</v>
      </c>
      <c r="BV1116" s="300">
        <f t="shared" si="344"/>
        <v>1</v>
      </c>
      <c r="BW1116" s="321">
        <v>0</v>
      </c>
      <c r="BX1116" s="298">
        <f t="shared" si="345"/>
        <v>0.43</v>
      </c>
      <c r="BY1116">
        <f t="shared" si="346"/>
        <v>0</v>
      </c>
      <c r="BZ1116" s="304">
        <f t="shared" si="347"/>
        <v>0</v>
      </c>
      <c r="CB1116" s="299">
        <v>0.6</v>
      </c>
      <c r="CC1116" s="299">
        <v>0.4</v>
      </c>
      <c r="CD1116">
        <f t="shared" si="348"/>
        <v>0</v>
      </c>
      <c r="CE1116">
        <f t="shared" si="349"/>
        <v>0</v>
      </c>
      <c r="CF1116">
        <f t="shared" si="350"/>
        <v>0</v>
      </c>
      <c r="CG1116">
        <f t="shared" si="351"/>
        <v>0</v>
      </c>
      <c r="CH1116">
        <f t="shared" si="352"/>
        <v>0</v>
      </c>
      <c r="CI1116">
        <f t="shared" si="353"/>
        <v>0</v>
      </c>
      <c r="CJ1116">
        <f t="shared" si="354"/>
        <v>0</v>
      </c>
      <c r="CK1116">
        <f t="shared" si="355"/>
        <v>0</v>
      </c>
      <c r="CL1116">
        <f t="shared" si="356"/>
        <v>0</v>
      </c>
      <c r="CM1116">
        <f t="shared" si="358"/>
        <v>0</v>
      </c>
      <c r="CN1116">
        <f t="shared" si="357"/>
        <v>0</v>
      </c>
      <c r="CO1116">
        <f t="shared" si="341"/>
        <v>0</v>
      </c>
    </row>
    <row r="1117" spans="1:93" x14ac:dyDescent="0.25">
      <c r="A1117" s="4">
        <v>2021</v>
      </c>
      <c r="B1117" s="318">
        <v>44279</v>
      </c>
      <c r="C1117" s="4" t="s">
        <v>1494</v>
      </c>
      <c r="D1117" s="4" t="s">
        <v>1495</v>
      </c>
      <c r="F1117" s="4" t="s">
        <v>1496</v>
      </c>
      <c r="G1117" s="5" t="s">
        <v>432</v>
      </c>
      <c r="H1117" s="5" t="s">
        <v>1498</v>
      </c>
      <c r="I1117" s="5" t="s">
        <v>226</v>
      </c>
      <c r="J1117" s="5" t="s">
        <v>9</v>
      </c>
      <c r="K1117" s="5">
        <v>20.399999999999999</v>
      </c>
      <c r="L1117" s="5" t="s">
        <v>190</v>
      </c>
      <c r="M1117" s="5">
        <v>1600</v>
      </c>
      <c r="N1117" s="5" t="s">
        <v>170</v>
      </c>
      <c r="O1117" s="6" t="s">
        <v>1499</v>
      </c>
      <c r="P1117" s="6" t="s">
        <v>1500</v>
      </c>
      <c r="S1117" s="6">
        <v>40</v>
      </c>
      <c r="T1117" s="6">
        <v>16.829999999999998</v>
      </c>
      <c r="U1117" s="6">
        <v>1499</v>
      </c>
      <c r="V1117" s="6">
        <v>24.88</v>
      </c>
      <c r="W1117" s="6">
        <v>27</v>
      </c>
      <c r="X1117" s="6">
        <v>516</v>
      </c>
      <c r="Y1117" s="6">
        <v>633</v>
      </c>
      <c r="Z1117" s="6">
        <v>307</v>
      </c>
      <c r="AA1117" s="6">
        <v>15</v>
      </c>
      <c r="AB1117" s="6">
        <v>0</v>
      </c>
      <c r="AC1117" s="7">
        <v>115</v>
      </c>
      <c r="AD1117" s="7" t="str">
        <f t="shared" si="359"/>
        <v>av</v>
      </c>
      <c r="AE1117" s="7">
        <v>25.54</v>
      </c>
      <c r="AF1117" s="7">
        <v>60</v>
      </c>
      <c r="AG1117" s="7">
        <v>13.4</v>
      </c>
      <c r="AH1117" s="7">
        <v>53.33</v>
      </c>
      <c r="AI1117" s="7">
        <v>53.33</v>
      </c>
      <c r="AJ1117" s="9">
        <v>164.981857371422</v>
      </c>
      <c r="AK1117" s="9">
        <v>167.13341989386501</v>
      </c>
      <c r="AL1117" s="9">
        <v>199.17876447090799</v>
      </c>
      <c r="AM1117" s="9">
        <v>98.115097804305606</v>
      </c>
      <c r="AN1117" s="9">
        <v>0.85317476351570098</v>
      </c>
      <c r="AO1117" s="9">
        <v>0.248909336275696</v>
      </c>
      <c r="AP1117" s="9">
        <v>1276.0021176751</v>
      </c>
      <c r="AQ1117" s="9">
        <v>11.0956705884791</v>
      </c>
      <c r="AR1117" s="9">
        <v>4.00813038368051</v>
      </c>
      <c r="AS1117" s="8" t="s">
        <v>169</v>
      </c>
      <c r="AT1117" s="8" t="s">
        <v>169</v>
      </c>
      <c r="AU1117" s="10" t="s">
        <v>169</v>
      </c>
      <c r="AV1117" s="10">
        <v>0</v>
      </c>
      <c r="AX1117" s="10" t="s">
        <v>169</v>
      </c>
      <c r="BF1117" s="12">
        <v>0.38</v>
      </c>
      <c r="BG1117" s="13">
        <v>131.82314561899599</v>
      </c>
      <c r="BH1117" s="96" t="str">
        <f>+VLOOKUP(G1117,Liste!$A$7:$G$50,3,FALSE)</f>
        <v>Sapin pectiné</v>
      </c>
      <c r="BI1117" s="96" t="str">
        <f>+VLOOKUP(H1117,Liste!$B$7:$G$50,5,FALSE)</f>
        <v>GSM Alpes du Sud</v>
      </c>
      <c r="BJ1117" s="135">
        <f t="shared" si="340"/>
        <v>115</v>
      </c>
      <c r="BK1117" s="135" t="str">
        <f t="shared" si="342"/>
        <v>Sapin pectiné_F1_SP1_d5_GSM Alpes du Sud_115_</v>
      </c>
      <c r="BL1117" s="322"/>
      <c r="BM1117" s="13">
        <v>36.713436329672199</v>
      </c>
      <c r="BN1117" s="13">
        <v>168.53658194866799</v>
      </c>
      <c r="BO1117" s="13" t="s">
        <v>169</v>
      </c>
      <c r="BP1117" s="13">
        <v>243.702592422522</v>
      </c>
      <c r="BQ1117" s="13">
        <v>3.1781208376083199</v>
      </c>
      <c r="BT1117" s="298" t="str">
        <f>+VLOOKUP(G1117,Liste!$A$7:$H$50,8,FALSE)</f>
        <v>Résineux</v>
      </c>
      <c r="BU1117" s="298">
        <f t="shared" si="343"/>
        <v>0</v>
      </c>
      <c r="BV1117" s="300">
        <f t="shared" si="344"/>
        <v>1</v>
      </c>
      <c r="BW1117" s="321">
        <v>0</v>
      </c>
      <c r="BX1117" s="298">
        <f t="shared" si="345"/>
        <v>0.43</v>
      </c>
      <c r="BY1117">
        <f t="shared" si="346"/>
        <v>0</v>
      </c>
      <c r="BZ1117" s="304">
        <f t="shared" si="347"/>
        <v>0</v>
      </c>
      <c r="CB1117" s="299">
        <v>0.6</v>
      </c>
      <c r="CC1117" s="299">
        <v>0.4</v>
      </c>
      <c r="CD1117">
        <f t="shared" si="348"/>
        <v>0</v>
      </c>
      <c r="CE1117">
        <f t="shared" si="349"/>
        <v>0</v>
      </c>
      <c r="CF1117">
        <f t="shared" si="350"/>
        <v>0</v>
      </c>
      <c r="CG1117">
        <f t="shared" si="351"/>
        <v>0</v>
      </c>
      <c r="CH1117">
        <f t="shared" si="352"/>
        <v>0</v>
      </c>
      <c r="CI1117">
        <f t="shared" si="353"/>
        <v>0</v>
      </c>
      <c r="CJ1117">
        <f t="shared" si="354"/>
        <v>0</v>
      </c>
      <c r="CK1117">
        <f t="shared" si="355"/>
        <v>0</v>
      </c>
      <c r="CL1117">
        <f t="shared" si="356"/>
        <v>0</v>
      </c>
      <c r="CM1117">
        <f t="shared" si="358"/>
        <v>0</v>
      </c>
      <c r="CN1117">
        <f t="shared" si="357"/>
        <v>0</v>
      </c>
      <c r="CO1117">
        <f t="shared" si="341"/>
        <v>0</v>
      </c>
    </row>
    <row r="1118" spans="1:93" x14ac:dyDescent="0.25">
      <c r="A1118" s="4">
        <v>2021</v>
      </c>
      <c r="B1118" s="318">
        <v>44279</v>
      </c>
      <c r="C1118" s="4" t="s">
        <v>1494</v>
      </c>
      <c r="D1118" s="4" t="s">
        <v>1495</v>
      </c>
      <c r="F1118" s="4" t="s">
        <v>1496</v>
      </c>
      <c r="G1118" s="5" t="s">
        <v>432</v>
      </c>
      <c r="H1118" s="5" t="s">
        <v>1498</v>
      </c>
      <c r="I1118" s="5" t="s">
        <v>226</v>
      </c>
      <c r="J1118" s="5" t="s">
        <v>9</v>
      </c>
      <c r="K1118" s="5">
        <v>20.399999999999999</v>
      </c>
      <c r="L1118" s="5" t="s">
        <v>190</v>
      </c>
      <c r="M1118" s="5">
        <v>1600</v>
      </c>
      <c r="N1118" s="5" t="s">
        <v>170</v>
      </c>
      <c r="O1118" s="6" t="s">
        <v>1499</v>
      </c>
      <c r="P1118" s="6" t="s">
        <v>1500</v>
      </c>
      <c r="S1118" s="6">
        <v>40</v>
      </c>
      <c r="T1118" s="6">
        <v>16.829999999999998</v>
      </c>
      <c r="U1118" s="6">
        <v>1499</v>
      </c>
      <c r="V1118" s="6">
        <v>24.88</v>
      </c>
      <c r="W1118" s="6">
        <v>27</v>
      </c>
      <c r="X1118" s="6">
        <v>516</v>
      </c>
      <c r="Y1118" s="6">
        <v>633</v>
      </c>
      <c r="Z1118" s="6">
        <v>307</v>
      </c>
      <c r="AA1118" s="6">
        <v>15</v>
      </c>
      <c r="AB1118" s="6">
        <v>0</v>
      </c>
      <c r="AC1118" s="7">
        <v>120</v>
      </c>
      <c r="AD1118" s="7" t="str">
        <f t="shared" si="359"/>
        <v>av</v>
      </c>
      <c r="AE1118" s="7">
        <v>25.74</v>
      </c>
      <c r="AF1118" s="7">
        <v>60</v>
      </c>
      <c r="AG1118" s="7">
        <v>14.65</v>
      </c>
      <c r="AH1118" s="7">
        <v>55.75</v>
      </c>
      <c r="AI1118" s="7">
        <v>55.75</v>
      </c>
      <c r="AJ1118" s="9">
        <v>180.972368425968</v>
      </c>
      <c r="AK1118" s="9">
        <v>183.47280402617</v>
      </c>
      <c r="AL1118" s="9">
        <v>219.21941638931</v>
      </c>
      <c r="AM1118" s="9">
        <v>99.3596444856841</v>
      </c>
      <c r="AN1118" s="9">
        <v>0.82799703738070096</v>
      </c>
      <c r="AP1118" s="9">
        <v>1296.0427695935</v>
      </c>
      <c r="AQ1118" s="9">
        <v>10.8003564132792</v>
      </c>
      <c r="AS1118" s="8" t="s">
        <v>169</v>
      </c>
      <c r="AT1118" s="8" t="s">
        <v>169</v>
      </c>
      <c r="AU1118" s="10" t="s">
        <v>169</v>
      </c>
      <c r="AV1118" s="10">
        <v>0</v>
      </c>
      <c r="AX1118" s="10" t="s">
        <v>169</v>
      </c>
      <c r="BF1118" s="12">
        <v>0.38</v>
      </c>
      <c r="BG1118" s="13">
        <v>145.086717080325</v>
      </c>
      <c r="BH1118" s="96" t="str">
        <f>+VLOOKUP(G1118,Liste!$A$7:$G$50,3,FALSE)</f>
        <v>Sapin pectiné</v>
      </c>
      <c r="BI1118" s="96" t="str">
        <f>+VLOOKUP(H1118,Liste!$B$7:$G$50,5,FALSE)</f>
        <v>GSM Alpes du Sud</v>
      </c>
      <c r="BJ1118" s="135">
        <f t="shared" si="340"/>
        <v>120</v>
      </c>
      <c r="BK1118" s="135" t="str">
        <f t="shared" si="342"/>
        <v>Sapin pectiné_F1_SP1_d5_GSM Alpes du Sud_120_</v>
      </c>
      <c r="BL1118" s="322"/>
      <c r="BM1118" s="13">
        <v>39.958998098880897</v>
      </c>
      <c r="BN1118" s="13">
        <v>185.04571517920601</v>
      </c>
      <c r="BO1118" s="13" t="s">
        <v>169</v>
      </c>
      <c r="BP1118" s="13">
        <v>243.702592422522</v>
      </c>
      <c r="BQ1118" s="13"/>
      <c r="BT1118" s="298" t="str">
        <f>+VLOOKUP(G1118,Liste!$A$7:$H$50,8,FALSE)</f>
        <v>Résineux</v>
      </c>
      <c r="BU1118" s="298">
        <f t="shared" si="343"/>
        <v>0</v>
      </c>
      <c r="BV1118" s="300">
        <f t="shared" si="344"/>
        <v>1</v>
      </c>
      <c r="BW1118" s="321">
        <v>0</v>
      </c>
      <c r="BX1118" s="298">
        <f t="shared" si="345"/>
        <v>0.43</v>
      </c>
      <c r="BY1118">
        <f t="shared" si="346"/>
        <v>0</v>
      </c>
      <c r="BZ1118" s="304">
        <f t="shared" si="347"/>
        <v>0</v>
      </c>
      <c r="CB1118" s="299">
        <v>0.6</v>
      </c>
      <c r="CC1118" s="299">
        <v>0.4</v>
      </c>
      <c r="CD1118">
        <f t="shared" si="348"/>
        <v>0</v>
      </c>
      <c r="CE1118">
        <f t="shared" si="349"/>
        <v>0</v>
      </c>
      <c r="CF1118">
        <f t="shared" si="350"/>
        <v>0</v>
      </c>
      <c r="CG1118">
        <f t="shared" si="351"/>
        <v>0</v>
      </c>
      <c r="CH1118">
        <f t="shared" si="352"/>
        <v>0</v>
      </c>
      <c r="CI1118">
        <f t="shared" si="353"/>
        <v>0</v>
      </c>
      <c r="CJ1118">
        <f t="shared" si="354"/>
        <v>0</v>
      </c>
      <c r="CK1118">
        <f t="shared" si="355"/>
        <v>0</v>
      </c>
      <c r="CL1118">
        <f t="shared" si="356"/>
        <v>0</v>
      </c>
      <c r="CM1118">
        <f t="shared" si="358"/>
        <v>0</v>
      </c>
      <c r="CN1118">
        <f t="shared" si="357"/>
        <v>0</v>
      </c>
      <c r="CO1118">
        <f t="shared" si="341"/>
        <v>0</v>
      </c>
    </row>
    <row r="1119" spans="1:93" x14ac:dyDescent="0.25">
      <c r="A1119" s="4">
        <v>2021</v>
      </c>
      <c r="B1119" s="318">
        <v>44279</v>
      </c>
      <c r="C1119" s="4" t="s">
        <v>1494</v>
      </c>
      <c r="D1119" s="4" t="s">
        <v>1495</v>
      </c>
      <c r="F1119" s="4" t="s">
        <v>1496</v>
      </c>
      <c r="G1119" s="5" t="s">
        <v>432</v>
      </c>
      <c r="H1119" s="5" t="s">
        <v>1498</v>
      </c>
      <c r="I1119" s="5" t="s">
        <v>226</v>
      </c>
      <c r="J1119" s="5" t="s">
        <v>9</v>
      </c>
      <c r="K1119" s="5">
        <v>20.399999999999999</v>
      </c>
      <c r="L1119" s="5" t="s">
        <v>190</v>
      </c>
      <c r="M1119" s="5">
        <v>1600</v>
      </c>
      <c r="N1119" s="5" t="s">
        <v>170</v>
      </c>
      <c r="O1119" s="6" t="s">
        <v>1499</v>
      </c>
      <c r="P1119" s="6" t="s">
        <v>1500</v>
      </c>
      <c r="S1119" s="6">
        <v>40</v>
      </c>
      <c r="T1119" s="6">
        <v>16.829999999999998</v>
      </c>
      <c r="U1119" s="6">
        <v>1499</v>
      </c>
      <c r="V1119" s="6">
        <v>24.88</v>
      </c>
      <c r="W1119" s="6">
        <v>27</v>
      </c>
      <c r="X1119" s="6">
        <v>516</v>
      </c>
      <c r="Y1119" s="6">
        <v>633</v>
      </c>
      <c r="Z1119" s="6">
        <v>307</v>
      </c>
      <c r="AA1119" s="6">
        <v>15</v>
      </c>
      <c r="AB1119" s="6">
        <v>0</v>
      </c>
      <c r="AC1119" s="7">
        <v>120</v>
      </c>
      <c r="AD1119" s="7" t="str">
        <f t="shared" si="359"/>
        <v>ap</v>
      </c>
      <c r="AE1119" s="7">
        <v>25.74</v>
      </c>
      <c r="AF1119" s="7">
        <v>0</v>
      </c>
      <c r="AG1119" s="7">
        <v>0</v>
      </c>
      <c r="AH1119" s="7">
        <v>0</v>
      </c>
      <c r="AI1119" s="7">
        <v>0</v>
      </c>
      <c r="AJ1119" s="9">
        <v>0</v>
      </c>
      <c r="AK1119" s="9">
        <v>0</v>
      </c>
      <c r="AL1119" s="9">
        <v>0</v>
      </c>
      <c r="AM1119" s="9">
        <v>99.3596444856841</v>
      </c>
      <c r="AN1119" s="9">
        <v>0.82799703738070096</v>
      </c>
      <c r="AP1119" s="9">
        <v>1296.0427695935</v>
      </c>
      <c r="AQ1119" s="9">
        <v>10.8003564132792</v>
      </c>
      <c r="AS1119" s="8">
        <v>60</v>
      </c>
      <c r="AT1119" s="8">
        <v>14.65</v>
      </c>
      <c r="AU1119" s="10">
        <v>55.756852090677512</v>
      </c>
      <c r="AV1119" s="10">
        <v>180.972368425968</v>
      </c>
      <c r="AW1119" s="8">
        <v>1</v>
      </c>
      <c r="AX1119" s="10">
        <v>3.0162061404328</v>
      </c>
      <c r="BF1119" s="12">
        <v>0.38</v>
      </c>
      <c r="BG1119" s="13">
        <v>0</v>
      </c>
      <c r="BH1119" s="96" t="str">
        <f>+VLOOKUP(G1119,Liste!$A$7:$G$50,3,FALSE)</f>
        <v>Sapin pectiné</v>
      </c>
      <c r="BI1119" s="96" t="str">
        <f>+VLOOKUP(H1119,Liste!$B$7:$G$50,5,FALSE)</f>
        <v>GSM Alpes du Sud</v>
      </c>
      <c r="BJ1119" s="135">
        <f t="shared" si="340"/>
        <v>120</v>
      </c>
      <c r="BK1119" s="135" t="str">
        <f t="shared" si="342"/>
        <v>Sapin pectiné_F1_SP1_d5_GSM Alpes du Sud_120_</v>
      </c>
      <c r="BL1119" s="322"/>
      <c r="BM1119" s="13">
        <v>0</v>
      </c>
      <c r="BN1119" s="13">
        <v>0</v>
      </c>
      <c r="BO1119" s="13">
        <v>185.04571517920601</v>
      </c>
      <c r="BP1119" s="13">
        <v>243.702592422522</v>
      </c>
      <c r="BQ1119" s="13"/>
      <c r="BT1119" s="298" t="str">
        <f>+VLOOKUP(G1119,Liste!$A$7:$H$50,8,FALSE)</f>
        <v>Résineux</v>
      </c>
      <c r="BU1119" s="298">
        <f t="shared" si="343"/>
        <v>0</v>
      </c>
      <c r="BV1119" s="300">
        <f t="shared" si="344"/>
        <v>1</v>
      </c>
      <c r="BW1119" s="321">
        <v>0</v>
      </c>
      <c r="BX1119" s="298">
        <f t="shared" si="345"/>
        <v>0.43</v>
      </c>
      <c r="BY1119">
        <f t="shared" si="346"/>
        <v>0</v>
      </c>
      <c r="BZ1119" s="304">
        <f t="shared" si="347"/>
        <v>0</v>
      </c>
      <c r="CB1119" s="299">
        <v>0.6</v>
      </c>
      <c r="CC1119" s="299">
        <v>0.4</v>
      </c>
      <c r="CD1119">
        <f t="shared" si="348"/>
        <v>0</v>
      </c>
      <c r="CE1119">
        <f t="shared" si="349"/>
        <v>0</v>
      </c>
      <c r="CF1119">
        <f t="shared" si="350"/>
        <v>0</v>
      </c>
      <c r="CG1119">
        <f t="shared" si="351"/>
        <v>0</v>
      </c>
      <c r="CH1119">
        <f t="shared" si="352"/>
        <v>0</v>
      </c>
      <c r="CI1119">
        <f t="shared" si="353"/>
        <v>0</v>
      </c>
      <c r="CJ1119">
        <f t="shared" si="354"/>
        <v>0</v>
      </c>
      <c r="CK1119">
        <f t="shared" si="355"/>
        <v>0</v>
      </c>
      <c r="CL1119">
        <f t="shared" si="356"/>
        <v>0</v>
      </c>
      <c r="CM1119">
        <f t="shared" si="358"/>
        <v>0</v>
      </c>
      <c r="CN1119">
        <f t="shared" si="357"/>
        <v>0</v>
      </c>
      <c r="CO1119">
        <f t="shared" si="341"/>
        <v>0</v>
      </c>
    </row>
    <row r="1120" spans="1:93" x14ac:dyDescent="0.25">
      <c r="A1120" s="4">
        <v>2021</v>
      </c>
      <c r="B1120" s="318">
        <v>44279</v>
      </c>
      <c r="C1120" s="4" t="s">
        <v>66</v>
      </c>
      <c r="D1120" s="4" t="s">
        <v>1504</v>
      </c>
      <c r="E1120" s="4" t="s">
        <v>87</v>
      </c>
      <c r="F1120" s="4" t="s">
        <v>90</v>
      </c>
      <c r="G1120" s="5" t="s">
        <v>17</v>
      </c>
      <c r="H1120" s="5" t="s">
        <v>22</v>
      </c>
      <c r="I1120" s="5" t="s">
        <v>146</v>
      </c>
      <c r="J1120" s="5" t="s">
        <v>10</v>
      </c>
      <c r="K1120" s="5">
        <v>18</v>
      </c>
      <c r="L1120" s="5" t="s">
        <v>193</v>
      </c>
      <c r="M1120" s="5">
        <v>1666</v>
      </c>
      <c r="N1120" s="5" t="s">
        <v>170</v>
      </c>
      <c r="O1120" s="6" t="s">
        <v>81</v>
      </c>
      <c r="P1120" s="6" t="s">
        <v>1505</v>
      </c>
      <c r="S1120" s="6">
        <v>44</v>
      </c>
      <c r="T1120" s="6">
        <v>16.579999999999998</v>
      </c>
      <c r="U1120" s="6">
        <v>1453</v>
      </c>
      <c r="V1120" s="6">
        <v>26.19</v>
      </c>
      <c r="W1120" s="6">
        <v>41</v>
      </c>
      <c r="X1120" s="6">
        <v>369</v>
      </c>
      <c r="Y1120" s="6">
        <v>713</v>
      </c>
      <c r="Z1120" s="6">
        <v>301</v>
      </c>
      <c r="AA1120" s="6">
        <v>28</v>
      </c>
      <c r="AB1120" s="6">
        <v>0</v>
      </c>
      <c r="AC1120" s="7">
        <v>30</v>
      </c>
      <c r="AD1120" s="7" t="s">
        <v>52</v>
      </c>
      <c r="AJ1120" s="9">
        <v>129.876064584473</v>
      </c>
      <c r="AK1120" s="9">
        <v>137.16681964044301</v>
      </c>
      <c r="AL1120" s="9">
        <v>172.40892411100501</v>
      </c>
      <c r="AV1120" s="10">
        <v>0</v>
      </c>
      <c r="BF1120" s="12">
        <v>0.55000000000000004</v>
      </c>
      <c r="BG1120" s="13">
        <v>165.15338188800001</v>
      </c>
      <c r="BH1120" s="96" t="str">
        <f>+VLOOKUP(G1120,Liste!$A$7:$G$50,3,FALSE)</f>
        <v>Chêne sessile</v>
      </c>
      <c r="BI1120" s="96" t="str">
        <f>+VLOOKUP(H1120,Liste!$B$7:$G$50,5,FALSE)</f>
        <v>Guide chênaie continentale</v>
      </c>
      <c r="BJ1120" s="135">
        <f t="shared" si="340"/>
        <v>30</v>
      </c>
      <c r="BK1120" s="135" t="str">
        <f t="shared" si="342"/>
        <v>Chêne sessile_F2_Dynamique_Guide chênaie continentale_30_</v>
      </c>
      <c r="BL1120" s="322"/>
      <c r="BM1120" s="13">
        <v>44.804926080051203</v>
      </c>
      <c r="BN1120" s="13">
        <v>209.958307968051</v>
      </c>
      <c r="BP1120" s="13">
        <v>305.10291717349702</v>
      </c>
      <c r="BQ1120" s="13"/>
      <c r="BT1120" s="298" t="str">
        <f>+VLOOKUP(G1120,Liste!$A$7:$H$50,8,FALSE)</f>
        <v>Feuillus</v>
      </c>
      <c r="BU1120" s="298">
        <f t="shared" si="343"/>
        <v>1</v>
      </c>
      <c r="BV1120" s="300">
        <f t="shared" si="344"/>
        <v>0</v>
      </c>
      <c r="BW1120" s="321">
        <v>0</v>
      </c>
      <c r="BX1120" s="298">
        <f t="shared" si="345"/>
        <v>0.25</v>
      </c>
      <c r="BY1120">
        <f t="shared" si="346"/>
        <v>0</v>
      </c>
      <c r="BZ1120" s="304">
        <f t="shared" si="347"/>
        <v>0</v>
      </c>
      <c r="CB1120" s="299">
        <v>0</v>
      </c>
      <c r="CC1120" s="299">
        <v>0</v>
      </c>
      <c r="CD1120">
        <f t="shared" si="348"/>
        <v>0</v>
      </c>
      <c r="CE1120">
        <f t="shared" si="349"/>
        <v>0</v>
      </c>
      <c r="CF1120">
        <f t="shared" si="350"/>
        <v>0</v>
      </c>
      <c r="CG1120">
        <f t="shared" si="351"/>
        <v>0</v>
      </c>
      <c r="CH1120">
        <f t="shared" si="352"/>
        <v>0</v>
      </c>
      <c r="CI1120">
        <f t="shared" si="353"/>
        <v>0</v>
      </c>
      <c r="CJ1120">
        <f t="shared" si="354"/>
        <v>0</v>
      </c>
      <c r="CK1120">
        <f t="shared" si="355"/>
        <v>0</v>
      </c>
      <c r="CL1120">
        <f t="shared" si="356"/>
        <v>0</v>
      </c>
      <c r="CM1120">
        <f t="shared" si="358"/>
        <v>0</v>
      </c>
      <c r="CN1120">
        <f t="shared" si="357"/>
        <v>0</v>
      </c>
      <c r="CO1120">
        <f t="shared" si="341"/>
        <v>0</v>
      </c>
    </row>
    <row r="1121" spans="1:93" x14ac:dyDescent="0.25">
      <c r="A1121" s="4">
        <v>2021</v>
      </c>
      <c r="B1121" s="318">
        <v>44279</v>
      </c>
      <c r="C1121" s="4" t="s">
        <v>66</v>
      </c>
      <c r="D1121" s="4" t="s">
        <v>1504</v>
      </c>
      <c r="E1121" s="4" t="s">
        <v>87</v>
      </c>
      <c r="F1121" s="4" t="s">
        <v>90</v>
      </c>
      <c r="G1121" s="5" t="s">
        <v>17</v>
      </c>
      <c r="H1121" s="5" t="s">
        <v>22</v>
      </c>
      <c r="I1121" s="5" t="s">
        <v>146</v>
      </c>
      <c r="J1121" s="5" t="s">
        <v>10</v>
      </c>
      <c r="K1121" s="5">
        <v>18</v>
      </c>
      <c r="L1121" s="5" t="s">
        <v>193</v>
      </c>
      <c r="M1121" s="5">
        <v>1666</v>
      </c>
      <c r="N1121" s="5" t="s">
        <v>170</v>
      </c>
      <c r="O1121" s="6" t="s">
        <v>81</v>
      </c>
      <c r="P1121" s="6" t="s">
        <v>1505</v>
      </c>
      <c r="S1121" s="6">
        <v>44</v>
      </c>
      <c r="T1121" s="6">
        <v>16.579999999999998</v>
      </c>
      <c r="U1121" s="6">
        <v>1453</v>
      </c>
      <c r="V1121" s="6">
        <v>26.19</v>
      </c>
      <c r="W1121" s="6">
        <v>41</v>
      </c>
      <c r="X1121" s="6">
        <v>369</v>
      </c>
      <c r="Y1121" s="6">
        <v>713</v>
      </c>
      <c r="Z1121" s="6">
        <v>301</v>
      </c>
      <c r="AA1121" s="6">
        <v>28</v>
      </c>
      <c r="AB1121" s="6">
        <v>0</v>
      </c>
      <c r="AC1121" s="7">
        <v>44</v>
      </c>
      <c r="AD1121" s="7" t="s">
        <v>52</v>
      </c>
      <c r="AE1121" s="7">
        <v>16.579999999999998</v>
      </c>
      <c r="AF1121" s="7">
        <v>1453</v>
      </c>
      <c r="AG1121" s="7">
        <v>26.19</v>
      </c>
      <c r="AH1121" s="7">
        <v>15.15</v>
      </c>
      <c r="AI1121" s="7">
        <v>21.98</v>
      </c>
      <c r="AJ1121" s="9">
        <v>190.484894723894</v>
      </c>
      <c r="AK1121" s="9">
        <v>201.17800213931599</v>
      </c>
      <c r="AL1121" s="9">
        <v>252.866422029473</v>
      </c>
      <c r="AM1121" s="9">
        <v>26.186352864916</v>
      </c>
      <c r="AN1121" s="9">
        <v>0.59514438329354602</v>
      </c>
      <c r="AO1121" s="9">
        <v>0.74864976032319996</v>
      </c>
      <c r="AP1121" s="9">
        <v>252.866422029473</v>
      </c>
      <c r="AQ1121" s="9">
        <v>5.7469641370334896</v>
      </c>
      <c r="AR1121" s="9">
        <v>9.97215117368291</v>
      </c>
      <c r="AS1121" s="8" t="s">
        <v>169</v>
      </c>
      <c r="AV1121" s="10">
        <v>0</v>
      </c>
      <c r="BF1121" s="12">
        <v>0.55000000000000004</v>
      </c>
      <c r="BG1121" s="13">
        <v>242.22496010239999</v>
      </c>
      <c r="BH1121" s="96" t="str">
        <f>+VLOOKUP(G1121,Liste!$A$7:$G$50,3,FALSE)</f>
        <v>Chêne sessile</v>
      </c>
      <c r="BI1121" s="96" t="str">
        <f>+VLOOKUP(H1121,Liste!$B$7:$G$50,5,FALSE)</f>
        <v>Guide chênaie continentale</v>
      </c>
      <c r="BJ1121" s="135">
        <f t="shared" si="340"/>
        <v>44</v>
      </c>
      <c r="BK1121" s="135" t="str">
        <f t="shared" si="342"/>
        <v>Chêne sessile_F2_Dynamique_Guide chênaie continentale_44_</v>
      </c>
      <c r="BL1121" s="322"/>
      <c r="BM1121" s="13">
        <v>62.848687050649701</v>
      </c>
      <c r="BN1121" s="13">
        <v>305.07364715304902</v>
      </c>
      <c r="BO1121" s="12" t="s">
        <v>169</v>
      </c>
      <c r="BP1121" s="13">
        <v>305.10291717349702</v>
      </c>
      <c r="BQ1121" s="13">
        <v>11.728063032493299</v>
      </c>
      <c r="BT1121" s="298" t="str">
        <f>+VLOOKUP(G1121,Liste!$A$7:$H$50,8,FALSE)</f>
        <v>Feuillus</v>
      </c>
      <c r="BU1121" s="298">
        <f t="shared" si="343"/>
        <v>1</v>
      </c>
      <c r="BV1121" s="300">
        <f t="shared" si="344"/>
        <v>0</v>
      </c>
      <c r="BW1121" s="321">
        <v>0</v>
      </c>
      <c r="BX1121" s="298">
        <f t="shared" si="345"/>
        <v>0.25</v>
      </c>
      <c r="BY1121">
        <f t="shared" si="346"/>
        <v>0</v>
      </c>
      <c r="BZ1121" s="304">
        <f t="shared" si="347"/>
        <v>0</v>
      </c>
      <c r="CB1121" s="299">
        <v>0</v>
      </c>
      <c r="CC1121" s="299">
        <v>0</v>
      </c>
      <c r="CD1121">
        <f t="shared" si="348"/>
        <v>0</v>
      </c>
      <c r="CE1121">
        <f t="shared" si="349"/>
        <v>0</v>
      </c>
      <c r="CF1121">
        <f t="shared" si="350"/>
        <v>0</v>
      </c>
      <c r="CG1121">
        <f t="shared" si="351"/>
        <v>0</v>
      </c>
      <c r="CH1121">
        <f t="shared" si="352"/>
        <v>0</v>
      </c>
      <c r="CI1121">
        <f t="shared" si="353"/>
        <v>0</v>
      </c>
      <c r="CJ1121">
        <f t="shared" si="354"/>
        <v>0</v>
      </c>
      <c r="CK1121">
        <f t="shared" si="355"/>
        <v>0</v>
      </c>
      <c r="CL1121">
        <f t="shared" si="356"/>
        <v>0</v>
      </c>
      <c r="CM1121">
        <f t="shared" si="358"/>
        <v>0</v>
      </c>
      <c r="CN1121">
        <f t="shared" si="357"/>
        <v>0</v>
      </c>
      <c r="CO1121">
        <f t="shared" si="341"/>
        <v>0</v>
      </c>
    </row>
    <row r="1122" spans="1:93" x14ac:dyDescent="0.25">
      <c r="A1122" s="4">
        <v>2021</v>
      </c>
      <c r="B1122" s="318">
        <v>44279</v>
      </c>
      <c r="C1122" s="4" t="s">
        <v>66</v>
      </c>
      <c r="D1122" s="4" t="s">
        <v>1504</v>
      </c>
      <c r="E1122" s="4" t="s">
        <v>87</v>
      </c>
      <c r="F1122" s="4" t="s">
        <v>90</v>
      </c>
      <c r="G1122" s="5" t="s">
        <v>17</v>
      </c>
      <c r="H1122" s="5" t="s">
        <v>22</v>
      </c>
      <c r="I1122" s="5" t="s">
        <v>146</v>
      </c>
      <c r="J1122" s="5" t="s">
        <v>10</v>
      </c>
      <c r="K1122" s="5">
        <v>18</v>
      </c>
      <c r="L1122" s="5" t="s">
        <v>193</v>
      </c>
      <c r="M1122" s="5">
        <v>1666</v>
      </c>
      <c r="N1122" s="5" t="s">
        <v>170</v>
      </c>
      <c r="O1122" s="6" t="s">
        <v>81</v>
      </c>
      <c r="P1122" s="6" t="s">
        <v>1505</v>
      </c>
      <c r="S1122" s="6">
        <v>44</v>
      </c>
      <c r="T1122" s="6">
        <v>16.579999999999998</v>
      </c>
      <c r="U1122" s="6">
        <v>1453</v>
      </c>
      <c r="V1122" s="6">
        <v>26.19</v>
      </c>
      <c r="W1122" s="6">
        <v>41</v>
      </c>
      <c r="X1122" s="6">
        <v>369</v>
      </c>
      <c r="Y1122" s="6">
        <v>713</v>
      </c>
      <c r="Z1122" s="6">
        <v>301</v>
      </c>
      <c r="AA1122" s="6">
        <v>28</v>
      </c>
      <c r="AB1122" s="6">
        <v>0</v>
      </c>
      <c r="AC1122" s="7">
        <v>44</v>
      </c>
      <c r="AD1122" s="7" t="s">
        <v>53</v>
      </c>
      <c r="AE1122" s="7">
        <v>16.579999999999998</v>
      </c>
      <c r="AF1122" s="7">
        <v>660</v>
      </c>
      <c r="AG1122" s="7">
        <v>15.07</v>
      </c>
      <c r="AH1122" s="7">
        <v>17.05</v>
      </c>
      <c r="AI1122" s="7">
        <v>21.94</v>
      </c>
      <c r="AJ1122" s="9">
        <v>114.867658861677</v>
      </c>
      <c r="AK1122" s="9">
        <v>122.72144543416</v>
      </c>
      <c r="AL1122" s="9">
        <v>150.20456600833299</v>
      </c>
      <c r="AM1122" s="9">
        <v>26.186352864916</v>
      </c>
      <c r="AN1122" s="9">
        <v>0.59514438329354602</v>
      </c>
      <c r="AO1122" s="9">
        <v>0.74864976032319996</v>
      </c>
      <c r="AP1122" s="9">
        <v>252.866422029473</v>
      </c>
      <c r="AQ1122" s="9">
        <v>5.7469641370334896</v>
      </c>
      <c r="AR1122" s="9">
        <v>9.97215117368291</v>
      </c>
      <c r="AS1122" s="8">
        <v>793</v>
      </c>
      <c r="AT1122" s="8">
        <v>11.120000000000001</v>
      </c>
      <c r="AU1122" s="10">
        <v>13.361981289389501</v>
      </c>
      <c r="AV1122" s="10">
        <v>75.617235862217001</v>
      </c>
      <c r="AW1122" s="8">
        <v>0.78</v>
      </c>
      <c r="AX1122" s="10">
        <v>9.5355909031799496E-2</v>
      </c>
      <c r="BF1122" s="12">
        <v>0.55000000000000004</v>
      </c>
      <c r="BG1122" s="13">
        <v>143.88345718881601</v>
      </c>
      <c r="BH1122" s="96" t="str">
        <f>+VLOOKUP(G1122,Liste!$A$7:$G$50,3,FALSE)</f>
        <v>Chêne sessile</v>
      </c>
      <c r="BI1122" s="96" t="str">
        <f>+VLOOKUP(H1122,Liste!$B$7:$G$50,5,FALSE)</f>
        <v>Guide chênaie continentale</v>
      </c>
      <c r="BJ1122" s="135">
        <f t="shared" si="340"/>
        <v>44</v>
      </c>
      <c r="BK1122" s="135" t="str">
        <f t="shared" si="342"/>
        <v>Chêne sessile_F2_Dynamique_Guide chênaie continentale_44_</v>
      </c>
      <c r="BL1122" s="322"/>
      <c r="BM1122" s="13">
        <v>39.666035414524401</v>
      </c>
      <c r="BN1122" s="13">
        <v>183.54949260334001</v>
      </c>
      <c r="BO1122" s="13">
        <v>121.52415454970901</v>
      </c>
      <c r="BP1122" s="13">
        <v>305.10291717349702</v>
      </c>
      <c r="BQ1122" s="13">
        <v>11.728063032493299</v>
      </c>
      <c r="BT1122" s="298" t="str">
        <f>+VLOOKUP(G1122,Liste!$A$7:$H$50,8,FALSE)</f>
        <v>Feuillus</v>
      </c>
      <c r="BU1122" s="298">
        <f t="shared" si="343"/>
        <v>1</v>
      </c>
      <c r="BV1122" s="300">
        <f t="shared" si="344"/>
        <v>0</v>
      </c>
      <c r="BW1122" s="321">
        <v>0</v>
      </c>
      <c r="BX1122" s="298">
        <f t="shared" si="345"/>
        <v>0.25</v>
      </c>
      <c r="BY1122">
        <f t="shared" si="346"/>
        <v>0</v>
      </c>
      <c r="BZ1122" s="304">
        <f t="shared" si="347"/>
        <v>0</v>
      </c>
      <c r="CB1122" s="299">
        <v>0</v>
      </c>
      <c r="CC1122" s="299">
        <v>0</v>
      </c>
      <c r="CD1122">
        <f t="shared" si="348"/>
        <v>0</v>
      </c>
      <c r="CE1122">
        <f t="shared" si="349"/>
        <v>0</v>
      </c>
      <c r="CF1122">
        <f t="shared" si="350"/>
        <v>0</v>
      </c>
      <c r="CG1122">
        <f t="shared" si="351"/>
        <v>0</v>
      </c>
      <c r="CH1122">
        <f t="shared" si="352"/>
        <v>0</v>
      </c>
      <c r="CI1122">
        <f t="shared" si="353"/>
        <v>0</v>
      </c>
      <c r="CJ1122">
        <f t="shared" si="354"/>
        <v>0</v>
      </c>
      <c r="CK1122">
        <f t="shared" si="355"/>
        <v>0</v>
      </c>
      <c r="CL1122">
        <f t="shared" si="356"/>
        <v>0</v>
      </c>
      <c r="CM1122">
        <f t="shared" si="358"/>
        <v>0</v>
      </c>
      <c r="CN1122">
        <f t="shared" si="357"/>
        <v>0</v>
      </c>
      <c r="CO1122">
        <f t="shared" si="341"/>
        <v>0</v>
      </c>
    </row>
    <row r="1123" spans="1:93" x14ac:dyDescent="0.25">
      <c r="A1123" s="4">
        <v>2021</v>
      </c>
      <c r="B1123" s="318">
        <v>44279</v>
      </c>
      <c r="C1123" s="4" t="s">
        <v>66</v>
      </c>
      <c r="D1123" s="4" t="s">
        <v>1504</v>
      </c>
      <c r="E1123" s="4" t="s">
        <v>87</v>
      </c>
      <c r="F1123" s="4" t="s">
        <v>90</v>
      </c>
      <c r="G1123" s="5" t="s">
        <v>17</v>
      </c>
      <c r="H1123" s="5" t="s">
        <v>22</v>
      </c>
      <c r="I1123" s="5" t="s">
        <v>146</v>
      </c>
      <c r="J1123" s="5" t="s">
        <v>10</v>
      </c>
      <c r="K1123" s="5">
        <v>18</v>
      </c>
      <c r="L1123" s="5" t="s">
        <v>193</v>
      </c>
      <c r="M1123" s="5">
        <v>1666</v>
      </c>
      <c r="N1123" s="5" t="s">
        <v>170</v>
      </c>
      <c r="O1123" s="6" t="s">
        <v>81</v>
      </c>
      <c r="P1123" s="6" t="s">
        <v>1505</v>
      </c>
      <c r="S1123" s="6">
        <v>44</v>
      </c>
      <c r="T1123" s="6">
        <v>16.579999999999998</v>
      </c>
      <c r="U1123" s="6">
        <v>1453</v>
      </c>
      <c r="V1123" s="6">
        <v>26.19</v>
      </c>
      <c r="W1123" s="6">
        <v>41</v>
      </c>
      <c r="X1123" s="6">
        <v>369</v>
      </c>
      <c r="Y1123" s="6">
        <v>713</v>
      </c>
      <c r="Z1123" s="6">
        <v>301</v>
      </c>
      <c r="AA1123" s="6">
        <v>28</v>
      </c>
      <c r="AB1123" s="6">
        <v>0</v>
      </c>
      <c r="AC1123" s="7">
        <v>47</v>
      </c>
      <c r="AD1123" s="7" t="s">
        <v>52</v>
      </c>
      <c r="AE1123" s="7">
        <v>17.37</v>
      </c>
      <c r="AF1123" s="7">
        <v>660</v>
      </c>
      <c r="AG1123" s="7">
        <v>17.32</v>
      </c>
      <c r="AH1123" s="7">
        <v>18.28</v>
      </c>
      <c r="AI1123" s="7">
        <v>23.36</v>
      </c>
      <c r="AJ1123" s="9">
        <v>139.81721720451799</v>
      </c>
      <c r="AK1123" s="9">
        <v>149.81461964797401</v>
      </c>
      <c r="AL1123" s="9">
        <v>180.12101952938201</v>
      </c>
      <c r="AM1123" s="9">
        <v>28.4323021458856</v>
      </c>
      <c r="AN1123" s="9">
        <v>0.60494259884863</v>
      </c>
      <c r="AO1123" s="9">
        <v>0.778003152742199</v>
      </c>
      <c r="AP1123" s="9">
        <v>282.78287555052202</v>
      </c>
      <c r="AQ1123" s="9">
        <v>6.0166569266068501</v>
      </c>
      <c r="AR1123" s="9">
        <v>10.8682543028177</v>
      </c>
      <c r="AS1123" s="8" t="s">
        <v>169</v>
      </c>
      <c r="AT1123" s="8" t="s">
        <v>169</v>
      </c>
      <c r="AU1123" s="10" t="s">
        <v>169</v>
      </c>
      <c r="AV1123" s="10">
        <v>0</v>
      </c>
      <c r="AX1123" s="10" t="s">
        <v>169</v>
      </c>
      <c r="BF1123" s="12">
        <v>0.55000000000000004</v>
      </c>
      <c r="BG1123" s="13">
        <v>172.54092662418699</v>
      </c>
      <c r="BH1123" s="96" t="str">
        <f>+VLOOKUP(G1123,Liste!$A$7:$G$50,3,FALSE)</f>
        <v>Chêne sessile</v>
      </c>
      <c r="BI1123" s="96" t="str">
        <f>+VLOOKUP(H1123,Liste!$B$7:$G$50,5,FALSE)</f>
        <v>Guide chênaie continentale</v>
      </c>
      <c r="BJ1123" s="135">
        <f t="shared" si="340"/>
        <v>47</v>
      </c>
      <c r="BK1123" s="135" t="str">
        <f t="shared" si="342"/>
        <v>Chêne sessile_F2_Dynamique_Guide chênaie continentale_47_</v>
      </c>
      <c r="BL1123" s="322"/>
      <c r="BM1123" s="13">
        <v>46.571291104726797</v>
      </c>
      <c r="BN1123" s="13">
        <v>219.112217728914</v>
      </c>
      <c r="BO1123" s="13" t="s">
        <v>169</v>
      </c>
      <c r="BP1123" s="13">
        <v>305.10291717349702</v>
      </c>
      <c r="BQ1123" s="13">
        <v>12.7468790346189</v>
      </c>
      <c r="BT1123" s="298" t="str">
        <f>+VLOOKUP(G1123,Liste!$A$7:$H$50,8,FALSE)</f>
        <v>Feuillus</v>
      </c>
      <c r="BU1123" s="298">
        <f t="shared" si="343"/>
        <v>1</v>
      </c>
      <c r="BV1123" s="300">
        <f t="shared" si="344"/>
        <v>0</v>
      </c>
      <c r="BW1123" s="321">
        <v>0</v>
      </c>
      <c r="BX1123" s="298">
        <f t="shared" si="345"/>
        <v>0.25</v>
      </c>
      <c r="BY1123">
        <f t="shared" si="346"/>
        <v>0</v>
      </c>
      <c r="BZ1123" s="304">
        <f t="shared" si="347"/>
        <v>0</v>
      </c>
      <c r="CB1123" s="299">
        <v>0</v>
      </c>
      <c r="CC1123" s="299">
        <v>0</v>
      </c>
      <c r="CD1123">
        <f t="shared" si="348"/>
        <v>0</v>
      </c>
      <c r="CE1123">
        <f t="shared" si="349"/>
        <v>0</v>
      </c>
      <c r="CF1123">
        <f t="shared" si="350"/>
        <v>0</v>
      </c>
      <c r="CG1123">
        <f t="shared" si="351"/>
        <v>0</v>
      </c>
      <c r="CH1123">
        <f t="shared" si="352"/>
        <v>0</v>
      </c>
      <c r="CI1123">
        <f t="shared" si="353"/>
        <v>0</v>
      </c>
      <c r="CJ1123">
        <f t="shared" si="354"/>
        <v>0</v>
      </c>
      <c r="CK1123">
        <f t="shared" si="355"/>
        <v>0</v>
      </c>
      <c r="CL1123">
        <f t="shared" si="356"/>
        <v>0</v>
      </c>
      <c r="CM1123">
        <f t="shared" si="358"/>
        <v>0</v>
      </c>
      <c r="CN1123">
        <f t="shared" si="357"/>
        <v>0</v>
      </c>
      <c r="CO1123">
        <f t="shared" si="341"/>
        <v>0</v>
      </c>
    </row>
    <row r="1124" spans="1:93" x14ac:dyDescent="0.25">
      <c r="A1124" s="4">
        <v>2021</v>
      </c>
      <c r="B1124" s="318">
        <v>44279</v>
      </c>
      <c r="C1124" s="4" t="s">
        <v>66</v>
      </c>
      <c r="D1124" s="4" t="s">
        <v>1504</v>
      </c>
      <c r="E1124" s="4" t="s">
        <v>87</v>
      </c>
      <c r="F1124" s="4" t="s">
        <v>90</v>
      </c>
      <c r="G1124" s="5" t="s">
        <v>17</v>
      </c>
      <c r="H1124" s="5" t="s">
        <v>22</v>
      </c>
      <c r="I1124" s="5" t="s">
        <v>146</v>
      </c>
      <c r="J1124" s="5" t="s">
        <v>10</v>
      </c>
      <c r="K1124" s="5">
        <v>18</v>
      </c>
      <c r="L1124" s="5" t="s">
        <v>193</v>
      </c>
      <c r="M1124" s="5">
        <v>1666</v>
      </c>
      <c r="N1124" s="5" t="s">
        <v>170</v>
      </c>
      <c r="O1124" s="6" t="s">
        <v>81</v>
      </c>
      <c r="P1124" s="6" t="s">
        <v>1505</v>
      </c>
      <c r="S1124" s="6">
        <v>44</v>
      </c>
      <c r="T1124" s="6">
        <v>16.579999999999998</v>
      </c>
      <c r="U1124" s="6">
        <v>1453</v>
      </c>
      <c r="V1124" s="6">
        <v>26.19</v>
      </c>
      <c r="W1124" s="6">
        <v>41</v>
      </c>
      <c r="X1124" s="6">
        <v>369</v>
      </c>
      <c r="Y1124" s="6">
        <v>713</v>
      </c>
      <c r="Z1124" s="6">
        <v>301</v>
      </c>
      <c r="AA1124" s="6">
        <v>28</v>
      </c>
      <c r="AB1124" s="6">
        <v>0</v>
      </c>
      <c r="AC1124" s="7">
        <v>51</v>
      </c>
      <c r="AD1124" s="7" t="s">
        <v>52</v>
      </c>
      <c r="AE1124" s="7">
        <v>18.399999999999999</v>
      </c>
      <c r="AF1124" s="7">
        <v>660</v>
      </c>
      <c r="AG1124" s="7">
        <v>20.43</v>
      </c>
      <c r="AH1124" s="7">
        <v>19.850000000000001</v>
      </c>
      <c r="AI1124" s="7">
        <v>25.2</v>
      </c>
      <c r="AJ1124" s="9">
        <v>176.19742684400001</v>
      </c>
      <c r="AK1124" s="9">
        <v>189.41529039658801</v>
      </c>
      <c r="AL1124" s="9">
        <v>223.594036740652</v>
      </c>
      <c r="AM1124" s="9">
        <v>31.544314756854401</v>
      </c>
      <c r="AN1124" s="9">
        <v>0.61851597562459604</v>
      </c>
      <c r="AO1124" s="9">
        <v>0.63187414863137803</v>
      </c>
      <c r="AP1124" s="9">
        <v>326.25589276179301</v>
      </c>
      <c r="AQ1124" s="9">
        <v>6.3971743678782902</v>
      </c>
      <c r="AR1124" s="9">
        <v>9.1729869761408107</v>
      </c>
      <c r="AS1124" s="8" t="s">
        <v>169</v>
      </c>
      <c r="AT1124" s="8" t="s">
        <v>169</v>
      </c>
      <c r="AU1124" s="10" t="s">
        <v>169</v>
      </c>
      <c r="AV1124" s="10">
        <v>0</v>
      </c>
      <c r="AX1124" s="10" t="s">
        <v>169</v>
      </c>
      <c r="BF1124" s="12">
        <v>0.55000000000000004</v>
      </c>
      <c r="BG1124" s="13">
        <v>214.18445436114999</v>
      </c>
      <c r="BH1124" s="96" t="str">
        <f>+VLOOKUP(G1124,Liste!$A$7:$G$50,3,FALSE)</f>
        <v>Chêne sessile</v>
      </c>
      <c r="BI1124" s="96" t="str">
        <f>+VLOOKUP(H1124,Liste!$B$7:$G$50,5,FALSE)</f>
        <v>Guide chênaie continentale</v>
      </c>
      <c r="BJ1124" s="135">
        <f t="shared" si="340"/>
        <v>51</v>
      </c>
      <c r="BK1124" s="135" t="str">
        <f t="shared" si="342"/>
        <v>Chêne sessile_F2_Dynamique_Guide chênaie continentale_51_</v>
      </c>
      <c r="BL1124" s="322"/>
      <c r="BM1124" s="13">
        <v>56.374749468089099</v>
      </c>
      <c r="BN1124" s="13">
        <v>270.55920382923898</v>
      </c>
      <c r="BO1124" s="13" t="s">
        <v>169</v>
      </c>
      <c r="BP1124" s="13">
        <v>305.10291717349702</v>
      </c>
      <c r="BQ1124" s="13">
        <v>10.7332896370607</v>
      </c>
      <c r="BT1124" s="298" t="str">
        <f>+VLOOKUP(G1124,Liste!$A$7:$H$50,8,FALSE)</f>
        <v>Feuillus</v>
      </c>
      <c r="BU1124" s="298">
        <f t="shared" si="343"/>
        <v>1</v>
      </c>
      <c r="BV1124" s="300">
        <f t="shared" si="344"/>
        <v>0</v>
      </c>
      <c r="BW1124" s="321">
        <v>0</v>
      </c>
      <c r="BX1124" s="298">
        <f t="shared" si="345"/>
        <v>0.25</v>
      </c>
      <c r="BY1124">
        <f t="shared" si="346"/>
        <v>0</v>
      </c>
      <c r="BZ1124" s="304">
        <f t="shared" si="347"/>
        <v>0</v>
      </c>
      <c r="CB1124" s="299">
        <v>0</v>
      </c>
      <c r="CC1124" s="299">
        <v>0</v>
      </c>
      <c r="CD1124">
        <f t="shared" si="348"/>
        <v>0</v>
      </c>
      <c r="CE1124">
        <f t="shared" si="349"/>
        <v>0</v>
      </c>
      <c r="CF1124">
        <f t="shared" si="350"/>
        <v>0</v>
      </c>
      <c r="CG1124">
        <f t="shared" si="351"/>
        <v>0</v>
      </c>
      <c r="CH1124">
        <f t="shared" si="352"/>
        <v>0</v>
      </c>
      <c r="CI1124">
        <f t="shared" si="353"/>
        <v>0</v>
      </c>
      <c r="CJ1124">
        <f t="shared" si="354"/>
        <v>0</v>
      </c>
      <c r="CK1124">
        <f t="shared" si="355"/>
        <v>0</v>
      </c>
      <c r="CL1124">
        <f t="shared" si="356"/>
        <v>0</v>
      </c>
      <c r="CM1124">
        <f t="shared" si="358"/>
        <v>0</v>
      </c>
      <c r="CN1124">
        <f t="shared" si="357"/>
        <v>0</v>
      </c>
      <c r="CO1124">
        <f t="shared" si="341"/>
        <v>0</v>
      </c>
    </row>
    <row r="1125" spans="1:93" x14ac:dyDescent="0.25">
      <c r="A1125" s="4">
        <v>2021</v>
      </c>
      <c r="B1125" s="318">
        <v>44279</v>
      </c>
      <c r="C1125" s="4" t="s">
        <v>66</v>
      </c>
      <c r="D1125" s="4" t="s">
        <v>1504</v>
      </c>
      <c r="E1125" s="4" t="s">
        <v>87</v>
      </c>
      <c r="F1125" s="4" t="s">
        <v>90</v>
      </c>
      <c r="G1125" s="5" t="s">
        <v>17</v>
      </c>
      <c r="H1125" s="5" t="s">
        <v>22</v>
      </c>
      <c r="I1125" s="5" t="s">
        <v>146</v>
      </c>
      <c r="J1125" s="5" t="s">
        <v>10</v>
      </c>
      <c r="K1125" s="5">
        <v>18</v>
      </c>
      <c r="L1125" s="5" t="s">
        <v>193</v>
      </c>
      <c r="M1125" s="5">
        <v>1666</v>
      </c>
      <c r="N1125" s="5" t="s">
        <v>170</v>
      </c>
      <c r="O1125" s="6" t="s">
        <v>81</v>
      </c>
      <c r="P1125" s="6" t="s">
        <v>1505</v>
      </c>
      <c r="S1125" s="6">
        <v>44</v>
      </c>
      <c r="T1125" s="6">
        <v>16.579999999999998</v>
      </c>
      <c r="U1125" s="6">
        <v>1453</v>
      </c>
      <c r="V1125" s="6">
        <v>26.19</v>
      </c>
      <c r="W1125" s="6">
        <v>41</v>
      </c>
      <c r="X1125" s="6">
        <v>369</v>
      </c>
      <c r="Y1125" s="6">
        <v>713</v>
      </c>
      <c r="Z1125" s="6">
        <v>301</v>
      </c>
      <c r="AA1125" s="6">
        <v>28</v>
      </c>
      <c r="AB1125" s="6">
        <v>0</v>
      </c>
      <c r="AC1125" s="7">
        <v>51</v>
      </c>
      <c r="AD1125" s="7" t="s">
        <v>53</v>
      </c>
      <c r="AE1125" s="7">
        <v>18.399999999999999</v>
      </c>
      <c r="AF1125" s="7">
        <v>424</v>
      </c>
      <c r="AG1125" s="7">
        <v>15.05</v>
      </c>
      <c r="AH1125" s="7">
        <v>21.26</v>
      </c>
      <c r="AI1125" s="7">
        <v>25.2</v>
      </c>
      <c r="AJ1125" s="9">
        <v>131.97313107935</v>
      </c>
      <c r="AK1125" s="9">
        <v>142.83026659741199</v>
      </c>
      <c r="AL1125" s="9">
        <v>167.23800109787899</v>
      </c>
      <c r="AM1125" s="9">
        <v>31.544314756854401</v>
      </c>
      <c r="AN1125" s="9">
        <v>0.61851597562459604</v>
      </c>
      <c r="AO1125" s="9">
        <v>0.63187414863137803</v>
      </c>
      <c r="AP1125" s="9">
        <v>326.25589276179301</v>
      </c>
      <c r="AQ1125" s="9">
        <v>6.3971743678782902</v>
      </c>
      <c r="AR1125" s="9">
        <v>9.1729869761408107</v>
      </c>
      <c r="AS1125" s="8">
        <v>236</v>
      </c>
      <c r="AT1125" s="8">
        <v>5.379999999999999</v>
      </c>
      <c r="AU1125" s="10">
        <v>17.036885147734125</v>
      </c>
      <c r="AV1125" s="10">
        <v>44.224295764650009</v>
      </c>
      <c r="AW1125" s="8">
        <v>0.74</v>
      </c>
      <c r="AX1125" s="10">
        <v>0.18739108374851698</v>
      </c>
      <c r="BF1125" s="12">
        <v>0.55000000000000004</v>
      </c>
      <c r="BG1125" s="13">
        <v>160.200068551676</v>
      </c>
      <c r="BH1125" s="96" t="str">
        <f>+VLOOKUP(G1125,Liste!$A$7:$G$50,3,FALSE)</f>
        <v>Chêne sessile</v>
      </c>
      <c r="BI1125" s="96" t="str">
        <f>+VLOOKUP(H1125,Liste!$B$7:$G$50,5,FALSE)</f>
        <v>Guide chênaie continentale</v>
      </c>
      <c r="BJ1125" s="135">
        <f t="shared" si="340"/>
        <v>51</v>
      </c>
      <c r="BK1125" s="135" t="str">
        <f t="shared" si="342"/>
        <v>Chêne sessile_F2_Dynamique_Guide chênaie continentale_51_</v>
      </c>
      <c r="BL1125" s="322"/>
      <c r="BM1125" s="13">
        <v>43.6154497466976</v>
      </c>
      <c r="BN1125" s="13">
        <v>203.815518298374</v>
      </c>
      <c r="BO1125" s="13">
        <v>66.74368553086498</v>
      </c>
      <c r="BP1125" s="13">
        <v>305.10291717349702</v>
      </c>
      <c r="BQ1125" s="13">
        <v>10.7332896370607</v>
      </c>
      <c r="BT1125" s="298" t="str">
        <f>+VLOOKUP(G1125,Liste!$A$7:$H$50,8,FALSE)</f>
        <v>Feuillus</v>
      </c>
      <c r="BU1125" s="298">
        <f t="shared" si="343"/>
        <v>1</v>
      </c>
      <c r="BV1125" s="300">
        <f t="shared" si="344"/>
        <v>0</v>
      </c>
      <c r="BW1125" s="321">
        <v>0</v>
      </c>
      <c r="BX1125" s="298">
        <f t="shared" si="345"/>
        <v>0.25</v>
      </c>
      <c r="BY1125">
        <f t="shared" si="346"/>
        <v>0</v>
      </c>
      <c r="BZ1125" s="304">
        <f t="shared" si="347"/>
        <v>0</v>
      </c>
      <c r="CB1125" s="299">
        <v>0</v>
      </c>
      <c r="CC1125" s="299">
        <v>0</v>
      </c>
      <c r="CD1125">
        <f t="shared" si="348"/>
        <v>0</v>
      </c>
      <c r="CE1125">
        <f t="shared" si="349"/>
        <v>0</v>
      </c>
      <c r="CF1125">
        <f t="shared" si="350"/>
        <v>0</v>
      </c>
      <c r="CG1125">
        <f t="shared" si="351"/>
        <v>0</v>
      </c>
      <c r="CH1125">
        <f t="shared" si="352"/>
        <v>0</v>
      </c>
      <c r="CI1125">
        <f t="shared" si="353"/>
        <v>0</v>
      </c>
      <c r="CJ1125">
        <f t="shared" si="354"/>
        <v>0</v>
      </c>
      <c r="CK1125">
        <f t="shared" si="355"/>
        <v>0</v>
      </c>
      <c r="CL1125">
        <f t="shared" si="356"/>
        <v>0</v>
      </c>
      <c r="CM1125">
        <f t="shared" si="358"/>
        <v>0</v>
      </c>
      <c r="CN1125">
        <f t="shared" si="357"/>
        <v>0</v>
      </c>
      <c r="CO1125">
        <f t="shared" si="341"/>
        <v>0</v>
      </c>
    </row>
    <row r="1126" spans="1:93" x14ac:dyDescent="0.25">
      <c r="A1126" s="4">
        <v>2021</v>
      </c>
      <c r="B1126" s="318">
        <v>44279</v>
      </c>
      <c r="C1126" s="4" t="s">
        <v>66</v>
      </c>
      <c r="D1126" s="4" t="s">
        <v>1504</v>
      </c>
      <c r="E1126" s="4" t="s">
        <v>87</v>
      </c>
      <c r="F1126" s="4" t="s">
        <v>90</v>
      </c>
      <c r="G1126" s="5" t="s">
        <v>17</v>
      </c>
      <c r="H1126" s="5" t="s">
        <v>22</v>
      </c>
      <c r="I1126" s="5" t="s">
        <v>146</v>
      </c>
      <c r="J1126" s="5" t="s">
        <v>10</v>
      </c>
      <c r="K1126" s="5">
        <v>18</v>
      </c>
      <c r="L1126" s="5" t="s">
        <v>193</v>
      </c>
      <c r="M1126" s="5">
        <v>1666</v>
      </c>
      <c r="N1126" s="5" t="s">
        <v>170</v>
      </c>
      <c r="O1126" s="6" t="s">
        <v>81</v>
      </c>
      <c r="P1126" s="6" t="s">
        <v>1505</v>
      </c>
      <c r="S1126" s="6">
        <v>44</v>
      </c>
      <c r="T1126" s="6">
        <v>16.579999999999998</v>
      </c>
      <c r="U1126" s="6">
        <v>1453</v>
      </c>
      <c r="V1126" s="6">
        <v>26.19</v>
      </c>
      <c r="W1126" s="6">
        <v>41</v>
      </c>
      <c r="X1126" s="6">
        <v>369</v>
      </c>
      <c r="Y1126" s="6">
        <v>713</v>
      </c>
      <c r="Z1126" s="6">
        <v>301</v>
      </c>
      <c r="AA1126" s="6">
        <v>28</v>
      </c>
      <c r="AB1126" s="6">
        <v>0</v>
      </c>
      <c r="AC1126" s="7">
        <v>54</v>
      </c>
      <c r="AD1126" s="7" t="s">
        <v>52</v>
      </c>
      <c r="AE1126" s="7">
        <v>19.059999999999999</v>
      </c>
      <c r="AF1126" s="7">
        <v>424</v>
      </c>
      <c r="AG1126" s="7">
        <v>16.940000000000001</v>
      </c>
      <c r="AH1126" s="7">
        <v>22.56</v>
      </c>
      <c r="AI1126" s="7">
        <v>26.62</v>
      </c>
      <c r="AJ1126" s="9">
        <v>154.790581475751</v>
      </c>
      <c r="AK1126" s="9">
        <v>167.989783502075</v>
      </c>
      <c r="AL1126" s="9">
        <v>194.75696202630101</v>
      </c>
      <c r="AM1126" s="9">
        <v>33.439937202748602</v>
      </c>
      <c r="AN1126" s="9">
        <v>0.61925809634719498</v>
      </c>
      <c r="AO1126" s="9">
        <v>0.68170299683385405</v>
      </c>
      <c r="AP1126" s="9">
        <v>353.77485369021502</v>
      </c>
      <c r="AQ1126" s="9">
        <v>6.5513861794484303</v>
      </c>
      <c r="AR1126" s="9">
        <v>10.299743481506701</v>
      </c>
      <c r="AS1126" s="8" t="s">
        <v>169</v>
      </c>
      <c r="AT1126" s="8" t="s">
        <v>169</v>
      </c>
      <c r="AU1126" s="10" t="s">
        <v>169</v>
      </c>
      <c r="AV1126" s="10">
        <v>0</v>
      </c>
      <c r="AX1126" s="10" t="s">
        <v>169</v>
      </c>
      <c r="BF1126" s="12">
        <v>0.55000000000000004</v>
      </c>
      <c r="BG1126" s="13">
        <v>186.560939874361</v>
      </c>
      <c r="BH1126" s="96" t="str">
        <f>+VLOOKUP(G1126,Liste!$A$7:$G$50,3,FALSE)</f>
        <v>Chêne sessile</v>
      </c>
      <c r="BI1126" s="96" t="str">
        <f>+VLOOKUP(H1126,Liste!$B$7:$G$50,5,FALSE)</f>
        <v>Guide chênaie continentale</v>
      </c>
      <c r="BJ1126" s="135">
        <f t="shared" si="340"/>
        <v>54</v>
      </c>
      <c r="BK1126" s="135" t="str">
        <f t="shared" si="342"/>
        <v>Chêne sessile_F2_Dynamique_Guide chênaie continentale_54_</v>
      </c>
      <c r="BL1126" s="322"/>
      <c r="BM1126" s="13">
        <v>49.899659784974901</v>
      </c>
      <c r="BN1126" s="13">
        <v>236.460599659336</v>
      </c>
      <c r="BO1126" s="13" t="s">
        <v>169</v>
      </c>
      <c r="BP1126" s="13">
        <v>305.10291717349702</v>
      </c>
      <c r="BQ1126" s="13">
        <v>12.030845632458099</v>
      </c>
      <c r="BT1126" s="298" t="str">
        <f>+VLOOKUP(G1126,Liste!$A$7:$H$50,8,FALSE)</f>
        <v>Feuillus</v>
      </c>
      <c r="BU1126" s="298">
        <f t="shared" si="343"/>
        <v>1</v>
      </c>
      <c r="BV1126" s="300">
        <f t="shared" si="344"/>
        <v>0</v>
      </c>
      <c r="BW1126" s="321">
        <v>0</v>
      </c>
      <c r="BX1126" s="298">
        <f t="shared" si="345"/>
        <v>0.25</v>
      </c>
      <c r="BY1126">
        <f t="shared" si="346"/>
        <v>0</v>
      </c>
      <c r="BZ1126" s="304">
        <f t="shared" si="347"/>
        <v>0</v>
      </c>
      <c r="CB1126" s="299">
        <v>0</v>
      </c>
      <c r="CC1126" s="299">
        <v>0</v>
      </c>
      <c r="CD1126">
        <f t="shared" si="348"/>
        <v>0</v>
      </c>
      <c r="CE1126">
        <f t="shared" si="349"/>
        <v>0</v>
      </c>
      <c r="CF1126">
        <f t="shared" si="350"/>
        <v>0</v>
      </c>
      <c r="CG1126">
        <f t="shared" si="351"/>
        <v>0</v>
      </c>
      <c r="CH1126">
        <f t="shared" si="352"/>
        <v>0</v>
      </c>
      <c r="CI1126">
        <f t="shared" si="353"/>
        <v>0</v>
      </c>
      <c r="CJ1126">
        <f t="shared" si="354"/>
        <v>0</v>
      </c>
      <c r="CK1126">
        <f t="shared" si="355"/>
        <v>0</v>
      </c>
      <c r="CL1126">
        <f t="shared" si="356"/>
        <v>0</v>
      </c>
      <c r="CM1126">
        <f t="shared" si="358"/>
        <v>0</v>
      </c>
      <c r="CN1126">
        <f t="shared" si="357"/>
        <v>0</v>
      </c>
      <c r="CO1126">
        <f t="shared" si="341"/>
        <v>0</v>
      </c>
    </row>
    <row r="1127" spans="1:93" x14ac:dyDescent="0.25">
      <c r="A1127" s="4">
        <v>2021</v>
      </c>
      <c r="B1127" s="318">
        <v>44279</v>
      </c>
      <c r="C1127" s="4" t="s">
        <v>66</v>
      </c>
      <c r="D1127" s="4" t="s">
        <v>1504</v>
      </c>
      <c r="E1127" s="4" t="s">
        <v>87</v>
      </c>
      <c r="F1127" s="4" t="s">
        <v>90</v>
      </c>
      <c r="G1127" s="5" t="s">
        <v>17</v>
      </c>
      <c r="H1127" s="5" t="s">
        <v>22</v>
      </c>
      <c r="I1127" s="5" t="s">
        <v>146</v>
      </c>
      <c r="J1127" s="5" t="s">
        <v>10</v>
      </c>
      <c r="K1127" s="5">
        <v>18</v>
      </c>
      <c r="L1127" s="5" t="s">
        <v>193</v>
      </c>
      <c r="M1127" s="5">
        <v>1666</v>
      </c>
      <c r="N1127" s="5" t="s">
        <v>170</v>
      </c>
      <c r="O1127" s="6" t="s">
        <v>81</v>
      </c>
      <c r="P1127" s="6" t="s">
        <v>1505</v>
      </c>
      <c r="S1127" s="6">
        <v>44</v>
      </c>
      <c r="T1127" s="6">
        <v>16.579999999999998</v>
      </c>
      <c r="U1127" s="6">
        <v>1453</v>
      </c>
      <c r="V1127" s="6">
        <v>26.19</v>
      </c>
      <c r="W1127" s="6">
        <v>41</v>
      </c>
      <c r="X1127" s="6">
        <v>369</v>
      </c>
      <c r="Y1127" s="6">
        <v>713</v>
      </c>
      <c r="Z1127" s="6">
        <v>301</v>
      </c>
      <c r="AA1127" s="6">
        <v>28</v>
      </c>
      <c r="AB1127" s="6">
        <v>0</v>
      </c>
      <c r="AC1127" s="7">
        <v>57</v>
      </c>
      <c r="AD1127" s="7" t="s">
        <v>52</v>
      </c>
      <c r="AE1127" s="7">
        <v>19.760000000000002</v>
      </c>
      <c r="AF1127" s="7">
        <v>424</v>
      </c>
      <c r="AG1127" s="7">
        <v>18.989999999999998</v>
      </c>
      <c r="AH1127" s="7">
        <v>23.88</v>
      </c>
      <c r="AI1127" s="7">
        <v>28.06</v>
      </c>
      <c r="AJ1127" s="9">
        <v>180.536333678636</v>
      </c>
      <c r="AK1127" s="9">
        <v>196.365297642044</v>
      </c>
      <c r="AL1127" s="9">
        <v>225.656192470821</v>
      </c>
      <c r="AM1127" s="9">
        <v>35.485046193250099</v>
      </c>
      <c r="AN1127" s="9">
        <v>0.62254467005701997</v>
      </c>
      <c r="AO1127" s="9">
        <v>0.67949437996756501</v>
      </c>
      <c r="AP1127" s="9">
        <v>384.67408413473498</v>
      </c>
      <c r="AQ1127" s="9">
        <v>6.7486681427146502</v>
      </c>
      <c r="AR1127" s="9">
        <v>10.5737663706134</v>
      </c>
      <c r="AS1127" s="8" t="s">
        <v>169</v>
      </c>
      <c r="AT1127" s="8" t="s">
        <v>169</v>
      </c>
      <c r="AU1127" s="10" t="s">
        <v>169</v>
      </c>
      <c r="AV1127" s="10">
        <v>0</v>
      </c>
      <c r="AX1127" s="10" t="s">
        <v>169</v>
      </c>
      <c r="BF1127" s="12">
        <v>0.55000000000000004</v>
      </c>
      <c r="BG1127" s="13">
        <v>216.15982770434101</v>
      </c>
      <c r="BH1127" s="96" t="str">
        <f>+VLOOKUP(G1127,Liste!$A$7:$G$50,3,FALSE)</f>
        <v>Chêne sessile</v>
      </c>
      <c r="BI1127" s="96" t="str">
        <f>+VLOOKUP(H1127,Liste!$B$7:$G$50,5,FALSE)</f>
        <v>Guide chênaie continentale</v>
      </c>
      <c r="BJ1127" s="135">
        <f t="shared" si="340"/>
        <v>57</v>
      </c>
      <c r="BK1127" s="135" t="str">
        <f t="shared" si="342"/>
        <v>Chêne sessile_F2_Dynamique_Guide chênaie continentale_57_</v>
      </c>
      <c r="BL1127" s="322"/>
      <c r="BM1127" s="13">
        <v>56.833914910193997</v>
      </c>
      <c r="BN1127" s="13">
        <v>272.99374261453499</v>
      </c>
      <c r="BO1127" s="13" t="s">
        <v>169</v>
      </c>
      <c r="BP1127" s="13">
        <v>305.10291717349702</v>
      </c>
      <c r="BQ1127" s="13">
        <v>12.3333277119832</v>
      </c>
      <c r="BT1127" s="298" t="str">
        <f>+VLOOKUP(G1127,Liste!$A$7:$H$50,8,FALSE)</f>
        <v>Feuillus</v>
      </c>
      <c r="BU1127" s="298">
        <f t="shared" si="343"/>
        <v>1</v>
      </c>
      <c r="BV1127" s="300">
        <f t="shared" si="344"/>
        <v>0</v>
      </c>
      <c r="BW1127" s="321">
        <v>0</v>
      </c>
      <c r="BX1127" s="298">
        <f t="shared" si="345"/>
        <v>0.25</v>
      </c>
      <c r="BY1127">
        <f t="shared" si="346"/>
        <v>0</v>
      </c>
      <c r="BZ1127" s="304">
        <f t="shared" si="347"/>
        <v>0</v>
      </c>
      <c r="CB1127" s="299">
        <v>0</v>
      </c>
      <c r="CC1127" s="299">
        <v>0</v>
      </c>
      <c r="CD1127">
        <f t="shared" si="348"/>
        <v>0</v>
      </c>
      <c r="CE1127">
        <f t="shared" si="349"/>
        <v>0</v>
      </c>
      <c r="CF1127">
        <f t="shared" si="350"/>
        <v>0</v>
      </c>
      <c r="CG1127">
        <f t="shared" si="351"/>
        <v>0</v>
      </c>
      <c r="CH1127">
        <f t="shared" si="352"/>
        <v>0</v>
      </c>
      <c r="CI1127">
        <f t="shared" si="353"/>
        <v>0</v>
      </c>
      <c r="CJ1127">
        <f t="shared" si="354"/>
        <v>0</v>
      </c>
      <c r="CK1127">
        <f t="shared" si="355"/>
        <v>0</v>
      </c>
      <c r="CL1127">
        <f t="shared" si="356"/>
        <v>0</v>
      </c>
      <c r="CM1127">
        <f t="shared" si="358"/>
        <v>0</v>
      </c>
      <c r="CN1127">
        <f t="shared" si="357"/>
        <v>0</v>
      </c>
      <c r="CO1127">
        <f t="shared" si="341"/>
        <v>0</v>
      </c>
    </row>
    <row r="1128" spans="1:93" x14ac:dyDescent="0.25">
      <c r="A1128" s="4">
        <v>2021</v>
      </c>
      <c r="B1128" s="318">
        <v>44279</v>
      </c>
      <c r="C1128" s="4" t="s">
        <v>66</v>
      </c>
      <c r="D1128" s="4" t="s">
        <v>1504</v>
      </c>
      <c r="E1128" s="4" t="s">
        <v>87</v>
      </c>
      <c r="F1128" s="4" t="s">
        <v>90</v>
      </c>
      <c r="G1128" s="5" t="s">
        <v>17</v>
      </c>
      <c r="H1128" s="5" t="s">
        <v>22</v>
      </c>
      <c r="I1128" s="5" t="s">
        <v>146</v>
      </c>
      <c r="J1128" s="5" t="s">
        <v>10</v>
      </c>
      <c r="K1128" s="5">
        <v>18</v>
      </c>
      <c r="L1128" s="5" t="s">
        <v>193</v>
      </c>
      <c r="M1128" s="5">
        <v>1666</v>
      </c>
      <c r="N1128" s="5" t="s">
        <v>170</v>
      </c>
      <c r="O1128" s="6" t="s">
        <v>81</v>
      </c>
      <c r="P1128" s="6" t="s">
        <v>1505</v>
      </c>
      <c r="S1128" s="6">
        <v>44</v>
      </c>
      <c r="T1128" s="6">
        <v>16.579999999999998</v>
      </c>
      <c r="U1128" s="6">
        <v>1453</v>
      </c>
      <c r="V1128" s="6">
        <v>26.19</v>
      </c>
      <c r="W1128" s="6">
        <v>41</v>
      </c>
      <c r="X1128" s="6">
        <v>369</v>
      </c>
      <c r="Y1128" s="6">
        <v>713</v>
      </c>
      <c r="Z1128" s="6">
        <v>301</v>
      </c>
      <c r="AA1128" s="6">
        <v>28</v>
      </c>
      <c r="AB1128" s="6">
        <v>0</v>
      </c>
      <c r="AC1128" s="7">
        <v>59</v>
      </c>
      <c r="AD1128" s="7" t="s">
        <v>52</v>
      </c>
      <c r="AE1128" s="7">
        <v>20.21</v>
      </c>
      <c r="AF1128" s="7">
        <v>424</v>
      </c>
      <c r="AG1128" s="7">
        <v>20.350000000000001</v>
      </c>
      <c r="AH1128" s="7">
        <v>24.72</v>
      </c>
      <c r="AI1128" s="7">
        <v>28.98</v>
      </c>
      <c r="AJ1128" s="9">
        <v>198.20195021150101</v>
      </c>
      <c r="AK1128" s="9">
        <v>215.846263197826</v>
      </c>
      <c r="AL1128" s="9">
        <v>246.80372521204799</v>
      </c>
      <c r="AM1128" s="9">
        <v>36.844034953185201</v>
      </c>
      <c r="AN1128" s="9">
        <v>0.62447516869805497</v>
      </c>
      <c r="AO1128" s="9">
        <v>0.55789184860817698</v>
      </c>
      <c r="AP1128" s="9">
        <v>405.82161687596198</v>
      </c>
      <c r="AQ1128" s="9">
        <v>6.8783324894230899</v>
      </c>
      <c r="AR1128" s="9">
        <v>8.7386325717478304</v>
      </c>
      <c r="AS1128" s="8" t="s">
        <v>169</v>
      </c>
      <c r="AT1128" s="8" t="s">
        <v>169</v>
      </c>
      <c r="AU1128" s="10" t="s">
        <v>169</v>
      </c>
      <c r="AV1128" s="10">
        <v>0</v>
      </c>
      <c r="AX1128" s="10" t="s">
        <v>169</v>
      </c>
      <c r="BF1128" s="12">
        <v>0.55000000000000004</v>
      </c>
      <c r="BG1128" s="13">
        <v>236.417401776041</v>
      </c>
      <c r="BH1128" s="96" t="str">
        <f>+VLOOKUP(G1128,Liste!$A$7:$G$50,3,FALSE)</f>
        <v>Chêne sessile</v>
      </c>
      <c r="BI1128" s="96" t="str">
        <f>+VLOOKUP(H1128,Liste!$B$7:$G$50,5,FALSE)</f>
        <v>Guide chênaie continentale</v>
      </c>
      <c r="BJ1128" s="135">
        <f t="shared" si="340"/>
        <v>59</v>
      </c>
      <c r="BK1128" s="135" t="str">
        <f t="shared" si="342"/>
        <v>Chêne sessile_F2_Dynamique_Guide chênaie continentale_59_</v>
      </c>
      <c r="BL1128" s="322"/>
      <c r="BM1128" s="13">
        <v>61.5153570122894</v>
      </c>
      <c r="BN1128" s="13">
        <v>297.93275878832998</v>
      </c>
      <c r="BO1128" s="13" t="s">
        <v>169</v>
      </c>
      <c r="BP1128" s="13">
        <v>305.10291717349702</v>
      </c>
      <c r="BQ1128" s="13">
        <v>10.180524177095499</v>
      </c>
      <c r="BT1128" s="298" t="str">
        <f>+VLOOKUP(G1128,Liste!$A$7:$H$50,8,FALSE)</f>
        <v>Feuillus</v>
      </c>
      <c r="BU1128" s="298">
        <f t="shared" si="343"/>
        <v>1</v>
      </c>
      <c r="BV1128" s="300">
        <f t="shared" si="344"/>
        <v>0</v>
      </c>
      <c r="BW1128" s="321">
        <v>0</v>
      </c>
      <c r="BX1128" s="298">
        <f t="shared" si="345"/>
        <v>0.25</v>
      </c>
      <c r="BY1128">
        <f t="shared" si="346"/>
        <v>0</v>
      </c>
      <c r="BZ1128" s="304">
        <f t="shared" si="347"/>
        <v>0</v>
      </c>
      <c r="CB1128" s="299">
        <v>0</v>
      </c>
      <c r="CC1128" s="299">
        <v>0</v>
      </c>
      <c r="CD1128">
        <f t="shared" si="348"/>
        <v>0</v>
      </c>
      <c r="CE1128">
        <f t="shared" si="349"/>
        <v>0</v>
      </c>
      <c r="CF1128">
        <f t="shared" si="350"/>
        <v>0</v>
      </c>
      <c r="CG1128">
        <f t="shared" si="351"/>
        <v>0</v>
      </c>
      <c r="CH1128">
        <f t="shared" si="352"/>
        <v>0</v>
      </c>
      <c r="CI1128">
        <f t="shared" si="353"/>
        <v>0</v>
      </c>
      <c r="CJ1128">
        <f t="shared" si="354"/>
        <v>0</v>
      </c>
      <c r="CK1128">
        <f t="shared" si="355"/>
        <v>0</v>
      </c>
      <c r="CL1128">
        <f t="shared" si="356"/>
        <v>0</v>
      </c>
      <c r="CM1128">
        <f t="shared" si="358"/>
        <v>0</v>
      </c>
      <c r="CN1128">
        <f t="shared" si="357"/>
        <v>0</v>
      </c>
      <c r="CO1128">
        <f t="shared" si="341"/>
        <v>0</v>
      </c>
    </row>
    <row r="1129" spans="1:93" x14ac:dyDescent="0.25">
      <c r="A1129" s="4">
        <v>2021</v>
      </c>
      <c r="B1129" s="318">
        <v>44279</v>
      </c>
      <c r="C1129" s="4" t="s">
        <v>66</v>
      </c>
      <c r="D1129" s="4" t="s">
        <v>1504</v>
      </c>
      <c r="E1129" s="4" t="s">
        <v>87</v>
      </c>
      <c r="F1129" s="4" t="s">
        <v>90</v>
      </c>
      <c r="G1129" s="5" t="s">
        <v>17</v>
      </c>
      <c r="H1129" s="5" t="s">
        <v>22</v>
      </c>
      <c r="I1129" s="5" t="s">
        <v>146</v>
      </c>
      <c r="J1129" s="5" t="s">
        <v>10</v>
      </c>
      <c r="K1129" s="5">
        <v>18</v>
      </c>
      <c r="L1129" s="5" t="s">
        <v>193</v>
      </c>
      <c r="M1129" s="5">
        <v>1666</v>
      </c>
      <c r="N1129" s="5" t="s">
        <v>170</v>
      </c>
      <c r="O1129" s="6" t="s">
        <v>81</v>
      </c>
      <c r="P1129" s="6" t="s">
        <v>1505</v>
      </c>
      <c r="S1129" s="6">
        <v>44</v>
      </c>
      <c r="T1129" s="6">
        <v>16.579999999999998</v>
      </c>
      <c r="U1129" s="6">
        <v>1453</v>
      </c>
      <c r="V1129" s="6">
        <v>26.19</v>
      </c>
      <c r="W1129" s="6">
        <v>41</v>
      </c>
      <c r="X1129" s="6">
        <v>369</v>
      </c>
      <c r="Y1129" s="6">
        <v>713</v>
      </c>
      <c r="Z1129" s="6">
        <v>301</v>
      </c>
      <c r="AA1129" s="6">
        <v>28</v>
      </c>
      <c r="AB1129" s="6">
        <v>0</v>
      </c>
      <c r="AC1129" s="7">
        <v>59</v>
      </c>
      <c r="AD1129" s="7" t="s">
        <v>53</v>
      </c>
      <c r="AE1129" s="7">
        <v>20.21</v>
      </c>
      <c r="AF1129" s="7">
        <v>298</v>
      </c>
      <c r="AG1129" s="7">
        <v>15.59</v>
      </c>
      <c r="AH1129" s="7">
        <v>25.81</v>
      </c>
      <c r="AI1129" s="7">
        <v>28.98</v>
      </c>
      <c r="AJ1129" s="9">
        <v>152.77380704681801</v>
      </c>
      <c r="AK1129" s="9">
        <v>167.28524372616999</v>
      </c>
      <c r="AL1129" s="9">
        <v>190.71191720833701</v>
      </c>
      <c r="AM1129" s="9">
        <v>36.844034953185201</v>
      </c>
      <c r="AN1129" s="9">
        <v>0.62447516869805497</v>
      </c>
      <c r="AO1129" s="9">
        <v>0.55789184860817698</v>
      </c>
      <c r="AP1129" s="9">
        <v>405.82161687596198</v>
      </c>
      <c r="AQ1129" s="9">
        <v>6.8783324894230899</v>
      </c>
      <c r="AR1129" s="9">
        <v>8.7386325717478304</v>
      </c>
      <c r="AS1129" s="8">
        <v>126</v>
      </c>
      <c r="AT1129" s="8">
        <v>4.7600000000000016</v>
      </c>
      <c r="AU1129" s="10">
        <v>21.931748808265141</v>
      </c>
      <c r="AV1129" s="10">
        <v>45.428143164683007</v>
      </c>
      <c r="AW1129" s="8">
        <v>0.79</v>
      </c>
      <c r="AX1129" s="10">
        <v>0.36054081876732547</v>
      </c>
      <c r="BF1129" s="12">
        <v>0.55000000000000004</v>
      </c>
      <c r="BG1129" s="13">
        <v>182.68612402581999</v>
      </c>
      <c r="BH1129" s="96" t="str">
        <f>+VLOOKUP(G1129,Liste!$A$7:$G$50,3,FALSE)</f>
        <v>Chêne sessile</v>
      </c>
      <c r="BI1129" s="96" t="str">
        <f>+VLOOKUP(H1129,Liste!$B$7:$G$50,5,FALSE)</f>
        <v>Guide chênaie continentale</v>
      </c>
      <c r="BJ1129" s="135">
        <f t="shared" si="340"/>
        <v>59</v>
      </c>
      <c r="BK1129" s="135" t="str">
        <f t="shared" si="342"/>
        <v>Chêne sessile_F2_Dynamique_Guide chênaie continentale_59_</v>
      </c>
      <c r="BL1129" s="322"/>
      <c r="BM1129" s="13">
        <v>48.982780010379201</v>
      </c>
      <c r="BN1129" s="13">
        <v>231.668904036199</v>
      </c>
      <c r="BO1129" s="13">
        <v>66.263854752130982</v>
      </c>
      <c r="BP1129" s="13">
        <v>305.10291717349702</v>
      </c>
      <c r="BQ1129" s="13">
        <v>10.180524177095499</v>
      </c>
      <c r="BT1129" s="298" t="str">
        <f>+VLOOKUP(G1129,Liste!$A$7:$H$50,8,FALSE)</f>
        <v>Feuillus</v>
      </c>
      <c r="BU1129" s="298">
        <f t="shared" si="343"/>
        <v>1</v>
      </c>
      <c r="BV1129" s="300">
        <f t="shared" si="344"/>
        <v>0</v>
      </c>
      <c r="BW1129" s="321">
        <v>0</v>
      </c>
      <c r="BX1129" s="298">
        <f t="shared" si="345"/>
        <v>0.25</v>
      </c>
      <c r="BY1129">
        <f t="shared" si="346"/>
        <v>0</v>
      </c>
      <c r="BZ1129" s="304">
        <f t="shared" si="347"/>
        <v>0</v>
      </c>
      <c r="CB1129" s="299">
        <v>0</v>
      </c>
      <c r="CC1129" s="299">
        <v>0</v>
      </c>
      <c r="CD1129">
        <f t="shared" si="348"/>
        <v>0</v>
      </c>
      <c r="CE1129">
        <f t="shared" si="349"/>
        <v>0</v>
      </c>
      <c r="CF1129">
        <f t="shared" si="350"/>
        <v>0</v>
      </c>
      <c r="CG1129">
        <f t="shared" si="351"/>
        <v>0</v>
      </c>
      <c r="CH1129">
        <f t="shared" si="352"/>
        <v>0</v>
      </c>
      <c r="CI1129">
        <f t="shared" si="353"/>
        <v>0</v>
      </c>
      <c r="CJ1129">
        <f t="shared" si="354"/>
        <v>0</v>
      </c>
      <c r="CK1129">
        <f t="shared" si="355"/>
        <v>0</v>
      </c>
      <c r="CL1129">
        <f t="shared" si="356"/>
        <v>0</v>
      </c>
      <c r="CM1129">
        <f t="shared" si="358"/>
        <v>0</v>
      </c>
      <c r="CN1129">
        <f t="shared" si="357"/>
        <v>0</v>
      </c>
      <c r="CO1129">
        <f t="shared" si="341"/>
        <v>0</v>
      </c>
    </row>
    <row r="1130" spans="1:93" x14ac:dyDescent="0.25">
      <c r="A1130" s="4">
        <v>2021</v>
      </c>
      <c r="B1130" s="318">
        <v>44279</v>
      </c>
      <c r="C1130" s="4" t="s">
        <v>66</v>
      </c>
      <c r="D1130" s="4" t="s">
        <v>1504</v>
      </c>
      <c r="E1130" s="4" t="s">
        <v>87</v>
      </c>
      <c r="F1130" s="4" t="s">
        <v>90</v>
      </c>
      <c r="G1130" s="5" t="s">
        <v>17</v>
      </c>
      <c r="H1130" s="5" t="s">
        <v>22</v>
      </c>
      <c r="I1130" s="5" t="s">
        <v>146</v>
      </c>
      <c r="J1130" s="5" t="s">
        <v>10</v>
      </c>
      <c r="K1130" s="5">
        <v>18</v>
      </c>
      <c r="L1130" s="5" t="s">
        <v>193</v>
      </c>
      <c r="M1130" s="5">
        <v>1666</v>
      </c>
      <c r="N1130" s="5" t="s">
        <v>170</v>
      </c>
      <c r="O1130" s="6" t="s">
        <v>81</v>
      </c>
      <c r="P1130" s="6" t="s">
        <v>1505</v>
      </c>
      <c r="S1130" s="6">
        <v>44</v>
      </c>
      <c r="T1130" s="6">
        <v>16.579999999999998</v>
      </c>
      <c r="U1130" s="6">
        <v>1453</v>
      </c>
      <c r="V1130" s="6">
        <v>26.19</v>
      </c>
      <c r="W1130" s="6">
        <v>41</v>
      </c>
      <c r="X1130" s="6">
        <v>369</v>
      </c>
      <c r="Y1130" s="6">
        <v>713</v>
      </c>
      <c r="Z1130" s="6">
        <v>301</v>
      </c>
      <c r="AA1130" s="6">
        <v>28</v>
      </c>
      <c r="AB1130" s="6">
        <v>0</v>
      </c>
      <c r="AC1130" s="7">
        <v>62</v>
      </c>
      <c r="AD1130" s="7" t="s">
        <v>52</v>
      </c>
      <c r="AE1130" s="7">
        <v>20.77</v>
      </c>
      <c r="AF1130" s="7">
        <v>298</v>
      </c>
      <c r="AG1130" s="7">
        <v>17.27</v>
      </c>
      <c r="AH1130" s="7">
        <v>27.16</v>
      </c>
      <c r="AI1130" s="7">
        <v>30.42</v>
      </c>
      <c r="AJ1130" s="9">
        <v>174.384466602738</v>
      </c>
      <c r="AK1130" s="9">
        <v>191.43381992444299</v>
      </c>
      <c r="AL1130" s="9">
        <v>216.927814923581</v>
      </c>
      <c r="AM1130" s="9">
        <v>38.517710499009802</v>
      </c>
      <c r="AN1130" s="9">
        <v>0.62125339514531897</v>
      </c>
      <c r="AO1130" s="9">
        <v>0.58990647369205595</v>
      </c>
      <c r="AP1130" s="9">
        <v>432.03751459120599</v>
      </c>
      <c r="AQ1130" s="9">
        <v>6.9683470095355702</v>
      </c>
      <c r="AR1130" s="9">
        <v>9.5719617838648592</v>
      </c>
      <c r="AS1130" s="8" t="s">
        <v>169</v>
      </c>
      <c r="AT1130" s="8" t="s">
        <v>169</v>
      </c>
      <c r="AU1130" s="10" t="s">
        <v>169</v>
      </c>
      <c r="AV1130" s="10">
        <v>0</v>
      </c>
      <c r="AX1130" s="10" t="s">
        <v>169</v>
      </c>
      <c r="BF1130" s="12">
        <v>0.55000000000000004</v>
      </c>
      <c r="BG1130" s="13">
        <v>207.79876937888</v>
      </c>
      <c r="BH1130" s="96" t="str">
        <f>+VLOOKUP(G1130,Liste!$A$7:$G$50,3,FALSE)</f>
        <v>Chêne sessile</v>
      </c>
      <c r="BI1130" s="96" t="str">
        <f>+VLOOKUP(H1130,Liste!$B$7:$G$50,5,FALSE)</f>
        <v>Guide chênaie continentale</v>
      </c>
      <c r="BJ1130" s="135">
        <f t="shared" si="340"/>
        <v>62</v>
      </c>
      <c r="BK1130" s="135" t="str">
        <f t="shared" si="342"/>
        <v>Chêne sessile_F2_Dynamique_Guide chênaie continentale_62_</v>
      </c>
      <c r="BL1130" s="322"/>
      <c r="BM1130" s="13">
        <v>54.8870292028043</v>
      </c>
      <c r="BN1130" s="13">
        <v>262.68579858168403</v>
      </c>
      <c r="BO1130" s="13" t="s">
        <v>169</v>
      </c>
      <c r="BP1130" s="13">
        <v>305.10291717349702</v>
      </c>
      <c r="BQ1130" s="13">
        <v>11.1367588508959</v>
      </c>
      <c r="BT1130" s="298" t="str">
        <f>+VLOOKUP(G1130,Liste!$A$7:$H$50,8,FALSE)</f>
        <v>Feuillus</v>
      </c>
      <c r="BU1130" s="298">
        <f t="shared" si="343"/>
        <v>1</v>
      </c>
      <c r="BV1130" s="300">
        <f t="shared" si="344"/>
        <v>0</v>
      </c>
      <c r="BW1130" s="321">
        <v>0</v>
      </c>
      <c r="BX1130" s="298">
        <f t="shared" si="345"/>
        <v>0.25</v>
      </c>
      <c r="BY1130">
        <f t="shared" si="346"/>
        <v>0</v>
      </c>
      <c r="BZ1130" s="304">
        <f t="shared" si="347"/>
        <v>0</v>
      </c>
      <c r="CB1130" s="299">
        <v>0</v>
      </c>
      <c r="CC1130" s="299">
        <v>0</v>
      </c>
      <c r="CD1130">
        <f t="shared" si="348"/>
        <v>0</v>
      </c>
      <c r="CE1130">
        <f t="shared" si="349"/>
        <v>0</v>
      </c>
      <c r="CF1130">
        <f t="shared" si="350"/>
        <v>0</v>
      </c>
      <c r="CG1130">
        <f t="shared" si="351"/>
        <v>0</v>
      </c>
      <c r="CH1130">
        <f t="shared" si="352"/>
        <v>0</v>
      </c>
      <c r="CI1130">
        <f t="shared" si="353"/>
        <v>0</v>
      </c>
      <c r="CJ1130">
        <f t="shared" si="354"/>
        <v>0</v>
      </c>
      <c r="CK1130">
        <f t="shared" si="355"/>
        <v>0</v>
      </c>
      <c r="CL1130">
        <f t="shared" si="356"/>
        <v>0</v>
      </c>
      <c r="CM1130">
        <f t="shared" si="358"/>
        <v>0</v>
      </c>
      <c r="CN1130">
        <f t="shared" si="357"/>
        <v>0</v>
      </c>
      <c r="CO1130">
        <f t="shared" si="341"/>
        <v>0</v>
      </c>
    </row>
    <row r="1131" spans="1:93" x14ac:dyDescent="0.25">
      <c r="A1131" s="4">
        <v>2021</v>
      </c>
      <c r="B1131" s="318">
        <v>44279</v>
      </c>
      <c r="C1131" s="4" t="s">
        <v>66</v>
      </c>
      <c r="D1131" s="4" t="s">
        <v>1504</v>
      </c>
      <c r="E1131" s="4" t="s">
        <v>87</v>
      </c>
      <c r="F1131" s="4" t="s">
        <v>90</v>
      </c>
      <c r="G1131" s="5" t="s">
        <v>17</v>
      </c>
      <c r="H1131" s="5" t="s">
        <v>22</v>
      </c>
      <c r="I1131" s="5" t="s">
        <v>146</v>
      </c>
      <c r="J1131" s="5" t="s">
        <v>10</v>
      </c>
      <c r="K1131" s="5">
        <v>18</v>
      </c>
      <c r="L1131" s="5" t="s">
        <v>193</v>
      </c>
      <c r="M1131" s="5">
        <v>1666</v>
      </c>
      <c r="N1131" s="5" t="s">
        <v>170</v>
      </c>
      <c r="O1131" s="6" t="s">
        <v>81</v>
      </c>
      <c r="P1131" s="6" t="s">
        <v>1505</v>
      </c>
      <c r="S1131" s="6">
        <v>44</v>
      </c>
      <c r="T1131" s="6">
        <v>16.579999999999998</v>
      </c>
      <c r="U1131" s="6">
        <v>1453</v>
      </c>
      <c r="V1131" s="6">
        <v>26.19</v>
      </c>
      <c r="W1131" s="6">
        <v>41</v>
      </c>
      <c r="X1131" s="6">
        <v>369</v>
      </c>
      <c r="Y1131" s="6">
        <v>713</v>
      </c>
      <c r="Z1131" s="6">
        <v>301</v>
      </c>
      <c r="AA1131" s="6">
        <v>28</v>
      </c>
      <c r="AB1131" s="6">
        <v>0</v>
      </c>
      <c r="AC1131" s="7">
        <v>65</v>
      </c>
      <c r="AD1131" s="7" t="s">
        <v>52</v>
      </c>
      <c r="AE1131" s="7">
        <v>21.37</v>
      </c>
      <c r="AF1131" s="7">
        <v>298</v>
      </c>
      <c r="AG1131" s="7">
        <v>19.04</v>
      </c>
      <c r="AH1131" s="7">
        <v>28.52</v>
      </c>
      <c r="AI1131" s="7">
        <v>31.85</v>
      </c>
      <c r="AJ1131" s="9">
        <v>198.170762085186</v>
      </c>
      <c r="AK1131" s="9">
        <v>217.98248614603199</v>
      </c>
      <c r="AL1131" s="9">
        <v>245.64370027517501</v>
      </c>
      <c r="AM1131" s="9">
        <v>40.287429920085899</v>
      </c>
      <c r="AN1131" s="9">
        <v>0.61980661415516802</v>
      </c>
      <c r="AO1131" s="9">
        <v>0.60126533390010195</v>
      </c>
      <c r="AP1131" s="9">
        <v>460.7533999428</v>
      </c>
      <c r="AQ1131" s="9">
        <v>7.0885138452738499</v>
      </c>
      <c r="AR1131" s="9">
        <v>10.037327290809801</v>
      </c>
      <c r="AS1131" s="8" t="s">
        <v>169</v>
      </c>
      <c r="AT1131" s="8" t="s">
        <v>169</v>
      </c>
      <c r="AU1131" s="10" t="s">
        <v>169</v>
      </c>
      <c r="AV1131" s="10">
        <v>0</v>
      </c>
      <c r="AX1131" s="10" t="s">
        <v>169</v>
      </c>
      <c r="BF1131" s="12">
        <v>0.55000000000000004</v>
      </c>
      <c r="BG1131" s="13">
        <v>235.30619455526201</v>
      </c>
      <c r="BH1131" s="96" t="str">
        <f>+VLOOKUP(G1131,Liste!$A$7:$G$50,3,FALSE)</f>
        <v>Chêne sessile</v>
      </c>
      <c r="BI1131" s="96" t="str">
        <f>+VLOOKUP(H1131,Liste!$B$7:$G$50,5,FALSE)</f>
        <v>Guide chênaie continentale</v>
      </c>
      <c r="BJ1131" s="135">
        <f t="shared" si="340"/>
        <v>65</v>
      </c>
      <c r="BK1131" s="135" t="str">
        <f t="shared" si="342"/>
        <v>Chêne sessile_F2_Dynamique_Guide chênaie continentale_65_</v>
      </c>
      <c r="BL1131" s="322"/>
      <c r="BM1131" s="13">
        <v>61.2598082013564</v>
      </c>
      <c r="BN1131" s="13">
        <v>296.56600275661799</v>
      </c>
      <c r="BO1131" s="13" t="s">
        <v>169</v>
      </c>
      <c r="BP1131" s="13">
        <v>305.10291717349702</v>
      </c>
      <c r="BQ1131" s="13">
        <v>11.6654358724152</v>
      </c>
      <c r="BT1131" s="298" t="str">
        <f>+VLOOKUP(G1131,Liste!$A$7:$H$50,8,FALSE)</f>
        <v>Feuillus</v>
      </c>
      <c r="BU1131" s="298">
        <f t="shared" si="343"/>
        <v>1</v>
      </c>
      <c r="BV1131" s="300">
        <f t="shared" si="344"/>
        <v>0</v>
      </c>
      <c r="BW1131" s="321">
        <v>0</v>
      </c>
      <c r="BX1131" s="298">
        <f t="shared" si="345"/>
        <v>0.25</v>
      </c>
      <c r="BY1131">
        <f t="shared" si="346"/>
        <v>0</v>
      </c>
      <c r="BZ1131" s="304">
        <f t="shared" si="347"/>
        <v>0</v>
      </c>
      <c r="CB1131" s="299">
        <v>0</v>
      </c>
      <c r="CC1131" s="299">
        <v>0</v>
      </c>
      <c r="CD1131">
        <f t="shared" si="348"/>
        <v>0</v>
      </c>
      <c r="CE1131">
        <f t="shared" si="349"/>
        <v>0</v>
      </c>
      <c r="CF1131">
        <f t="shared" si="350"/>
        <v>0</v>
      </c>
      <c r="CG1131">
        <f t="shared" si="351"/>
        <v>0</v>
      </c>
      <c r="CH1131">
        <f t="shared" si="352"/>
        <v>0</v>
      </c>
      <c r="CI1131">
        <f t="shared" si="353"/>
        <v>0</v>
      </c>
      <c r="CJ1131">
        <f t="shared" si="354"/>
        <v>0</v>
      </c>
      <c r="CK1131">
        <f t="shared" si="355"/>
        <v>0</v>
      </c>
      <c r="CL1131">
        <f t="shared" si="356"/>
        <v>0</v>
      </c>
      <c r="CM1131">
        <f t="shared" si="358"/>
        <v>0</v>
      </c>
      <c r="CN1131">
        <f t="shared" si="357"/>
        <v>0</v>
      </c>
      <c r="CO1131">
        <f t="shared" si="341"/>
        <v>0</v>
      </c>
    </row>
    <row r="1132" spans="1:93" x14ac:dyDescent="0.25">
      <c r="A1132" s="4">
        <v>2021</v>
      </c>
      <c r="B1132" s="318">
        <v>44279</v>
      </c>
      <c r="C1132" s="4" t="s">
        <v>66</v>
      </c>
      <c r="D1132" s="4" t="s">
        <v>1504</v>
      </c>
      <c r="E1132" s="4" t="s">
        <v>87</v>
      </c>
      <c r="F1132" s="4" t="s">
        <v>90</v>
      </c>
      <c r="G1132" s="5" t="s">
        <v>17</v>
      </c>
      <c r="H1132" s="5" t="s">
        <v>22</v>
      </c>
      <c r="I1132" s="5" t="s">
        <v>146</v>
      </c>
      <c r="J1132" s="5" t="s">
        <v>10</v>
      </c>
      <c r="K1132" s="5">
        <v>18</v>
      </c>
      <c r="L1132" s="5" t="s">
        <v>193</v>
      </c>
      <c r="M1132" s="5">
        <v>1666</v>
      </c>
      <c r="N1132" s="5" t="s">
        <v>170</v>
      </c>
      <c r="O1132" s="6" t="s">
        <v>81</v>
      </c>
      <c r="P1132" s="6" t="s">
        <v>1505</v>
      </c>
      <c r="S1132" s="6">
        <v>44</v>
      </c>
      <c r="T1132" s="6">
        <v>16.579999999999998</v>
      </c>
      <c r="U1132" s="6">
        <v>1453</v>
      </c>
      <c r="V1132" s="6">
        <v>26.19</v>
      </c>
      <c r="W1132" s="6">
        <v>41</v>
      </c>
      <c r="X1132" s="6">
        <v>369</v>
      </c>
      <c r="Y1132" s="6">
        <v>713</v>
      </c>
      <c r="Z1132" s="6">
        <v>301</v>
      </c>
      <c r="AA1132" s="6">
        <v>28</v>
      </c>
      <c r="AB1132" s="6">
        <v>0</v>
      </c>
      <c r="AC1132" s="7">
        <v>67</v>
      </c>
      <c r="AD1132" s="7" t="s">
        <v>52</v>
      </c>
      <c r="AE1132" s="7">
        <v>21.77</v>
      </c>
      <c r="AF1132" s="7">
        <v>298</v>
      </c>
      <c r="AG1132" s="7">
        <v>20.239999999999998</v>
      </c>
      <c r="AH1132" s="7">
        <v>29.41</v>
      </c>
      <c r="AI1132" s="7">
        <v>32.79</v>
      </c>
      <c r="AJ1132" s="9">
        <v>214.86191382647701</v>
      </c>
      <c r="AK1132" s="9">
        <v>236.59533746614801</v>
      </c>
      <c r="AL1132" s="9">
        <v>265.71835485679497</v>
      </c>
      <c r="AM1132" s="9">
        <v>41.489960587886102</v>
      </c>
      <c r="AN1132" s="9">
        <v>0.61925314310277801</v>
      </c>
      <c r="AO1132" s="9">
        <v>0.49365215100253301</v>
      </c>
      <c r="AP1132" s="9">
        <v>480.82805452442</v>
      </c>
      <c r="AQ1132" s="9">
        <v>7.1765381272301498</v>
      </c>
      <c r="AR1132" s="9">
        <v>8.2074874426814599</v>
      </c>
      <c r="AS1132" s="8" t="s">
        <v>169</v>
      </c>
      <c r="AT1132" s="8" t="s">
        <v>169</v>
      </c>
      <c r="AU1132" s="10" t="s">
        <v>169</v>
      </c>
      <c r="AV1132" s="10">
        <v>0</v>
      </c>
      <c r="AX1132" s="10" t="s">
        <v>169</v>
      </c>
      <c r="BF1132" s="12">
        <v>0.55000000000000004</v>
      </c>
      <c r="BG1132" s="13">
        <v>254.53604075657199</v>
      </c>
      <c r="BH1132" s="96" t="str">
        <f>+VLOOKUP(G1132,Liste!$A$7:$G$50,3,FALSE)</f>
        <v>Chêne sessile</v>
      </c>
      <c r="BI1132" s="96" t="str">
        <f>+VLOOKUP(H1132,Liste!$B$7:$G$50,5,FALSE)</f>
        <v>Guide chênaie continentale</v>
      </c>
      <c r="BJ1132" s="135">
        <f t="shared" si="340"/>
        <v>67</v>
      </c>
      <c r="BK1132" s="135" t="str">
        <f t="shared" si="342"/>
        <v>Chêne sessile_F2_Dynamique_Guide chênaie continentale_67_</v>
      </c>
      <c r="BL1132" s="322"/>
      <c r="BM1132" s="13">
        <v>65.662961065235905</v>
      </c>
      <c r="BN1132" s="13">
        <v>320.19900182180697</v>
      </c>
      <c r="BO1132" s="13" t="s">
        <v>169</v>
      </c>
      <c r="BP1132" s="13">
        <v>305.10291717349702</v>
      </c>
      <c r="BQ1132" s="13">
        <v>9.5297651456770591</v>
      </c>
      <c r="BT1132" s="298" t="str">
        <f>+VLOOKUP(G1132,Liste!$A$7:$H$50,8,FALSE)</f>
        <v>Feuillus</v>
      </c>
      <c r="BU1132" s="298">
        <f t="shared" si="343"/>
        <v>1</v>
      </c>
      <c r="BV1132" s="300">
        <f t="shared" si="344"/>
        <v>0</v>
      </c>
      <c r="BW1132" s="321">
        <v>0</v>
      </c>
      <c r="BX1132" s="298">
        <f t="shared" si="345"/>
        <v>0.25</v>
      </c>
      <c r="BY1132">
        <f t="shared" si="346"/>
        <v>0</v>
      </c>
      <c r="BZ1132" s="304">
        <f t="shared" si="347"/>
        <v>0</v>
      </c>
      <c r="CB1132" s="299">
        <v>0</v>
      </c>
      <c r="CC1132" s="299">
        <v>0</v>
      </c>
      <c r="CD1132">
        <f t="shared" si="348"/>
        <v>0</v>
      </c>
      <c r="CE1132">
        <f t="shared" si="349"/>
        <v>0</v>
      </c>
      <c r="CF1132">
        <f t="shared" si="350"/>
        <v>0</v>
      </c>
      <c r="CG1132">
        <f t="shared" si="351"/>
        <v>0</v>
      </c>
      <c r="CH1132">
        <f t="shared" si="352"/>
        <v>0</v>
      </c>
      <c r="CI1132">
        <f t="shared" si="353"/>
        <v>0</v>
      </c>
      <c r="CJ1132">
        <f t="shared" si="354"/>
        <v>0</v>
      </c>
      <c r="CK1132">
        <f t="shared" si="355"/>
        <v>0</v>
      </c>
      <c r="CL1132">
        <f t="shared" si="356"/>
        <v>0</v>
      </c>
      <c r="CM1132">
        <f t="shared" si="358"/>
        <v>0</v>
      </c>
      <c r="CN1132">
        <f t="shared" si="357"/>
        <v>0</v>
      </c>
      <c r="CO1132">
        <f t="shared" si="341"/>
        <v>0</v>
      </c>
    </row>
    <row r="1133" spans="1:93" x14ac:dyDescent="0.25">
      <c r="A1133" s="4">
        <v>2021</v>
      </c>
      <c r="B1133" s="318">
        <v>44279</v>
      </c>
      <c r="C1133" s="4" t="s">
        <v>66</v>
      </c>
      <c r="D1133" s="4" t="s">
        <v>1504</v>
      </c>
      <c r="E1133" s="4" t="s">
        <v>87</v>
      </c>
      <c r="F1133" s="4" t="s">
        <v>90</v>
      </c>
      <c r="G1133" s="5" t="s">
        <v>17</v>
      </c>
      <c r="H1133" s="5" t="s">
        <v>22</v>
      </c>
      <c r="I1133" s="5" t="s">
        <v>146</v>
      </c>
      <c r="J1133" s="5" t="s">
        <v>10</v>
      </c>
      <c r="K1133" s="5">
        <v>18</v>
      </c>
      <c r="L1133" s="5" t="s">
        <v>193</v>
      </c>
      <c r="M1133" s="5">
        <v>1666</v>
      </c>
      <c r="N1133" s="5" t="s">
        <v>170</v>
      </c>
      <c r="O1133" s="6" t="s">
        <v>81</v>
      </c>
      <c r="P1133" s="6" t="s">
        <v>1505</v>
      </c>
      <c r="S1133" s="6">
        <v>44</v>
      </c>
      <c r="T1133" s="6">
        <v>16.579999999999998</v>
      </c>
      <c r="U1133" s="6">
        <v>1453</v>
      </c>
      <c r="V1133" s="6">
        <v>26.19</v>
      </c>
      <c r="W1133" s="6">
        <v>41</v>
      </c>
      <c r="X1133" s="6">
        <v>369</v>
      </c>
      <c r="Y1133" s="6">
        <v>713</v>
      </c>
      <c r="Z1133" s="6">
        <v>301</v>
      </c>
      <c r="AA1133" s="6">
        <v>28</v>
      </c>
      <c r="AB1133" s="6">
        <v>0</v>
      </c>
      <c r="AC1133" s="7">
        <v>67</v>
      </c>
      <c r="AD1133" s="7" t="s">
        <v>53</v>
      </c>
      <c r="AE1133" s="7">
        <v>21.77</v>
      </c>
      <c r="AF1133" s="7">
        <v>227</v>
      </c>
      <c r="AG1133" s="7">
        <v>15.93</v>
      </c>
      <c r="AH1133" s="7">
        <v>29.89</v>
      </c>
      <c r="AI1133" s="7">
        <v>32.65</v>
      </c>
      <c r="AJ1133" s="9">
        <v>169.29598681346701</v>
      </c>
      <c r="AK1133" s="9">
        <v>186.843304527957</v>
      </c>
      <c r="AL1133" s="9">
        <v>209.679639986762</v>
      </c>
      <c r="AM1133" s="9">
        <v>41.489960587886102</v>
      </c>
      <c r="AN1133" s="9">
        <v>0.61925314310277801</v>
      </c>
      <c r="AO1133" s="9">
        <v>0.49365215100253301</v>
      </c>
      <c r="AP1133" s="9">
        <v>480.82805452442</v>
      </c>
      <c r="AQ1133" s="9">
        <v>7.1765381272301401</v>
      </c>
      <c r="AR1133" s="9">
        <v>8.2074874426814599</v>
      </c>
      <c r="AS1133" s="8">
        <v>71</v>
      </c>
      <c r="AT1133" s="8">
        <v>4.3099999999999987</v>
      </c>
      <c r="AU1133" s="10">
        <v>27.801262606368194</v>
      </c>
      <c r="AV1133" s="10">
        <v>45.565927013009997</v>
      </c>
      <c r="AW1133" s="8">
        <v>0.89</v>
      </c>
      <c r="AX1133" s="10">
        <v>0.64177361990154924</v>
      </c>
      <c r="BF1133" s="12">
        <v>0.55000000000000004</v>
      </c>
      <c r="BG1133" s="13">
        <v>200.855621803985</v>
      </c>
      <c r="BH1133" s="96" t="str">
        <f>+VLOOKUP(G1133,Liste!$A$7:$G$50,3,FALSE)</f>
        <v>Chêne sessile</v>
      </c>
      <c r="BI1133" s="96" t="str">
        <f>+VLOOKUP(H1133,Liste!$B$7:$G$50,5,FALSE)</f>
        <v>Guide chênaie continentale</v>
      </c>
      <c r="BJ1133" s="135">
        <f t="shared" si="340"/>
        <v>67</v>
      </c>
      <c r="BK1133" s="135" t="str">
        <f t="shared" si="342"/>
        <v>Chêne sessile_F2_Dynamique_Guide chênaie continentale_67_</v>
      </c>
      <c r="BL1133" s="322"/>
      <c r="BM1133" s="13">
        <v>53.263376096672502</v>
      </c>
      <c r="BN1133" s="13">
        <v>254.118997900658</v>
      </c>
      <c r="BO1133" s="13">
        <v>66.080003921148972</v>
      </c>
      <c r="BP1133" s="13">
        <v>305.10291717349702</v>
      </c>
      <c r="BQ1133" s="13">
        <v>9.5297651456770591</v>
      </c>
      <c r="BT1133" s="298" t="str">
        <f>+VLOOKUP(G1133,Liste!$A$7:$H$50,8,FALSE)</f>
        <v>Feuillus</v>
      </c>
      <c r="BU1133" s="298">
        <f t="shared" si="343"/>
        <v>1</v>
      </c>
      <c r="BV1133" s="300">
        <f t="shared" si="344"/>
        <v>0</v>
      </c>
      <c r="BW1133" s="321">
        <v>0</v>
      </c>
      <c r="BX1133" s="298">
        <f t="shared" si="345"/>
        <v>0.25</v>
      </c>
      <c r="BY1133">
        <f t="shared" si="346"/>
        <v>0</v>
      </c>
      <c r="BZ1133" s="304">
        <f t="shared" si="347"/>
        <v>0</v>
      </c>
      <c r="CB1133" s="299">
        <v>0</v>
      </c>
      <c r="CC1133" s="299">
        <v>0</v>
      </c>
      <c r="CD1133">
        <f t="shared" si="348"/>
        <v>0</v>
      </c>
      <c r="CE1133">
        <f t="shared" si="349"/>
        <v>0</v>
      </c>
      <c r="CF1133">
        <f t="shared" si="350"/>
        <v>0</v>
      </c>
      <c r="CG1133">
        <f t="shared" si="351"/>
        <v>0</v>
      </c>
      <c r="CH1133">
        <f t="shared" si="352"/>
        <v>0</v>
      </c>
      <c r="CI1133">
        <f t="shared" si="353"/>
        <v>0</v>
      </c>
      <c r="CJ1133">
        <f t="shared" si="354"/>
        <v>0</v>
      </c>
      <c r="CK1133">
        <f t="shared" si="355"/>
        <v>0</v>
      </c>
      <c r="CL1133">
        <f t="shared" si="356"/>
        <v>0</v>
      </c>
      <c r="CM1133">
        <f t="shared" si="358"/>
        <v>0</v>
      </c>
      <c r="CN1133">
        <f t="shared" si="357"/>
        <v>0</v>
      </c>
      <c r="CO1133">
        <f t="shared" si="341"/>
        <v>0</v>
      </c>
    </row>
    <row r="1134" spans="1:93" x14ac:dyDescent="0.25">
      <c r="A1134" s="4">
        <v>2021</v>
      </c>
      <c r="B1134" s="318">
        <v>44279</v>
      </c>
      <c r="C1134" s="4" t="s">
        <v>66</v>
      </c>
      <c r="D1134" s="4" t="s">
        <v>1504</v>
      </c>
      <c r="E1134" s="4" t="s">
        <v>87</v>
      </c>
      <c r="F1134" s="4" t="s">
        <v>90</v>
      </c>
      <c r="G1134" s="5" t="s">
        <v>17</v>
      </c>
      <c r="H1134" s="5" t="s">
        <v>22</v>
      </c>
      <c r="I1134" s="5" t="s">
        <v>146</v>
      </c>
      <c r="J1134" s="5" t="s">
        <v>10</v>
      </c>
      <c r="K1134" s="5">
        <v>18</v>
      </c>
      <c r="L1134" s="5" t="s">
        <v>193</v>
      </c>
      <c r="M1134" s="5">
        <v>1666</v>
      </c>
      <c r="N1134" s="5" t="s">
        <v>170</v>
      </c>
      <c r="O1134" s="6" t="s">
        <v>81</v>
      </c>
      <c r="P1134" s="6" t="s">
        <v>1505</v>
      </c>
      <c r="S1134" s="6">
        <v>44</v>
      </c>
      <c r="T1134" s="6">
        <v>16.579999999999998</v>
      </c>
      <c r="U1134" s="6">
        <v>1453</v>
      </c>
      <c r="V1134" s="6">
        <v>26.19</v>
      </c>
      <c r="W1134" s="6">
        <v>41</v>
      </c>
      <c r="X1134" s="6">
        <v>369</v>
      </c>
      <c r="Y1134" s="6">
        <v>713</v>
      </c>
      <c r="Z1134" s="6">
        <v>301</v>
      </c>
      <c r="AA1134" s="6">
        <v>28</v>
      </c>
      <c r="AB1134" s="6">
        <v>0</v>
      </c>
      <c r="AC1134" s="7">
        <v>70</v>
      </c>
      <c r="AD1134" s="7" t="s">
        <v>52</v>
      </c>
      <c r="AE1134" s="7">
        <v>22.27</v>
      </c>
      <c r="AF1134" s="7">
        <v>227</v>
      </c>
      <c r="AG1134" s="7">
        <v>17.41</v>
      </c>
      <c r="AH1134" s="7">
        <v>31.25</v>
      </c>
      <c r="AI1134" s="7">
        <v>34.07</v>
      </c>
      <c r="AJ1134" s="9">
        <v>189.52962752819201</v>
      </c>
      <c r="AK1134" s="9">
        <v>209.65347197434599</v>
      </c>
      <c r="AL1134" s="9">
        <v>234.30210231480601</v>
      </c>
      <c r="AM1134" s="9">
        <v>42.970917040893703</v>
      </c>
      <c r="AN1134" s="9">
        <v>0.613870243441339</v>
      </c>
      <c r="AO1134" s="9">
        <v>0.51529374765306801</v>
      </c>
      <c r="AP1134" s="9">
        <v>505.45051685246398</v>
      </c>
      <c r="AQ1134" s="9">
        <v>7.22072166932091</v>
      </c>
      <c r="AR1134" s="9">
        <v>8.8631433030693998</v>
      </c>
      <c r="AS1134" s="8" t="s">
        <v>169</v>
      </c>
      <c r="AT1134" s="8" t="s">
        <v>169</v>
      </c>
      <c r="AU1134" s="10" t="s">
        <v>169</v>
      </c>
      <c r="AV1134" s="10">
        <v>0</v>
      </c>
      <c r="AX1134" s="10" t="s">
        <v>169</v>
      </c>
      <c r="BF1134" s="12">
        <v>0.55000000000000004</v>
      </c>
      <c r="BG1134" s="13">
        <v>224.44188884239099</v>
      </c>
      <c r="BH1134" s="96" t="str">
        <f>+VLOOKUP(G1134,Liste!$A$7:$G$50,3,FALSE)</f>
        <v>Chêne sessile</v>
      </c>
      <c r="BI1134" s="96" t="str">
        <f>+VLOOKUP(H1134,Liste!$B$7:$G$50,5,FALSE)</f>
        <v>Guide chênaie continentale</v>
      </c>
      <c r="BJ1134" s="135">
        <f t="shared" si="340"/>
        <v>70</v>
      </c>
      <c r="BK1134" s="135" t="str">
        <f t="shared" si="342"/>
        <v>Chêne sessile_F2_Dynamique_Guide chênaie continentale_70_</v>
      </c>
      <c r="BL1134" s="322"/>
      <c r="BM1134" s="13">
        <v>58.753780277046303</v>
      </c>
      <c r="BN1134" s="13">
        <v>283.19566911943798</v>
      </c>
      <c r="BO1134" s="13" t="s">
        <v>169</v>
      </c>
      <c r="BP1134" s="13">
        <v>305.10291717349702</v>
      </c>
      <c r="BQ1134" s="13">
        <v>10.280472328788401</v>
      </c>
      <c r="BT1134" s="298" t="str">
        <f>+VLOOKUP(G1134,Liste!$A$7:$H$50,8,FALSE)</f>
        <v>Feuillus</v>
      </c>
      <c r="BU1134" s="298">
        <f t="shared" si="343"/>
        <v>1</v>
      </c>
      <c r="BV1134" s="300">
        <f t="shared" si="344"/>
        <v>0</v>
      </c>
      <c r="BW1134" s="321">
        <v>0</v>
      </c>
      <c r="BX1134" s="298">
        <f t="shared" si="345"/>
        <v>0.25</v>
      </c>
      <c r="BY1134">
        <f t="shared" si="346"/>
        <v>0</v>
      </c>
      <c r="BZ1134" s="304">
        <f t="shared" si="347"/>
        <v>0</v>
      </c>
      <c r="CB1134" s="299">
        <v>0</v>
      </c>
      <c r="CC1134" s="299">
        <v>0</v>
      </c>
      <c r="CD1134">
        <f t="shared" si="348"/>
        <v>0</v>
      </c>
      <c r="CE1134">
        <f t="shared" si="349"/>
        <v>0</v>
      </c>
      <c r="CF1134">
        <f t="shared" si="350"/>
        <v>0</v>
      </c>
      <c r="CG1134">
        <f t="shared" si="351"/>
        <v>0</v>
      </c>
      <c r="CH1134">
        <f t="shared" si="352"/>
        <v>0</v>
      </c>
      <c r="CI1134">
        <f t="shared" si="353"/>
        <v>0</v>
      </c>
      <c r="CJ1134">
        <f t="shared" si="354"/>
        <v>0</v>
      </c>
      <c r="CK1134">
        <f t="shared" si="355"/>
        <v>0</v>
      </c>
      <c r="CL1134">
        <f t="shared" si="356"/>
        <v>0</v>
      </c>
      <c r="CM1134">
        <f t="shared" si="358"/>
        <v>0</v>
      </c>
      <c r="CN1134">
        <f t="shared" si="357"/>
        <v>0</v>
      </c>
      <c r="CO1134">
        <f t="shared" si="341"/>
        <v>0</v>
      </c>
    </row>
    <row r="1135" spans="1:93" x14ac:dyDescent="0.25">
      <c r="A1135" s="4">
        <v>2021</v>
      </c>
      <c r="B1135" s="318">
        <v>44279</v>
      </c>
      <c r="C1135" s="4" t="s">
        <v>66</v>
      </c>
      <c r="D1135" s="4" t="s">
        <v>1504</v>
      </c>
      <c r="E1135" s="4" t="s">
        <v>87</v>
      </c>
      <c r="F1135" s="4" t="s">
        <v>90</v>
      </c>
      <c r="G1135" s="5" t="s">
        <v>17</v>
      </c>
      <c r="H1135" s="5" t="s">
        <v>22</v>
      </c>
      <c r="I1135" s="5" t="s">
        <v>146</v>
      </c>
      <c r="J1135" s="5" t="s">
        <v>10</v>
      </c>
      <c r="K1135" s="5">
        <v>18</v>
      </c>
      <c r="L1135" s="5" t="s">
        <v>193</v>
      </c>
      <c r="M1135" s="5">
        <v>1666</v>
      </c>
      <c r="N1135" s="5" t="s">
        <v>170</v>
      </c>
      <c r="O1135" s="6" t="s">
        <v>81</v>
      </c>
      <c r="P1135" s="6" t="s">
        <v>1505</v>
      </c>
      <c r="S1135" s="6">
        <v>44</v>
      </c>
      <c r="T1135" s="6">
        <v>16.579999999999998</v>
      </c>
      <c r="U1135" s="6">
        <v>1453</v>
      </c>
      <c r="V1135" s="6">
        <v>26.19</v>
      </c>
      <c r="W1135" s="6">
        <v>41</v>
      </c>
      <c r="X1135" s="6">
        <v>369</v>
      </c>
      <c r="Y1135" s="6">
        <v>713</v>
      </c>
      <c r="Z1135" s="6">
        <v>301</v>
      </c>
      <c r="AA1135" s="6">
        <v>28</v>
      </c>
      <c r="AB1135" s="6">
        <v>0</v>
      </c>
      <c r="AC1135" s="7">
        <v>73</v>
      </c>
      <c r="AD1135" s="7" t="s">
        <v>52</v>
      </c>
      <c r="AE1135" s="7">
        <v>22.79</v>
      </c>
      <c r="AF1135" s="7">
        <v>227</v>
      </c>
      <c r="AG1135" s="7">
        <v>18.95</v>
      </c>
      <c r="AH1135" s="7">
        <v>32.6</v>
      </c>
      <c r="AI1135" s="7">
        <v>35.49</v>
      </c>
      <c r="AJ1135" s="9">
        <v>211.50300261344699</v>
      </c>
      <c r="AK1135" s="9">
        <v>234.36901199458899</v>
      </c>
      <c r="AL1135" s="9">
        <v>260.89153222401399</v>
      </c>
      <c r="AM1135" s="9">
        <v>44.5167982838529</v>
      </c>
      <c r="AN1135" s="9">
        <v>0.60981915457332803</v>
      </c>
      <c r="AO1135" s="9">
        <v>0.54008194125248499</v>
      </c>
      <c r="AP1135" s="9">
        <v>532.03994676167201</v>
      </c>
      <c r="AQ1135" s="9">
        <v>7.2882184487900297</v>
      </c>
      <c r="AR1135" s="9">
        <v>9.5261943335054902</v>
      </c>
      <c r="AS1135" s="8" t="s">
        <v>169</v>
      </c>
      <c r="AT1135" s="8" t="s">
        <v>169</v>
      </c>
      <c r="AU1135" s="10" t="s">
        <v>169</v>
      </c>
      <c r="AV1135" s="10">
        <v>0</v>
      </c>
      <c r="AX1135" s="10" t="s">
        <v>169</v>
      </c>
      <c r="BF1135" s="12">
        <v>0.55000000000000004</v>
      </c>
      <c r="BG1135" s="13">
        <v>249.912346909587</v>
      </c>
      <c r="BH1135" s="96" t="str">
        <f>+VLOOKUP(G1135,Liste!$A$7:$G$50,3,FALSE)</f>
        <v>Chêne sessile</v>
      </c>
      <c r="BI1135" s="96" t="str">
        <f>+VLOOKUP(H1135,Liste!$B$7:$G$50,5,FALSE)</f>
        <v>Guide chênaie continentale</v>
      </c>
      <c r="BJ1135" s="135">
        <f t="shared" si="340"/>
        <v>73</v>
      </c>
      <c r="BK1135" s="135" t="str">
        <f t="shared" si="342"/>
        <v>Chêne sessile_F2_Dynamique_Guide chênaie continentale_73_</v>
      </c>
      <c r="BL1135" s="322"/>
      <c r="BM1135" s="13">
        <v>64.607899053698802</v>
      </c>
      <c r="BN1135" s="13">
        <v>314.52024596328602</v>
      </c>
      <c r="BO1135" s="13" t="s">
        <v>169</v>
      </c>
      <c r="BP1135" s="13">
        <v>305.10291717349702</v>
      </c>
      <c r="BQ1135" s="13">
        <v>11.039920347123299</v>
      </c>
      <c r="BT1135" s="298" t="str">
        <f>+VLOOKUP(G1135,Liste!$A$7:$H$50,8,FALSE)</f>
        <v>Feuillus</v>
      </c>
      <c r="BU1135" s="298">
        <f t="shared" si="343"/>
        <v>1</v>
      </c>
      <c r="BV1135" s="300">
        <f t="shared" si="344"/>
        <v>0</v>
      </c>
      <c r="BW1135" s="321">
        <v>0</v>
      </c>
      <c r="BX1135" s="298">
        <f t="shared" si="345"/>
        <v>0.25</v>
      </c>
      <c r="BY1135">
        <f t="shared" si="346"/>
        <v>0</v>
      </c>
      <c r="BZ1135" s="304">
        <f t="shared" si="347"/>
        <v>0</v>
      </c>
      <c r="CB1135" s="299">
        <v>0</v>
      </c>
      <c r="CC1135" s="299">
        <v>0</v>
      </c>
      <c r="CD1135">
        <f t="shared" si="348"/>
        <v>0</v>
      </c>
      <c r="CE1135">
        <f t="shared" si="349"/>
        <v>0</v>
      </c>
      <c r="CF1135">
        <f t="shared" si="350"/>
        <v>0</v>
      </c>
      <c r="CG1135">
        <f t="shared" si="351"/>
        <v>0</v>
      </c>
      <c r="CH1135">
        <f t="shared" si="352"/>
        <v>0</v>
      </c>
      <c r="CI1135">
        <f t="shared" si="353"/>
        <v>0</v>
      </c>
      <c r="CJ1135">
        <f t="shared" si="354"/>
        <v>0</v>
      </c>
      <c r="CK1135">
        <f t="shared" si="355"/>
        <v>0</v>
      </c>
      <c r="CL1135">
        <f t="shared" si="356"/>
        <v>0</v>
      </c>
      <c r="CM1135">
        <f t="shared" si="358"/>
        <v>0</v>
      </c>
      <c r="CN1135">
        <f t="shared" si="357"/>
        <v>0</v>
      </c>
      <c r="CO1135">
        <f t="shared" si="341"/>
        <v>0</v>
      </c>
    </row>
    <row r="1136" spans="1:93" x14ac:dyDescent="0.25">
      <c r="A1136" s="4">
        <v>2021</v>
      </c>
      <c r="B1136" s="318">
        <v>44279</v>
      </c>
      <c r="C1136" s="4" t="s">
        <v>66</v>
      </c>
      <c r="D1136" s="4" t="s">
        <v>1504</v>
      </c>
      <c r="E1136" s="4" t="s">
        <v>87</v>
      </c>
      <c r="F1136" s="4" t="s">
        <v>90</v>
      </c>
      <c r="G1136" s="5" t="s">
        <v>17</v>
      </c>
      <c r="H1136" s="5" t="s">
        <v>22</v>
      </c>
      <c r="I1136" s="5" t="s">
        <v>146</v>
      </c>
      <c r="J1136" s="5" t="s">
        <v>10</v>
      </c>
      <c r="K1136" s="5">
        <v>18</v>
      </c>
      <c r="L1136" s="5" t="s">
        <v>193</v>
      </c>
      <c r="M1136" s="5">
        <v>1666</v>
      </c>
      <c r="N1136" s="5" t="s">
        <v>170</v>
      </c>
      <c r="O1136" s="6" t="s">
        <v>81</v>
      </c>
      <c r="P1136" s="6" t="s">
        <v>1505</v>
      </c>
      <c r="S1136" s="6">
        <v>44</v>
      </c>
      <c r="T1136" s="6">
        <v>16.579999999999998</v>
      </c>
      <c r="U1136" s="6">
        <v>1453</v>
      </c>
      <c r="V1136" s="6">
        <v>26.19</v>
      </c>
      <c r="W1136" s="6">
        <v>41</v>
      </c>
      <c r="X1136" s="6">
        <v>369</v>
      </c>
      <c r="Y1136" s="6">
        <v>713</v>
      </c>
      <c r="Z1136" s="6">
        <v>301</v>
      </c>
      <c r="AA1136" s="6">
        <v>28</v>
      </c>
      <c r="AB1136" s="6">
        <v>0</v>
      </c>
      <c r="AC1136" s="7">
        <v>75</v>
      </c>
      <c r="AD1136" s="7" t="s">
        <v>52</v>
      </c>
      <c r="AE1136" s="7">
        <v>23.15</v>
      </c>
      <c r="AF1136" s="7">
        <v>227</v>
      </c>
      <c r="AG1136" s="7">
        <v>20.03</v>
      </c>
      <c r="AH1136" s="7">
        <v>33.520000000000003</v>
      </c>
      <c r="AI1136" s="7">
        <v>36.450000000000003</v>
      </c>
      <c r="AJ1136" s="9">
        <v>227.30399366691401</v>
      </c>
      <c r="AK1136" s="9">
        <v>252.12170907670401</v>
      </c>
      <c r="AL1136" s="9">
        <v>279.94392089102502</v>
      </c>
      <c r="AM1136" s="9">
        <v>45.596962166357898</v>
      </c>
      <c r="AN1136" s="9">
        <v>0.60795949555143902</v>
      </c>
      <c r="AO1136" s="9">
        <v>0.45028723702256701</v>
      </c>
      <c r="AP1136" s="9">
        <v>551.09233542868299</v>
      </c>
      <c r="AQ1136" s="9">
        <v>7.34789780571578</v>
      </c>
      <c r="AR1136" s="9">
        <v>7.8899708361552303</v>
      </c>
      <c r="AS1136" s="8" t="s">
        <v>169</v>
      </c>
      <c r="AT1136" s="8" t="s">
        <v>169</v>
      </c>
      <c r="AU1136" s="10" t="s">
        <v>169</v>
      </c>
      <c r="AV1136" s="10">
        <v>0</v>
      </c>
      <c r="AX1136" s="10" t="s">
        <v>169</v>
      </c>
      <c r="BF1136" s="12">
        <v>0.55000000000000004</v>
      </c>
      <c r="BG1136" s="13">
        <v>268.162947553528</v>
      </c>
      <c r="BH1136" s="96" t="str">
        <f>+VLOOKUP(G1136,Liste!$A$7:$G$50,3,FALSE)</f>
        <v>Chêne sessile</v>
      </c>
      <c r="BI1136" s="96" t="str">
        <f>+VLOOKUP(H1136,Liste!$B$7:$G$50,5,FALSE)</f>
        <v>Guide chênaie continentale</v>
      </c>
      <c r="BJ1136" s="135">
        <f t="shared" si="340"/>
        <v>75</v>
      </c>
      <c r="BK1136" s="135" t="str">
        <f t="shared" si="342"/>
        <v>Chêne sessile_F2_Dynamique_Guide chênaie continentale_75_</v>
      </c>
      <c r="BL1136" s="322"/>
      <c r="BM1136" s="13">
        <v>68.759632876979296</v>
      </c>
      <c r="BN1136" s="13">
        <v>336.92258043050703</v>
      </c>
      <c r="BO1136" s="13" t="s">
        <v>169</v>
      </c>
      <c r="BP1136" s="13">
        <v>305.10291717349702</v>
      </c>
      <c r="BQ1136" s="13">
        <v>9.13657852366733</v>
      </c>
      <c r="BT1136" s="298" t="str">
        <f>+VLOOKUP(G1136,Liste!$A$7:$H$50,8,FALSE)</f>
        <v>Feuillus</v>
      </c>
      <c r="BU1136" s="298">
        <f t="shared" si="343"/>
        <v>1</v>
      </c>
      <c r="BV1136" s="300">
        <f t="shared" si="344"/>
        <v>0</v>
      </c>
      <c r="BW1136" s="321">
        <v>0</v>
      </c>
      <c r="BX1136" s="298">
        <f t="shared" si="345"/>
        <v>0.25</v>
      </c>
      <c r="BY1136">
        <f t="shared" si="346"/>
        <v>0</v>
      </c>
      <c r="BZ1136" s="304">
        <f t="shared" si="347"/>
        <v>0</v>
      </c>
      <c r="CB1136" s="299">
        <v>0</v>
      </c>
      <c r="CC1136" s="299">
        <v>0</v>
      </c>
      <c r="CD1136">
        <f t="shared" si="348"/>
        <v>0</v>
      </c>
      <c r="CE1136">
        <f t="shared" si="349"/>
        <v>0</v>
      </c>
      <c r="CF1136">
        <f t="shared" si="350"/>
        <v>0</v>
      </c>
      <c r="CG1136">
        <f t="shared" si="351"/>
        <v>0</v>
      </c>
      <c r="CH1136">
        <f t="shared" si="352"/>
        <v>0</v>
      </c>
      <c r="CI1136">
        <f t="shared" si="353"/>
        <v>0</v>
      </c>
      <c r="CJ1136">
        <f t="shared" si="354"/>
        <v>0</v>
      </c>
      <c r="CK1136">
        <f t="shared" si="355"/>
        <v>0</v>
      </c>
      <c r="CL1136">
        <f t="shared" si="356"/>
        <v>0</v>
      </c>
      <c r="CM1136">
        <f t="shared" si="358"/>
        <v>0</v>
      </c>
      <c r="CN1136">
        <f t="shared" si="357"/>
        <v>0</v>
      </c>
      <c r="CO1136">
        <f t="shared" si="341"/>
        <v>0</v>
      </c>
    </row>
    <row r="1137" spans="1:93" x14ac:dyDescent="0.25">
      <c r="A1137" s="4">
        <v>2021</v>
      </c>
      <c r="B1137" s="318">
        <v>44279</v>
      </c>
      <c r="C1137" s="4" t="s">
        <v>66</v>
      </c>
      <c r="D1137" s="4" t="s">
        <v>1504</v>
      </c>
      <c r="E1137" s="4" t="s">
        <v>87</v>
      </c>
      <c r="F1137" s="4" t="s">
        <v>90</v>
      </c>
      <c r="G1137" s="5" t="s">
        <v>17</v>
      </c>
      <c r="H1137" s="5" t="s">
        <v>22</v>
      </c>
      <c r="I1137" s="5" t="s">
        <v>146</v>
      </c>
      <c r="J1137" s="5" t="s">
        <v>10</v>
      </c>
      <c r="K1137" s="5">
        <v>18</v>
      </c>
      <c r="L1137" s="5" t="s">
        <v>193</v>
      </c>
      <c r="M1137" s="5">
        <v>1666</v>
      </c>
      <c r="N1137" s="5" t="s">
        <v>170</v>
      </c>
      <c r="O1137" s="6" t="s">
        <v>81</v>
      </c>
      <c r="P1137" s="6" t="s">
        <v>1505</v>
      </c>
      <c r="S1137" s="6">
        <v>44</v>
      </c>
      <c r="T1137" s="6">
        <v>16.579999999999998</v>
      </c>
      <c r="U1137" s="6">
        <v>1453</v>
      </c>
      <c r="V1137" s="6">
        <v>26.19</v>
      </c>
      <c r="W1137" s="6">
        <v>41</v>
      </c>
      <c r="X1137" s="6">
        <v>369</v>
      </c>
      <c r="Y1137" s="6">
        <v>713</v>
      </c>
      <c r="Z1137" s="6">
        <v>301</v>
      </c>
      <c r="AA1137" s="6">
        <v>28</v>
      </c>
      <c r="AB1137" s="6">
        <v>0</v>
      </c>
      <c r="AC1137" s="7">
        <v>75</v>
      </c>
      <c r="AD1137" s="7" t="s">
        <v>53</v>
      </c>
      <c r="AE1137" s="7">
        <v>23.15</v>
      </c>
      <c r="AF1137" s="7">
        <v>180</v>
      </c>
      <c r="AG1137" s="7">
        <v>16.579999999999998</v>
      </c>
      <c r="AH1137" s="7">
        <v>34.24</v>
      </c>
      <c r="AI1137" s="7">
        <v>36.369999999999997</v>
      </c>
      <c r="AJ1137" s="9">
        <v>188.335543894854</v>
      </c>
      <c r="AK1137" s="9">
        <v>209.464506860065</v>
      </c>
      <c r="AL1137" s="9">
        <v>232.407355825808</v>
      </c>
      <c r="AM1137" s="9">
        <v>45.596962166357898</v>
      </c>
      <c r="AN1137" s="9">
        <v>0.60795949555143902</v>
      </c>
      <c r="AO1137" s="9">
        <v>0.45028723702256701</v>
      </c>
      <c r="AP1137" s="9">
        <v>551.09233542868299</v>
      </c>
      <c r="AQ1137" s="9">
        <v>7.34789780571578</v>
      </c>
      <c r="AR1137" s="9">
        <v>7.8899708361552303</v>
      </c>
      <c r="AS1137" s="8">
        <v>47</v>
      </c>
      <c r="AT1137" s="8">
        <v>3.4500000000000028</v>
      </c>
      <c r="AU1137" s="10">
        <v>30.571424668172877</v>
      </c>
      <c r="AV1137" s="10">
        <v>38.968449772060012</v>
      </c>
      <c r="AW1137" s="8">
        <v>0.83</v>
      </c>
      <c r="AX1137" s="10">
        <v>0.82911595259702153</v>
      </c>
      <c r="BF1137" s="12">
        <v>0.55000000000000004</v>
      </c>
      <c r="BG1137" s="13">
        <v>222.62687960147201</v>
      </c>
      <c r="BH1137" s="96" t="str">
        <f>+VLOOKUP(G1137,Liste!$A$7:$G$50,3,FALSE)</f>
        <v>Chêne sessile</v>
      </c>
      <c r="BI1137" s="96" t="str">
        <f>+VLOOKUP(H1137,Liste!$B$7:$G$50,5,FALSE)</f>
        <v>Guide chênaie continentale</v>
      </c>
      <c r="BJ1137" s="135">
        <f t="shared" si="340"/>
        <v>75</v>
      </c>
      <c r="BK1137" s="135" t="str">
        <f t="shared" si="342"/>
        <v>Chêne sessile_F2_Dynamique_Guide chênaie continentale_75_</v>
      </c>
      <c r="BL1137" s="322"/>
      <c r="BM1137" s="13">
        <v>58.333758877617903</v>
      </c>
      <c r="BN1137" s="13">
        <v>280.96063847908999</v>
      </c>
      <c r="BO1137" s="13">
        <v>55.961941951417032</v>
      </c>
      <c r="BP1137" s="13">
        <v>305.10291717349702</v>
      </c>
      <c r="BQ1137" s="13">
        <v>9.13657852366733</v>
      </c>
      <c r="BT1137" s="298" t="str">
        <f>+VLOOKUP(G1137,Liste!$A$7:$H$50,8,FALSE)</f>
        <v>Feuillus</v>
      </c>
      <c r="BU1137" s="298">
        <f t="shared" si="343"/>
        <v>1</v>
      </c>
      <c r="BV1137" s="300">
        <f t="shared" si="344"/>
        <v>0</v>
      </c>
      <c r="BW1137" s="321">
        <v>0</v>
      </c>
      <c r="BX1137" s="298">
        <f t="shared" si="345"/>
        <v>0.25</v>
      </c>
      <c r="BY1137">
        <f t="shared" si="346"/>
        <v>0</v>
      </c>
      <c r="BZ1137" s="304">
        <f t="shared" si="347"/>
        <v>0</v>
      </c>
      <c r="CB1137" s="299">
        <v>0</v>
      </c>
      <c r="CC1137" s="299">
        <v>0</v>
      </c>
      <c r="CD1137">
        <f t="shared" si="348"/>
        <v>0</v>
      </c>
      <c r="CE1137">
        <f t="shared" si="349"/>
        <v>0</v>
      </c>
      <c r="CF1137">
        <f t="shared" si="350"/>
        <v>0</v>
      </c>
      <c r="CG1137">
        <f t="shared" si="351"/>
        <v>0</v>
      </c>
      <c r="CH1137">
        <f t="shared" si="352"/>
        <v>0</v>
      </c>
      <c r="CI1137">
        <f t="shared" si="353"/>
        <v>0</v>
      </c>
      <c r="CJ1137">
        <f t="shared" si="354"/>
        <v>0</v>
      </c>
      <c r="CK1137">
        <f t="shared" si="355"/>
        <v>0</v>
      </c>
      <c r="CL1137">
        <f t="shared" si="356"/>
        <v>0</v>
      </c>
      <c r="CM1137">
        <f t="shared" si="358"/>
        <v>0</v>
      </c>
      <c r="CN1137">
        <f t="shared" si="357"/>
        <v>0</v>
      </c>
      <c r="CO1137">
        <f t="shared" si="341"/>
        <v>0</v>
      </c>
    </row>
    <row r="1138" spans="1:93" x14ac:dyDescent="0.25">
      <c r="A1138" s="4">
        <v>2021</v>
      </c>
      <c r="B1138" s="318">
        <v>44279</v>
      </c>
      <c r="C1138" s="4" t="s">
        <v>66</v>
      </c>
      <c r="D1138" s="4" t="s">
        <v>1504</v>
      </c>
      <c r="E1138" s="4" t="s">
        <v>87</v>
      </c>
      <c r="F1138" s="4" t="s">
        <v>90</v>
      </c>
      <c r="G1138" s="5" t="s">
        <v>17</v>
      </c>
      <c r="H1138" s="5" t="s">
        <v>22</v>
      </c>
      <c r="I1138" s="5" t="s">
        <v>146</v>
      </c>
      <c r="J1138" s="5" t="s">
        <v>10</v>
      </c>
      <c r="K1138" s="5">
        <v>18</v>
      </c>
      <c r="L1138" s="5" t="s">
        <v>193</v>
      </c>
      <c r="M1138" s="5">
        <v>1666</v>
      </c>
      <c r="N1138" s="5" t="s">
        <v>170</v>
      </c>
      <c r="O1138" s="6" t="s">
        <v>81</v>
      </c>
      <c r="P1138" s="6" t="s">
        <v>1505</v>
      </c>
      <c r="S1138" s="6">
        <v>44</v>
      </c>
      <c r="T1138" s="6">
        <v>16.579999999999998</v>
      </c>
      <c r="U1138" s="6">
        <v>1453</v>
      </c>
      <c r="V1138" s="6">
        <v>26.19</v>
      </c>
      <c r="W1138" s="6">
        <v>41</v>
      </c>
      <c r="X1138" s="6">
        <v>369</v>
      </c>
      <c r="Y1138" s="6">
        <v>713</v>
      </c>
      <c r="Z1138" s="6">
        <v>301</v>
      </c>
      <c r="AA1138" s="6">
        <v>28</v>
      </c>
      <c r="AB1138" s="6">
        <v>0</v>
      </c>
      <c r="AC1138" s="7">
        <v>78</v>
      </c>
      <c r="AD1138" s="7" t="s">
        <v>52</v>
      </c>
      <c r="AE1138" s="7">
        <v>23.6</v>
      </c>
      <c r="AF1138" s="7">
        <v>180</v>
      </c>
      <c r="AG1138" s="7">
        <v>17.93</v>
      </c>
      <c r="AH1138" s="7">
        <v>35.61</v>
      </c>
      <c r="AI1138" s="7">
        <v>37.78</v>
      </c>
      <c r="AJ1138" s="9">
        <v>207.72099396387199</v>
      </c>
      <c r="AK1138" s="9">
        <v>231.49764277645701</v>
      </c>
      <c r="AL1138" s="9">
        <v>256.07726833427398</v>
      </c>
      <c r="AM1138" s="9">
        <v>46.947823877425598</v>
      </c>
      <c r="AN1138" s="9">
        <v>0.60189517791571301</v>
      </c>
      <c r="AO1138" s="9">
        <v>0.46978357356765099</v>
      </c>
      <c r="AP1138" s="9">
        <v>574.76224793714903</v>
      </c>
      <c r="AQ1138" s="9">
        <v>7.3687467684249901</v>
      </c>
      <c r="AR1138" s="9">
        <v>8.5063357168206295</v>
      </c>
      <c r="AS1138" s="8" t="s">
        <v>169</v>
      </c>
      <c r="AT1138" s="8" t="s">
        <v>169</v>
      </c>
      <c r="AU1138" s="10" t="s">
        <v>169</v>
      </c>
      <c r="AV1138" s="10">
        <v>0</v>
      </c>
      <c r="AX1138" s="10" t="s">
        <v>169</v>
      </c>
      <c r="BF1138" s="12">
        <v>0.55000000000000004</v>
      </c>
      <c r="BG1138" s="13">
        <v>245.30068329187301</v>
      </c>
      <c r="BH1138" s="96" t="str">
        <f>+VLOOKUP(G1138,Liste!$A$7:$G$50,3,FALSE)</f>
        <v>Chêne sessile</v>
      </c>
      <c r="BI1138" s="96" t="str">
        <f>+VLOOKUP(H1138,Liste!$B$7:$G$50,5,FALSE)</f>
        <v>Guide chênaie continentale</v>
      </c>
      <c r="BJ1138" s="135">
        <f t="shared" si="340"/>
        <v>78</v>
      </c>
      <c r="BK1138" s="135" t="str">
        <f t="shared" si="342"/>
        <v>Chêne sessile_F2_Dynamique_Guide chênaie continentale_78_</v>
      </c>
      <c r="BL1138" s="322"/>
      <c r="BM1138" s="13">
        <v>63.553316371243703</v>
      </c>
      <c r="BN1138" s="13">
        <v>308.85399966311701</v>
      </c>
      <c r="BO1138" s="13" t="s">
        <v>169</v>
      </c>
      <c r="BP1138" s="13">
        <v>305.10291717349702</v>
      </c>
      <c r="BQ1138" s="13">
        <v>9.8418788945180005</v>
      </c>
      <c r="BT1138" s="298" t="str">
        <f>+VLOOKUP(G1138,Liste!$A$7:$H$50,8,FALSE)</f>
        <v>Feuillus</v>
      </c>
      <c r="BU1138" s="298">
        <f t="shared" si="343"/>
        <v>1</v>
      </c>
      <c r="BV1138" s="300">
        <f t="shared" si="344"/>
        <v>0</v>
      </c>
      <c r="BW1138" s="321">
        <v>0</v>
      </c>
      <c r="BX1138" s="298">
        <f t="shared" si="345"/>
        <v>0.25</v>
      </c>
      <c r="BY1138">
        <f t="shared" si="346"/>
        <v>0</v>
      </c>
      <c r="BZ1138" s="304">
        <f t="shared" si="347"/>
        <v>0</v>
      </c>
      <c r="CB1138" s="299">
        <v>0</v>
      </c>
      <c r="CC1138" s="299">
        <v>0</v>
      </c>
      <c r="CD1138">
        <f t="shared" si="348"/>
        <v>0</v>
      </c>
      <c r="CE1138">
        <f t="shared" si="349"/>
        <v>0</v>
      </c>
      <c r="CF1138">
        <f t="shared" si="350"/>
        <v>0</v>
      </c>
      <c r="CG1138">
        <f t="shared" si="351"/>
        <v>0</v>
      </c>
      <c r="CH1138">
        <f t="shared" si="352"/>
        <v>0</v>
      </c>
      <c r="CI1138">
        <f t="shared" si="353"/>
        <v>0</v>
      </c>
      <c r="CJ1138">
        <f t="shared" si="354"/>
        <v>0</v>
      </c>
      <c r="CK1138">
        <f t="shared" si="355"/>
        <v>0</v>
      </c>
      <c r="CL1138">
        <f t="shared" si="356"/>
        <v>0</v>
      </c>
      <c r="CM1138">
        <f t="shared" si="358"/>
        <v>0</v>
      </c>
      <c r="CN1138">
        <f t="shared" si="357"/>
        <v>0</v>
      </c>
      <c r="CO1138">
        <f t="shared" si="341"/>
        <v>0</v>
      </c>
    </row>
    <row r="1139" spans="1:93" x14ac:dyDescent="0.25">
      <c r="A1139" s="4">
        <v>2021</v>
      </c>
      <c r="B1139" s="318">
        <v>44279</v>
      </c>
      <c r="C1139" s="4" t="s">
        <v>66</v>
      </c>
      <c r="D1139" s="4" t="s">
        <v>1504</v>
      </c>
      <c r="E1139" s="4" t="s">
        <v>87</v>
      </c>
      <c r="F1139" s="4" t="s">
        <v>90</v>
      </c>
      <c r="G1139" s="5" t="s">
        <v>17</v>
      </c>
      <c r="H1139" s="5" t="s">
        <v>22</v>
      </c>
      <c r="I1139" s="5" t="s">
        <v>146</v>
      </c>
      <c r="J1139" s="5" t="s">
        <v>10</v>
      </c>
      <c r="K1139" s="5">
        <v>18</v>
      </c>
      <c r="L1139" s="5" t="s">
        <v>193</v>
      </c>
      <c r="M1139" s="5">
        <v>1666</v>
      </c>
      <c r="N1139" s="5" t="s">
        <v>170</v>
      </c>
      <c r="O1139" s="6" t="s">
        <v>81</v>
      </c>
      <c r="P1139" s="6" t="s">
        <v>1505</v>
      </c>
      <c r="S1139" s="6">
        <v>44</v>
      </c>
      <c r="T1139" s="6">
        <v>16.579999999999998</v>
      </c>
      <c r="U1139" s="6">
        <v>1453</v>
      </c>
      <c r="V1139" s="6">
        <v>26.19</v>
      </c>
      <c r="W1139" s="6">
        <v>41</v>
      </c>
      <c r="X1139" s="6">
        <v>369</v>
      </c>
      <c r="Y1139" s="6">
        <v>713</v>
      </c>
      <c r="Z1139" s="6">
        <v>301</v>
      </c>
      <c r="AA1139" s="6">
        <v>28</v>
      </c>
      <c r="AB1139" s="6">
        <v>0</v>
      </c>
      <c r="AC1139" s="7">
        <v>81</v>
      </c>
      <c r="AD1139" s="7" t="s">
        <v>52</v>
      </c>
      <c r="AE1139" s="7">
        <v>24.07</v>
      </c>
      <c r="AF1139" s="7">
        <v>180</v>
      </c>
      <c r="AG1139" s="7">
        <v>19.34</v>
      </c>
      <c r="AH1139" s="7">
        <v>36.979999999999997</v>
      </c>
      <c r="AI1139" s="7">
        <v>39.19</v>
      </c>
      <c r="AJ1139" s="9">
        <v>228.75113524192699</v>
      </c>
      <c r="AK1139" s="9">
        <v>255.32646591339099</v>
      </c>
      <c r="AL1139" s="9">
        <v>281.596275484736</v>
      </c>
      <c r="AM1139" s="9">
        <v>48.357174598128601</v>
      </c>
      <c r="AN1139" s="9">
        <v>0.59700215553245195</v>
      </c>
      <c r="AO1139" s="9">
        <v>0.48905147182092201</v>
      </c>
      <c r="AP1139" s="9">
        <v>600.28125508761104</v>
      </c>
      <c r="AQ1139" s="9">
        <v>7.4108796924396403</v>
      </c>
      <c r="AR1139" s="9">
        <v>9.0938809560352603</v>
      </c>
      <c r="AS1139" s="8" t="s">
        <v>169</v>
      </c>
      <c r="AT1139" s="8" t="s">
        <v>169</v>
      </c>
      <c r="AU1139" s="10" t="s">
        <v>169</v>
      </c>
      <c r="AV1139" s="10">
        <v>0</v>
      </c>
      <c r="AX1139" s="10" t="s">
        <v>169</v>
      </c>
      <c r="BF1139" s="12">
        <v>0.55000000000000004</v>
      </c>
      <c r="BG1139" s="13">
        <v>269.74576555808602</v>
      </c>
      <c r="BH1139" s="96" t="str">
        <f>+VLOOKUP(G1139,Liste!$A$7:$G$50,3,FALSE)</f>
        <v>Chêne sessile</v>
      </c>
      <c r="BI1139" s="96" t="str">
        <f>+VLOOKUP(H1139,Liste!$B$7:$G$50,5,FALSE)</f>
        <v>Guide chênaie continentale</v>
      </c>
      <c r="BJ1139" s="135">
        <f t="shared" si="340"/>
        <v>81</v>
      </c>
      <c r="BK1139" s="135" t="str">
        <f t="shared" si="342"/>
        <v>Chêne sessile_F2_Dynamique_Guide chênaie continentale_81_</v>
      </c>
      <c r="BL1139" s="322"/>
      <c r="BM1139" s="13">
        <v>69.118119189831106</v>
      </c>
      <c r="BN1139" s="13">
        <v>338.86388474791698</v>
      </c>
      <c r="BO1139" s="13" t="s">
        <v>169</v>
      </c>
      <c r="BP1139" s="13">
        <v>305.10291717349702</v>
      </c>
      <c r="BQ1139" s="13">
        <v>10.512433523056</v>
      </c>
      <c r="BT1139" s="298" t="str">
        <f>+VLOOKUP(G1139,Liste!$A$7:$H$50,8,FALSE)</f>
        <v>Feuillus</v>
      </c>
      <c r="BU1139" s="298">
        <f t="shared" si="343"/>
        <v>1</v>
      </c>
      <c r="BV1139" s="300">
        <f t="shared" si="344"/>
        <v>0</v>
      </c>
      <c r="BW1139" s="321">
        <v>0</v>
      </c>
      <c r="BX1139" s="298">
        <f t="shared" si="345"/>
        <v>0.25</v>
      </c>
      <c r="BY1139">
        <f t="shared" si="346"/>
        <v>0</v>
      </c>
      <c r="BZ1139" s="304">
        <f t="shared" si="347"/>
        <v>0</v>
      </c>
      <c r="CB1139" s="299">
        <v>0</v>
      </c>
      <c r="CC1139" s="299">
        <v>0</v>
      </c>
      <c r="CD1139">
        <f t="shared" si="348"/>
        <v>0</v>
      </c>
      <c r="CE1139">
        <f t="shared" si="349"/>
        <v>0</v>
      </c>
      <c r="CF1139">
        <f t="shared" si="350"/>
        <v>0</v>
      </c>
      <c r="CG1139">
        <f t="shared" si="351"/>
        <v>0</v>
      </c>
      <c r="CH1139">
        <f t="shared" si="352"/>
        <v>0</v>
      </c>
      <c r="CI1139">
        <f t="shared" si="353"/>
        <v>0</v>
      </c>
      <c r="CJ1139">
        <f t="shared" si="354"/>
        <v>0</v>
      </c>
      <c r="CK1139">
        <f t="shared" si="355"/>
        <v>0</v>
      </c>
      <c r="CL1139">
        <f t="shared" si="356"/>
        <v>0</v>
      </c>
      <c r="CM1139">
        <f t="shared" si="358"/>
        <v>0</v>
      </c>
      <c r="CN1139">
        <f t="shared" si="357"/>
        <v>0</v>
      </c>
      <c r="CO1139">
        <f t="shared" si="341"/>
        <v>0</v>
      </c>
    </row>
    <row r="1140" spans="1:93" x14ac:dyDescent="0.25">
      <c r="A1140" s="4">
        <v>2021</v>
      </c>
      <c r="B1140" s="318">
        <v>44279</v>
      </c>
      <c r="C1140" s="4" t="s">
        <v>66</v>
      </c>
      <c r="D1140" s="4" t="s">
        <v>1504</v>
      </c>
      <c r="E1140" s="4" t="s">
        <v>87</v>
      </c>
      <c r="F1140" s="4" t="s">
        <v>90</v>
      </c>
      <c r="G1140" s="5" t="s">
        <v>17</v>
      </c>
      <c r="H1140" s="5" t="s">
        <v>22</v>
      </c>
      <c r="I1140" s="5" t="s">
        <v>146</v>
      </c>
      <c r="J1140" s="5" t="s">
        <v>10</v>
      </c>
      <c r="K1140" s="5">
        <v>18</v>
      </c>
      <c r="L1140" s="5" t="s">
        <v>193</v>
      </c>
      <c r="M1140" s="5">
        <v>1666</v>
      </c>
      <c r="N1140" s="5" t="s">
        <v>170</v>
      </c>
      <c r="O1140" s="6" t="s">
        <v>81</v>
      </c>
      <c r="P1140" s="6" t="s">
        <v>1505</v>
      </c>
      <c r="S1140" s="6">
        <v>44</v>
      </c>
      <c r="T1140" s="6">
        <v>16.579999999999998</v>
      </c>
      <c r="U1140" s="6">
        <v>1453</v>
      </c>
      <c r="V1140" s="6">
        <v>26.19</v>
      </c>
      <c r="W1140" s="6">
        <v>41</v>
      </c>
      <c r="X1140" s="6">
        <v>369</v>
      </c>
      <c r="Y1140" s="6">
        <v>713</v>
      </c>
      <c r="Z1140" s="6">
        <v>301</v>
      </c>
      <c r="AA1140" s="6">
        <v>28</v>
      </c>
      <c r="AB1140" s="6">
        <v>0</v>
      </c>
      <c r="AC1140" s="7">
        <v>84</v>
      </c>
      <c r="AD1140" s="7" t="s">
        <v>52</v>
      </c>
      <c r="AE1140" s="7">
        <v>24.55</v>
      </c>
      <c r="AF1140" s="7">
        <v>180</v>
      </c>
      <c r="AG1140" s="7">
        <v>20.8</v>
      </c>
      <c r="AH1140" s="7">
        <v>38.36</v>
      </c>
      <c r="AI1140" s="7">
        <v>40.61</v>
      </c>
      <c r="AJ1140" s="9">
        <v>251.319468662171</v>
      </c>
      <c r="AK1140" s="9">
        <v>280.862261253312</v>
      </c>
      <c r="AL1140" s="9">
        <v>308.87791835284099</v>
      </c>
      <c r="AM1140" s="9">
        <v>49.824329013591303</v>
      </c>
      <c r="AN1140" s="9">
        <v>0.59314677397132498</v>
      </c>
      <c r="AO1140" s="9">
        <v>0.411831294565289</v>
      </c>
      <c r="AP1140" s="9">
        <v>627.56289795571695</v>
      </c>
      <c r="AQ1140" s="9">
        <v>7.4709868804252002</v>
      </c>
      <c r="AR1140" s="9">
        <v>7.61167966532427</v>
      </c>
      <c r="AS1140" s="8" t="s">
        <v>169</v>
      </c>
      <c r="AT1140" s="8" t="s">
        <v>169</v>
      </c>
      <c r="AU1140" s="10" t="s">
        <v>169</v>
      </c>
      <c r="AV1140" s="10">
        <v>0</v>
      </c>
      <c r="AX1140" s="10" t="s">
        <v>169</v>
      </c>
      <c r="BF1140" s="12">
        <v>0.55000000000000004</v>
      </c>
      <c r="BG1140" s="13">
        <v>295.87930595549199</v>
      </c>
      <c r="BH1140" s="96" t="str">
        <f>+VLOOKUP(G1140,Liste!$A$7:$G$50,3,FALSE)</f>
        <v>Chêne sessile</v>
      </c>
      <c r="BI1140" s="96" t="str">
        <f>+VLOOKUP(H1140,Liste!$B$7:$G$50,5,FALSE)</f>
        <v>Guide chênaie continentale</v>
      </c>
      <c r="BJ1140" s="135">
        <f t="shared" si="340"/>
        <v>84</v>
      </c>
      <c r="BK1140" s="135" t="str">
        <f t="shared" si="342"/>
        <v>Chêne sessile_F2_Dynamique_Guide chênaie continentale_84_</v>
      </c>
      <c r="BL1140" s="322"/>
      <c r="BM1140" s="13">
        <v>75.002760565807506</v>
      </c>
      <c r="BN1140" s="13">
        <v>370.88206652129998</v>
      </c>
      <c r="BO1140" s="13" t="s">
        <v>169</v>
      </c>
      <c r="BP1140" s="13">
        <v>305.10291717349702</v>
      </c>
      <c r="BQ1140" s="13">
        <v>8.7920138922697006</v>
      </c>
      <c r="BT1140" s="298" t="str">
        <f>+VLOOKUP(G1140,Liste!$A$7:$H$50,8,FALSE)</f>
        <v>Feuillus</v>
      </c>
      <c r="BU1140" s="298">
        <f t="shared" si="343"/>
        <v>1</v>
      </c>
      <c r="BV1140" s="300">
        <f t="shared" si="344"/>
        <v>0</v>
      </c>
      <c r="BW1140" s="321">
        <v>0</v>
      </c>
      <c r="BX1140" s="298">
        <f t="shared" si="345"/>
        <v>0.25</v>
      </c>
      <c r="BY1140">
        <f t="shared" si="346"/>
        <v>0</v>
      </c>
      <c r="BZ1140" s="304">
        <f t="shared" si="347"/>
        <v>0</v>
      </c>
      <c r="CB1140" s="299">
        <v>0.6</v>
      </c>
      <c r="CC1140" s="299">
        <v>0.4</v>
      </c>
      <c r="CD1140">
        <f t="shared" si="348"/>
        <v>0</v>
      </c>
      <c r="CE1140">
        <f t="shared" si="349"/>
        <v>0</v>
      </c>
      <c r="CF1140">
        <f t="shared" si="350"/>
        <v>0</v>
      </c>
      <c r="CG1140">
        <f t="shared" si="351"/>
        <v>0</v>
      </c>
      <c r="CH1140">
        <f t="shared" si="352"/>
        <v>0</v>
      </c>
      <c r="CI1140">
        <f t="shared" si="353"/>
        <v>0</v>
      </c>
      <c r="CJ1140">
        <f t="shared" si="354"/>
        <v>0</v>
      </c>
      <c r="CK1140">
        <f t="shared" si="355"/>
        <v>0</v>
      </c>
      <c r="CL1140">
        <f t="shared" si="356"/>
        <v>0</v>
      </c>
      <c r="CM1140">
        <f t="shared" si="358"/>
        <v>0</v>
      </c>
      <c r="CN1140">
        <f t="shared" si="357"/>
        <v>0</v>
      </c>
      <c r="CO1140">
        <f t="shared" si="341"/>
        <v>0</v>
      </c>
    </row>
    <row r="1141" spans="1:93" x14ac:dyDescent="0.25">
      <c r="A1141" s="4">
        <v>2021</v>
      </c>
      <c r="B1141" s="318">
        <v>44279</v>
      </c>
      <c r="C1141" s="4" t="s">
        <v>66</v>
      </c>
      <c r="D1141" s="4" t="s">
        <v>1504</v>
      </c>
      <c r="E1141" s="4" t="s">
        <v>87</v>
      </c>
      <c r="F1141" s="4" t="s">
        <v>90</v>
      </c>
      <c r="G1141" s="5" t="s">
        <v>17</v>
      </c>
      <c r="H1141" s="5" t="s">
        <v>22</v>
      </c>
      <c r="I1141" s="5" t="s">
        <v>146</v>
      </c>
      <c r="J1141" s="5" t="s">
        <v>10</v>
      </c>
      <c r="K1141" s="5">
        <v>18</v>
      </c>
      <c r="L1141" s="5" t="s">
        <v>193</v>
      </c>
      <c r="M1141" s="5">
        <v>1666</v>
      </c>
      <c r="N1141" s="5" t="s">
        <v>170</v>
      </c>
      <c r="O1141" s="6" t="s">
        <v>81</v>
      </c>
      <c r="P1141" s="6" t="s">
        <v>1505</v>
      </c>
      <c r="S1141" s="6">
        <v>44</v>
      </c>
      <c r="T1141" s="6">
        <v>16.579999999999998</v>
      </c>
      <c r="U1141" s="6">
        <v>1453</v>
      </c>
      <c r="V1141" s="6">
        <v>26.19</v>
      </c>
      <c r="W1141" s="6">
        <v>41</v>
      </c>
      <c r="X1141" s="6">
        <v>369</v>
      </c>
      <c r="Y1141" s="6">
        <v>713</v>
      </c>
      <c r="Z1141" s="6">
        <v>301</v>
      </c>
      <c r="AA1141" s="6">
        <v>28</v>
      </c>
      <c r="AB1141" s="6">
        <v>0</v>
      </c>
      <c r="AC1141" s="7">
        <v>84</v>
      </c>
      <c r="AD1141" s="7" t="s">
        <v>53</v>
      </c>
      <c r="AE1141" s="7">
        <v>24.55</v>
      </c>
      <c r="AF1141" s="7">
        <v>143</v>
      </c>
      <c r="AG1141" s="7">
        <v>17.170000000000002</v>
      </c>
      <c r="AH1141" s="7">
        <v>39.1</v>
      </c>
      <c r="AI1141" s="7">
        <v>40.58</v>
      </c>
      <c r="AJ1141" s="9">
        <v>207.51662815085899</v>
      </c>
      <c r="AK1141" s="9">
        <v>232.50876817066199</v>
      </c>
      <c r="AL1141" s="9">
        <v>255.56984646457201</v>
      </c>
      <c r="AM1141" s="9">
        <v>49.824329013591303</v>
      </c>
      <c r="AN1141" s="9">
        <v>0.59314677397132498</v>
      </c>
      <c r="AO1141" s="9">
        <v>0.411831294565289</v>
      </c>
      <c r="AP1141" s="9">
        <v>627.56289795571695</v>
      </c>
      <c r="AQ1141" s="9">
        <v>7.4709868804252002</v>
      </c>
      <c r="AR1141" s="9">
        <v>7.61167966532427</v>
      </c>
      <c r="AS1141" s="8">
        <v>37</v>
      </c>
      <c r="AT1141" s="8">
        <v>3.629999999999999</v>
      </c>
      <c r="AU1141" s="10">
        <v>35.343333586745274</v>
      </c>
      <c r="AV1141" s="10">
        <v>43.802840511312013</v>
      </c>
      <c r="AW1141" s="8">
        <v>0.85</v>
      </c>
      <c r="AX1141" s="10">
        <v>1.1838605543597842</v>
      </c>
      <c r="BF1141" s="12">
        <v>0.55000000000000004</v>
      </c>
      <c r="BG1141" s="13">
        <v>244.81461542585501</v>
      </c>
      <c r="BH1141" s="96" t="str">
        <f>+VLOOKUP(G1141,Liste!$A$7:$G$50,3,FALSE)</f>
        <v>Chêne sessile</v>
      </c>
      <c r="BI1141" s="96" t="str">
        <f>+VLOOKUP(H1141,Liste!$B$7:$G$50,5,FALSE)</f>
        <v>Guide chênaie continentale</v>
      </c>
      <c r="BJ1141" s="135">
        <f t="shared" si="340"/>
        <v>84</v>
      </c>
      <c r="BK1141" s="135" t="str">
        <f t="shared" si="342"/>
        <v>Chêne sessile_F2_Dynamique_Guide chênaie continentale_84_</v>
      </c>
      <c r="BL1141" s="322"/>
      <c r="BM1141" s="13">
        <v>63.442029944786199</v>
      </c>
      <c r="BN1141" s="13">
        <v>308.25664537064102</v>
      </c>
      <c r="BO1141" s="13">
        <v>62.625421150658951</v>
      </c>
      <c r="BP1141" s="13">
        <v>305.10291717349702</v>
      </c>
      <c r="BQ1141" s="13">
        <v>8.7920138922697006</v>
      </c>
      <c r="BT1141" s="298" t="str">
        <f>+VLOOKUP(G1141,Liste!$A$7:$H$50,8,FALSE)</f>
        <v>Feuillus</v>
      </c>
      <c r="BU1141" s="298">
        <f t="shared" si="343"/>
        <v>1</v>
      </c>
      <c r="BV1141" s="300">
        <f t="shared" si="344"/>
        <v>0</v>
      </c>
      <c r="BW1141" s="321">
        <v>0</v>
      </c>
      <c r="BX1141" s="298">
        <f t="shared" si="345"/>
        <v>0.25</v>
      </c>
      <c r="BY1141">
        <f t="shared" si="346"/>
        <v>0</v>
      </c>
      <c r="BZ1141" s="304">
        <f t="shared" si="347"/>
        <v>0</v>
      </c>
      <c r="CB1141" s="299">
        <v>0.6</v>
      </c>
      <c r="CC1141" s="299">
        <v>0.4</v>
      </c>
      <c r="CD1141">
        <f t="shared" si="348"/>
        <v>0</v>
      </c>
      <c r="CE1141">
        <f t="shared" si="349"/>
        <v>0</v>
      </c>
      <c r="CF1141">
        <f t="shared" si="350"/>
        <v>0</v>
      </c>
      <c r="CG1141">
        <f t="shared" si="351"/>
        <v>0</v>
      </c>
      <c r="CH1141">
        <f t="shared" si="352"/>
        <v>0</v>
      </c>
      <c r="CI1141">
        <f t="shared" si="353"/>
        <v>0</v>
      </c>
      <c r="CJ1141">
        <f t="shared" si="354"/>
        <v>0</v>
      </c>
      <c r="CK1141">
        <f t="shared" si="355"/>
        <v>0</v>
      </c>
      <c r="CL1141">
        <f t="shared" si="356"/>
        <v>0</v>
      </c>
      <c r="CM1141">
        <f t="shared" si="358"/>
        <v>0</v>
      </c>
      <c r="CN1141">
        <f t="shared" si="357"/>
        <v>0</v>
      </c>
      <c r="CO1141">
        <f t="shared" si="341"/>
        <v>0</v>
      </c>
    </row>
    <row r="1142" spans="1:93" x14ac:dyDescent="0.25">
      <c r="A1142" s="4">
        <v>2021</v>
      </c>
      <c r="B1142" s="318">
        <v>44279</v>
      </c>
      <c r="C1142" s="4" t="s">
        <v>66</v>
      </c>
      <c r="D1142" s="4" t="s">
        <v>1504</v>
      </c>
      <c r="E1142" s="4" t="s">
        <v>87</v>
      </c>
      <c r="F1142" s="4" t="s">
        <v>90</v>
      </c>
      <c r="G1142" s="5" t="s">
        <v>17</v>
      </c>
      <c r="H1142" s="5" t="s">
        <v>22</v>
      </c>
      <c r="I1142" s="5" t="s">
        <v>146</v>
      </c>
      <c r="J1142" s="5" t="s">
        <v>10</v>
      </c>
      <c r="K1142" s="5">
        <v>18</v>
      </c>
      <c r="L1142" s="5" t="s">
        <v>193</v>
      </c>
      <c r="M1142" s="5">
        <v>1666</v>
      </c>
      <c r="N1142" s="5" t="s">
        <v>170</v>
      </c>
      <c r="O1142" s="6" t="s">
        <v>81</v>
      </c>
      <c r="P1142" s="6" t="s">
        <v>1505</v>
      </c>
      <c r="S1142" s="6">
        <v>44</v>
      </c>
      <c r="T1142" s="6">
        <v>16.579999999999998</v>
      </c>
      <c r="U1142" s="6">
        <v>1453</v>
      </c>
      <c r="V1142" s="6">
        <v>26.19</v>
      </c>
      <c r="W1142" s="6">
        <v>41</v>
      </c>
      <c r="X1142" s="6">
        <v>369</v>
      </c>
      <c r="Y1142" s="6">
        <v>713</v>
      </c>
      <c r="Z1142" s="6">
        <v>301</v>
      </c>
      <c r="AA1142" s="6">
        <v>28</v>
      </c>
      <c r="AB1142" s="6">
        <v>0</v>
      </c>
      <c r="AC1142" s="7">
        <v>87</v>
      </c>
      <c r="AD1142" s="7" t="s">
        <v>52</v>
      </c>
      <c r="AE1142" s="7">
        <v>24.97</v>
      </c>
      <c r="AF1142" s="7">
        <v>143</v>
      </c>
      <c r="AG1142" s="7">
        <v>18.399999999999999</v>
      </c>
      <c r="AH1142" s="7">
        <v>40.479999999999997</v>
      </c>
      <c r="AI1142" s="7">
        <v>41.98</v>
      </c>
      <c r="AJ1142" s="9">
        <v>226.17767902252399</v>
      </c>
      <c r="AK1142" s="9">
        <v>253.86580712548599</v>
      </c>
      <c r="AL1142" s="9">
        <v>278.40488546054502</v>
      </c>
      <c r="AM1142" s="9">
        <v>51.059822897287198</v>
      </c>
      <c r="AN1142" s="9">
        <v>0.58689451606077203</v>
      </c>
      <c r="AO1142" s="9">
        <v>0.42817343543425301</v>
      </c>
      <c r="AP1142" s="9">
        <v>650.39793695168896</v>
      </c>
      <c r="AQ1142" s="9">
        <v>7.4758383557665402</v>
      </c>
      <c r="AR1142" s="9">
        <v>8.1447288842911494</v>
      </c>
      <c r="AS1142" s="8" t="s">
        <v>169</v>
      </c>
      <c r="AT1142" s="8" t="s">
        <v>169</v>
      </c>
      <c r="AU1142" s="10" t="s">
        <v>169</v>
      </c>
      <c r="AV1142" s="10">
        <v>0</v>
      </c>
      <c r="AX1142" s="10" t="s">
        <v>169</v>
      </c>
      <c r="BF1142" s="12">
        <v>0.55000000000000004</v>
      </c>
      <c r="BG1142" s="13">
        <v>266.68867986407997</v>
      </c>
      <c r="BH1142" s="96" t="str">
        <f>+VLOOKUP(G1142,Liste!$A$7:$G$50,3,FALSE)</f>
        <v>Chêne sessile</v>
      </c>
      <c r="BI1142" s="96" t="str">
        <f>+VLOOKUP(H1142,Liste!$B$7:$G$50,5,FALSE)</f>
        <v>Guide chênaie continentale</v>
      </c>
      <c r="BJ1142" s="135">
        <f t="shared" si="340"/>
        <v>87</v>
      </c>
      <c r="BK1142" s="135" t="str">
        <f t="shared" si="342"/>
        <v>Chêne sessile_F2_Dynamique_Guide chênaie continentale_87_</v>
      </c>
      <c r="BL1142" s="322"/>
      <c r="BM1142" s="13">
        <v>68.425510121331101</v>
      </c>
      <c r="BN1142" s="13">
        <v>335.114189985412</v>
      </c>
      <c r="BO1142" s="13" t="s">
        <v>169</v>
      </c>
      <c r="BP1142" s="13">
        <v>305.10291717349702</v>
      </c>
      <c r="BQ1142" s="13">
        <v>9.4009488557746508</v>
      </c>
      <c r="BT1142" s="298" t="str">
        <f>+VLOOKUP(G1142,Liste!$A$7:$H$50,8,FALSE)</f>
        <v>Feuillus</v>
      </c>
      <c r="BU1142" s="298">
        <f t="shared" si="343"/>
        <v>1</v>
      </c>
      <c r="BV1142" s="300">
        <f t="shared" si="344"/>
        <v>0</v>
      </c>
      <c r="BW1142" s="321">
        <v>0</v>
      </c>
      <c r="BX1142" s="298">
        <f t="shared" si="345"/>
        <v>0.25</v>
      </c>
      <c r="BY1142">
        <f t="shared" si="346"/>
        <v>0</v>
      </c>
      <c r="BZ1142" s="304">
        <f t="shared" si="347"/>
        <v>0</v>
      </c>
      <c r="CB1142" s="299">
        <v>0.6</v>
      </c>
      <c r="CC1142" s="299">
        <v>0.4</v>
      </c>
      <c r="CD1142">
        <f t="shared" si="348"/>
        <v>0</v>
      </c>
      <c r="CE1142">
        <f t="shared" si="349"/>
        <v>0</v>
      </c>
      <c r="CF1142">
        <f t="shared" si="350"/>
        <v>0</v>
      </c>
      <c r="CG1142">
        <f t="shared" si="351"/>
        <v>0</v>
      </c>
      <c r="CH1142">
        <f t="shared" si="352"/>
        <v>0</v>
      </c>
      <c r="CI1142">
        <f t="shared" si="353"/>
        <v>0</v>
      </c>
      <c r="CJ1142">
        <f t="shared" si="354"/>
        <v>0</v>
      </c>
      <c r="CK1142">
        <f t="shared" si="355"/>
        <v>0</v>
      </c>
      <c r="CL1142">
        <f t="shared" si="356"/>
        <v>0</v>
      </c>
      <c r="CM1142">
        <f t="shared" si="358"/>
        <v>0</v>
      </c>
      <c r="CN1142">
        <f t="shared" si="357"/>
        <v>0</v>
      </c>
      <c r="CO1142">
        <f t="shared" si="341"/>
        <v>0</v>
      </c>
    </row>
    <row r="1143" spans="1:93" x14ac:dyDescent="0.25">
      <c r="A1143" s="4">
        <v>2021</v>
      </c>
      <c r="B1143" s="318">
        <v>44279</v>
      </c>
      <c r="C1143" s="4" t="s">
        <v>66</v>
      </c>
      <c r="D1143" s="4" t="s">
        <v>1504</v>
      </c>
      <c r="E1143" s="4" t="s">
        <v>87</v>
      </c>
      <c r="F1143" s="4" t="s">
        <v>90</v>
      </c>
      <c r="G1143" s="5" t="s">
        <v>17</v>
      </c>
      <c r="H1143" s="5" t="s">
        <v>22</v>
      </c>
      <c r="I1143" s="5" t="s">
        <v>146</v>
      </c>
      <c r="J1143" s="5" t="s">
        <v>10</v>
      </c>
      <c r="K1143" s="5">
        <v>18</v>
      </c>
      <c r="L1143" s="5" t="s">
        <v>193</v>
      </c>
      <c r="M1143" s="5">
        <v>1666</v>
      </c>
      <c r="N1143" s="5" t="s">
        <v>170</v>
      </c>
      <c r="O1143" s="6" t="s">
        <v>81</v>
      </c>
      <c r="P1143" s="6" t="s">
        <v>1505</v>
      </c>
      <c r="S1143" s="6">
        <v>44</v>
      </c>
      <c r="T1143" s="6">
        <v>16.579999999999998</v>
      </c>
      <c r="U1143" s="6">
        <v>1453</v>
      </c>
      <c r="V1143" s="6">
        <v>26.19</v>
      </c>
      <c r="W1143" s="6">
        <v>41</v>
      </c>
      <c r="X1143" s="6">
        <v>369</v>
      </c>
      <c r="Y1143" s="6">
        <v>713</v>
      </c>
      <c r="Z1143" s="6">
        <v>301</v>
      </c>
      <c r="AA1143" s="6">
        <v>28</v>
      </c>
      <c r="AB1143" s="6">
        <v>0</v>
      </c>
      <c r="AC1143" s="7">
        <v>90</v>
      </c>
      <c r="AD1143" s="7" t="s">
        <v>52</v>
      </c>
      <c r="AE1143" s="7">
        <v>25.39</v>
      </c>
      <c r="AF1143" s="7">
        <v>143</v>
      </c>
      <c r="AG1143" s="7">
        <v>19.690000000000001</v>
      </c>
      <c r="AH1143" s="7">
        <v>41.87</v>
      </c>
      <c r="AI1143" s="7">
        <v>43.4</v>
      </c>
      <c r="AJ1143" s="9">
        <v>246.25427419246</v>
      </c>
      <c r="AK1143" s="9">
        <v>276.77748976158102</v>
      </c>
      <c r="AL1143" s="9">
        <v>302.83907211341801</v>
      </c>
      <c r="AM1143" s="9">
        <v>52.34434320359</v>
      </c>
      <c r="AN1143" s="9">
        <v>0.58160381337322198</v>
      </c>
      <c r="AO1143" s="9">
        <v>0.44554068322207502</v>
      </c>
      <c r="AP1143" s="9">
        <v>674.83212360456298</v>
      </c>
      <c r="AQ1143" s="9">
        <v>7.4981347067173596</v>
      </c>
      <c r="AR1143" s="9">
        <v>8.6510981868216295</v>
      </c>
      <c r="AS1143" s="8" t="s">
        <v>169</v>
      </c>
      <c r="AT1143" s="8" t="s">
        <v>169</v>
      </c>
      <c r="AU1143" s="10" t="s">
        <v>169</v>
      </c>
      <c r="AV1143" s="10">
        <v>0</v>
      </c>
      <c r="AX1143" s="10" t="s">
        <v>169</v>
      </c>
      <c r="BF1143" s="12">
        <v>0.55000000000000004</v>
      </c>
      <c r="BG1143" s="13">
        <v>290.09459449531198</v>
      </c>
      <c r="BH1143" s="96" t="str">
        <f>+VLOOKUP(G1143,Liste!$A$7:$G$50,3,FALSE)</f>
        <v>Chêne sessile</v>
      </c>
      <c r="BI1143" s="96" t="str">
        <f>+VLOOKUP(H1143,Liste!$B$7:$G$50,5,FALSE)</f>
        <v>Guide chênaie continentale</v>
      </c>
      <c r="BJ1143" s="135">
        <f t="shared" si="340"/>
        <v>90</v>
      </c>
      <c r="BK1143" s="135" t="str">
        <f t="shared" si="342"/>
        <v>Chêne sessile_F2_Dynamique_Guide chênaie continentale_90_</v>
      </c>
      <c r="BL1143" s="322"/>
      <c r="BM1143" s="13">
        <v>73.7055885190954</v>
      </c>
      <c r="BN1143" s="13">
        <v>363.80018301440703</v>
      </c>
      <c r="BO1143" s="13" t="s">
        <v>169</v>
      </c>
      <c r="BP1143" s="13">
        <v>305.10291717349702</v>
      </c>
      <c r="BQ1143" s="13">
        <v>9.9780584920129805</v>
      </c>
      <c r="BT1143" s="298" t="str">
        <f>+VLOOKUP(G1143,Liste!$A$7:$H$50,8,FALSE)</f>
        <v>Feuillus</v>
      </c>
      <c r="BU1143" s="298">
        <f t="shared" si="343"/>
        <v>1</v>
      </c>
      <c r="BV1143" s="300">
        <f t="shared" si="344"/>
        <v>0</v>
      </c>
      <c r="BW1143" s="321">
        <v>0</v>
      </c>
      <c r="BX1143" s="298">
        <f t="shared" si="345"/>
        <v>0.25</v>
      </c>
      <c r="BY1143">
        <f t="shared" si="346"/>
        <v>0</v>
      </c>
      <c r="BZ1143" s="304">
        <f t="shared" si="347"/>
        <v>0</v>
      </c>
      <c r="CB1143" s="299">
        <v>0.6</v>
      </c>
      <c r="CC1143" s="299">
        <v>0.4</v>
      </c>
      <c r="CD1143">
        <f t="shared" si="348"/>
        <v>0</v>
      </c>
      <c r="CE1143">
        <f t="shared" si="349"/>
        <v>0</v>
      </c>
      <c r="CF1143">
        <f t="shared" si="350"/>
        <v>0</v>
      </c>
      <c r="CG1143">
        <f t="shared" si="351"/>
        <v>0</v>
      </c>
      <c r="CH1143">
        <f t="shared" si="352"/>
        <v>0</v>
      </c>
      <c r="CI1143">
        <f t="shared" si="353"/>
        <v>0</v>
      </c>
      <c r="CJ1143">
        <f t="shared" si="354"/>
        <v>0</v>
      </c>
      <c r="CK1143">
        <f t="shared" si="355"/>
        <v>0</v>
      </c>
      <c r="CL1143">
        <f t="shared" si="356"/>
        <v>0</v>
      </c>
      <c r="CM1143">
        <f t="shared" si="358"/>
        <v>0</v>
      </c>
      <c r="CN1143">
        <f t="shared" si="357"/>
        <v>0</v>
      </c>
      <c r="CO1143">
        <f t="shared" si="341"/>
        <v>0</v>
      </c>
    </row>
    <row r="1144" spans="1:93" x14ac:dyDescent="0.25">
      <c r="A1144" s="4">
        <v>2021</v>
      </c>
      <c r="B1144" s="318">
        <v>44279</v>
      </c>
      <c r="C1144" s="4" t="s">
        <v>66</v>
      </c>
      <c r="D1144" s="4" t="s">
        <v>1504</v>
      </c>
      <c r="E1144" s="4" t="s">
        <v>87</v>
      </c>
      <c r="F1144" s="4" t="s">
        <v>90</v>
      </c>
      <c r="G1144" s="5" t="s">
        <v>17</v>
      </c>
      <c r="H1144" s="5" t="s">
        <v>22</v>
      </c>
      <c r="I1144" s="5" t="s">
        <v>146</v>
      </c>
      <c r="J1144" s="5" t="s">
        <v>10</v>
      </c>
      <c r="K1144" s="5">
        <v>18</v>
      </c>
      <c r="L1144" s="5" t="s">
        <v>193</v>
      </c>
      <c r="M1144" s="5">
        <v>1666</v>
      </c>
      <c r="N1144" s="5" t="s">
        <v>170</v>
      </c>
      <c r="O1144" s="6" t="s">
        <v>81</v>
      </c>
      <c r="P1144" s="6" t="s">
        <v>1505</v>
      </c>
      <c r="S1144" s="6">
        <v>44</v>
      </c>
      <c r="T1144" s="6">
        <v>16.579999999999998</v>
      </c>
      <c r="U1144" s="6">
        <v>1453</v>
      </c>
      <c r="V1144" s="6">
        <v>26.19</v>
      </c>
      <c r="W1144" s="6">
        <v>41</v>
      </c>
      <c r="X1144" s="6">
        <v>369</v>
      </c>
      <c r="Y1144" s="6">
        <v>713</v>
      </c>
      <c r="Z1144" s="6">
        <v>301</v>
      </c>
      <c r="AA1144" s="6">
        <v>28</v>
      </c>
      <c r="AB1144" s="6">
        <v>0</v>
      </c>
      <c r="AC1144" s="7">
        <v>93</v>
      </c>
      <c r="AD1144" s="7" t="s">
        <v>52</v>
      </c>
      <c r="AE1144" s="7">
        <v>25.83</v>
      </c>
      <c r="AF1144" s="7">
        <v>143</v>
      </c>
      <c r="AG1144" s="7">
        <v>21.02</v>
      </c>
      <c r="AH1144" s="7">
        <v>43.26</v>
      </c>
      <c r="AI1144" s="7">
        <v>44.83</v>
      </c>
      <c r="AJ1144" s="9">
        <v>267.62559168402402</v>
      </c>
      <c r="AK1144" s="9">
        <v>301.156028693721</v>
      </c>
      <c r="AL1144" s="9">
        <v>328.79236667388301</v>
      </c>
      <c r="AM1144" s="9">
        <v>53.680965253256197</v>
      </c>
      <c r="AN1144" s="9">
        <v>0.57721468014253996</v>
      </c>
      <c r="AO1144" s="9">
        <v>0.38503984739334401</v>
      </c>
      <c r="AP1144" s="9">
        <v>700.78541816502798</v>
      </c>
      <c r="AQ1144" s="9">
        <v>7.5353270770433101</v>
      </c>
      <c r="AR1144" s="9">
        <v>7.52665856633367</v>
      </c>
      <c r="AS1144" s="8" t="s">
        <v>169</v>
      </c>
      <c r="AT1144" s="8" t="s">
        <v>169</v>
      </c>
      <c r="AU1144" s="10" t="s">
        <v>169</v>
      </c>
      <c r="AV1144" s="10">
        <v>0</v>
      </c>
      <c r="AX1144" s="10" t="s">
        <v>169</v>
      </c>
      <c r="BF1144" s="12">
        <v>0.55000000000000004</v>
      </c>
      <c r="BG1144" s="13">
        <v>314.95568790969099</v>
      </c>
      <c r="BH1144" s="96" t="str">
        <f>+VLOOKUP(G1144,Liste!$A$7:$G$50,3,FALSE)</f>
        <v>Chêne sessile</v>
      </c>
      <c r="BI1144" s="96" t="str">
        <f>+VLOOKUP(H1144,Liste!$B$7:$G$50,5,FALSE)</f>
        <v>Guide chênaie continentale</v>
      </c>
      <c r="BJ1144" s="135">
        <f t="shared" si="340"/>
        <v>93</v>
      </c>
      <c r="BK1144" s="135" t="str">
        <f t="shared" si="342"/>
        <v>Chêne sessile_F2_Dynamique_Guide chênaie continentale_93_</v>
      </c>
      <c r="BL1144" s="322"/>
      <c r="BM1144" s="13">
        <v>79.259917276315704</v>
      </c>
      <c r="BN1144" s="13">
        <v>394.21560518600597</v>
      </c>
      <c r="BO1144" s="13" t="s">
        <v>169</v>
      </c>
      <c r="BP1144" s="13">
        <v>305.10291717349702</v>
      </c>
      <c r="BQ1144" s="13">
        <v>8.6752160385922608</v>
      </c>
      <c r="BT1144" s="298" t="str">
        <f>+VLOOKUP(G1144,Liste!$A$7:$H$50,8,FALSE)</f>
        <v>Feuillus</v>
      </c>
      <c r="BU1144" s="298">
        <f t="shared" si="343"/>
        <v>1</v>
      </c>
      <c r="BV1144" s="300">
        <f t="shared" si="344"/>
        <v>0</v>
      </c>
      <c r="BW1144" s="321">
        <v>0</v>
      </c>
      <c r="BX1144" s="298">
        <f t="shared" si="345"/>
        <v>0.25</v>
      </c>
      <c r="BY1144">
        <f t="shared" si="346"/>
        <v>0</v>
      </c>
      <c r="BZ1144" s="304">
        <f t="shared" si="347"/>
        <v>0</v>
      </c>
      <c r="CB1144" s="299">
        <v>0.6</v>
      </c>
      <c r="CC1144" s="299">
        <v>0.4</v>
      </c>
      <c r="CD1144">
        <f t="shared" si="348"/>
        <v>0</v>
      </c>
      <c r="CE1144">
        <f t="shared" si="349"/>
        <v>0</v>
      </c>
      <c r="CF1144">
        <f t="shared" si="350"/>
        <v>0</v>
      </c>
      <c r="CG1144">
        <f t="shared" si="351"/>
        <v>0</v>
      </c>
      <c r="CH1144">
        <f t="shared" si="352"/>
        <v>0</v>
      </c>
      <c r="CI1144">
        <f t="shared" si="353"/>
        <v>0</v>
      </c>
      <c r="CJ1144">
        <f t="shared" si="354"/>
        <v>0</v>
      </c>
      <c r="CK1144">
        <f t="shared" si="355"/>
        <v>0</v>
      </c>
      <c r="CL1144">
        <f t="shared" si="356"/>
        <v>0</v>
      </c>
      <c r="CM1144">
        <f t="shared" si="358"/>
        <v>0</v>
      </c>
      <c r="CN1144">
        <f t="shared" si="357"/>
        <v>0</v>
      </c>
      <c r="CO1144">
        <f t="shared" si="341"/>
        <v>0</v>
      </c>
    </row>
    <row r="1145" spans="1:93" x14ac:dyDescent="0.25">
      <c r="A1145" s="4">
        <v>2021</v>
      </c>
      <c r="B1145" s="318">
        <v>44279</v>
      </c>
      <c r="C1145" s="4" t="s">
        <v>66</v>
      </c>
      <c r="D1145" s="4" t="s">
        <v>1504</v>
      </c>
      <c r="E1145" s="4" t="s">
        <v>87</v>
      </c>
      <c r="F1145" s="4" t="s">
        <v>90</v>
      </c>
      <c r="G1145" s="5" t="s">
        <v>17</v>
      </c>
      <c r="H1145" s="5" t="s">
        <v>22</v>
      </c>
      <c r="I1145" s="5" t="s">
        <v>146</v>
      </c>
      <c r="J1145" s="5" t="s">
        <v>10</v>
      </c>
      <c r="K1145" s="5">
        <v>18</v>
      </c>
      <c r="L1145" s="5" t="s">
        <v>193</v>
      </c>
      <c r="M1145" s="5">
        <v>1666</v>
      </c>
      <c r="N1145" s="5" t="s">
        <v>170</v>
      </c>
      <c r="O1145" s="6" t="s">
        <v>81</v>
      </c>
      <c r="P1145" s="6" t="s">
        <v>1505</v>
      </c>
      <c r="S1145" s="6">
        <v>44</v>
      </c>
      <c r="T1145" s="6">
        <v>16.579999999999998</v>
      </c>
      <c r="U1145" s="6">
        <v>1453</v>
      </c>
      <c r="V1145" s="6">
        <v>26.19</v>
      </c>
      <c r="W1145" s="6">
        <v>41</v>
      </c>
      <c r="X1145" s="6">
        <v>369</v>
      </c>
      <c r="Y1145" s="6">
        <v>713</v>
      </c>
      <c r="Z1145" s="6">
        <v>301</v>
      </c>
      <c r="AA1145" s="6">
        <v>28</v>
      </c>
      <c r="AB1145" s="6">
        <v>0</v>
      </c>
      <c r="AC1145" s="7">
        <v>93</v>
      </c>
      <c r="AD1145" s="7" t="s">
        <v>53</v>
      </c>
      <c r="AE1145" s="7">
        <v>25.83</v>
      </c>
      <c r="AF1145" s="7">
        <v>119</v>
      </c>
      <c r="AG1145" s="7">
        <v>17.77</v>
      </c>
      <c r="AH1145" s="7">
        <v>43.6</v>
      </c>
      <c r="AI1145" s="7">
        <v>44.67</v>
      </c>
      <c r="AJ1145" s="9">
        <v>226.22653890302101</v>
      </c>
      <c r="AK1145" s="9">
        <v>254.89662325524799</v>
      </c>
      <c r="AL1145" s="9">
        <v>278.23380021596103</v>
      </c>
      <c r="AM1145" s="9">
        <v>53.680965253256197</v>
      </c>
      <c r="AN1145" s="9">
        <v>0.57721468014253996</v>
      </c>
      <c r="AO1145" s="9">
        <v>0.38503984739334401</v>
      </c>
      <c r="AP1145" s="9">
        <v>700.78541816502798</v>
      </c>
      <c r="AQ1145" s="9">
        <v>7.5353270770433101</v>
      </c>
      <c r="AR1145" s="9">
        <v>7.52665856633367</v>
      </c>
      <c r="AS1145" s="8">
        <v>24</v>
      </c>
      <c r="AT1145" s="8">
        <v>3.25</v>
      </c>
      <c r="AU1145" s="10">
        <v>41.523229043057327</v>
      </c>
      <c r="AV1145" s="10">
        <v>41.399052781003007</v>
      </c>
      <c r="AW1145" s="8">
        <v>0.92</v>
      </c>
      <c r="AX1145" s="10">
        <v>1.724960532541792</v>
      </c>
      <c r="BF1145" s="12">
        <v>0.55000000000000004</v>
      </c>
      <c r="BG1145" s="13">
        <v>266.524794456873</v>
      </c>
      <c r="BH1145" s="96" t="str">
        <f>+VLOOKUP(G1145,Liste!$A$7:$G$50,3,FALSE)</f>
        <v>Chêne sessile</v>
      </c>
      <c r="BI1145" s="96" t="str">
        <f>+VLOOKUP(H1145,Liste!$B$7:$G$50,5,FALSE)</f>
        <v>Guide chênaie continentale</v>
      </c>
      <c r="BJ1145" s="135">
        <f t="shared" si="340"/>
        <v>93</v>
      </c>
      <c r="BK1145" s="135" t="str">
        <f t="shared" si="342"/>
        <v>Chêne sessile_F2_Dynamique_Guide chênaie continentale_93_</v>
      </c>
      <c r="BL1145" s="322"/>
      <c r="BM1145" s="13">
        <v>68.388354460501404</v>
      </c>
      <c r="BN1145" s="13">
        <v>334.91314891737397</v>
      </c>
      <c r="BO1145" s="13">
        <v>59.302456268632</v>
      </c>
      <c r="BP1145" s="13">
        <v>305.10291717349702</v>
      </c>
      <c r="BQ1145" s="13">
        <v>8.6752160385922608</v>
      </c>
      <c r="BT1145" s="298" t="str">
        <f>+VLOOKUP(G1145,Liste!$A$7:$H$50,8,FALSE)</f>
        <v>Feuillus</v>
      </c>
      <c r="BU1145" s="298">
        <f t="shared" si="343"/>
        <v>1</v>
      </c>
      <c r="BV1145" s="300">
        <f t="shared" si="344"/>
        <v>0</v>
      </c>
      <c r="BW1145" s="321">
        <v>0</v>
      </c>
      <c r="BX1145" s="298">
        <f t="shared" si="345"/>
        <v>0.25</v>
      </c>
      <c r="BY1145">
        <f t="shared" si="346"/>
        <v>0</v>
      </c>
      <c r="BZ1145" s="304">
        <f t="shared" si="347"/>
        <v>0</v>
      </c>
      <c r="CB1145" s="299">
        <v>0.6</v>
      </c>
      <c r="CC1145" s="299">
        <v>0.4</v>
      </c>
      <c r="CD1145">
        <f t="shared" si="348"/>
        <v>0</v>
      </c>
      <c r="CE1145">
        <f t="shared" si="349"/>
        <v>0</v>
      </c>
      <c r="CF1145">
        <f t="shared" si="350"/>
        <v>0</v>
      </c>
      <c r="CG1145">
        <f t="shared" si="351"/>
        <v>0</v>
      </c>
      <c r="CH1145">
        <f t="shared" si="352"/>
        <v>0</v>
      </c>
      <c r="CI1145">
        <f t="shared" si="353"/>
        <v>0</v>
      </c>
      <c r="CJ1145">
        <f t="shared" si="354"/>
        <v>0</v>
      </c>
      <c r="CK1145">
        <f t="shared" si="355"/>
        <v>0</v>
      </c>
      <c r="CL1145">
        <f t="shared" si="356"/>
        <v>0</v>
      </c>
      <c r="CM1145">
        <f t="shared" si="358"/>
        <v>0</v>
      </c>
      <c r="CN1145">
        <f t="shared" si="357"/>
        <v>0</v>
      </c>
      <c r="CO1145">
        <f t="shared" si="341"/>
        <v>0</v>
      </c>
    </row>
    <row r="1146" spans="1:93" x14ac:dyDescent="0.25">
      <c r="A1146" s="4">
        <v>2021</v>
      </c>
      <c r="B1146" s="318">
        <v>44279</v>
      </c>
      <c r="C1146" s="4" t="s">
        <v>66</v>
      </c>
      <c r="D1146" s="4" t="s">
        <v>1504</v>
      </c>
      <c r="E1146" s="4" t="s">
        <v>87</v>
      </c>
      <c r="F1146" s="4" t="s">
        <v>90</v>
      </c>
      <c r="G1146" s="5" t="s">
        <v>17</v>
      </c>
      <c r="H1146" s="5" t="s">
        <v>22</v>
      </c>
      <c r="I1146" s="5" t="s">
        <v>146</v>
      </c>
      <c r="J1146" s="5" t="s">
        <v>10</v>
      </c>
      <c r="K1146" s="5">
        <v>18</v>
      </c>
      <c r="L1146" s="5" t="s">
        <v>193</v>
      </c>
      <c r="M1146" s="5">
        <v>1666</v>
      </c>
      <c r="N1146" s="5" t="s">
        <v>170</v>
      </c>
      <c r="O1146" s="6" t="s">
        <v>81</v>
      </c>
      <c r="P1146" s="6" t="s">
        <v>1505</v>
      </c>
      <c r="S1146" s="6">
        <v>44</v>
      </c>
      <c r="T1146" s="6">
        <v>16.579999999999998</v>
      </c>
      <c r="U1146" s="6">
        <v>1453</v>
      </c>
      <c r="V1146" s="6">
        <v>26.19</v>
      </c>
      <c r="W1146" s="6">
        <v>41</v>
      </c>
      <c r="X1146" s="6">
        <v>369</v>
      </c>
      <c r="Y1146" s="6">
        <v>713</v>
      </c>
      <c r="Z1146" s="6">
        <v>301</v>
      </c>
      <c r="AA1146" s="6">
        <v>28</v>
      </c>
      <c r="AB1146" s="6">
        <v>0</v>
      </c>
      <c r="AC1146" s="7">
        <v>96</v>
      </c>
      <c r="AD1146" s="7" t="s">
        <v>52</v>
      </c>
      <c r="AE1146" s="7">
        <v>26.22</v>
      </c>
      <c r="AF1146" s="7">
        <v>119</v>
      </c>
      <c r="AG1146" s="7">
        <v>18.93</v>
      </c>
      <c r="AH1146" s="7">
        <v>45</v>
      </c>
      <c r="AI1146" s="7">
        <v>46.08</v>
      </c>
      <c r="AJ1146" s="9">
        <v>244.736173726023</v>
      </c>
      <c r="AK1146" s="9">
        <v>276.11693982975203</v>
      </c>
      <c r="AL1146" s="9">
        <v>300.81377591496198</v>
      </c>
      <c r="AM1146" s="9">
        <v>54.8360847954362</v>
      </c>
      <c r="AN1146" s="9">
        <v>0.57120921661912705</v>
      </c>
      <c r="AO1146" s="9">
        <v>0.400676030505148</v>
      </c>
      <c r="AP1146" s="9">
        <v>723.36539386402899</v>
      </c>
      <c r="AQ1146" s="9">
        <v>7.5350561860836303</v>
      </c>
      <c r="AR1146" s="9">
        <v>7.9201263876665697</v>
      </c>
      <c r="AS1146" s="8" t="s">
        <v>169</v>
      </c>
      <c r="AT1146" s="8" t="s">
        <v>169</v>
      </c>
      <c r="AU1146" s="10" t="s">
        <v>169</v>
      </c>
      <c r="AV1146" s="10">
        <v>0</v>
      </c>
      <c r="AX1146" s="10" t="s">
        <v>169</v>
      </c>
      <c r="BF1146" s="12">
        <v>0.55000000000000004</v>
      </c>
      <c r="BG1146" s="13">
        <v>288.15452951187399</v>
      </c>
      <c r="BH1146" s="96" t="str">
        <f>+VLOOKUP(G1146,Liste!$A$7:$G$50,3,FALSE)</f>
        <v>Chêne sessile</v>
      </c>
      <c r="BI1146" s="96" t="str">
        <f>+VLOOKUP(H1146,Liste!$B$7:$G$50,5,FALSE)</f>
        <v>Guide chênaie continentale</v>
      </c>
      <c r="BJ1146" s="135">
        <f t="shared" si="340"/>
        <v>96</v>
      </c>
      <c r="BK1146" s="135" t="str">
        <f t="shared" si="342"/>
        <v>Chêne sessile_F2_Dynamique_Guide chênaie continentale_96_</v>
      </c>
      <c r="BL1146" s="322"/>
      <c r="BM1146" s="13">
        <v>73.269873838319299</v>
      </c>
      <c r="BN1146" s="13">
        <v>361.42440335019302</v>
      </c>
      <c r="BO1146" s="13" t="s">
        <v>169</v>
      </c>
      <c r="BP1146" s="13">
        <v>305.10291717349702</v>
      </c>
      <c r="BQ1146" s="13">
        <v>9.1229904989522392</v>
      </c>
      <c r="BT1146" s="298" t="str">
        <f>+VLOOKUP(G1146,Liste!$A$7:$H$50,8,FALSE)</f>
        <v>Feuillus</v>
      </c>
      <c r="BU1146" s="298">
        <f t="shared" si="343"/>
        <v>1</v>
      </c>
      <c r="BV1146" s="300">
        <f t="shared" si="344"/>
        <v>0</v>
      </c>
      <c r="BW1146" s="321">
        <v>0</v>
      </c>
      <c r="BX1146" s="298">
        <f t="shared" si="345"/>
        <v>0.25</v>
      </c>
      <c r="BY1146">
        <f t="shared" si="346"/>
        <v>0</v>
      </c>
      <c r="BZ1146" s="304">
        <f t="shared" si="347"/>
        <v>0</v>
      </c>
      <c r="CB1146" s="299">
        <v>0.6</v>
      </c>
      <c r="CC1146" s="299">
        <v>0.4</v>
      </c>
      <c r="CD1146">
        <f t="shared" si="348"/>
        <v>0</v>
      </c>
      <c r="CE1146">
        <f t="shared" si="349"/>
        <v>0</v>
      </c>
      <c r="CF1146">
        <f t="shared" si="350"/>
        <v>0</v>
      </c>
      <c r="CG1146">
        <f t="shared" si="351"/>
        <v>0</v>
      </c>
      <c r="CH1146">
        <f t="shared" si="352"/>
        <v>0</v>
      </c>
      <c r="CI1146">
        <f t="shared" si="353"/>
        <v>0</v>
      </c>
      <c r="CJ1146">
        <f t="shared" si="354"/>
        <v>0</v>
      </c>
      <c r="CK1146">
        <f t="shared" si="355"/>
        <v>0</v>
      </c>
      <c r="CL1146">
        <f t="shared" si="356"/>
        <v>0</v>
      </c>
      <c r="CM1146">
        <f t="shared" si="358"/>
        <v>0</v>
      </c>
      <c r="CN1146">
        <f t="shared" si="357"/>
        <v>0</v>
      </c>
      <c r="CO1146">
        <f t="shared" si="341"/>
        <v>0</v>
      </c>
    </row>
    <row r="1147" spans="1:93" x14ac:dyDescent="0.25">
      <c r="A1147" s="4">
        <v>2021</v>
      </c>
      <c r="B1147" s="318">
        <v>44279</v>
      </c>
      <c r="C1147" s="4" t="s">
        <v>66</v>
      </c>
      <c r="D1147" s="4" t="s">
        <v>1504</v>
      </c>
      <c r="E1147" s="4" t="s">
        <v>87</v>
      </c>
      <c r="F1147" s="4" t="s">
        <v>90</v>
      </c>
      <c r="G1147" s="5" t="s">
        <v>17</v>
      </c>
      <c r="H1147" s="5" t="s">
        <v>22</v>
      </c>
      <c r="I1147" s="5" t="s">
        <v>146</v>
      </c>
      <c r="J1147" s="5" t="s">
        <v>10</v>
      </c>
      <c r="K1147" s="5">
        <v>18</v>
      </c>
      <c r="L1147" s="5" t="s">
        <v>193</v>
      </c>
      <c r="M1147" s="5">
        <v>1666</v>
      </c>
      <c r="N1147" s="5" t="s">
        <v>170</v>
      </c>
      <c r="O1147" s="6" t="s">
        <v>81</v>
      </c>
      <c r="P1147" s="6" t="s">
        <v>1505</v>
      </c>
      <c r="S1147" s="6">
        <v>44</v>
      </c>
      <c r="T1147" s="6">
        <v>16.579999999999998</v>
      </c>
      <c r="U1147" s="6">
        <v>1453</v>
      </c>
      <c r="V1147" s="6">
        <v>26.19</v>
      </c>
      <c r="W1147" s="6">
        <v>41</v>
      </c>
      <c r="X1147" s="6">
        <v>369</v>
      </c>
      <c r="Y1147" s="6">
        <v>713</v>
      </c>
      <c r="Z1147" s="6">
        <v>301</v>
      </c>
      <c r="AA1147" s="6">
        <v>28</v>
      </c>
      <c r="AB1147" s="6">
        <v>0</v>
      </c>
      <c r="AC1147" s="7">
        <v>99</v>
      </c>
      <c r="AD1147" s="7" t="s">
        <v>52</v>
      </c>
      <c r="AE1147" s="7">
        <v>26.62</v>
      </c>
      <c r="AF1147" s="7">
        <v>119</v>
      </c>
      <c r="AG1147" s="7">
        <v>20.13</v>
      </c>
      <c r="AH1147" s="7">
        <v>46.41</v>
      </c>
      <c r="AI1147" s="7">
        <v>47.51</v>
      </c>
      <c r="AJ1147" s="9">
        <v>264.192508899823</v>
      </c>
      <c r="AK1147" s="9">
        <v>298.46671134357899</v>
      </c>
      <c r="AL1147" s="9">
        <v>324.57415507796202</v>
      </c>
      <c r="AM1147" s="9">
        <v>56.038112886951701</v>
      </c>
      <c r="AN1147" s="9">
        <v>0.56604154431264297</v>
      </c>
      <c r="AO1147" s="9">
        <v>0.41670887241438898</v>
      </c>
      <c r="AP1147" s="9">
        <v>747.125773027028</v>
      </c>
      <c r="AQ1147" s="9">
        <v>7.5467249800709899</v>
      </c>
      <c r="AR1147" s="9">
        <v>8.5329864905788799</v>
      </c>
      <c r="AS1147" s="8" t="s">
        <v>169</v>
      </c>
      <c r="AT1147" s="8" t="s">
        <v>169</v>
      </c>
      <c r="AU1147" s="10" t="s">
        <v>169</v>
      </c>
      <c r="AV1147" s="10">
        <v>0</v>
      </c>
      <c r="AX1147" s="10" t="s">
        <v>169</v>
      </c>
      <c r="BF1147" s="12">
        <v>0.55000000000000004</v>
      </c>
      <c r="BG1147" s="13">
        <v>310.91499271843099</v>
      </c>
      <c r="BH1147" s="96" t="str">
        <f>+VLOOKUP(G1147,Liste!$A$7:$G$50,3,FALSE)</f>
        <v>Chêne sessile</v>
      </c>
      <c r="BI1147" s="96" t="str">
        <f>+VLOOKUP(H1147,Liste!$B$7:$G$50,5,FALSE)</f>
        <v>Guide chênaie continentale</v>
      </c>
      <c r="BJ1147" s="135">
        <f t="shared" si="340"/>
        <v>99</v>
      </c>
      <c r="BK1147" s="135" t="str">
        <f t="shared" si="342"/>
        <v>Chêne sessile_F2_Dynamique_Guide chênaie continentale_99_</v>
      </c>
      <c r="BL1147" s="322"/>
      <c r="BM1147" s="13">
        <v>78.360747565792096</v>
      </c>
      <c r="BN1147" s="13">
        <v>389.27574028422299</v>
      </c>
      <c r="BO1147" s="13" t="s">
        <v>169</v>
      </c>
      <c r="BP1147" s="13">
        <v>305.10291717349702</v>
      </c>
      <c r="BQ1147" s="13">
        <v>9.8215146291462592</v>
      </c>
      <c r="BT1147" s="298" t="str">
        <f>+VLOOKUP(G1147,Liste!$A$7:$H$50,8,FALSE)</f>
        <v>Feuillus</v>
      </c>
      <c r="BU1147" s="298">
        <f t="shared" si="343"/>
        <v>1</v>
      </c>
      <c r="BV1147" s="300">
        <f t="shared" si="344"/>
        <v>0</v>
      </c>
      <c r="BW1147" s="321">
        <v>0</v>
      </c>
      <c r="BX1147" s="298">
        <f t="shared" si="345"/>
        <v>0.25</v>
      </c>
      <c r="BY1147">
        <f t="shared" si="346"/>
        <v>0</v>
      </c>
      <c r="BZ1147" s="304">
        <f t="shared" si="347"/>
        <v>0</v>
      </c>
      <c r="CB1147" s="299">
        <v>0.6</v>
      </c>
      <c r="CC1147" s="299">
        <v>0.4</v>
      </c>
      <c r="CD1147">
        <f t="shared" si="348"/>
        <v>0</v>
      </c>
      <c r="CE1147">
        <f t="shared" si="349"/>
        <v>0</v>
      </c>
      <c r="CF1147">
        <f t="shared" si="350"/>
        <v>0</v>
      </c>
      <c r="CG1147">
        <f t="shared" si="351"/>
        <v>0</v>
      </c>
      <c r="CH1147">
        <f t="shared" si="352"/>
        <v>0</v>
      </c>
      <c r="CI1147">
        <f t="shared" si="353"/>
        <v>0</v>
      </c>
      <c r="CJ1147">
        <f t="shared" si="354"/>
        <v>0</v>
      </c>
      <c r="CK1147">
        <f t="shared" si="355"/>
        <v>0</v>
      </c>
      <c r="CL1147">
        <f t="shared" si="356"/>
        <v>0</v>
      </c>
      <c r="CM1147">
        <f t="shared" si="358"/>
        <v>0</v>
      </c>
      <c r="CN1147">
        <f t="shared" si="357"/>
        <v>0</v>
      </c>
      <c r="CO1147">
        <f t="shared" si="341"/>
        <v>0</v>
      </c>
    </row>
    <row r="1148" spans="1:93" x14ac:dyDescent="0.25">
      <c r="A1148" s="4">
        <v>2021</v>
      </c>
      <c r="B1148" s="318">
        <v>44279</v>
      </c>
      <c r="C1148" s="4" t="s">
        <v>66</v>
      </c>
      <c r="D1148" s="4" t="s">
        <v>1504</v>
      </c>
      <c r="E1148" s="4" t="s">
        <v>87</v>
      </c>
      <c r="F1148" s="4" t="s">
        <v>90</v>
      </c>
      <c r="G1148" s="5" t="s">
        <v>17</v>
      </c>
      <c r="H1148" s="5" t="s">
        <v>22</v>
      </c>
      <c r="I1148" s="5" t="s">
        <v>146</v>
      </c>
      <c r="J1148" s="5" t="s">
        <v>10</v>
      </c>
      <c r="K1148" s="5">
        <v>18</v>
      </c>
      <c r="L1148" s="5" t="s">
        <v>193</v>
      </c>
      <c r="M1148" s="5">
        <v>1666</v>
      </c>
      <c r="N1148" s="5" t="s">
        <v>170</v>
      </c>
      <c r="O1148" s="6" t="s">
        <v>81</v>
      </c>
      <c r="P1148" s="6" t="s">
        <v>1505</v>
      </c>
      <c r="S1148" s="6">
        <v>44</v>
      </c>
      <c r="T1148" s="6">
        <v>16.579999999999998</v>
      </c>
      <c r="U1148" s="6">
        <v>1453</v>
      </c>
      <c r="V1148" s="6">
        <v>26.19</v>
      </c>
      <c r="W1148" s="6">
        <v>41</v>
      </c>
      <c r="X1148" s="6">
        <v>369</v>
      </c>
      <c r="Y1148" s="6">
        <v>713</v>
      </c>
      <c r="Z1148" s="6">
        <v>301</v>
      </c>
      <c r="AA1148" s="6">
        <v>28</v>
      </c>
      <c r="AB1148" s="6">
        <v>0</v>
      </c>
      <c r="AC1148" s="7">
        <v>103</v>
      </c>
      <c r="AD1148" s="7" t="s">
        <v>52</v>
      </c>
      <c r="AE1148" s="7">
        <v>27.16</v>
      </c>
      <c r="AF1148" s="7">
        <v>119</v>
      </c>
      <c r="AG1148" s="7">
        <v>21.8</v>
      </c>
      <c r="AH1148" s="7">
        <v>48.29</v>
      </c>
      <c r="AI1148" s="7">
        <v>49.42</v>
      </c>
      <c r="AJ1148" s="9">
        <v>292.35637614036</v>
      </c>
      <c r="AK1148" s="9">
        <v>330.66543504416097</v>
      </c>
      <c r="AL1148" s="9">
        <v>358.70610104027702</v>
      </c>
      <c r="AM1148" s="9">
        <v>57.704948376609202</v>
      </c>
      <c r="AN1148" s="9">
        <v>0.56024221724863299</v>
      </c>
      <c r="AO1148" s="9">
        <v>0.35970098365263198</v>
      </c>
      <c r="AP1148" s="9">
        <v>781.25771898934397</v>
      </c>
      <c r="AQ1148" s="9">
        <v>7.5850263979547901</v>
      </c>
      <c r="AR1148" s="9">
        <v>7.2940569036729404</v>
      </c>
      <c r="AS1148" s="8" t="s">
        <v>169</v>
      </c>
      <c r="AT1148" s="8" t="s">
        <v>169</v>
      </c>
      <c r="AU1148" s="10" t="s">
        <v>169</v>
      </c>
      <c r="AV1148" s="10">
        <v>0</v>
      </c>
      <c r="AX1148" s="10" t="s">
        <v>169</v>
      </c>
      <c r="BF1148" s="12">
        <v>0.55000000000000004</v>
      </c>
      <c r="BG1148" s="13">
        <v>343.61055262149898</v>
      </c>
      <c r="BH1148" s="96" t="str">
        <f>+VLOOKUP(G1148,Liste!$A$7:$G$50,3,FALSE)</f>
        <v>Chêne sessile</v>
      </c>
      <c r="BI1148" s="96" t="str">
        <f>+VLOOKUP(H1148,Liste!$B$7:$G$50,5,FALSE)</f>
        <v>Guide chênaie continentale</v>
      </c>
      <c r="BJ1148" s="135">
        <f t="shared" si="340"/>
        <v>103</v>
      </c>
      <c r="BK1148" s="135" t="str">
        <f t="shared" si="342"/>
        <v>Chêne sessile_F2_Dynamique_Guide chênaie continentale_103_</v>
      </c>
      <c r="BL1148" s="322"/>
      <c r="BM1148" s="13">
        <v>85.5990113559387</v>
      </c>
      <c r="BN1148" s="13">
        <v>429.20956397743703</v>
      </c>
      <c r="BO1148" s="13" t="s">
        <v>169</v>
      </c>
      <c r="BP1148" s="13">
        <v>305.10291717349702</v>
      </c>
      <c r="BQ1148" s="13">
        <v>8.3896020895167602</v>
      </c>
      <c r="BT1148" s="298" t="str">
        <f>+VLOOKUP(G1148,Liste!$A$7:$H$50,8,FALSE)</f>
        <v>Feuillus</v>
      </c>
      <c r="BU1148" s="298">
        <f t="shared" si="343"/>
        <v>1</v>
      </c>
      <c r="BV1148" s="300">
        <f t="shared" si="344"/>
        <v>0</v>
      </c>
      <c r="BW1148" s="321">
        <v>0</v>
      </c>
      <c r="BX1148" s="298">
        <f t="shared" si="345"/>
        <v>0.25</v>
      </c>
      <c r="BY1148">
        <f t="shared" si="346"/>
        <v>0</v>
      </c>
      <c r="BZ1148" s="304">
        <f t="shared" si="347"/>
        <v>0</v>
      </c>
      <c r="CB1148" s="299">
        <v>0.6</v>
      </c>
      <c r="CC1148" s="299">
        <v>0.4</v>
      </c>
      <c r="CD1148">
        <f t="shared" si="348"/>
        <v>0</v>
      </c>
      <c r="CE1148">
        <f t="shared" si="349"/>
        <v>0</v>
      </c>
      <c r="CF1148">
        <f t="shared" si="350"/>
        <v>0</v>
      </c>
      <c r="CG1148">
        <f t="shared" si="351"/>
        <v>0</v>
      </c>
      <c r="CH1148">
        <f t="shared" si="352"/>
        <v>0</v>
      </c>
      <c r="CI1148">
        <f t="shared" si="353"/>
        <v>0</v>
      </c>
      <c r="CJ1148">
        <f t="shared" si="354"/>
        <v>0</v>
      </c>
      <c r="CK1148">
        <f t="shared" si="355"/>
        <v>0</v>
      </c>
      <c r="CL1148">
        <f t="shared" si="356"/>
        <v>0</v>
      </c>
      <c r="CM1148">
        <f t="shared" si="358"/>
        <v>0</v>
      </c>
      <c r="CN1148">
        <f t="shared" si="357"/>
        <v>0</v>
      </c>
      <c r="CO1148">
        <f t="shared" si="341"/>
        <v>0</v>
      </c>
    </row>
    <row r="1149" spans="1:93" x14ac:dyDescent="0.25">
      <c r="A1149" s="4">
        <v>2021</v>
      </c>
      <c r="B1149" s="318">
        <v>44279</v>
      </c>
      <c r="C1149" s="4" t="s">
        <v>66</v>
      </c>
      <c r="D1149" s="4" t="s">
        <v>1504</v>
      </c>
      <c r="E1149" s="4" t="s">
        <v>87</v>
      </c>
      <c r="F1149" s="4" t="s">
        <v>90</v>
      </c>
      <c r="G1149" s="5" t="s">
        <v>17</v>
      </c>
      <c r="H1149" s="5" t="s">
        <v>22</v>
      </c>
      <c r="I1149" s="5" t="s">
        <v>146</v>
      </c>
      <c r="J1149" s="5" t="s">
        <v>10</v>
      </c>
      <c r="K1149" s="5">
        <v>18</v>
      </c>
      <c r="L1149" s="5" t="s">
        <v>193</v>
      </c>
      <c r="M1149" s="5">
        <v>1666</v>
      </c>
      <c r="N1149" s="5" t="s">
        <v>170</v>
      </c>
      <c r="O1149" s="6" t="s">
        <v>81</v>
      </c>
      <c r="P1149" s="6" t="s">
        <v>1505</v>
      </c>
      <c r="S1149" s="6">
        <v>44</v>
      </c>
      <c r="T1149" s="6">
        <v>16.579999999999998</v>
      </c>
      <c r="U1149" s="6">
        <v>1453</v>
      </c>
      <c r="V1149" s="6">
        <v>26.19</v>
      </c>
      <c r="W1149" s="6">
        <v>41</v>
      </c>
      <c r="X1149" s="6">
        <v>369</v>
      </c>
      <c r="Y1149" s="6">
        <v>713</v>
      </c>
      <c r="Z1149" s="6">
        <v>301</v>
      </c>
      <c r="AA1149" s="6">
        <v>28</v>
      </c>
      <c r="AB1149" s="6">
        <v>0</v>
      </c>
      <c r="AC1149" s="7">
        <v>103</v>
      </c>
      <c r="AD1149" s="7" t="s">
        <v>53</v>
      </c>
      <c r="AE1149" s="7">
        <v>27.16</v>
      </c>
      <c r="AF1149" s="7">
        <v>97</v>
      </c>
      <c r="AG1149" s="7">
        <v>18.23</v>
      </c>
      <c r="AH1149" s="7">
        <v>48.91</v>
      </c>
      <c r="AI1149" s="7">
        <v>48.91</v>
      </c>
      <c r="AJ1149" s="9">
        <v>244.53394609099101</v>
      </c>
      <c r="AK1149" s="9">
        <v>277.07569902496402</v>
      </c>
      <c r="AL1149" s="9">
        <v>300.49756536195099</v>
      </c>
      <c r="AM1149" s="9">
        <v>57.704948376609202</v>
      </c>
      <c r="AN1149" s="9">
        <v>0.56024221724863299</v>
      </c>
      <c r="AO1149" s="9">
        <v>0.35970098365263198</v>
      </c>
      <c r="AP1149" s="9">
        <v>781.25771898934397</v>
      </c>
      <c r="AQ1149" s="9">
        <v>7.5850263979547901</v>
      </c>
      <c r="AR1149" s="9">
        <v>7.2940569036729404</v>
      </c>
      <c r="AS1149" s="8">
        <v>22</v>
      </c>
      <c r="AT1149" s="8">
        <v>3.5700000000000003</v>
      </c>
      <c r="AU1149" s="10">
        <v>45.454598600764314</v>
      </c>
      <c r="AV1149" s="10">
        <v>47.82243004936899</v>
      </c>
      <c r="AW1149" s="8">
        <v>0.89</v>
      </c>
      <c r="AX1149" s="10">
        <v>2.1737468204258632</v>
      </c>
      <c r="BF1149" s="12">
        <v>0.55000000000000004</v>
      </c>
      <c r="BG1149" s="13">
        <v>287.851626152969</v>
      </c>
      <c r="BH1149" s="96" t="str">
        <f>+VLOOKUP(G1149,Liste!$A$7:$G$50,3,FALSE)</f>
        <v>Chêne sessile</v>
      </c>
      <c r="BI1149" s="96" t="str">
        <f>+VLOOKUP(H1149,Liste!$B$7:$G$50,5,FALSE)</f>
        <v>Guide chênaie continentale</v>
      </c>
      <c r="BJ1149" s="135">
        <f t="shared" si="340"/>
        <v>103</v>
      </c>
      <c r="BK1149" s="135" t="str">
        <f t="shared" si="342"/>
        <v>Chêne sessile_F2_Dynamique_Guide chênaie continentale_103_</v>
      </c>
      <c r="BL1149" s="322"/>
      <c r="BM1149" s="13">
        <v>73.201814712147097</v>
      </c>
      <c r="BN1149" s="13">
        <v>361.05344086511599</v>
      </c>
      <c r="BO1149" s="13">
        <v>68.15612311232104</v>
      </c>
      <c r="BP1149" s="13">
        <v>305.10291717349702</v>
      </c>
      <c r="BQ1149" s="13">
        <v>8.3896020895167602</v>
      </c>
      <c r="BT1149" s="298" t="str">
        <f>+VLOOKUP(G1149,Liste!$A$7:$H$50,8,FALSE)</f>
        <v>Feuillus</v>
      </c>
      <c r="BU1149" s="298">
        <f t="shared" si="343"/>
        <v>1</v>
      </c>
      <c r="BV1149" s="300">
        <f t="shared" si="344"/>
        <v>0</v>
      </c>
      <c r="BW1149" s="321">
        <v>0</v>
      </c>
      <c r="BX1149" s="298">
        <f t="shared" si="345"/>
        <v>0.25</v>
      </c>
      <c r="BY1149">
        <f t="shared" si="346"/>
        <v>0</v>
      </c>
      <c r="BZ1149" s="304">
        <f t="shared" si="347"/>
        <v>0</v>
      </c>
      <c r="CB1149" s="299">
        <v>0.6</v>
      </c>
      <c r="CC1149" s="299">
        <v>0.4</v>
      </c>
      <c r="CD1149">
        <f t="shared" si="348"/>
        <v>0</v>
      </c>
      <c r="CE1149">
        <f t="shared" si="349"/>
        <v>0</v>
      </c>
      <c r="CF1149">
        <f t="shared" si="350"/>
        <v>0</v>
      </c>
      <c r="CG1149">
        <f t="shared" si="351"/>
        <v>0</v>
      </c>
      <c r="CH1149">
        <f t="shared" si="352"/>
        <v>0</v>
      </c>
      <c r="CI1149">
        <f t="shared" si="353"/>
        <v>0</v>
      </c>
      <c r="CJ1149">
        <f t="shared" si="354"/>
        <v>0</v>
      </c>
      <c r="CK1149">
        <f t="shared" si="355"/>
        <v>0</v>
      </c>
      <c r="CL1149">
        <f t="shared" si="356"/>
        <v>0</v>
      </c>
      <c r="CM1149">
        <f t="shared" si="358"/>
        <v>0</v>
      </c>
      <c r="CN1149">
        <f t="shared" si="357"/>
        <v>0</v>
      </c>
      <c r="CO1149">
        <f t="shared" si="341"/>
        <v>0</v>
      </c>
    </row>
    <row r="1150" spans="1:93" x14ac:dyDescent="0.25">
      <c r="A1150" s="4">
        <v>2021</v>
      </c>
      <c r="B1150" s="318">
        <v>44279</v>
      </c>
      <c r="C1150" s="4" t="s">
        <v>66</v>
      </c>
      <c r="D1150" s="4" t="s">
        <v>1504</v>
      </c>
      <c r="E1150" s="4" t="s">
        <v>87</v>
      </c>
      <c r="F1150" s="4" t="s">
        <v>90</v>
      </c>
      <c r="G1150" s="5" t="s">
        <v>17</v>
      </c>
      <c r="H1150" s="5" t="s">
        <v>22</v>
      </c>
      <c r="I1150" s="5" t="s">
        <v>146</v>
      </c>
      <c r="J1150" s="5" t="s">
        <v>10</v>
      </c>
      <c r="K1150" s="5">
        <v>18</v>
      </c>
      <c r="L1150" s="5" t="s">
        <v>193</v>
      </c>
      <c r="M1150" s="5">
        <v>1666</v>
      </c>
      <c r="N1150" s="5" t="s">
        <v>170</v>
      </c>
      <c r="O1150" s="6" t="s">
        <v>81</v>
      </c>
      <c r="P1150" s="6" t="s">
        <v>1505</v>
      </c>
      <c r="S1150" s="6">
        <v>44</v>
      </c>
      <c r="T1150" s="6">
        <v>16.579999999999998</v>
      </c>
      <c r="U1150" s="6">
        <v>1453</v>
      </c>
      <c r="V1150" s="6">
        <v>26.19</v>
      </c>
      <c r="W1150" s="6">
        <v>41</v>
      </c>
      <c r="X1150" s="6">
        <v>369</v>
      </c>
      <c r="Y1150" s="6">
        <v>713</v>
      </c>
      <c r="Z1150" s="6">
        <v>301</v>
      </c>
      <c r="AA1150" s="6">
        <v>28</v>
      </c>
      <c r="AB1150" s="6">
        <v>0</v>
      </c>
      <c r="AC1150" s="7">
        <v>106</v>
      </c>
      <c r="AD1150" s="7" t="s">
        <v>52</v>
      </c>
      <c r="AE1150" s="7">
        <v>27.53</v>
      </c>
      <c r="AF1150" s="7">
        <v>97</v>
      </c>
      <c r="AG1150" s="7">
        <v>19.309999999999999</v>
      </c>
      <c r="AH1150" s="7">
        <v>50.34</v>
      </c>
      <c r="AI1150" s="7">
        <v>50.34</v>
      </c>
      <c r="AJ1150" s="9">
        <v>262.37406474240402</v>
      </c>
      <c r="AK1150" s="9">
        <v>297.69996742228699</v>
      </c>
      <c r="AL1150" s="9">
        <v>322.37973607296999</v>
      </c>
      <c r="AM1150" s="9">
        <v>58.784051327567099</v>
      </c>
      <c r="AN1150" s="9">
        <v>0.55456652195818001</v>
      </c>
      <c r="AO1150" s="9">
        <v>0.37444273962799202</v>
      </c>
      <c r="AP1150" s="9">
        <v>803.13988970036303</v>
      </c>
      <c r="AQ1150" s="9">
        <v>7.5767914122675704</v>
      </c>
      <c r="AR1150" s="9">
        <v>7.7887115441937302</v>
      </c>
      <c r="AS1150" s="8" t="s">
        <v>169</v>
      </c>
      <c r="AT1150" s="8" t="s">
        <v>169</v>
      </c>
      <c r="AU1150" s="10" t="s">
        <v>169</v>
      </c>
      <c r="AV1150" s="10">
        <v>0</v>
      </c>
      <c r="AX1150" s="10" t="s">
        <v>169</v>
      </c>
      <c r="BF1150" s="12">
        <v>0.55000000000000004</v>
      </c>
      <c r="BG1150" s="13">
        <v>308.81292217989898</v>
      </c>
      <c r="BH1150" s="96" t="str">
        <f>+VLOOKUP(G1150,Liste!$A$7:$G$50,3,FALSE)</f>
        <v>Chêne sessile</v>
      </c>
      <c r="BI1150" s="96" t="str">
        <f>+VLOOKUP(H1150,Liste!$B$7:$G$50,5,FALSE)</f>
        <v>Guide chênaie continentale</v>
      </c>
      <c r="BJ1150" s="135">
        <f t="shared" si="340"/>
        <v>106</v>
      </c>
      <c r="BK1150" s="135" t="str">
        <f t="shared" si="342"/>
        <v>Chêne sessile_F2_Dynamique_Guide chênaie continentale_106_</v>
      </c>
      <c r="BL1150" s="322"/>
      <c r="BM1150" s="13">
        <v>77.892439988690896</v>
      </c>
      <c r="BN1150" s="13">
        <v>386.70536216859</v>
      </c>
      <c r="BO1150" s="13" t="s">
        <v>169</v>
      </c>
      <c r="BP1150" s="13">
        <v>305.10291717349702</v>
      </c>
      <c r="BQ1150" s="13">
        <v>8.9536522131522798</v>
      </c>
      <c r="BT1150" s="298" t="str">
        <f>+VLOOKUP(G1150,Liste!$A$7:$H$50,8,FALSE)</f>
        <v>Feuillus</v>
      </c>
      <c r="BU1150" s="298">
        <f t="shared" si="343"/>
        <v>1</v>
      </c>
      <c r="BV1150" s="300">
        <f t="shared" si="344"/>
        <v>0</v>
      </c>
      <c r="BW1150" s="321">
        <v>0</v>
      </c>
      <c r="BX1150" s="298">
        <f t="shared" si="345"/>
        <v>0.25</v>
      </c>
      <c r="BY1150">
        <f t="shared" si="346"/>
        <v>0</v>
      </c>
      <c r="BZ1150" s="304">
        <f t="shared" si="347"/>
        <v>0</v>
      </c>
      <c r="CB1150" s="299">
        <v>0.6</v>
      </c>
      <c r="CC1150" s="299">
        <v>0.4</v>
      </c>
      <c r="CD1150">
        <f t="shared" si="348"/>
        <v>0</v>
      </c>
      <c r="CE1150">
        <f t="shared" si="349"/>
        <v>0</v>
      </c>
      <c r="CF1150">
        <f t="shared" si="350"/>
        <v>0</v>
      </c>
      <c r="CG1150">
        <f t="shared" si="351"/>
        <v>0</v>
      </c>
      <c r="CH1150">
        <f t="shared" si="352"/>
        <v>0</v>
      </c>
      <c r="CI1150">
        <f t="shared" si="353"/>
        <v>0</v>
      </c>
      <c r="CJ1150">
        <f t="shared" si="354"/>
        <v>0</v>
      </c>
      <c r="CK1150">
        <f t="shared" si="355"/>
        <v>0</v>
      </c>
      <c r="CL1150">
        <f t="shared" si="356"/>
        <v>0</v>
      </c>
      <c r="CM1150">
        <f t="shared" si="358"/>
        <v>0</v>
      </c>
      <c r="CN1150">
        <f t="shared" si="357"/>
        <v>0</v>
      </c>
      <c r="CO1150">
        <f t="shared" si="341"/>
        <v>0</v>
      </c>
    </row>
    <row r="1151" spans="1:93" x14ac:dyDescent="0.25">
      <c r="A1151" s="4">
        <v>2021</v>
      </c>
      <c r="B1151" s="318">
        <v>44279</v>
      </c>
      <c r="C1151" s="4" t="s">
        <v>66</v>
      </c>
      <c r="D1151" s="4" t="s">
        <v>1504</v>
      </c>
      <c r="E1151" s="4" t="s">
        <v>87</v>
      </c>
      <c r="F1151" s="4" t="s">
        <v>90</v>
      </c>
      <c r="G1151" s="5" t="s">
        <v>17</v>
      </c>
      <c r="H1151" s="5" t="s">
        <v>22</v>
      </c>
      <c r="I1151" s="5" t="s">
        <v>146</v>
      </c>
      <c r="J1151" s="5" t="s">
        <v>10</v>
      </c>
      <c r="K1151" s="5">
        <v>18</v>
      </c>
      <c r="L1151" s="5" t="s">
        <v>193</v>
      </c>
      <c r="M1151" s="5">
        <v>1666</v>
      </c>
      <c r="N1151" s="5" t="s">
        <v>170</v>
      </c>
      <c r="O1151" s="6" t="s">
        <v>81</v>
      </c>
      <c r="P1151" s="6" t="s">
        <v>1505</v>
      </c>
      <c r="S1151" s="6">
        <v>44</v>
      </c>
      <c r="T1151" s="6">
        <v>16.579999999999998</v>
      </c>
      <c r="U1151" s="6">
        <v>1453</v>
      </c>
      <c r="V1151" s="6">
        <v>26.19</v>
      </c>
      <c r="W1151" s="6">
        <v>41</v>
      </c>
      <c r="X1151" s="6">
        <v>369</v>
      </c>
      <c r="Y1151" s="6">
        <v>713</v>
      </c>
      <c r="Z1151" s="6">
        <v>301</v>
      </c>
      <c r="AA1151" s="6">
        <v>28</v>
      </c>
      <c r="AB1151" s="6">
        <v>0</v>
      </c>
      <c r="AC1151" s="7">
        <v>109</v>
      </c>
      <c r="AD1151" s="7" t="s">
        <v>52</v>
      </c>
      <c r="AE1151" s="7">
        <v>27.9</v>
      </c>
      <c r="AF1151" s="7">
        <v>97</v>
      </c>
      <c r="AG1151" s="7">
        <v>20.43</v>
      </c>
      <c r="AH1151" s="7">
        <v>51.78</v>
      </c>
      <c r="AI1151" s="7">
        <v>51.78</v>
      </c>
      <c r="AJ1151" s="9">
        <v>281.52208614611197</v>
      </c>
      <c r="AK1151" s="9">
        <v>319.76776213408402</v>
      </c>
      <c r="AL1151" s="9">
        <v>345.745870705551</v>
      </c>
      <c r="AM1151" s="9">
        <v>59.907379546451097</v>
      </c>
      <c r="AN1151" s="9">
        <v>0.54960898666468905</v>
      </c>
      <c r="AO1151" s="9">
        <v>0.388889515761146</v>
      </c>
      <c r="AP1151" s="9">
        <v>826.50602433294398</v>
      </c>
      <c r="AQ1151" s="9">
        <v>7.5826240764490302</v>
      </c>
      <c r="AR1151" s="9">
        <v>8.2705147836171893</v>
      </c>
      <c r="AS1151" s="8" t="s">
        <v>169</v>
      </c>
      <c r="AT1151" s="8" t="s">
        <v>169</v>
      </c>
      <c r="AU1151" s="10" t="s">
        <v>169</v>
      </c>
      <c r="AV1151" s="10">
        <v>0</v>
      </c>
      <c r="AX1151" s="10" t="s">
        <v>169</v>
      </c>
      <c r="BF1151" s="12">
        <v>0.55000000000000004</v>
      </c>
      <c r="BG1151" s="13">
        <v>331.19573198002598</v>
      </c>
      <c r="BH1151" s="96" t="str">
        <f>+VLOOKUP(G1151,Liste!$A$7:$G$50,3,FALSE)</f>
        <v>Chêne sessile</v>
      </c>
      <c r="BI1151" s="96" t="str">
        <f>+VLOOKUP(H1151,Liste!$B$7:$G$50,5,FALSE)</f>
        <v>Guide chênaie continentale</v>
      </c>
      <c r="BJ1151" s="135">
        <f t="shared" si="340"/>
        <v>109</v>
      </c>
      <c r="BK1151" s="135" t="str">
        <f t="shared" si="342"/>
        <v>Chêne sessile_F2_Dynamique_Guide chênaie continentale_109_</v>
      </c>
      <c r="BL1151" s="322"/>
      <c r="BM1151" s="13">
        <v>82.8604455672466</v>
      </c>
      <c r="BN1151" s="13">
        <v>414.056177547272</v>
      </c>
      <c r="BO1151" s="13" t="s">
        <v>169</v>
      </c>
      <c r="BP1151" s="13">
        <v>305.10291717349702</v>
      </c>
      <c r="BQ1151" s="13">
        <v>9.5012536990123202</v>
      </c>
      <c r="BT1151" s="298" t="str">
        <f>+VLOOKUP(G1151,Liste!$A$7:$H$50,8,FALSE)</f>
        <v>Feuillus</v>
      </c>
      <c r="BU1151" s="298">
        <f t="shared" si="343"/>
        <v>1</v>
      </c>
      <c r="BV1151" s="300">
        <f t="shared" si="344"/>
        <v>0</v>
      </c>
      <c r="BW1151" s="321">
        <v>0</v>
      </c>
      <c r="BX1151" s="298">
        <f t="shared" si="345"/>
        <v>0.25</v>
      </c>
      <c r="BY1151">
        <f t="shared" si="346"/>
        <v>0</v>
      </c>
      <c r="BZ1151" s="304">
        <f t="shared" si="347"/>
        <v>0</v>
      </c>
      <c r="CB1151" s="299">
        <v>0.6</v>
      </c>
      <c r="CC1151" s="299">
        <v>0.4</v>
      </c>
      <c r="CD1151">
        <f t="shared" si="348"/>
        <v>0</v>
      </c>
      <c r="CE1151">
        <f t="shared" si="349"/>
        <v>0</v>
      </c>
      <c r="CF1151">
        <f t="shared" si="350"/>
        <v>0</v>
      </c>
      <c r="CG1151">
        <f t="shared" si="351"/>
        <v>0</v>
      </c>
      <c r="CH1151">
        <f t="shared" si="352"/>
        <v>0</v>
      </c>
      <c r="CI1151">
        <f t="shared" si="353"/>
        <v>0</v>
      </c>
      <c r="CJ1151">
        <f t="shared" si="354"/>
        <v>0</v>
      </c>
      <c r="CK1151">
        <f t="shared" si="355"/>
        <v>0</v>
      </c>
      <c r="CL1151">
        <f t="shared" si="356"/>
        <v>0</v>
      </c>
      <c r="CM1151">
        <f t="shared" si="358"/>
        <v>0</v>
      </c>
      <c r="CN1151">
        <f t="shared" si="357"/>
        <v>0</v>
      </c>
      <c r="CO1151">
        <f t="shared" si="341"/>
        <v>0</v>
      </c>
    </row>
    <row r="1152" spans="1:93" x14ac:dyDescent="0.25">
      <c r="A1152" s="4">
        <v>2021</v>
      </c>
      <c r="B1152" s="318">
        <v>44279</v>
      </c>
      <c r="C1152" s="4" t="s">
        <v>66</v>
      </c>
      <c r="D1152" s="4" t="s">
        <v>1504</v>
      </c>
      <c r="E1152" s="4" t="s">
        <v>87</v>
      </c>
      <c r="F1152" s="4" t="s">
        <v>90</v>
      </c>
      <c r="G1152" s="5" t="s">
        <v>17</v>
      </c>
      <c r="H1152" s="5" t="s">
        <v>22</v>
      </c>
      <c r="I1152" s="5" t="s">
        <v>146</v>
      </c>
      <c r="J1152" s="5" t="s">
        <v>10</v>
      </c>
      <c r="K1152" s="5">
        <v>18</v>
      </c>
      <c r="L1152" s="5" t="s">
        <v>193</v>
      </c>
      <c r="M1152" s="5">
        <v>1666</v>
      </c>
      <c r="N1152" s="5" t="s">
        <v>170</v>
      </c>
      <c r="O1152" s="6" t="s">
        <v>81</v>
      </c>
      <c r="P1152" s="6" t="s">
        <v>1505</v>
      </c>
      <c r="S1152" s="6">
        <v>44</v>
      </c>
      <c r="T1152" s="6">
        <v>16.579999999999998</v>
      </c>
      <c r="U1152" s="6">
        <v>1453</v>
      </c>
      <c r="V1152" s="6">
        <v>26.19</v>
      </c>
      <c r="W1152" s="6">
        <v>41</v>
      </c>
      <c r="X1152" s="6">
        <v>369</v>
      </c>
      <c r="Y1152" s="6">
        <v>713</v>
      </c>
      <c r="Z1152" s="6">
        <v>301</v>
      </c>
      <c r="AA1152" s="6">
        <v>28</v>
      </c>
      <c r="AB1152" s="6">
        <v>0</v>
      </c>
      <c r="AC1152" s="7">
        <v>113</v>
      </c>
      <c r="AD1152" s="7" t="s">
        <v>52</v>
      </c>
      <c r="AE1152" s="7">
        <v>28.42</v>
      </c>
      <c r="AF1152" s="7">
        <v>97</v>
      </c>
      <c r="AG1152" s="7">
        <v>21.98</v>
      </c>
      <c r="AH1152" s="7">
        <v>53.72</v>
      </c>
      <c r="AI1152" s="7">
        <v>53.72</v>
      </c>
      <c r="AJ1152" s="9">
        <v>308.71339475004402</v>
      </c>
      <c r="AK1152" s="9">
        <v>351.06466645945301</v>
      </c>
      <c r="AL1152" s="9">
        <v>378.82792984001998</v>
      </c>
      <c r="AM1152" s="9">
        <v>61.462937609495697</v>
      </c>
      <c r="AN1152" s="9">
        <v>0.54391980185394395</v>
      </c>
      <c r="AO1152" s="9">
        <v>0.34974314286839597</v>
      </c>
      <c r="AP1152" s="9">
        <v>859.58808346741296</v>
      </c>
      <c r="AQ1152" s="9">
        <v>7.6069741899771</v>
      </c>
      <c r="AR1152" s="9">
        <v>7.4590232136922596</v>
      </c>
      <c r="AS1152" s="8" t="s">
        <v>169</v>
      </c>
      <c r="AT1152" s="8" t="s">
        <v>169</v>
      </c>
      <c r="AU1152" s="10" t="s">
        <v>169</v>
      </c>
      <c r="AV1152" s="10">
        <v>0</v>
      </c>
      <c r="AX1152" s="10" t="s">
        <v>169</v>
      </c>
      <c r="BF1152" s="12">
        <v>0.55000000000000004</v>
      </c>
      <c r="BG1152" s="13">
        <v>362.885587792585</v>
      </c>
      <c r="BH1152" s="96" t="str">
        <f>+VLOOKUP(G1152,Liste!$A$7:$G$50,3,FALSE)</f>
        <v>Chêne sessile</v>
      </c>
      <c r="BI1152" s="96" t="str">
        <f>+VLOOKUP(H1152,Liste!$B$7:$G$50,5,FALSE)</f>
        <v>Guide chênaie continentale</v>
      </c>
      <c r="BJ1152" s="135">
        <f t="shared" si="340"/>
        <v>113</v>
      </c>
      <c r="BK1152" s="135" t="str">
        <f t="shared" si="342"/>
        <v>Chêne sessile_F2_Dynamique_Guide chênaie continentale_113_</v>
      </c>
      <c r="BL1152" s="322"/>
      <c r="BM1152" s="13">
        <v>89.828246148553504</v>
      </c>
      <c r="BN1152" s="13">
        <v>452.713833941139</v>
      </c>
      <c r="BO1152" s="13" t="s">
        <v>169</v>
      </c>
      <c r="BP1152" s="13">
        <v>305.10291717349702</v>
      </c>
      <c r="BQ1152" s="13">
        <v>8.5636432614659608</v>
      </c>
      <c r="BT1152" s="298" t="str">
        <f>+VLOOKUP(G1152,Liste!$A$7:$H$50,8,FALSE)</f>
        <v>Feuillus</v>
      </c>
      <c r="BU1152" s="298">
        <f t="shared" si="343"/>
        <v>1</v>
      </c>
      <c r="BV1152" s="300">
        <f t="shared" si="344"/>
        <v>0</v>
      </c>
      <c r="BW1152" s="321">
        <v>0</v>
      </c>
      <c r="BX1152" s="298">
        <f t="shared" si="345"/>
        <v>0.25</v>
      </c>
      <c r="BY1152">
        <f t="shared" si="346"/>
        <v>0</v>
      </c>
      <c r="BZ1152" s="304">
        <f t="shared" si="347"/>
        <v>0</v>
      </c>
      <c r="CB1152" s="299">
        <v>0.6</v>
      </c>
      <c r="CC1152" s="299">
        <v>0.4</v>
      </c>
      <c r="CD1152">
        <f t="shared" si="348"/>
        <v>0</v>
      </c>
      <c r="CE1152">
        <f t="shared" si="349"/>
        <v>0</v>
      </c>
      <c r="CF1152">
        <f t="shared" si="350"/>
        <v>0</v>
      </c>
      <c r="CG1152">
        <f t="shared" si="351"/>
        <v>0</v>
      </c>
      <c r="CH1152">
        <f t="shared" si="352"/>
        <v>0</v>
      </c>
      <c r="CI1152">
        <f t="shared" si="353"/>
        <v>0</v>
      </c>
      <c r="CJ1152">
        <f t="shared" si="354"/>
        <v>0</v>
      </c>
      <c r="CK1152">
        <f t="shared" si="355"/>
        <v>0</v>
      </c>
      <c r="CL1152">
        <f t="shared" si="356"/>
        <v>0</v>
      </c>
      <c r="CM1152">
        <f t="shared" si="358"/>
        <v>0</v>
      </c>
      <c r="CN1152">
        <f t="shared" si="357"/>
        <v>0</v>
      </c>
      <c r="CO1152">
        <f t="shared" si="341"/>
        <v>0</v>
      </c>
    </row>
    <row r="1153" spans="1:93" x14ac:dyDescent="0.25">
      <c r="A1153" s="4">
        <v>2021</v>
      </c>
      <c r="B1153" s="318">
        <v>44279</v>
      </c>
      <c r="C1153" s="4" t="s">
        <v>66</v>
      </c>
      <c r="D1153" s="4" t="s">
        <v>1504</v>
      </c>
      <c r="E1153" s="4" t="s">
        <v>87</v>
      </c>
      <c r="F1153" s="4" t="s">
        <v>90</v>
      </c>
      <c r="G1153" s="5" t="s">
        <v>17</v>
      </c>
      <c r="H1153" s="5" t="s">
        <v>22</v>
      </c>
      <c r="I1153" s="5" t="s">
        <v>146</v>
      </c>
      <c r="J1153" s="5" t="s">
        <v>10</v>
      </c>
      <c r="K1153" s="5">
        <v>18</v>
      </c>
      <c r="L1153" s="5" t="s">
        <v>193</v>
      </c>
      <c r="M1153" s="5">
        <v>1666</v>
      </c>
      <c r="N1153" s="5" t="s">
        <v>170</v>
      </c>
      <c r="O1153" s="6" t="s">
        <v>81</v>
      </c>
      <c r="P1153" s="6" t="s">
        <v>1505</v>
      </c>
      <c r="S1153" s="6">
        <v>44</v>
      </c>
      <c r="T1153" s="6">
        <v>16.579999999999998</v>
      </c>
      <c r="U1153" s="6">
        <v>1453</v>
      </c>
      <c r="V1153" s="6">
        <v>26.19</v>
      </c>
      <c r="W1153" s="6">
        <v>41</v>
      </c>
      <c r="X1153" s="6">
        <v>369</v>
      </c>
      <c r="Y1153" s="6">
        <v>713</v>
      </c>
      <c r="Z1153" s="6">
        <v>301</v>
      </c>
      <c r="AA1153" s="6">
        <v>28</v>
      </c>
      <c r="AB1153" s="6">
        <v>0</v>
      </c>
      <c r="AC1153" s="7">
        <v>113</v>
      </c>
      <c r="AD1153" s="7" t="s">
        <v>53</v>
      </c>
      <c r="AE1153" s="7">
        <v>28.42</v>
      </c>
      <c r="AF1153" s="7">
        <v>83</v>
      </c>
      <c r="AG1153" s="7">
        <v>19.11</v>
      </c>
      <c r="AH1153" s="7">
        <v>54.14</v>
      </c>
      <c r="AI1153" s="7">
        <v>54.14</v>
      </c>
      <c r="AJ1153" s="9">
        <v>268.32327924650002</v>
      </c>
      <c r="AK1153" s="9">
        <v>305.50024099099397</v>
      </c>
      <c r="AL1153" s="9">
        <v>329.61446460064502</v>
      </c>
      <c r="AM1153" s="9">
        <v>61.462937609495697</v>
      </c>
      <c r="AN1153" s="9">
        <v>0.54391980185394395</v>
      </c>
      <c r="AO1153" s="9">
        <v>0.34974314286839597</v>
      </c>
      <c r="AP1153" s="9">
        <v>859.58808346741296</v>
      </c>
      <c r="AQ1153" s="9">
        <v>7.6069741899771</v>
      </c>
      <c r="AR1153" s="9">
        <v>7.4590232136922596</v>
      </c>
      <c r="AS1153" s="8">
        <v>14</v>
      </c>
      <c r="AT1153" s="8">
        <v>2.870000000000001</v>
      </c>
      <c r="AU1153" s="10">
        <v>51.089539699502915</v>
      </c>
      <c r="AV1153" s="10">
        <v>40.390115503543996</v>
      </c>
      <c r="AW1153" s="8">
        <v>0.91</v>
      </c>
      <c r="AX1153" s="10">
        <v>2.8850082502531427</v>
      </c>
      <c r="BF1153" s="12">
        <v>0.55000000000000004</v>
      </c>
      <c r="BG1153" s="13">
        <v>315.74318921536798</v>
      </c>
      <c r="BH1153" s="96" t="str">
        <f>+VLOOKUP(G1153,Liste!$A$7:$G$50,3,FALSE)</f>
        <v>Chêne sessile</v>
      </c>
      <c r="BI1153" s="96" t="str">
        <f>+VLOOKUP(H1153,Liste!$B$7:$G$50,5,FALSE)</f>
        <v>Guide chênaie continentale</v>
      </c>
      <c r="BJ1153" s="135">
        <f t="shared" si="340"/>
        <v>113</v>
      </c>
      <c r="BK1153" s="135" t="str">
        <f t="shared" si="342"/>
        <v>Chêne sessile_F2_Dynamique_Guide chênaie continentale_113_</v>
      </c>
      <c r="BL1153" s="322"/>
      <c r="BM1153" s="13">
        <v>79.435001898719307</v>
      </c>
      <c r="BN1153" s="13">
        <v>395.17819111408699</v>
      </c>
      <c r="BO1153" s="13">
        <v>57.535642827052015</v>
      </c>
      <c r="BP1153" s="13">
        <v>305.10291717349702</v>
      </c>
      <c r="BQ1153" s="13">
        <v>8.5636432614659608</v>
      </c>
      <c r="BT1153" s="298" t="str">
        <f>+VLOOKUP(G1153,Liste!$A$7:$H$50,8,FALSE)</f>
        <v>Feuillus</v>
      </c>
      <c r="BU1153" s="298">
        <f t="shared" si="343"/>
        <v>1</v>
      </c>
      <c r="BV1153" s="300">
        <f t="shared" si="344"/>
        <v>0</v>
      </c>
      <c r="BW1153" s="321">
        <v>0</v>
      </c>
      <c r="BX1153" s="298">
        <f t="shared" si="345"/>
        <v>0.25</v>
      </c>
      <c r="BY1153">
        <f t="shared" si="346"/>
        <v>0</v>
      </c>
      <c r="BZ1153" s="304">
        <f t="shared" si="347"/>
        <v>0</v>
      </c>
      <c r="CB1153" s="299">
        <v>0.6</v>
      </c>
      <c r="CC1153" s="299">
        <v>0.4</v>
      </c>
      <c r="CD1153">
        <f t="shared" si="348"/>
        <v>0</v>
      </c>
      <c r="CE1153">
        <f t="shared" si="349"/>
        <v>0</v>
      </c>
      <c r="CF1153">
        <f t="shared" si="350"/>
        <v>0</v>
      </c>
      <c r="CG1153">
        <f t="shared" si="351"/>
        <v>0</v>
      </c>
      <c r="CH1153">
        <f t="shared" si="352"/>
        <v>0</v>
      </c>
      <c r="CI1153">
        <f t="shared" si="353"/>
        <v>0</v>
      </c>
      <c r="CJ1153">
        <f t="shared" si="354"/>
        <v>0</v>
      </c>
      <c r="CK1153">
        <f t="shared" si="355"/>
        <v>0</v>
      </c>
      <c r="CL1153">
        <f t="shared" si="356"/>
        <v>0</v>
      </c>
      <c r="CM1153">
        <f t="shared" si="358"/>
        <v>0</v>
      </c>
      <c r="CN1153">
        <f t="shared" si="357"/>
        <v>0</v>
      </c>
      <c r="CO1153">
        <f t="shared" si="341"/>
        <v>0</v>
      </c>
    </row>
    <row r="1154" spans="1:93" x14ac:dyDescent="0.25">
      <c r="A1154" s="4">
        <v>2021</v>
      </c>
      <c r="B1154" s="318">
        <v>44279</v>
      </c>
      <c r="C1154" s="4" t="s">
        <v>66</v>
      </c>
      <c r="D1154" s="4" t="s">
        <v>1504</v>
      </c>
      <c r="E1154" s="4" t="s">
        <v>87</v>
      </c>
      <c r="F1154" s="4" t="s">
        <v>90</v>
      </c>
      <c r="G1154" s="5" t="s">
        <v>17</v>
      </c>
      <c r="H1154" s="5" t="s">
        <v>22</v>
      </c>
      <c r="I1154" s="5" t="s">
        <v>146</v>
      </c>
      <c r="J1154" s="5" t="s">
        <v>10</v>
      </c>
      <c r="K1154" s="5">
        <v>18</v>
      </c>
      <c r="L1154" s="5" t="s">
        <v>193</v>
      </c>
      <c r="M1154" s="5">
        <v>1666</v>
      </c>
      <c r="N1154" s="5" t="s">
        <v>170</v>
      </c>
      <c r="O1154" s="6" t="s">
        <v>81</v>
      </c>
      <c r="P1154" s="6" t="s">
        <v>1505</v>
      </c>
      <c r="S1154" s="6">
        <v>44</v>
      </c>
      <c r="T1154" s="6">
        <v>16.579999999999998</v>
      </c>
      <c r="U1154" s="6">
        <v>1453</v>
      </c>
      <c r="V1154" s="6">
        <v>26.19</v>
      </c>
      <c r="W1154" s="6">
        <v>41</v>
      </c>
      <c r="X1154" s="6">
        <v>369</v>
      </c>
      <c r="Y1154" s="6">
        <v>713</v>
      </c>
      <c r="Z1154" s="6">
        <v>301</v>
      </c>
      <c r="AA1154" s="6">
        <v>28</v>
      </c>
      <c r="AB1154" s="6">
        <v>0</v>
      </c>
      <c r="AC1154" s="7">
        <v>116</v>
      </c>
      <c r="AD1154" s="7" t="s">
        <v>52</v>
      </c>
      <c r="AE1154" s="7">
        <v>28.77</v>
      </c>
      <c r="AF1154" s="7">
        <v>83</v>
      </c>
      <c r="AG1154" s="7">
        <v>20.16</v>
      </c>
      <c r="AH1154" s="7">
        <v>55.61</v>
      </c>
      <c r="AI1154" s="7">
        <v>55.61</v>
      </c>
      <c r="AJ1154" s="9">
        <v>286.61085945910901</v>
      </c>
      <c r="AK1154" s="9">
        <v>326.67378487789</v>
      </c>
      <c r="AL1154" s="9">
        <v>351.99153424172101</v>
      </c>
      <c r="AM1154" s="9">
        <v>62.512167038100898</v>
      </c>
      <c r="AN1154" s="9">
        <v>0.53889799170776598</v>
      </c>
      <c r="AO1154" s="9">
        <v>0.36479207591944202</v>
      </c>
      <c r="AP1154" s="9">
        <v>881.96515310848895</v>
      </c>
      <c r="AQ1154" s="9">
        <v>7.6031478716249099</v>
      </c>
      <c r="AR1154" s="9">
        <v>7.8606945917876301</v>
      </c>
      <c r="AS1154" s="8" t="s">
        <v>169</v>
      </c>
      <c r="AT1154" s="8" t="s">
        <v>169</v>
      </c>
      <c r="AU1154" s="10" t="s">
        <v>169</v>
      </c>
      <c r="AV1154" s="10">
        <v>0</v>
      </c>
      <c r="AX1154" s="10" t="s">
        <v>169</v>
      </c>
      <c r="BF1154" s="12">
        <v>0.55000000000000004</v>
      </c>
      <c r="BG1154" s="13">
        <v>337.17855717571598</v>
      </c>
      <c r="BH1154" s="96" t="str">
        <f>+VLOOKUP(G1154,Liste!$A$7:$G$50,3,FALSE)</f>
        <v>Chêne sessile</v>
      </c>
      <c r="BI1154" s="96" t="str">
        <f>+VLOOKUP(H1154,Liste!$B$7:$G$50,5,FALSE)</f>
        <v>Guide chênaie continentale</v>
      </c>
      <c r="BJ1154" s="135">
        <f t="shared" si="340"/>
        <v>116</v>
      </c>
      <c r="BK1154" s="135" t="str">
        <f t="shared" si="342"/>
        <v>Chêne sessile_F2_Dynamique_Guide chênaie continentale_116_</v>
      </c>
      <c r="BL1154" s="322"/>
      <c r="BM1154" s="13">
        <v>84.181652259020495</v>
      </c>
      <c r="BN1154" s="13">
        <v>421.36020943473602</v>
      </c>
      <c r="BO1154" s="13" t="s">
        <v>169</v>
      </c>
      <c r="BP1154" s="13">
        <v>305.10291717349702</v>
      </c>
      <c r="BQ1154" s="13">
        <v>9.0202735585970295</v>
      </c>
      <c r="BT1154" s="298" t="str">
        <f>+VLOOKUP(G1154,Liste!$A$7:$H$50,8,FALSE)</f>
        <v>Feuillus</v>
      </c>
      <c r="BU1154" s="298">
        <f t="shared" si="343"/>
        <v>1</v>
      </c>
      <c r="BV1154" s="300">
        <f t="shared" si="344"/>
        <v>0</v>
      </c>
      <c r="BW1154" s="321">
        <v>0</v>
      </c>
      <c r="BX1154" s="298">
        <f t="shared" si="345"/>
        <v>0.25</v>
      </c>
      <c r="BY1154">
        <f t="shared" si="346"/>
        <v>0</v>
      </c>
      <c r="BZ1154" s="304">
        <f t="shared" si="347"/>
        <v>0</v>
      </c>
      <c r="CB1154" s="299">
        <v>0.6</v>
      </c>
      <c r="CC1154" s="299">
        <v>0.4</v>
      </c>
      <c r="CD1154">
        <f t="shared" si="348"/>
        <v>0</v>
      </c>
      <c r="CE1154">
        <f t="shared" si="349"/>
        <v>0</v>
      </c>
      <c r="CF1154">
        <f t="shared" si="350"/>
        <v>0</v>
      </c>
      <c r="CG1154">
        <f t="shared" si="351"/>
        <v>0</v>
      </c>
      <c r="CH1154">
        <f t="shared" si="352"/>
        <v>0</v>
      </c>
      <c r="CI1154">
        <f t="shared" si="353"/>
        <v>0</v>
      </c>
      <c r="CJ1154">
        <f t="shared" si="354"/>
        <v>0</v>
      </c>
      <c r="CK1154">
        <f t="shared" si="355"/>
        <v>0</v>
      </c>
      <c r="CL1154">
        <f t="shared" si="356"/>
        <v>0</v>
      </c>
      <c r="CM1154">
        <f t="shared" si="358"/>
        <v>0</v>
      </c>
      <c r="CN1154">
        <f t="shared" si="357"/>
        <v>0</v>
      </c>
      <c r="CO1154">
        <f t="shared" si="341"/>
        <v>0</v>
      </c>
    </row>
    <row r="1155" spans="1:93" x14ac:dyDescent="0.25">
      <c r="A1155" s="4">
        <v>2021</v>
      </c>
      <c r="B1155" s="318">
        <v>44279</v>
      </c>
      <c r="C1155" s="4" t="s">
        <v>66</v>
      </c>
      <c r="D1155" s="4" t="s">
        <v>1504</v>
      </c>
      <c r="E1155" s="4" t="s">
        <v>87</v>
      </c>
      <c r="F1155" s="4" t="s">
        <v>90</v>
      </c>
      <c r="G1155" s="5" t="s">
        <v>17</v>
      </c>
      <c r="H1155" s="5" t="s">
        <v>22</v>
      </c>
      <c r="I1155" s="5" t="s">
        <v>146</v>
      </c>
      <c r="J1155" s="5" t="s">
        <v>10</v>
      </c>
      <c r="K1155" s="5">
        <v>18</v>
      </c>
      <c r="L1155" s="5" t="s">
        <v>193</v>
      </c>
      <c r="M1155" s="5">
        <v>1666</v>
      </c>
      <c r="N1155" s="5" t="s">
        <v>170</v>
      </c>
      <c r="O1155" s="6" t="s">
        <v>81</v>
      </c>
      <c r="P1155" s="6" t="s">
        <v>1505</v>
      </c>
      <c r="S1155" s="6">
        <v>44</v>
      </c>
      <c r="T1155" s="6">
        <v>16.579999999999998</v>
      </c>
      <c r="U1155" s="6">
        <v>1453</v>
      </c>
      <c r="V1155" s="6">
        <v>26.19</v>
      </c>
      <c r="W1155" s="6">
        <v>41</v>
      </c>
      <c r="X1155" s="6">
        <v>369</v>
      </c>
      <c r="Y1155" s="6">
        <v>713</v>
      </c>
      <c r="Z1155" s="6">
        <v>301</v>
      </c>
      <c r="AA1155" s="6">
        <v>28</v>
      </c>
      <c r="AB1155" s="6">
        <v>0</v>
      </c>
      <c r="AC1155" s="7">
        <v>119</v>
      </c>
      <c r="AD1155" s="7" t="s">
        <v>52</v>
      </c>
      <c r="AE1155" s="7">
        <v>29.14</v>
      </c>
      <c r="AF1155" s="7">
        <v>83</v>
      </c>
      <c r="AG1155" s="7">
        <v>21.25</v>
      </c>
      <c r="AH1155" s="7">
        <v>57.1</v>
      </c>
      <c r="AI1155" s="7">
        <v>57.1</v>
      </c>
      <c r="AJ1155" s="9">
        <v>305.87297815817601</v>
      </c>
      <c r="AK1155" s="9">
        <v>349.00424532806898</v>
      </c>
      <c r="AL1155" s="9">
        <v>375.57361801708402</v>
      </c>
      <c r="AM1155" s="9">
        <v>63.606543265859202</v>
      </c>
      <c r="AN1155" s="9">
        <v>0.53450876693999305</v>
      </c>
      <c r="AO1155" s="9">
        <v>0.37900299960212402</v>
      </c>
      <c r="AP1155" s="9">
        <v>905.54723688385195</v>
      </c>
      <c r="AQ1155" s="9">
        <v>7.6096406460827897</v>
      </c>
      <c r="AR1155" s="9">
        <v>8.3807407759630905</v>
      </c>
      <c r="AS1155" s="8" t="s">
        <v>169</v>
      </c>
      <c r="AT1155" s="8" t="s">
        <v>169</v>
      </c>
      <c r="AU1155" s="10" t="s">
        <v>169</v>
      </c>
      <c r="AV1155" s="10">
        <v>0</v>
      </c>
      <c r="AX1155" s="10" t="s">
        <v>169</v>
      </c>
      <c r="BF1155" s="12">
        <v>0.55000000000000004</v>
      </c>
      <c r="BG1155" s="13">
        <v>359.76822825886501</v>
      </c>
      <c r="BH1155" s="96" t="str">
        <f>+VLOOKUP(G1155,Liste!$A$7:$G$50,3,FALSE)</f>
        <v>Chêne sessile</v>
      </c>
      <c r="BI1155" s="96" t="str">
        <f>+VLOOKUP(H1155,Liste!$B$7:$G$50,5,FALSE)</f>
        <v>Guide chênaie continentale</v>
      </c>
      <c r="BJ1155" s="135">
        <f t="shared" ref="BJ1155:BJ1218" si="360">+AC1155</f>
        <v>119</v>
      </c>
      <c r="BK1155" s="135" t="str">
        <f t="shared" si="342"/>
        <v>Chêne sessile_F2_Dynamique_Guide chênaie continentale_119_</v>
      </c>
      <c r="BL1155" s="322"/>
      <c r="BM1155" s="13">
        <v>89.146058933711203</v>
      </c>
      <c r="BN1155" s="13">
        <v>448.91428719257698</v>
      </c>
      <c r="BO1155" s="13" t="s">
        <v>169</v>
      </c>
      <c r="BP1155" s="13">
        <v>305.10291717349702</v>
      </c>
      <c r="BQ1155" s="13">
        <v>9.6120690445380497</v>
      </c>
      <c r="BT1155" s="298" t="str">
        <f>+VLOOKUP(G1155,Liste!$A$7:$H$50,8,FALSE)</f>
        <v>Feuillus</v>
      </c>
      <c r="BU1155" s="298">
        <f t="shared" si="343"/>
        <v>1</v>
      </c>
      <c r="BV1155" s="300">
        <f t="shared" si="344"/>
        <v>0</v>
      </c>
      <c r="BW1155" s="321">
        <v>0</v>
      </c>
      <c r="BX1155" s="298">
        <f t="shared" si="345"/>
        <v>0.25</v>
      </c>
      <c r="BY1155">
        <f t="shared" si="346"/>
        <v>0</v>
      </c>
      <c r="BZ1155" s="304">
        <f t="shared" si="347"/>
        <v>0</v>
      </c>
      <c r="CB1155" s="299">
        <v>0.6</v>
      </c>
      <c r="CC1155" s="299">
        <v>0.4</v>
      </c>
      <c r="CD1155">
        <f t="shared" si="348"/>
        <v>0</v>
      </c>
      <c r="CE1155">
        <f t="shared" si="349"/>
        <v>0</v>
      </c>
      <c r="CF1155">
        <f t="shared" si="350"/>
        <v>0</v>
      </c>
      <c r="CG1155">
        <f t="shared" si="351"/>
        <v>0</v>
      </c>
      <c r="CH1155">
        <f t="shared" si="352"/>
        <v>0</v>
      </c>
      <c r="CI1155">
        <f t="shared" si="353"/>
        <v>0</v>
      </c>
      <c r="CJ1155">
        <f t="shared" si="354"/>
        <v>0</v>
      </c>
      <c r="CK1155">
        <f t="shared" si="355"/>
        <v>0</v>
      </c>
      <c r="CL1155">
        <f t="shared" si="356"/>
        <v>0</v>
      </c>
      <c r="CM1155">
        <f t="shared" si="358"/>
        <v>0</v>
      </c>
      <c r="CN1155">
        <f t="shared" si="357"/>
        <v>0</v>
      </c>
      <c r="CO1155">
        <f t="shared" ref="CO1155:CO1218" si="361">+IF(BJ1155=30,CN1155/30,0)</f>
        <v>0</v>
      </c>
    </row>
    <row r="1156" spans="1:93" x14ac:dyDescent="0.25">
      <c r="A1156" s="4">
        <v>2021</v>
      </c>
      <c r="B1156" s="318">
        <v>44279</v>
      </c>
      <c r="C1156" s="4" t="s">
        <v>66</v>
      </c>
      <c r="D1156" s="4" t="s">
        <v>1504</v>
      </c>
      <c r="E1156" s="4" t="s">
        <v>87</v>
      </c>
      <c r="F1156" s="4" t="s">
        <v>90</v>
      </c>
      <c r="G1156" s="5" t="s">
        <v>17</v>
      </c>
      <c r="H1156" s="5" t="s">
        <v>22</v>
      </c>
      <c r="I1156" s="5" t="s">
        <v>146</v>
      </c>
      <c r="J1156" s="5" t="s">
        <v>10</v>
      </c>
      <c r="K1156" s="5">
        <v>18</v>
      </c>
      <c r="L1156" s="5" t="s">
        <v>193</v>
      </c>
      <c r="M1156" s="5">
        <v>1666</v>
      </c>
      <c r="N1156" s="5" t="s">
        <v>170</v>
      </c>
      <c r="O1156" s="6" t="s">
        <v>81</v>
      </c>
      <c r="P1156" s="6" t="s">
        <v>1505</v>
      </c>
      <c r="S1156" s="6">
        <v>44</v>
      </c>
      <c r="T1156" s="6">
        <v>16.579999999999998</v>
      </c>
      <c r="U1156" s="6">
        <v>1453</v>
      </c>
      <c r="V1156" s="6">
        <v>26.19</v>
      </c>
      <c r="W1156" s="6">
        <v>41</v>
      </c>
      <c r="X1156" s="6">
        <v>369</v>
      </c>
      <c r="Y1156" s="6">
        <v>713</v>
      </c>
      <c r="Z1156" s="6">
        <v>301</v>
      </c>
      <c r="AA1156" s="6">
        <v>28</v>
      </c>
      <c r="AB1156" s="6">
        <v>0</v>
      </c>
      <c r="AC1156" s="7">
        <v>122</v>
      </c>
      <c r="AD1156" s="7" t="s">
        <v>52</v>
      </c>
      <c r="AE1156" s="7">
        <v>29.52</v>
      </c>
      <c r="AF1156" s="7">
        <v>83</v>
      </c>
      <c r="AG1156" s="7">
        <v>22.39</v>
      </c>
      <c r="AH1156" s="7">
        <v>58.6</v>
      </c>
      <c r="AI1156" s="7">
        <v>58.6</v>
      </c>
      <c r="AJ1156" s="9">
        <v>326.52405206890597</v>
      </c>
      <c r="AK1156" s="9">
        <v>372.85741329815897</v>
      </c>
      <c r="AL1156" s="9">
        <v>400.71584034497403</v>
      </c>
      <c r="AM1156" s="9">
        <v>64.743552264665595</v>
      </c>
      <c r="AN1156" s="9">
        <v>0.53068485462840598</v>
      </c>
      <c r="AO1156" s="9">
        <v>0.39326919960753998</v>
      </c>
      <c r="AP1156" s="9">
        <v>930.68945921174202</v>
      </c>
      <c r="AQ1156" s="9">
        <v>7.6286021246864104</v>
      </c>
      <c r="AR1156" s="9">
        <v>8.8793705906483602</v>
      </c>
      <c r="AS1156" s="8" t="s">
        <v>169</v>
      </c>
      <c r="AT1156" s="8" t="s">
        <v>169</v>
      </c>
      <c r="AU1156" s="10" t="s">
        <v>169</v>
      </c>
      <c r="AV1156" s="10">
        <v>0</v>
      </c>
      <c r="AX1156" s="10" t="s">
        <v>169</v>
      </c>
      <c r="BF1156" s="12">
        <v>0.55000000000000004</v>
      </c>
      <c r="BG1156" s="13">
        <v>383.85238206378898</v>
      </c>
      <c r="BH1156" s="96" t="str">
        <f>+VLOOKUP(G1156,Liste!$A$7:$G$50,3,FALSE)</f>
        <v>Chêne sessile</v>
      </c>
      <c r="BI1156" s="96" t="str">
        <f>+VLOOKUP(H1156,Liste!$B$7:$G$50,5,FALSE)</f>
        <v>Guide chênaie continentale</v>
      </c>
      <c r="BJ1156" s="135">
        <f t="shared" si="360"/>
        <v>122</v>
      </c>
      <c r="BK1156" s="135" t="str">
        <f t="shared" ref="BK1156:BK1219" si="362">+_xlfn.CONCAT(BH1156,"_",J1156,"_",I1156,"_",BI1156,"_",BJ1156,"_")</f>
        <v>Chêne sessile_F2_Dynamique_Guide chênaie continentale_122_</v>
      </c>
      <c r="BL1156" s="322"/>
      <c r="BM1156" s="13">
        <v>94.399113971044699</v>
      </c>
      <c r="BN1156" s="13">
        <v>478.25149603483402</v>
      </c>
      <c r="BO1156" s="13" t="s">
        <v>169</v>
      </c>
      <c r="BP1156" s="13">
        <v>305.10291717349702</v>
      </c>
      <c r="BQ1156" s="13">
        <v>10.1785360713372</v>
      </c>
      <c r="BT1156" s="298" t="str">
        <f>+VLOOKUP(G1156,Liste!$A$7:$H$50,8,FALSE)</f>
        <v>Feuillus</v>
      </c>
      <c r="BU1156" s="298">
        <f t="shared" ref="BU1156:BU1219" si="363">IF(BT1156="Résineux",0%,100%)</f>
        <v>1</v>
      </c>
      <c r="BV1156" s="300">
        <f t="shared" ref="BV1156:BV1219" si="364">+IF(BT1156="Résineux",100%,0%)</f>
        <v>0</v>
      </c>
      <c r="BW1156" s="321">
        <v>0</v>
      </c>
      <c r="BX1156" s="298">
        <f t="shared" ref="BX1156:BX1219" si="365">+IF(BV1156&lt;&gt;0,0.43,0.25)</f>
        <v>0.25</v>
      </c>
      <c r="BY1156">
        <f t="shared" ref="BY1156:BY1219" si="366">+IF(BJ1156&lt;=30,AV1156*BX1156,0)</f>
        <v>0</v>
      </c>
      <c r="BZ1156" s="304">
        <f t="shared" ref="BZ1156:BZ1219" si="367">+IF(BJ1156&gt;=31,0,BY1156+BZ1155)</f>
        <v>0</v>
      </c>
      <c r="CB1156" s="299">
        <v>0.6</v>
      </c>
      <c r="CC1156" s="299">
        <v>0.4</v>
      </c>
      <c r="CD1156">
        <f t="shared" ref="CD1156:CD1219" si="368">+IF(BJ1156&lt;=31,AV1156*CA1156*0.5,0)</f>
        <v>0</v>
      </c>
      <c r="CE1156">
        <f t="shared" ref="CE1156:CE1219" si="369">IF(BJ1156&lt;=31,AV1156*CB1156,0)</f>
        <v>0</v>
      </c>
      <c r="CF1156">
        <f t="shared" ref="CF1156:CF1219" si="370">IF(BJ1156&lt;=31,AV1156*CC1156,0)</f>
        <v>0</v>
      </c>
      <c r="CG1156">
        <f t="shared" ref="CG1156:CG1219" si="371">CD1156*44/12*0.475*BF1156</f>
        <v>0</v>
      </c>
      <c r="CH1156">
        <f t="shared" ref="CH1156:CH1219" si="372">CE1156*44/12*0.475*BF1156</f>
        <v>0</v>
      </c>
      <c r="CI1156">
        <f t="shared" ref="CI1156:CI1219" si="373">CF1156*44/12*0.475*BF1156</f>
        <v>0</v>
      </c>
      <c r="CJ1156">
        <f t="shared" ref="CJ1156:CJ1219" si="374">+IF(BJ1156&lt;=31,CJ1155*EXP(-$CJ$1)+CG1155*(1-EXP(-$CJ$1))/$CJ$1,0)</f>
        <v>0</v>
      </c>
      <c r="CK1156">
        <f t="shared" ref="CK1156:CK1219" si="375">+IF(BJ1156&lt;=31,CK1155*EXP(-$CK$1)+CH1155*(1-EXP(-$CK$1))/$CK$1,0)</f>
        <v>0</v>
      </c>
      <c r="CL1156">
        <f t="shared" ref="CL1156:CL1219" si="376">+IF(BJ1156&lt;=31,CL1155*EXP(-$CL$1)+CI1155*(1-EXP(-$CL$1))/$CL$1,0)</f>
        <v>0</v>
      </c>
      <c r="CM1156">
        <f t="shared" si="358"/>
        <v>0</v>
      </c>
      <c r="CN1156">
        <f t="shared" ref="CN1156:CN1219" si="377">+IF(BJ1156&lt;=31,CM1156+CN1155,0)</f>
        <v>0</v>
      </c>
      <c r="CO1156">
        <f t="shared" si="361"/>
        <v>0</v>
      </c>
    </row>
    <row r="1157" spans="1:93" x14ac:dyDescent="0.25">
      <c r="A1157" s="4">
        <v>2021</v>
      </c>
      <c r="B1157" s="318">
        <v>44279</v>
      </c>
      <c r="C1157" s="4" t="s">
        <v>66</v>
      </c>
      <c r="D1157" s="4" t="s">
        <v>1504</v>
      </c>
      <c r="E1157" s="4" t="s">
        <v>87</v>
      </c>
      <c r="F1157" s="4" t="s">
        <v>90</v>
      </c>
      <c r="G1157" s="5" t="s">
        <v>17</v>
      </c>
      <c r="H1157" s="5" t="s">
        <v>22</v>
      </c>
      <c r="I1157" s="5" t="s">
        <v>146</v>
      </c>
      <c r="J1157" s="5" t="s">
        <v>10</v>
      </c>
      <c r="K1157" s="5">
        <v>18</v>
      </c>
      <c r="L1157" s="5" t="s">
        <v>193</v>
      </c>
      <c r="M1157" s="5">
        <v>1666</v>
      </c>
      <c r="N1157" s="5" t="s">
        <v>170</v>
      </c>
      <c r="O1157" s="6" t="s">
        <v>81</v>
      </c>
      <c r="P1157" s="6" t="s">
        <v>1505</v>
      </c>
      <c r="S1157" s="6">
        <v>44</v>
      </c>
      <c r="T1157" s="6">
        <v>16.579999999999998</v>
      </c>
      <c r="U1157" s="6">
        <v>1453</v>
      </c>
      <c r="V1157" s="6">
        <v>26.19</v>
      </c>
      <c r="W1157" s="6">
        <v>41</v>
      </c>
      <c r="X1157" s="6">
        <v>369</v>
      </c>
      <c r="Y1157" s="6">
        <v>713</v>
      </c>
      <c r="Z1157" s="6">
        <v>301</v>
      </c>
      <c r="AA1157" s="6">
        <v>28</v>
      </c>
      <c r="AB1157" s="6">
        <v>0</v>
      </c>
      <c r="AC1157" s="7">
        <v>125</v>
      </c>
      <c r="AD1157" s="7" t="s">
        <v>52</v>
      </c>
      <c r="AE1157" s="7">
        <v>29.91</v>
      </c>
      <c r="AF1157" s="7">
        <v>83</v>
      </c>
      <c r="AG1157" s="7">
        <v>23.57</v>
      </c>
      <c r="AH1157" s="7">
        <v>60.13</v>
      </c>
      <c r="AI1157" s="7">
        <v>60.13</v>
      </c>
      <c r="AJ1157" s="9">
        <v>348.48249051055501</v>
      </c>
      <c r="AK1157" s="9">
        <v>398.1670266813</v>
      </c>
      <c r="AL1157" s="9">
        <v>427.353952116919</v>
      </c>
      <c r="AM1157" s="9">
        <v>65.923359863488201</v>
      </c>
      <c r="AN1157" s="9">
        <v>0.52738687890790503</v>
      </c>
      <c r="AO1157" s="9">
        <v>0.33321051938286</v>
      </c>
      <c r="AP1157" s="9">
        <v>957.327570983687</v>
      </c>
      <c r="AQ1157" s="9">
        <v>7.6586205678694901</v>
      </c>
      <c r="AR1157" s="9">
        <v>7.4422867207285899</v>
      </c>
      <c r="AS1157" s="8" t="s">
        <v>169</v>
      </c>
      <c r="AT1157" s="8" t="s">
        <v>169</v>
      </c>
      <c r="AU1157" s="10" t="s">
        <v>169</v>
      </c>
      <c r="AV1157" s="10">
        <v>0</v>
      </c>
      <c r="AX1157" s="10" t="s">
        <v>169</v>
      </c>
      <c r="BF1157" s="12">
        <v>0.55000000000000004</v>
      </c>
      <c r="BG1157" s="13">
        <v>409.36947329866501</v>
      </c>
      <c r="BH1157" s="96" t="str">
        <f>+VLOOKUP(G1157,Liste!$A$7:$G$50,3,FALSE)</f>
        <v>Chêne sessile</v>
      </c>
      <c r="BI1157" s="96" t="str">
        <f>+VLOOKUP(H1157,Liste!$B$7:$G$50,5,FALSE)</f>
        <v>Guide chênaie continentale</v>
      </c>
      <c r="BJ1157" s="135">
        <f t="shared" si="360"/>
        <v>125</v>
      </c>
      <c r="BK1157" s="135" t="str">
        <f t="shared" si="362"/>
        <v>Chêne sessile_F2_Dynamique_Guide chênaie continentale_125_</v>
      </c>
      <c r="BL1157" s="322"/>
      <c r="BM1157" s="13">
        <v>99.923033684912298</v>
      </c>
      <c r="BN1157" s="13">
        <v>509.29250698357703</v>
      </c>
      <c r="BO1157" s="13" t="s">
        <v>169</v>
      </c>
      <c r="BP1157" s="13">
        <v>305.10291717349702</v>
      </c>
      <c r="BQ1157" s="13">
        <v>8.5270139864851409</v>
      </c>
      <c r="BT1157" s="298" t="str">
        <f>+VLOOKUP(G1157,Liste!$A$7:$H$50,8,FALSE)</f>
        <v>Feuillus</v>
      </c>
      <c r="BU1157" s="298">
        <f t="shared" si="363"/>
        <v>1</v>
      </c>
      <c r="BV1157" s="300">
        <f t="shared" si="364"/>
        <v>0</v>
      </c>
      <c r="BW1157" s="321">
        <v>0</v>
      </c>
      <c r="BX1157" s="298">
        <f t="shared" si="365"/>
        <v>0.25</v>
      </c>
      <c r="BY1157">
        <f t="shared" si="366"/>
        <v>0</v>
      </c>
      <c r="BZ1157" s="304">
        <f t="shared" si="367"/>
        <v>0</v>
      </c>
      <c r="CB1157" s="299">
        <v>0.6</v>
      </c>
      <c r="CC1157" s="299">
        <v>0.4</v>
      </c>
      <c r="CD1157">
        <f t="shared" si="368"/>
        <v>0</v>
      </c>
      <c r="CE1157">
        <f t="shared" si="369"/>
        <v>0</v>
      </c>
      <c r="CF1157">
        <f t="shared" si="370"/>
        <v>0</v>
      </c>
      <c r="CG1157">
        <f t="shared" si="371"/>
        <v>0</v>
      </c>
      <c r="CH1157">
        <f t="shared" si="372"/>
        <v>0</v>
      </c>
      <c r="CI1157">
        <f t="shared" si="373"/>
        <v>0</v>
      </c>
      <c r="CJ1157">
        <f t="shared" si="374"/>
        <v>0</v>
      </c>
      <c r="CK1157">
        <f t="shared" si="375"/>
        <v>0</v>
      </c>
      <c r="CL1157">
        <f t="shared" si="376"/>
        <v>0</v>
      </c>
      <c r="CM1157">
        <f t="shared" ref="CM1157:CM1220" si="378">+CJ1157+CK1157+CL1157</f>
        <v>0</v>
      </c>
      <c r="CN1157">
        <f t="shared" si="377"/>
        <v>0</v>
      </c>
      <c r="CO1157">
        <f t="shared" si="361"/>
        <v>0</v>
      </c>
    </row>
    <row r="1158" spans="1:93" x14ac:dyDescent="0.25">
      <c r="A1158" s="4">
        <v>2021</v>
      </c>
      <c r="B1158" s="318">
        <v>44279</v>
      </c>
      <c r="C1158" s="4" t="s">
        <v>66</v>
      </c>
      <c r="D1158" s="4" t="s">
        <v>1504</v>
      </c>
      <c r="E1158" s="4" t="s">
        <v>87</v>
      </c>
      <c r="F1158" s="4" t="s">
        <v>90</v>
      </c>
      <c r="G1158" s="5" t="s">
        <v>17</v>
      </c>
      <c r="H1158" s="5" t="s">
        <v>22</v>
      </c>
      <c r="I1158" s="5" t="s">
        <v>146</v>
      </c>
      <c r="J1158" s="5" t="s">
        <v>10</v>
      </c>
      <c r="K1158" s="5">
        <v>18</v>
      </c>
      <c r="L1158" s="5" t="s">
        <v>193</v>
      </c>
      <c r="M1158" s="5">
        <v>1666</v>
      </c>
      <c r="N1158" s="5" t="s">
        <v>170</v>
      </c>
      <c r="O1158" s="6" t="s">
        <v>81</v>
      </c>
      <c r="P1158" s="6" t="s">
        <v>1505</v>
      </c>
      <c r="S1158" s="6">
        <v>44</v>
      </c>
      <c r="T1158" s="6">
        <v>16.579999999999998</v>
      </c>
      <c r="U1158" s="6">
        <v>1453</v>
      </c>
      <c r="V1158" s="6">
        <v>26.19</v>
      </c>
      <c r="W1158" s="6">
        <v>41</v>
      </c>
      <c r="X1158" s="6">
        <v>369</v>
      </c>
      <c r="Y1158" s="6">
        <v>713</v>
      </c>
      <c r="Z1158" s="6">
        <v>301</v>
      </c>
      <c r="AA1158" s="6">
        <v>28</v>
      </c>
      <c r="AB1158" s="6">
        <v>0</v>
      </c>
      <c r="AC1158" s="7">
        <v>125</v>
      </c>
      <c r="AD1158" s="7" t="s">
        <v>53</v>
      </c>
      <c r="AE1158" s="7">
        <v>29.91</v>
      </c>
      <c r="AF1158" s="7">
        <v>68</v>
      </c>
      <c r="AG1158" s="7">
        <v>19.59</v>
      </c>
      <c r="AH1158" s="7">
        <v>60.56</v>
      </c>
      <c r="AI1158" s="7">
        <v>60.56</v>
      </c>
      <c r="AJ1158" s="9">
        <v>289.60120492161798</v>
      </c>
      <c r="AK1158" s="9">
        <v>331.238940360995</v>
      </c>
      <c r="AL1158" s="9">
        <v>355.47833300500702</v>
      </c>
      <c r="AM1158" s="9">
        <v>65.923359863488201</v>
      </c>
      <c r="AN1158" s="9">
        <v>0.52738687890790503</v>
      </c>
      <c r="AO1158" s="9">
        <v>0.33321051938286</v>
      </c>
      <c r="AP1158" s="9">
        <v>957.327570983687</v>
      </c>
      <c r="AQ1158" s="9">
        <v>7.6586205678694901</v>
      </c>
      <c r="AR1158" s="9">
        <v>7.4422867207285899</v>
      </c>
      <c r="AS1158" s="8">
        <v>15</v>
      </c>
      <c r="AT1158" s="8">
        <v>3.9800000000000004</v>
      </c>
      <c r="AU1158" s="10">
        <v>58.123393959437415</v>
      </c>
      <c r="AV1158" s="10">
        <v>58.881285588937033</v>
      </c>
      <c r="AW1158" s="8">
        <v>0.94</v>
      </c>
      <c r="AX1158" s="10">
        <v>3.925419039262469</v>
      </c>
      <c r="BF1158" s="12">
        <v>0.55000000000000004</v>
      </c>
      <c r="BG1158" s="13">
        <v>340.51861982437998</v>
      </c>
      <c r="BH1158" s="96" t="str">
        <f>+VLOOKUP(G1158,Liste!$A$7:$G$50,3,FALSE)</f>
        <v>Chêne sessile</v>
      </c>
      <c r="BI1158" s="96" t="str">
        <f>+VLOOKUP(H1158,Liste!$B$7:$G$50,5,FALSE)</f>
        <v>Guide chênaie continentale</v>
      </c>
      <c r="BJ1158" s="135">
        <f t="shared" si="360"/>
        <v>125</v>
      </c>
      <c r="BK1158" s="135" t="str">
        <f t="shared" si="362"/>
        <v>Chêne sessile_F2_Dynamique_Guide chênaie continentale_125_</v>
      </c>
      <c r="BL1158" s="322"/>
      <c r="BM1158" s="13">
        <v>84.918059894381599</v>
      </c>
      <c r="BN1158" s="13">
        <v>425.43667971876198</v>
      </c>
      <c r="BO1158" s="13">
        <v>83.855827264815048</v>
      </c>
      <c r="BP1158" s="13">
        <v>305.10291717349702</v>
      </c>
      <c r="BQ1158" s="13">
        <v>8.5270139864851409</v>
      </c>
      <c r="BT1158" s="298" t="str">
        <f>+VLOOKUP(G1158,Liste!$A$7:$H$50,8,FALSE)</f>
        <v>Feuillus</v>
      </c>
      <c r="BU1158" s="298">
        <f t="shared" si="363"/>
        <v>1</v>
      </c>
      <c r="BV1158" s="300">
        <f t="shared" si="364"/>
        <v>0</v>
      </c>
      <c r="BW1158" s="321">
        <v>0</v>
      </c>
      <c r="BX1158" s="298">
        <f t="shared" si="365"/>
        <v>0.25</v>
      </c>
      <c r="BY1158">
        <f t="shared" si="366"/>
        <v>0</v>
      </c>
      <c r="BZ1158" s="304">
        <f t="shared" si="367"/>
        <v>0</v>
      </c>
      <c r="CB1158" s="299">
        <v>0.6</v>
      </c>
      <c r="CC1158" s="299">
        <v>0.4</v>
      </c>
      <c r="CD1158">
        <f t="shared" si="368"/>
        <v>0</v>
      </c>
      <c r="CE1158">
        <f t="shared" si="369"/>
        <v>0</v>
      </c>
      <c r="CF1158">
        <f t="shared" si="370"/>
        <v>0</v>
      </c>
      <c r="CG1158">
        <f t="shared" si="371"/>
        <v>0</v>
      </c>
      <c r="CH1158">
        <f t="shared" si="372"/>
        <v>0</v>
      </c>
      <c r="CI1158">
        <f t="shared" si="373"/>
        <v>0</v>
      </c>
      <c r="CJ1158">
        <f t="shared" si="374"/>
        <v>0</v>
      </c>
      <c r="CK1158">
        <f t="shared" si="375"/>
        <v>0</v>
      </c>
      <c r="CL1158">
        <f t="shared" si="376"/>
        <v>0</v>
      </c>
      <c r="CM1158">
        <f t="shared" si="378"/>
        <v>0</v>
      </c>
      <c r="CN1158">
        <f t="shared" si="377"/>
        <v>0</v>
      </c>
      <c r="CO1158">
        <f t="shared" si="361"/>
        <v>0</v>
      </c>
    </row>
    <row r="1159" spans="1:93" x14ac:dyDescent="0.25">
      <c r="A1159" s="4">
        <v>2021</v>
      </c>
      <c r="B1159" s="318">
        <v>44279</v>
      </c>
      <c r="C1159" s="4" t="s">
        <v>66</v>
      </c>
      <c r="D1159" s="4" t="s">
        <v>1504</v>
      </c>
      <c r="E1159" s="4" t="s">
        <v>87</v>
      </c>
      <c r="F1159" s="4" t="s">
        <v>90</v>
      </c>
      <c r="G1159" s="5" t="s">
        <v>17</v>
      </c>
      <c r="H1159" s="5" t="s">
        <v>22</v>
      </c>
      <c r="I1159" s="5" t="s">
        <v>146</v>
      </c>
      <c r="J1159" s="5" t="s">
        <v>10</v>
      </c>
      <c r="K1159" s="5">
        <v>18</v>
      </c>
      <c r="L1159" s="5" t="s">
        <v>193</v>
      </c>
      <c r="M1159" s="5">
        <v>1666</v>
      </c>
      <c r="N1159" s="5" t="s">
        <v>170</v>
      </c>
      <c r="O1159" s="6" t="s">
        <v>81</v>
      </c>
      <c r="P1159" s="6" t="s">
        <v>1505</v>
      </c>
      <c r="S1159" s="6">
        <v>44</v>
      </c>
      <c r="T1159" s="6">
        <v>16.579999999999998</v>
      </c>
      <c r="U1159" s="6">
        <v>1453</v>
      </c>
      <c r="V1159" s="6">
        <v>26.19</v>
      </c>
      <c r="W1159" s="6">
        <v>41</v>
      </c>
      <c r="X1159" s="6">
        <v>369</v>
      </c>
      <c r="Y1159" s="6">
        <v>713</v>
      </c>
      <c r="Z1159" s="6">
        <v>301</v>
      </c>
      <c r="AA1159" s="6">
        <v>28</v>
      </c>
      <c r="AB1159" s="6">
        <v>0</v>
      </c>
      <c r="AC1159" s="7">
        <v>128</v>
      </c>
      <c r="AD1159" s="7" t="s">
        <v>52</v>
      </c>
      <c r="AE1159" s="7">
        <v>30.26</v>
      </c>
      <c r="AF1159" s="7">
        <v>68</v>
      </c>
      <c r="AG1159" s="7">
        <v>20.59</v>
      </c>
      <c r="AH1159" s="7">
        <v>62.09</v>
      </c>
      <c r="AI1159" s="7">
        <v>62.09</v>
      </c>
      <c r="AJ1159" s="9">
        <v>307.82778661034803</v>
      </c>
      <c r="AK1159" s="9">
        <v>352.435504029642</v>
      </c>
      <c r="AL1159" s="9">
        <v>377.80519316719301</v>
      </c>
      <c r="AM1159" s="9">
        <v>66.922991421636794</v>
      </c>
      <c r="AN1159" s="9">
        <v>0.52283587048153701</v>
      </c>
      <c r="AO1159" s="9">
        <v>0.34570092890484699</v>
      </c>
      <c r="AP1159" s="9">
        <v>979.65443114587197</v>
      </c>
      <c r="AQ1159" s="9">
        <v>7.6535502433271301</v>
      </c>
      <c r="AR1159" s="9">
        <v>7.8678323876866099</v>
      </c>
      <c r="AS1159" s="8" t="s">
        <v>169</v>
      </c>
      <c r="AT1159" s="8" t="s">
        <v>169</v>
      </c>
      <c r="AU1159" s="10" t="s">
        <v>169</v>
      </c>
      <c r="AV1159" s="10">
        <v>0</v>
      </c>
      <c r="AX1159" s="10" t="s">
        <v>169</v>
      </c>
      <c r="BF1159" s="12">
        <v>0.55000000000000004</v>
      </c>
      <c r="BG1159" s="13">
        <v>361.90589128807397</v>
      </c>
      <c r="BH1159" s="96" t="str">
        <f>+VLOOKUP(G1159,Liste!$A$7:$G$50,3,FALSE)</f>
        <v>Chêne sessile</v>
      </c>
      <c r="BI1159" s="96" t="str">
        <f>+VLOOKUP(H1159,Liste!$B$7:$G$50,5,FALSE)</f>
        <v>Guide chênaie continentale</v>
      </c>
      <c r="BJ1159" s="135">
        <f t="shared" si="360"/>
        <v>128</v>
      </c>
      <c r="BK1159" s="135" t="str">
        <f t="shared" si="362"/>
        <v>Chêne sessile_F2_Dynamique_Guide chênaie continentale_128_</v>
      </c>
      <c r="BL1159" s="322"/>
      <c r="BM1159" s="13">
        <v>89.613928089470605</v>
      </c>
      <c r="BN1159" s="13">
        <v>451.51981937754402</v>
      </c>
      <c r="BO1159" s="13" t="s">
        <v>169</v>
      </c>
      <c r="BP1159" s="13">
        <v>305.10291717349702</v>
      </c>
      <c r="BQ1159" s="13">
        <v>9.0105580670535801</v>
      </c>
      <c r="BT1159" s="298" t="str">
        <f>+VLOOKUP(G1159,Liste!$A$7:$H$50,8,FALSE)</f>
        <v>Feuillus</v>
      </c>
      <c r="BU1159" s="298">
        <f t="shared" si="363"/>
        <v>1</v>
      </c>
      <c r="BV1159" s="300">
        <f t="shared" si="364"/>
        <v>0</v>
      </c>
      <c r="BW1159" s="321">
        <v>0</v>
      </c>
      <c r="BX1159" s="298">
        <f t="shared" si="365"/>
        <v>0.25</v>
      </c>
      <c r="BY1159">
        <f t="shared" si="366"/>
        <v>0</v>
      </c>
      <c r="BZ1159" s="304">
        <f t="shared" si="367"/>
        <v>0</v>
      </c>
      <c r="CB1159" s="299">
        <v>0.6</v>
      </c>
      <c r="CC1159" s="299">
        <v>0.4</v>
      </c>
      <c r="CD1159">
        <f t="shared" si="368"/>
        <v>0</v>
      </c>
      <c r="CE1159">
        <f t="shared" si="369"/>
        <v>0</v>
      </c>
      <c r="CF1159">
        <f t="shared" si="370"/>
        <v>0</v>
      </c>
      <c r="CG1159">
        <f t="shared" si="371"/>
        <v>0</v>
      </c>
      <c r="CH1159">
        <f t="shared" si="372"/>
        <v>0</v>
      </c>
      <c r="CI1159">
        <f t="shared" si="373"/>
        <v>0</v>
      </c>
      <c r="CJ1159">
        <f t="shared" si="374"/>
        <v>0</v>
      </c>
      <c r="CK1159">
        <f t="shared" si="375"/>
        <v>0</v>
      </c>
      <c r="CL1159">
        <f t="shared" si="376"/>
        <v>0</v>
      </c>
      <c r="CM1159">
        <f t="shared" si="378"/>
        <v>0</v>
      </c>
      <c r="CN1159">
        <f t="shared" si="377"/>
        <v>0</v>
      </c>
      <c r="CO1159">
        <f t="shared" si="361"/>
        <v>0</v>
      </c>
    </row>
    <row r="1160" spans="1:93" x14ac:dyDescent="0.25">
      <c r="A1160" s="4">
        <v>2021</v>
      </c>
      <c r="B1160" s="318">
        <v>44279</v>
      </c>
      <c r="C1160" s="4" t="s">
        <v>66</v>
      </c>
      <c r="D1160" s="4" t="s">
        <v>1504</v>
      </c>
      <c r="E1160" s="4" t="s">
        <v>87</v>
      </c>
      <c r="F1160" s="4" t="s">
        <v>90</v>
      </c>
      <c r="G1160" s="5" t="s">
        <v>17</v>
      </c>
      <c r="H1160" s="5" t="s">
        <v>22</v>
      </c>
      <c r="I1160" s="5" t="s">
        <v>146</v>
      </c>
      <c r="J1160" s="5" t="s">
        <v>10</v>
      </c>
      <c r="K1160" s="5">
        <v>18</v>
      </c>
      <c r="L1160" s="5" t="s">
        <v>193</v>
      </c>
      <c r="M1160" s="5">
        <v>1666</v>
      </c>
      <c r="N1160" s="5" t="s">
        <v>170</v>
      </c>
      <c r="O1160" s="6" t="s">
        <v>81</v>
      </c>
      <c r="P1160" s="6" t="s">
        <v>1505</v>
      </c>
      <c r="S1160" s="6">
        <v>44</v>
      </c>
      <c r="T1160" s="6">
        <v>16.579999999999998</v>
      </c>
      <c r="U1160" s="6">
        <v>1453</v>
      </c>
      <c r="V1160" s="6">
        <v>26.19</v>
      </c>
      <c r="W1160" s="6">
        <v>41</v>
      </c>
      <c r="X1160" s="6">
        <v>369</v>
      </c>
      <c r="Y1160" s="6">
        <v>713</v>
      </c>
      <c r="Z1160" s="6">
        <v>301</v>
      </c>
      <c r="AA1160" s="6">
        <v>28</v>
      </c>
      <c r="AB1160" s="6">
        <v>0</v>
      </c>
      <c r="AC1160" s="7">
        <v>131</v>
      </c>
      <c r="AD1160" s="7" t="s">
        <v>52</v>
      </c>
      <c r="AE1160" s="7">
        <v>30.61</v>
      </c>
      <c r="AF1160" s="7">
        <v>68</v>
      </c>
      <c r="AG1160" s="7">
        <v>21.62</v>
      </c>
      <c r="AH1160" s="7">
        <v>63.63</v>
      </c>
      <c r="AI1160" s="7">
        <v>63.63</v>
      </c>
      <c r="AJ1160" s="9">
        <v>327.156329268859</v>
      </c>
      <c r="AK1160" s="9">
        <v>374.87387373825499</v>
      </c>
      <c r="AL1160" s="9">
        <v>401.40869033025302</v>
      </c>
      <c r="AM1160" s="9">
        <v>67.960094208351293</v>
      </c>
      <c r="AN1160" s="9">
        <v>0.51877934510191803</v>
      </c>
      <c r="AO1160" s="9">
        <v>0.35946706328164202</v>
      </c>
      <c r="AP1160" s="9">
        <v>1003.25792830893</v>
      </c>
      <c r="AQ1160" s="9">
        <v>7.6584574680071196</v>
      </c>
      <c r="AR1160" s="9">
        <v>8.35371548475492</v>
      </c>
      <c r="AS1160" s="8" t="s">
        <v>169</v>
      </c>
      <c r="AT1160" s="8" t="s">
        <v>169</v>
      </c>
      <c r="AU1160" s="10" t="s">
        <v>169</v>
      </c>
      <c r="AV1160" s="10">
        <v>0</v>
      </c>
      <c r="AX1160" s="10" t="s">
        <v>169</v>
      </c>
      <c r="BF1160" s="12">
        <v>0.55000000000000004</v>
      </c>
      <c r="BG1160" s="13">
        <v>384.51607461218799</v>
      </c>
      <c r="BH1160" s="96" t="str">
        <f>+VLOOKUP(G1160,Liste!$A$7:$G$50,3,FALSE)</f>
        <v>Chêne sessile</v>
      </c>
      <c r="BI1160" s="96" t="str">
        <f>+VLOOKUP(H1160,Liste!$B$7:$G$50,5,FALSE)</f>
        <v>Guide chênaie continentale</v>
      </c>
      <c r="BJ1160" s="135">
        <f t="shared" si="360"/>
        <v>131</v>
      </c>
      <c r="BK1160" s="135" t="str">
        <f t="shared" si="362"/>
        <v>Chêne sessile_F2_Dynamique_Guide chênaie continentale_131_</v>
      </c>
      <c r="BL1160" s="322"/>
      <c r="BM1160" s="13">
        <v>94.543319745032505</v>
      </c>
      <c r="BN1160" s="13">
        <v>479.05939435722098</v>
      </c>
      <c r="BO1160" s="13" t="s">
        <v>169</v>
      </c>
      <c r="BP1160" s="13">
        <v>305.10291717349702</v>
      </c>
      <c r="BQ1160" s="13">
        <v>9.5626012006036198</v>
      </c>
      <c r="BT1160" s="298" t="str">
        <f>+VLOOKUP(G1160,Liste!$A$7:$H$50,8,FALSE)</f>
        <v>Feuillus</v>
      </c>
      <c r="BU1160" s="298">
        <f t="shared" si="363"/>
        <v>1</v>
      </c>
      <c r="BV1160" s="300">
        <f t="shared" si="364"/>
        <v>0</v>
      </c>
      <c r="BW1160" s="321">
        <v>0</v>
      </c>
      <c r="BX1160" s="298">
        <f t="shared" si="365"/>
        <v>0.25</v>
      </c>
      <c r="BY1160">
        <f t="shared" si="366"/>
        <v>0</v>
      </c>
      <c r="BZ1160" s="304">
        <f t="shared" si="367"/>
        <v>0</v>
      </c>
      <c r="CB1160" s="299">
        <v>0.6</v>
      </c>
      <c r="CC1160" s="299">
        <v>0.4</v>
      </c>
      <c r="CD1160">
        <f t="shared" si="368"/>
        <v>0</v>
      </c>
      <c r="CE1160">
        <f t="shared" si="369"/>
        <v>0</v>
      </c>
      <c r="CF1160">
        <f t="shared" si="370"/>
        <v>0</v>
      </c>
      <c r="CG1160">
        <f t="shared" si="371"/>
        <v>0</v>
      </c>
      <c r="CH1160">
        <f t="shared" si="372"/>
        <v>0</v>
      </c>
      <c r="CI1160">
        <f t="shared" si="373"/>
        <v>0</v>
      </c>
      <c r="CJ1160">
        <f t="shared" si="374"/>
        <v>0</v>
      </c>
      <c r="CK1160">
        <f t="shared" si="375"/>
        <v>0</v>
      </c>
      <c r="CL1160">
        <f t="shared" si="376"/>
        <v>0</v>
      </c>
      <c r="CM1160">
        <f t="shared" si="378"/>
        <v>0</v>
      </c>
      <c r="CN1160">
        <f t="shared" si="377"/>
        <v>0</v>
      </c>
      <c r="CO1160">
        <f t="shared" si="361"/>
        <v>0</v>
      </c>
    </row>
    <row r="1161" spans="1:93" x14ac:dyDescent="0.25">
      <c r="A1161" s="4">
        <v>2021</v>
      </c>
      <c r="B1161" s="318">
        <v>44279</v>
      </c>
      <c r="C1161" s="4" t="s">
        <v>66</v>
      </c>
      <c r="D1161" s="4" t="s">
        <v>1504</v>
      </c>
      <c r="E1161" s="4" t="s">
        <v>87</v>
      </c>
      <c r="F1161" s="4" t="s">
        <v>90</v>
      </c>
      <c r="G1161" s="5" t="s">
        <v>17</v>
      </c>
      <c r="H1161" s="5" t="s">
        <v>22</v>
      </c>
      <c r="I1161" s="5" t="s">
        <v>146</v>
      </c>
      <c r="J1161" s="5" t="s">
        <v>10</v>
      </c>
      <c r="K1161" s="5">
        <v>18</v>
      </c>
      <c r="L1161" s="5" t="s">
        <v>193</v>
      </c>
      <c r="M1161" s="5">
        <v>1666</v>
      </c>
      <c r="N1161" s="5" t="s">
        <v>170</v>
      </c>
      <c r="O1161" s="6" t="s">
        <v>81</v>
      </c>
      <c r="P1161" s="6" t="s">
        <v>1505</v>
      </c>
      <c r="S1161" s="6">
        <v>44</v>
      </c>
      <c r="T1161" s="6">
        <v>16.579999999999998</v>
      </c>
      <c r="U1161" s="6">
        <v>1453</v>
      </c>
      <c r="V1161" s="6">
        <v>26.19</v>
      </c>
      <c r="W1161" s="6">
        <v>41</v>
      </c>
      <c r="X1161" s="6">
        <v>369</v>
      </c>
      <c r="Y1161" s="6">
        <v>713</v>
      </c>
      <c r="Z1161" s="6">
        <v>301</v>
      </c>
      <c r="AA1161" s="6">
        <v>28</v>
      </c>
      <c r="AB1161" s="6">
        <v>0</v>
      </c>
      <c r="AC1161" s="7">
        <v>134</v>
      </c>
      <c r="AD1161" s="7" t="s">
        <v>52</v>
      </c>
      <c r="AE1161" s="7">
        <v>30.98</v>
      </c>
      <c r="AF1161" s="7">
        <v>68</v>
      </c>
      <c r="AG1161" s="7">
        <v>22.7</v>
      </c>
      <c r="AH1161" s="7">
        <v>65.2</v>
      </c>
      <c r="AI1161" s="7">
        <v>65.2</v>
      </c>
      <c r="AJ1161" s="9">
        <v>347.758267786842</v>
      </c>
      <c r="AK1161" s="9">
        <v>398.73168665053697</v>
      </c>
      <c r="AL1161" s="9">
        <v>426.46983678451801</v>
      </c>
      <c r="AM1161" s="9">
        <v>69.038495398196204</v>
      </c>
      <c r="AN1161" s="9">
        <v>0.51521265222534496</v>
      </c>
      <c r="AO1161" s="9">
        <v>0.37394598052563299</v>
      </c>
      <c r="AP1161" s="9">
        <v>1028.3190747632</v>
      </c>
      <c r="AQ1161" s="9">
        <v>7.6740229459940101</v>
      </c>
      <c r="AR1161" s="9">
        <v>8.7738978310904603</v>
      </c>
      <c r="AS1161" s="8" t="s">
        <v>169</v>
      </c>
      <c r="AT1161" s="8" t="s">
        <v>169</v>
      </c>
      <c r="AU1161" s="10" t="s">
        <v>169</v>
      </c>
      <c r="AV1161" s="10">
        <v>0</v>
      </c>
      <c r="AX1161" s="10" t="s">
        <v>169</v>
      </c>
      <c r="BF1161" s="12">
        <v>0.55000000000000004</v>
      </c>
      <c r="BG1161" s="13">
        <v>408.52256448650297</v>
      </c>
      <c r="BH1161" s="96" t="str">
        <f>+VLOOKUP(G1161,Liste!$A$7:$G$50,3,FALSE)</f>
        <v>Chêne sessile</v>
      </c>
      <c r="BI1161" s="96" t="str">
        <f>+VLOOKUP(H1161,Liste!$B$7:$G$50,5,FALSE)</f>
        <v>Guide chênaie continentale</v>
      </c>
      <c r="BJ1161" s="135">
        <f t="shared" si="360"/>
        <v>134</v>
      </c>
      <c r="BK1161" s="135" t="str">
        <f t="shared" si="362"/>
        <v>Chêne sessile_F2_Dynamique_Guide chênaie continentale_134_</v>
      </c>
      <c r="BL1161" s="322"/>
      <c r="BM1161" s="13">
        <v>99.740352069228706</v>
      </c>
      <c r="BN1161" s="13">
        <v>508.26291655573101</v>
      </c>
      <c r="BO1161" s="13" t="s">
        <v>169</v>
      </c>
      <c r="BP1161" s="13">
        <v>305.10291717349702</v>
      </c>
      <c r="BQ1161" s="13">
        <v>10.0388313125619</v>
      </c>
      <c r="BT1161" s="298" t="str">
        <f>+VLOOKUP(G1161,Liste!$A$7:$H$50,8,FALSE)</f>
        <v>Feuillus</v>
      </c>
      <c r="BU1161" s="298">
        <f t="shared" si="363"/>
        <v>1</v>
      </c>
      <c r="BV1161" s="300">
        <f t="shared" si="364"/>
        <v>0</v>
      </c>
      <c r="BW1161" s="321">
        <v>0</v>
      </c>
      <c r="BX1161" s="298">
        <f t="shared" si="365"/>
        <v>0.25</v>
      </c>
      <c r="BY1161">
        <f t="shared" si="366"/>
        <v>0</v>
      </c>
      <c r="BZ1161" s="304">
        <f t="shared" si="367"/>
        <v>0</v>
      </c>
      <c r="CB1161" s="299">
        <v>0.6</v>
      </c>
      <c r="CC1161" s="299">
        <v>0.4</v>
      </c>
      <c r="CD1161">
        <f t="shared" si="368"/>
        <v>0</v>
      </c>
      <c r="CE1161">
        <f t="shared" si="369"/>
        <v>0</v>
      </c>
      <c r="CF1161">
        <f t="shared" si="370"/>
        <v>0</v>
      </c>
      <c r="CG1161">
        <f t="shared" si="371"/>
        <v>0</v>
      </c>
      <c r="CH1161">
        <f t="shared" si="372"/>
        <v>0</v>
      </c>
      <c r="CI1161">
        <f t="shared" si="373"/>
        <v>0</v>
      </c>
      <c r="CJ1161">
        <f t="shared" si="374"/>
        <v>0</v>
      </c>
      <c r="CK1161">
        <f t="shared" si="375"/>
        <v>0</v>
      </c>
      <c r="CL1161">
        <f t="shared" si="376"/>
        <v>0</v>
      </c>
      <c r="CM1161">
        <f t="shared" si="378"/>
        <v>0</v>
      </c>
      <c r="CN1161">
        <f t="shared" si="377"/>
        <v>0</v>
      </c>
      <c r="CO1161">
        <f t="shared" si="361"/>
        <v>0</v>
      </c>
    </row>
    <row r="1162" spans="1:93" x14ac:dyDescent="0.25">
      <c r="A1162" s="4">
        <v>2021</v>
      </c>
      <c r="B1162" s="318">
        <v>44279</v>
      </c>
      <c r="C1162" s="4" t="s">
        <v>66</v>
      </c>
      <c r="D1162" s="4" t="s">
        <v>1504</v>
      </c>
      <c r="E1162" s="4" t="s">
        <v>87</v>
      </c>
      <c r="F1162" s="4" t="s">
        <v>90</v>
      </c>
      <c r="G1162" s="5" t="s">
        <v>17</v>
      </c>
      <c r="H1162" s="5" t="s">
        <v>22</v>
      </c>
      <c r="I1162" s="5" t="s">
        <v>146</v>
      </c>
      <c r="J1162" s="5" t="s">
        <v>10</v>
      </c>
      <c r="K1162" s="5">
        <v>18</v>
      </c>
      <c r="L1162" s="5" t="s">
        <v>193</v>
      </c>
      <c r="M1162" s="5">
        <v>1666</v>
      </c>
      <c r="N1162" s="5" t="s">
        <v>170</v>
      </c>
      <c r="O1162" s="6" t="s">
        <v>81</v>
      </c>
      <c r="P1162" s="6" t="s">
        <v>1505</v>
      </c>
      <c r="S1162" s="6">
        <v>44</v>
      </c>
      <c r="T1162" s="6">
        <v>16.579999999999998</v>
      </c>
      <c r="U1162" s="6">
        <v>1453</v>
      </c>
      <c r="V1162" s="6">
        <v>26.19</v>
      </c>
      <c r="W1162" s="6">
        <v>41</v>
      </c>
      <c r="X1162" s="6">
        <v>369</v>
      </c>
      <c r="Y1162" s="6">
        <v>713</v>
      </c>
      <c r="Z1162" s="6">
        <v>301</v>
      </c>
      <c r="AA1162" s="6">
        <v>28</v>
      </c>
      <c r="AB1162" s="6">
        <v>0</v>
      </c>
      <c r="AC1162" s="7">
        <v>137</v>
      </c>
      <c r="AD1162" s="7" t="s">
        <v>52</v>
      </c>
      <c r="AE1162" s="7">
        <v>31.36</v>
      </c>
      <c r="AF1162" s="7">
        <v>68</v>
      </c>
      <c r="AG1162" s="7">
        <v>23.82</v>
      </c>
      <c r="AH1162" s="7">
        <v>66.790000000000006</v>
      </c>
      <c r="AI1162" s="7">
        <v>66.790000000000006</v>
      </c>
      <c r="AJ1162" s="9">
        <v>369.38800682141101</v>
      </c>
      <c r="AK1162" s="9">
        <v>423.80504779226101</v>
      </c>
      <c r="AL1162" s="9">
        <v>452.79153027778898</v>
      </c>
      <c r="AM1162" s="9">
        <v>70.160333339773103</v>
      </c>
      <c r="AN1162" s="9">
        <v>0.51211922145819799</v>
      </c>
      <c r="AO1162" s="9">
        <v>0.31382123784343702</v>
      </c>
      <c r="AP1162" s="9">
        <v>1054.64076825647</v>
      </c>
      <c r="AQ1162" s="9">
        <v>7.6981077974924697</v>
      </c>
      <c r="AR1162" s="9">
        <v>7.3696894324968198</v>
      </c>
      <c r="AS1162" s="8" t="s">
        <v>169</v>
      </c>
      <c r="AT1162" s="8" t="s">
        <v>169</v>
      </c>
      <c r="AU1162" s="10" t="s">
        <v>169</v>
      </c>
      <c r="AV1162" s="10">
        <v>0</v>
      </c>
      <c r="AX1162" s="10" t="s">
        <v>169</v>
      </c>
      <c r="BF1162" s="12">
        <v>0.55000000000000004</v>
      </c>
      <c r="BG1162" s="13">
        <v>433.73655337859901</v>
      </c>
      <c r="BH1162" s="96" t="str">
        <f>+VLOOKUP(G1162,Liste!$A$7:$G$50,3,FALSE)</f>
        <v>Chêne sessile</v>
      </c>
      <c r="BI1162" s="96" t="str">
        <f>+VLOOKUP(H1162,Liste!$B$7:$G$50,5,FALSE)</f>
        <v>Guide chênaie continentale</v>
      </c>
      <c r="BJ1162" s="135">
        <f t="shared" si="360"/>
        <v>137</v>
      </c>
      <c r="BK1162" s="135" t="str">
        <f t="shared" si="362"/>
        <v>Chêne sessile_F2_Dynamique_Guide chênaie continentale_137_</v>
      </c>
      <c r="BL1162" s="322"/>
      <c r="BM1162" s="13">
        <v>105.16066176642001</v>
      </c>
      <c r="BN1162" s="13">
        <v>538.897215145019</v>
      </c>
      <c r="BO1162" s="13" t="s">
        <v>169</v>
      </c>
      <c r="BP1162" s="13">
        <v>305.10291717349702</v>
      </c>
      <c r="BQ1162" s="13">
        <v>8.4285090842303507</v>
      </c>
      <c r="BT1162" s="298" t="str">
        <f>+VLOOKUP(G1162,Liste!$A$7:$H$50,8,FALSE)</f>
        <v>Feuillus</v>
      </c>
      <c r="BU1162" s="298">
        <f t="shared" si="363"/>
        <v>1</v>
      </c>
      <c r="BV1162" s="300">
        <f t="shared" si="364"/>
        <v>0</v>
      </c>
      <c r="BW1162" s="321">
        <v>0</v>
      </c>
      <c r="BX1162" s="298">
        <f t="shared" si="365"/>
        <v>0.25</v>
      </c>
      <c r="BY1162">
        <f t="shared" si="366"/>
        <v>0</v>
      </c>
      <c r="BZ1162" s="304">
        <f t="shared" si="367"/>
        <v>0</v>
      </c>
      <c r="CB1162" s="299">
        <v>0.6</v>
      </c>
      <c r="CC1162" s="299">
        <v>0.4</v>
      </c>
      <c r="CD1162">
        <f t="shared" si="368"/>
        <v>0</v>
      </c>
      <c r="CE1162">
        <f t="shared" si="369"/>
        <v>0</v>
      </c>
      <c r="CF1162">
        <f t="shared" si="370"/>
        <v>0</v>
      </c>
      <c r="CG1162">
        <f t="shared" si="371"/>
        <v>0</v>
      </c>
      <c r="CH1162">
        <f t="shared" si="372"/>
        <v>0</v>
      </c>
      <c r="CI1162">
        <f t="shared" si="373"/>
        <v>0</v>
      </c>
      <c r="CJ1162">
        <f t="shared" si="374"/>
        <v>0</v>
      </c>
      <c r="CK1162">
        <f t="shared" si="375"/>
        <v>0</v>
      </c>
      <c r="CL1162">
        <f t="shared" si="376"/>
        <v>0</v>
      </c>
      <c r="CM1162">
        <f t="shared" si="378"/>
        <v>0</v>
      </c>
      <c r="CN1162">
        <f t="shared" si="377"/>
        <v>0</v>
      </c>
      <c r="CO1162">
        <f t="shared" si="361"/>
        <v>0</v>
      </c>
    </row>
    <row r="1163" spans="1:93" x14ac:dyDescent="0.25">
      <c r="A1163" s="4">
        <v>2021</v>
      </c>
      <c r="B1163" s="318">
        <v>44279</v>
      </c>
      <c r="C1163" s="4" t="s">
        <v>66</v>
      </c>
      <c r="D1163" s="4" t="s">
        <v>1504</v>
      </c>
      <c r="E1163" s="4" t="s">
        <v>87</v>
      </c>
      <c r="F1163" s="4" t="s">
        <v>90</v>
      </c>
      <c r="G1163" s="5" t="s">
        <v>17</v>
      </c>
      <c r="H1163" s="5" t="s">
        <v>22</v>
      </c>
      <c r="I1163" s="5" t="s">
        <v>146</v>
      </c>
      <c r="J1163" s="5" t="s">
        <v>10</v>
      </c>
      <c r="K1163" s="5">
        <v>18</v>
      </c>
      <c r="L1163" s="5" t="s">
        <v>193</v>
      </c>
      <c r="M1163" s="5">
        <v>1666</v>
      </c>
      <c r="N1163" s="5" t="s">
        <v>170</v>
      </c>
      <c r="O1163" s="6" t="s">
        <v>81</v>
      </c>
      <c r="P1163" s="6" t="s">
        <v>1505</v>
      </c>
      <c r="S1163" s="6">
        <v>44</v>
      </c>
      <c r="T1163" s="6">
        <v>16.579999999999998</v>
      </c>
      <c r="U1163" s="6">
        <v>1453</v>
      </c>
      <c r="V1163" s="6">
        <v>26.19</v>
      </c>
      <c r="W1163" s="6">
        <v>41</v>
      </c>
      <c r="X1163" s="6">
        <v>369</v>
      </c>
      <c r="Y1163" s="6">
        <v>713</v>
      </c>
      <c r="Z1163" s="6">
        <v>301</v>
      </c>
      <c r="AA1163" s="6">
        <v>28</v>
      </c>
      <c r="AB1163" s="6">
        <v>0</v>
      </c>
      <c r="AC1163" s="7">
        <v>137</v>
      </c>
      <c r="AD1163" s="7" t="s">
        <v>53</v>
      </c>
      <c r="AE1163" s="7">
        <v>31.36</v>
      </c>
      <c r="AF1163" s="7">
        <v>56</v>
      </c>
      <c r="AG1163" s="7">
        <v>19.71</v>
      </c>
      <c r="AH1163" s="7">
        <v>66.94</v>
      </c>
      <c r="AI1163" s="7">
        <v>66.94</v>
      </c>
      <c r="AJ1163" s="9">
        <v>305.55468021890601</v>
      </c>
      <c r="AK1163" s="9">
        <v>350.77365176917101</v>
      </c>
      <c r="AL1163" s="9">
        <v>374.746933638234</v>
      </c>
      <c r="AM1163" s="9">
        <v>70.160333339773103</v>
      </c>
      <c r="AN1163" s="9">
        <v>0.51211922145819799</v>
      </c>
      <c r="AO1163" s="9">
        <v>0.31382123784343702</v>
      </c>
      <c r="AP1163" s="9">
        <v>1054.64076825647</v>
      </c>
      <c r="AQ1163" s="9">
        <v>7.6981077974924697</v>
      </c>
      <c r="AR1163" s="9">
        <v>7.3696894324968198</v>
      </c>
      <c r="AS1163" s="8">
        <v>12</v>
      </c>
      <c r="AT1163" s="8">
        <v>4.1099999999999994</v>
      </c>
      <c r="AU1163" s="10">
        <v>66.036697681803645</v>
      </c>
      <c r="AV1163" s="10">
        <v>63.833326602504997</v>
      </c>
      <c r="AW1163" s="8">
        <v>0.98</v>
      </c>
      <c r="AX1163" s="10">
        <v>5.3194438835420828</v>
      </c>
      <c r="BF1163" s="12">
        <v>0.55000000000000004</v>
      </c>
      <c r="BG1163" s="13">
        <v>358.97633351429198</v>
      </c>
      <c r="BH1163" s="96" t="str">
        <f>+VLOOKUP(G1163,Liste!$A$7:$G$50,3,FALSE)</f>
        <v>Chêne sessile</v>
      </c>
      <c r="BI1163" s="96" t="str">
        <f>+VLOOKUP(H1163,Liste!$B$7:$G$50,5,FALSE)</f>
        <v>Guide chênaie continentale</v>
      </c>
      <c r="BJ1163" s="135">
        <f t="shared" si="360"/>
        <v>137</v>
      </c>
      <c r="BK1163" s="135" t="str">
        <f t="shared" si="362"/>
        <v>Chêne sessile_F2_Dynamique_Guide chênaie continentale_137_</v>
      </c>
      <c r="BL1163" s="322"/>
      <c r="BM1163" s="13">
        <v>88.972655303075598</v>
      </c>
      <c r="BN1163" s="13">
        <v>447.94898881736799</v>
      </c>
      <c r="BO1163" s="13">
        <v>90.948226327651014</v>
      </c>
      <c r="BP1163" s="13">
        <v>305.10291717349702</v>
      </c>
      <c r="BQ1163" s="13">
        <v>8.4285090842303507</v>
      </c>
      <c r="BT1163" s="298" t="str">
        <f>+VLOOKUP(G1163,Liste!$A$7:$H$50,8,FALSE)</f>
        <v>Feuillus</v>
      </c>
      <c r="BU1163" s="298">
        <f t="shared" si="363"/>
        <v>1</v>
      </c>
      <c r="BV1163" s="300">
        <f t="shared" si="364"/>
        <v>0</v>
      </c>
      <c r="BW1163" s="321">
        <v>0</v>
      </c>
      <c r="BX1163" s="298">
        <f t="shared" si="365"/>
        <v>0.25</v>
      </c>
      <c r="BY1163">
        <f t="shared" si="366"/>
        <v>0</v>
      </c>
      <c r="BZ1163" s="304">
        <f t="shared" si="367"/>
        <v>0</v>
      </c>
      <c r="CB1163" s="299">
        <v>0.6</v>
      </c>
      <c r="CC1163" s="299">
        <v>0.4</v>
      </c>
      <c r="CD1163">
        <f t="shared" si="368"/>
        <v>0</v>
      </c>
      <c r="CE1163">
        <f t="shared" si="369"/>
        <v>0</v>
      </c>
      <c r="CF1163">
        <f t="shared" si="370"/>
        <v>0</v>
      </c>
      <c r="CG1163">
        <f t="shared" si="371"/>
        <v>0</v>
      </c>
      <c r="CH1163">
        <f t="shared" si="372"/>
        <v>0</v>
      </c>
      <c r="CI1163">
        <f t="shared" si="373"/>
        <v>0</v>
      </c>
      <c r="CJ1163">
        <f t="shared" si="374"/>
        <v>0</v>
      </c>
      <c r="CK1163">
        <f t="shared" si="375"/>
        <v>0</v>
      </c>
      <c r="CL1163">
        <f t="shared" si="376"/>
        <v>0</v>
      </c>
      <c r="CM1163">
        <f t="shared" si="378"/>
        <v>0</v>
      </c>
      <c r="CN1163">
        <f t="shared" si="377"/>
        <v>0</v>
      </c>
      <c r="CO1163">
        <f t="shared" si="361"/>
        <v>0</v>
      </c>
    </row>
    <row r="1164" spans="1:93" x14ac:dyDescent="0.25">
      <c r="A1164" s="4">
        <v>2021</v>
      </c>
      <c r="B1164" s="318">
        <v>44279</v>
      </c>
      <c r="C1164" s="4" t="s">
        <v>66</v>
      </c>
      <c r="D1164" s="4" t="s">
        <v>1504</v>
      </c>
      <c r="E1164" s="4" t="s">
        <v>87</v>
      </c>
      <c r="F1164" s="4" t="s">
        <v>90</v>
      </c>
      <c r="G1164" s="5" t="s">
        <v>17</v>
      </c>
      <c r="H1164" s="5" t="s">
        <v>22</v>
      </c>
      <c r="I1164" s="5" t="s">
        <v>146</v>
      </c>
      <c r="J1164" s="5" t="s">
        <v>10</v>
      </c>
      <c r="K1164" s="5">
        <v>18</v>
      </c>
      <c r="L1164" s="5" t="s">
        <v>193</v>
      </c>
      <c r="M1164" s="5">
        <v>1666</v>
      </c>
      <c r="N1164" s="5" t="s">
        <v>170</v>
      </c>
      <c r="O1164" s="6" t="s">
        <v>81</v>
      </c>
      <c r="P1164" s="6" t="s">
        <v>1505</v>
      </c>
      <c r="S1164" s="6">
        <v>44</v>
      </c>
      <c r="T1164" s="6">
        <v>16.579999999999998</v>
      </c>
      <c r="U1164" s="6">
        <v>1453</v>
      </c>
      <c r="V1164" s="6">
        <v>26.19</v>
      </c>
      <c r="W1164" s="6">
        <v>41</v>
      </c>
      <c r="X1164" s="6">
        <v>369</v>
      </c>
      <c r="Y1164" s="6">
        <v>713</v>
      </c>
      <c r="Z1164" s="6">
        <v>301</v>
      </c>
      <c r="AA1164" s="6">
        <v>28</v>
      </c>
      <c r="AB1164" s="6">
        <v>0</v>
      </c>
      <c r="AC1164" s="7">
        <v>140</v>
      </c>
      <c r="AD1164" s="7" t="s">
        <v>52</v>
      </c>
      <c r="AE1164" s="7">
        <v>31.69</v>
      </c>
      <c r="AF1164" s="7">
        <v>56</v>
      </c>
      <c r="AG1164" s="7">
        <v>20.65</v>
      </c>
      <c r="AH1164" s="7">
        <v>68.52</v>
      </c>
      <c r="AI1164" s="7">
        <v>68.52</v>
      </c>
      <c r="AJ1164" s="9">
        <v>323.64570542015502</v>
      </c>
      <c r="AK1164" s="9">
        <v>371.835781487183</v>
      </c>
      <c r="AL1164" s="9">
        <v>396.85600193572498</v>
      </c>
      <c r="AM1164" s="9">
        <v>71.1017970533034</v>
      </c>
      <c r="AN1164" s="9">
        <v>0.50786997895216701</v>
      </c>
      <c r="AO1164" s="9">
        <v>0.32585539648233403</v>
      </c>
      <c r="AP1164" s="9">
        <v>1076.74983655396</v>
      </c>
      <c r="AQ1164" s="9">
        <v>7.6910702610997097</v>
      </c>
      <c r="AR1164" s="9">
        <v>7.6846327927514704</v>
      </c>
      <c r="AS1164" s="8" t="s">
        <v>169</v>
      </c>
      <c r="AT1164" s="8" t="s">
        <v>169</v>
      </c>
      <c r="AU1164" s="10" t="s">
        <v>169</v>
      </c>
      <c r="AV1164" s="10">
        <v>0</v>
      </c>
      <c r="AX1164" s="10" t="s">
        <v>169</v>
      </c>
      <c r="BF1164" s="12">
        <v>0.55000000000000004</v>
      </c>
      <c r="BG1164" s="13">
        <v>380.15497852093</v>
      </c>
      <c r="BH1164" s="96" t="str">
        <f>+VLOOKUP(G1164,Liste!$A$7:$G$50,3,FALSE)</f>
        <v>Chêne sessile</v>
      </c>
      <c r="BI1164" s="96" t="str">
        <f>+VLOOKUP(H1164,Liste!$B$7:$G$50,5,FALSE)</f>
        <v>Guide chênaie continentale</v>
      </c>
      <c r="BJ1164" s="135">
        <f t="shared" si="360"/>
        <v>140</v>
      </c>
      <c r="BK1164" s="135" t="str">
        <f t="shared" si="362"/>
        <v>Chêne sessile_F2_Dynamique_Guide chênaie continentale_140_</v>
      </c>
      <c r="BL1164" s="322"/>
      <c r="BM1164" s="13">
        <v>93.595216775521095</v>
      </c>
      <c r="BN1164" s="13">
        <v>473.75019529645101</v>
      </c>
      <c r="BO1164" s="13" t="s">
        <v>169</v>
      </c>
      <c r="BP1164" s="13">
        <v>305.10291717349702</v>
      </c>
      <c r="BQ1164" s="13">
        <v>8.7852214618941797</v>
      </c>
      <c r="BT1164" s="298" t="str">
        <f>+VLOOKUP(G1164,Liste!$A$7:$H$50,8,FALSE)</f>
        <v>Feuillus</v>
      </c>
      <c r="BU1164" s="298">
        <f t="shared" si="363"/>
        <v>1</v>
      </c>
      <c r="BV1164" s="300">
        <f t="shared" si="364"/>
        <v>0</v>
      </c>
      <c r="BW1164" s="321">
        <v>0</v>
      </c>
      <c r="BX1164" s="298">
        <f t="shared" si="365"/>
        <v>0.25</v>
      </c>
      <c r="BY1164">
        <f t="shared" si="366"/>
        <v>0</v>
      </c>
      <c r="BZ1164" s="304">
        <f t="shared" si="367"/>
        <v>0</v>
      </c>
      <c r="CB1164" s="299">
        <v>0.6</v>
      </c>
      <c r="CC1164" s="299">
        <v>0.4</v>
      </c>
      <c r="CD1164">
        <f t="shared" si="368"/>
        <v>0</v>
      </c>
      <c r="CE1164">
        <f t="shared" si="369"/>
        <v>0</v>
      </c>
      <c r="CF1164">
        <f t="shared" si="370"/>
        <v>0</v>
      </c>
      <c r="CG1164">
        <f t="shared" si="371"/>
        <v>0</v>
      </c>
      <c r="CH1164">
        <f t="shared" si="372"/>
        <v>0</v>
      </c>
      <c r="CI1164">
        <f t="shared" si="373"/>
        <v>0</v>
      </c>
      <c r="CJ1164">
        <f t="shared" si="374"/>
        <v>0</v>
      </c>
      <c r="CK1164">
        <f t="shared" si="375"/>
        <v>0</v>
      </c>
      <c r="CL1164">
        <f t="shared" si="376"/>
        <v>0</v>
      </c>
      <c r="CM1164">
        <f t="shared" si="378"/>
        <v>0</v>
      </c>
      <c r="CN1164">
        <f t="shared" si="377"/>
        <v>0</v>
      </c>
      <c r="CO1164">
        <f t="shared" si="361"/>
        <v>0</v>
      </c>
    </row>
    <row r="1165" spans="1:93" x14ac:dyDescent="0.25">
      <c r="A1165" s="4">
        <v>2021</v>
      </c>
      <c r="B1165" s="318">
        <v>44279</v>
      </c>
      <c r="C1165" s="4" t="s">
        <v>66</v>
      </c>
      <c r="D1165" s="4" t="s">
        <v>1504</v>
      </c>
      <c r="E1165" s="4" t="s">
        <v>87</v>
      </c>
      <c r="F1165" s="4" t="s">
        <v>90</v>
      </c>
      <c r="G1165" s="5" t="s">
        <v>17</v>
      </c>
      <c r="H1165" s="5" t="s">
        <v>22</v>
      </c>
      <c r="I1165" s="5" t="s">
        <v>146</v>
      </c>
      <c r="J1165" s="5" t="s">
        <v>10</v>
      </c>
      <c r="K1165" s="5">
        <v>18</v>
      </c>
      <c r="L1165" s="5" t="s">
        <v>193</v>
      </c>
      <c r="M1165" s="5">
        <v>1666</v>
      </c>
      <c r="N1165" s="5" t="s">
        <v>170</v>
      </c>
      <c r="O1165" s="6" t="s">
        <v>81</v>
      </c>
      <c r="P1165" s="6" t="s">
        <v>1505</v>
      </c>
      <c r="S1165" s="6">
        <v>44</v>
      </c>
      <c r="T1165" s="6">
        <v>16.579999999999998</v>
      </c>
      <c r="U1165" s="6">
        <v>1453</v>
      </c>
      <c r="V1165" s="6">
        <v>26.19</v>
      </c>
      <c r="W1165" s="6">
        <v>41</v>
      </c>
      <c r="X1165" s="6">
        <v>369</v>
      </c>
      <c r="Y1165" s="6">
        <v>713</v>
      </c>
      <c r="Z1165" s="6">
        <v>301</v>
      </c>
      <c r="AA1165" s="6">
        <v>28</v>
      </c>
      <c r="AB1165" s="6">
        <v>0</v>
      </c>
      <c r="AC1165" s="7">
        <v>143</v>
      </c>
      <c r="AD1165" s="7" t="s">
        <v>52</v>
      </c>
      <c r="AE1165" s="7">
        <v>32.03</v>
      </c>
      <c r="AF1165" s="7">
        <v>56</v>
      </c>
      <c r="AG1165" s="7">
        <v>21.63</v>
      </c>
      <c r="AH1165" s="7">
        <v>70.13</v>
      </c>
      <c r="AI1165" s="7">
        <v>70.13</v>
      </c>
      <c r="AJ1165" s="9">
        <v>342.467496756</v>
      </c>
      <c r="AK1165" s="9">
        <v>393.80352797497</v>
      </c>
      <c r="AL1165" s="9">
        <v>419.90990031397899</v>
      </c>
      <c r="AM1165" s="9">
        <v>72.079363242750404</v>
      </c>
      <c r="AN1165" s="9">
        <v>0.50405149120804504</v>
      </c>
      <c r="AO1165" s="9">
        <v>0.33801714043489001</v>
      </c>
      <c r="AP1165" s="9">
        <v>1099.8037349322101</v>
      </c>
      <c r="AQ1165" s="9">
        <v>7.69093520931618</v>
      </c>
      <c r="AR1165" s="9">
        <v>8.2203059284143691</v>
      </c>
      <c r="AS1165" s="8" t="s">
        <v>169</v>
      </c>
      <c r="AT1165" s="8" t="s">
        <v>169</v>
      </c>
      <c r="AU1165" s="10" t="s">
        <v>169</v>
      </c>
      <c r="AV1165" s="10">
        <v>0</v>
      </c>
      <c r="AX1165" s="10" t="s">
        <v>169</v>
      </c>
      <c r="BF1165" s="12">
        <v>0.55000000000000004</v>
      </c>
      <c r="BG1165" s="13">
        <v>402.238692009099</v>
      </c>
      <c r="BH1165" s="96" t="str">
        <f>+VLOOKUP(G1165,Liste!$A$7:$G$50,3,FALSE)</f>
        <v>Chêne sessile</v>
      </c>
      <c r="BI1165" s="96" t="str">
        <f>+VLOOKUP(H1165,Liste!$B$7:$G$50,5,FALSE)</f>
        <v>Guide chênaie continentale</v>
      </c>
      <c r="BJ1165" s="135">
        <f t="shared" si="360"/>
        <v>143</v>
      </c>
      <c r="BK1165" s="135" t="str">
        <f t="shared" si="362"/>
        <v>Chêne sessile_F2_Dynamique_Guide chênaie continentale_143_</v>
      </c>
      <c r="BL1165" s="322"/>
      <c r="BM1165" s="13">
        <v>98.383511630568194</v>
      </c>
      <c r="BN1165" s="13">
        <v>500.62220363966702</v>
      </c>
      <c r="BO1165" s="13" t="s">
        <v>169</v>
      </c>
      <c r="BP1165" s="13">
        <v>305.10291717349702</v>
      </c>
      <c r="BQ1165" s="13">
        <v>9.3937736587995495</v>
      </c>
      <c r="BT1165" s="298" t="str">
        <f>+VLOOKUP(G1165,Liste!$A$7:$H$50,8,FALSE)</f>
        <v>Feuillus</v>
      </c>
      <c r="BU1165" s="298">
        <f t="shared" si="363"/>
        <v>1</v>
      </c>
      <c r="BV1165" s="300">
        <f t="shared" si="364"/>
        <v>0</v>
      </c>
      <c r="BW1165" s="321">
        <v>0</v>
      </c>
      <c r="BX1165" s="298">
        <f t="shared" si="365"/>
        <v>0.25</v>
      </c>
      <c r="BY1165">
        <f t="shared" si="366"/>
        <v>0</v>
      </c>
      <c r="BZ1165" s="304">
        <f t="shared" si="367"/>
        <v>0</v>
      </c>
      <c r="CB1165" s="299">
        <v>0.6</v>
      </c>
      <c r="CC1165" s="299">
        <v>0.4</v>
      </c>
      <c r="CD1165">
        <f t="shared" si="368"/>
        <v>0</v>
      </c>
      <c r="CE1165">
        <f t="shared" si="369"/>
        <v>0</v>
      </c>
      <c r="CF1165">
        <f t="shared" si="370"/>
        <v>0</v>
      </c>
      <c r="CG1165">
        <f t="shared" si="371"/>
        <v>0</v>
      </c>
      <c r="CH1165">
        <f t="shared" si="372"/>
        <v>0</v>
      </c>
      <c r="CI1165">
        <f t="shared" si="373"/>
        <v>0</v>
      </c>
      <c r="CJ1165">
        <f t="shared" si="374"/>
        <v>0</v>
      </c>
      <c r="CK1165">
        <f t="shared" si="375"/>
        <v>0</v>
      </c>
      <c r="CL1165">
        <f t="shared" si="376"/>
        <v>0</v>
      </c>
      <c r="CM1165">
        <f t="shared" si="378"/>
        <v>0</v>
      </c>
      <c r="CN1165">
        <f t="shared" si="377"/>
        <v>0</v>
      </c>
      <c r="CO1165">
        <f t="shared" si="361"/>
        <v>0</v>
      </c>
    </row>
    <row r="1166" spans="1:93" x14ac:dyDescent="0.25">
      <c r="A1166" s="4">
        <v>2021</v>
      </c>
      <c r="B1166" s="318">
        <v>44279</v>
      </c>
      <c r="C1166" s="4" t="s">
        <v>66</v>
      </c>
      <c r="D1166" s="4" t="s">
        <v>1504</v>
      </c>
      <c r="E1166" s="4" t="s">
        <v>87</v>
      </c>
      <c r="F1166" s="4" t="s">
        <v>90</v>
      </c>
      <c r="G1166" s="5" t="s">
        <v>17</v>
      </c>
      <c r="H1166" s="5" t="s">
        <v>22</v>
      </c>
      <c r="I1166" s="5" t="s">
        <v>146</v>
      </c>
      <c r="J1166" s="5" t="s">
        <v>10</v>
      </c>
      <c r="K1166" s="5">
        <v>18</v>
      </c>
      <c r="L1166" s="5" t="s">
        <v>193</v>
      </c>
      <c r="M1166" s="5">
        <v>1666</v>
      </c>
      <c r="N1166" s="5" t="s">
        <v>170</v>
      </c>
      <c r="O1166" s="6" t="s">
        <v>81</v>
      </c>
      <c r="P1166" s="6" t="s">
        <v>1505</v>
      </c>
      <c r="S1166" s="6">
        <v>44</v>
      </c>
      <c r="T1166" s="6">
        <v>16.579999999999998</v>
      </c>
      <c r="U1166" s="6">
        <v>1453</v>
      </c>
      <c r="V1166" s="6">
        <v>26.19</v>
      </c>
      <c r="W1166" s="6">
        <v>41</v>
      </c>
      <c r="X1166" s="6">
        <v>369</v>
      </c>
      <c r="Y1166" s="6">
        <v>713</v>
      </c>
      <c r="Z1166" s="6">
        <v>301</v>
      </c>
      <c r="AA1166" s="6">
        <v>28</v>
      </c>
      <c r="AB1166" s="6">
        <v>0</v>
      </c>
      <c r="AC1166" s="7">
        <v>146</v>
      </c>
      <c r="AD1166" s="7" t="s">
        <v>52</v>
      </c>
      <c r="AE1166" s="7">
        <v>32.380000000000003</v>
      </c>
      <c r="AF1166" s="7">
        <v>56</v>
      </c>
      <c r="AG1166" s="7">
        <v>22.64</v>
      </c>
      <c r="AH1166" s="7">
        <v>71.75</v>
      </c>
      <c r="AI1166" s="7">
        <v>71.75</v>
      </c>
      <c r="AJ1166" s="9">
        <v>362.75982979617203</v>
      </c>
      <c r="AK1166" s="9">
        <v>417.34979909057301</v>
      </c>
      <c r="AL1166" s="9">
        <v>444.57081809922198</v>
      </c>
      <c r="AM1166" s="9">
        <v>73.093414664055103</v>
      </c>
      <c r="AN1166" s="9">
        <v>0.50063982646613103</v>
      </c>
      <c r="AO1166" s="9">
        <v>0.351576516127167</v>
      </c>
      <c r="AP1166" s="9">
        <v>1124.46465271746</v>
      </c>
      <c r="AQ1166" s="9">
        <v>7.7018126898455899</v>
      </c>
      <c r="AR1166" s="9">
        <v>8.6042935773111804</v>
      </c>
      <c r="AS1166" s="8" t="s">
        <v>169</v>
      </c>
      <c r="AT1166" s="8" t="s">
        <v>169</v>
      </c>
      <c r="AU1166" s="10" t="s">
        <v>169</v>
      </c>
      <c r="AV1166" s="10">
        <v>0</v>
      </c>
      <c r="AX1166" s="10" t="s">
        <v>169</v>
      </c>
      <c r="BF1166" s="12">
        <v>0.55000000000000004</v>
      </c>
      <c r="BG1166" s="13">
        <v>425.86179617087998</v>
      </c>
      <c r="BH1166" s="96" t="str">
        <f>+VLOOKUP(G1166,Liste!$A$7:$G$50,3,FALSE)</f>
        <v>Chêne sessile</v>
      </c>
      <c r="BI1166" s="96" t="str">
        <f>+VLOOKUP(H1166,Liste!$B$7:$G$50,5,FALSE)</f>
        <v>Guide chênaie continentale</v>
      </c>
      <c r="BJ1166" s="135">
        <f t="shared" si="360"/>
        <v>146</v>
      </c>
      <c r="BK1166" s="135" t="str">
        <f t="shared" si="362"/>
        <v>Chêne sessile_F2_Dynamique_Guide chênaie continentale_146_</v>
      </c>
      <c r="BL1166" s="322"/>
      <c r="BM1166" s="13">
        <v>103.471847256939</v>
      </c>
      <c r="BN1166" s="13">
        <v>529.33364342781897</v>
      </c>
      <c r="BO1166" s="13" t="s">
        <v>169</v>
      </c>
      <c r="BP1166" s="13">
        <v>305.10291717349702</v>
      </c>
      <c r="BQ1166" s="13">
        <v>9.8284282023823799</v>
      </c>
      <c r="BT1166" s="298" t="str">
        <f>+VLOOKUP(G1166,Liste!$A$7:$H$50,8,FALSE)</f>
        <v>Feuillus</v>
      </c>
      <c r="BU1166" s="298">
        <f t="shared" si="363"/>
        <v>1</v>
      </c>
      <c r="BV1166" s="300">
        <f t="shared" si="364"/>
        <v>0</v>
      </c>
      <c r="BW1166" s="321">
        <v>0</v>
      </c>
      <c r="BX1166" s="298">
        <f t="shared" si="365"/>
        <v>0.25</v>
      </c>
      <c r="BY1166">
        <f t="shared" si="366"/>
        <v>0</v>
      </c>
      <c r="BZ1166" s="304">
        <f t="shared" si="367"/>
        <v>0</v>
      </c>
      <c r="CB1166" s="299">
        <v>0.6</v>
      </c>
      <c r="CC1166" s="299">
        <v>0.4</v>
      </c>
      <c r="CD1166">
        <f t="shared" si="368"/>
        <v>0</v>
      </c>
      <c r="CE1166">
        <f t="shared" si="369"/>
        <v>0</v>
      </c>
      <c r="CF1166">
        <f t="shared" si="370"/>
        <v>0</v>
      </c>
      <c r="CG1166">
        <f t="shared" si="371"/>
        <v>0</v>
      </c>
      <c r="CH1166">
        <f t="shared" si="372"/>
        <v>0</v>
      </c>
      <c r="CI1166">
        <f t="shared" si="373"/>
        <v>0</v>
      </c>
      <c r="CJ1166">
        <f t="shared" si="374"/>
        <v>0</v>
      </c>
      <c r="CK1166">
        <f t="shared" si="375"/>
        <v>0</v>
      </c>
      <c r="CL1166">
        <f t="shared" si="376"/>
        <v>0</v>
      </c>
      <c r="CM1166">
        <f t="shared" si="378"/>
        <v>0</v>
      </c>
      <c r="CN1166">
        <f t="shared" si="377"/>
        <v>0</v>
      </c>
      <c r="CO1166">
        <f t="shared" si="361"/>
        <v>0</v>
      </c>
    </row>
    <row r="1167" spans="1:93" x14ac:dyDescent="0.25">
      <c r="A1167" s="4">
        <v>2021</v>
      </c>
      <c r="B1167" s="318">
        <v>44279</v>
      </c>
      <c r="C1167" s="4" t="s">
        <v>66</v>
      </c>
      <c r="D1167" s="4" t="s">
        <v>1504</v>
      </c>
      <c r="E1167" s="4" t="s">
        <v>87</v>
      </c>
      <c r="F1167" s="4" t="s">
        <v>90</v>
      </c>
      <c r="G1167" s="5" t="s">
        <v>17</v>
      </c>
      <c r="H1167" s="5" t="s">
        <v>22</v>
      </c>
      <c r="I1167" s="5" t="s">
        <v>146</v>
      </c>
      <c r="J1167" s="5" t="s">
        <v>10</v>
      </c>
      <c r="K1167" s="5">
        <v>18</v>
      </c>
      <c r="L1167" s="5" t="s">
        <v>193</v>
      </c>
      <c r="M1167" s="5">
        <v>1666</v>
      </c>
      <c r="N1167" s="5" t="s">
        <v>170</v>
      </c>
      <c r="O1167" s="6" t="s">
        <v>81</v>
      </c>
      <c r="P1167" s="6" t="s">
        <v>1505</v>
      </c>
      <c r="S1167" s="6">
        <v>44</v>
      </c>
      <c r="T1167" s="6">
        <v>16.579999999999998</v>
      </c>
      <c r="U1167" s="6">
        <v>1453</v>
      </c>
      <c r="V1167" s="6">
        <v>26.19</v>
      </c>
      <c r="W1167" s="6">
        <v>41</v>
      </c>
      <c r="X1167" s="6">
        <v>369</v>
      </c>
      <c r="Y1167" s="6">
        <v>713</v>
      </c>
      <c r="Z1167" s="6">
        <v>301</v>
      </c>
      <c r="AA1167" s="6">
        <v>28</v>
      </c>
      <c r="AB1167" s="6">
        <v>0</v>
      </c>
      <c r="AC1167" s="7">
        <v>149</v>
      </c>
      <c r="AD1167" s="7" t="s">
        <v>52</v>
      </c>
      <c r="AE1167" s="7">
        <v>32.75</v>
      </c>
      <c r="AF1167" s="7">
        <v>56</v>
      </c>
      <c r="AG1167" s="7">
        <v>23.7</v>
      </c>
      <c r="AH1167" s="7">
        <v>73.400000000000006</v>
      </c>
      <c r="AI1167" s="7">
        <v>73.400000000000006</v>
      </c>
      <c r="AJ1167" s="9">
        <v>383.97092595771198</v>
      </c>
      <c r="AK1167" s="9">
        <v>442.00494039702301</v>
      </c>
      <c r="AL1167" s="9">
        <v>470.38369883115598</v>
      </c>
      <c r="AM1167" s="9">
        <v>74.148144212436605</v>
      </c>
      <c r="AN1167" s="9">
        <v>0.49763855176131999</v>
      </c>
      <c r="AO1167" s="9">
        <v>0.20147536538645699</v>
      </c>
      <c r="AP1167" s="9">
        <v>1150.2775334493899</v>
      </c>
      <c r="AQ1167" s="9">
        <v>7.7199834459690599</v>
      </c>
      <c r="AR1167" s="9">
        <v>4.72746718100018</v>
      </c>
      <c r="AS1167" s="8" t="s">
        <v>169</v>
      </c>
      <c r="AT1167" s="8" t="s">
        <v>169</v>
      </c>
      <c r="AU1167" s="10" t="s">
        <v>169</v>
      </c>
      <c r="AV1167" s="10">
        <v>0</v>
      </c>
      <c r="AX1167" s="10" t="s">
        <v>169</v>
      </c>
      <c r="BF1167" s="12">
        <v>0.55000000000000004</v>
      </c>
      <c r="BG1167" s="13">
        <v>450.588384838678</v>
      </c>
      <c r="BH1167" s="96" t="str">
        <f>+VLOOKUP(G1167,Liste!$A$7:$G$50,3,FALSE)</f>
        <v>Chêne sessile</v>
      </c>
      <c r="BI1167" s="96" t="str">
        <f>+VLOOKUP(H1167,Liste!$B$7:$G$50,5,FALSE)</f>
        <v>Guide chênaie continentale</v>
      </c>
      <c r="BJ1167" s="135">
        <f t="shared" si="360"/>
        <v>149</v>
      </c>
      <c r="BK1167" s="135" t="str">
        <f t="shared" si="362"/>
        <v>Chêne sessile_F2_Dynamique_Guide chênaie continentale_149_</v>
      </c>
      <c r="BL1167" s="322"/>
      <c r="BM1167" s="13">
        <v>108.762804315361</v>
      </c>
      <c r="BN1167" s="13">
        <v>559.35118915403905</v>
      </c>
      <c r="BO1167" s="13" t="s">
        <v>169</v>
      </c>
      <c r="BP1167" s="13">
        <v>305.10291717349702</v>
      </c>
      <c r="BQ1167" s="13">
        <v>5.3980708514767999</v>
      </c>
      <c r="BT1167" s="298" t="str">
        <f>+VLOOKUP(G1167,Liste!$A$7:$H$50,8,FALSE)</f>
        <v>Feuillus</v>
      </c>
      <c r="BU1167" s="298">
        <f t="shared" si="363"/>
        <v>1</v>
      </c>
      <c r="BV1167" s="300">
        <f t="shared" si="364"/>
        <v>0</v>
      </c>
      <c r="BW1167" s="321">
        <v>0</v>
      </c>
      <c r="BX1167" s="298">
        <f t="shared" si="365"/>
        <v>0.25</v>
      </c>
      <c r="BY1167">
        <f t="shared" si="366"/>
        <v>0</v>
      </c>
      <c r="BZ1167" s="304">
        <f t="shared" si="367"/>
        <v>0</v>
      </c>
      <c r="CB1167" s="299">
        <v>0.6</v>
      </c>
      <c r="CC1167" s="299">
        <v>0.4</v>
      </c>
      <c r="CD1167">
        <f t="shared" si="368"/>
        <v>0</v>
      </c>
      <c r="CE1167">
        <f t="shared" si="369"/>
        <v>0</v>
      </c>
      <c r="CF1167">
        <f t="shared" si="370"/>
        <v>0</v>
      </c>
      <c r="CG1167">
        <f t="shared" si="371"/>
        <v>0</v>
      </c>
      <c r="CH1167">
        <f t="shared" si="372"/>
        <v>0</v>
      </c>
      <c r="CI1167">
        <f t="shared" si="373"/>
        <v>0</v>
      </c>
      <c r="CJ1167">
        <f t="shared" si="374"/>
        <v>0</v>
      </c>
      <c r="CK1167">
        <f t="shared" si="375"/>
        <v>0</v>
      </c>
      <c r="CL1167">
        <f t="shared" si="376"/>
        <v>0</v>
      </c>
      <c r="CM1167">
        <f t="shared" si="378"/>
        <v>0</v>
      </c>
      <c r="CN1167">
        <f t="shared" si="377"/>
        <v>0</v>
      </c>
      <c r="CO1167">
        <f t="shared" si="361"/>
        <v>0</v>
      </c>
    </row>
    <row r="1168" spans="1:93" x14ac:dyDescent="0.25">
      <c r="A1168" s="4">
        <v>2021</v>
      </c>
      <c r="B1168" s="318">
        <v>44279</v>
      </c>
      <c r="C1168" s="4" t="s">
        <v>66</v>
      </c>
      <c r="D1168" s="4" t="s">
        <v>1504</v>
      </c>
      <c r="E1168" s="4" t="s">
        <v>87</v>
      </c>
      <c r="F1168" s="4" t="s">
        <v>90</v>
      </c>
      <c r="G1168" s="5" t="s">
        <v>17</v>
      </c>
      <c r="H1168" s="5" t="s">
        <v>22</v>
      </c>
      <c r="I1168" s="5" t="s">
        <v>146</v>
      </c>
      <c r="J1168" s="5" t="s">
        <v>10</v>
      </c>
      <c r="K1168" s="5">
        <v>18</v>
      </c>
      <c r="L1168" s="5" t="s">
        <v>193</v>
      </c>
      <c r="M1168" s="5">
        <v>1666</v>
      </c>
      <c r="N1168" s="5" t="s">
        <v>170</v>
      </c>
      <c r="O1168" s="6" t="s">
        <v>81</v>
      </c>
      <c r="P1168" s="6" t="s">
        <v>1505</v>
      </c>
      <c r="S1168" s="6">
        <v>44</v>
      </c>
      <c r="T1168" s="6">
        <v>16.579999999999998</v>
      </c>
      <c r="U1168" s="6">
        <v>1453</v>
      </c>
      <c r="V1168" s="6">
        <v>26.19</v>
      </c>
      <c r="W1168" s="6">
        <v>41</v>
      </c>
      <c r="X1168" s="6">
        <v>369</v>
      </c>
      <c r="Y1168" s="6">
        <v>713</v>
      </c>
      <c r="Z1168" s="6">
        <v>301</v>
      </c>
      <c r="AA1168" s="6">
        <v>28</v>
      </c>
      <c r="AB1168" s="6">
        <v>0</v>
      </c>
      <c r="AC1168" s="7">
        <v>149</v>
      </c>
      <c r="AD1168" s="7" t="s">
        <v>53</v>
      </c>
      <c r="AE1168" s="7">
        <v>32.75</v>
      </c>
      <c r="AF1168" s="7">
        <v>33</v>
      </c>
      <c r="AG1168" s="7">
        <v>14.11</v>
      </c>
      <c r="AH1168" s="7">
        <v>73.790000000000006</v>
      </c>
      <c r="AI1168" s="7">
        <v>73.790000000000006</v>
      </c>
      <c r="AJ1168" s="9">
        <v>228.686691244755</v>
      </c>
      <c r="AK1168" s="9">
        <v>263.64153007721097</v>
      </c>
      <c r="AL1168" s="9">
        <v>280.529091445414</v>
      </c>
      <c r="AM1168" s="9">
        <v>74.148144212436605</v>
      </c>
      <c r="AN1168" s="9">
        <v>0.49763855176131999</v>
      </c>
      <c r="AO1168" s="9">
        <v>0.20147536538645699</v>
      </c>
      <c r="AP1168" s="9">
        <v>1150.2775334493899</v>
      </c>
      <c r="AQ1168" s="9">
        <v>7.7199834459690599</v>
      </c>
      <c r="AR1168" s="9">
        <v>4.72746718100018</v>
      </c>
      <c r="AS1168" s="8">
        <v>23</v>
      </c>
      <c r="AT1168" s="8">
        <v>9.59</v>
      </c>
      <c r="AU1168" s="10">
        <v>72.861892091372937</v>
      </c>
      <c r="AV1168" s="10">
        <v>155.28423471295699</v>
      </c>
      <c r="AW1168" s="8">
        <v>0.98</v>
      </c>
      <c r="AX1168" s="10">
        <v>6.7514884657807386</v>
      </c>
      <c r="BF1168" s="12">
        <v>0.55000000000000004</v>
      </c>
      <c r="BG1168" s="13">
        <v>268.72349218041899</v>
      </c>
      <c r="BH1168" s="96" t="str">
        <f>+VLOOKUP(G1168,Liste!$A$7:$G$50,3,FALSE)</f>
        <v>Chêne sessile</v>
      </c>
      <c r="BI1168" s="96" t="str">
        <f>+VLOOKUP(H1168,Liste!$B$7:$G$50,5,FALSE)</f>
        <v>Guide chênaie continentale</v>
      </c>
      <c r="BJ1168" s="135">
        <f t="shared" si="360"/>
        <v>149</v>
      </c>
      <c r="BK1168" s="135" t="str">
        <f t="shared" si="362"/>
        <v>Chêne sessile_F2_Dynamique_Guide chênaie continentale_149_</v>
      </c>
      <c r="BL1168" s="322"/>
      <c r="BM1168" s="13">
        <v>68.886616549439694</v>
      </c>
      <c r="BN1168" s="13">
        <v>337.61010872985901</v>
      </c>
      <c r="BO1168" s="13">
        <v>221.74108042418004</v>
      </c>
      <c r="BP1168" s="13">
        <v>305.10291717349702</v>
      </c>
      <c r="BQ1168" s="13">
        <v>5.3980708514767999</v>
      </c>
      <c r="BT1168" s="298" t="str">
        <f>+VLOOKUP(G1168,Liste!$A$7:$H$50,8,FALSE)</f>
        <v>Feuillus</v>
      </c>
      <c r="BU1168" s="298">
        <f t="shared" si="363"/>
        <v>1</v>
      </c>
      <c r="BV1168" s="300">
        <f t="shared" si="364"/>
        <v>0</v>
      </c>
      <c r="BW1168" s="321">
        <v>0</v>
      </c>
      <c r="BX1168" s="298">
        <f t="shared" si="365"/>
        <v>0.25</v>
      </c>
      <c r="BY1168">
        <f t="shared" si="366"/>
        <v>0</v>
      </c>
      <c r="BZ1168" s="304">
        <f t="shared" si="367"/>
        <v>0</v>
      </c>
      <c r="CB1168" s="299">
        <v>0.6</v>
      </c>
      <c r="CC1168" s="299">
        <v>0.4</v>
      </c>
      <c r="CD1168">
        <f t="shared" si="368"/>
        <v>0</v>
      </c>
      <c r="CE1168">
        <f t="shared" si="369"/>
        <v>0</v>
      </c>
      <c r="CF1168">
        <f t="shared" si="370"/>
        <v>0</v>
      </c>
      <c r="CG1168">
        <f t="shared" si="371"/>
        <v>0</v>
      </c>
      <c r="CH1168">
        <f t="shared" si="372"/>
        <v>0</v>
      </c>
      <c r="CI1168">
        <f t="shared" si="373"/>
        <v>0</v>
      </c>
      <c r="CJ1168">
        <f t="shared" si="374"/>
        <v>0</v>
      </c>
      <c r="CK1168">
        <f t="shared" si="375"/>
        <v>0</v>
      </c>
      <c r="CL1168">
        <f t="shared" si="376"/>
        <v>0</v>
      </c>
      <c r="CM1168">
        <f t="shared" si="378"/>
        <v>0</v>
      </c>
      <c r="CN1168">
        <f t="shared" si="377"/>
        <v>0</v>
      </c>
      <c r="CO1168">
        <f t="shared" si="361"/>
        <v>0</v>
      </c>
    </row>
    <row r="1169" spans="1:93" x14ac:dyDescent="0.25">
      <c r="A1169" s="4">
        <v>2021</v>
      </c>
      <c r="B1169" s="318">
        <v>44279</v>
      </c>
      <c r="C1169" s="4" t="s">
        <v>66</v>
      </c>
      <c r="D1169" s="4" t="s">
        <v>1504</v>
      </c>
      <c r="E1169" s="4" t="s">
        <v>87</v>
      </c>
      <c r="F1169" s="4" t="s">
        <v>90</v>
      </c>
      <c r="G1169" s="5" t="s">
        <v>17</v>
      </c>
      <c r="H1169" s="5" t="s">
        <v>22</v>
      </c>
      <c r="I1169" s="5" t="s">
        <v>146</v>
      </c>
      <c r="J1169" s="5" t="s">
        <v>10</v>
      </c>
      <c r="K1169" s="5">
        <v>18</v>
      </c>
      <c r="L1169" s="5" t="s">
        <v>193</v>
      </c>
      <c r="M1169" s="5">
        <v>1666</v>
      </c>
      <c r="N1169" s="5" t="s">
        <v>170</v>
      </c>
      <c r="O1169" s="6" t="s">
        <v>81</v>
      </c>
      <c r="P1169" s="6" t="s">
        <v>1505</v>
      </c>
      <c r="S1169" s="6">
        <v>44</v>
      </c>
      <c r="T1169" s="6">
        <v>16.579999999999998</v>
      </c>
      <c r="U1169" s="6">
        <v>1453</v>
      </c>
      <c r="V1169" s="6">
        <v>26.19</v>
      </c>
      <c r="W1169" s="6">
        <v>41</v>
      </c>
      <c r="X1169" s="6">
        <v>369</v>
      </c>
      <c r="Y1169" s="6">
        <v>713</v>
      </c>
      <c r="Z1169" s="6">
        <v>301</v>
      </c>
      <c r="AA1169" s="6">
        <v>28</v>
      </c>
      <c r="AB1169" s="6">
        <v>0</v>
      </c>
      <c r="AC1169" s="7">
        <v>153</v>
      </c>
      <c r="AD1169" s="7" t="s">
        <v>52</v>
      </c>
      <c r="AE1169" s="7">
        <v>33.049999999999997</v>
      </c>
      <c r="AF1169" s="7">
        <v>33</v>
      </c>
      <c r="AG1169" s="7">
        <v>14.92</v>
      </c>
      <c r="AH1169" s="7">
        <v>75.87</v>
      </c>
      <c r="AI1169" s="7">
        <v>75.87</v>
      </c>
      <c r="AJ1169" s="9">
        <v>243.87942253589199</v>
      </c>
      <c r="AK1169" s="9">
        <v>281.65574619386598</v>
      </c>
      <c r="AL1169" s="9">
        <v>299.438960169415</v>
      </c>
      <c r="AM1169" s="9">
        <v>74.954045673982407</v>
      </c>
      <c r="AN1169" s="9">
        <v>0.48989572335936199</v>
      </c>
      <c r="AO1169" s="9">
        <v>0.12904840701768799</v>
      </c>
      <c r="AP1169" s="9">
        <v>1169.18740217339</v>
      </c>
      <c r="AQ1169" s="9">
        <v>7.6417477266234703</v>
      </c>
      <c r="AR1169" s="9">
        <v>2.9854151738786099</v>
      </c>
      <c r="AS1169" s="8" t="s">
        <v>169</v>
      </c>
      <c r="AT1169" s="8" t="s">
        <v>169</v>
      </c>
      <c r="AU1169" s="10" t="s">
        <v>169</v>
      </c>
      <c r="AV1169" s="10">
        <v>0</v>
      </c>
      <c r="AX1169" s="10" t="s">
        <v>169</v>
      </c>
      <c r="BF1169" s="12">
        <v>0.55000000000000004</v>
      </c>
      <c r="BG1169" s="13">
        <v>286.83757059561799</v>
      </c>
      <c r="BH1169" s="96" t="str">
        <f>+VLOOKUP(G1169,Liste!$A$7:$G$50,3,FALSE)</f>
        <v>Chêne sessile</v>
      </c>
      <c r="BI1169" s="96" t="str">
        <f>+VLOOKUP(H1169,Liste!$B$7:$G$50,5,FALSE)</f>
        <v>Guide chênaie continentale</v>
      </c>
      <c r="BJ1169" s="135">
        <f t="shared" si="360"/>
        <v>153</v>
      </c>
      <c r="BK1169" s="135" t="str">
        <f t="shared" si="362"/>
        <v>Chêne sessile_F2_Dynamique_Guide chênaie continentale_153_</v>
      </c>
      <c r="BL1169" s="322"/>
      <c r="BM1169" s="13">
        <v>72.973906608284906</v>
      </c>
      <c r="BN1169" s="13">
        <v>359.811477203903</v>
      </c>
      <c r="BO1169" s="13" t="s">
        <v>169</v>
      </c>
      <c r="BP1169" s="13">
        <v>305.10291717349702</v>
      </c>
      <c r="BQ1169" s="13">
        <v>3.4080597654042299</v>
      </c>
      <c r="BT1169" s="298" t="str">
        <f>+VLOOKUP(G1169,Liste!$A$7:$H$50,8,FALSE)</f>
        <v>Feuillus</v>
      </c>
      <c r="BU1169" s="298">
        <f t="shared" si="363"/>
        <v>1</v>
      </c>
      <c r="BV1169" s="300">
        <f t="shared" si="364"/>
        <v>0</v>
      </c>
      <c r="BW1169" s="321">
        <v>0</v>
      </c>
      <c r="BX1169" s="298">
        <f t="shared" si="365"/>
        <v>0.25</v>
      </c>
      <c r="BY1169">
        <f t="shared" si="366"/>
        <v>0</v>
      </c>
      <c r="BZ1169" s="304">
        <f t="shared" si="367"/>
        <v>0</v>
      </c>
      <c r="CB1169" s="299">
        <v>0.6</v>
      </c>
      <c r="CC1169" s="299">
        <v>0.4</v>
      </c>
      <c r="CD1169">
        <f t="shared" si="368"/>
        <v>0</v>
      </c>
      <c r="CE1169">
        <f t="shared" si="369"/>
        <v>0</v>
      </c>
      <c r="CF1169">
        <f t="shared" si="370"/>
        <v>0</v>
      </c>
      <c r="CG1169">
        <f t="shared" si="371"/>
        <v>0</v>
      </c>
      <c r="CH1169">
        <f t="shared" si="372"/>
        <v>0</v>
      </c>
      <c r="CI1169">
        <f t="shared" si="373"/>
        <v>0</v>
      </c>
      <c r="CJ1169">
        <f t="shared" si="374"/>
        <v>0</v>
      </c>
      <c r="CK1169">
        <f t="shared" si="375"/>
        <v>0</v>
      </c>
      <c r="CL1169">
        <f t="shared" si="376"/>
        <v>0</v>
      </c>
      <c r="CM1169">
        <f t="shared" si="378"/>
        <v>0</v>
      </c>
      <c r="CN1169">
        <f t="shared" si="377"/>
        <v>0</v>
      </c>
      <c r="CO1169">
        <f t="shared" si="361"/>
        <v>0</v>
      </c>
    </row>
    <row r="1170" spans="1:93" x14ac:dyDescent="0.25">
      <c r="A1170" s="4">
        <v>2021</v>
      </c>
      <c r="B1170" s="318">
        <v>44279</v>
      </c>
      <c r="C1170" s="4" t="s">
        <v>66</v>
      </c>
      <c r="D1170" s="4" t="s">
        <v>1504</v>
      </c>
      <c r="E1170" s="4" t="s">
        <v>87</v>
      </c>
      <c r="F1170" s="4" t="s">
        <v>90</v>
      </c>
      <c r="G1170" s="5" t="s">
        <v>17</v>
      </c>
      <c r="H1170" s="5" t="s">
        <v>22</v>
      </c>
      <c r="I1170" s="5" t="s">
        <v>146</v>
      </c>
      <c r="J1170" s="5" t="s">
        <v>10</v>
      </c>
      <c r="K1170" s="5">
        <v>18</v>
      </c>
      <c r="L1170" s="5" t="s">
        <v>193</v>
      </c>
      <c r="M1170" s="5">
        <v>1666</v>
      </c>
      <c r="N1170" s="5" t="s">
        <v>170</v>
      </c>
      <c r="O1170" s="6" t="s">
        <v>81</v>
      </c>
      <c r="P1170" s="6" t="s">
        <v>1505</v>
      </c>
      <c r="S1170" s="6">
        <v>44</v>
      </c>
      <c r="T1170" s="6">
        <v>16.579999999999998</v>
      </c>
      <c r="U1170" s="6">
        <v>1453</v>
      </c>
      <c r="V1170" s="6">
        <v>26.19</v>
      </c>
      <c r="W1170" s="6">
        <v>41</v>
      </c>
      <c r="X1170" s="6">
        <v>369</v>
      </c>
      <c r="Y1170" s="6">
        <v>713</v>
      </c>
      <c r="Z1170" s="6">
        <v>301</v>
      </c>
      <c r="AA1170" s="6">
        <v>28</v>
      </c>
      <c r="AB1170" s="6">
        <v>0</v>
      </c>
      <c r="AC1170" s="7">
        <v>153</v>
      </c>
      <c r="AD1170" s="7" t="s">
        <v>53</v>
      </c>
      <c r="AE1170" s="7">
        <v>33.049999999999997</v>
      </c>
      <c r="AF1170" s="7">
        <v>22</v>
      </c>
      <c r="AG1170" s="7">
        <v>9.7200000000000006</v>
      </c>
      <c r="AH1170" s="7">
        <v>75</v>
      </c>
      <c r="AI1170" s="7">
        <v>75</v>
      </c>
      <c r="AJ1170" s="9">
        <v>158.888934733144</v>
      </c>
      <c r="AK1170" s="9">
        <v>183.40728890317899</v>
      </c>
      <c r="AL1170" s="9">
        <v>194.99698998608201</v>
      </c>
      <c r="AM1170" s="9">
        <v>74.954045673982407</v>
      </c>
      <c r="AN1170" s="9">
        <v>0.48989572335936199</v>
      </c>
      <c r="AO1170" s="9">
        <v>0.12904840701768799</v>
      </c>
      <c r="AP1170" s="9">
        <v>1169.18740217339</v>
      </c>
      <c r="AQ1170" s="9">
        <v>7.6417477266234703</v>
      </c>
      <c r="AR1170" s="9">
        <v>2.9854151738786099</v>
      </c>
      <c r="AS1170" s="8">
        <v>11</v>
      </c>
      <c r="AT1170" s="8">
        <v>5.1999999999999993</v>
      </c>
      <c r="AU1170" s="10">
        <v>77.581895923673315</v>
      </c>
      <c r="AV1170" s="10">
        <v>84.990487802747992</v>
      </c>
      <c r="AW1170" s="8">
        <v>1.05</v>
      </c>
      <c r="AX1170" s="10">
        <v>7.7264079820679994</v>
      </c>
      <c r="BF1170" s="12">
        <v>0.55000000000000004</v>
      </c>
      <c r="BG1170" s="13">
        <v>186.790866657501</v>
      </c>
      <c r="BH1170" s="96" t="str">
        <f>+VLOOKUP(G1170,Liste!$A$7:$G$50,3,FALSE)</f>
        <v>Chêne sessile</v>
      </c>
      <c r="BI1170" s="96" t="str">
        <f>+VLOOKUP(H1170,Liste!$B$7:$G$50,5,FALSE)</f>
        <v>Guide chênaie continentale</v>
      </c>
      <c r="BJ1170" s="135">
        <f t="shared" si="360"/>
        <v>153</v>
      </c>
      <c r="BK1170" s="135" t="str">
        <f t="shared" si="362"/>
        <v>Chêne sessile_F2_Dynamique_Guide chênaie continentale_153_</v>
      </c>
      <c r="BL1170" s="322"/>
      <c r="BM1170" s="13">
        <v>49.953996201813297</v>
      </c>
      <c r="BN1170" s="13">
        <v>236.744862859314</v>
      </c>
      <c r="BO1170" s="13">
        <v>123.066614344589</v>
      </c>
      <c r="BP1170" s="13">
        <v>305.10291717349702</v>
      </c>
      <c r="BQ1170" s="13">
        <v>3.4080597654042299</v>
      </c>
      <c r="BT1170" s="298" t="str">
        <f>+VLOOKUP(G1170,Liste!$A$7:$H$50,8,FALSE)</f>
        <v>Feuillus</v>
      </c>
      <c r="BU1170" s="298">
        <f t="shared" si="363"/>
        <v>1</v>
      </c>
      <c r="BV1170" s="300">
        <f t="shared" si="364"/>
        <v>0</v>
      </c>
      <c r="BW1170" s="321">
        <v>0</v>
      </c>
      <c r="BX1170" s="298">
        <f t="shared" si="365"/>
        <v>0.25</v>
      </c>
      <c r="BY1170">
        <f t="shared" si="366"/>
        <v>0</v>
      </c>
      <c r="BZ1170" s="304">
        <f t="shared" si="367"/>
        <v>0</v>
      </c>
      <c r="CB1170" s="299">
        <v>0.6</v>
      </c>
      <c r="CC1170" s="299">
        <v>0.4</v>
      </c>
      <c r="CD1170">
        <f t="shared" si="368"/>
        <v>0</v>
      </c>
      <c r="CE1170">
        <f t="shared" si="369"/>
        <v>0</v>
      </c>
      <c r="CF1170">
        <f t="shared" si="370"/>
        <v>0</v>
      </c>
      <c r="CG1170">
        <f t="shared" si="371"/>
        <v>0</v>
      </c>
      <c r="CH1170">
        <f t="shared" si="372"/>
        <v>0</v>
      </c>
      <c r="CI1170">
        <f t="shared" si="373"/>
        <v>0</v>
      </c>
      <c r="CJ1170">
        <f t="shared" si="374"/>
        <v>0</v>
      </c>
      <c r="CK1170">
        <f t="shared" si="375"/>
        <v>0</v>
      </c>
      <c r="CL1170">
        <f t="shared" si="376"/>
        <v>0</v>
      </c>
      <c r="CM1170">
        <f t="shared" si="378"/>
        <v>0</v>
      </c>
      <c r="CN1170">
        <f t="shared" si="377"/>
        <v>0</v>
      </c>
      <c r="CO1170">
        <f t="shared" si="361"/>
        <v>0</v>
      </c>
    </row>
    <row r="1171" spans="1:93" x14ac:dyDescent="0.25">
      <c r="A1171" s="4">
        <v>2021</v>
      </c>
      <c r="B1171" s="318">
        <v>44279</v>
      </c>
      <c r="C1171" s="4" t="s">
        <v>66</v>
      </c>
      <c r="D1171" s="4" t="s">
        <v>1504</v>
      </c>
      <c r="E1171" s="4" t="s">
        <v>87</v>
      </c>
      <c r="F1171" s="4" t="s">
        <v>90</v>
      </c>
      <c r="G1171" s="5" t="s">
        <v>17</v>
      </c>
      <c r="H1171" s="5" t="s">
        <v>22</v>
      </c>
      <c r="I1171" s="5" t="s">
        <v>146</v>
      </c>
      <c r="J1171" s="5" t="s">
        <v>10</v>
      </c>
      <c r="K1171" s="5">
        <v>18</v>
      </c>
      <c r="L1171" s="5" t="s">
        <v>193</v>
      </c>
      <c r="M1171" s="5">
        <v>1666</v>
      </c>
      <c r="N1171" s="5" t="s">
        <v>170</v>
      </c>
      <c r="O1171" s="6" t="s">
        <v>81</v>
      </c>
      <c r="P1171" s="6" t="s">
        <v>1505</v>
      </c>
      <c r="S1171" s="6">
        <v>44</v>
      </c>
      <c r="T1171" s="6">
        <v>16.579999999999998</v>
      </c>
      <c r="U1171" s="6">
        <v>1453</v>
      </c>
      <c r="V1171" s="6">
        <v>26.19</v>
      </c>
      <c r="W1171" s="6">
        <v>41</v>
      </c>
      <c r="X1171" s="6">
        <v>369</v>
      </c>
      <c r="Y1171" s="6">
        <v>713</v>
      </c>
      <c r="Z1171" s="6">
        <v>301</v>
      </c>
      <c r="AA1171" s="6">
        <v>28</v>
      </c>
      <c r="AB1171" s="6">
        <v>0</v>
      </c>
      <c r="AC1171" s="7">
        <v>157</v>
      </c>
      <c r="AD1171" s="7" t="s">
        <v>52</v>
      </c>
      <c r="AE1171" s="7">
        <v>33.26</v>
      </c>
      <c r="AF1171" s="7">
        <v>22</v>
      </c>
      <c r="AG1171" s="7">
        <v>10.24</v>
      </c>
      <c r="AH1171" s="7">
        <v>76.97</v>
      </c>
      <c r="AI1171" s="7">
        <v>76.97</v>
      </c>
      <c r="AJ1171" s="9">
        <v>168.38874911564201</v>
      </c>
      <c r="AK1171" s="9">
        <v>194.773359515035</v>
      </c>
      <c r="AL1171" s="9">
        <v>206.93865068159599</v>
      </c>
      <c r="AM1171" s="9">
        <v>75.470239302053201</v>
      </c>
      <c r="AN1171" s="9">
        <v>0.48070216115957498</v>
      </c>
      <c r="AO1171" s="9">
        <v>8.56690561104827E-2</v>
      </c>
      <c r="AP1171" s="9">
        <v>1181.1290628689101</v>
      </c>
      <c r="AQ1171" s="9">
        <v>7.5231150501204098</v>
      </c>
      <c r="AR1171" s="9">
        <v>1.89599596173355</v>
      </c>
      <c r="AS1171" s="8" t="s">
        <v>169</v>
      </c>
      <c r="AT1171" s="8" t="s">
        <v>169</v>
      </c>
      <c r="AU1171" s="10" t="s">
        <v>169</v>
      </c>
      <c r="AV1171" s="10">
        <v>0</v>
      </c>
      <c r="AX1171" s="10" t="s">
        <v>169</v>
      </c>
      <c r="BF1171" s="12">
        <v>0.55000000000000004</v>
      </c>
      <c r="BG1171" s="13">
        <v>198.22998246541201</v>
      </c>
      <c r="BH1171" s="96" t="str">
        <f>+VLOOKUP(G1171,Liste!$A$7:$G$50,3,FALSE)</f>
        <v>Chêne sessile</v>
      </c>
      <c r="BI1171" s="96" t="str">
        <f>+VLOOKUP(H1171,Liste!$B$7:$G$50,5,FALSE)</f>
        <v>Guide chênaie continentale</v>
      </c>
      <c r="BJ1171" s="135">
        <f t="shared" si="360"/>
        <v>157</v>
      </c>
      <c r="BK1171" s="135" t="str">
        <f t="shared" si="362"/>
        <v>Chêne sessile_F2_Dynamique_Guide chênaie continentale_157_</v>
      </c>
      <c r="BL1171" s="322"/>
      <c r="BM1171" s="13">
        <v>52.6476786078494</v>
      </c>
      <c r="BN1171" s="13">
        <v>250.877661073262</v>
      </c>
      <c r="BO1171" s="13" t="s">
        <v>169</v>
      </c>
      <c r="BP1171" s="13">
        <v>305.10291717349702</v>
      </c>
      <c r="BQ1171" s="13">
        <v>2.1640764229454699</v>
      </c>
      <c r="BT1171" s="298" t="str">
        <f>+VLOOKUP(G1171,Liste!$A$7:$H$50,8,FALSE)</f>
        <v>Feuillus</v>
      </c>
      <c r="BU1171" s="298">
        <f t="shared" si="363"/>
        <v>1</v>
      </c>
      <c r="BV1171" s="300">
        <f t="shared" si="364"/>
        <v>0</v>
      </c>
      <c r="BW1171" s="321">
        <v>0</v>
      </c>
      <c r="BX1171" s="298">
        <f t="shared" si="365"/>
        <v>0.25</v>
      </c>
      <c r="BY1171">
        <f t="shared" si="366"/>
        <v>0</v>
      </c>
      <c r="BZ1171" s="304">
        <f t="shared" si="367"/>
        <v>0</v>
      </c>
      <c r="CB1171" s="299">
        <v>0.6</v>
      </c>
      <c r="CC1171" s="299">
        <v>0.4</v>
      </c>
      <c r="CD1171">
        <f t="shared" si="368"/>
        <v>0</v>
      </c>
      <c r="CE1171">
        <f t="shared" si="369"/>
        <v>0</v>
      </c>
      <c r="CF1171">
        <f t="shared" si="370"/>
        <v>0</v>
      </c>
      <c r="CG1171">
        <f t="shared" si="371"/>
        <v>0</v>
      </c>
      <c r="CH1171">
        <f t="shared" si="372"/>
        <v>0</v>
      </c>
      <c r="CI1171">
        <f t="shared" si="373"/>
        <v>0</v>
      </c>
      <c r="CJ1171">
        <f t="shared" si="374"/>
        <v>0</v>
      </c>
      <c r="CK1171">
        <f t="shared" si="375"/>
        <v>0</v>
      </c>
      <c r="CL1171">
        <f t="shared" si="376"/>
        <v>0</v>
      </c>
      <c r="CM1171">
        <f t="shared" si="378"/>
        <v>0</v>
      </c>
      <c r="CN1171">
        <f t="shared" si="377"/>
        <v>0</v>
      </c>
      <c r="CO1171">
        <f t="shared" si="361"/>
        <v>0</v>
      </c>
    </row>
    <row r="1172" spans="1:93" x14ac:dyDescent="0.25">
      <c r="A1172" s="4">
        <v>2021</v>
      </c>
      <c r="B1172" s="318">
        <v>44279</v>
      </c>
      <c r="C1172" s="4" t="s">
        <v>66</v>
      </c>
      <c r="D1172" s="4" t="s">
        <v>1504</v>
      </c>
      <c r="E1172" s="4" t="s">
        <v>87</v>
      </c>
      <c r="F1172" s="4" t="s">
        <v>90</v>
      </c>
      <c r="G1172" s="5" t="s">
        <v>17</v>
      </c>
      <c r="H1172" s="5" t="s">
        <v>22</v>
      </c>
      <c r="I1172" s="5" t="s">
        <v>146</v>
      </c>
      <c r="J1172" s="5" t="s">
        <v>10</v>
      </c>
      <c r="K1172" s="5">
        <v>18</v>
      </c>
      <c r="L1172" s="5" t="s">
        <v>193</v>
      </c>
      <c r="M1172" s="5">
        <v>1666</v>
      </c>
      <c r="N1172" s="5" t="s">
        <v>170</v>
      </c>
      <c r="O1172" s="6" t="s">
        <v>81</v>
      </c>
      <c r="P1172" s="6" t="s">
        <v>1505</v>
      </c>
      <c r="S1172" s="6">
        <v>44</v>
      </c>
      <c r="T1172" s="6">
        <v>16.579999999999998</v>
      </c>
      <c r="U1172" s="6">
        <v>1453</v>
      </c>
      <c r="V1172" s="6">
        <v>26.19</v>
      </c>
      <c r="W1172" s="6">
        <v>41</v>
      </c>
      <c r="X1172" s="6">
        <v>369</v>
      </c>
      <c r="Y1172" s="6">
        <v>713</v>
      </c>
      <c r="Z1172" s="6">
        <v>301</v>
      </c>
      <c r="AA1172" s="6">
        <v>28</v>
      </c>
      <c r="AB1172" s="6">
        <v>0</v>
      </c>
      <c r="AC1172" s="7">
        <v>157</v>
      </c>
      <c r="AD1172" s="7" t="s">
        <v>53</v>
      </c>
      <c r="AE1172" s="7">
        <v>33.26</v>
      </c>
      <c r="AF1172" s="7">
        <v>15</v>
      </c>
      <c r="AG1172" s="7">
        <v>6.9</v>
      </c>
      <c r="AH1172" s="7">
        <v>76.55</v>
      </c>
      <c r="AI1172" s="7">
        <v>76.55</v>
      </c>
      <c r="AJ1172" s="9">
        <v>113.55218816452999</v>
      </c>
      <c r="AK1172" s="9">
        <v>131.44301087273399</v>
      </c>
      <c r="AL1172" s="9">
        <v>139.644537657738</v>
      </c>
      <c r="AM1172" s="9">
        <v>75.470239302053201</v>
      </c>
      <c r="AN1172" s="9">
        <v>0.48070216115957398</v>
      </c>
      <c r="AO1172" s="9">
        <v>8.56690561104827E-2</v>
      </c>
      <c r="AP1172" s="9">
        <v>1181.1290628689101</v>
      </c>
      <c r="AQ1172" s="9">
        <v>7.5231150501204098</v>
      </c>
      <c r="AR1172" s="9">
        <v>1.89599596173355</v>
      </c>
      <c r="AS1172" s="8">
        <v>7</v>
      </c>
      <c r="AT1172" s="8">
        <v>3.34</v>
      </c>
      <c r="AU1172" s="10">
        <v>77.943386775415803</v>
      </c>
      <c r="AV1172" s="10">
        <v>54.83656095111202</v>
      </c>
      <c r="AW1172" s="8">
        <v>1.02</v>
      </c>
      <c r="AX1172" s="10">
        <v>7.8337944215874318</v>
      </c>
      <c r="BF1172" s="12">
        <v>0.55000000000000004</v>
      </c>
      <c r="BG1172" s="13">
        <v>133.76783003130799</v>
      </c>
      <c r="BH1172" s="96" t="str">
        <f>+VLOOKUP(G1172,Liste!$A$7:$G$50,3,FALSE)</f>
        <v>Chêne sessile</v>
      </c>
      <c r="BI1172" s="96" t="str">
        <f>+VLOOKUP(H1172,Liste!$B$7:$G$50,5,FALSE)</f>
        <v>Guide chênaie continentale</v>
      </c>
      <c r="BJ1172" s="135">
        <f t="shared" si="360"/>
        <v>157</v>
      </c>
      <c r="BK1172" s="135" t="str">
        <f t="shared" si="362"/>
        <v>Chêne sessile_F2_Dynamique_Guide chênaie continentale_157_</v>
      </c>
      <c r="BL1172" s="322"/>
      <c r="BM1172" s="13">
        <v>37.191589678575397</v>
      </c>
      <c r="BN1172" s="13">
        <v>170.959419709884</v>
      </c>
      <c r="BO1172" s="13">
        <v>79.918241363378002</v>
      </c>
      <c r="BP1172" s="13">
        <v>305.10291717349702</v>
      </c>
      <c r="BQ1172" s="13">
        <v>2.1640764229454699</v>
      </c>
      <c r="BT1172" s="298" t="str">
        <f>+VLOOKUP(G1172,Liste!$A$7:$H$50,8,FALSE)</f>
        <v>Feuillus</v>
      </c>
      <c r="BU1172" s="298">
        <f t="shared" si="363"/>
        <v>1</v>
      </c>
      <c r="BV1172" s="300">
        <f t="shared" si="364"/>
        <v>0</v>
      </c>
      <c r="BW1172" s="321">
        <v>0</v>
      </c>
      <c r="BX1172" s="298">
        <f t="shared" si="365"/>
        <v>0.25</v>
      </c>
      <c r="BY1172">
        <f t="shared" si="366"/>
        <v>0</v>
      </c>
      <c r="BZ1172" s="304">
        <f t="shared" si="367"/>
        <v>0</v>
      </c>
      <c r="CB1172" s="299">
        <v>0.6</v>
      </c>
      <c r="CC1172" s="299">
        <v>0.4</v>
      </c>
      <c r="CD1172">
        <f t="shared" si="368"/>
        <v>0</v>
      </c>
      <c r="CE1172">
        <f t="shared" si="369"/>
        <v>0</v>
      </c>
      <c r="CF1172">
        <f t="shared" si="370"/>
        <v>0</v>
      </c>
      <c r="CG1172">
        <f t="shared" si="371"/>
        <v>0</v>
      </c>
      <c r="CH1172">
        <f t="shared" si="372"/>
        <v>0</v>
      </c>
      <c r="CI1172">
        <f t="shared" si="373"/>
        <v>0</v>
      </c>
      <c r="CJ1172">
        <f t="shared" si="374"/>
        <v>0</v>
      </c>
      <c r="CK1172">
        <f t="shared" si="375"/>
        <v>0</v>
      </c>
      <c r="CL1172">
        <f t="shared" si="376"/>
        <v>0</v>
      </c>
      <c r="CM1172">
        <f t="shared" si="378"/>
        <v>0</v>
      </c>
      <c r="CN1172">
        <f t="shared" si="377"/>
        <v>0</v>
      </c>
      <c r="CO1172">
        <f t="shared" si="361"/>
        <v>0</v>
      </c>
    </row>
    <row r="1173" spans="1:93" x14ac:dyDescent="0.25">
      <c r="A1173" s="4">
        <v>2021</v>
      </c>
      <c r="B1173" s="318">
        <v>44279</v>
      </c>
      <c r="C1173" s="4" t="s">
        <v>66</v>
      </c>
      <c r="D1173" s="4" t="s">
        <v>1504</v>
      </c>
      <c r="E1173" s="4" t="s">
        <v>87</v>
      </c>
      <c r="F1173" s="4" t="s">
        <v>90</v>
      </c>
      <c r="G1173" s="5" t="s">
        <v>17</v>
      </c>
      <c r="H1173" s="5" t="s">
        <v>22</v>
      </c>
      <c r="I1173" s="5" t="s">
        <v>146</v>
      </c>
      <c r="J1173" s="5" t="s">
        <v>10</v>
      </c>
      <c r="K1173" s="5">
        <v>18</v>
      </c>
      <c r="L1173" s="5" t="s">
        <v>193</v>
      </c>
      <c r="M1173" s="5">
        <v>1666</v>
      </c>
      <c r="N1173" s="5" t="s">
        <v>170</v>
      </c>
      <c r="O1173" s="6" t="s">
        <v>81</v>
      </c>
      <c r="P1173" s="6" t="s">
        <v>1505</v>
      </c>
      <c r="S1173" s="6">
        <v>44</v>
      </c>
      <c r="T1173" s="6">
        <v>16.579999999999998</v>
      </c>
      <c r="U1173" s="6">
        <v>1453</v>
      </c>
      <c r="V1173" s="6">
        <v>26.19</v>
      </c>
      <c r="W1173" s="6">
        <v>41</v>
      </c>
      <c r="X1173" s="6">
        <v>369</v>
      </c>
      <c r="Y1173" s="6">
        <v>713</v>
      </c>
      <c r="Z1173" s="6">
        <v>301</v>
      </c>
      <c r="AA1173" s="6">
        <v>28</v>
      </c>
      <c r="AB1173" s="6">
        <v>0</v>
      </c>
      <c r="AC1173" s="7">
        <v>161</v>
      </c>
      <c r="AD1173" s="7" t="s">
        <v>52</v>
      </c>
      <c r="AE1173" s="7">
        <v>33.409999999999997</v>
      </c>
      <c r="AF1173" s="7">
        <v>15</v>
      </c>
      <c r="AG1173" s="7">
        <v>7.25</v>
      </c>
      <c r="AH1173" s="7">
        <v>78.430000000000007</v>
      </c>
      <c r="AI1173" s="7">
        <v>78.430000000000007</v>
      </c>
      <c r="AJ1173" s="9">
        <v>119.43687153616401</v>
      </c>
      <c r="AK1173" s="9">
        <v>138.640857568325</v>
      </c>
      <c r="AL1173" s="9">
        <v>147.22852150467199</v>
      </c>
      <c r="AM1173" s="9">
        <v>75.812915526495104</v>
      </c>
      <c r="AN1173" s="9">
        <v>0.47088767407760901</v>
      </c>
      <c r="AP1173" s="9">
        <v>1188.7130467158399</v>
      </c>
      <c r="AQ1173" s="9">
        <v>7.3833108491667003</v>
      </c>
      <c r="AS1173" s="8" t="s">
        <v>169</v>
      </c>
      <c r="AT1173" s="8" t="s">
        <v>169</v>
      </c>
      <c r="AU1173" s="10" t="s">
        <v>169</v>
      </c>
      <c r="AV1173" s="10">
        <v>0</v>
      </c>
      <c r="AX1173" s="10" t="s">
        <v>169</v>
      </c>
      <c r="BF1173" s="12">
        <v>0.55000000000000004</v>
      </c>
      <c r="BG1173" s="13">
        <v>141.03265455801699</v>
      </c>
      <c r="BH1173" s="96" t="str">
        <f>+VLOOKUP(G1173,Liste!$A$7:$G$50,3,FALSE)</f>
        <v>Chêne sessile</v>
      </c>
      <c r="BI1173" s="96" t="str">
        <f>+VLOOKUP(H1173,Liste!$B$7:$G$50,5,FALSE)</f>
        <v>Guide chênaie continentale</v>
      </c>
      <c r="BJ1173" s="135">
        <f t="shared" si="360"/>
        <v>161</v>
      </c>
      <c r="BK1173" s="135" t="str">
        <f t="shared" si="362"/>
        <v>Chêne sessile_F2_Dynamique_Guide chênaie continentale_161_</v>
      </c>
      <c r="BL1173" s="322"/>
      <c r="BM1173" s="13">
        <v>38.9707949725044</v>
      </c>
      <c r="BN1173" s="13">
        <v>180.003449530522</v>
      </c>
      <c r="BO1173" s="13" t="s">
        <v>169</v>
      </c>
      <c r="BP1173" s="13">
        <v>305.10291717349702</v>
      </c>
      <c r="BQ1173" s="13"/>
      <c r="BT1173" s="298" t="str">
        <f>+VLOOKUP(G1173,Liste!$A$7:$H$50,8,FALSE)</f>
        <v>Feuillus</v>
      </c>
      <c r="BU1173" s="298">
        <f t="shared" si="363"/>
        <v>1</v>
      </c>
      <c r="BV1173" s="300">
        <f t="shared" si="364"/>
        <v>0</v>
      </c>
      <c r="BW1173" s="321">
        <v>0</v>
      </c>
      <c r="BX1173" s="298">
        <f t="shared" si="365"/>
        <v>0.25</v>
      </c>
      <c r="BY1173">
        <f t="shared" si="366"/>
        <v>0</v>
      </c>
      <c r="BZ1173" s="304">
        <f t="shared" si="367"/>
        <v>0</v>
      </c>
      <c r="CB1173" s="299">
        <v>0.6</v>
      </c>
      <c r="CC1173" s="299">
        <v>0.4</v>
      </c>
      <c r="CD1173">
        <f t="shared" si="368"/>
        <v>0</v>
      </c>
      <c r="CE1173">
        <f t="shared" si="369"/>
        <v>0</v>
      </c>
      <c r="CF1173">
        <f t="shared" si="370"/>
        <v>0</v>
      </c>
      <c r="CG1173">
        <f t="shared" si="371"/>
        <v>0</v>
      </c>
      <c r="CH1173">
        <f t="shared" si="372"/>
        <v>0</v>
      </c>
      <c r="CI1173">
        <f t="shared" si="373"/>
        <v>0</v>
      </c>
      <c r="CJ1173">
        <f t="shared" si="374"/>
        <v>0</v>
      </c>
      <c r="CK1173">
        <f t="shared" si="375"/>
        <v>0</v>
      </c>
      <c r="CL1173">
        <f t="shared" si="376"/>
        <v>0</v>
      </c>
      <c r="CM1173">
        <f t="shared" si="378"/>
        <v>0</v>
      </c>
      <c r="CN1173">
        <f t="shared" si="377"/>
        <v>0</v>
      </c>
      <c r="CO1173">
        <f t="shared" si="361"/>
        <v>0</v>
      </c>
    </row>
    <row r="1174" spans="1:93" x14ac:dyDescent="0.25">
      <c r="A1174" s="4">
        <v>2021</v>
      </c>
      <c r="B1174" s="318">
        <v>44279</v>
      </c>
      <c r="C1174" s="4" t="s">
        <v>66</v>
      </c>
      <c r="D1174" s="4" t="s">
        <v>1504</v>
      </c>
      <c r="E1174" s="4" t="s">
        <v>87</v>
      </c>
      <c r="F1174" s="4" t="s">
        <v>90</v>
      </c>
      <c r="G1174" s="5" t="s">
        <v>17</v>
      </c>
      <c r="H1174" s="5" t="s">
        <v>22</v>
      </c>
      <c r="I1174" s="5" t="s">
        <v>146</v>
      </c>
      <c r="J1174" s="5" t="s">
        <v>10</v>
      </c>
      <c r="K1174" s="5">
        <v>18</v>
      </c>
      <c r="L1174" s="5" t="s">
        <v>193</v>
      </c>
      <c r="M1174" s="5">
        <v>1666</v>
      </c>
      <c r="N1174" s="5" t="s">
        <v>170</v>
      </c>
      <c r="O1174" s="6" t="s">
        <v>81</v>
      </c>
      <c r="P1174" s="6" t="s">
        <v>1505</v>
      </c>
      <c r="S1174" s="6">
        <v>44</v>
      </c>
      <c r="T1174" s="6">
        <v>16.579999999999998</v>
      </c>
      <c r="U1174" s="6">
        <v>1453</v>
      </c>
      <c r="V1174" s="6">
        <v>26.19</v>
      </c>
      <c r="W1174" s="6">
        <v>41</v>
      </c>
      <c r="X1174" s="6">
        <v>369</v>
      </c>
      <c r="Y1174" s="6">
        <v>713</v>
      </c>
      <c r="Z1174" s="6">
        <v>301</v>
      </c>
      <c r="AA1174" s="6">
        <v>28</v>
      </c>
      <c r="AB1174" s="6">
        <v>0</v>
      </c>
      <c r="AC1174" s="7">
        <v>161</v>
      </c>
      <c r="AD1174" s="7" t="s">
        <v>53</v>
      </c>
      <c r="AE1174" s="7">
        <v>33.409999999999997</v>
      </c>
      <c r="AF1174" s="7">
        <v>0</v>
      </c>
      <c r="AG1174" s="7">
        <v>0</v>
      </c>
      <c r="AH1174" s="7">
        <v>0</v>
      </c>
      <c r="AI1174" s="7">
        <v>0</v>
      </c>
      <c r="AJ1174" s="9">
        <v>0</v>
      </c>
      <c r="AK1174" s="9">
        <v>0</v>
      </c>
      <c r="AL1174" s="9">
        <v>0</v>
      </c>
      <c r="AM1174" s="9">
        <v>75.812915526495104</v>
      </c>
      <c r="AN1174" s="9">
        <v>0.47088767407760901</v>
      </c>
      <c r="AP1174" s="9">
        <v>1188.7130467158399</v>
      </c>
      <c r="AQ1174" s="9">
        <v>7.3833108491667003</v>
      </c>
      <c r="AS1174" s="8">
        <v>15</v>
      </c>
      <c r="AT1174" s="8">
        <v>7.25</v>
      </c>
      <c r="AU1174" s="10">
        <v>78.447378113526653</v>
      </c>
      <c r="AV1174" s="10">
        <v>119.43687153616401</v>
      </c>
      <c r="AW1174" s="8">
        <v>1</v>
      </c>
      <c r="AX1174" s="10">
        <v>7.9624581024109338</v>
      </c>
      <c r="BF1174" s="12">
        <v>0.55000000000000004</v>
      </c>
      <c r="BG1174" s="13">
        <v>0</v>
      </c>
      <c r="BH1174" s="96" t="str">
        <f>+VLOOKUP(G1174,Liste!$A$7:$G$50,3,FALSE)</f>
        <v>Chêne sessile</v>
      </c>
      <c r="BI1174" s="96" t="str">
        <f>+VLOOKUP(H1174,Liste!$B$7:$G$50,5,FALSE)</f>
        <v>Guide chênaie continentale</v>
      </c>
      <c r="BJ1174" s="135">
        <f t="shared" si="360"/>
        <v>161</v>
      </c>
      <c r="BK1174" s="135" t="str">
        <f t="shared" si="362"/>
        <v>Chêne sessile_F2_Dynamique_Guide chênaie continentale_161_</v>
      </c>
      <c r="BL1174" s="322"/>
      <c r="BM1174" s="13">
        <v>0</v>
      </c>
      <c r="BN1174" s="13">
        <v>0</v>
      </c>
      <c r="BO1174" s="13">
        <v>180.003449530522</v>
      </c>
      <c r="BP1174" s="13">
        <v>305.10291717349702</v>
      </c>
      <c r="BQ1174" s="13"/>
      <c r="BT1174" s="298" t="str">
        <f>+VLOOKUP(G1174,Liste!$A$7:$H$50,8,FALSE)</f>
        <v>Feuillus</v>
      </c>
      <c r="BU1174" s="298">
        <f t="shared" si="363"/>
        <v>1</v>
      </c>
      <c r="BV1174" s="300">
        <f t="shared" si="364"/>
        <v>0</v>
      </c>
      <c r="BW1174" s="321">
        <v>0</v>
      </c>
      <c r="BX1174" s="298">
        <f t="shared" si="365"/>
        <v>0.25</v>
      </c>
      <c r="BY1174">
        <f t="shared" si="366"/>
        <v>0</v>
      </c>
      <c r="BZ1174" s="304">
        <f t="shared" si="367"/>
        <v>0</v>
      </c>
      <c r="CB1174" s="299">
        <v>0.6</v>
      </c>
      <c r="CC1174" s="299">
        <v>0.4</v>
      </c>
      <c r="CD1174">
        <f t="shared" si="368"/>
        <v>0</v>
      </c>
      <c r="CE1174">
        <f t="shared" si="369"/>
        <v>0</v>
      </c>
      <c r="CF1174">
        <f t="shared" si="370"/>
        <v>0</v>
      </c>
      <c r="CG1174">
        <f t="shared" si="371"/>
        <v>0</v>
      </c>
      <c r="CH1174">
        <f t="shared" si="372"/>
        <v>0</v>
      </c>
      <c r="CI1174">
        <f t="shared" si="373"/>
        <v>0</v>
      </c>
      <c r="CJ1174">
        <f t="shared" si="374"/>
        <v>0</v>
      </c>
      <c r="CK1174">
        <f t="shared" si="375"/>
        <v>0</v>
      </c>
      <c r="CL1174">
        <f t="shared" si="376"/>
        <v>0</v>
      </c>
      <c r="CM1174">
        <f t="shared" si="378"/>
        <v>0</v>
      </c>
      <c r="CN1174">
        <f t="shared" si="377"/>
        <v>0</v>
      </c>
      <c r="CO1174">
        <f t="shared" si="361"/>
        <v>0</v>
      </c>
    </row>
    <row r="1175" spans="1:93" x14ac:dyDescent="0.25">
      <c r="A1175" s="4">
        <v>2021</v>
      </c>
      <c r="B1175" s="318">
        <v>44279</v>
      </c>
      <c r="C1175" s="4" t="s">
        <v>66</v>
      </c>
      <c r="D1175" s="4" t="s">
        <v>1504</v>
      </c>
      <c r="E1175" s="4" t="s">
        <v>87</v>
      </c>
      <c r="F1175" s="4" t="s">
        <v>90</v>
      </c>
      <c r="G1175" s="5" t="s">
        <v>17</v>
      </c>
      <c r="H1175" s="5" t="s">
        <v>22</v>
      </c>
      <c r="I1175" s="5" t="s">
        <v>146</v>
      </c>
      <c r="J1175" s="5" t="s">
        <v>9</v>
      </c>
      <c r="K1175" s="5">
        <v>21.5</v>
      </c>
      <c r="L1175" s="5" t="s">
        <v>194</v>
      </c>
      <c r="M1175" s="5">
        <v>1666</v>
      </c>
      <c r="N1175" s="5" t="s">
        <v>170</v>
      </c>
      <c r="O1175" s="6" t="s">
        <v>81</v>
      </c>
      <c r="P1175" s="6" t="s">
        <v>1505</v>
      </c>
      <c r="S1175" s="6">
        <v>35</v>
      </c>
      <c r="T1175" s="6">
        <v>16.59</v>
      </c>
      <c r="U1175" s="6">
        <v>1453</v>
      </c>
      <c r="V1175" s="6">
        <v>26.19</v>
      </c>
      <c r="W1175" s="6">
        <v>41</v>
      </c>
      <c r="X1175" s="6">
        <v>369</v>
      </c>
      <c r="Y1175" s="6">
        <v>713</v>
      </c>
      <c r="Z1175" s="6">
        <v>301</v>
      </c>
      <c r="AA1175" s="6">
        <v>28</v>
      </c>
      <c r="AB1175" s="6">
        <v>0</v>
      </c>
      <c r="AC1175" s="7">
        <v>30</v>
      </c>
      <c r="AD1175" s="7" t="s">
        <v>52</v>
      </c>
      <c r="AJ1175" s="9">
        <v>163.38414489825001</v>
      </c>
      <c r="AK1175" s="9">
        <v>172.53529229477701</v>
      </c>
      <c r="AL1175" s="9">
        <v>216.83846007394001</v>
      </c>
      <c r="AU1175" s="10"/>
      <c r="AV1175" s="10">
        <v>0</v>
      </c>
      <c r="AX1175" s="10"/>
      <c r="BF1175" s="12">
        <v>0.55000000000000004</v>
      </c>
      <c r="BG1175" s="13">
        <v>207.71317487916201</v>
      </c>
      <c r="BH1175" s="96" t="str">
        <f>+VLOOKUP(G1175,Liste!$A$7:$G$50,3,FALSE)</f>
        <v>Chêne sessile</v>
      </c>
      <c r="BI1175" s="96" t="str">
        <f>+VLOOKUP(H1175,Liste!$B$7:$G$50,5,FALSE)</f>
        <v>Guide chênaie continentale</v>
      </c>
      <c r="BJ1175" s="135">
        <f t="shared" si="360"/>
        <v>30</v>
      </c>
      <c r="BK1175" s="135" t="str">
        <f t="shared" si="362"/>
        <v>Chêne sessile_F1_Dynamique_Guide chênaie continentale_30_</v>
      </c>
      <c r="BL1175" s="322"/>
      <c r="BM1175" s="13">
        <v>54.867051813555499</v>
      </c>
      <c r="BN1175" s="13">
        <v>262.58022669271702</v>
      </c>
      <c r="BP1175" s="13">
        <v>345.74943247867299</v>
      </c>
      <c r="BQ1175" s="13"/>
      <c r="BT1175" s="298" t="str">
        <f>+VLOOKUP(G1175,Liste!$A$7:$H$50,8,FALSE)</f>
        <v>Feuillus</v>
      </c>
      <c r="BU1175" s="298">
        <f t="shared" si="363"/>
        <v>1</v>
      </c>
      <c r="BV1175" s="300">
        <f t="shared" si="364"/>
        <v>0</v>
      </c>
      <c r="BW1175" s="321">
        <v>0</v>
      </c>
      <c r="BX1175" s="298">
        <f t="shared" si="365"/>
        <v>0.25</v>
      </c>
      <c r="BY1175">
        <f t="shared" si="366"/>
        <v>0</v>
      </c>
      <c r="BZ1175" s="304">
        <f t="shared" si="367"/>
        <v>0</v>
      </c>
      <c r="CB1175" s="299">
        <v>0.6</v>
      </c>
      <c r="CC1175" s="299">
        <v>0.4</v>
      </c>
      <c r="CD1175">
        <f t="shared" si="368"/>
        <v>0</v>
      </c>
      <c r="CE1175">
        <f t="shared" si="369"/>
        <v>0</v>
      </c>
      <c r="CF1175">
        <f t="shared" si="370"/>
        <v>0</v>
      </c>
      <c r="CG1175">
        <f t="shared" si="371"/>
        <v>0</v>
      </c>
      <c r="CH1175">
        <f t="shared" si="372"/>
        <v>0</v>
      </c>
      <c r="CI1175">
        <f t="shared" si="373"/>
        <v>0</v>
      </c>
      <c r="CJ1175">
        <f t="shared" si="374"/>
        <v>0</v>
      </c>
      <c r="CK1175">
        <f t="shared" si="375"/>
        <v>0</v>
      </c>
      <c r="CL1175">
        <f t="shared" si="376"/>
        <v>0</v>
      </c>
      <c r="CM1175">
        <f t="shared" si="378"/>
        <v>0</v>
      </c>
      <c r="CN1175">
        <f t="shared" si="377"/>
        <v>0</v>
      </c>
      <c r="CO1175">
        <f t="shared" si="361"/>
        <v>0</v>
      </c>
    </row>
    <row r="1176" spans="1:93" x14ac:dyDescent="0.25">
      <c r="A1176" s="4">
        <v>2021</v>
      </c>
      <c r="B1176" s="318">
        <v>44279</v>
      </c>
      <c r="C1176" s="4" t="s">
        <v>66</v>
      </c>
      <c r="D1176" s="4" t="s">
        <v>1504</v>
      </c>
      <c r="E1176" s="4" t="s">
        <v>87</v>
      </c>
      <c r="F1176" s="4" t="s">
        <v>90</v>
      </c>
      <c r="G1176" s="5" t="s">
        <v>17</v>
      </c>
      <c r="H1176" s="5" t="s">
        <v>22</v>
      </c>
      <c r="I1176" s="5" t="s">
        <v>146</v>
      </c>
      <c r="J1176" s="5" t="s">
        <v>9</v>
      </c>
      <c r="K1176" s="5">
        <v>21.5</v>
      </c>
      <c r="L1176" s="5" t="s">
        <v>194</v>
      </c>
      <c r="M1176" s="5">
        <v>1666</v>
      </c>
      <c r="N1176" s="5" t="s">
        <v>170</v>
      </c>
      <c r="O1176" s="6" t="s">
        <v>81</v>
      </c>
      <c r="P1176" s="6" t="s">
        <v>1505</v>
      </c>
      <c r="S1176" s="6">
        <v>35</v>
      </c>
      <c r="T1176" s="6">
        <v>16.59</v>
      </c>
      <c r="U1176" s="6">
        <v>1453</v>
      </c>
      <c r="V1176" s="6">
        <v>26.19</v>
      </c>
      <c r="W1176" s="6">
        <v>41</v>
      </c>
      <c r="X1176" s="6">
        <v>369</v>
      </c>
      <c r="Y1176" s="6">
        <v>713</v>
      </c>
      <c r="Z1176" s="6">
        <v>301</v>
      </c>
      <c r="AA1176" s="6">
        <v>28</v>
      </c>
      <c r="AB1176" s="6">
        <v>0</v>
      </c>
      <c r="AC1176" s="7">
        <v>35</v>
      </c>
      <c r="AD1176" s="7" t="s">
        <v>52</v>
      </c>
      <c r="AE1176" s="7">
        <v>16.59</v>
      </c>
      <c r="AF1176" s="7">
        <v>1453</v>
      </c>
      <c r="AG1176" s="7">
        <v>26.19</v>
      </c>
      <c r="AH1176" s="7">
        <v>15.15</v>
      </c>
      <c r="AI1176" s="7">
        <v>21.98</v>
      </c>
      <c r="AJ1176" s="9">
        <v>190.614835714625</v>
      </c>
      <c r="AK1176" s="9">
        <v>201.29117434390699</v>
      </c>
      <c r="AL1176" s="9">
        <v>252.97820341959701</v>
      </c>
      <c r="AM1176" s="9">
        <v>26.186352864916</v>
      </c>
      <c r="AN1176" s="9">
        <v>0.74818151042617198</v>
      </c>
      <c r="AO1176" s="9">
        <v>1.0351827054985301</v>
      </c>
      <c r="AP1176" s="9">
        <v>252.97820341959701</v>
      </c>
      <c r="AQ1176" s="9">
        <v>7.2279486691313402</v>
      </c>
      <c r="AR1176" s="9">
        <v>14.1260895170215</v>
      </c>
      <c r="AS1176" s="8" t="s">
        <v>169</v>
      </c>
      <c r="AT1176" s="8" t="s">
        <v>169</v>
      </c>
      <c r="AU1176" s="8" t="s">
        <v>169</v>
      </c>
      <c r="AV1176" s="10">
        <v>0</v>
      </c>
      <c r="AW1176" s="8" t="s">
        <v>169</v>
      </c>
      <c r="AX1176" s="8" t="s">
        <v>169</v>
      </c>
      <c r="BF1176" s="12">
        <v>0.55000000000000004</v>
      </c>
      <c r="BG1176" s="13">
        <v>242.332037359022</v>
      </c>
      <c r="BH1176" s="96" t="str">
        <f>+VLOOKUP(G1176,Liste!$A$7:$G$50,3,FALSE)</f>
        <v>Chêne sessile</v>
      </c>
      <c r="BI1176" s="96" t="str">
        <f>+VLOOKUP(H1176,Liste!$B$7:$G$50,5,FALSE)</f>
        <v>Guide chênaie continentale</v>
      </c>
      <c r="BJ1176" s="135">
        <f t="shared" si="360"/>
        <v>35</v>
      </c>
      <c r="BK1176" s="135" t="str">
        <f t="shared" si="362"/>
        <v>Chêne sessile_F1_Dynamique_Guide chênaie continentale_35_</v>
      </c>
      <c r="BL1176" s="322"/>
      <c r="BM1176" s="13">
        <v>62.873235218698703</v>
      </c>
      <c r="BN1176" s="13">
        <v>305.20527257772102</v>
      </c>
      <c r="BO1176" s="12" t="s">
        <v>169</v>
      </c>
      <c r="BP1176" s="13">
        <v>345.74943247867299</v>
      </c>
      <c r="BQ1176" s="13">
        <v>16.6052388886778</v>
      </c>
      <c r="BT1176" s="298" t="str">
        <f>+VLOOKUP(G1176,Liste!$A$7:$H$50,8,FALSE)</f>
        <v>Feuillus</v>
      </c>
      <c r="BU1176" s="298">
        <f t="shared" si="363"/>
        <v>1</v>
      </c>
      <c r="BV1176" s="300">
        <f t="shared" si="364"/>
        <v>0</v>
      </c>
      <c r="BW1176" s="321">
        <v>0</v>
      </c>
      <c r="BX1176" s="298">
        <f t="shared" si="365"/>
        <v>0.25</v>
      </c>
      <c r="BY1176">
        <f t="shared" si="366"/>
        <v>0</v>
      </c>
      <c r="BZ1176" s="304">
        <f t="shared" si="367"/>
        <v>0</v>
      </c>
      <c r="CB1176" s="299">
        <v>0.6</v>
      </c>
      <c r="CC1176" s="299">
        <v>0.4</v>
      </c>
      <c r="CD1176">
        <f t="shared" si="368"/>
        <v>0</v>
      </c>
      <c r="CE1176">
        <f t="shared" si="369"/>
        <v>0</v>
      </c>
      <c r="CF1176">
        <f t="shared" si="370"/>
        <v>0</v>
      </c>
      <c r="CG1176">
        <f t="shared" si="371"/>
        <v>0</v>
      </c>
      <c r="CH1176">
        <f t="shared" si="372"/>
        <v>0</v>
      </c>
      <c r="CI1176">
        <f t="shared" si="373"/>
        <v>0</v>
      </c>
      <c r="CJ1176">
        <f t="shared" si="374"/>
        <v>0</v>
      </c>
      <c r="CK1176">
        <f t="shared" si="375"/>
        <v>0</v>
      </c>
      <c r="CL1176">
        <f t="shared" si="376"/>
        <v>0</v>
      </c>
      <c r="CM1176">
        <f t="shared" si="378"/>
        <v>0</v>
      </c>
      <c r="CN1176">
        <f t="shared" si="377"/>
        <v>0</v>
      </c>
      <c r="CO1176">
        <f t="shared" si="361"/>
        <v>0</v>
      </c>
    </row>
    <row r="1177" spans="1:93" x14ac:dyDescent="0.25">
      <c r="A1177" s="4">
        <v>2021</v>
      </c>
      <c r="B1177" s="318">
        <v>44279</v>
      </c>
      <c r="C1177" s="4" t="s">
        <v>66</v>
      </c>
      <c r="D1177" s="4" t="s">
        <v>1504</v>
      </c>
      <c r="E1177" s="4" t="s">
        <v>87</v>
      </c>
      <c r="F1177" s="4" t="s">
        <v>90</v>
      </c>
      <c r="G1177" s="5" t="s">
        <v>17</v>
      </c>
      <c r="H1177" s="5" t="s">
        <v>22</v>
      </c>
      <c r="I1177" s="5" t="s">
        <v>146</v>
      </c>
      <c r="J1177" s="5" t="s">
        <v>9</v>
      </c>
      <c r="K1177" s="5">
        <v>21.5</v>
      </c>
      <c r="L1177" s="5" t="s">
        <v>194</v>
      </c>
      <c r="M1177" s="5">
        <v>1666</v>
      </c>
      <c r="N1177" s="5" t="s">
        <v>170</v>
      </c>
      <c r="O1177" s="6" t="s">
        <v>81</v>
      </c>
      <c r="P1177" s="6" t="s">
        <v>1505</v>
      </c>
      <c r="S1177" s="6">
        <v>35</v>
      </c>
      <c r="T1177" s="6">
        <v>16.59</v>
      </c>
      <c r="U1177" s="6">
        <v>1453</v>
      </c>
      <c r="V1177" s="6">
        <v>26.19</v>
      </c>
      <c r="W1177" s="6">
        <v>41</v>
      </c>
      <c r="X1177" s="6">
        <v>369</v>
      </c>
      <c r="Y1177" s="6">
        <v>713</v>
      </c>
      <c r="Z1177" s="6">
        <v>301</v>
      </c>
      <c r="AA1177" s="6">
        <v>28</v>
      </c>
      <c r="AB1177" s="6">
        <v>0</v>
      </c>
      <c r="AC1177" s="7">
        <v>35</v>
      </c>
      <c r="AD1177" s="7" t="s">
        <v>53</v>
      </c>
      <c r="AE1177" s="7">
        <v>16.59</v>
      </c>
      <c r="AF1177" s="7">
        <v>700</v>
      </c>
      <c r="AG1177" s="7">
        <v>16.3</v>
      </c>
      <c r="AH1177" s="7">
        <v>17.22</v>
      </c>
      <c r="AI1177" s="7">
        <v>21.98</v>
      </c>
      <c r="AJ1177" s="9">
        <v>124.71445303953401</v>
      </c>
      <c r="AK1177" s="9">
        <v>133.32351918000899</v>
      </c>
      <c r="AL1177" s="9">
        <v>162.849156658684</v>
      </c>
      <c r="AM1177" s="9">
        <v>26.186352864916</v>
      </c>
      <c r="AN1177" s="9">
        <v>0.74818151042617198</v>
      </c>
      <c r="AO1177" s="9">
        <v>1.0351827054985301</v>
      </c>
      <c r="AP1177" s="9">
        <v>252.97820341959701</v>
      </c>
      <c r="AQ1177" s="9">
        <v>7.2279486691313402</v>
      </c>
      <c r="AR1177" s="9">
        <v>14.1260895170215</v>
      </c>
      <c r="AS1177" s="8">
        <v>753</v>
      </c>
      <c r="AT1177" s="8">
        <v>9.89</v>
      </c>
      <c r="AU1177" s="10">
        <v>12.931702860679351</v>
      </c>
      <c r="AV1177" s="10">
        <v>65.900382675090995</v>
      </c>
      <c r="AW1177" s="8">
        <v>0.73</v>
      </c>
      <c r="AX1177" s="10">
        <v>8.7517108466256308E-2</v>
      </c>
      <c r="BF1177" s="12">
        <v>0.55000000000000004</v>
      </c>
      <c r="BG1177" s="13">
        <v>155.99592131596401</v>
      </c>
      <c r="BH1177" s="96" t="str">
        <f>+VLOOKUP(G1177,Liste!$A$7:$G$50,3,FALSE)</f>
        <v>Chêne sessile</v>
      </c>
      <c r="BI1177" s="96" t="str">
        <f>+VLOOKUP(H1177,Liste!$B$7:$G$50,5,FALSE)</f>
        <v>Guide chênaie continentale</v>
      </c>
      <c r="BJ1177" s="135">
        <f t="shared" si="360"/>
        <v>35</v>
      </c>
      <c r="BK1177" s="135" t="str">
        <f t="shared" si="362"/>
        <v>Chêne sessile_F1_Dynamique_Guide chênaie continentale_35_</v>
      </c>
      <c r="BL1177" s="322"/>
      <c r="BM1177" s="13">
        <v>42.602516899922399</v>
      </c>
      <c r="BN1177" s="13">
        <v>198.59843821588601</v>
      </c>
      <c r="BO1177" s="13">
        <v>106.60683436183501</v>
      </c>
      <c r="BP1177" s="13">
        <v>345.74943247867299</v>
      </c>
      <c r="BQ1177" s="13">
        <v>16.6052388886778</v>
      </c>
      <c r="BT1177" s="298" t="str">
        <f>+VLOOKUP(G1177,Liste!$A$7:$H$50,8,FALSE)</f>
        <v>Feuillus</v>
      </c>
      <c r="BU1177" s="298">
        <f t="shared" si="363"/>
        <v>1</v>
      </c>
      <c r="BV1177" s="300">
        <f t="shared" si="364"/>
        <v>0</v>
      </c>
      <c r="BW1177" s="321">
        <v>0</v>
      </c>
      <c r="BX1177" s="298">
        <f t="shared" si="365"/>
        <v>0.25</v>
      </c>
      <c r="BY1177">
        <f t="shared" si="366"/>
        <v>0</v>
      </c>
      <c r="BZ1177" s="304">
        <f t="shared" si="367"/>
        <v>0</v>
      </c>
      <c r="CB1177" s="299">
        <v>0.6</v>
      </c>
      <c r="CC1177" s="299">
        <v>0.4</v>
      </c>
      <c r="CD1177">
        <f t="shared" si="368"/>
        <v>0</v>
      </c>
      <c r="CE1177">
        <f t="shared" si="369"/>
        <v>0</v>
      </c>
      <c r="CF1177">
        <f t="shared" si="370"/>
        <v>0</v>
      </c>
      <c r="CG1177">
        <f t="shared" si="371"/>
        <v>0</v>
      </c>
      <c r="CH1177">
        <f t="shared" si="372"/>
        <v>0</v>
      </c>
      <c r="CI1177">
        <f t="shared" si="373"/>
        <v>0</v>
      </c>
      <c r="CJ1177">
        <f t="shared" si="374"/>
        <v>0</v>
      </c>
      <c r="CK1177">
        <f t="shared" si="375"/>
        <v>0</v>
      </c>
      <c r="CL1177">
        <f t="shared" si="376"/>
        <v>0</v>
      </c>
      <c r="CM1177">
        <f t="shared" si="378"/>
        <v>0</v>
      </c>
      <c r="CN1177">
        <f t="shared" si="377"/>
        <v>0</v>
      </c>
      <c r="CO1177">
        <f t="shared" si="361"/>
        <v>0</v>
      </c>
    </row>
    <row r="1178" spans="1:93" x14ac:dyDescent="0.25">
      <c r="A1178" s="4">
        <v>2021</v>
      </c>
      <c r="B1178" s="318">
        <v>44279</v>
      </c>
      <c r="C1178" s="4" t="s">
        <v>66</v>
      </c>
      <c r="D1178" s="4" t="s">
        <v>1504</v>
      </c>
      <c r="E1178" s="4" t="s">
        <v>87</v>
      </c>
      <c r="F1178" s="4" t="s">
        <v>90</v>
      </c>
      <c r="G1178" s="5" t="s">
        <v>17</v>
      </c>
      <c r="H1178" s="5" t="s">
        <v>22</v>
      </c>
      <c r="I1178" s="5" t="s">
        <v>146</v>
      </c>
      <c r="J1178" s="5" t="s">
        <v>9</v>
      </c>
      <c r="K1178" s="5">
        <v>21.5</v>
      </c>
      <c r="L1178" s="5" t="s">
        <v>194</v>
      </c>
      <c r="M1178" s="5">
        <v>1666</v>
      </c>
      <c r="N1178" s="5" t="s">
        <v>170</v>
      </c>
      <c r="O1178" s="6" t="s">
        <v>81</v>
      </c>
      <c r="P1178" s="6" t="s">
        <v>1505</v>
      </c>
      <c r="S1178" s="6">
        <v>35</v>
      </c>
      <c r="T1178" s="6">
        <v>16.59</v>
      </c>
      <c r="U1178" s="6">
        <v>1453</v>
      </c>
      <c r="V1178" s="6">
        <v>26.19</v>
      </c>
      <c r="W1178" s="6">
        <v>41</v>
      </c>
      <c r="X1178" s="6">
        <v>369</v>
      </c>
      <c r="Y1178" s="6">
        <v>713</v>
      </c>
      <c r="Z1178" s="6">
        <v>301</v>
      </c>
      <c r="AA1178" s="6">
        <v>28</v>
      </c>
      <c r="AB1178" s="6">
        <v>0</v>
      </c>
      <c r="AC1178" s="7">
        <v>38</v>
      </c>
      <c r="AD1178" s="7" t="s">
        <v>52</v>
      </c>
      <c r="AE1178" s="7">
        <v>17.72</v>
      </c>
      <c r="AF1178" s="7">
        <v>700</v>
      </c>
      <c r="AG1178" s="7">
        <v>19.399999999999999</v>
      </c>
      <c r="AH1178" s="7">
        <v>18.79</v>
      </c>
      <c r="AI1178" s="7">
        <v>23.73</v>
      </c>
      <c r="AJ1178" s="9">
        <v>160.31838076762401</v>
      </c>
      <c r="AK1178" s="9">
        <v>171.812373625975</v>
      </c>
      <c r="AL1178" s="9">
        <v>205.22742520974799</v>
      </c>
      <c r="AM1178" s="9">
        <v>29.291900981411601</v>
      </c>
      <c r="AN1178" s="9">
        <v>0.77083949951083197</v>
      </c>
      <c r="AO1178" s="9">
        <v>1.0469914313026001</v>
      </c>
      <c r="AP1178" s="9">
        <v>295.356471970661</v>
      </c>
      <c r="AQ1178" s="9">
        <v>7.7725387360700404</v>
      </c>
      <c r="AR1178" s="9">
        <v>15.2687673787379</v>
      </c>
      <c r="AS1178" s="8" t="s">
        <v>169</v>
      </c>
      <c r="AT1178" s="8" t="s">
        <v>169</v>
      </c>
      <c r="AU1178" s="10" t="s">
        <v>169</v>
      </c>
      <c r="AV1178" s="10">
        <v>0</v>
      </c>
      <c r="AX1178" s="10" t="s">
        <v>169</v>
      </c>
      <c r="BF1178" s="12">
        <v>0.55000000000000004</v>
      </c>
      <c r="BG1178" s="13">
        <v>196.59077106550501</v>
      </c>
      <c r="BH1178" s="96" t="str">
        <f>+VLOOKUP(G1178,Liste!$A$7:$G$50,3,FALSE)</f>
        <v>Chêne sessile</v>
      </c>
      <c r="BI1178" s="96" t="str">
        <f>+VLOOKUP(H1178,Liste!$B$7:$G$50,5,FALSE)</f>
        <v>Guide chênaie continentale</v>
      </c>
      <c r="BJ1178" s="135">
        <f t="shared" si="360"/>
        <v>38</v>
      </c>
      <c r="BK1178" s="135" t="str">
        <f t="shared" si="362"/>
        <v>Chêne sessile_F1_Dynamique_Guide chênaie continentale_38_</v>
      </c>
      <c r="BL1178" s="322"/>
      <c r="BM1178" s="13">
        <v>52.262812059253299</v>
      </c>
      <c r="BN1178" s="13">
        <v>248.85358312475799</v>
      </c>
      <c r="BO1178" s="13" t="s">
        <v>169</v>
      </c>
      <c r="BP1178" s="13">
        <v>345.74943247867299</v>
      </c>
      <c r="BQ1178" s="13">
        <v>17.891230043886999</v>
      </c>
      <c r="BT1178" s="298" t="str">
        <f>+VLOOKUP(G1178,Liste!$A$7:$H$50,8,FALSE)</f>
        <v>Feuillus</v>
      </c>
      <c r="BU1178" s="298">
        <f t="shared" si="363"/>
        <v>1</v>
      </c>
      <c r="BV1178" s="300">
        <f t="shared" si="364"/>
        <v>0</v>
      </c>
      <c r="BW1178" s="321">
        <v>0</v>
      </c>
      <c r="BX1178" s="298">
        <f t="shared" si="365"/>
        <v>0.25</v>
      </c>
      <c r="BY1178">
        <f t="shared" si="366"/>
        <v>0</v>
      </c>
      <c r="BZ1178" s="304">
        <f t="shared" si="367"/>
        <v>0</v>
      </c>
      <c r="CB1178" s="299">
        <v>0.6</v>
      </c>
      <c r="CC1178" s="299">
        <v>0.4</v>
      </c>
      <c r="CD1178">
        <f t="shared" si="368"/>
        <v>0</v>
      </c>
      <c r="CE1178">
        <f t="shared" si="369"/>
        <v>0</v>
      </c>
      <c r="CF1178">
        <f t="shared" si="370"/>
        <v>0</v>
      </c>
      <c r="CG1178">
        <f t="shared" si="371"/>
        <v>0</v>
      </c>
      <c r="CH1178">
        <f t="shared" si="372"/>
        <v>0</v>
      </c>
      <c r="CI1178">
        <f t="shared" si="373"/>
        <v>0</v>
      </c>
      <c r="CJ1178">
        <f t="shared" si="374"/>
        <v>0</v>
      </c>
      <c r="CK1178">
        <f t="shared" si="375"/>
        <v>0</v>
      </c>
      <c r="CL1178">
        <f t="shared" si="376"/>
        <v>0</v>
      </c>
      <c r="CM1178">
        <f t="shared" si="378"/>
        <v>0</v>
      </c>
      <c r="CN1178">
        <f t="shared" si="377"/>
        <v>0</v>
      </c>
      <c r="CO1178">
        <f t="shared" si="361"/>
        <v>0</v>
      </c>
    </row>
    <row r="1179" spans="1:93" x14ac:dyDescent="0.25">
      <c r="A1179" s="4">
        <v>2021</v>
      </c>
      <c r="B1179" s="318">
        <v>44279</v>
      </c>
      <c r="C1179" s="4" t="s">
        <v>66</v>
      </c>
      <c r="D1179" s="4" t="s">
        <v>1504</v>
      </c>
      <c r="E1179" s="4" t="s">
        <v>87</v>
      </c>
      <c r="F1179" s="4" t="s">
        <v>90</v>
      </c>
      <c r="G1179" s="5" t="s">
        <v>17</v>
      </c>
      <c r="H1179" s="5" t="s">
        <v>22</v>
      </c>
      <c r="I1179" s="5" t="s">
        <v>146</v>
      </c>
      <c r="J1179" s="5" t="s">
        <v>9</v>
      </c>
      <c r="K1179" s="5">
        <v>21.5</v>
      </c>
      <c r="L1179" s="5" t="s">
        <v>194</v>
      </c>
      <c r="M1179" s="5">
        <v>1666</v>
      </c>
      <c r="N1179" s="5" t="s">
        <v>170</v>
      </c>
      <c r="O1179" s="6" t="s">
        <v>81</v>
      </c>
      <c r="P1179" s="6" t="s">
        <v>1505</v>
      </c>
      <c r="S1179" s="6">
        <v>35</v>
      </c>
      <c r="T1179" s="6">
        <v>16.59</v>
      </c>
      <c r="U1179" s="6">
        <v>1453</v>
      </c>
      <c r="V1179" s="6">
        <v>26.19</v>
      </c>
      <c r="W1179" s="6">
        <v>41</v>
      </c>
      <c r="X1179" s="6">
        <v>369</v>
      </c>
      <c r="Y1179" s="6">
        <v>713</v>
      </c>
      <c r="Z1179" s="6">
        <v>301</v>
      </c>
      <c r="AA1179" s="6">
        <v>28</v>
      </c>
      <c r="AB1179" s="6">
        <v>0</v>
      </c>
      <c r="AC1179" s="7">
        <v>41</v>
      </c>
      <c r="AD1179" s="7" t="s">
        <v>52</v>
      </c>
      <c r="AE1179" s="7">
        <v>18.8</v>
      </c>
      <c r="AF1179" s="7">
        <v>700</v>
      </c>
      <c r="AG1179" s="7">
        <v>22.54</v>
      </c>
      <c r="AH1179" s="7">
        <v>20.25</v>
      </c>
      <c r="AI1179" s="7">
        <v>25.39</v>
      </c>
      <c r="AJ1179" s="9">
        <v>199.16485691316601</v>
      </c>
      <c r="AK1179" s="9">
        <v>213.756881359137</v>
      </c>
      <c r="AL1179" s="9">
        <v>251.03372734596201</v>
      </c>
      <c r="AM1179" s="9">
        <v>32.432875275319397</v>
      </c>
      <c r="AN1179" s="9">
        <v>0.79104573842242498</v>
      </c>
      <c r="AO1179" s="9">
        <v>0.906947867567368</v>
      </c>
      <c r="AP1179" s="9">
        <v>341.16277410687502</v>
      </c>
      <c r="AQ1179" s="9">
        <v>8.3210432708993896</v>
      </c>
      <c r="AR1179" s="9">
        <v>13.639101246236899</v>
      </c>
      <c r="AS1179" s="8" t="s">
        <v>169</v>
      </c>
      <c r="AT1179" s="8" t="s">
        <v>169</v>
      </c>
      <c r="AU1179" s="10" t="s">
        <v>169</v>
      </c>
      <c r="AV1179" s="10">
        <v>0</v>
      </c>
      <c r="AX1179" s="10" t="s">
        <v>169</v>
      </c>
      <c r="BF1179" s="12">
        <v>0.55000000000000004</v>
      </c>
      <c r="BG1179" s="13">
        <v>240.46939132015299</v>
      </c>
      <c r="BH1179" s="96" t="str">
        <f>+VLOOKUP(G1179,Liste!$A$7:$G$50,3,FALSE)</f>
        <v>Chêne sessile</v>
      </c>
      <c r="BI1179" s="96" t="str">
        <f>+VLOOKUP(H1179,Liste!$B$7:$G$50,5,FALSE)</f>
        <v>Guide chênaie continentale</v>
      </c>
      <c r="BJ1179" s="135">
        <f t="shared" si="360"/>
        <v>41</v>
      </c>
      <c r="BK1179" s="135" t="str">
        <f t="shared" si="362"/>
        <v>Chêne sessile_F1_Dynamique_Guide chênaie continentale_41_</v>
      </c>
      <c r="BL1179" s="322"/>
      <c r="BM1179" s="13">
        <v>62.446030728679702</v>
      </c>
      <c r="BN1179" s="13">
        <v>302.915422048832</v>
      </c>
      <c r="BO1179" s="13" t="s">
        <v>169</v>
      </c>
      <c r="BP1179" s="13">
        <v>345.74943247867299</v>
      </c>
      <c r="BQ1179" s="13">
        <v>15.938497945366599</v>
      </c>
      <c r="BT1179" s="298" t="str">
        <f>+VLOOKUP(G1179,Liste!$A$7:$H$50,8,FALSE)</f>
        <v>Feuillus</v>
      </c>
      <c r="BU1179" s="298">
        <f t="shared" si="363"/>
        <v>1</v>
      </c>
      <c r="BV1179" s="300">
        <f t="shared" si="364"/>
        <v>0</v>
      </c>
      <c r="BW1179" s="321">
        <v>0</v>
      </c>
      <c r="BX1179" s="298">
        <f t="shared" si="365"/>
        <v>0.25</v>
      </c>
      <c r="BY1179">
        <f t="shared" si="366"/>
        <v>0</v>
      </c>
      <c r="BZ1179" s="304">
        <f t="shared" si="367"/>
        <v>0</v>
      </c>
      <c r="CB1179" s="299">
        <v>0.6</v>
      </c>
      <c r="CC1179" s="299">
        <v>0.4</v>
      </c>
      <c r="CD1179">
        <f t="shared" si="368"/>
        <v>0</v>
      </c>
      <c r="CE1179">
        <f t="shared" si="369"/>
        <v>0</v>
      </c>
      <c r="CF1179">
        <f t="shared" si="370"/>
        <v>0</v>
      </c>
      <c r="CG1179">
        <f t="shared" si="371"/>
        <v>0</v>
      </c>
      <c r="CH1179">
        <f t="shared" si="372"/>
        <v>0</v>
      </c>
      <c r="CI1179">
        <f t="shared" si="373"/>
        <v>0</v>
      </c>
      <c r="CJ1179">
        <f t="shared" si="374"/>
        <v>0</v>
      </c>
      <c r="CK1179">
        <f t="shared" si="375"/>
        <v>0</v>
      </c>
      <c r="CL1179">
        <f t="shared" si="376"/>
        <v>0</v>
      </c>
      <c r="CM1179">
        <f t="shared" si="378"/>
        <v>0</v>
      </c>
      <c r="CN1179">
        <f t="shared" si="377"/>
        <v>0</v>
      </c>
      <c r="CO1179">
        <f t="shared" si="361"/>
        <v>0</v>
      </c>
    </row>
    <row r="1180" spans="1:93" x14ac:dyDescent="0.25">
      <c r="A1180" s="4">
        <v>2021</v>
      </c>
      <c r="B1180" s="318">
        <v>44279</v>
      </c>
      <c r="C1180" s="4" t="s">
        <v>66</v>
      </c>
      <c r="D1180" s="4" t="s">
        <v>1504</v>
      </c>
      <c r="E1180" s="4" t="s">
        <v>87</v>
      </c>
      <c r="F1180" s="4" t="s">
        <v>90</v>
      </c>
      <c r="G1180" s="5" t="s">
        <v>17</v>
      </c>
      <c r="H1180" s="5" t="s">
        <v>22</v>
      </c>
      <c r="I1180" s="5" t="s">
        <v>146</v>
      </c>
      <c r="J1180" s="5" t="s">
        <v>9</v>
      </c>
      <c r="K1180" s="5">
        <v>21.5</v>
      </c>
      <c r="L1180" s="5" t="s">
        <v>194</v>
      </c>
      <c r="M1180" s="5">
        <v>1666</v>
      </c>
      <c r="N1180" s="5" t="s">
        <v>170</v>
      </c>
      <c r="O1180" s="6" t="s">
        <v>81</v>
      </c>
      <c r="P1180" s="6" t="s">
        <v>1505</v>
      </c>
      <c r="S1180" s="6">
        <v>35</v>
      </c>
      <c r="T1180" s="6">
        <v>16.59</v>
      </c>
      <c r="U1180" s="6">
        <v>1453</v>
      </c>
      <c r="V1180" s="6">
        <v>26.19</v>
      </c>
      <c r="W1180" s="6">
        <v>41</v>
      </c>
      <c r="X1180" s="6">
        <v>369</v>
      </c>
      <c r="Y1180" s="6">
        <v>713</v>
      </c>
      <c r="Z1180" s="6">
        <v>301</v>
      </c>
      <c r="AA1180" s="6">
        <v>28</v>
      </c>
      <c r="AB1180" s="6">
        <v>0</v>
      </c>
      <c r="AC1180" s="7">
        <v>41</v>
      </c>
      <c r="AD1180" s="7" t="s">
        <v>53</v>
      </c>
      <c r="AE1180" s="7">
        <v>18.8</v>
      </c>
      <c r="AF1180" s="7">
        <v>470</v>
      </c>
      <c r="AG1180" s="7">
        <v>16.22</v>
      </c>
      <c r="AH1180" s="7">
        <v>20.96</v>
      </c>
      <c r="AI1180" s="7">
        <v>25.39</v>
      </c>
      <c r="AJ1180" s="9">
        <v>144.45833556746001</v>
      </c>
      <c r="AK1180" s="9">
        <v>155.68822461903301</v>
      </c>
      <c r="AL1180" s="9">
        <v>182.10631773196101</v>
      </c>
      <c r="AM1180" s="9">
        <v>32.432875275319397</v>
      </c>
      <c r="AN1180" s="9">
        <v>0.79104573842242498</v>
      </c>
      <c r="AO1180" s="9">
        <v>0.906947867567368</v>
      </c>
      <c r="AP1180" s="9">
        <v>341.16277410687502</v>
      </c>
      <c r="AQ1180" s="9">
        <v>8.3210432708993896</v>
      </c>
      <c r="AR1180" s="9">
        <v>13.639101246236899</v>
      </c>
      <c r="AS1180" s="8">
        <v>230</v>
      </c>
      <c r="AT1180" s="8">
        <v>6.32</v>
      </c>
      <c r="AU1180" s="10">
        <v>18.704654062473129</v>
      </c>
      <c r="AV1180" s="10">
        <v>54.706521345705994</v>
      </c>
      <c r="AW1180" s="8">
        <v>0.85</v>
      </c>
      <c r="AX1180" s="10">
        <v>0.23785444063350433</v>
      </c>
      <c r="BF1180" s="12">
        <v>0.55000000000000004</v>
      </c>
      <c r="BG1180" s="13">
        <v>174.44267686074099</v>
      </c>
      <c r="BH1180" s="96" t="str">
        <f>+VLOOKUP(G1180,Liste!$A$7:$G$50,3,FALSE)</f>
        <v>Chêne sessile</v>
      </c>
      <c r="BI1180" s="96" t="str">
        <f>+VLOOKUP(H1180,Liste!$B$7:$G$50,5,FALSE)</f>
        <v>Guide chênaie continentale</v>
      </c>
      <c r="BJ1180" s="135">
        <f t="shared" si="360"/>
        <v>41</v>
      </c>
      <c r="BK1180" s="135" t="str">
        <f t="shared" si="362"/>
        <v>Chêne sessile_F1_Dynamique_Guide chênaie continentale_41_</v>
      </c>
      <c r="BL1180" s="322"/>
      <c r="BM1180" s="13">
        <v>47.024561958142797</v>
      </c>
      <c r="BN1180" s="13">
        <v>221.467238818883</v>
      </c>
      <c r="BO1180" s="13">
        <v>81.448183229948995</v>
      </c>
      <c r="BP1180" s="13">
        <v>345.74943247867299</v>
      </c>
      <c r="BQ1180" s="13">
        <v>15.938497945366599</v>
      </c>
      <c r="BT1180" s="298" t="str">
        <f>+VLOOKUP(G1180,Liste!$A$7:$H$50,8,FALSE)</f>
        <v>Feuillus</v>
      </c>
      <c r="BU1180" s="298">
        <f t="shared" si="363"/>
        <v>1</v>
      </c>
      <c r="BV1180" s="300">
        <f t="shared" si="364"/>
        <v>0</v>
      </c>
      <c r="BW1180" s="321">
        <v>0</v>
      </c>
      <c r="BX1180" s="298">
        <f t="shared" si="365"/>
        <v>0.25</v>
      </c>
      <c r="BY1180">
        <f t="shared" si="366"/>
        <v>0</v>
      </c>
      <c r="BZ1180" s="304">
        <f t="shared" si="367"/>
        <v>0</v>
      </c>
      <c r="CB1180" s="299">
        <v>0.6</v>
      </c>
      <c r="CC1180" s="299">
        <v>0.4</v>
      </c>
      <c r="CD1180">
        <f t="shared" si="368"/>
        <v>0</v>
      </c>
      <c r="CE1180">
        <f t="shared" si="369"/>
        <v>0</v>
      </c>
      <c r="CF1180">
        <f t="shared" si="370"/>
        <v>0</v>
      </c>
      <c r="CG1180">
        <f t="shared" si="371"/>
        <v>0</v>
      </c>
      <c r="CH1180">
        <f t="shared" si="372"/>
        <v>0</v>
      </c>
      <c r="CI1180">
        <f t="shared" si="373"/>
        <v>0</v>
      </c>
      <c r="CJ1180">
        <f t="shared" si="374"/>
        <v>0</v>
      </c>
      <c r="CK1180">
        <f t="shared" si="375"/>
        <v>0</v>
      </c>
      <c r="CL1180">
        <f t="shared" si="376"/>
        <v>0</v>
      </c>
      <c r="CM1180">
        <f t="shared" si="378"/>
        <v>0</v>
      </c>
      <c r="CN1180">
        <f t="shared" si="377"/>
        <v>0</v>
      </c>
      <c r="CO1180">
        <f t="shared" si="361"/>
        <v>0</v>
      </c>
    </row>
    <row r="1181" spans="1:93" x14ac:dyDescent="0.25">
      <c r="A1181" s="4">
        <v>2021</v>
      </c>
      <c r="B1181" s="318">
        <v>44279</v>
      </c>
      <c r="C1181" s="4" t="s">
        <v>66</v>
      </c>
      <c r="D1181" s="4" t="s">
        <v>1504</v>
      </c>
      <c r="E1181" s="4" t="s">
        <v>87</v>
      </c>
      <c r="F1181" s="4" t="s">
        <v>90</v>
      </c>
      <c r="G1181" s="5" t="s">
        <v>17</v>
      </c>
      <c r="H1181" s="5" t="s">
        <v>22</v>
      </c>
      <c r="I1181" s="5" t="s">
        <v>146</v>
      </c>
      <c r="J1181" s="5" t="s">
        <v>9</v>
      </c>
      <c r="K1181" s="5">
        <v>21.5</v>
      </c>
      <c r="L1181" s="5" t="s">
        <v>194</v>
      </c>
      <c r="M1181" s="5">
        <v>1666</v>
      </c>
      <c r="N1181" s="5" t="s">
        <v>170</v>
      </c>
      <c r="O1181" s="6" t="s">
        <v>81</v>
      </c>
      <c r="P1181" s="6" t="s">
        <v>1505</v>
      </c>
      <c r="S1181" s="6">
        <v>35</v>
      </c>
      <c r="T1181" s="6">
        <v>16.59</v>
      </c>
      <c r="U1181" s="6">
        <v>1453</v>
      </c>
      <c r="V1181" s="6">
        <v>26.19</v>
      </c>
      <c r="W1181" s="6">
        <v>41</v>
      </c>
      <c r="X1181" s="6">
        <v>369</v>
      </c>
      <c r="Y1181" s="6">
        <v>713</v>
      </c>
      <c r="Z1181" s="6">
        <v>301</v>
      </c>
      <c r="AA1181" s="6">
        <v>28</v>
      </c>
      <c r="AB1181" s="6">
        <v>0</v>
      </c>
      <c r="AC1181" s="7">
        <v>44</v>
      </c>
      <c r="AD1181" s="7" t="s">
        <v>52</v>
      </c>
      <c r="AE1181" s="7">
        <v>19.79</v>
      </c>
      <c r="AF1181" s="7">
        <v>470</v>
      </c>
      <c r="AG1181" s="7">
        <v>18.940000000000001</v>
      </c>
      <c r="AH1181" s="7">
        <v>22.65</v>
      </c>
      <c r="AI1181" s="7">
        <v>27.21</v>
      </c>
      <c r="AJ1181" s="9">
        <v>178.89702305080499</v>
      </c>
      <c r="AK1181" s="9">
        <v>193.27295857561001</v>
      </c>
      <c r="AL1181" s="9">
        <v>223.023621470671</v>
      </c>
      <c r="AM1181" s="9">
        <v>35.1537188780215</v>
      </c>
      <c r="AN1181" s="9">
        <v>0.798948156318671</v>
      </c>
      <c r="AO1181" s="9">
        <v>0.93002647058555299</v>
      </c>
      <c r="AP1181" s="9">
        <v>382.080077845586</v>
      </c>
      <c r="AQ1181" s="9">
        <v>8.6836381328542291</v>
      </c>
      <c r="AR1181" s="9">
        <v>14.8981568854065</v>
      </c>
      <c r="AS1181" s="8" t="s">
        <v>169</v>
      </c>
      <c r="AT1181" s="8" t="s">
        <v>169</v>
      </c>
      <c r="AU1181" s="10" t="s">
        <v>169</v>
      </c>
      <c r="AV1181" s="10">
        <v>0</v>
      </c>
      <c r="AX1181" s="10" t="s">
        <v>169</v>
      </c>
      <c r="BF1181" s="12">
        <v>0.55000000000000004</v>
      </c>
      <c r="BG1181" s="13">
        <v>213.63804406711401</v>
      </c>
      <c r="BH1181" s="96" t="str">
        <f>+VLOOKUP(G1181,Liste!$A$7:$G$50,3,FALSE)</f>
        <v>Chêne sessile</v>
      </c>
      <c r="BI1181" s="96" t="str">
        <f>+VLOOKUP(H1181,Liste!$B$7:$G$50,5,FALSE)</f>
        <v>Guide chênaie continentale</v>
      </c>
      <c r="BJ1181" s="135">
        <f t="shared" si="360"/>
        <v>44</v>
      </c>
      <c r="BK1181" s="135" t="str">
        <f t="shared" si="362"/>
        <v>Chêne sessile_F1_Dynamique_Guide chênaie continentale_44_</v>
      </c>
      <c r="BL1181" s="322"/>
      <c r="BM1181" s="13">
        <v>56.247652322564797</v>
      </c>
      <c r="BN1181" s="13">
        <v>269.88569638967903</v>
      </c>
      <c r="BO1181" s="13" t="s">
        <v>169</v>
      </c>
      <c r="BP1181" s="13">
        <v>345.74943247867299</v>
      </c>
      <c r="BQ1181" s="13">
        <v>17.3627712197245</v>
      </c>
      <c r="BT1181" s="298" t="str">
        <f>+VLOOKUP(G1181,Liste!$A$7:$H$50,8,FALSE)</f>
        <v>Feuillus</v>
      </c>
      <c r="BU1181" s="298">
        <f t="shared" si="363"/>
        <v>1</v>
      </c>
      <c r="BV1181" s="300">
        <f t="shared" si="364"/>
        <v>0</v>
      </c>
      <c r="BW1181" s="321">
        <v>0</v>
      </c>
      <c r="BX1181" s="298">
        <f t="shared" si="365"/>
        <v>0.25</v>
      </c>
      <c r="BY1181">
        <f t="shared" si="366"/>
        <v>0</v>
      </c>
      <c r="BZ1181" s="304">
        <f t="shared" si="367"/>
        <v>0</v>
      </c>
      <c r="CB1181" s="299">
        <v>0.6</v>
      </c>
      <c r="CC1181" s="299">
        <v>0.4</v>
      </c>
      <c r="CD1181">
        <f t="shared" si="368"/>
        <v>0</v>
      </c>
      <c r="CE1181">
        <f t="shared" si="369"/>
        <v>0</v>
      </c>
      <c r="CF1181">
        <f t="shared" si="370"/>
        <v>0</v>
      </c>
      <c r="CG1181">
        <f t="shared" si="371"/>
        <v>0</v>
      </c>
      <c r="CH1181">
        <f t="shared" si="372"/>
        <v>0</v>
      </c>
      <c r="CI1181">
        <f t="shared" si="373"/>
        <v>0</v>
      </c>
      <c r="CJ1181">
        <f t="shared" si="374"/>
        <v>0</v>
      </c>
      <c r="CK1181">
        <f t="shared" si="375"/>
        <v>0</v>
      </c>
      <c r="CL1181">
        <f t="shared" si="376"/>
        <v>0</v>
      </c>
      <c r="CM1181">
        <f t="shared" si="378"/>
        <v>0</v>
      </c>
      <c r="CN1181">
        <f t="shared" si="377"/>
        <v>0</v>
      </c>
      <c r="CO1181">
        <f t="shared" si="361"/>
        <v>0</v>
      </c>
    </row>
    <row r="1182" spans="1:93" x14ac:dyDescent="0.25">
      <c r="A1182" s="4">
        <v>2021</v>
      </c>
      <c r="B1182" s="318">
        <v>44279</v>
      </c>
      <c r="C1182" s="4" t="s">
        <v>66</v>
      </c>
      <c r="D1182" s="4" t="s">
        <v>1504</v>
      </c>
      <c r="E1182" s="4" t="s">
        <v>87</v>
      </c>
      <c r="F1182" s="4" t="s">
        <v>90</v>
      </c>
      <c r="G1182" s="5" t="s">
        <v>17</v>
      </c>
      <c r="H1182" s="5" t="s">
        <v>22</v>
      </c>
      <c r="I1182" s="5" t="s">
        <v>146</v>
      </c>
      <c r="J1182" s="5" t="s">
        <v>9</v>
      </c>
      <c r="K1182" s="5">
        <v>21.5</v>
      </c>
      <c r="L1182" s="5" t="s">
        <v>194</v>
      </c>
      <c r="M1182" s="5">
        <v>1666</v>
      </c>
      <c r="N1182" s="5" t="s">
        <v>170</v>
      </c>
      <c r="O1182" s="6" t="s">
        <v>81</v>
      </c>
      <c r="P1182" s="6" t="s">
        <v>1505</v>
      </c>
      <c r="S1182" s="6">
        <v>35</v>
      </c>
      <c r="T1182" s="6">
        <v>16.59</v>
      </c>
      <c r="U1182" s="6">
        <v>1453</v>
      </c>
      <c r="V1182" s="6">
        <v>26.19</v>
      </c>
      <c r="W1182" s="6">
        <v>41</v>
      </c>
      <c r="X1182" s="6">
        <v>369</v>
      </c>
      <c r="Y1182" s="6">
        <v>713</v>
      </c>
      <c r="Z1182" s="6">
        <v>301</v>
      </c>
      <c r="AA1182" s="6">
        <v>28</v>
      </c>
      <c r="AB1182" s="6">
        <v>0</v>
      </c>
      <c r="AC1182" s="7">
        <v>48</v>
      </c>
      <c r="AD1182" s="7" t="s">
        <v>52</v>
      </c>
      <c r="AE1182" s="7">
        <v>21.08</v>
      </c>
      <c r="AF1182" s="7">
        <v>470</v>
      </c>
      <c r="AG1182" s="7">
        <v>22.66</v>
      </c>
      <c r="AH1182" s="7">
        <v>24.78</v>
      </c>
      <c r="AI1182" s="7">
        <v>29.51</v>
      </c>
      <c r="AJ1182" s="9">
        <v>229.45007427425401</v>
      </c>
      <c r="AK1182" s="9">
        <v>248.37924051076899</v>
      </c>
      <c r="AL1182" s="9">
        <v>282.61624901229698</v>
      </c>
      <c r="AM1182" s="9">
        <v>38.873824760363703</v>
      </c>
      <c r="AN1182" s="9">
        <v>0.80987134917424397</v>
      </c>
      <c r="AO1182" s="9">
        <v>0.79160889310606097</v>
      </c>
      <c r="AP1182" s="9">
        <v>441.67270538721198</v>
      </c>
      <c r="AQ1182" s="9">
        <v>9.2015146955669103</v>
      </c>
      <c r="AR1182" s="9">
        <v>13.092048300206899</v>
      </c>
      <c r="AS1182" s="8" t="s">
        <v>169</v>
      </c>
      <c r="AT1182" s="8" t="s">
        <v>169</v>
      </c>
      <c r="AU1182" s="10" t="s">
        <v>169</v>
      </c>
      <c r="AV1182" s="10">
        <v>0</v>
      </c>
      <c r="AX1182" s="10" t="s">
        <v>169</v>
      </c>
      <c r="BF1182" s="12">
        <v>0.55000000000000004</v>
      </c>
      <c r="BG1182" s="13">
        <v>270.72281519969602</v>
      </c>
      <c r="BH1182" s="96" t="str">
        <f>+VLOOKUP(G1182,Liste!$A$7:$G$50,3,FALSE)</f>
        <v>Chêne sessile</v>
      </c>
      <c r="BI1182" s="96" t="str">
        <f>+VLOOKUP(H1182,Liste!$B$7:$G$50,5,FALSE)</f>
        <v>Guide chênaie continentale</v>
      </c>
      <c r="BJ1182" s="135">
        <f t="shared" si="360"/>
        <v>48</v>
      </c>
      <c r="BK1182" s="135" t="str">
        <f t="shared" si="362"/>
        <v>Chêne sessile_F1_Dynamique_Guide chênaie continentale_48_</v>
      </c>
      <c r="BL1182" s="322"/>
      <c r="BM1182" s="13">
        <v>69.339285093450201</v>
      </c>
      <c r="BN1182" s="13">
        <v>340.06210029314701</v>
      </c>
      <c r="BO1182" s="13" t="s">
        <v>169</v>
      </c>
      <c r="BP1182" s="13">
        <v>345.74943247867299</v>
      </c>
      <c r="BQ1182" s="13">
        <v>15.2220682407885</v>
      </c>
      <c r="BT1182" s="298" t="str">
        <f>+VLOOKUP(G1182,Liste!$A$7:$H$50,8,FALSE)</f>
        <v>Feuillus</v>
      </c>
      <c r="BU1182" s="298">
        <f t="shared" si="363"/>
        <v>1</v>
      </c>
      <c r="BV1182" s="300">
        <f t="shared" si="364"/>
        <v>0</v>
      </c>
      <c r="BW1182" s="321">
        <v>0</v>
      </c>
      <c r="BX1182" s="298">
        <f t="shared" si="365"/>
        <v>0.25</v>
      </c>
      <c r="BY1182">
        <f t="shared" si="366"/>
        <v>0</v>
      </c>
      <c r="BZ1182" s="304">
        <f t="shared" si="367"/>
        <v>0</v>
      </c>
      <c r="CB1182" s="299">
        <v>0.6</v>
      </c>
      <c r="CC1182" s="299">
        <v>0.4</v>
      </c>
      <c r="CD1182">
        <f t="shared" si="368"/>
        <v>0</v>
      </c>
      <c r="CE1182">
        <f t="shared" si="369"/>
        <v>0</v>
      </c>
      <c r="CF1182">
        <f t="shared" si="370"/>
        <v>0</v>
      </c>
      <c r="CG1182">
        <f t="shared" si="371"/>
        <v>0</v>
      </c>
      <c r="CH1182">
        <f t="shared" si="372"/>
        <v>0</v>
      </c>
      <c r="CI1182">
        <f t="shared" si="373"/>
        <v>0</v>
      </c>
      <c r="CJ1182">
        <f t="shared" si="374"/>
        <v>0</v>
      </c>
      <c r="CK1182">
        <f t="shared" si="375"/>
        <v>0</v>
      </c>
      <c r="CL1182">
        <f t="shared" si="376"/>
        <v>0</v>
      </c>
      <c r="CM1182">
        <f t="shared" si="378"/>
        <v>0</v>
      </c>
      <c r="CN1182">
        <f t="shared" si="377"/>
        <v>0</v>
      </c>
      <c r="CO1182">
        <f t="shared" si="361"/>
        <v>0</v>
      </c>
    </row>
    <row r="1183" spans="1:93" x14ac:dyDescent="0.25">
      <c r="A1183" s="4">
        <v>2021</v>
      </c>
      <c r="B1183" s="318">
        <v>44279</v>
      </c>
      <c r="C1183" s="4" t="s">
        <v>66</v>
      </c>
      <c r="D1183" s="4" t="s">
        <v>1504</v>
      </c>
      <c r="E1183" s="4" t="s">
        <v>87</v>
      </c>
      <c r="F1183" s="4" t="s">
        <v>90</v>
      </c>
      <c r="G1183" s="5" t="s">
        <v>17</v>
      </c>
      <c r="H1183" s="5" t="s">
        <v>22</v>
      </c>
      <c r="I1183" s="5" t="s">
        <v>146</v>
      </c>
      <c r="J1183" s="5" t="s">
        <v>9</v>
      </c>
      <c r="K1183" s="5">
        <v>21.5</v>
      </c>
      <c r="L1183" s="5" t="s">
        <v>194</v>
      </c>
      <c r="M1183" s="5">
        <v>1666</v>
      </c>
      <c r="N1183" s="5" t="s">
        <v>170</v>
      </c>
      <c r="O1183" s="6" t="s">
        <v>81</v>
      </c>
      <c r="P1183" s="6" t="s">
        <v>1505</v>
      </c>
      <c r="S1183" s="6">
        <v>35</v>
      </c>
      <c r="T1183" s="6">
        <v>16.59</v>
      </c>
      <c r="U1183" s="6">
        <v>1453</v>
      </c>
      <c r="V1183" s="6">
        <v>26.19</v>
      </c>
      <c r="W1183" s="6">
        <v>41</v>
      </c>
      <c r="X1183" s="6">
        <v>369</v>
      </c>
      <c r="Y1183" s="6">
        <v>713</v>
      </c>
      <c r="Z1183" s="6">
        <v>301</v>
      </c>
      <c r="AA1183" s="6">
        <v>28</v>
      </c>
      <c r="AB1183" s="6">
        <v>0</v>
      </c>
      <c r="AC1183" s="7">
        <v>48</v>
      </c>
      <c r="AD1183" s="7" t="s">
        <v>53</v>
      </c>
      <c r="AE1183" s="7">
        <v>21.08</v>
      </c>
      <c r="AF1183" s="7">
        <v>317</v>
      </c>
      <c r="AG1183" s="7">
        <v>16.940000000000001</v>
      </c>
      <c r="AH1183" s="7">
        <v>26.09</v>
      </c>
      <c r="AI1183" s="7">
        <v>29.51</v>
      </c>
      <c r="AJ1183" s="9">
        <v>172.997182750831</v>
      </c>
      <c r="AK1183" s="9">
        <v>188.315780577282</v>
      </c>
      <c r="AL1183" s="9">
        <v>213.52141538903101</v>
      </c>
      <c r="AM1183" s="9">
        <v>38.873824760363703</v>
      </c>
      <c r="AN1183" s="9">
        <v>0.80987134917424397</v>
      </c>
      <c r="AO1183" s="9">
        <v>0.79160889310606097</v>
      </c>
      <c r="AP1183" s="9">
        <v>441.67270538721198</v>
      </c>
      <c r="AQ1183" s="9">
        <v>9.2015146955669103</v>
      </c>
      <c r="AR1183" s="9">
        <v>13.092048300206899</v>
      </c>
      <c r="AS1183" s="8">
        <v>153</v>
      </c>
      <c r="AT1183" s="8">
        <v>5.7199999999999989</v>
      </c>
      <c r="AU1183" s="10">
        <v>21.817619245347917</v>
      </c>
      <c r="AV1183" s="10">
        <v>56.452891523423006</v>
      </c>
      <c r="AW1183" s="8">
        <v>0.78</v>
      </c>
      <c r="AX1183" s="10">
        <v>0.36897314721191504</v>
      </c>
      <c r="BF1183" s="12">
        <v>0.55000000000000004</v>
      </c>
      <c r="BG1183" s="13">
        <v>204.53572249140899</v>
      </c>
      <c r="BH1183" s="96" t="str">
        <f>+VLOOKUP(G1183,Liste!$A$7:$G$50,3,FALSE)</f>
        <v>Chêne sessile</v>
      </c>
      <c r="BI1183" s="96" t="str">
        <f>+VLOOKUP(H1183,Liste!$B$7:$G$50,5,FALSE)</f>
        <v>Guide chênaie continentale</v>
      </c>
      <c r="BJ1183" s="135">
        <f t="shared" si="360"/>
        <v>48</v>
      </c>
      <c r="BK1183" s="135" t="str">
        <f t="shared" si="362"/>
        <v>Chêne sessile_F1_Dynamique_Guide chênaie continentale_48_</v>
      </c>
      <c r="BL1183" s="322"/>
      <c r="BM1183" s="13">
        <v>54.124766208403699</v>
      </c>
      <c r="BN1183" s="13">
        <v>258.66048869981302</v>
      </c>
      <c r="BO1183" s="13">
        <v>81.401611593333996</v>
      </c>
      <c r="BP1183" s="13">
        <v>345.74943247867299</v>
      </c>
      <c r="BQ1183" s="13">
        <v>15.2220682407885</v>
      </c>
      <c r="BT1183" s="298" t="str">
        <f>+VLOOKUP(G1183,Liste!$A$7:$H$50,8,FALSE)</f>
        <v>Feuillus</v>
      </c>
      <c r="BU1183" s="298">
        <f t="shared" si="363"/>
        <v>1</v>
      </c>
      <c r="BV1183" s="300">
        <f t="shared" si="364"/>
        <v>0</v>
      </c>
      <c r="BW1183" s="321">
        <v>0</v>
      </c>
      <c r="BX1183" s="298">
        <f t="shared" si="365"/>
        <v>0.25</v>
      </c>
      <c r="BY1183">
        <f t="shared" si="366"/>
        <v>0</v>
      </c>
      <c r="BZ1183" s="304">
        <f t="shared" si="367"/>
        <v>0</v>
      </c>
      <c r="CB1183" s="299">
        <v>0.6</v>
      </c>
      <c r="CC1183" s="299">
        <v>0.4</v>
      </c>
      <c r="CD1183">
        <f t="shared" si="368"/>
        <v>0</v>
      </c>
      <c r="CE1183">
        <f t="shared" si="369"/>
        <v>0</v>
      </c>
      <c r="CF1183">
        <f t="shared" si="370"/>
        <v>0</v>
      </c>
      <c r="CG1183">
        <f t="shared" si="371"/>
        <v>0</v>
      </c>
      <c r="CH1183">
        <f t="shared" si="372"/>
        <v>0</v>
      </c>
      <c r="CI1183">
        <f t="shared" si="373"/>
        <v>0</v>
      </c>
      <c r="CJ1183">
        <f t="shared" si="374"/>
        <v>0</v>
      </c>
      <c r="CK1183">
        <f t="shared" si="375"/>
        <v>0</v>
      </c>
      <c r="CL1183">
        <f t="shared" si="376"/>
        <v>0</v>
      </c>
      <c r="CM1183">
        <f t="shared" si="378"/>
        <v>0</v>
      </c>
      <c r="CN1183">
        <f t="shared" si="377"/>
        <v>0</v>
      </c>
      <c r="CO1183">
        <f t="shared" si="361"/>
        <v>0</v>
      </c>
    </row>
    <row r="1184" spans="1:93" x14ac:dyDescent="0.25">
      <c r="A1184" s="4">
        <v>2021</v>
      </c>
      <c r="B1184" s="318">
        <v>44279</v>
      </c>
      <c r="C1184" s="4" t="s">
        <v>66</v>
      </c>
      <c r="D1184" s="4" t="s">
        <v>1504</v>
      </c>
      <c r="E1184" s="4" t="s">
        <v>87</v>
      </c>
      <c r="F1184" s="4" t="s">
        <v>90</v>
      </c>
      <c r="G1184" s="5" t="s">
        <v>17</v>
      </c>
      <c r="H1184" s="5" t="s">
        <v>22</v>
      </c>
      <c r="I1184" s="5" t="s">
        <v>146</v>
      </c>
      <c r="J1184" s="5" t="s">
        <v>9</v>
      </c>
      <c r="K1184" s="5">
        <v>21.5</v>
      </c>
      <c r="L1184" s="5" t="s">
        <v>194</v>
      </c>
      <c r="M1184" s="5">
        <v>1666</v>
      </c>
      <c r="N1184" s="5" t="s">
        <v>170</v>
      </c>
      <c r="O1184" s="6" t="s">
        <v>81</v>
      </c>
      <c r="P1184" s="6" t="s">
        <v>1505</v>
      </c>
      <c r="S1184" s="6">
        <v>35</v>
      </c>
      <c r="T1184" s="6">
        <v>16.59</v>
      </c>
      <c r="U1184" s="6">
        <v>1453</v>
      </c>
      <c r="V1184" s="6">
        <v>26.19</v>
      </c>
      <c r="W1184" s="6">
        <v>41</v>
      </c>
      <c r="X1184" s="6">
        <v>369</v>
      </c>
      <c r="Y1184" s="6">
        <v>713</v>
      </c>
      <c r="Z1184" s="6">
        <v>301</v>
      </c>
      <c r="AA1184" s="6">
        <v>28</v>
      </c>
      <c r="AB1184" s="6">
        <v>0</v>
      </c>
      <c r="AC1184" s="7">
        <v>51</v>
      </c>
      <c r="AD1184" s="7" t="s">
        <v>52</v>
      </c>
      <c r="AE1184" s="7">
        <v>21.95</v>
      </c>
      <c r="AF1184" s="7">
        <v>317</v>
      </c>
      <c r="AG1184" s="7">
        <v>19.32</v>
      </c>
      <c r="AH1184" s="7">
        <v>27.85</v>
      </c>
      <c r="AI1184" s="7">
        <v>31.35</v>
      </c>
      <c r="AJ1184" s="9">
        <v>205.96750715490001</v>
      </c>
      <c r="AK1184" s="9">
        <v>224.71772857829299</v>
      </c>
      <c r="AL1184" s="9">
        <v>252.79756028965099</v>
      </c>
      <c r="AM1184" s="9">
        <v>41.2486514396819</v>
      </c>
      <c r="AN1184" s="9">
        <v>0.80879708705258602</v>
      </c>
      <c r="AO1184" s="9">
        <v>0.82226730769485301</v>
      </c>
      <c r="AP1184" s="9">
        <v>480.94885028783301</v>
      </c>
      <c r="AQ1184" s="9">
        <v>9.4303696134869099</v>
      </c>
      <c r="AR1184" s="9">
        <v>14.412937888238901</v>
      </c>
      <c r="AS1184" s="8" t="s">
        <v>169</v>
      </c>
      <c r="AT1184" s="8" t="s">
        <v>169</v>
      </c>
      <c r="AU1184" s="10" t="s">
        <v>169</v>
      </c>
      <c r="AV1184" s="10">
        <v>0</v>
      </c>
      <c r="AX1184" s="10" t="s">
        <v>169</v>
      </c>
      <c r="BF1184" s="12">
        <v>0.55000000000000004</v>
      </c>
      <c r="BG1184" s="13">
        <v>242.158996294129</v>
      </c>
      <c r="BH1184" s="96" t="str">
        <f>+VLOOKUP(G1184,Liste!$A$7:$G$50,3,FALSE)</f>
        <v>Chêne sessile</v>
      </c>
      <c r="BI1184" s="96" t="str">
        <f>+VLOOKUP(H1184,Liste!$B$7:$G$50,5,FALSE)</f>
        <v>Guide chênaie continentale</v>
      </c>
      <c r="BJ1184" s="135">
        <f t="shared" si="360"/>
        <v>51</v>
      </c>
      <c r="BK1184" s="135" t="str">
        <f t="shared" si="362"/>
        <v>Chêne sessile_F1_Dynamique_Guide chênaie continentale_51_</v>
      </c>
      <c r="BL1184" s="322"/>
      <c r="BM1184" s="13">
        <v>62.833563783352602</v>
      </c>
      <c r="BN1184" s="13">
        <v>304.99256007748102</v>
      </c>
      <c r="BO1184" s="13" t="s">
        <v>169</v>
      </c>
      <c r="BP1184" s="13">
        <v>345.74943247867299</v>
      </c>
      <c r="BQ1184" s="13">
        <v>16.723827633037299</v>
      </c>
      <c r="BT1184" s="298" t="str">
        <f>+VLOOKUP(G1184,Liste!$A$7:$H$50,8,FALSE)</f>
        <v>Feuillus</v>
      </c>
      <c r="BU1184" s="298">
        <f t="shared" si="363"/>
        <v>1</v>
      </c>
      <c r="BV1184" s="300">
        <f t="shared" si="364"/>
        <v>0</v>
      </c>
      <c r="BW1184" s="321">
        <v>0</v>
      </c>
      <c r="BX1184" s="298">
        <f t="shared" si="365"/>
        <v>0.25</v>
      </c>
      <c r="BY1184">
        <f t="shared" si="366"/>
        <v>0</v>
      </c>
      <c r="BZ1184" s="304">
        <f t="shared" si="367"/>
        <v>0</v>
      </c>
      <c r="CB1184" s="299">
        <v>0.6</v>
      </c>
      <c r="CC1184" s="299">
        <v>0.4</v>
      </c>
      <c r="CD1184">
        <f t="shared" si="368"/>
        <v>0</v>
      </c>
      <c r="CE1184">
        <f t="shared" si="369"/>
        <v>0</v>
      </c>
      <c r="CF1184">
        <f t="shared" si="370"/>
        <v>0</v>
      </c>
      <c r="CG1184">
        <f t="shared" si="371"/>
        <v>0</v>
      </c>
      <c r="CH1184">
        <f t="shared" si="372"/>
        <v>0</v>
      </c>
      <c r="CI1184">
        <f t="shared" si="373"/>
        <v>0</v>
      </c>
      <c r="CJ1184">
        <f t="shared" si="374"/>
        <v>0</v>
      </c>
      <c r="CK1184">
        <f t="shared" si="375"/>
        <v>0</v>
      </c>
      <c r="CL1184">
        <f t="shared" si="376"/>
        <v>0</v>
      </c>
      <c r="CM1184">
        <f t="shared" si="378"/>
        <v>0</v>
      </c>
      <c r="CN1184">
        <f t="shared" si="377"/>
        <v>0</v>
      </c>
      <c r="CO1184">
        <f t="shared" si="361"/>
        <v>0</v>
      </c>
    </row>
    <row r="1185" spans="1:93" x14ac:dyDescent="0.25">
      <c r="A1185" s="4">
        <v>2021</v>
      </c>
      <c r="B1185" s="318">
        <v>44279</v>
      </c>
      <c r="C1185" s="4" t="s">
        <v>66</v>
      </c>
      <c r="D1185" s="4" t="s">
        <v>1504</v>
      </c>
      <c r="E1185" s="4" t="s">
        <v>87</v>
      </c>
      <c r="F1185" s="4" t="s">
        <v>90</v>
      </c>
      <c r="G1185" s="5" t="s">
        <v>17</v>
      </c>
      <c r="H1185" s="5" t="s">
        <v>22</v>
      </c>
      <c r="I1185" s="5" t="s">
        <v>146</v>
      </c>
      <c r="J1185" s="5" t="s">
        <v>9</v>
      </c>
      <c r="K1185" s="5">
        <v>21.5</v>
      </c>
      <c r="L1185" s="5" t="s">
        <v>194</v>
      </c>
      <c r="M1185" s="5">
        <v>1666</v>
      </c>
      <c r="N1185" s="5" t="s">
        <v>170</v>
      </c>
      <c r="O1185" s="6" t="s">
        <v>81</v>
      </c>
      <c r="P1185" s="6" t="s">
        <v>1505</v>
      </c>
      <c r="S1185" s="6">
        <v>35</v>
      </c>
      <c r="T1185" s="6">
        <v>16.59</v>
      </c>
      <c r="U1185" s="6">
        <v>1453</v>
      </c>
      <c r="V1185" s="6">
        <v>26.19</v>
      </c>
      <c r="W1185" s="6">
        <v>41</v>
      </c>
      <c r="X1185" s="6">
        <v>369</v>
      </c>
      <c r="Y1185" s="6">
        <v>713</v>
      </c>
      <c r="Z1185" s="6">
        <v>301</v>
      </c>
      <c r="AA1185" s="6">
        <v>28</v>
      </c>
      <c r="AB1185" s="6">
        <v>0</v>
      </c>
      <c r="AC1185" s="7">
        <v>55</v>
      </c>
      <c r="AD1185" s="7" t="s">
        <v>52</v>
      </c>
      <c r="AE1185" s="7">
        <v>23.1</v>
      </c>
      <c r="AF1185" s="7">
        <v>317</v>
      </c>
      <c r="AG1185" s="7">
        <v>22.61</v>
      </c>
      <c r="AH1185" s="7">
        <v>30.13</v>
      </c>
      <c r="AI1185" s="7">
        <v>33.729999999999997</v>
      </c>
      <c r="AJ1185" s="9">
        <v>254.77903235583199</v>
      </c>
      <c r="AK1185" s="9">
        <v>278.45347568862297</v>
      </c>
      <c r="AL1185" s="9">
        <v>310.44931184260702</v>
      </c>
      <c r="AM1185" s="9">
        <v>44.537720670461297</v>
      </c>
      <c r="AN1185" s="9">
        <v>0.80977673946293305</v>
      </c>
      <c r="AO1185" s="9">
        <v>0.68137606961234998</v>
      </c>
      <c r="AP1185" s="9">
        <v>538.60060184078804</v>
      </c>
      <c r="AQ1185" s="9">
        <v>9.7927382152870592</v>
      </c>
      <c r="AR1185" s="9">
        <v>12.1548746731376</v>
      </c>
      <c r="AS1185" s="8" t="s">
        <v>169</v>
      </c>
      <c r="AT1185" s="8" t="s">
        <v>169</v>
      </c>
      <c r="AU1185" s="10" t="s">
        <v>169</v>
      </c>
      <c r="AV1185" s="10">
        <v>0</v>
      </c>
      <c r="AX1185" s="10" t="s">
        <v>169</v>
      </c>
      <c r="BF1185" s="12">
        <v>0.55000000000000004</v>
      </c>
      <c r="BG1185" s="13">
        <v>297.38456996923099</v>
      </c>
      <c r="BH1185" s="96" t="str">
        <f>+VLOOKUP(G1185,Liste!$A$7:$G$50,3,FALSE)</f>
        <v>Chêne sessile</v>
      </c>
      <c r="BI1185" s="96" t="str">
        <f>+VLOOKUP(H1185,Liste!$B$7:$G$50,5,FALSE)</f>
        <v>Guide chênaie continentale</v>
      </c>
      <c r="BJ1185" s="135">
        <f t="shared" si="360"/>
        <v>55</v>
      </c>
      <c r="BK1185" s="135" t="str">
        <f t="shared" si="362"/>
        <v>Chêne sessile_F1_Dynamique_Guide chênaie continentale_55_</v>
      </c>
      <c r="BL1185" s="322"/>
      <c r="BM1185" s="13">
        <v>75.339817043312294</v>
      </c>
      <c r="BN1185" s="13">
        <v>372.72438701254299</v>
      </c>
      <c r="BO1185" s="13" t="s">
        <v>169</v>
      </c>
      <c r="BP1185" s="13">
        <v>345.74943247867299</v>
      </c>
      <c r="BQ1185" s="13">
        <v>14.078449621627801</v>
      </c>
      <c r="BT1185" s="298" t="str">
        <f>+VLOOKUP(G1185,Liste!$A$7:$H$50,8,FALSE)</f>
        <v>Feuillus</v>
      </c>
      <c r="BU1185" s="298">
        <f t="shared" si="363"/>
        <v>1</v>
      </c>
      <c r="BV1185" s="300">
        <f t="shared" si="364"/>
        <v>0</v>
      </c>
      <c r="BW1185" s="321">
        <v>0</v>
      </c>
      <c r="BX1185" s="298">
        <f t="shared" si="365"/>
        <v>0.25</v>
      </c>
      <c r="BY1185">
        <f t="shared" si="366"/>
        <v>0</v>
      </c>
      <c r="BZ1185" s="304">
        <f t="shared" si="367"/>
        <v>0</v>
      </c>
      <c r="CB1185" s="299">
        <v>0.6</v>
      </c>
      <c r="CC1185" s="299">
        <v>0.4</v>
      </c>
      <c r="CD1185">
        <f t="shared" si="368"/>
        <v>0</v>
      </c>
      <c r="CE1185">
        <f t="shared" si="369"/>
        <v>0</v>
      </c>
      <c r="CF1185">
        <f t="shared" si="370"/>
        <v>0</v>
      </c>
      <c r="CG1185">
        <f t="shared" si="371"/>
        <v>0</v>
      </c>
      <c r="CH1185">
        <f t="shared" si="372"/>
        <v>0</v>
      </c>
      <c r="CI1185">
        <f t="shared" si="373"/>
        <v>0</v>
      </c>
      <c r="CJ1185">
        <f t="shared" si="374"/>
        <v>0</v>
      </c>
      <c r="CK1185">
        <f t="shared" si="375"/>
        <v>0</v>
      </c>
      <c r="CL1185">
        <f t="shared" si="376"/>
        <v>0</v>
      </c>
      <c r="CM1185">
        <f t="shared" si="378"/>
        <v>0</v>
      </c>
      <c r="CN1185">
        <f t="shared" si="377"/>
        <v>0</v>
      </c>
      <c r="CO1185">
        <f t="shared" si="361"/>
        <v>0</v>
      </c>
    </row>
    <row r="1186" spans="1:93" x14ac:dyDescent="0.25">
      <c r="A1186" s="4">
        <v>2021</v>
      </c>
      <c r="B1186" s="318">
        <v>44279</v>
      </c>
      <c r="C1186" s="4" t="s">
        <v>66</v>
      </c>
      <c r="D1186" s="4" t="s">
        <v>1504</v>
      </c>
      <c r="E1186" s="4" t="s">
        <v>87</v>
      </c>
      <c r="F1186" s="4" t="s">
        <v>90</v>
      </c>
      <c r="G1186" s="5" t="s">
        <v>17</v>
      </c>
      <c r="H1186" s="5" t="s">
        <v>22</v>
      </c>
      <c r="I1186" s="5" t="s">
        <v>146</v>
      </c>
      <c r="J1186" s="5" t="s">
        <v>9</v>
      </c>
      <c r="K1186" s="5">
        <v>21.5</v>
      </c>
      <c r="L1186" s="5" t="s">
        <v>194</v>
      </c>
      <c r="M1186" s="5">
        <v>1666</v>
      </c>
      <c r="N1186" s="5" t="s">
        <v>170</v>
      </c>
      <c r="O1186" s="6" t="s">
        <v>81</v>
      </c>
      <c r="P1186" s="6" t="s">
        <v>1505</v>
      </c>
      <c r="S1186" s="6">
        <v>35</v>
      </c>
      <c r="T1186" s="6">
        <v>16.59</v>
      </c>
      <c r="U1186" s="6">
        <v>1453</v>
      </c>
      <c r="V1186" s="6">
        <v>26.19</v>
      </c>
      <c r="W1186" s="6">
        <v>41</v>
      </c>
      <c r="X1186" s="6">
        <v>369</v>
      </c>
      <c r="Y1186" s="6">
        <v>713</v>
      </c>
      <c r="Z1186" s="6">
        <v>301</v>
      </c>
      <c r="AA1186" s="6">
        <v>28</v>
      </c>
      <c r="AB1186" s="6">
        <v>0</v>
      </c>
      <c r="AC1186" s="7">
        <v>55</v>
      </c>
      <c r="AD1186" s="7" t="s">
        <v>53</v>
      </c>
      <c r="AE1186" s="7">
        <v>23.1</v>
      </c>
      <c r="AF1186" s="7">
        <v>228</v>
      </c>
      <c r="AG1186" s="7">
        <v>17.25</v>
      </c>
      <c r="AH1186" s="7">
        <v>31.03</v>
      </c>
      <c r="AI1186" s="7">
        <v>33.72</v>
      </c>
      <c r="AJ1186" s="9">
        <v>194.98568623368101</v>
      </c>
      <c r="AK1186" s="9">
        <v>213.87539510104</v>
      </c>
      <c r="AL1186" s="9">
        <v>238.14525616703699</v>
      </c>
      <c r="AM1186" s="9">
        <v>44.537720670461297</v>
      </c>
      <c r="AN1186" s="9">
        <v>0.80977673946293305</v>
      </c>
      <c r="AO1186" s="9">
        <v>0.68137606961234998</v>
      </c>
      <c r="AP1186" s="9">
        <v>538.60060184078804</v>
      </c>
      <c r="AQ1186" s="9">
        <v>9.7927382152870592</v>
      </c>
      <c r="AR1186" s="9">
        <v>12.1548746731376</v>
      </c>
      <c r="AS1186" s="8">
        <v>89</v>
      </c>
      <c r="AT1186" s="8">
        <v>5.3599999999999994</v>
      </c>
      <c r="AU1186" s="10">
        <v>27.691243007513702</v>
      </c>
      <c r="AV1186" s="10">
        <v>59.793346122150979</v>
      </c>
      <c r="AW1186" s="8">
        <v>0.84</v>
      </c>
      <c r="AX1186" s="10">
        <v>0.67183534968708969</v>
      </c>
      <c r="BF1186" s="12">
        <v>0.55000000000000004</v>
      </c>
      <c r="BG1186" s="13">
        <v>228.12330997000799</v>
      </c>
      <c r="BH1186" s="96" t="str">
        <f>+VLOOKUP(G1186,Liste!$A$7:$G$50,3,FALSE)</f>
        <v>Chêne sessile</v>
      </c>
      <c r="BI1186" s="96" t="str">
        <f>+VLOOKUP(H1186,Liste!$B$7:$G$50,5,FALSE)</f>
        <v>Guide chênaie continentale</v>
      </c>
      <c r="BJ1186" s="135">
        <f t="shared" si="360"/>
        <v>55</v>
      </c>
      <c r="BK1186" s="135" t="str">
        <f t="shared" si="362"/>
        <v>Chêne sessile_F1_Dynamique_Guide chênaie continentale_55_</v>
      </c>
      <c r="BL1186" s="322"/>
      <c r="BM1186" s="13">
        <v>59.604508480122099</v>
      </c>
      <c r="BN1186" s="13">
        <v>287.72781845012997</v>
      </c>
      <c r="BO1186" s="13">
        <v>84.996568562413017</v>
      </c>
      <c r="BP1186" s="13">
        <v>345.74943247867299</v>
      </c>
      <c r="BQ1186" s="13">
        <v>14.078449621627801</v>
      </c>
      <c r="BT1186" s="298" t="str">
        <f>+VLOOKUP(G1186,Liste!$A$7:$H$50,8,FALSE)</f>
        <v>Feuillus</v>
      </c>
      <c r="BU1186" s="298">
        <f t="shared" si="363"/>
        <v>1</v>
      </c>
      <c r="BV1186" s="300">
        <f t="shared" si="364"/>
        <v>0</v>
      </c>
      <c r="BW1186" s="321">
        <v>0</v>
      </c>
      <c r="BX1186" s="298">
        <f t="shared" si="365"/>
        <v>0.25</v>
      </c>
      <c r="BY1186">
        <f t="shared" si="366"/>
        <v>0</v>
      </c>
      <c r="BZ1186" s="304">
        <f t="shared" si="367"/>
        <v>0</v>
      </c>
      <c r="CB1186" s="299">
        <v>0.6</v>
      </c>
      <c r="CC1186" s="299">
        <v>0.4</v>
      </c>
      <c r="CD1186">
        <f t="shared" si="368"/>
        <v>0</v>
      </c>
      <c r="CE1186">
        <f t="shared" si="369"/>
        <v>0</v>
      </c>
      <c r="CF1186">
        <f t="shared" si="370"/>
        <v>0</v>
      </c>
      <c r="CG1186">
        <f t="shared" si="371"/>
        <v>0</v>
      </c>
      <c r="CH1186">
        <f t="shared" si="372"/>
        <v>0</v>
      </c>
      <c r="CI1186">
        <f t="shared" si="373"/>
        <v>0</v>
      </c>
      <c r="CJ1186">
        <f t="shared" si="374"/>
        <v>0</v>
      </c>
      <c r="CK1186">
        <f t="shared" si="375"/>
        <v>0</v>
      </c>
      <c r="CL1186">
        <f t="shared" si="376"/>
        <v>0</v>
      </c>
      <c r="CM1186">
        <f t="shared" si="378"/>
        <v>0</v>
      </c>
      <c r="CN1186">
        <f t="shared" si="377"/>
        <v>0</v>
      </c>
      <c r="CO1186">
        <f t="shared" si="361"/>
        <v>0</v>
      </c>
    </row>
    <row r="1187" spans="1:93" x14ac:dyDescent="0.25">
      <c r="A1187" s="4">
        <v>2021</v>
      </c>
      <c r="B1187" s="318">
        <v>44279</v>
      </c>
      <c r="C1187" s="4" t="s">
        <v>66</v>
      </c>
      <c r="D1187" s="4" t="s">
        <v>1504</v>
      </c>
      <c r="E1187" s="4" t="s">
        <v>87</v>
      </c>
      <c r="F1187" s="4" t="s">
        <v>90</v>
      </c>
      <c r="G1187" s="5" t="s">
        <v>17</v>
      </c>
      <c r="H1187" s="5" t="s">
        <v>22</v>
      </c>
      <c r="I1187" s="5" t="s">
        <v>146</v>
      </c>
      <c r="J1187" s="5" t="s">
        <v>9</v>
      </c>
      <c r="K1187" s="5">
        <v>21.5</v>
      </c>
      <c r="L1187" s="5" t="s">
        <v>194</v>
      </c>
      <c r="M1187" s="5">
        <v>1666</v>
      </c>
      <c r="N1187" s="5" t="s">
        <v>170</v>
      </c>
      <c r="O1187" s="6" t="s">
        <v>81</v>
      </c>
      <c r="P1187" s="6" t="s">
        <v>1505</v>
      </c>
      <c r="S1187" s="6">
        <v>35</v>
      </c>
      <c r="T1187" s="6">
        <v>16.59</v>
      </c>
      <c r="U1187" s="6">
        <v>1453</v>
      </c>
      <c r="V1187" s="6">
        <v>26.19</v>
      </c>
      <c r="W1187" s="6">
        <v>41</v>
      </c>
      <c r="X1187" s="6">
        <v>369</v>
      </c>
      <c r="Y1187" s="6">
        <v>713</v>
      </c>
      <c r="Z1187" s="6">
        <v>301</v>
      </c>
      <c r="AA1187" s="6">
        <v>28</v>
      </c>
      <c r="AB1187" s="6">
        <v>0</v>
      </c>
      <c r="AC1187" s="7">
        <v>58</v>
      </c>
      <c r="AD1187" s="7" t="s">
        <v>52</v>
      </c>
      <c r="AE1187" s="7">
        <v>23.84</v>
      </c>
      <c r="AF1187" s="7">
        <v>228</v>
      </c>
      <c r="AG1187" s="7">
        <v>19.29</v>
      </c>
      <c r="AH1187" s="7">
        <v>32.82</v>
      </c>
      <c r="AI1187" s="7">
        <v>35.56</v>
      </c>
      <c r="AJ1187" s="9">
        <v>225.54292735385701</v>
      </c>
      <c r="AK1187" s="9">
        <v>247.89637279545099</v>
      </c>
      <c r="AL1187" s="9">
        <v>274.60988018645003</v>
      </c>
      <c r="AM1187" s="9">
        <v>46.581848879298398</v>
      </c>
      <c r="AN1187" s="9">
        <v>0.80313532550514399</v>
      </c>
      <c r="AO1187" s="9">
        <v>0.726749971880433</v>
      </c>
      <c r="AP1187" s="9">
        <v>575.06522586020105</v>
      </c>
      <c r="AQ1187" s="9">
        <v>9.9149176872448397</v>
      </c>
      <c r="AR1187" s="9">
        <v>13.494615555874701</v>
      </c>
      <c r="AS1187" s="8" t="s">
        <v>169</v>
      </c>
      <c r="AT1187" s="8" t="s">
        <v>169</v>
      </c>
      <c r="AU1187" s="10" t="s">
        <v>169</v>
      </c>
      <c r="AV1187" s="10">
        <v>0</v>
      </c>
      <c r="AX1187" s="10" t="s">
        <v>169</v>
      </c>
      <c r="BF1187" s="12">
        <v>0.55000000000000004</v>
      </c>
      <c r="BG1187" s="13">
        <v>263.05338106193699</v>
      </c>
      <c r="BH1187" s="96" t="str">
        <f>+VLOOKUP(G1187,Liste!$A$7:$G$50,3,FALSE)</f>
        <v>Chêne sessile</v>
      </c>
      <c r="BI1187" s="96" t="str">
        <f>+VLOOKUP(H1187,Liste!$B$7:$G$50,5,FALSE)</f>
        <v>Guide chênaie continentale</v>
      </c>
      <c r="BJ1187" s="135">
        <f t="shared" si="360"/>
        <v>58</v>
      </c>
      <c r="BK1187" s="135" t="str">
        <f t="shared" si="362"/>
        <v>Chêne sessile_F1_Dynamique_Guide chênaie continentale_58_</v>
      </c>
      <c r="BL1187" s="322"/>
      <c r="BM1187" s="13">
        <v>67.600697215427004</v>
      </c>
      <c r="BN1187" s="13">
        <v>330.65407827736402</v>
      </c>
      <c r="BO1187" s="13" t="s">
        <v>169</v>
      </c>
      <c r="BP1187" s="13">
        <v>345.74943247867299</v>
      </c>
      <c r="BQ1187" s="13">
        <v>15.609273271019999</v>
      </c>
      <c r="BT1187" s="298" t="str">
        <f>+VLOOKUP(G1187,Liste!$A$7:$H$50,8,FALSE)</f>
        <v>Feuillus</v>
      </c>
      <c r="BU1187" s="298">
        <f t="shared" si="363"/>
        <v>1</v>
      </c>
      <c r="BV1187" s="300">
        <f t="shared" si="364"/>
        <v>0</v>
      </c>
      <c r="BW1187" s="321">
        <v>0</v>
      </c>
      <c r="BX1187" s="298">
        <f t="shared" si="365"/>
        <v>0.25</v>
      </c>
      <c r="BY1187">
        <f t="shared" si="366"/>
        <v>0</v>
      </c>
      <c r="BZ1187" s="304">
        <f t="shared" si="367"/>
        <v>0</v>
      </c>
      <c r="CB1187" s="299">
        <v>0.6</v>
      </c>
      <c r="CC1187" s="299">
        <v>0.4</v>
      </c>
      <c r="CD1187">
        <f t="shared" si="368"/>
        <v>0</v>
      </c>
      <c r="CE1187">
        <f t="shared" si="369"/>
        <v>0</v>
      </c>
      <c r="CF1187">
        <f t="shared" si="370"/>
        <v>0</v>
      </c>
      <c r="CG1187">
        <f t="shared" si="371"/>
        <v>0</v>
      </c>
      <c r="CH1187">
        <f t="shared" si="372"/>
        <v>0</v>
      </c>
      <c r="CI1187">
        <f t="shared" si="373"/>
        <v>0</v>
      </c>
      <c r="CJ1187">
        <f t="shared" si="374"/>
        <v>0</v>
      </c>
      <c r="CK1187">
        <f t="shared" si="375"/>
        <v>0</v>
      </c>
      <c r="CL1187">
        <f t="shared" si="376"/>
        <v>0</v>
      </c>
      <c r="CM1187">
        <f t="shared" si="378"/>
        <v>0</v>
      </c>
      <c r="CN1187">
        <f t="shared" si="377"/>
        <v>0</v>
      </c>
      <c r="CO1187">
        <f t="shared" si="361"/>
        <v>0</v>
      </c>
    </row>
    <row r="1188" spans="1:93" x14ac:dyDescent="0.25">
      <c r="A1188" s="4">
        <v>2021</v>
      </c>
      <c r="B1188" s="318">
        <v>44279</v>
      </c>
      <c r="C1188" s="4" t="s">
        <v>66</v>
      </c>
      <c r="D1188" s="4" t="s">
        <v>1504</v>
      </c>
      <c r="E1188" s="4" t="s">
        <v>87</v>
      </c>
      <c r="F1188" s="4" t="s">
        <v>90</v>
      </c>
      <c r="G1188" s="5" t="s">
        <v>17</v>
      </c>
      <c r="H1188" s="5" t="s">
        <v>22</v>
      </c>
      <c r="I1188" s="5" t="s">
        <v>146</v>
      </c>
      <c r="J1188" s="5" t="s">
        <v>9</v>
      </c>
      <c r="K1188" s="5">
        <v>21.5</v>
      </c>
      <c r="L1188" s="5" t="s">
        <v>194</v>
      </c>
      <c r="M1188" s="5">
        <v>1666</v>
      </c>
      <c r="N1188" s="5" t="s">
        <v>170</v>
      </c>
      <c r="O1188" s="6" t="s">
        <v>81</v>
      </c>
      <c r="P1188" s="6" t="s">
        <v>1505</v>
      </c>
      <c r="S1188" s="6">
        <v>35</v>
      </c>
      <c r="T1188" s="6">
        <v>16.59</v>
      </c>
      <c r="U1188" s="6">
        <v>1453</v>
      </c>
      <c r="V1188" s="6">
        <v>26.19</v>
      </c>
      <c r="W1188" s="6">
        <v>41</v>
      </c>
      <c r="X1188" s="6">
        <v>369</v>
      </c>
      <c r="Y1188" s="6">
        <v>713</v>
      </c>
      <c r="Z1188" s="6">
        <v>301</v>
      </c>
      <c r="AA1188" s="6">
        <v>28</v>
      </c>
      <c r="AB1188" s="6">
        <v>0</v>
      </c>
      <c r="AC1188" s="7">
        <v>61</v>
      </c>
      <c r="AD1188" s="7" t="s">
        <v>52</v>
      </c>
      <c r="AE1188" s="7">
        <v>24.62</v>
      </c>
      <c r="AF1188" s="7">
        <v>228</v>
      </c>
      <c r="AG1188" s="7">
        <v>21.47</v>
      </c>
      <c r="AH1188" s="7">
        <v>34.630000000000003</v>
      </c>
      <c r="AI1188" s="7">
        <v>37.42</v>
      </c>
      <c r="AJ1188" s="9">
        <v>259.65043096849303</v>
      </c>
      <c r="AK1188" s="9">
        <v>285.80376852754802</v>
      </c>
      <c r="AL1188" s="9">
        <v>315.09372685407402</v>
      </c>
      <c r="AM1188" s="9">
        <v>48.762098794939703</v>
      </c>
      <c r="AN1188" s="9">
        <v>0.79937866876950303</v>
      </c>
      <c r="AO1188" s="9">
        <v>0.71282783648444004</v>
      </c>
      <c r="AP1188" s="9">
        <v>615.54907252782505</v>
      </c>
      <c r="AQ1188" s="9">
        <v>10.0909684020955</v>
      </c>
      <c r="AR1188" s="9">
        <v>13.6601545708451</v>
      </c>
      <c r="AS1188" s="8" t="s">
        <v>169</v>
      </c>
      <c r="AT1188" s="8" t="s">
        <v>169</v>
      </c>
      <c r="AU1188" s="10" t="s">
        <v>169</v>
      </c>
      <c r="AV1188" s="10">
        <v>0</v>
      </c>
      <c r="AX1188" s="10" t="s">
        <v>169</v>
      </c>
      <c r="BF1188" s="12">
        <v>0.55000000000000004</v>
      </c>
      <c r="BG1188" s="13">
        <v>301.83353251563199</v>
      </c>
      <c r="BH1188" s="96" t="str">
        <f>+VLOOKUP(G1188,Liste!$A$7:$G$50,3,FALSE)</f>
        <v>Chêne sessile</v>
      </c>
      <c r="BI1188" s="96" t="str">
        <f>+VLOOKUP(H1188,Liste!$B$7:$G$50,5,FALSE)</f>
        <v>Guide chênaie continentale</v>
      </c>
      <c r="BJ1188" s="135">
        <f t="shared" si="360"/>
        <v>61</v>
      </c>
      <c r="BK1188" s="135" t="str">
        <f t="shared" si="362"/>
        <v>Chêne sessile_F1_Dynamique_Guide chênaie continentale_61_</v>
      </c>
      <c r="BL1188" s="322"/>
      <c r="BM1188" s="13">
        <v>76.334865836054306</v>
      </c>
      <c r="BN1188" s="13">
        <v>378.16839835168599</v>
      </c>
      <c r="BO1188" s="13" t="s">
        <v>169</v>
      </c>
      <c r="BP1188" s="13">
        <v>345.74943247867299</v>
      </c>
      <c r="BQ1188" s="13">
        <v>15.7832626417346</v>
      </c>
      <c r="BT1188" s="298" t="str">
        <f>+VLOOKUP(G1188,Liste!$A$7:$H$50,8,FALSE)</f>
        <v>Feuillus</v>
      </c>
      <c r="BU1188" s="298">
        <f t="shared" si="363"/>
        <v>1</v>
      </c>
      <c r="BV1188" s="300">
        <f t="shared" si="364"/>
        <v>0</v>
      </c>
      <c r="BW1188" s="321">
        <v>0</v>
      </c>
      <c r="BX1188" s="298">
        <f t="shared" si="365"/>
        <v>0.25</v>
      </c>
      <c r="BY1188">
        <f t="shared" si="366"/>
        <v>0</v>
      </c>
      <c r="BZ1188" s="304">
        <f t="shared" si="367"/>
        <v>0</v>
      </c>
      <c r="CB1188" s="299">
        <v>0.6</v>
      </c>
      <c r="CC1188" s="299">
        <v>0.4</v>
      </c>
      <c r="CD1188">
        <f t="shared" si="368"/>
        <v>0</v>
      </c>
      <c r="CE1188">
        <f t="shared" si="369"/>
        <v>0</v>
      </c>
      <c r="CF1188">
        <f t="shared" si="370"/>
        <v>0</v>
      </c>
      <c r="CG1188">
        <f t="shared" si="371"/>
        <v>0</v>
      </c>
      <c r="CH1188">
        <f t="shared" si="372"/>
        <v>0</v>
      </c>
      <c r="CI1188">
        <f t="shared" si="373"/>
        <v>0</v>
      </c>
      <c r="CJ1188">
        <f t="shared" si="374"/>
        <v>0</v>
      </c>
      <c r="CK1188">
        <f t="shared" si="375"/>
        <v>0</v>
      </c>
      <c r="CL1188">
        <f t="shared" si="376"/>
        <v>0</v>
      </c>
      <c r="CM1188">
        <f t="shared" si="378"/>
        <v>0</v>
      </c>
      <c r="CN1188">
        <f t="shared" si="377"/>
        <v>0</v>
      </c>
      <c r="CO1188">
        <f t="shared" si="361"/>
        <v>0</v>
      </c>
    </row>
    <row r="1189" spans="1:93" x14ac:dyDescent="0.25">
      <c r="A1189" s="4">
        <v>2021</v>
      </c>
      <c r="B1189" s="318">
        <v>44279</v>
      </c>
      <c r="C1189" s="4" t="s">
        <v>66</v>
      </c>
      <c r="D1189" s="4" t="s">
        <v>1504</v>
      </c>
      <c r="E1189" s="4" t="s">
        <v>87</v>
      </c>
      <c r="F1189" s="4" t="s">
        <v>90</v>
      </c>
      <c r="G1189" s="5" t="s">
        <v>17</v>
      </c>
      <c r="H1189" s="5" t="s">
        <v>22</v>
      </c>
      <c r="I1189" s="5" t="s">
        <v>146</v>
      </c>
      <c r="J1189" s="5" t="s">
        <v>9</v>
      </c>
      <c r="K1189" s="5">
        <v>21.5</v>
      </c>
      <c r="L1189" s="5" t="s">
        <v>194</v>
      </c>
      <c r="M1189" s="5">
        <v>1666</v>
      </c>
      <c r="N1189" s="5" t="s">
        <v>170</v>
      </c>
      <c r="O1189" s="6" t="s">
        <v>81</v>
      </c>
      <c r="P1189" s="6" t="s">
        <v>1505</v>
      </c>
      <c r="S1189" s="6">
        <v>35</v>
      </c>
      <c r="T1189" s="6">
        <v>16.59</v>
      </c>
      <c r="U1189" s="6">
        <v>1453</v>
      </c>
      <c r="V1189" s="6">
        <v>26.19</v>
      </c>
      <c r="W1189" s="6">
        <v>41</v>
      </c>
      <c r="X1189" s="6">
        <v>369</v>
      </c>
      <c r="Y1189" s="6">
        <v>713</v>
      </c>
      <c r="Z1189" s="6">
        <v>301</v>
      </c>
      <c r="AA1189" s="6">
        <v>28</v>
      </c>
      <c r="AB1189" s="6">
        <v>0</v>
      </c>
      <c r="AC1189" s="7">
        <v>63</v>
      </c>
      <c r="AD1189" s="7" t="s">
        <v>52</v>
      </c>
      <c r="AE1189" s="7">
        <v>25.12</v>
      </c>
      <c r="AF1189" s="7">
        <v>228</v>
      </c>
      <c r="AG1189" s="7">
        <v>22.9</v>
      </c>
      <c r="AH1189" s="7">
        <v>35.76</v>
      </c>
      <c r="AI1189" s="7">
        <v>38.58</v>
      </c>
      <c r="AJ1189" s="9">
        <v>282.76067194256802</v>
      </c>
      <c r="AK1189" s="9">
        <v>311.455253752614</v>
      </c>
      <c r="AL1189" s="9">
        <v>342.41403599576398</v>
      </c>
      <c r="AM1189" s="9">
        <v>50.187754467908498</v>
      </c>
      <c r="AN1189" s="9">
        <v>0.79663102330013602</v>
      </c>
      <c r="AO1189" s="9">
        <v>0.62067449910302996</v>
      </c>
      <c r="AP1189" s="9">
        <v>642.86938166951495</v>
      </c>
      <c r="AQ1189" s="9">
        <v>10.2042758995161</v>
      </c>
      <c r="AR1189" s="9">
        <v>11.967459576816401</v>
      </c>
      <c r="AS1189" s="8" t="s">
        <v>169</v>
      </c>
      <c r="AT1189" s="8" t="s">
        <v>169</v>
      </c>
      <c r="AU1189" s="10" t="s">
        <v>169</v>
      </c>
      <c r="AV1189" s="10">
        <v>0</v>
      </c>
      <c r="AX1189" s="10" t="s">
        <v>169</v>
      </c>
      <c r="BF1189" s="12">
        <v>0.55000000000000004</v>
      </c>
      <c r="BG1189" s="13">
        <v>328.00411198094298</v>
      </c>
      <c r="BH1189" s="96" t="str">
        <f>+VLOOKUP(G1189,Liste!$A$7:$G$50,3,FALSE)</f>
        <v>Chêne sessile</v>
      </c>
      <c r="BI1189" s="96" t="str">
        <f>+VLOOKUP(H1189,Liste!$B$7:$G$50,5,FALSE)</f>
        <v>Guide chênaie continentale</v>
      </c>
      <c r="BJ1189" s="135">
        <f t="shared" si="360"/>
        <v>63</v>
      </c>
      <c r="BK1189" s="135" t="str">
        <f t="shared" si="362"/>
        <v>Chêne sessile_F1_Dynamique_Guide chênaie continentale_63_</v>
      </c>
      <c r="BL1189" s="322"/>
      <c r="BM1189" s="13">
        <v>82.154495794899702</v>
      </c>
      <c r="BN1189" s="13">
        <v>410.15860777584197</v>
      </c>
      <c r="BO1189" s="13" t="s">
        <v>169</v>
      </c>
      <c r="BP1189" s="13">
        <v>345.74943247867299</v>
      </c>
      <c r="BQ1189" s="13">
        <v>13.8140487323267</v>
      </c>
      <c r="BT1189" s="298" t="str">
        <f>+VLOOKUP(G1189,Liste!$A$7:$H$50,8,FALSE)</f>
        <v>Feuillus</v>
      </c>
      <c r="BU1189" s="298">
        <f t="shared" si="363"/>
        <v>1</v>
      </c>
      <c r="BV1189" s="300">
        <f t="shared" si="364"/>
        <v>0</v>
      </c>
      <c r="BW1189" s="321">
        <v>0</v>
      </c>
      <c r="BX1189" s="298">
        <f t="shared" si="365"/>
        <v>0.25</v>
      </c>
      <c r="BY1189">
        <f t="shared" si="366"/>
        <v>0</v>
      </c>
      <c r="BZ1189" s="304">
        <f t="shared" si="367"/>
        <v>0</v>
      </c>
      <c r="CB1189" s="299">
        <v>0.6</v>
      </c>
      <c r="CC1189" s="299">
        <v>0.4</v>
      </c>
      <c r="CD1189">
        <f t="shared" si="368"/>
        <v>0</v>
      </c>
      <c r="CE1189">
        <f t="shared" si="369"/>
        <v>0</v>
      </c>
      <c r="CF1189">
        <f t="shared" si="370"/>
        <v>0</v>
      </c>
      <c r="CG1189">
        <f t="shared" si="371"/>
        <v>0</v>
      </c>
      <c r="CH1189">
        <f t="shared" si="372"/>
        <v>0</v>
      </c>
      <c r="CI1189">
        <f t="shared" si="373"/>
        <v>0</v>
      </c>
      <c r="CJ1189">
        <f t="shared" si="374"/>
        <v>0</v>
      </c>
      <c r="CK1189">
        <f t="shared" si="375"/>
        <v>0</v>
      </c>
      <c r="CL1189">
        <f t="shared" si="376"/>
        <v>0</v>
      </c>
      <c r="CM1189">
        <f t="shared" si="378"/>
        <v>0</v>
      </c>
      <c r="CN1189">
        <f t="shared" si="377"/>
        <v>0</v>
      </c>
      <c r="CO1189">
        <f t="shared" si="361"/>
        <v>0</v>
      </c>
    </row>
    <row r="1190" spans="1:93" x14ac:dyDescent="0.25">
      <c r="A1190" s="4">
        <v>2021</v>
      </c>
      <c r="B1190" s="318">
        <v>44279</v>
      </c>
      <c r="C1190" s="4" t="s">
        <v>66</v>
      </c>
      <c r="D1190" s="4" t="s">
        <v>1504</v>
      </c>
      <c r="E1190" s="4" t="s">
        <v>87</v>
      </c>
      <c r="F1190" s="4" t="s">
        <v>90</v>
      </c>
      <c r="G1190" s="5" t="s">
        <v>17</v>
      </c>
      <c r="H1190" s="5" t="s">
        <v>22</v>
      </c>
      <c r="I1190" s="5" t="s">
        <v>146</v>
      </c>
      <c r="J1190" s="5" t="s">
        <v>9</v>
      </c>
      <c r="K1190" s="5">
        <v>21.5</v>
      </c>
      <c r="L1190" s="5" t="s">
        <v>194</v>
      </c>
      <c r="M1190" s="5">
        <v>1666</v>
      </c>
      <c r="N1190" s="5" t="s">
        <v>170</v>
      </c>
      <c r="O1190" s="6" t="s">
        <v>81</v>
      </c>
      <c r="P1190" s="6" t="s">
        <v>1505</v>
      </c>
      <c r="S1190" s="6">
        <v>35</v>
      </c>
      <c r="T1190" s="6">
        <v>16.59</v>
      </c>
      <c r="U1190" s="6">
        <v>1453</v>
      </c>
      <c r="V1190" s="6">
        <v>26.19</v>
      </c>
      <c r="W1190" s="6">
        <v>41</v>
      </c>
      <c r="X1190" s="6">
        <v>369</v>
      </c>
      <c r="Y1190" s="6">
        <v>713</v>
      </c>
      <c r="Z1190" s="6">
        <v>301</v>
      </c>
      <c r="AA1190" s="6">
        <v>28</v>
      </c>
      <c r="AB1190" s="6">
        <v>0</v>
      </c>
      <c r="AC1190" s="7">
        <v>63</v>
      </c>
      <c r="AD1190" s="7" t="s">
        <v>53</v>
      </c>
      <c r="AE1190" s="7">
        <v>25.12</v>
      </c>
      <c r="AF1190" s="7">
        <v>176</v>
      </c>
      <c r="AG1190" s="7">
        <v>18.3</v>
      </c>
      <c r="AH1190" s="7">
        <v>36.39</v>
      </c>
      <c r="AI1190" s="7">
        <v>38.47</v>
      </c>
      <c r="AJ1190" s="9">
        <v>226.272365964225</v>
      </c>
      <c r="AK1190" s="9">
        <v>249.756844386632</v>
      </c>
      <c r="AL1190" s="9">
        <v>274.43878755611502</v>
      </c>
      <c r="AM1190" s="9">
        <v>50.187754467908498</v>
      </c>
      <c r="AN1190" s="9">
        <v>0.79663102330013602</v>
      </c>
      <c r="AO1190" s="9">
        <v>0.62067449910302996</v>
      </c>
      <c r="AP1190" s="9">
        <v>642.86938166951495</v>
      </c>
      <c r="AQ1190" s="9">
        <v>10.2042758995161</v>
      </c>
      <c r="AR1190" s="9">
        <v>11.967459576816401</v>
      </c>
      <c r="AS1190" s="8">
        <v>52</v>
      </c>
      <c r="AT1190" s="8">
        <v>4.5999999999999979</v>
      </c>
      <c r="AU1190" s="10">
        <v>33.560799894719622</v>
      </c>
      <c r="AV1190" s="10">
        <v>56.488305978343021</v>
      </c>
      <c r="AW1190" s="8">
        <v>0.88</v>
      </c>
      <c r="AX1190" s="10">
        <v>1.0863135765065965</v>
      </c>
      <c r="BF1190" s="12">
        <v>0.55000000000000004</v>
      </c>
      <c r="BG1190" s="13">
        <v>262.889488579795</v>
      </c>
      <c r="BH1190" s="96" t="str">
        <f>+VLOOKUP(G1190,Liste!$A$7:$G$50,3,FALSE)</f>
        <v>Chêne sessile</v>
      </c>
      <c r="BI1190" s="96" t="str">
        <f>+VLOOKUP(H1190,Liste!$B$7:$G$50,5,FALSE)</f>
        <v>Guide chênaie continentale</v>
      </c>
      <c r="BJ1190" s="135">
        <f t="shared" si="360"/>
        <v>63</v>
      </c>
      <c r="BK1190" s="135" t="str">
        <f t="shared" si="362"/>
        <v>Chêne sessile_F1_Dynamique_Guide chênaie continentale_63_</v>
      </c>
      <c r="BL1190" s="322"/>
      <c r="BM1190" s="13">
        <v>67.5634805225924</v>
      </c>
      <c r="BN1190" s="13">
        <v>330.45296910238801</v>
      </c>
      <c r="BO1190" s="13">
        <v>79.705638673453961</v>
      </c>
      <c r="BP1190" s="13">
        <v>345.74943247867299</v>
      </c>
      <c r="BQ1190" s="13">
        <v>13.8140487323267</v>
      </c>
      <c r="BT1190" s="298" t="str">
        <f>+VLOOKUP(G1190,Liste!$A$7:$H$50,8,FALSE)</f>
        <v>Feuillus</v>
      </c>
      <c r="BU1190" s="298">
        <f t="shared" si="363"/>
        <v>1</v>
      </c>
      <c r="BV1190" s="300">
        <f t="shared" si="364"/>
        <v>0</v>
      </c>
      <c r="BW1190" s="321">
        <v>0</v>
      </c>
      <c r="BX1190" s="298">
        <f t="shared" si="365"/>
        <v>0.25</v>
      </c>
      <c r="BY1190">
        <f t="shared" si="366"/>
        <v>0</v>
      </c>
      <c r="BZ1190" s="304">
        <f t="shared" si="367"/>
        <v>0</v>
      </c>
      <c r="CB1190" s="299">
        <v>0.6</v>
      </c>
      <c r="CC1190" s="299">
        <v>0.4</v>
      </c>
      <c r="CD1190">
        <f t="shared" si="368"/>
        <v>0</v>
      </c>
      <c r="CE1190">
        <f t="shared" si="369"/>
        <v>0</v>
      </c>
      <c r="CF1190">
        <f t="shared" si="370"/>
        <v>0</v>
      </c>
      <c r="CG1190">
        <f t="shared" si="371"/>
        <v>0</v>
      </c>
      <c r="CH1190">
        <f t="shared" si="372"/>
        <v>0</v>
      </c>
      <c r="CI1190">
        <f t="shared" si="373"/>
        <v>0</v>
      </c>
      <c r="CJ1190">
        <f t="shared" si="374"/>
        <v>0</v>
      </c>
      <c r="CK1190">
        <f t="shared" si="375"/>
        <v>0</v>
      </c>
      <c r="CL1190">
        <f t="shared" si="376"/>
        <v>0</v>
      </c>
      <c r="CM1190">
        <f t="shared" si="378"/>
        <v>0</v>
      </c>
      <c r="CN1190">
        <f t="shared" si="377"/>
        <v>0</v>
      </c>
      <c r="CO1190">
        <f t="shared" si="361"/>
        <v>0</v>
      </c>
    </row>
    <row r="1191" spans="1:93" x14ac:dyDescent="0.25">
      <c r="A1191" s="4">
        <v>2021</v>
      </c>
      <c r="B1191" s="318">
        <v>44279</v>
      </c>
      <c r="C1191" s="4" t="s">
        <v>66</v>
      </c>
      <c r="D1191" s="4" t="s">
        <v>1504</v>
      </c>
      <c r="E1191" s="4" t="s">
        <v>87</v>
      </c>
      <c r="F1191" s="4" t="s">
        <v>90</v>
      </c>
      <c r="G1191" s="5" t="s">
        <v>17</v>
      </c>
      <c r="H1191" s="5" t="s">
        <v>22</v>
      </c>
      <c r="I1191" s="5" t="s">
        <v>146</v>
      </c>
      <c r="J1191" s="5" t="s">
        <v>9</v>
      </c>
      <c r="K1191" s="5">
        <v>21.5</v>
      </c>
      <c r="L1191" s="5" t="s">
        <v>194</v>
      </c>
      <c r="M1191" s="5">
        <v>1666</v>
      </c>
      <c r="N1191" s="5" t="s">
        <v>170</v>
      </c>
      <c r="O1191" s="6" t="s">
        <v>81</v>
      </c>
      <c r="P1191" s="6" t="s">
        <v>1505</v>
      </c>
      <c r="S1191" s="6">
        <v>35</v>
      </c>
      <c r="T1191" s="6">
        <v>16.59</v>
      </c>
      <c r="U1191" s="6">
        <v>1453</v>
      </c>
      <c r="V1191" s="6">
        <v>26.19</v>
      </c>
      <c r="W1191" s="6">
        <v>41</v>
      </c>
      <c r="X1191" s="6">
        <v>369</v>
      </c>
      <c r="Y1191" s="6">
        <v>713</v>
      </c>
      <c r="Z1191" s="6">
        <v>301</v>
      </c>
      <c r="AA1191" s="6">
        <v>28</v>
      </c>
      <c r="AB1191" s="6">
        <v>0</v>
      </c>
      <c r="AC1191" s="7">
        <v>66</v>
      </c>
      <c r="AD1191" s="7" t="s">
        <v>52</v>
      </c>
      <c r="AE1191" s="7">
        <v>25.79</v>
      </c>
      <c r="AF1191" s="7">
        <v>176</v>
      </c>
      <c r="AG1191" s="7">
        <v>20.16</v>
      </c>
      <c r="AH1191" s="7">
        <v>38.19</v>
      </c>
      <c r="AI1191" s="7">
        <v>40.31</v>
      </c>
      <c r="AJ1191" s="9">
        <v>256.419202691289</v>
      </c>
      <c r="AK1191" s="9">
        <v>283.47219818255002</v>
      </c>
      <c r="AL1191" s="9">
        <v>310.341166286565</v>
      </c>
      <c r="AM1191" s="9">
        <v>52.049777965217601</v>
      </c>
      <c r="AN1191" s="9">
        <v>0.78863299947299403</v>
      </c>
      <c r="AO1191" s="9">
        <v>0.64603818404369895</v>
      </c>
      <c r="AP1191" s="9">
        <v>678.77176039996505</v>
      </c>
      <c r="AQ1191" s="9">
        <v>10.2844206121207</v>
      </c>
      <c r="AR1191" s="9">
        <v>12.804388002008899</v>
      </c>
      <c r="AS1191" s="8" t="s">
        <v>169</v>
      </c>
      <c r="AT1191" s="8" t="s">
        <v>169</v>
      </c>
      <c r="AU1191" s="10" t="s">
        <v>169</v>
      </c>
      <c r="AV1191" s="10">
        <v>0</v>
      </c>
      <c r="AX1191" s="10" t="s">
        <v>169</v>
      </c>
      <c r="BF1191" s="12">
        <v>0.55000000000000004</v>
      </c>
      <c r="BG1191" s="13">
        <v>297.28097553867201</v>
      </c>
      <c r="BH1191" s="96" t="str">
        <f>+VLOOKUP(G1191,Liste!$A$7:$G$50,3,FALSE)</f>
        <v>Chêne sessile</v>
      </c>
      <c r="BI1191" s="96" t="str">
        <f>+VLOOKUP(H1191,Liste!$B$7:$G$50,5,FALSE)</f>
        <v>Guide chênaie continentale</v>
      </c>
      <c r="BJ1191" s="135">
        <f t="shared" si="360"/>
        <v>66</v>
      </c>
      <c r="BK1191" s="135" t="str">
        <f t="shared" si="362"/>
        <v>Chêne sessile_F1_Dynamique_Guide chênaie continentale_66_</v>
      </c>
      <c r="BL1191" s="322"/>
      <c r="BM1191" s="13">
        <v>75.316626706791894</v>
      </c>
      <c r="BN1191" s="13">
        <v>372.59760224546397</v>
      </c>
      <c r="BO1191" s="13" t="s">
        <v>169</v>
      </c>
      <c r="BP1191" s="13">
        <v>345.74943247867299</v>
      </c>
      <c r="BQ1191" s="13">
        <v>14.7641556370292</v>
      </c>
      <c r="BT1191" s="298" t="str">
        <f>+VLOOKUP(G1191,Liste!$A$7:$H$50,8,FALSE)</f>
        <v>Feuillus</v>
      </c>
      <c r="BU1191" s="298">
        <f t="shared" si="363"/>
        <v>1</v>
      </c>
      <c r="BV1191" s="300">
        <f t="shared" si="364"/>
        <v>0</v>
      </c>
      <c r="BW1191" s="321">
        <v>0</v>
      </c>
      <c r="BX1191" s="298">
        <f t="shared" si="365"/>
        <v>0.25</v>
      </c>
      <c r="BY1191">
        <f t="shared" si="366"/>
        <v>0</v>
      </c>
      <c r="BZ1191" s="304">
        <f t="shared" si="367"/>
        <v>0</v>
      </c>
      <c r="CB1191" s="299">
        <v>0.6</v>
      </c>
      <c r="CC1191" s="299">
        <v>0.4</v>
      </c>
      <c r="CD1191">
        <f t="shared" si="368"/>
        <v>0</v>
      </c>
      <c r="CE1191">
        <f t="shared" si="369"/>
        <v>0</v>
      </c>
      <c r="CF1191">
        <f t="shared" si="370"/>
        <v>0</v>
      </c>
      <c r="CG1191">
        <f t="shared" si="371"/>
        <v>0</v>
      </c>
      <c r="CH1191">
        <f t="shared" si="372"/>
        <v>0</v>
      </c>
      <c r="CI1191">
        <f t="shared" si="373"/>
        <v>0</v>
      </c>
      <c r="CJ1191">
        <f t="shared" si="374"/>
        <v>0</v>
      </c>
      <c r="CK1191">
        <f t="shared" si="375"/>
        <v>0</v>
      </c>
      <c r="CL1191">
        <f t="shared" si="376"/>
        <v>0</v>
      </c>
      <c r="CM1191">
        <f t="shared" si="378"/>
        <v>0</v>
      </c>
      <c r="CN1191">
        <f t="shared" si="377"/>
        <v>0</v>
      </c>
      <c r="CO1191">
        <f t="shared" si="361"/>
        <v>0</v>
      </c>
    </row>
    <row r="1192" spans="1:93" x14ac:dyDescent="0.25">
      <c r="A1192" s="4">
        <v>2021</v>
      </c>
      <c r="B1192" s="318">
        <v>44279</v>
      </c>
      <c r="C1192" s="4" t="s">
        <v>66</v>
      </c>
      <c r="D1192" s="4" t="s">
        <v>1504</v>
      </c>
      <c r="E1192" s="4" t="s">
        <v>87</v>
      </c>
      <c r="F1192" s="4" t="s">
        <v>90</v>
      </c>
      <c r="G1192" s="5" t="s">
        <v>17</v>
      </c>
      <c r="H1192" s="5" t="s">
        <v>22</v>
      </c>
      <c r="I1192" s="5" t="s">
        <v>146</v>
      </c>
      <c r="J1192" s="5" t="s">
        <v>9</v>
      </c>
      <c r="K1192" s="5">
        <v>21.5</v>
      </c>
      <c r="L1192" s="5" t="s">
        <v>194</v>
      </c>
      <c r="M1192" s="5">
        <v>1666</v>
      </c>
      <c r="N1192" s="5" t="s">
        <v>170</v>
      </c>
      <c r="O1192" s="6" t="s">
        <v>81</v>
      </c>
      <c r="P1192" s="6" t="s">
        <v>1505</v>
      </c>
      <c r="S1192" s="6">
        <v>35</v>
      </c>
      <c r="T1192" s="6">
        <v>16.59</v>
      </c>
      <c r="U1192" s="6">
        <v>1453</v>
      </c>
      <c r="V1192" s="6">
        <v>26.19</v>
      </c>
      <c r="W1192" s="6">
        <v>41</v>
      </c>
      <c r="X1192" s="6">
        <v>369</v>
      </c>
      <c r="Y1192" s="6">
        <v>713</v>
      </c>
      <c r="Z1192" s="6">
        <v>301</v>
      </c>
      <c r="AA1192" s="6">
        <v>28</v>
      </c>
      <c r="AB1192" s="6">
        <v>0</v>
      </c>
      <c r="AC1192" s="7">
        <v>69</v>
      </c>
      <c r="AD1192" s="7" t="s">
        <v>52</v>
      </c>
      <c r="AE1192" s="7">
        <v>26.47</v>
      </c>
      <c r="AF1192" s="7">
        <v>176</v>
      </c>
      <c r="AG1192" s="7">
        <v>22.1</v>
      </c>
      <c r="AH1192" s="7">
        <v>39.99</v>
      </c>
      <c r="AI1192" s="7">
        <v>42.14</v>
      </c>
      <c r="AJ1192" s="9">
        <v>288.74127740014598</v>
      </c>
      <c r="AK1192" s="9">
        <v>319.62608463492899</v>
      </c>
      <c r="AL1192" s="9">
        <v>348.75433029259102</v>
      </c>
      <c r="AM1192" s="9">
        <v>53.987892517348698</v>
      </c>
      <c r="AN1192" s="9">
        <v>0.78243322488911204</v>
      </c>
      <c r="AO1192" s="9">
        <v>0.63444880292971795</v>
      </c>
      <c r="AP1192" s="9">
        <v>717.18492440599096</v>
      </c>
      <c r="AQ1192" s="9">
        <v>10.393984411681</v>
      </c>
      <c r="AR1192" s="9">
        <v>12.9779540730742</v>
      </c>
      <c r="AS1192" s="8" t="s">
        <v>169</v>
      </c>
      <c r="AT1192" s="8" t="s">
        <v>169</v>
      </c>
      <c r="AU1192" s="10" t="s">
        <v>169</v>
      </c>
      <c r="AV1192" s="10">
        <v>0</v>
      </c>
      <c r="AX1192" s="10" t="s">
        <v>169</v>
      </c>
      <c r="BF1192" s="12">
        <v>0.55000000000000004</v>
      </c>
      <c r="BG1192" s="13">
        <v>334.07758555944503</v>
      </c>
      <c r="BH1192" s="96" t="str">
        <f>+VLOOKUP(G1192,Liste!$A$7:$G$50,3,FALSE)</f>
        <v>Chêne sessile</v>
      </c>
      <c r="BI1192" s="96" t="str">
        <f>+VLOOKUP(H1192,Liste!$B$7:$G$50,5,FALSE)</f>
        <v>Guide chênaie continentale</v>
      </c>
      <c r="BJ1192" s="135">
        <f t="shared" si="360"/>
        <v>69</v>
      </c>
      <c r="BK1192" s="135" t="str">
        <f t="shared" si="362"/>
        <v>Chêne sessile_F1_Dynamique_Guide chênaie continentale_69_</v>
      </c>
      <c r="BL1192" s="322"/>
      <c r="BM1192" s="13">
        <v>83.497198376928793</v>
      </c>
      <c r="BN1192" s="13">
        <v>417.57478393637302</v>
      </c>
      <c r="BO1192" s="13" t="s">
        <v>169</v>
      </c>
      <c r="BP1192" s="13">
        <v>345.74943247867299</v>
      </c>
      <c r="BQ1192" s="13">
        <v>14.9510088474775</v>
      </c>
      <c r="BT1192" s="298" t="str">
        <f>+VLOOKUP(G1192,Liste!$A$7:$H$50,8,FALSE)</f>
        <v>Feuillus</v>
      </c>
      <c r="BU1192" s="298">
        <f t="shared" si="363"/>
        <v>1</v>
      </c>
      <c r="BV1192" s="300">
        <f t="shared" si="364"/>
        <v>0</v>
      </c>
      <c r="BW1192" s="321">
        <v>0</v>
      </c>
      <c r="BX1192" s="298">
        <f t="shared" si="365"/>
        <v>0.25</v>
      </c>
      <c r="BY1192">
        <f t="shared" si="366"/>
        <v>0</v>
      </c>
      <c r="BZ1192" s="304">
        <f t="shared" si="367"/>
        <v>0</v>
      </c>
      <c r="CB1192" s="299">
        <v>0.6</v>
      </c>
      <c r="CC1192" s="299">
        <v>0.4</v>
      </c>
      <c r="CD1192">
        <f t="shared" si="368"/>
        <v>0</v>
      </c>
      <c r="CE1192">
        <f t="shared" si="369"/>
        <v>0</v>
      </c>
      <c r="CF1192">
        <f t="shared" si="370"/>
        <v>0</v>
      </c>
      <c r="CG1192">
        <f t="shared" si="371"/>
        <v>0</v>
      </c>
      <c r="CH1192">
        <f t="shared" si="372"/>
        <v>0</v>
      </c>
      <c r="CI1192">
        <f t="shared" si="373"/>
        <v>0</v>
      </c>
      <c r="CJ1192">
        <f t="shared" si="374"/>
        <v>0</v>
      </c>
      <c r="CK1192">
        <f t="shared" si="375"/>
        <v>0</v>
      </c>
      <c r="CL1192">
        <f t="shared" si="376"/>
        <v>0</v>
      </c>
      <c r="CM1192">
        <f t="shared" si="378"/>
        <v>0</v>
      </c>
      <c r="CN1192">
        <f t="shared" si="377"/>
        <v>0</v>
      </c>
      <c r="CO1192">
        <f t="shared" si="361"/>
        <v>0</v>
      </c>
    </row>
    <row r="1193" spans="1:93" x14ac:dyDescent="0.25">
      <c r="A1193" s="4">
        <v>2021</v>
      </c>
      <c r="B1193" s="318">
        <v>44279</v>
      </c>
      <c r="C1193" s="4" t="s">
        <v>66</v>
      </c>
      <c r="D1193" s="4" t="s">
        <v>1504</v>
      </c>
      <c r="E1193" s="4" t="s">
        <v>87</v>
      </c>
      <c r="F1193" s="4" t="s">
        <v>90</v>
      </c>
      <c r="G1193" s="5" t="s">
        <v>17</v>
      </c>
      <c r="H1193" s="5" t="s">
        <v>22</v>
      </c>
      <c r="I1193" s="5" t="s">
        <v>146</v>
      </c>
      <c r="J1193" s="5" t="s">
        <v>9</v>
      </c>
      <c r="K1193" s="5">
        <v>21.5</v>
      </c>
      <c r="L1193" s="5" t="s">
        <v>194</v>
      </c>
      <c r="M1193" s="5">
        <v>1666</v>
      </c>
      <c r="N1193" s="5" t="s">
        <v>170</v>
      </c>
      <c r="O1193" s="6" t="s">
        <v>81</v>
      </c>
      <c r="P1193" s="6" t="s">
        <v>1505</v>
      </c>
      <c r="S1193" s="6">
        <v>35</v>
      </c>
      <c r="T1193" s="6">
        <v>16.59</v>
      </c>
      <c r="U1193" s="6">
        <v>1453</v>
      </c>
      <c r="V1193" s="6">
        <v>26.19</v>
      </c>
      <c r="W1193" s="6">
        <v>41</v>
      </c>
      <c r="X1193" s="6">
        <v>369</v>
      </c>
      <c r="Y1193" s="6">
        <v>713</v>
      </c>
      <c r="Z1193" s="6">
        <v>301</v>
      </c>
      <c r="AA1193" s="6">
        <v>28</v>
      </c>
      <c r="AB1193" s="6">
        <v>0</v>
      </c>
      <c r="AC1193" s="7">
        <v>71</v>
      </c>
      <c r="AD1193" s="7" t="s">
        <v>52</v>
      </c>
      <c r="AE1193" s="7">
        <v>26.92</v>
      </c>
      <c r="AF1193" s="7">
        <v>176</v>
      </c>
      <c r="AG1193" s="7">
        <v>23.37</v>
      </c>
      <c r="AH1193" s="7">
        <v>41.12</v>
      </c>
      <c r="AI1193" s="7">
        <v>43.3</v>
      </c>
      <c r="AJ1193" s="9">
        <v>310.69388919580803</v>
      </c>
      <c r="AK1193" s="9">
        <v>344.11865959146201</v>
      </c>
      <c r="AL1193" s="9">
        <v>374.71023843874002</v>
      </c>
      <c r="AM1193" s="9">
        <v>55.256790123208198</v>
      </c>
      <c r="AN1193" s="9">
        <v>0.77826464962264996</v>
      </c>
      <c r="AO1193" s="9">
        <v>0.56275461253892001</v>
      </c>
      <c r="AP1193" s="9">
        <v>743.14083255213905</v>
      </c>
      <c r="AQ1193" s="9">
        <v>10.4667722894668</v>
      </c>
      <c r="AR1193" s="9">
        <v>11.5162138161283</v>
      </c>
      <c r="AS1193" s="8" t="s">
        <v>169</v>
      </c>
      <c r="AT1193" s="8" t="s">
        <v>169</v>
      </c>
      <c r="AU1193" s="10" t="s">
        <v>169</v>
      </c>
      <c r="AV1193" s="10">
        <v>0</v>
      </c>
      <c r="AX1193" s="10" t="s">
        <v>169</v>
      </c>
      <c r="BF1193" s="12">
        <v>0.55000000000000004</v>
      </c>
      <c r="BG1193" s="13">
        <v>358.94118257110898</v>
      </c>
      <c r="BH1193" s="96" t="str">
        <f>+VLOOKUP(G1193,Liste!$A$7:$G$50,3,FALSE)</f>
        <v>Chêne sessile</v>
      </c>
      <c r="BI1193" s="96" t="str">
        <f>+VLOOKUP(H1193,Liste!$B$7:$G$50,5,FALSE)</f>
        <v>Guide chênaie continentale</v>
      </c>
      <c r="BJ1193" s="135">
        <f t="shared" si="360"/>
        <v>71</v>
      </c>
      <c r="BK1193" s="135" t="str">
        <f t="shared" si="362"/>
        <v>Chêne sessile_F1_Dynamique_Guide chênaie continentale_71_</v>
      </c>
      <c r="BL1193" s="322"/>
      <c r="BM1193" s="13">
        <v>88.964957161403603</v>
      </c>
      <c r="BN1193" s="13">
        <v>447.906139732513</v>
      </c>
      <c r="BO1193" s="13" t="s">
        <v>169</v>
      </c>
      <c r="BP1193" s="13">
        <v>345.74943247867299</v>
      </c>
      <c r="BQ1193" s="13">
        <v>13.256509290763701</v>
      </c>
      <c r="BT1193" s="298" t="str">
        <f>+VLOOKUP(G1193,Liste!$A$7:$H$50,8,FALSE)</f>
        <v>Feuillus</v>
      </c>
      <c r="BU1193" s="298">
        <f t="shared" si="363"/>
        <v>1</v>
      </c>
      <c r="BV1193" s="300">
        <f t="shared" si="364"/>
        <v>0</v>
      </c>
      <c r="BW1193" s="321">
        <v>0</v>
      </c>
      <c r="BX1193" s="298">
        <f t="shared" si="365"/>
        <v>0.25</v>
      </c>
      <c r="BY1193">
        <f t="shared" si="366"/>
        <v>0</v>
      </c>
      <c r="BZ1193" s="304">
        <f t="shared" si="367"/>
        <v>0</v>
      </c>
      <c r="CB1193" s="299">
        <v>0.6</v>
      </c>
      <c r="CC1193" s="299">
        <v>0.4</v>
      </c>
      <c r="CD1193">
        <f t="shared" si="368"/>
        <v>0</v>
      </c>
      <c r="CE1193">
        <f t="shared" si="369"/>
        <v>0</v>
      </c>
      <c r="CF1193">
        <f t="shared" si="370"/>
        <v>0</v>
      </c>
      <c r="CG1193">
        <f t="shared" si="371"/>
        <v>0</v>
      </c>
      <c r="CH1193">
        <f t="shared" si="372"/>
        <v>0</v>
      </c>
      <c r="CI1193">
        <f t="shared" si="373"/>
        <v>0</v>
      </c>
      <c r="CJ1193">
        <f t="shared" si="374"/>
        <v>0</v>
      </c>
      <c r="CK1193">
        <f t="shared" si="375"/>
        <v>0</v>
      </c>
      <c r="CL1193">
        <f t="shared" si="376"/>
        <v>0</v>
      </c>
      <c r="CM1193">
        <f t="shared" si="378"/>
        <v>0</v>
      </c>
      <c r="CN1193">
        <f t="shared" si="377"/>
        <v>0</v>
      </c>
      <c r="CO1193">
        <f t="shared" si="361"/>
        <v>0</v>
      </c>
    </row>
    <row r="1194" spans="1:93" x14ac:dyDescent="0.25">
      <c r="A1194" s="4">
        <v>2021</v>
      </c>
      <c r="B1194" s="318">
        <v>44279</v>
      </c>
      <c r="C1194" s="4" t="s">
        <v>66</v>
      </c>
      <c r="D1194" s="4" t="s">
        <v>1504</v>
      </c>
      <c r="E1194" s="4" t="s">
        <v>87</v>
      </c>
      <c r="F1194" s="4" t="s">
        <v>90</v>
      </c>
      <c r="G1194" s="5" t="s">
        <v>17</v>
      </c>
      <c r="H1194" s="5" t="s">
        <v>22</v>
      </c>
      <c r="I1194" s="5" t="s">
        <v>146</v>
      </c>
      <c r="J1194" s="5" t="s">
        <v>9</v>
      </c>
      <c r="K1194" s="5">
        <v>21.5</v>
      </c>
      <c r="L1194" s="5" t="s">
        <v>194</v>
      </c>
      <c r="M1194" s="5">
        <v>1666</v>
      </c>
      <c r="N1194" s="5" t="s">
        <v>170</v>
      </c>
      <c r="O1194" s="6" t="s">
        <v>81</v>
      </c>
      <c r="P1194" s="6" t="s">
        <v>1505</v>
      </c>
      <c r="S1194" s="6">
        <v>35</v>
      </c>
      <c r="T1194" s="6">
        <v>16.59</v>
      </c>
      <c r="U1194" s="6">
        <v>1453</v>
      </c>
      <c r="V1194" s="6">
        <v>26.19</v>
      </c>
      <c r="W1194" s="6">
        <v>41</v>
      </c>
      <c r="X1194" s="6">
        <v>369</v>
      </c>
      <c r="Y1194" s="6">
        <v>713</v>
      </c>
      <c r="Z1194" s="6">
        <v>301</v>
      </c>
      <c r="AA1194" s="6">
        <v>28</v>
      </c>
      <c r="AB1194" s="6">
        <v>0</v>
      </c>
      <c r="AC1194" s="7">
        <v>71</v>
      </c>
      <c r="AD1194" s="7" t="s">
        <v>53</v>
      </c>
      <c r="AE1194" s="7">
        <v>26.92</v>
      </c>
      <c r="AF1194" s="7">
        <v>142</v>
      </c>
      <c r="AG1194" s="7">
        <v>19.260000000000002</v>
      </c>
      <c r="AH1194" s="7">
        <v>41.55</v>
      </c>
      <c r="AI1194" s="7">
        <v>43.08</v>
      </c>
      <c r="AJ1194" s="9">
        <v>256.15226828783301</v>
      </c>
      <c r="AK1194" s="9">
        <v>284.10991247357998</v>
      </c>
      <c r="AL1194" s="9">
        <v>309.29109539770798</v>
      </c>
      <c r="AM1194" s="9">
        <v>55.256790123208198</v>
      </c>
      <c r="AN1194" s="9">
        <v>0.77826464962264996</v>
      </c>
      <c r="AO1194" s="9">
        <v>0.56275461253892001</v>
      </c>
      <c r="AP1194" s="9">
        <v>743.14083255213905</v>
      </c>
      <c r="AQ1194" s="9">
        <v>10.4667722894668</v>
      </c>
      <c r="AR1194" s="9">
        <v>11.5162138161283</v>
      </c>
      <c r="AS1194" s="8">
        <v>34</v>
      </c>
      <c r="AT1194" s="8">
        <v>4.1099999999999994</v>
      </c>
      <c r="AU1194" s="10">
        <v>39.231644373558794</v>
      </c>
      <c r="AV1194" s="10">
        <v>54.541620907975016</v>
      </c>
      <c r="AW1194" s="8">
        <v>0.91</v>
      </c>
      <c r="AX1194" s="10">
        <v>1.6041653208227946</v>
      </c>
      <c r="BF1194" s="12">
        <v>0.55000000000000004</v>
      </c>
      <c r="BG1194" s="13">
        <v>296.27509513305398</v>
      </c>
      <c r="BH1194" s="96" t="str">
        <f>+VLOOKUP(G1194,Liste!$A$7:$G$50,3,FALSE)</f>
        <v>Chêne sessile</v>
      </c>
      <c r="BI1194" s="96" t="str">
        <f>+VLOOKUP(H1194,Liste!$B$7:$G$50,5,FALSE)</f>
        <v>Guide chênaie continentale</v>
      </c>
      <c r="BJ1194" s="135">
        <f t="shared" si="360"/>
        <v>71</v>
      </c>
      <c r="BK1194" s="135" t="str">
        <f t="shared" si="362"/>
        <v>Chêne sessile_F1_Dynamique_Guide chênaie continentale_71_</v>
      </c>
      <c r="BL1194" s="322"/>
      <c r="BM1194" s="13">
        <v>75.091404389977995</v>
      </c>
      <c r="BN1194" s="13">
        <v>371.36649952303202</v>
      </c>
      <c r="BO1194" s="13">
        <v>76.539640209480979</v>
      </c>
      <c r="BP1194" s="13">
        <v>345.74943247867299</v>
      </c>
      <c r="BQ1194" s="13">
        <v>13.256509290763701</v>
      </c>
      <c r="BT1194" s="298" t="str">
        <f>+VLOOKUP(G1194,Liste!$A$7:$H$50,8,FALSE)</f>
        <v>Feuillus</v>
      </c>
      <c r="BU1194" s="298">
        <f t="shared" si="363"/>
        <v>1</v>
      </c>
      <c r="BV1194" s="300">
        <f t="shared" si="364"/>
        <v>0</v>
      </c>
      <c r="BW1194" s="321">
        <v>0</v>
      </c>
      <c r="BX1194" s="298">
        <f t="shared" si="365"/>
        <v>0.25</v>
      </c>
      <c r="BY1194">
        <f t="shared" si="366"/>
        <v>0</v>
      </c>
      <c r="BZ1194" s="304">
        <f t="shared" si="367"/>
        <v>0</v>
      </c>
      <c r="CB1194" s="299">
        <v>0.6</v>
      </c>
      <c r="CC1194" s="299">
        <v>0.4</v>
      </c>
      <c r="CD1194">
        <f t="shared" si="368"/>
        <v>0</v>
      </c>
      <c r="CE1194">
        <f t="shared" si="369"/>
        <v>0</v>
      </c>
      <c r="CF1194">
        <f t="shared" si="370"/>
        <v>0</v>
      </c>
      <c r="CG1194">
        <f t="shared" si="371"/>
        <v>0</v>
      </c>
      <c r="CH1194">
        <f t="shared" si="372"/>
        <v>0</v>
      </c>
      <c r="CI1194">
        <f t="shared" si="373"/>
        <v>0</v>
      </c>
      <c r="CJ1194">
        <f t="shared" si="374"/>
        <v>0</v>
      </c>
      <c r="CK1194">
        <f t="shared" si="375"/>
        <v>0</v>
      </c>
      <c r="CL1194">
        <f t="shared" si="376"/>
        <v>0</v>
      </c>
      <c r="CM1194">
        <f t="shared" si="378"/>
        <v>0</v>
      </c>
      <c r="CN1194">
        <f t="shared" si="377"/>
        <v>0</v>
      </c>
      <c r="CO1194">
        <f t="shared" si="361"/>
        <v>0</v>
      </c>
    </row>
    <row r="1195" spans="1:93" x14ac:dyDescent="0.25">
      <c r="A1195" s="4">
        <v>2021</v>
      </c>
      <c r="B1195" s="318">
        <v>44279</v>
      </c>
      <c r="C1195" s="4" t="s">
        <v>66</v>
      </c>
      <c r="D1195" s="4" t="s">
        <v>1504</v>
      </c>
      <c r="E1195" s="4" t="s">
        <v>87</v>
      </c>
      <c r="F1195" s="4" t="s">
        <v>90</v>
      </c>
      <c r="G1195" s="5" t="s">
        <v>17</v>
      </c>
      <c r="H1195" s="5" t="s">
        <v>22</v>
      </c>
      <c r="I1195" s="5" t="s">
        <v>146</v>
      </c>
      <c r="J1195" s="5" t="s">
        <v>9</v>
      </c>
      <c r="K1195" s="5">
        <v>21.5</v>
      </c>
      <c r="L1195" s="5" t="s">
        <v>194</v>
      </c>
      <c r="M1195" s="5">
        <v>1666</v>
      </c>
      <c r="N1195" s="5" t="s">
        <v>170</v>
      </c>
      <c r="O1195" s="6" t="s">
        <v>81</v>
      </c>
      <c r="P1195" s="6" t="s">
        <v>1505</v>
      </c>
      <c r="S1195" s="6">
        <v>35</v>
      </c>
      <c r="T1195" s="6">
        <v>16.59</v>
      </c>
      <c r="U1195" s="6">
        <v>1453</v>
      </c>
      <c r="V1195" s="6">
        <v>26.19</v>
      </c>
      <c r="W1195" s="6">
        <v>41</v>
      </c>
      <c r="X1195" s="6">
        <v>369</v>
      </c>
      <c r="Y1195" s="6">
        <v>713</v>
      </c>
      <c r="Z1195" s="6">
        <v>301</v>
      </c>
      <c r="AA1195" s="6">
        <v>28</v>
      </c>
      <c r="AB1195" s="6">
        <v>0</v>
      </c>
      <c r="AC1195" s="7">
        <v>74</v>
      </c>
      <c r="AD1195" s="7" t="s">
        <v>52</v>
      </c>
      <c r="AE1195" s="7">
        <v>27.52</v>
      </c>
      <c r="AF1195" s="7">
        <v>142</v>
      </c>
      <c r="AG1195" s="7">
        <v>20.95</v>
      </c>
      <c r="AH1195" s="7">
        <v>43.34</v>
      </c>
      <c r="AI1195" s="7">
        <v>44.89</v>
      </c>
      <c r="AJ1195" s="9">
        <v>285.15899917874202</v>
      </c>
      <c r="AK1195" s="9">
        <v>316.70298582265599</v>
      </c>
      <c r="AL1195" s="9">
        <v>343.83973684609202</v>
      </c>
      <c r="AM1195" s="9">
        <v>56.9450539608249</v>
      </c>
      <c r="AN1195" s="9">
        <v>0.76952775622736402</v>
      </c>
      <c r="AO1195" s="9">
        <v>0.58074358413087901</v>
      </c>
      <c r="AP1195" s="9">
        <v>777.689474000524</v>
      </c>
      <c r="AQ1195" s="9">
        <v>10.5093172162233</v>
      </c>
      <c r="AR1195" s="9">
        <v>12.1792022520802</v>
      </c>
      <c r="AS1195" s="8" t="s">
        <v>169</v>
      </c>
      <c r="AT1195" s="8" t="s">
        <v>169</v>
      </c>
      <c r="AU1195" s="10" t="s">
        <v>169</v>
      </c>
      <c r="AV1195" s="10">
        <v>0</v>
      </c>
      <c r="AX1195" s="10" t="s">
        <v>169</v>
      </c>
      <c r="BF1195" s="12">
        <v>0.55000000000000004</v>
      </c>
      <c r="BG1195" s="13">
        <v>329.36981458715297</v>
      </c>
      <c r="BH1195" s="96" t="str">
        <f>+VLOOKUP(G1195,Liste!$A$7:$G$50,3,FALSE)</f>
        <v>Chêne sessile</v>
      </c>
      <c r="BI1195" s="96" t="str">
        <f>+VLOOKUP(H1195,Liste!$B$7:$G$50,5,FALSE)</f>
        <v>Guide chênaie continentale</v>
      </c>
      <c r="BJ1195" s="135">
        <f t="shared" si="360"/>
        <v>74</v>
      </c>
      <c r="BK1195" s="135" t="str">
        <f t="shared" si="362"/>
        <v>Chêne sessile_F1_Dynamique_Guide chênaie continentale_74_</v>
      </c>
      <c r="BL1195" s="322"/>
      <c r="BM1195" s="13">
        <v>82.456670982887104</v>
      </c>
      <c r="BN1195" s="13">
        <v>411.82648557004001</v>
      </c>
      <c r="BO1195" s="13" t="s">
        <v>169</v>
      </c>
      <c r="BP1195" s="13">
        <v>345.74943247867299</v>
      </c>
      <c r="BQ1195" s="13">
        <v>14.0072082829153</v>
      </c>
      <c r="BT1195" s="298" t="str">
        <f>+VLOOKUP(G1195,Liste!$A$7:$H$50,8,FALSE)</f>
        <v>Feuillus</v>
      </c>
      <c r="BU1195" s="298">
        <f t="shared" si="363"/>
        <v>1</v>
      </c>
      <c r="BV1195" s="300">
        <f t="shared" si="364"/>
        <v>0</v>
      </c>
      <c r="BW1195" s="321">
        <v>0</v>
      </c>
      <c r="BX1195" s="298">
        <f t="shared" si="365"/>
        <v>0.25</v>
      </c>
      <c r="BY1195">
        <f t="shared" si="366"/>
        <v>0</v>
      </c>
      <c r="BZ1195" s="304">
        <f t="shared" si="367"/>
        <v>0</v>
      </c>
      <c r="CB1195" s="299">
        <v>0.6</v>
      </c>
      <c r="CC1195" s="299">
        <v>0.4</v>
      </c>
      <c r="CD1195">
        <f t="shared" si="368"/>
        <v>0</v>
      </c>
      <c r="CE1195">
        <f t="shared" si="369"/>
        <v>0</v>
      </c>
      <c r="CF1195">
        <f t="shared" si="370"/>
        <v>0</v>
      </c>
      <c r="CG1195">
        <f t="shared" si="371"/>
        <v>0</v>
      </c>
      <c r="CH1195">
        <f t="shared" si="372"/>
        <v>0</v>
      </c>
      <c r="CI1195">
        <f t="shared" si="373"/>
        <v>0</v>
      </c>
      <c r="CJ1195">
        <f t="shared" si="374"/>
        <v>0</v>
      </c>
      <c r="CK1195">
        <f t="shared" si="375"/>
        <v>0</v>
      </c>
      <c r="CL1195">
        <f t="shared" si="376"/>
        <v>0</v>
      </c>
      <c r="CM1195">
        <f t="shared" si="378"/>
        <v>0</v>
      </c>
      <c r="CN1195">
        <f t="shared" si="377"/>
        <v>0</v>
      </c>
      <c r="CO1195">
        <f t="shared" si="361"/>
        <v>0</v>
      </c>
    </row>
    <row r="1196" spans="1:93" x14ac:dyDescent="0.25">
      <c r="A1196" s="4">
        <v>2021</v>
      </c>
      <c r="B1196" s="318">
        <v>44279</v>
      </c>
      <c r="C1196" s="4" t="s">
        <v>66</v>
      </c>
      <c r="D1196" s="4" t="s">
        <v>1504</v>
      </c>
      <c r="E1196" s="4" t="s">
        <v>87</v>
      </c>
      <c r="F1196" s="4" t="s">
        <v>90</v>
      </c>
      <c r="G1196" s="5" t="s">
        <v>17</v>
      </c>
      <c r="H1196" s="5" t="s">
        <v>22</v>
      </c>
      <c r="I1196" s="5" t="s">
        <v>146</v>
      </c>
      <c r="J1196" s="5" t="s">
        <v>9</v>
      </c>
      <c r="K1196" s="5">
        <v>21.5</v>
      </c>
      <c r="L1196" s="5" t="s">
        <v>194</v>
      </c>
      <c r="M1196" s="5">
        <v>1666</v>
      </c>
      <c r="N1196" s="5" t="s">
        <v>170</v>
      </c>
      <c r="O1196" s="6" t="s">
        <v>81</v>
      </c>
      <c r="P1196" s="6" t="s">
        <v>1505</v>
      </c>
      <c r="S1196" s="6">
        <v>35</v>
      </c>
      <c r="T1196" s="6">
        <v>16.59</v>
      </c>
      <c r="U1196" s="6">
        <v>1453</v>
      </c>
      <c r="V1196" s="6">
        <v>26.19</v>
      </c>
      <c r="W1196" s="6">
        <v>41</v>
      </c>
      <c r="X1196" s="6">
        <v>369</v>
      </c>
      <c r="Y1196" s="6">
        <v>713</v>
      </c>
      <c r="Z1196" s="6">
        <v>301</v>
      </c>
      <c r="AA1196" s="6">
        <v>28</v>
      </c>
      <c r="AB1196" s="6">
        <v>0</v>
      </c>
      <c r="AC1196" s="7">
        <v>77</v>
      </c>
      <c r="AD1196" s="7" t="s">
        <v>52</v>
      </c>
      <c r="AE1196" s="7">
        <v>28.13</v>
      </c>
      <c r="AF1196" s="7">
        <v>142</v>
      </c>
      <c r="AG1196" s="7">
        <v>22.69</v>
      </c>
      <c r="AH1196" s="7">
        <v>45.11</v>
      </c>
      <c r="AI1196" s="7">
        <v>46.68</v>
      </c>
      <c r="AJ1196" s="9">
        <v>315.89941741306899</v>
      </c>
      <c r="AK1196" s="9">
        <v>351.23750301988701</v>
      </c>
      <c r="AL1196" s="9">
        <v>380.37734360233299</v>
      </c>
      <c r="AM1196" s="9">
        <v>58.687284713217601</v>
      </c>
      <c r="AN1196" s="9">
        <v>0.76217252874308505</v>
      </c>
      <c r="AO1196" s="9">
        <v>0.57242548716020802</v>
      </c>
      <c r="AP1196" s="9">
        <v>814.22708075676496</v>
      </c>
      <c r="AQ1196" s="9">
        <v>10.5743776721658</v>
      </c>
      <c r="AR1196" s="9">
        <v>12.3840085513938</v>
      </c>
      <c r="AS1196" s="8" t="s">
        <v>169</v>
      </c>
      <c r="AT1196" s="8" t="s">
        <v>169</v>
      </c>
      <c r="AU1196" s="10" t="s">
        <v>169</v>
      </c>
      <c r="AV1196" s="10">
        <v>0</v>
      </c>
      <c r="AX1196" s="10" t="s">
        <v>169</v>
      </c>
      <c r="BF1196" s="12">
        <v>0.55000000000000004</v>
      </c>
      <c r="BG1196" s="13">
        <v>364.36979705906799</v>
      </c>
      <c r="BH1196" s="96" t="str">
        <f>+VLOOKUP(G1196,Liste!$A$7:$G$50,3,FALSE)</f>
        <v>Chêne sessile</v>
      </c>
      <c r="BI1196" s="96" t="str">
        <f>+VLOOKUP(H1196,Liste!$B$7:$G$50,5,FALSE)</f>
        <v>Guide chênaie continentale</v>
      </c>
      <c r="BJ1196" s="135">
        <f t="shared" si="360"/>
        <v>77</v>
      </c>
      <c r="BK1196" s="135" t="str">
        <f t="shared" si="362"/>
        <v>Chêne sessile_F1_Dynamique_Guide chênaie continentale_77_</v>
      </c>
      <c r="BL1196" s="322"/>
      <c r="BM1196" s="13">
        <v>90.152803022474799</v>
      </c>
      <c r="BN1196" s="13">
        <v>454.52260008154298</v>
      </c>
      <c r="BO1196" s="13" t="s">
        <v>169</v>
      </c>
      <c r="BP1196" s="13">
        <v>345.74943247867299</v>
      </c>
      <c r="BQ1196" s="13">
        <v>14.230250578402099</v>
      </c>
      <c r="BT1196" s="298" t="str">
        <f>+VLOOKUP(G1196,Liste!$A$7:$H$50,8,FALSE)</f>
        <v>Feuillus</v>
      </c>
      <c r="BU1196" s="298">
        <f t="shared" si="363"/>
        <v>1</v>
      </c>
      <c r="BV1196" s="300">
        <f t="shared" si="364"/>
        <v>0</v>
      </c>
      <c r="BW1196" s="321">
        <v>0</v>
      </c>
      <c r="BX1196" s="298">
        <f t="shared" si="365"/>
        <v>0.25</v>
      </c>
      <c r="BY1196">
        <f t="shared" si="366"/>
        <v>0</v>
      </c>
      <c r="BZ1196" s="304">
        <f t="shared" si="367"/>
        <v>0</v>
      </c>
      <c r="CB1196" s="299">
        <v>0.6</v>
      </c>
      <c r="CC1196" s="299">
        <v>0.4</v>
      </c>
      <c r="CD1196">
        <f t="shared" si="368"/>
        <v>0</v>
      </c>
      <c r="CE1196">
        <f t="shared" si="369"/>
        <v>0</v>
      </c>
      <c r="CF1196">
        <f t="shared" si="370"/>
        <v>0</v>
      </c>
      <c r="CG1196">
        <f t="shared" si="371"/>
        <v>0</v>
      </c>
      <c r="CH1196">
        <f t="shared" si="372"/>
        <v>0</v>
      </c>
      <c r="CI1196">
        <f t="shared" si="373"/>
        <v>0</v>
      </c>
      <c r="CJ1196">
        <f t="shared" si="374"/>
        <v>0</v>
      </c>
      <c r="CK1196">
        <f t="shared" si="375"/>
        <v>0</v>
      </c>
      <c r="CL1196">
        <f t="shared" si="376"/>
        <v>0</v>
      </c>
      <c r="CM1196">
        <f t="shared" si="378"/>
        <v>0</v>
      </c>
      <c r="CN1196">
        <f t="shared" si="377"/>
        <v>0</v>
      </c>
      <c r="CO1196">
        <f t="shared" si="361"/>
        <v>0</v>
      </c>
    </row>
    <row r="1197" spans="1:93" x14ac:dyDescent="0.25">
      <c r="A1197" s="4">
        <v>2021</v>
      </c>
      <c r="B1197" s="318">
        <v>44279</v>
      </c>
      <c r="C1197" s="4" t="s">
        <v>66</v>
      </c>
      <c r="D1197" s="4" t="s">
        <v>1504</v>
      </c>
      <c r="E1197" s="4" t="s">
        <v>87</v>
      </c>
      <c r="F1197" s="4" t="s">
        <v>90</v>
      </c>
      <c r="G1197" s="5" t="s">
        <v>17</v>
      </c>
      <c r="H1197" s="5" t="s">
        <v>22</v>
      </c>
      <c r="I1197" s="5" t="s">
        <v>146</v>
      </c>
      <c r="J1197" s="5" t="s">
        <v>9</v>
      </c>
      <c r="K1197" s="5">
        <v>21.5</v>
      </c>
      <c r="L1197" s="5" t="s">
        <v>194</v>
      </c>
      <c r="M1197" s="5">
        <v>1666</v>
      </c>
      <c r="N1197" s="5" t="s">
        <v>170</v>
      </c>
      <c r="O1197" s="6" t="s">
        <v>81</v>
      </c>
      <c r="P1197" s="6" t="s">
        <v>1505</v>
      </c>
      <c r="S1197" s="6">
        <v>35</v>
      </c>
      <c r="T1197" s="6">
        <v>16.59</v>
      </c>
      <c r="U1197" s="6">
        <v>1453</v>
      </c>
      <c r="V1197" s="6">
        <v>26.19</v>
      </c>
      <c r="W1197" s="6">
        <v>41</v>
      </c>
      <c r="X1197" s="6">
        <v>369</v>
      </c>
      <c r="Y1197" s="6">
        <v>713</v>
      </c>
      <c r="Z1197" s="6">
        <v>301</v>
      </c>
      <c r="AA1197" s="6">
        <v>28</v>
      </c>
      <c r="AB1197" s="6">
        <v>0</v>
      </c>
      <c r="AC1197" s="7">
        <v>80</v>
      </c>
      <c r="AD1197" s="7" t="s">
        <v>52</v>
      </c>
      <c r="AE1197" s="7">
        <v>28.73</v>
      </c>
      <c r="AF1197" s="7">
        <v>142</v>
      </c>
      <c r="AG1197" s="7">
        <v>24.41</v>
      </c>
      <c r="AH1197" s="7">
        <v>46.78</v>
      </c>
      <c r="AI1197" s="7">
        <v>48.39</v>
      </c>
      <c r="AJ1197" s="9">
        <v>347.30539723213701</v>
      </c>
      <c r="AK1197" s="9">
        <v>386.43607355070401</v>
      </c>
      <c r="AL1197" s="9">
        <v>417.52936925651397</v>
      </c>
      <c r="AM1197" s="9">
        <v>60.404561174698202</v>
      </c>
      <c r="AN1197" s="9">
        <v>0.75505701468372699</v>
      </c>
      <c r="AO1197" s="9">
        <v>0.50969241361542295</v>
      </c>
      <c r="AP1197" s="9">
        <v>851.37910641094595</v>
      </c>
      <c r="AQ1197" s="9">
        <v>10.642238830136799</v>
      </c>
      <c r="AR1197" s="9">
        <v>11.112122646961399</v>
      </c>
      <c r="AS1197" s="8" t="s">
        <v>169</v>
      </c>
      <c r="AT1197" s="8" t="s">
        <v>169</v>
      </c>
      <c r="AU1197" s="10" t="s">
        <v>169</v>
      </c>
      <c r="AV1197" s="10">
        <v>0</v>
      </c>
      <c r="AX1197" s="10" t="s">
        <v>169</v>
      </c>
      <c r="BF1197" s="12">
        <v>0.55000000000000004</v>
      </c>
      <c r="BG1197" s="13">
        <v>399.958341633636</v>
      </c>
      <c r="BH1197" s="96" t="str">
        <f>+VLOOKUP(G1197,Liste!$A$7:$G$50,3,FALSE)</f>
        <v>Chêne sessile</v>
      </c>
      <c r="BI1197" s="96" t="str">
        <f>+VLOOKUP(H1197,Liste!$B$7:$G$50,5,FALSE)</f>
        <v>Guide chênaie continentale</v>
      </c>
      <c r="BJ1197" s="135">
        <f t="shared" si="360"/>
        <v>80</v>
      </c>
      <c r="BK1197" s="135" t="str">
        <f t="shared" si="362"/>
        <v>Chêne sessile_F1_Dynamique_Guide chênaie continentale_80_</v>
      </c>
      <c r="BL1197" s="322"/>
      <c r="BM1197" s="13">
        <v>97.8905202374537</v>
      </c>
      <c r="BN1197" s="13">
        <v>497.84886187108998</v>
      </c>
      <c r="BO1197" s="13" t="s">
        <v>169</v>
      </c>
      <c r="BP1197" s="13">
        <v>345.74943247867299</v>
      </c>
      <c r="BQ1197" s="13">
        <v>12.758518376948</v>
      </c>
      <c r="BT1197" s="298" t="str">
        <f>+VLOOKUP(G1197,Liste!$A$7:$H$50,8,FALSE)</f>
        <v>Feuillus</v>
      </c>
      <c r="BU1197" s="298">
        <f t="shared" si="363"/>
        <v>1</v>
      </c>
      <c r="BV1197" s="300">
        <f t="shared" si="364"/>
        <v>0</v>
      </c>
      <c r="BW1197" s="321">
        <v>0</v>
      </c>
      <c r="BX1197" s="298">
        <f t="shared" si="365"/>
        <v>0.25</v>
      </c>
      <c r="BY1197">
        <f t="shared" si="366"/>
        <v>0</v>
      </c>
      <c r="BZ1197" s="304">
        <f t="shared" si="367"/>
        <v>0</v>
      </c>
      <c r="CB1197" s="299">
        <v>0.6</v>
      </c>
      <c r="CC1197" s="299">
        <v>0.4</v>
      </c>
      <c r="CD1197">
        <f t="shared" si="368"/>
        <v>0</v>
      </c>
      <c r="CE1197">
        <f t="shared" si="369"/>
        <v>0</v>
      </c>
      <c r="CF1197">
        <f t="shared" si="370"/>
        <v>0</v>
      </c>
      <c r="CG1197">
        <f t="shared" si="371"/>
        <v>0</v>
      </c>
      <c r="CH1197">
        <f t="shared" si="372"/>
        <v>0</v>
      </c>
      <c r="CI1197">
        <f t="shared" si="373"/>
        <v>0</v>
      </c>
      <c r="CJ1197">
        <f t="shared" si="374"/>
        <v>0</v>
      </c>
      <c r="CK1197">
        <f t="shared" si="375"/>
        <v>0</v>
      </c>
      <c r="CL1197">
        <f t="shared" si="376"/>
        <v>0</v>
      </c>
      <c r="CM1197">
        <f t="shared" si="378"/>
        <v>0</v>
      </c>
      <c r="CN1197">
        <f t="shared" si="377"/>
        <v>0</v>
      </c>
      <c r="CO1197">
        <f t="shared" si="361"/>
        <v>0</v>
      </c>
    </row>
    <row r="1198" spans="1:93" x14ac:dyDescent="0.25">
      <c r="A1198" s="4">
        <v>2021</v>
      </c>
      <c r="B1198" s="318">
        <v>44279</v>
      </c>
      <c r="C1198" s="4" t="s">
        <v>66</v>
      </c>
      <c r="D1198" s="4" t="s">
        <v>1504</v>
      </c>
      <c r="E1198" s="4" t="s">
        <v>87</v>
      </c>
      <c r="F1198" s="4" t="s">
        <v>90</v>
      </c>
      <c r="G1198" s="5" t="s">
        <v>17</v>
      </c>
      <c r="H1198" s="5" t="s">
        <v>22</v>
      </c>
      <c r="I1198" s="5" t="s">
        <v>146</v>
      </c>
      <c r="J1198" s="5" t="s">
        <v>9</v>
      </c>
      <c r="K1198" s="5">
        <v>21.5</v>
      </c>
      <c r="L1198" s="5" t="s">
        <v>194</v>
      </c>
      <c r="M1198" s="5">
        <v>1666</v>
      </c>
      <c r="N1198" s="5" t="s">
        <v>170</v>
      </c>
      <c r="O1198" s="6" t="s">
        <v>81</v>
      </c>
      <c r="P1198" s="6" t="s">
        <v>1505</v>
      </c>
      <c r="S1198" s="6">
        <v>35</v>
      </c>
      <c r="T1198" s="6">
        <v>16.59</v>
      </c>
      <c r="U1198" s="6">
        <v>1453</v>
      </c>
      <c r="V1198" s="6">
        <v>26.19</v>
      </c>
      <c r="W1198" s="6">
        <v>41</v>
      </c>
      <c r="X1198" s="6">
        <v>369</v>
      </c>
      <c r="Y1198" s="6">
        <v>713</v>
      </c>
      <c r="Z1198" s="6">
        <v>301</v>
      </c>
      <c r="AA1198" s="6">
        <v>28</v>
      </c>
      <c r="AB1198" s="6">
        <v>0</v>
      </c>
      <c r="AC1198" s="7">
        <v>80</v>
      </c>
      <c r="AD1198" s="7" t="s">
        <v>53</v>
      </c>
      <c r="AE1198" s="7">
        <v>28.73</v>
      </c>
      <c r="AF1198" s="7">
        <v>115</v>
      </c>
      <c r="AG1198" s="7">
        <v>20.309999999999999</v>
      </c>
      <c r="AH1198" s="7">
        <v>47.43</v>
      </c>
      <c r="AI1198" s="7">
        <v>48.32</v>
      </c>
      <c r="AJ1198" s="9">
        <v>289.21139014946101</v>
      </c>
      <c r="AK1198" s="9">
        <v>322.37342943421402</v>
      </c>
      <c r="AL1198" s="9">
        <v>348.22417405179999</v>
      </c>
      <c r="AM1198" s="9">
        <v>60.404561174698202</v>
      </c>
      <c r="AN1198" s="9">
        <v>0.75505701468372699</v>
      </c>
      <c r="AO1198" s="9">
        <v>0.50969241361542295</v>
      </c>
      <c r="AP1198" s="9">
        <v>851.37910641094595</v>
      </c>
      <c r="AQ1198" s="9">
        <v>10.642238830136799</v>
      </c>
      <c r="AR1198" s="9">
        <v>11.112122646961399</v>
      </c>
      <c r="AS1198" s="8">
        <v>27</v>
      </c>
      <c r="AT1198" s="8">
        <v>4.1000000000000014</v>
      </c>
      <c r="AU1198" s="10">
        <v>43.970874760350554</v>
      </c>
      <c r="AV1198" s="10">
        <v>58.094007082676001</v>
      </c>
      <c r="AW1198" s="8">
        <v>0.88</v>
      </c>
      <c r="AX1198" s="10">
        <v>2.1516298919509631</v>
      </c>
      <c r="BF1198" s="12">
        <v>0.55000000000000004</v>
      </c>
      <c r="BG1198" s="13">
        <v>333.56974006045402</v>
      </c>
      <c r="BH1198" s="96" t="str">
        <f>+VLOOKUP(G1198,Liste!$A$7:$G$50,3,FALSE)</f>
        <v>Chêne sessile</v>
      </c>
      <c r="BI1198" s="96" t="str">
        <f>+VLOOKUP(H1198,Liste!$B$7:$G$50,5,FALSE)</f>
        <v>Guide chênaie continentale</v>
      </c>
      <c r="BJ1198" s="135">
        <f t="shared" si="360"/>
        <v>80</v>
      </c>
      <c r="BK1198" s="135" t="str">
        <f t="shared" si="362"/>
        <v>Chêne sessile_F1_Dynamique_Guide chênaie continentale_80_</v>
      </c>
      <c r="BL1198" s="322"/>
      <c r="BM1198" s="13">
        <v>83.385035194451703</v>
      </c>
      <c r="BN1198" s="13">
        <v>416.95477525490497</v>
      </c>
      <c r="BO1198" s="13">
        <v>80.894086616185007</v>
      </c>
      <c r="BP1198" s="13">
        <v>345.74943247867299</v>
      </c>
      <c r="BQ1198" s="13">
        <v>12.758518376948</v>
      </c>
      <c r="BT1198" s="298" t="str">
        <f>+VLOOKUP(G1198,Liste!$A$7:$H$50,8,FALSE)</f>
        <v>Feuillus</v>
      </c>
      <c r="BU1198" s="298">
        <f t="shared" si="363"/>
        <v>1</v>
      </c>
      <c r="BV1198" s="300">
        <f t="shared" si="364"/>
        <v>0</v>
      </c>
      <c r="BW1198" s="321">
        <v>0</v>
      </c>
      <c r="BX1198" s="298">
        <f t="shared" si="365"/>
        <v>0.25</v>
      </c>
      <c r="BY1198">
        <f t="shared" si="366"/>
        <v>0</v>
      </c>
      <c r="BZ1198" s="304">
        <f t="shared" si="367"/>
        <v>0</v>
      </c>
      <c r="CB1198" s="299">
        <v>0.6</v>
      </c>
      <c r="CC1198" s="299">
        <v>0.4</v>
      </c>
      <c r="CD1198">
        <f t="shared" si="368"/>
        <v>0</v>
      </c>
      <c r="CE1198">
        <f t="shared" si="369"/>
        <v>0</v>
      </c>
      <c r="CF1198">
        <f t="shared" si="370"/>
        <v>0</v>
      </c>
      <c r="CG1198">
        <f t="shared" si="371"/>
        <v>0</v>
      </c>
      <c r="CH1198">
        <f t="shared" si="372"/>
        <v>0</v>
      </c>
      <c r="CI1198">
        <f t="shared" si="373"/>
        <v>0</v>
      </c>
      <c r="CJ1198">
        <f t="shared" si="374"/>
        <v>0</v>
      </c>
      <c r="CK1198">
        <f t="shared" si="375"/>
        <v>0</v>
      </c>
      <c r="CL1198">
        <f t="shared" si="376"/>
        <v>0</v>
      </c>
      <c r="CM1198">
        <f t="shared" si="378"/>
        <v>0</v>
      </c>
      <c r="CN1198">
        <f t="shared" si="377"/>
        <v>0</v>
      </c>
      <c r="CO1198">
        <f t="shared" si="361"/>
        <v>0</v>
      </c>
    </row>
    <row r="1199" spans="1:93" x14ac:dyDescent="0.25">
      <c r="A1199" s="4">
        <v>2021</v>
      </c>
      <c r="B1199" s="318">
        <v>44279</v>
      </c>
      <c r="C1199" s="4" t="s">
        <v>66</v>
      </c>
      <c r="D1199" s="4" t="s">
        <v>1504</v>
      </c>
      <c r="E1199" s="4" t="s">
        <v>87</v>
      </c>
      <c r="F1199" s="4" t="s">
        <v>90</v>
      </c>
      <c r="G1199" s="5" t="s">
        <v>17</v>
      </c>
      <c r="H1199" s="5" t="s">
        <v>22</v>
      </c>
      <c r="I1199" s="5" t="s">
        <v>146</v>
      </c>
      <c r="J1199" s="5" t="s">
        <v>9</v>
      </c>
      <c r="K1199" s="5">
        <v>21.5</v>
      </c>
      <c r="L1199" s="5" t="s">
        <v>194</v>
      </c>
      <c r="M1199" s="5">
        <v>1666</v>
      </c>
      <c r="N1199" s="5" t="s">
        <v>170</v>
      </c>
      <c r="O1199" s="6" t="s">
        <v>81</v>
      </c>
      <c r="P1199" s="6" t="s">
        <v>1505</v>
      </c>
      <c r="S1199" s="6">
        <v>35</v>
      </c>
      <c r="T1199" s="6">
        <v>16.59</v>
      </c>
      <c r="U1199" s="6">
        <v>1453</v>
      </c>
      <c r="V1199" s="6">
        <v>26.19</v>
      </c>
      <c r="W1199" s="6">
        <v>41</v>
      </c>
      <c r="X1199" s="6">
        <v>369</v>
      </c>
      <c r="Y1199" s="6">
        <v>713</v>
      </c>
      <c r="Z1199" s="6">
        <v>301</v>
      </c>
      <c r="AA1199" s="6">
        <v>28</v>
      </c>
      <c r="AB1199" s="6">
        <v>0</v>
      </c>
      <c r="AC1199" s="7">
        <v>83</v>
      </c>
      <c r="AD1199" s="7" t="s">
        <v>52</v>
      </c>
      <c r="AE1199" s="7">
        <v>29.27</v>
      </c>
      <c r="AF1199" s="7">
        <v>115</v>
      </c>
      <c r="AG1199" s="7">
        <v>21.84</v>
      </c>
      <c r="AH1199" s="7">
        <v>49.18</v>
      </c>
      <c r="AI1199" s="7">
        <v>50.09</v>
      </c>
      <c r="AJ1199" s="9">
        <v>317.24419824633401</v>
      </c>
      <c r="AK1199" s="9">
        <v>353.969482845644</v>
      </c>
      <c r="AL1199" s="9">
        <v>381.56054199268402</v>
      </c>
      <c r="AM1199" s="9">
        <v>61.9336384155445</v>
      </c>
      <c r="AN1199" s="9">
        <v>0.74618841464511398</v>
      </c>
      <c r="AO1199" s="9">
        <v>0.52467881326470001</v>
      </c>
      <c r="AP1199" s="9">
        <v>884.71547435183004</v>
      </c>
      <c r="AQ1199" s="9">
        <v>10.6592225825522</v>
      </c>
      <c r="AR1199" s="9">
        <v>11.6569495747455</v>
      </c>
      <c r="AS1199" s="8" t="s">
        <v>169</v>
      </c>
      <c r="AT1199" s="8" t="s">
        <v>169</v>
      </c>
      <c r="AU1199" s="10" t="s">
        <v>169</v>
      </c>
      <c r="AV1199" s="10">
        <v>0</v>
      </c>
      <c r="AX1199" s="10" t="s">
        <v>169</v>
      </c>
      <c r="BF1199" s="12">
        <v>0.55000000000000004</v>
      </c>
      <c r="BG1199" s="13">
        <v>365.50320251715902</v>
      </c>
      <c r="BH1199" s="96" t="str">
        <f>+VLOOKUP(G1199,Liste!$A$7:$G$50,3,FALSE)</f>
        <v>Chêne sessile</v>
      </c>
      <c r="BI1199" s="96" t="str">
        <f>+VLOOKUP(H1199,Liste!$B$7:$G$50,5,FALSE)</f>
        <v>Guide chênaie continentale</v>
      </c>
      <c r="BJ1199" s="135">
        <f t="shared" si="360"/>
        <v>83</v>
      </c>
      <c r="BK1199" s="135" t="str">
        <f t="shared" si="362"/>
        <v>Chêne sessile_F1_Dynamique_Guide chênaie continentale_83_</v>
      </c>
      <c r="BL1199" s="322"/>
      <c r="BM1199" s="13">
        <v>90.400544846695297</v>
      </c>
      <c r="BN1199" s="13">
        <v>455.903747363854</v>
      </c>
      <c r="BO1199" s="13" t="s">
        <v>169</v>
      </c>
      <c r="BP1199" s="13">
        <v>345.74943247867299</v>
      </c>
      <c r="BQ1199" s="13">
        <v>13.3741288760529</v>
      </c>
      <c r="BT1199" s="298" t="str">
        <f>+VLOOKUP(G1199,Liste!$A$7:$H$50,8,FALSE)</f>
        <v>Feuillus</v>
      </c>
      <c r="BU1199" s="298">
        <f t="shared" si="363"/>
        <v>1</v>
      </c>
      <c r="BV1199" s="300">
        <f t="shared" si="364"/>
        <v>0</v>
      </c>
      <c r="BW1199" s="321">
        <v>0</v>
      </c>
      <c r="BX1199" s="298">
        <f t="shared" si="365"/>
        <v>0.25</v>
      </c>
      <c r="BY1199">
        <f t="shared" si="366"/>
        <v>0</v>
      </c>
      <c r="BZ1199" s="304">
        <f t="shared" si="367"/>
        <v>0</v>
      </c>
      <c r="CB1199" s="299">
        <v>0.6</v>
      </c>
      <c r="CC1199" s="299">
        <v>0.4</v>
      </c>
      <c r="CD1199">
        <f t="shared" si="368"/>
        <v>0</v>
      </c>
      <c r="CE1199">
        <f t="shared" si="369"/>
        <v>0</v>
      </c>
      <c r="CF1199">
        <f t="shared" si="370"/>
        <v>0</v>
      </c>
      <c r="CG1199">
        <f t="shared" si="371"/>
        <v>0</v>
      </c>
      <c r="CH1199">
        <f t="shared" si="372"/>
        <v>0</v>
      </c>
      <c r="CI1199">
        <f t="shared" si="373"/>
        <v>0</v>
      </c>
      <c r="CJ1199">
        <f t="shared" si="374"/>
        <v>0</v>
      </c>
      <c r="CK1199">
        <f t="shared" si="375"/>
        <v>0</v>
      </c>
      <c r="CL1199">
        <f t="shared" si="376"/>
        <v>0</v>
      </c>
      <c r="CM1199">
        <f t="shared" si="378"/>
        <v>0</v>
      </c>
      <c r="CN1199">
        <f t="shared" si="377"/>
        <v>0</v>
      </c>
      <c r="CO1199">
        <f t="shared" si="361"/>
        <v>0</v>
      </c>
    </row>
    <row r="1200" spans="1:93" x14ac:dyDescent="0.25">
      <c r="A1200" s="4">
        <v>2021</v>
      </c>
      <c r="B1200" s="318">
        <v>44279</v>
      </c>
      <c r="C1200" s="4" t="s">
        <v>66</v>
      </c>
      <c r="D1200" s="4" t="s">
        <v>1504</v>
      </c>
      <c r="E1200" s="4" t="s">
        <v>87</v>
      </c>
      <c r="F1200" s="4" t="s">
        <v>90</v>
      </c>
      <c r="G1200" s="5" t="s">
        <v>17</v>
      </c>
      <c r="H1200" s="5" t="s">
        <v>22</v>
      </c>
      <c r="I1200" s="5" t="s">
        <v>146</v>
      </c>
      <c r="J1200" s="5" t="s">
        <v>9</v>
      </c>
      <c r="K1200" s="5">
        <v>21.5</v>
      </c>
      <c r="L1200" s="5" t="s">
        <v>194</v>
      </c>
      <c r="M1200" s="5">
        <v>1666</v>
      </c>
      <c r="N1200" s="5" t="s">
        <v>170</v>
      </c>
      <c r="O1200" s="6" t="s">
        <v>81</v>
      </c>
      <c r="P1200" s="6" t="s">
        <v>1505</v>
      </c>
      <c r="S1200" s="6">
        <v>35</v>
      </c>
      <c r="T1200" s="6">
        <v>16.59</v>
      </c>
      <c r="U1200" s="6">
        <v>1453</v>
      </c>
      <c r="V1200" s="6">
        <v>26.19</v>
      </c>
      <c r="W1200" s="6">
        <v>41</v>
      </c>
      <c r="X1200" s="6">
        <v>369</v>
      </c>
      <c r="Y1200" s="6">
        <v>713</v>
      </c>
      <c r="Z1200" s="6">
        <v>301</v>
      </c>
      <c r="AA1200" s="6">
        <v>28</v>
      </c>
      <c r="AB1200" s="6">
        <v>0</v>
      </c>
      <c r="AC1200" s="7">
        <v>86</v>
      </c>
      <c r="AD1200" s="7" t="s">
        <v>52</v>
      </c>
      <c r="AE1200" s="7">
        <v>29.83</v>
      </c>
      <c r="AF1200" s="7">
        <v>115</v>
      </c>
      <c r="AG1200" s="7">
        <v>23.42</v>
      </c>
      <c r="AH1200" s="7">
        <v>50.92</v>
      </c>
      <c r="AI1200" s="7">
        <v>51.85</v>
      </c>
      <c r="AJ1200" s="9">
        <v>346.68031474559302</v>
      </c>
      <c r="AK1200" s="9">
        <v>387.15893442703299</v>
      </c>
      <c r="AL1200" s="9">
        <v>416.53139071692101</v>
      </c>
      <c r="AM1200" s="9">
        <v>63.5076748553385</v>
      </c>
      <c r="AN1200" s="9">
        <v>0.73846133552719195</v>
      </c>
      <c r="AO1200" s="9">
        <v>0.51919008176174497</v>
      </c>
      <c r="AP1200" s="9">
        <v>919.68632307606697</v>
      </c>
      <c r="AQ1200" s="9">
        <v>10.6940270125124</v>
      </c>
      <c r="AR1200" s="9">
        <v>11.8500745032313</v>
      </c>
      <c r="AS1200" s="8" t="s">
        <v>169</v>
      </c>
      <c r="AT1200" s="8" t="s">
        <v>169</v>
      </c>
      <c r="AU1200" s="10" t="s">
        <v>169</v>
      </c>
      <c r="AV1200" s="10">
        <v>0</v>
      </c>
      <c r="AX1200" s="10" t="s">
        <v>169</v>
      </c>
      <c r="BF1200" s="12">
        <v>0.55000000000000004</v>
      </c>
      <c r="BG1200" s="13">
        <v>399.00236135758399</v>
      </c>
      <c r="BH1200" s="96" t="str">
        <f>+VLOOKUP(G1200,Liste!$A$7:$G$50,3,FALSE)</f>
        <v>Chêne sessile</v>
      </c>
      <c r="BI1200" s="96" t="str">
        <f>+VLOOKUP(H1200,Liste!$B$7:$G$50,5,FALSE)</f>
        <v>Guide chênaie continentale</v>
      </c>
      <c r="BJ1200" s="135">
        <f t="shared" si="360"/>
        <v>86</v>
      </c>
      <c r="BK1200" s="135" t="str">
        <f t="shared" si="362"/>
        <v>Chêne sessile_F1_Dynamique_Guide chênaie continentale_86_</v>
      </c>
      <c r="BL1200" s="322"/>
      <c r="BM1200" s="13">
        <v>97.683748593405696</v>
      </c>
      <c r="BN1200" s="13">
        <v>496.68610995098902</v>
      </c>
      <c r="BO1200" s="13" t="s">
        <v>169</v>
      </c>
      <c r="BP1200" s="13">
        <v>345.74943247867299</v>
      </c>
      <c r="BQ1200" s="13">
        <v>13.5857089990053</v>
      </c>
      <c r="BT1200" s="298" t="str">
        <f>+VLOOKUP(G1200,Liste!$A$7:$H$50,8,FALSE)</f>
        <v>Feuillus</v>
      </c>
      <c r="BU1200" s="298">
        <f t="shared" si="363"/>
        <v>1</v>
      </c>
      <c r="BV1200" s="300">
        <f t="shared" si="364"/>
        <v>0</v>
      </c>
      <c r="BW1200" s="321">
        <v>0</v>
      </c>
      <c r="BX1200" s="298">
        <f t="shared" si="365"/>
        <v>0.25</v>
      </c>
      <c r="BY1200">
        <f t="shared" si="366"/>
        <v>0</v>
      </c>
      <c r="BZ1200" s="304">
        <f t="shared" si="367"/>
        <v>0</v>
      </c>
      <c r="CB1200" s="299">
        <v>0.6</v>
      </c>
      <c r="CC1200" s="299">
        <v>0.4</v>
      </c>
      <c r="CD1200">
        <f t="shared" si="368"/>
        <v>0</v>
      </c>
      <c r="CE1200">
        <f t="shared" si="369"/>
        <v>0</v>
      </c>
      <c r="CF1200">
        <f t="shared" si="370"/>
        <v>0</v>
      </c>
      <c r="CG1200">
        <f t="shared" si="371"/>
        <v>0</v>
      </c>
      <c r="CH1200">
        <f t="shared" si="372"/>
        <v>0</v>
      </c>
      <c r="CI1200">
        <f t="shared" si="373"/>
        <v>0</v>
      </c>
      <c r="CJ1200">
        <f t="shared" si="374"/>
        <v>0</v>
      </c>
      <c r="CK1200">
        <f t="shared" si="375"/>
        <v>0</v>
      </c>
      <c r="CL1200">
        <f t="shared" si="376"/>
        <v>0</v>
      </c>
      <c r="CM1200">
        <f t="shared" si="378"/>
        <v>0</v>
      </c>
      <c r="CN1200">
        <f t="shared" si="377"/>
        <v>0</v>
      </c>
      <c r="CO1200">
        <f t="shared" si="361"/>
        <v>0</v>
      </c>
    </row>
    <row r="1201" spans="1:93" x14ac:dyDescent="0.25">
      <c r="A1201" s="4">
        <v>2021</v>
      </c>
      <c r="B1201" s="318">
        <v>44279</v>
      </c>
      <c r="C1201" s="4" t="s">
        <v>66</v>
      </c>
      <c r="D1201" s="4" t="s">
        <v>1504</v>
      </c>
      <c r="E1201" s="4" t="s">
        <v>87</v>
      </c>
      <c r="F1201" s="4" t="s">
        <v>90</v>
      </c>
      <c r="G1201" s="5" t="s">
        <v>17</v>
      </c>
      <c r="H1201" s="5" t="s">
        <v>22</v>
      </c>
      <c r="I1201" s="5" t="s">
        <v>146</v>
      </c>
      <c r="J1201" s="5" t="s">
        <v>9</v>
      </c>
      <c r="K1201" s="5">
        <v>21.5</v>
      </c>
      <c r="L1201" s="5" t="s">
        <v>194</v>
      </c>
      <c r="M1201" s="5">
        <v>1666</v>
      </c>
      <c r="N1201" s="5" t="s">
        <v>170</v>
      </c>
      <c r="O1201" s="6" t="s">
        <v>81</v>
      </c>
      <c r="P1201" s="6" t="s">
        <v>1505</v>
      </c>
      <c r="S1201" s="6">
        <v>35</v>
      </c>
      <c r="T1201" s="6">
        <v>16.59</v>
      </c>
      <c r="U1201" s="6">
        <v>1453</v>
      </c>
      <c r="V1201" s="6">
        <v>26.19</v>
      </c>
      <c r="W1201" s="6">
        <v>41</v>
      </c>
      <c r="X1201" s="6">
        <v>369</v>
      </c>
      <c r="Y1201" s="6">
        <v>713</v>
      </c>
      <c r="Z1201" s="6">
        <v>301</v>
      </c>
      <c r="AA1201" s="6">
        <v>28</v>
      </c>
      <c r="AB1201" s="6">
        <v>0</v>
      </c>
      <c r="AC1201" s="7">
        <v>89</v>
      </c>
      <c r="AD1201" s="7" t="s">
        <v>52</v>
      </c>
      <c r="AE1201" s="7">
        <v>30.37</v>
      </c>
      <c r="AF1201" s="7">
        <v>115</v>
      </c>
      <c r="AG1201" s="7">
        <v>24.97</v>
      </c>
      <c r="AH1201" s="7">
        <v>52.58</v>
      </c>
      <c r="AI1201" s="7">
        <v>53.53</v>
      </c>
      <c r="AJ1201" s="9">
        <v>376.72569481951399</v>
      </c>
      <c r="AK1201" s="9">
        <v>420.96255757478798</v>
      </c>
      <c r="AL1201" s="9">
        <v>452.08161422661499</v>
      </c>
      <c r="AM1201" s="9">
        <v>65.065245100623798</v>
      </c>
      <c r="AN1201" s="9">
        <v>0.73107016966992999</v>
      </c>
      <c r="AO1201" s="9">
        <v>0.46226882110841</v>
      </c>
      <c r="AP1201" s="9">
        <v>955.23654658576095</v>
      </c>
      <c r="AQ1201" s="9">
        <v>10.732994905458</v>
      </c>
      <c r="AR1201" s="9">
        <v>10.5651154907108</v>
      </c>
      <c r="AS1201" s="8" t="s">
        <v>169</v>
      </c>
      <c r="AT1201" s="8" t="s">
        <v>169</v>
      </c>
      <c r="AU1201" s="10" t="s">
        <v>169</v>
      </c>
      <c r="AV1201" s="10">
        <v>0</v>
      </c>
      <c r="AX1201" s="10" t="s">
        <v>169</v>
      </c>
      <c r="BF1201" s="12">
        <v>0.55000000000000004</v>
      </c>
      <c r="BG1201" s="13">
        <v>433.05651296124501</v>
      </c>
      <c r="BH1201" s="96" t="str">
        <f>+VLOOKUP(G1201,Liste!$A$7:$G$50,3,FALSE)</f>
        <v>Chêne sessile</v>
      </c>
      <c r="BI1201" s="96" t="str">
        <f>+VLOOKUP(H1201,Liste!$B$7:$G$50,5,FALSE)</f>
        <v>Guide chênaie continentale</v>
      </c>
      <c r="BJ1201" s="135">
        <f t="shared" si="360"/>
        <v>89</v>
      </c>
      <c r="BK1201" s="135" t="str">
        <f t="shared" si="362"/>
        <v>Chêne sessile_F1_Dynamique_Guide chênaie continentale_89_</v>
      </c>
      <c r="BL1201" s="322"/>
      <c r="BM1201" s="13">
        <v>105.01496249859299</v>
      </c>
      <c r="BN1201" s="13">
        <v>538.07147545983696</v>
      </c>
      <c r="BO1201" s="13" t="s">
        <v>169</v>
      </c>
      <c r="BP1201" s="13">
        <v>345.74943247867299</v>
      </c>
      <c r="BQ1201" s="13">
        <v>12.104389060738599</v>
      </c>
      <c r="BT1201" s="298" t="str">
        <f>+VLOOKUP(G1201,Liste!$A$7:$H$50,8,FALSE)</f>
        <v>Feuillus</v>
      </c>
      <c r="BU1201" s="298">
        <f t="shared" si="363"/>
        <v>1</v>
      </c>
      <c r="BV1201" s="300">
        <f t="shared" si="364"/>
        <v>0</v>
      </c>
      <c r="BW1201" s="321">
        <v>0</v>
      </c>
      <c r="BX1201" s="298">
        <f t="shared" si="365"/>
        <v>0.25</v>
      </c>
      <c r="BY1201">
        <f t="shared" si="366"/>
        <v>0</v>
      </c>
      <c r="BZ1201" s="304">
        <f t="shared" si="367"/>
        <v>0</v>
      </c>
      <c r="CB1201" s="299">
        <v>0.6</v>
      </c>
      <c r="CC1201" s="299">
        <v>0.4</v>
      </c>
      <c r="CD1201">
        <f t="shared" si="368"/>
        <v>0</v>
      </c>
      <c r="CE1201">
        <f t="shared" si="369"/>
        <v>0</v>
      </c>
      <c r="CF1201">
        <f t="shared" si="370"/>
        <v>0</v>
      </c>
      <c r="CG1201">
        <f t="shared" si="371"/>
        <v>0</v>
      </c>
      <c r="CH1201">
        <f t="shared" si="372"/>
        <v>0</v>
      </c>
      <c r="CI1201">
        <f t="shared" si="373"/>
        <v>0</v>
      </c>
      <c r="CJ1201">
        <f t="shared" si="374"/>
        <v>0</v>
      </c>
      <c r="CK1201">
        <f t="shared" si="375"/>
        <v>0</v>
      </c>
      <c r="CL1201">
        <f t="shared" si="376"/>
        <v>0</v>
      </c>
      <c r="CM1201">
        <f t="shared" si="378"/>
        <v>0</v>
      </c>
      <c r="CN1201">
        <f t="shared" si="377"/>
        <v>0</v>
      </c>
      <c r="CO1201">
        <f t="shared" si="361"/>
        <v>0</v>
      </c>
    </row>
    <row r="1202" spans="1:93" x14ac:dyDescent="0.25">
      <c r="A1202" s="4">
        <v>2021</v>
      </c>
      <c r="B1202" s="318">
        <v>44279</v>
      </c>
      <c r="C1202" s="4" t="s">
        <v>66</v>
      </c>
      <c r="D1202" s="4" t="s">
        <v>1504</v>
      </c>
      <c r="E1202" s="4" t="s">
        <v>87</v>
      </c>
      <c r="F1202" s="4" t="s">
        <v>90</v>
      </c>
      <c r="G1202" s="5" t="s">
        <v>17</v>
      </c>
      <c r="H1202" s="5" t="s">
        <v>22</v>
      </c>
      <c r="I1202" s="5" t="s">
        <v>146</v>
      </c>
      <c r="J1202" s="5" t="s">
        <v>9</v>
      </c>
      <c r="K1202" s="5">
        <v>21.5</v>
      </c>
      <c r="L1202" s="5" t="s">
        <v>194</v>
      </c>
      <c r="M1202" s="5">
        <v>1666</v>
      </c>
      <c r="N1202" s="5" t="s">
        <v>170</v>
      </c>
      <c r="O1202" s="6" t="s">
        <v>81</v>
      </c>
      <c r="P1202" s="6" t="s">
        <v>1505</v>
      </c>
      <c r="S1202" s="6">
        <v>35</v>
      </c>
      <c r="T1202" s="6">
        <v>16.59</v>
      </c>
      <c r="U1202" s="6">
        <v>1453</v>
      </c>
      <c r="V1202" s="6">
        <v>26.19</v>
      </c>
      <c r="W1202" s="6">
        <v>41</v>
      </c>
      <c r="X1202" s="6">
        <v>369</v>
      </c>
      <c r="Y1202" s="6">
        <v>713</v>
      </c>
      <c r="Z1202" s="6">
        <v>301</v>
      </c>
      <c r="AA1202" s="6">
        <v>28</v>
      </c>
      <c r="AB1202" s="6">
        <v>0</v>
      </c>
      <c r="AC1202" s="7">
        <v>89</v>
      </c>
      <c r="AD1202" s="7" t="s">
        <v>53</v>
      </c>
      <c r="AE1202" s="7">
        <v>30.37</v>
      </c>
      <c r="AF1202" s="7">
        <v>94</v>
      </c>
      <c r="AG1202" s="7">
        <v>20.91</v>
      </c>
      <c r="AH1202" s="7">
        <v>53.22</v>
      </c>
      <c r="AI1202" s="7">
        <v>53.22</v>
      </c>
      <c r="AJ1202" s="9">
        <v>315.61488722404101</v>
      </c>
      <c r="AK1202" s="9">
        <v>353.20119404350299</v>
      </c>
      <c r="AL1202" s="9">
        <v>379.23821486895599</v>
      </c>
      <c r="AM1202" s="9">
        <v>65.065245100623798</v>
      </c>
      <c r="AN1202" s="9">
        <v>0.73107016966992999</v>
      </c>
      <c r="AO1202" s="9">
        <v>0.46226882110841</v>
      </c>
      <c r="AP1202" s="9">
        <v>955.23654658576095</v>
      </c>
      <c r="AQ1202" s="9">
        <v>10.732994905458</v>
      </c>
      <c r="AR1202" s="9">
        <v>10.5651154907108</v>
      </c>
      <c r="AS1202" s="8">
        <v>21</v>
      </c>
      <c r="AT1202" s="8">
        <v>4.0599999999999987</v>
      </c>
      <c r="AU1202" s="10">
        <v>49.614478261437426</v>
      </c>
      <c r="AV1202" s="10">
        <v>61.110807595472977</v>
      </c>
      <c r="AW1202" s="8">
        <v>0.89</v>
      </c>
      <c r="AX1202" s="10">
        <v>2.9100384569272846</v>
      </c>
      <c r="BF1202" s="12">
        <v>0.55000000000000004</v>
      </c>
      <c r="BG1202" s="13">
        <v>363.278606659888</v>
      </c>
      <c r="BH1202" s="96" t="str">
        <f>+VLOOKUP(G1202,Liste!$A$7:$G$50,3,FALSE)</f>
        <v>Chêne sessile</v>
      </c>
      <c r="BI1202" s="96" t="str">
        <f>+VLOOKUP(H1202,Liste!$B$7:$G$50,5,FALSE)</f>
        <v>Guide chênaie continentale</v>
      </c>
      <c r="BJ1202" s="135">
        <f t="shared" si="360"/>
        <v>89</v>
      </c>
      <c r="BK1202" s="135" t="str">
        <f t="shared" si="362"/>
        <v>Chêne sessile_F1_Dynamique_Guide chênaie continentale_89_</v>
      </c>
      <c r="BL1202" s="322"/>
      <c r="BM1202" s="13">
        <v>89.914203879411204</v>
      </c>
      <c r="BN1202" s="13">
        <v>453.19281053929899</v>
      </c>
      <c r="BO1202" s="13">
        <v>84.878664920537972</v>
      </c>
      <c r="BP1202" s="13">
        <v>345.74943247867299</v>
      </c>
      <c r="BQ1202" s="13">
        <v>12.104389060738599</v>
      </c>
      <c r="BT1202" s="298" t="str">
        <f>+VLOOKUP(G1202,Liste!$A$7:$H$50,8,FALSE)</f>
        <v>Feuillus</v>
      </c>
      <c r="BU1202" s="298">
        <f t="shared" si="363"/>
        <v>1</v>
      </c>
      <c r="BV1202" s="300">
        <f t="shared" si="364"/>
        <v>0</v>
      </c>
      <c r="BW1202" s="321">
        <v>0</v>
      </c>
      <c r="BX1202" s="298">
        <f t="shared" si="365"/>
        <v>0.25</v>
      </c>
      <c r="BY1202">
        <f t="shared" si="366"/>
        <v>0</v>
      </c>
      <c r="BZ1202" s="304">
        <f t="shared" si="367"/>
        <v>0</v>
      </c>
      <c r="CB1202" s="299">
        <v>0.6</v>
      </c>
      <c r="CC1202" s="299">
        <v>0.4</v>
      </c>
      <c r="CD1202">
        <f t="shared" si="368"/>
        <v>0</v>
      </c>
      <c r="CE1202">
        <f t="shared" si="369"/>
        <v>0</v>
      </c>
      <c r="CF1202">
        <f t="shared" si="370"/>
        <v>0</v>
      </c>
      <c r="CG1202">
        <f t="shared" si="371"/>
        <v>0</v>
      </c>
      <c r="CH1202">
        <f t="shared" si="372"/>
        <v>0</v>
      </c>
      <c r="CI1202">
        <f t="shared" si="373"/>
        <v>0</v>
      </c>
      <c r="CJ1202">
        <f t="shared" si="374"/>
        <v>0</v>
      </c>
      <c r="CK1202">
        <f t="shared" si="375"/>
        <v>0</v>
      </c>
      <c r="CL1202">
        <f t="shared" si="376"/>
        <v>0</v>
      </c>
      <c r="CM1202">
        <f t="shared" si="378"/>
        <v>0</v>
      </c>
      <c r="CN1202">
        <f t="shared" si="377"/>
        <v>0</v>
      </c>
      <c r="CO1202">
        <f t="shared" si="361"/>
        <v>0</v>
      </c>
    </row>
    <row r="1203" spans="1:93" x14ac:dyDescent="0.25">
      <c r="A1203" s="4">
        <v>2021</v>
      </c>
      <c r="B1203" s="318">
        <v>44279</v>
      </c>
      <c r="C1203" s="4" t="s">
        <v>66</v>
      </c>
      <c r="D1203" s="4" t="s">
        <v>1504</v>
      </c>
      <c r="E1203" s="4" t="s">
        <v>87</v>
      </c>
      <c r="F1203" s="4" t="s">
        <v>90</v>
      </c>
      <c r="G1203" s="5" t="s">
        <v>17</v>
      </c>
      <c r="H1203" s="5" t="s">
        <v>22</v>
      </c>
      <c r="I1203" s="5" t="s">
        <v>146</v>
      </c>
      <c r="J1203" s="5" t="s">
        <v>9</v>
      </c>
      <c r="K1203" s="5">
        <v>21.5</v>
      </c>
      <c r="L1203" s="5" t="s">
        <v>194</v>
      </c>
      <c r="M1203" s="5">
        <v>1666</v>
      </c>
      <c r="N1203" s="5" t="s">
        <v>170</v>
      </c>
      <c r="O1203" s="6" t="s">
        <v>81</v>
      </c>
      <c r="P1203" s="6" t="s">
        <v>1505</v>
      </c>
      <c r="S1203" s="6">
        <v>35</v>
      </c>
      <c r="T1203" s="6">
        <v>16.59</v>
      </c>
      <c r="U1203" s="6">
        <v>1453</v>
      </c>
      <c r="V1203" s="6">
        <v>26.19</v>
      </c>
      <c r="W1203" s="6">
        <v>41</v>
      </c>
      <c r="X1203" s="6">
        <v>369</v>
      </c>
      <c r="Y1203" s="6">
        <v>713</v>
      </c>
      <c r="Z1203" s="6">
        <v>301</v>
      </c>
      <c r="AA1203" s="6">
        <v>28</v>
      </c>
      <c r="AB1203" s="6">
        <v>0</v>
      </c>
      <c r="AC1203" s="7">
        <v>92</v>
      </c>
      <c r="AD1203" s="7" t="s">
        <v>52</v>
      </c>
      <c r="AE1203" s="7">
        <v>30.86</v>
      </c>
      <c r="AF1203" s="7">
        <v>94</v>
      </c>
      <c r="AG1203" s="7">
        <v>22.3</v>
      </c>
      <c r="AH1203" s="7">
        <v>54.96</v>
      </c>
      <c r="AI1203" s="7">
        <v>54.96</v>
      </c>
      <c r="AJ1203" s="9">
        <v>342.23118008598499</v>
      </c>
      <c r="AK1203" s="9">
        <v>383.33785263064101</v>
      </c>
      <c r="AL1203" s="9">
        <v>410.93356134108899</v>
      </c>
      <c r="AM1203" s="9">
        <v>66.452051563948999</v>
      </c>
      <c r="AN1203" s="9">
        <v>0.72230490830379401</v>
      </c>
      <c r="AO1203" s="9">
        <v>0.47959943530789401</v>
      </c>
      <c r="AP1203" s="9">
        <v>986.93189305789303</v>
      </c>
      <c r="AQ1203" s="9">
        <v>10.7275205767162</v>
      </c>
      <c r="AR1203" s="9">
        <v>11.1563163725799</v>
      </c>
      <c r="AS1203" s="8" t="s">
        <v>169</v>
      </c>
      <c r="AT1203" s="8" t="s">
        <v>169</v>
      </c>
      <c r="AU1203" s="10" t="s">
        <v>169</v>
      </c>
      <c r="AV1203" s="10">
        <v>0</v>
      </c>
      <c r="AX1203" s="10" t="s">
        <v>169</v>
      </c>
      <c r="BF1203" s="12">
        <v>0.55000000000000004</v>
      </c>
      <c r="BG1203" s="13">
        <v>393.64010730131798</v>
      </c>
      <c r="BH1203" s="96" t="str">
        <f>+VLOOKUP(G1203,Liste!$A$7:$G$50,3,FALSE)</f>
        <v>Chêne sessile</v>
      </c>
      <c r="BI1203" s="96" t="str">
        <f>+VLOOKUP(H1203,Liste!$B$7:$G$50,5,FALSE)</f>
        <v>Guide chênaie continentale</v>
      </c>
      <c r="BJ1203" s="135">
        <f t="shared" si="360"/>
        <v>92</v>
      </c>
      <c r="BK1203" s="135" t="str">
        <f t="shared" si="362"/>
        <v>Chêne sessile_F1_Dynamique_Guide chênaie continentale_92_</v>
      </c>
      <c r="BL1203" s="322"/>
      <c r="BM1203" s="13">
        <v>96.522858222197399</v>
      </c>
      <c r="BN1203" s="13">
        <v>490.16296552351503</v>
      </c>
      <c r="BO1203" s="13" t="s">
        <v>169</v>
      </c>
      <c r="BP1203" s="13">
        <v>345.74943247867299</v>
      </c>
      <c r="BQ1203" s="13">
        <v>12.773692941813399</v>
      </c>
      <c r="BT1203" s="298" t="str">
        <f>+VLOOKUP(G1203,Liste!$A$7:$H$50,8,FALSE)</f>
        <v>Feuillus</v>
      </c>
      <c r="BU1203" s="298">
        <f t="shared" si="363"/>
        <v>1</v>
      </c>
      <c r="BV1203" s="300">
        <f t="shared" si="364"/>
        <v>0</v>
      </c>
      <c r="BW1203" s="321">
        <v>0</v>
      </c>
      <c r="BX1203" s="298">
        <f t="shared" si="365"/>
        <v>0.25</v>
      </c>
      <c r="BY1203">
        <f t="shared" si="366"/>
        <v>0</v>
      </c>
      <c r="BZ1203" s="304">
        <f t="shared" si="367"/>
        <v>0</v>
      </c>
      <c r="CB1203" s="299">
        <v>0.6</v>
      </c>
      <c r="CC1203" s="299">
        <v>0.4</v>
      </c>
      <c r="CD1203">
        <f t="shared" si="368"/>
        <v>0</v>
      </c>
      <c r="CE1203">
        <f t="shared" si="369"/>
        <v>0</v>
      </c>
      <c r="CF1203">
        <f t="shared" si="370"/>
        <v>0</v>
      </c>
      <c r="CG1203">
        <f t="shared" si="371"/>
        <v>0</v>
      </c>
      <c r="CH1203">
        <f t="shared" si="372"/>
        <v>0</v>
      </c>
      <c r="CI1203">
        <f t="shared" si="373"/>
        <v>0</v>
      </c>
      <c r="CJ1203">
        <f t="shared" si="374"/>
        <v>0</v>
      </c>
      <c r="CK1203">
        <f t="shared" si="375"/>
        <v>0</v>
      </c>
      <c r="CL1203">
        <f t="shared" si="376"/>
        <v>0</v>
      </c>
      <c r="CM1203">
        <f t="shared" si="378"/>
        <v>0</v>
      </c>
      <c r="CN1203">
        <f t="shared" si="377"/>
        <v>0</v>
      </c>
      <c r="CO1203">
        <f t="shared" si="361"/>
        <v>0</v>
      </c>
    </row>
    <row r="1204" spans="1:93" x14ac:dyDescent="0.25">
      <c r="A1204" s="4">
        <v>2021</v>
      </c>
      <c r="B1204" s="318">
        <v>44279</v>
      </c>
      <c r="C1204" s="4" t="s">
        <v>66</v>
      </c>
      <c r="D1204" s="4" t="s">
        <v>1504</v>
      </c>
      <c r="E1204" s="4" t="s">
        <v>87</v>
      </c>
      <c r="F1204" s="4" t="s">
        <v>90</v>
      </c>
      <c r="G1204" s="5" t="s">
        <v>17</v>
      </c>
      <c r="H1204" s="5" t="s">
        <v>22</v>
      </c>
      <c r="I1204" s="5" t="s">
        <v>146</v>
      </c>
      <c r="J1204" s="5" t="s">
        <v>9</v>
      </c>
      <c r="K1204" s="5">
        <v>21.5</v>
      </c>
      <c r="L1204" s="5" t="s">
        <v>194</v>
      </c>
      <c r="M1204" s="5">
        <v>1666</v>
      </c>
      <c r="N1204" s="5" t="s">
        <v>170</v>
      </c>
      <c r="O1204" s="6" t="s">
        <v>81</v>
      </c>
      <c r="P1204" s="6" t="s">
        <v>1505</v>
      </c>
      <c r="S1204" s="6">
        <v>35</v>
      </c>
      <c r="T1204" s="6">
        <v>16.59</v>
      </c>
      <c r="U1204" s="6">
        <v>1453</v>
      </c>
      <c r="V1204" s="6">
        <v>26.19</v>
      </c>
      <c r="W1204" s="6">
        <v>41</v>
      </c>
      <c r="X1204" s="6">
        <v>369</v>
      </c>
      <c r="Y1204" s="6">
        <v>713</v>
      </c>
      <c r="Z1204" s="6">
        <v>301</v>
      </c>
      <c r="AA1204" s="6">
        <v>28</v>
      </c>
      <c r="AB1204" s="6">
        <v>0</v>
      </c>
      <c r="AC1204" s="7">
        <v>95</v>
      </c>
      <c r="AD1204" s="7" t="s">
        <v>52</v>
      </c>
      <c r="AE1204" s="7">
        <v>31.37</v>
      </c>
      <c r="AF1204" s="7">
        <v>94</v>
      </c>
      <c r="AG1204" s="7">
        <v>23.74</v>
      </c>
      <c r="AH1204" s="7">
        <v>56.71</v>
      </c>
      <c r="AI1204" s="7">
        <v>56.71</v>
      </c>
      <c r="AJ1204" s="9">
        <v>370.37070361569602</v>
      </c>
      <c r="AK1204" s="9">
        <v>415.19859785201697</v>
      </c>
      <c r="AL1204" s="9">
        <v>444.402510458829</v>
      </c>
      <c r="AM1204" s="9">
        <v>67.890849869872696</v>
      </c>
      <c r="AN1204" s="9">
        <v>0.71464052494602803</v>
      </c>
      <c r="AO1204" s="9">
        <v>0.47604630056167402</v>
      </c>
      <c r="AP1204" s="9">
        <v>1020.40084217563</v>
      </c>
      <c r="AQ1204" s="9">
        <v>10.741061496585599</v>
      </c>
      <c r="AR1204" s="9">
        <v>11.4068001507723</v>
      </c>
      <c r="AS1204" s="8" t="s">
        <v>169</v>
      </c>
      <c r="AT1204" s="8" t="s">
        <v>169</v>
      </c>
      <c r="AU1204" s="10" t="s">
        <v>169</v>
      </c>
      <c r="AV1204" s="10">
        <v>0</v>
      </c>
      <c r="AX1204" s="10" t="s">
        <v>169</v>
      </c>
      <c r="BF1204" s="12">
        <v>0.55000000000000004</v>
      </c>
      <c r="BG1204" s="13">
        <v>425.70057147701999</v>
      </c>
      <c r="BH1204" s="96" t="str">
        <f>+VLOOKUP(G1204,Liste!$A$7:$G$50,3,FALSE)</f>
        <v>Chêne sessile</v>
      </c>
      <c r="BI1204" s="96" t="str">
        <f>+VLOOKUP(H1204,Liste!$B$7:$G$50,5,FALSE)</f>
        <v>Guide chênaie continentale</v>
      </c>
      <c r="BJ1204" s="135">
        <f t="shared" si="360"/>
        <v>95</v>
      </c>
      <c r="BK1204" s="135" t="str">
        <f t="shared" si="362"/>
        <v>Chêne sessile_F1_Dynamique_Guide chênaie continentale_95_</v>
      </c>
      <c r="BL1204" s="322"/>
      <c r="BM1204" s="13">
        <v>103.437233370901</v>
      </c>
      <c r="BN1204" s="13">
        <v>529.13780484792005</v>
      </c>
      <c r="BO1204" s="13" t="s">
        <v>169</v>
      </c>
      <c r="BP1204" s="13">
        <v>345.74943247867299</v>
      </c>
      <c r="BQ1204" s="13">
        <v>13.0509225293083</v>
      </c>
      <c r="BT1204" s="298" t="str">
        <f>+VLOOKUP(G1204,Liste!$A$7:$H$50,8,FALSE)</f>
        <v>Feuillus</v>
      </c>
      <c r="BU1204" s="298">
        <f t="shared" si="363"/>
        <v>1</v>
      </c>
      <c r="BV1204" s="300">
        <f t="shared" si="364"/>
        <v>0</v>
      </c>
      <c r="BW1204" s="321">
        <v>0</v>
      </c>
      <c r="BX1204" s="298">
        <f t="shared" si="365"/>
        <v>0.25</v>
      </c>
      <c r="BY1204">
        <f t="shared" si="366"/>
        <v>0</v>
      </c>
      <c r="BZ1204" s="304">
        <f t="shared" si="367"/>
        <v>0</v>
      </c>
      <c r="CB1204" s="299">
        <v>0.6</v>
      </c>
      <c r="CC1204" s="299">
        <v>0.4</v>
      </c>
      <c r="CD1204">
        <f t="shared" si="368"/>
        <v>0</v>
      </c>
      <c r="CE1204">
        <f t="shared" si="369"/>
        <v>0</v>
      </c>
      <c r="CF1204">
        <f t="shared" si="370"/>
        <v>0</v>
      </c>
      <c r="CG1204">
        <f t="shared" si="371"/>
        <v>0</v>
      </c>
      <c r="CH1204">
        <f t="shared" si="372"/>
        <v>0</v>
      </c>
      <c r="CI1204">
        <f t="shared" si="373"/>
        <v>0</v>
      </c>
      <c r="CJ1204">
        <f t="shared" si="374"/>
        <v>0</v>
      </c>
      <c r="CK1204">
        <f t="shared" si="375"/>
        <v>0</v>
      </c>
      <c r="CL1204">
        <f t="shared" si="376"/>
        <v>0</v>
      </c>
      <c r="CM1204">
        <f t="shared" si="378"/>
        <v>0</v>
      </c>
      <c r="CN1204">
        <f t="shared" si="377"/>
        <v>0</v>
      </c>
      <c r="CO1204">
        <f t="shared" si="361"/>
        <v>0</v>
      </c>
    </row>
    <row r="1205" spans="1:93" x14ac:dyDescent="0.25">
      <c r="A1205" s="4">
        <v>2021</v>
      </c>
      <c r="B1205" s="318">
        <v>44279</v>
      </c>
      <c r="C1205" s="4" t="s">
        <v>66</v>
      </c>
      <c r="D1205" s="4" t="s">
        <v>1504</v>
      </c>
      <c r="E1205" s="4" t="s">
        <v>87</v>
      </c>
      <c r="F1205" s="4" t="s">
        <v>90</v>
      </c>
      <c r="G1205" s="5" t="s">
        <v>17</v>
      </c>
      <c r="H1205" s="5" t="s">
        <v>22</v>
      </c>
      <c r="I1205" s="5" t="s">
        <v>146</v>
      </c>
      <c r="J1205" s="5" t="s">
        <v>9</v>
      </c>
      <c r="K1205" s="5">
        <v>21.5</v>
      </c>
      <c r="L1205" s="5" t="s">
        <v>194</v>
      </c>
      <c r="M1205" s="5">
        <v>1666</v>
      </c>
      <c r="N1205" s="5" t="s">
        <v>170</v>
      </c>
      <c r="O1205" s="6" t="s">
        <v>81</v>
      </c>
      <c r="P1205" s="6" t="s">
        <v>1505</v>
      </c>
      <c r="S1205" s="6">
        <v>35</v>
      </c>
      <c r="T1205" s="6">
        <v>16.59</v>
      </c>
      <c r="U1205" s="6">
        <v>1453</v>
      </c>
      <c r="V1205" s="6">
        <v>26.19</v>
      </c>
      <c r="W1205" s="6">
        <v>41</v>
      </c>
      <c r="X1205" s="6">
        <v>369</v>
      </c>
      <c r="Y1205" s="6">
        <v>713</v>
      </c>
      <c r="Z1205" s="6">
        <v>301</v>
      </c>
      <c r="AA1205" s="6">
        <v>28</v>
      </c>
      <c r="AB1205" s="6">
        <v>0</v>
      </c>
      <c r="AC1205" s="7">
        <v>99</v>
      </c>
      <c r="AD1205" s="7" t="s">
        <v>52</v>
      </c>
      <c r="AE1205" s="7">
        <v>32.04</v>
      </c>
      <c r="AF1205" s="7">
        <v>94</v>
      </c>
      <c r="AG1205" s="7">
        <v>25.65</v>
      </c>
      <c r="AH1205" s="7">
        <v>58.94</v>
      </c>
      <c r="AI1205" s="7">
        <v>58.94</v>
      </c>
      <c r="AJ1205" s="9">
        <v>408.91540889938602</v>
      </c>
      <c r="AK1205" s="9">
        <v>458.71962616799601</v>
      </c>
      <c r="AL1205" s="9">
        <v>490.02971106191802</v>
      </c>
      <c r="AM1205" s="9">
        <v>69.795035072119404</v>
      </c>
      <c r="AN1205" s="9">
        <v>0.70500035426383201</v>
      </c>
      <c r="AO1205" s="9">
        <v>0.42801460698166199</v>
      </c>
      <c r="AP1205" s="9">
        <v>1066.02804277872</v>
      </c>
      <c r="AQ1205" s="9">
        <v>10.7679600280679</v>
      </c>
      <c r="AR1205" s="9">
        <v>10.2030113274533</v>
      </c>
      <c r="AS1205" s="8" t="s">
        <v>169</v>
      </c>
      <c r="AT1205" s="8" t="s">
        <v>169</v>
      </c>
      <c r="AU1205" s="10" t="s">
        <v>169</v>
      </c>
      <c r="AV1205" s="10">
        <v>0</v>
      </c>
      <c r="AX1205" s="10" t="s">
        <v>169</v>
      </c>
      <c r="BF1205" s="12">
        <v>0.55000000000000004</v>
      </c>
      <c r="BG1205" s="13">
        <v>469.407627388062</v>
      </c>
      <c r="BH1205" s="96" t="str">
        <f>+VLOOKUP(G1205,Liste!$A$7:$G$50,3,FALSE)</f>
        <v>Chêne sessile</v>
      </c>
      <c r="BI1205" s="96" t="str">
        <f>+VLOOKUP(H1205,Liste!$B$7:$G$50,5,FALSE)</f>
        <v>Guide chênaie continentale</v>
      </c>
      <c r="BJ1205" s="135">
        <f t="shared" si="360"/>
        <v>99</v>
      </c>
      <c r="BK1205" s="135" t="str">
        <f t="shared" si="362"/>
        <v>Chêne sessile_F1_Dynamique_Guide chênaie continentale_99_</v>
      </c>
      <c r="BL1205" s="322"/>
      <c r="BM1205" s="13">
        <v>112.767019297555</v>
      </c>
      <c r="BN1205" s="13">
        <v>582.17464668561695</v>
      </c>
      <c r="BO1205" s="13" t="s">
        <v>169</v>
      </c>
      <c r="BP1205" s="13">
        <v>345.74943247867299</v>
      </c>
      <c r="BQ1205" s="13">
        <v>11.6656936121942</v>
      </c>
      <c r="BT1205" s="298" t="str">
        <f>+VLOOKUP(G1205,Liste!$A$7:$H$50,8,FALSE)</f>
        <v>Feuillus</v>
      </c>
      <c r="BU1205" s="298">
        <f t="shared" si="363"/>
        <v>1</v>
      </c>
      <c r="BV1205" s="300">
        <f t="shared" si="364"/>
        <v>0</v>
      </c>
      <c r="BW1205" s="321">
        <v>0</v>
      </c>
      <c r="BX1205" s="298">
        <f t="shared" si="365"/>
        <v>0.25</v>
      </c>
      <c r="BY1205">
        <f t="shared" si="366"/>
        <v>0</v>
      </c>
      <c r="BZ1205" s="304">
        <f t="shared" si="367"/>
        <v>0</v>
      </c>
      <c r="CB1205" s="299">
        <v>0.6</v>
      </c>
      <c r="CC1205" s="299">
        <v>0.4</v>
      </c>
      <c r="CD1205">
        <f t="shared" si="368"/>
        <v>0</v>
      </c>
      <c r="CE1205">
        <f t="shared" si="369"/>
        <v>0</v>
      </c>
      <c r="CF1205">
        <f t="shared" si="370"/>
        <v>0</v>
      </c>
      <c r="CG1205">
        <f t="shared" si="371"/>
        <v>0</v>
      </c>
      <c r="CH1205">
        <f t="shared" si="372"/>
        <v>0</v>
      </c>
      <c r="CI1205">
        <f t="shared" si="373"/>
        <v>0</v>
      </c>
      <c r="CJ1205">
        <f t="shared" si="374"/>
        <v>0</v>
      </c>
      <c r="CK1205">
        <f t="shared" si="375"/>
        <v>0</v>
      </c>
      <c r="CL1205">
        <f t="shared" si="376"/>
        <v>0</v>
      </c>
      <c r="CM1205">
        <f t="shared" si="378"/>
        <v>0</v>
      </c>
      <c r="CN1205">
        <f t="shared" si="377"/>
        <v>0</v>
      </c>
      <c r="CO1205">
        <f t="shared" si="361"/>
        <v>0</v>
      </c>
    </row>
    <row r="1206" spans="1:93" x14ac:dyDescent="0.25">
      <c r="A1206" s="4">
        <v>2021</v>
      </c>
      <c r="B1206" s="318">
        <v>44279</v>
      </c>
      <c r="C1206" s="4" t="s">
        <v>66</v>
      </c>
      <c r="D1206" s="4" t="s">
        <v>1504</v>
      </c>
      <c r="E1206" s="4" t="s">
        <v>87</v>
      </c>
      <c r="F1206" s="4" t="s">
        <v>90</v>
      </c>
      <c r="G1206" s="5" t="s">
        <v>17</v>
      </c>
      <c r="H1206" s="5" t="s">
        <v>22</v>
      </c>
      <c r="I1206" s="5" t="s">
        <v>146</v>
      </c>
      <c r="J1206" s="5" t="s">
        <v>9</v>
      </c>
      <c r="K1206" s="5">
        <v>21.5</v>
      </c>
      <c r="L1206" s="5" t="s">
        <v>194</v>
      </c>
      <c r="M1206" s="5">
        <v>1666</v>
      </c>
      <c r="N1206" s="5" t="s">
        <v>170</v>
      </c>
      <c r="O1206" s="6" t="s">
        <v>81</v>
      </c>
      <c r="P1206" s="6" t="s">
        <v>1505</v>
      </c>
      <c r="S1206" s="6">
        <v>35</v>
      </c>
      <c r="T1206" s="6">
        <v>16.59</v>
      </c>
      <c r="U1206" s="6">
        <v>1453</v>
      </c>
      <c r="V1206" s="6">
        <v>26.19</v>
      </c>
      <c r="W1206" s="6">
        <v>41</v>
      </c>
      <c r="X1206" s="6">
        <v>369</v>
      </c>
      <c r="Y1206" s="6">
        <v>713</v>
      </c>
      <c r="Z1206" s="6">
        <v>301</v>
      </c>
      <c r="AA1206" s="6">
        <v>28</v>
      </c>
      <c r="AB1206" s="6">
        <v>0</v>
      </c>
      <c r="AC1206" s="7">
        <v>99</v>
      </c>
      <c r="AD1206" s="7" t="s">
        <v>53</v>
      </c>
      <c r="AE1206" s="7">
        <v>32.04</v>
      </c>
      <c r="AF1206" s="7">
        <v>78</v>
      </c>
      <c r="AG1206" s="7">
        <v>21.72</v>
      </c>
      <c r="AH1206" s="7">
        <v>59.54</v>
      </c>
      <c r="AI1206" s="7">
        <v>59.54</v>
      </c>
      <c r="AJ1206" s="9">
        <v>346.38860475241398</v>
      </c>
      <c r="AK1206" s="9">
        <v>389.08469485408699</v>
      </c>
      <c r="AL1206" s="9">
        <v>415.58184952437102</v>
      </c>
      <c r="AM1206" s="9">
        <v>69.795035072119404</v>
      </c>
      <c r="AN1206" s="9">
        <v>0.70500035426383201</v>
      </c>
      <c r="AO1206" s="9">
        <v>0.42801460698166199</v>
      </c>
      <c r="AP1206" s="9">
        <v>1066.02804277872</v>
      </c>
      <c r="AQ1206" s="9">
        <v>10.7679600280679</v>
      </c>
      <c r="AR1206" s="9">
        <v>10.2030113274533</v>
      </c>
      <c r="AS1206" s="8">
        <v>16</v>
      </c>
      <c r="AT1206" s="8">
        <v>3.9299999999999997</v>
      </c>
      <c r="AU1206" s="10">
        <v>55.923113573510399</v>
      </c>
      <c r="AV1206" s="10">
        <v>62.52680414697204</v>
      </c>
      <c r="AW1206" s="8">
        <v>0.9</v>
      </c>
      <c r="AX1206" s="10">
        <v>3.9079252591857525</v>
      </c>
      <c r="BF1206" s="12">
        <v>0.55000000000000004</v>
      </c>
      <c r="BG1206" s="13">
        <v>398.09278002355398</v>
      </c>
      <c r="BH1206" s="96" t="str">
        <f>+VLOOKUP(G1206,Liste!$A$7:$G$50,3,FALSE)</f>
        <v>Chêne sessile</v>
      </c>
      <c r="BI1206" s="96" t="str">
        <f>+VLOOKUP(H1206,Liste!$B$7:$G$50,5,FALSE)</f>
        <v>Guide chênaie continentale</v>
      </c>
      <c r="BJ1206" s="135">
        <f t="shared" si="360"/>
        <v>99</v>
      </c>
      <c r="BK1206" s="135" t="str">
        <f t="shared" si="362"/>
        <v>Chêne sessile_F1_Dynamique_Guide chênaie continentale_99_</v>
      </c>
      <c r="BL1206" s="322"/>
      <c r="BM1206" s="13">
        <v>97.4869591655671</v>
      </c>
      <c r="BN1206" s="13">
        <v>495.57973918912103</v>
      </c>
      <c r="BO1206" s="13">
        <v>86.594907496495921</v>
      </c>
      <c r="BP1206" s="13">
        <v>345.74943247867299</v>
      </c>
      <c r="BQ1206" s="13">
        <v>11.6656936121942</v>
      </c>
      <c r="BT1206" s="298" t="str">
        <f>+VLOOKUP(G1206,Liste!$A$7:$H$50,8,FALSE)</f>
        <v>Feuillus</v>
      </c>
      <c r="BU1206" s="298">
        <f t="shared" si="363"/>
        <v>1</v>
      </c>
      <c r="BV1206" s="300">
        <f t="shared" si="364"/>
        <v>0</v>
      </c>
      <c r="BW1206" s="321">
        <v>0</v>
      </c>
      <c r="BX1206" s="298">
        <f t="shared" si="365"/>
        <v>0.25</v>
      </c>
      <c r="BY1206">
        <f t="shared" si="366"/>
        <v>0</v>
      </c>
      <c r="BZ1206" s="304">
        <f t="shared" si="367"/>
        <v>0</v>
      </c>
      <c r="CB1206" s="299">
        <v>0.6</v>
      </c>
      <c r="CC1206" s="299">
        <v>0.4</v>
      </c>
      <c r="CD1206">
        <f t="shared" si="368"/>
        <v>0</v>
      </c>
      <c r="CE1206">
        <f t="shared" si="369"/>
        <v>0</v>
      </c>
      <c r="CF1206">
        <f t="shared" si="370"/>
        <v>0</v>
      </c>
      <c r="CG1206">
        <f t="shared" si="371"/>
        <v>0</v>
      </c>
      <c r="CH1206">
        <f t="shared" si="372"/>
        <v>0</v>
      </c>
      <c r="CI1206">
        <f t="shared" si="373"/>
        <v>0</v>
      </c>
      <c r="CJ1206">
        <f t="shared" si="374"/>
        <v>0</v>
      </c>
      <c r="CK1206">
        <f t="shared" si="375"/>
        <v>0</v>
      </c>
      <c r="CL1206">
        <f t="shared" si="376"/>
        <v>0</v>
      </c>
      <c r="CM1206">
        <f t="shared" si="378"/>
        <v>0</v>
      </c>
      <c r="CN1206">
        <f t="shared" si="377"/>
        <v>0</v>
      </c>
      <c r="CO1206">
        <f t="shared" si="361"/>
        <v>0</v>
      </c>
    </row>
    <row r="1207" spans="1:93" x14ac:dyDescent="0.25">
      <c r="A1207" s="4">
        <v>2021</v>
      </c>
      <c r="B1207" s="318">
        <v>44279</v>
      </c>
      <c r="C1207" s="4" t="s">
        <v>66</v>
      </c>
      <c r="D1207" s="4" t="s">
        <v>1504</v>
      </c>
      <c r="E1207" s="4" t="s">
        <v>87</v>
      </c>
      <c r="F1207" s="4" t="s">
        <v>90</v>
      </c>
      <c r="G1207" s="5" t="s">
        <v>17</v>
      </c>
      <c r="H1207" s="5" t="s">
        <v>22</v>
      </c>
      <c r="I1207" s="5" t="s">
        <v>146</v>
      </c>
      <c r="J1207" s="5" t="s">
        <v>9</v>
      </c>
      <c r="K1207" s="5">
        <v>21.5</v>
      </c>
      <c r="L1207" s="5" t="s">
        <v>194</v>
      </c>
      <c r="M1207" s="5">
        <v>1666</v>
      </c>
      <c r="N1207" s="5" t="s">
        <v>170</v>
      </c>
      <c r="O1207" s="6" t="s">
        <v>81</v>
      </c>
      <c r="P1207" s="6" t="s">
        <v>1505</v>
      </c>
      <c r="S1207" s="6">
        <v>35</v>
      </c>
      <c r="T1207" s="6">
        <v>16.59</v>
      </c>
      <c r="U1207" s="6">
        <v>1453</v>
      </c>
      <c r="V1207" s="6">
        <v>26.19</v>
      </c>
      <c r="W1207" s="6">
        <v>41</v>
      </c>
      <c r="X1207" s="6">
        <v>369</v>
      </c>
      <c r="Y1207" s="6">
        <v>713</v>
      </c>
      <c r="Z1207" s="6">
        <v>301</v>
      </c>
      <c r="AA1207" s="6">
        <v>28</v>
      </c>
      <c r="AB1207" s="6">
        <v>0</v>
      </c>
      <c r="AC1207" s="7">
        <v>102</v>
      </c>
      <c r="AD1207" s="7" t="s">
        <v>52</v>
      </c>
      <c r="AE1207" s="7">
        <v>32.5</v>
      </c>
      <c r="AF1207" s="7">
        <v>78</v>
      </c>
      <c r="AG1207" s="7">
        <v>23</v>
      </c>
      <c r="AH1207" s="7">
        <v>61.28</v>
      </c>
      <c r="AI1207" s="7">
        <v>61.28</v>
      </c>
      <c r="AJ1207" s="9">
        <v>372.02654996281899</v>
      </c>
      <c r="AK1207" s="9">
        <v>418.267117395799</v>
      </c>
      <c r="AL1207" s="9">
        <v>446.19088350673098</v>
      </c>
      <c r="AM1207" s="9">
        <v>71.079078893064406</v>
      </c>
      <c r="AN1207" s="9">
        <v>0.69685371463788603</v>
      </c>
      <c r="AO1207" s="9">
        <v>0.444499051525862</v>
      </c>
      <c r="AP1207" s="9">
        <v>1096.6370767610799</v>
      </c>
      <c r="AQ1207" s="9">
        <v>10.7513438898145</v>
      </c>
      <c r="AR1207" s="9">
        <v>10.911194062611999</v>
      </c>
      <c r="AS1207" s="8" t="s">
        <v>169</v>
      </c>
      <c r="AT1207" s="8" t="s">
        <v>169</v>
      </c>
      <c r="AU1207" s="10" t="s">
        <v>169</v>
      </c>
      <c r="AV1207" s="10">
        <v>0</v>
      </c>
      <c r="AX1207" s="10" t="s">
        <v>169</v>
      </c>
      <c r="BF1207" s="12">
        <v>0.55000000000000004</v>
      </c>
      <c r="BG1207" s="13">
        <v>427.413683825823</v>
      </c>
      <c r="BH1207" s="96" t="str">
        <f>+VLOOKUP(G1207,Liste!$A$7:$G$50,3,FALSE)</f>
        <v>Chêne sessile</v>
      </c>
      <c r="BI1207" s="96" t="str">
        <f>+VLOOKUP(H1207,Liste!$B$7:$G$50,5,FALSE)</f>
        <v>Guide chênaie continentale</v>
      </c>
      <c r="BJ1207" s="135">
        <f t="shared" si="360"/>
        <v>102</v>
      </c>
      <c r="BK1207" s="135" t="str">
        <f t="shared" si="362"/>
        <v>Chêne sessile_F1_Dynamique_Guide chênaie continentale_102_</v>
      </c>
      <c r="BL1207" s="322"/>
      <c r="BM1207" s="13">
        <v>103.804949466265</v>
      </c>
      <c r="BN1207" s="13">
        <v>531.21863329208804</v>
      </c>
      <c r="BO1207" s="13" t="s">
        <v>169</v>
      </c>
      <c r="BP1207" s="13">
        <v>345.74943247867299</v>
      </c>
      <c r="BQ1207" s="13">
        <v>12.4686128954813</v>
      </c>
      <c r="BT1207" s="298" t="str">
        <f>+VLOOKUP(G1207,Liste!$A$7:$H$50,8,FALSE)</f>
        <v>Feuillus</v>
      </c>
      <c r="BU1207" s="298">
        <f t="shared" si="363"/>
        <v>1</v>
      </c>
      <c r="BV1207" s="300">
        <f t="shared" si="364"/>
        <v>0</v>
      </c>
      <c r="BW1207" s="321">
        <v>0</v>
      </c>
      <c r="BX1207" s="298">
        <f t="shared" si="365"/>
        <v>0.25</v>
      </c>
      <c r="BY1207">
        <f t="shared" si="366"/>
        <v>0</v>
      </c>
      <c r="BZ1207" s="304">
        <f t="shared" si="367"/>
        <v>0</v>
      </c>
      <c r="CB1207" s="299">
        <v>0.6</v>
      </c>
      <c r="CC1207" s="299">
        <v>0.4</v>
      </c>
      <c r="CD1207">
        <f t="shared" si="368"/>
        <v>0</v>
      </c>
      <c r="CE1207">
        <f t="shared" si="369"/>
        <v>0</v>
      </c>
      <c r="CF1207">
        <f t="shared" si="370"/>
        <v>0</v>
      </c>
      <c r="CG1207">
        <f t="shared" si="371"/>
        <v>0</v>
      </c>
      <c r="CH1207">
        <f t="shared" si="372"/>
        <v>0</v>
      </c>
      <c r="CI1207">
        <f t="shared" si="373"/>
        <v>0</v>
      </c>
      <c r="CJ1207">
        <f t="shared" si="374"/>
        <v>0</v>
      </c>
      <c r="CK1207">
        <f t="shared" si="375"/>
        <v>0</v>
      </c>
      <c r="CL1207">
        <f t="shared" si="376"/>
        <v>0</v>
      </c>
      <c r="CM1207">
        <f t="shared" si="378"/>
        <v>0</v>
      </c>
      <c r="CN1207">
        <f t="shared" si="377"/>
        <v>0</v>
      </c>
      <c r="CO1207">
        <f t="shared" si="361"/>
        <v>0</v>
      </c>
    </row>
    <row r="1208" spans="1:93" x14ac:dyDescent="0.25">
      <c r="A1208" s="4">
        <v>2021</v>
      </c>
      <c r="B1208" s="318">
        <v>44279</v>
      </c>
      <c r="C1208" s="4" t="s">
        <v>66</v>
      </c>
      <c r="D1208" s="4" t="s">
        <v>1504</v>
      </c>
      <c r="E1208" s="4" t="s">
        <v>87</v>
      </c>
      <c r="F1208" s="4" t="s">
        <v>90</v>
      </c>
      <c r="G1208" s="5" t="s">
        <v>17</v>
      </c>
      <c r="H1208" s="5" t="s">
        <v>22</v>
      </c>
      <c r="I1208" s="5" t="s">
        <v>146</v>
      </c>
      <c r="J1208" s="5" t="s">
        <v>9</v>
      </c>
      <c r="K1208" s="5">
        <v>21.5</v>
      </c>
      <c r="L1208" s="5" t="s">
        <v>194</v>
      </c>
      <c r="M1208" s="5">
        <v>1666</v>
      </c>
      <c r="N1208" s="5" t="s">
        <v>170</v>
      </c>
      <c r="O1208" s="6" t="s">
        <v>81</v>
      </c>
      <c r="P1208" s="6" t="s">
        <v>1505</v>
      </c>
      <c r="S1208" s="6">
        <v>35</v>
      </c>
      <c r="T1208" s="6">
        <v>16.59</v>
      </c>
      <c r="U1208" s="6">
        <v>1453</v>
      </c>
      <c r="V1208" s="6">
        <v>26.19</v>
      </c>
      <c r="W1208" s="6">
        <v>41</v>
      </c>
      <c r="X1208" s="6">
        <v>369</v>
      </c>
      <c r="Y1208" s="6">
        <v>713</v>
      </c>
      <c r="Z1208" s="6">
        <v>301</v>
      </c>
      <c r="AA1208" s="6">
        <v>28</v>
      </c>
      <c r="AB1208" s="6">
        <v>0</v>
      </c>
      <c r="AC1208" s="7">
        <v>105</v>
      </c>
      <c r="AD1208" s="7" t="s">
        <v>52</v>
      </c>
      <c r="AE1208" s="7">
        <v>32.979999999999997</v>
      </c>
      <c r="AF1208" s="7">
        <v>78</v>
      </c>
      <c r="AG1208" s="7">
        <v>24.33</v>
      </c>
      <c r="AH1208" s="7">
        <v>63.03</v>
      </c>
      <c r="AI1208" s="7">
        <v>63.03</v>
      </c>
      <c r="AJ1208" s="9">
        <v>399.602022742195</v>
      </c>
      <c r="AK1208" s="9">
        <v>449.53507180678503</v>
      </c>
      <c r="AL1208" s="9">
        <v>478.924465694567</v>
      </c>
      <c r="AM1208" s="9">
        <v>72.412576047642006</v>
      </c>
      <c r="AN1208" s="9">
        <v>0.68964358140611404</v>
      </c>
      <c r="AO1208" s="9">
        <v>0.44316519804399201</v>
      </c>
      <c r="AP1208" s="9">
        <v>1129.37065894892</v>
      </c>
      <c r="AQ1208" s="9">
        <v>10.755911037608699</v>
      </c>
      <c r="AR1208" s="9">
        <v>11.0728175905287</v>
      </c>
      <c r="AS1208" s="8" t="s">
        <v>169</v>
      </c>
      <c r="AT1208" s="8" t="s">
        <v>169</v>
      </c>
      <c r="AU1208" s="10" t="s">
        <v>169</v>
      </c>
      <c r="AV1208" s="10">
        <v>0</v>
      </c>
      <c r="AX1208" s="10" t="s">
        <v>169</v>
      </c>
      <c r="BF1208" s="12">
        <v>0.55000000000000004</v>
      </c>
      <c r="BG1208" s="13">
        <v>458.76972776325402</v>
      </c>
      <c r="BH1208" s="96" t="str">
        <f>+VLOOKUP(G1208,Liste!$A$7:$G$50,3,FALSE)</f>
        <v>Chêne sessile</v>
      </c>
      <c r="BI1208" s="96" t="str">
        <f>+VLOOKUP(H1208,Liste!$B$7:$G$50,5,FALSE)</f>
        <v>Guide chênaie continentale</v>
      </c>
      <c r="BJ1208" s="135">
        <f t="shared" si="360"/>
        <v>105</v>
      </c>
      <c r="BK1208" s="135" t="str">
        <f t="shared" si="362"/>
        <v>Chêne sessile_F1_Dynamique_Guide chênaie continentale_105_</v>
      </c>
      <c r="BL1208" s="322"/>
      <c r="BM1208" s="13">
        <v>110.50591355368699</v>
      </c>
      <c r="BN1208" s="13">
        <v>569.27564131694101</v>
      </c>
      <c r="BO1208" s="13" t="s">
        <v>169</v>
      </c>
      <c r="BP1208" s="13">
        <v>345.74943247867299</v>
      </c>
      <c r="BQ1208" s="13">
        <v>12.6452255367182</v>
      </c>
      <c r="BT1208" s="298" t="str">
        <f>+VLOOKUP(G1208,Liste!$A$7:$H$50,8,FALSE)</f>
        <v>Feuillus</v>
      </c>
      <c r="BU1208" s="298">
        <f t="shared" si="363"/>
        <v>1</v>
      </c>
      <c r="BV1208" s="300">
        <f t="shared" si="364"/>
        <v>0</v>
      </c>
      <c r="BW1208" s="321">
        <v>0</v>
      </c>
      <c r="BX1208" s="298">
        <f t="shared" si="365"/>
        <v>0.25</v>
      </c>
      <c r="BY1208">
        <f t="shared" si="366"/>
        <v>0</v>
      </c>
      <c r="BZ1208" s="304">
        <f t="shared" si="367"/>
        <v>0</v>
      </c>
      <c r="CB1208" s="299">
        <v>0.6</v>
      </c>
      <c r="CC1208" s="299">
        <v>0.4</v>
      </c>
      <c r="CD1208">
        <f t="shared" si="368"/>
        <v>0</v>
      </c>
      <c r="CE1208">
        <f t="shared" si="369"/>
        <v>0</v>
      </c>
      <c r="CF1208">
        <f t="shared" si="370"/>
        <v>0</v>
      </c>
      <c r="CG1208">
        <f t="shared" si="371"/>
        <v>0</v>
      </c>
      <c r="CH1208">
        <f t="shared" si="372"/>
        <v>0</v>
      </c>
      <c r="CI1208">
        <f t="shared" si="373"/>
        <v>0</v>
      </c>
      <c r="CJ1208">
        <f t="shared" si="374"/>
        <v>0</v>
      </c>
      <c r="CK1208">
        <f t="shared" si="375"/>
        <v>0</v>
      </c>
      <c r="CL1208">
        <f t="shared" si="376"/>
        <v>0</v>
      </c>
      <c r="CM1208">
        <f t="shared" si="378"/>
        <v>0</v>
      </c>
      <c r="CN1208">
        <f t="shared" si="377"/>
        <v>0</v>
      </c>
      <c r="CO1208">
        <f t="shared" si="361"/>
        <v>0</v>
      </c>
    </row>
    <row r="1209" spans="1:93" x14ac:dyDescent="0.25">
      <c r="A1209" s="4">
        <v>2021</v>
      </c>
      <c r="B1209" s="318">
        <v>44279</v>
      </c>
      <c r="C1209" s="4" t="s">
        <v>66</v>
      </c>
      <c r="D1209" s="4" t="s">
        <v>1504</v>
      </c>
      <c r="E1209" s="4" t="s">
        <v>87</v>
      </c>
      <c r="F1209" s="4" t="s">
        <v>90</v>
      </c>
      <c r="G1209" s="5" t="s">
        <v>17</v>
      </c>
      <c r="H1209" s="5" t="s">
        <v>22</v>
      </c>
      <c r="I1209" s="5" t="s">
        <v>146</v>
      </c>
      <c r="J1209" s="5" t="s">
        <v>9</v>
      </c>
      <c r="K1209" s="5">
        <v>21.5</v>
      </c>
      <c r="L1209" s="5" t="s">
        <v>194</v>
      </c>
      <c r="M1209" s="5">
        <v>1666</v>
      </c>
      <c r="N1209" s="5" t="s">
        <v>170</v>
      </c>
      <c r="O1209" s="6" t="s">
        <v>81</v>
      </c>
      <c r="P1209" s="6" t="s">
        <v>1505</v>
      </c>
      <c r="S1209" s="6">
        <v>35</v>
      </c>
      <c r="T1209" s="6">
        <v>16.59</v>
      </c>
      <c r="U1209" s="6">
        <v>1453</v>
      </c>
      <c r="V1209" s="6">
        <v>26.19</v>
      </c>
      <c r="W1209" s="6">
        <v>41</v>
      </c>
      <c r="X1209" s="6">
        <v>369</v>
      </c>
      <c r="Y1209" s="6">
        <v>713</v>
      </c>
      <c r="Z1209" s="6">
        <v>301</v>
      </c>
      <c r="AA1209" s="6">
        <v>28</v>
      </c>
      <c r="AB1209" s="6">
        <v>0</v>
      </c>
      <c r="AC1209" s="7">
        <v>109</v>
      </c>
      <c r="AD1209" s="7" t="s">
        <v>52</v>
      </c>
      <c r="AE1209" s="7">
        <v>33.6</v>
      </c>
      <c r="AF1209" s="7">
        <v>78</v>
      </c>
      <c r="AG1209" s="7">
        <v>26.11</v>
      </c>
      <c r="AH1209" s="7">
        <v>65.28</v>
      </c>
      <c r="AI1209" s="7">
        <v>65.28</v>
      </c>
      <c r="AJ1209" s="9">
        <v>436.95813326041599</v>
      </c>
      <c r="AK1209" s="9">
        <v>491.88892022993798</v>
      </c>
      <c r="AL1209" s="9">
        <v>523.21573605668198</v>
      </c>
      <c r="AM1209" s="9">
        <v>74.185236839817904</v>
      </c>
      <c r="AN1209" s="9">
        <v>0.68059850311759595</v>
      </c>
      <c r="AO1209" s="9">
        <v>0.39877452133770402</v>
      </c>
      <c r="AP1209" s="9">
        <v>1173.66192931103</v>
      </c>
      <c r="AQ1209" s="9">
        <v>10.767540635881</v>
      </c>
      <c r="AR1209" s="9">
        <v>9.9758879022460896</v>
      </c>
      <c r="AS1209" s="8" t="s">
        <v>169</v>
      </c>
      <c r="AT1209" s="8" t="s">
        <v>169</v>
      </c>
      <c r="AU1209" s="10" t="s">
        <v>169</v>
      </c>
      <c r="AV1209" s="10">
        <v>0</v>
      </c>
      <c r="AX1209" s="10" t="s">
        <v>169</v>
      </c>
      <c r="BF1209" s="12">
        <v>0.55000000000000004</v>
      </c>
      <c r="BG1209" s="13">
        <v>501.19707383096301</v>
      </c>
      <c r="BH1209" s="96" t="str">
        <f>+VLOOKUP(G1209,Liste!$A$7:$G$50,3,FALSE)</f>
        <v>Chêne sessile</v>
      </c>
      <c r="BI1209" s="96" t="str">
        <f>+VLOOKUP(H1209,Liste!$B$7:$G$50,5,FALSE)</f>
        <v>Guide chênaie continentale</v>
      </c>
      <c r="BJ1209" s="135">
        <f t="shared" si="360"/>
        <v>109</v>
      </c>
      <c r="BK1209" s="135" t="str">
        <f t="shared" si="362"/>
        <v>Chêne sessile_F1_Dynamique_Guide chênaie continentale_109_</v>
      </c>
      <c r="BL1209" s="322"/>
      <c r="BM1209" s="13">
        <v>119.489000889663</v>
      </c>
      <c r="BN1209" s="13">
        <v>620.68607472062604</v>
      </c>
      <c r="BO1209" s="13" t="s">
        <v>169</v>
      </c>
      <c r="BP1209" s="13">
        <v>345.74943247867299</v>
      </c>
      <c r="BQ1209" s="13">
        <v>11.3857490367867</v>
      </c>
      <c r="BT1209" s="298" t="str">
        <f>+VLOOKUP(G1209,Liste!$A$7:$H$50,8,FALSE)</f>
        <v>Feuillus</v>
      </c>
      <c r="BU1209" s="298">
        <f t="shared" si="363"/>
        <v>1</v>
      </c>
      <c r="BV1209" s="300">
        <f t="shared" si="364"/>
        <v>0</v>
      </c>
      <c r="BW1209" s="321">
        <v>0</v>
      </c>
      <c r="BX1209" s="298">
        <f t="shared" si="365"/>
        <v>0.25</v>
      </c>
      <c r="BY1209">
        <f t="shared" si="366"/>
        <v>0</v>
      </c>
      <c r="BZ1209" s="304">
        <f t="shared" si="367"/>
        <v>0</v>
      </c>
      <c r="CB1209" s="299">
        <v>0.6</v>
      </c>
      <c r="CC1209" s="299">
        <v>0.4</v>
      </c>
      <c r="CD1209">
        <f t="shared" si="368"/>
        <v>0</v>
      </c>
      <c r="CE1209">
        <f t="shared" si="369"/>
        <v>0</v>
      </c>
      <c r="CF1209">
        <f t="shared" si="370"/>
        <v>0</v>
      </c>
      <c r="CG1209">
        <f t="shared" si="371"/>
        <v>0</v>
      </c>
      <c r="CH1209">
        <f t="shared" si="372"/>
        <v>0</v>
      </c>
      <c r="CI1209">
        <f t="shared" si="373"/>
        <v>0</v>
      </c>
      <c r="CJ1209">
        <f t="shared" si="374"/>
        <v>0</v>
      </c>
      <c r="CK1209">
        <f t="shared" si="375"/>
        <v>0</v>
      </c>
      <c r="CL1209">
        <f t="shared" si="376"/>
        <v>0</v>
      </c>
      <c r="CM1209">
        <f t="shared" si="378"/>
        <v>0</v>
      </c>
      <c r="CN1209">
        <f t="shared" si="377"/>
        <v>0</v>
      </c>
      <c r="CO1209">
        <f t="shared" si="361"/>
        <v>0</v>
      </c>
    </row>
    <row r="1210" spans="1:93" x14ac:dyDescent="0.25">
      <c r="A1210" s="4">
        <v>2021</v>
      </c>
      <c r="B1210" s="318">
        <v>44279</v>
      </c>
      <c r="C1210" s="4" t="s">
        <v>66</v>
      </c>
      <c r="D1210" s="4" t="s">
        <v>1504</v>
      </c>
      <c r="E1210" s="4" t="s">
        <v>87</v>
      </c>
      <c r="F1210" s="4" t="s">
        <v>90</v>
      </c>
      <c r="G1210" s="5" t="s">
        <v>17</v>
      </c>
      <c r="H1210" s="5" t="s">
        <v>22</v>
      </c>
      <c r="I1210" s="5" t="s">
        <v>146</v>
      </c>
      <c r="J1210" s="5" t="s">
        <v>9</v>
      </c>
      <c r="K1210" s="5">
        <v>21.5</v>
      </c>
      <c r="L1210" s="5" t="s">
        <v>194</v>
      </c>
      <c r="M1210" s="5">
        <v>1666</v>
      </c>
      <c r="N1210" s="5" t="s">
        <v>170</v>
      </c>
      <c r="O1210" s="6" t="s">
        <v>81</v>
      </c>
      <c r="P1210" s="6" t="s">
        <v>1505</v>
      </c>
      <c r="S1210" s="6">
        <v>35</v>
      </c>
      <c r="T1210" s="6">
        <v>16.59</v>
      </c>
      <c r="U1210" s="6">
        <v>1453</v>
      </c>
      <c r="V1210" s="6">
        <v>26.19</v>
      </c>
      <c r="W1210" s="6">
        <v>41</v>
      </c>
      <c r="X1210" s="6">
        <v>369</v>
      </c>
      <c r="Y1210" s="6">
        <v>713</v>
      </c>
      <c r="Z1210" s="6">
        <v>301</v>
      </c>
      <c r="AA1210" s="6">
        <v>28</v>
      </c>
      <c r="AB1210" s="6">
        <v>0</v>
      </c>
      <c r="AC1210" s="7">
        <v>109</v>
      </c>
      <c r="AD1210" s="7" t="s">
        <v>53</v>
      </c>
      <c r="AE1210" s="7">
        <v>33.6</v>
      </c>
      <c r="AF1210" s="7">
        <v>66</v>
      </c>
      <c r="AG1210" s="7">
        <v>22.17</v>
      </c>
      <c r="AH1210" s="7">
        <v>65.39</v>
      </c>
      <c r="AI1210" s="7">
        <v>65.39</v>
      </c>
      <c r="AJ1210" s="9">
        <v>371.00438175599697</v>
      </c>
      <c r="AK1210" s="9">
        <v>417.787131308178</v>
      </c>
      <c r="AL1210" s="9">
        <v>444.37995205187298</v>
      </c>
      <c r="AM1210" s="9">
        <v>74.185236839817904</v>
      </c>
      <c r="AN1210" s="9">
        <v>0.68059850311759595</v>
      </c>
      <c r="AO1210" s="9">
        <v>0.39877452133770402</v>
      </c>
      <c r="AP1210" s="9">
        <v>1173.66192931103</v>
      </c>
      <c r="AQ1210" s="9">
        <v>10.767540635881</v>
      </c>
      <c r="AR1210" s="9">
        <v>9.9758879022460896</v>
      </c>
      <c r="AS1210" s="8">
        <v>12</v>
      </c>
      <c r="AT1210" s="8">
        <v>3.9399999999999977</v>
      </c>
      <c r="AU1210" s="10">
        <v>64.656552943588906</v>
      </c>
      <c r="AV1210" s="10">
        <v>65.953751504419017</v>
      </c>
      <c r="AW1210" s="8">
        <v>0.98</v>
      </c>
      <c r="AX1210" s="10">
        <v>5.4961459587015851</v>
      </c>
      <c r="BF1210" s="12">
        <v>0.55000000000000004</v>
      </c>
      <c r="BG1210" s="13">
        <v>425.67896240302298</v>
      </c>
      <c r="BH1210" s="96" t="str">
        <f>+VLOOKUP(G1210,Liste!$A$7:$G$50,3,FALSE)</f>
        <v>Chêne sessile</v>
      </c>
      <c r="BI1210" s="96" t="str">
        <f>+VLOOKUP(H1210,Liste!$B$7:$G$50,5,FALSE)</f>
        <v>Guide chênaie continentale</v>
      </c>
      <c r="BJ1210" s="135">
        <f t="shared" si="360"/>
        <v>109</v>
      </c>
      <c r="BK1210" s="135" t="str">
        <f t="shared" si="362"/>
        <v>Chêne sessile_F1_Dynamique_Guide chênaie continentale_109_</v>
      </c>
      <c r="BL1210" s="322"/>
      <c r="BM1210" s="13">
        <v>103.43259392826</v>
      </c>
      <c r="BN1210" s="13">
        <v>529.11155633128396</v>
      </c>
      <c r="BO1210" s="13">
        <v>91.574518389342074</v>
      </c>
      <c r="BP1210" s="13">
        <v>345.74943247867299</v>
      </c>
      <c r="BQ1210" s="13">
        <v>11.3857490367867</v>
      </c>
      <c r="BT1210" s="298" t="str">
        <f>+VLOOKUP(G1210,Liste!$A$7:$H$50,8,FALSE)</f>
        <v>Feuillus</v>
      </c>
      <c r="BU1210" s="298">
        <f t="shared" si="363"/>
        <v>1</v>
      </c>
      <c r="BV1210" s="300">
        <f t="shared" si="364"/>
        <v>0</v>
      </c>
      <c r="BW1210" s="321">
        <v>0</v>
      </c>
      <c r="BX1210" s="298">
        <f t="shared" si="365"/>
        <v>0.25</v>
      </c>
      <c r="BY1210">
        <f t="shared" si="366"/>
        <v>0</v>
      </c>
      <c r="BZ1210" s="304">
        <f t="shared" si="367"/>
        <v>0</v>
      </c>
      <c r="CB1210" s="299">
        <v>0.6</v>
      </c>
      <c r="CC1210" s="299">
        <v>0.4</v>
      </c>
      <c r="CD1210">
        <f t="shared" si="368"/>
        <v>0</v>
      </c>
      <c r="CE1210">
        <f t="shared" si="369"/>
        <v>0</v>
      </c>
      <c r="CF1210">
        <f t="shared" si="370"/>
        <v>0</v>
      </c>
      <c r="CG1210">
        <f t="shared" si="371"/>
        <v>0</v>
      </c>
      <c r="CH1210">
        <f t="shared" si="372"/>
        <v>0</v>
      </c>
      <c r="CI1210">
        <f t="shared" si="373"/>
        <v>0</v>
      </c>
      <c r="CJ1210">
        <f t="shared" si="374"/>
        <v>0</v>
      </c>
      <c r="CK1210">
        <f t="shared" si="375"/>
        <v>0</v>
      </c>
      <c r="CL1210">
        <f t="shared" si="376"/>
        <v>0</v>
      </c>
      <c r="CM1210">
        <f t="shared" si="378"/>
        <v>0</v>
      </c>
      <c r="CN1210">
        <f t="shared" si="377"/>
        <v>0</v>
      </c>
      <c r="CO1210">
        <f t="shared" si="361"/>
        <v>0</v>
      </c>
    </row>
    <row r="1211" spans="1:93" x14ac:dyDescent="0.25">
      <c r="A1211" s="4">
        <v>2021</v>
      </c>
      <c r="B1211" s="318">
        <v>44279</v>
      </c>
      <c r="C1211" s="4" t="s">
        <v>66</v>
      </c>
      <c r="D1211" s="4" t="s">
        <v>1504</v>
      </c>
      <c r="E1211" s="4" t="s">
        <v>87</v>
      </c>
      <c r="F1211" s="4" t="s">
        <v>90</v>
      </c>
      <c r="G1211" s="5" t="s">
        <v>17</v>
      </c>
      <c r="H1211" s="5" t="s">
        <v>22</v>
      </c>
      <c r="I1211" s="5" t="s">
        <v>146</v>
      </c>
      <c r="J1211" s="5" t="s">
        <v>9</v>
      </c>
      <c r="K1211" s="5">
        <v>21.5</v>
      </c>
      <c r="L1211" s="5" t="s">
        <v>194</v>
      </c>
      <c r="M1211" s="5">
        <v>1666</v>
      </c>
      <c r="N1211" s="5" t="s">
        <v>170</v>
      </c>
      <c r="O1211" s="6" t="s">
        <v>81</v>
      </c>
      <c r="P1211" s="6" t="s">
        <v>1505</v>
      </c>
      <c r="S1211" s="6">
        <v>35</v>
      </c>
      <c r="T1211" s="6">
        <v>16.59</v>
      </c>
      <c r="U1211" s="6">
        <v>1453</v>
      </c>
      <c r="V1211" s="6">
        <v>26.19</v>
      </c>
      <c r="W1211" s="6">
        <v>41</v>
      </c>
      <c r="X1211" s="6">
        <v>369</v>
      </c>
      <c r="Y1211" s="6">
        <v>713</v>
      </c>
      <c r="Z1211" s="6">
        <v>301</v>
      </c>
      <c r="AA1211" s="6">
        <v>28</v>
      </c>
      <c r="AB1211" s="6">
        <v>0</v>
      </c>
      <c r="AC1211" s="7">
        <v>112</v>
      </c>
      <c r="AD1211" s="7" t="s">
        <v>52</v>
      </c>
      <c r="AE1211" s="7">
        <v>34.04</v>
      </c>
      <c r="AF1211" s="7">
        <v>66</v>
      </c>
      <c r="AG1211" s="7">
        <v>23.36</v>
      </c>
      <c r="AH1211" s="7">
        <v>67.13</v>
      </c>
      <c r="AI1211" s="7">
        <v>67.13</v>
      </c>
      <c r="AJ1211" s="9">
        <v>396.12985951590002</v>
      </c>
      <c r="AK1211" s="9">
        <v>446.40561678203102</v>
      </c>
      <c r="AL1211" s="9">
        <v>474.30761575861101</v>
      </c>
      <c r="AM1211" s="9">
        <v>75.381560403831003</v>
      </c>
      <c r="AN1211" s="9">
        <v>0.67304964646277698</v>
      </c>
      <c r="AO1211" s="9">
        <v>0.413922731334599</v>
      </c>
      <c r="AP1211" s="9">
        <v>1203.5895930177701</v>
      </c>
      <c r="AQ1211" s="9">
        <v>10.746335651944401</v>
      </c>
      <c r="AR1211" s="9">
        <v>10.630571298513599</v>
      </c>
      <c r="AS1211" s="8" t="s">
        <v>169</v>
      </c>
      <c r="AT1211" s="8" t="s">
        <v>169</v>
      </c>
      <c r="AU1211" s="10" t="s">
        <v>169</v>
      </c>
      <c r="AV1211" s="10">
        <v>0</v>
      </c>
      <c r="AX1211" s="10" t="s">
        <v>169</v>
      </c>
      <c r="BF1211" s="12">
        <v>0.55000000000000004</v>
      </c>
      <c r="BG1211" s="13">
        <v>454.34717026210302</v>
      </c>
      <c r="BH1211" s="96" t="str">
        <f>+VLOOKUP(G1211,Liste!$A$7:$G$50,3,FALSE)</f>
        <v>Chêne sessile</v>
      </c>
      <c r="BI1211" s="96" t="str">
        <f>+VLOOKUP(H1211,Liste!$B$7:$G$50,5,FALSE)</f>
        <v>Guide chênaie continentale</v>
      </c>
      <c r="BJ1211" s="135">
        <f t="shared" si="360"/>
        <v>112</v>
      </c>
      <c r="BK1211" s="135" t="str">
        <f t="shared" si="362"/>
        <v>Chêne sessile_F1_Dynamique_Guide chênaie continentale_112_</v>
      </c>
      <c r="BL1211" s="322"/>
      <c r="BM1211" s="13">
        <v>109.564101092154</v>
      </c>
      <c r="BN1211" s="13">
        <v>563.911271354257</v>
      </c>
      <c r="BO1211" s="13" t="s">
        <v>169</v>
      </c>
      <c r="BP1211" s="13">
        <v>345.74943247867299</v>
      </c>
      <c r="BQ1211" s="13">
        <v>12.127139675516799</v>
      </c>
      <c r="BT1211" s="298" t="str">
        <f>+VLOOKUP(G1211,Liste!$A$7:$H$50,8,FALSE)</f>
        <v>Feuillus</v>
      </c>
      <c r="BU1211" s="298">
        <f t="shared" si="363"/>
        <v>1</v>
      </c>
      <c r="BV1211" s="300">
        <f t="shared" si="364"/>
        <v>0</v>
      </c>
      <c r="BW1211" s="321">
        <v>0</v>
      </c>
      <c r="BX1211" s="298">
        <f t="shared" si="365"/>
        <v>0.25</v>
      </c>
      <c r="BY1211">
        <f t="shared" si="366"/>
        <v>0</v>
      </c>
      <c r="BZ1211" s="304">
        <f t="shared" si="367"/>
        <v>0</v>
      </c>
      <c r="CB1211" s="299">
        <v>0.6</v>
      </c>
      <c r="CC1211" s="299">
        <v>0.4</v>
      </c>
      <c r="CD1211">
        <f t="shared" si="368"/>
        <v>0</v>
      </c>
      <c r="CE1211">
        <f t="shared" si="369"/>
        <v>0</v>
      </c>
      <c r="CF1211">
        <f t="shared" si="370"/>
        <v>0</v>
      </c>
      <c r="CG1211">
        <f t="shared" si="371"/>
        <v>0</v>
      </c>
      <c r="CH1211">
        <f t="shared" si="372"/>
        <v>0</v>
      </c>
      <c r="CI1211">
        <f t="shared" si="373"/>
        <v>0</v>
      </c>
      <c r="CJ1211">
        <f t="shared" si="374"/>
        <v>0</v>
      </c>
      <c r="CK1211">
        <f t="shared" si="375"/>
        <v>0</v>
      </c>
      <c r="CL1211">
        <f t="shared" si="376"/>
        <v>0</v>
      </c>
      <c r="CM1211">
        <f t="shared" si="378"/>
        <v>0</v>
      </c>
      <c r="CN1211">
        <f t="shared" si="377"/>
        <v>0</v>
      </c>
      <c r="CO1211">
        <f t="shared" si="361"/>
        <v>0</v>
      </c>
    </row>
    <row r="1212" spans="1:93" x14ac:dyDescent="0.25">
      <c r="A1212" s="4">
        <v>2021</v>
      </c>
      <c r="B1212" s="318">
        <v>44279</v>
      </c>
      <c r="C1212" s="4" t="s">
        <v>66</v>
      </c>
      <c r="D1212" s="4" t="s">
        <v>1504</v>
      </c>
      <c r="E1212" s="4" t="s">
        <v>87</v>
      </c>
      <c r="F1212" s="4" t="s">
        <v>90</v>
      </c>
      <c r="G1212" s="5" t="s">
        <v>17</v>
      </c>
      <c r="H1212" s="5" t="s">
        <v>22</v>
      </c>
      <c r="I1212" s="5" t="s">
        <v>146</v>
      </c>
      <c r="J1212" s="5" t="s">
        <v>9</v>
      </c>
      <c r="K1212" s="5">
        <v>21.5</v>
      </c>
      <c r="L1212" s="5" t="s">
        <v>194</v>
      </c>
      <c r="M1212" s="5">
        <v>1666</v>
      </c>
      <c r="N1212" s="5" t="s">
        <v>170</v>
      </c>
      <c r="O1212" s="6" t="s">
        <v>81</v>
      </c>
      <c r="P1212" s="6" t="s">
        <v>1505</v>
      </c>
      <c r="S1212" s="6">
        <v>35</v>
      </c>
      <c r="T1212" s="6">
        <v>16.59</v>
      </c>
      <c r="U1212" s="6">
        <v>1453</v>
      </c>
      <c r="V1212" s="6">
        <v>26.19</v>
      </c>
      <c r="W1212" s="6">
        <v>41</v>
      </c>
      <c r="X1212" s="6">
        <v>369</v>
      </c>
      <c r="Y1212" s="6">
        <v>713</v>
      </c>
      <c r="Z1212" s="6">
        <v>301</v>
      </c>
      <c r="AA1212" s="6">
        <v>28</v>
      </c>
      <c r="AB1212" s="6">
        <v>0</v>
      </c>
      <c r="AC1212" s="7">
        <v>115</v>
      </c>
      <c r="AD1212" s="7" t="s">
        <v>52</v>
      </c>
      <c r="AE1212" s="7">
        <v>34.49</v>
      </c>
      <c r="AF1212" s="7">
        <v>66</v>
      </c>
      <c r="AG1212" s="7">
        <v>24.6</v>
      </c>
      <c r="AH1212" s="7">
        <v>68.900000000000006</v>
      </c>
      <c r="AI1212" s="7">
        <v>68.900000000000006</v>
      </c>
      <c r="AJ1212" s="9">
        <v>423.03803839998398</v>
      </c>
      <c r="AK1212" s="9">
        <v>476.95186188860998</v>
      </c>
      <c r="AL1212" s="9">
        <v>506.199329654152</v>
      </c>
      <c r="AM1212" s="9">
        <v>76.623328597834799</v>
      </c>
      <c r="AN1212" s="9">
        <v>0.66628981389421604</v>
      </c>
      <c r="AO1212" s="9">
        <v>0.41851802922979398</v>
      </c>
      <c r="AP1212" s="9">
        <v>1235.4813069133099</v>
      </c>
      <c r="AQ1212" s="9">
        <v>10.7433157122897</v>
      </c>
      <c r="AR1212" s="9">
        <v>10.9145180558771</v>
      </c>
      <c r="AS1212" s="8" t="s">
        <v>169</v>
      </c>
      <c r="AT1212" s="8" t="s">
        <v>169</v>
      </c>
      <c r="AU1212" s="10" t="s">
        <v>169</v>
      </c>
      <c r="AV1212" s="10">
        <v>0</v>
      </c>
      <c r="AX1212" s="10" t="s">
        <v>169</v>
      </c>
      <c r="BF1212" s="12">
        <v>0.55000000000000004</v>
      </c>
      <c r="BG1212" s="13">
        <v>484.89677453120601</v>
      </c>
      <c r="BH1212" s="96" t="str">
        <f>+VLOOKUP(G1212,Liste!$A$7:$G$50,3,FALSE)</f>
        <v>Chêne sessile</v>
      </c>
      <c r="BI1212" s="96" t="str">
        <f>+VLOOKUP(H1212,Liste!$B$7:$G$50,5,FALSE)</f>
        <v>Guide chênaie continentale</v>
      </c>
      <c r="BJ1212" s="135">
        <f t="shared" si="360"/>
        <v>115</v>
      </c>
      <c r="BK1212" s="135" t="str">
        <f t="shared" si="362"/>
        <v>Chêne sessile_F1_Dynamique_Guide chênaie continentale_115_</v>
      </c>
      <c r="BL1212" s="322"/>
      <c r="BM1212" s="13">
        <v>116.048655389725</v>
      </c>
      <c r="BN1212" s="13">
        <v>600.94542992093102</v>
      </c>
      <c r="BO1212" s="13" t="s">
        <v>169</v>
      </c>
      <c r="BP1212" s="13">
        <v>345.74943247867299</v>
      </c>
      <c r="BQ1212" s="13">
        <v>12.4439917333262</v>
      </c>
      <c r="BT1212" s="298" t="str">
        <f>+VLOOKUP(G1212,Liste!$A$7:$H$50,8,FALSE)</f>
        <v>Feuillus</v>
      </c>
      <c r="BU1212" s="298">
        <f t="shared" si="363"/>
        <v>1</v>
      </c>
      <c r="BV1212" s="300">
        <f t="shared" si="364"/>
        <v>0</v>
      </c>
      <c r="BW1212" s="321">
        <v>0</v>
      </c>
      <c r="BX1212" s="298">
        <f t="shared" si="365"/>
        <v>0.25</v>
      </c>
      <c r="BY1212">
        <f t="shared" si="366"/>
        <v>0</v>
      </c>
      <c r="BZ1212" s="304">
        <f t="shared" si="367"/>
        <v>0</v>
      </c>
      <c r="CB1212" s="299">
        <v>0.6</v>
      </c>
      <c r="CC1212" s="299">
        <v>0.4</v>
      </c>
      <c r="CD1212">
        <f t="shared" si="368"/>
        <v>0</v>
      </c>
      <c r="CE1212">
        <f t="shared" si="369"/>
        <v>0</v>
      </c>
      <c r="CF1212">
        <f t="shared" si="370"/>
        <v>0</v>
      </c>
      <c r="CG1212">
        <f t="shared" si="371"/>
        <v>0</v>
      </c>
      <c r="CH1212">
        <f t="shared" si="372"/>
        <v>0</v>
      </c>
      <c r="CI1212">
        <f t="shared" si="373"/>
        <v>0</v>
      </c>
      <c r="CJ1212">
        <f t="shared" si="374"/>
        <v>0</v>
      </c>
      <c r="CK1212">
        <f t="shared" si="375"/>
        <v>0</v>
      </c>
      <c r="CL1212">
        <f t="shared" si="376"/>
        <v>0</v>
      </c>
      <c r="CM1212">
        <f t="shared" si="378"/>
        <v>0</v>
      </c>
      <c r="CN1212">
        <f t="shared" si="377"/>
        <v>0</v>
      </c>
      <c r="CO1212">
        <f t="shared" si="361"/>
        <v>0</v>
      </c>
    </row>
    <row r="1213" spans="1:93" x14ac:dyDescent="0.25">
      <c r="A1213" s="4">
        <v>2021</v>
      </c>
      <c r="B1213" s="318">
        <v>44279</v>
      </c>
      <c r="C1213" s="4" t="s">
        <v>66</v>
      </c>
      <c r="D1213" s="4" t="s">
        <v>1504</v>
      </c>
      <c r="E1213" s="4" t="s">
        <v>87</v>
      </c>
      <c r="F1213" s="4" t="s">
        <v>90</v>
      </c>
      <c r="G1213" s="5" t="s">
        <v>17</v>
      </c>
      <c r="H1213" s="5" t="s">
        <v>22</v>
      </c>
      <c r="I1213" s="5" t="s">
        <v>146</v>
      </c>
      <c r="J1213" s="5" t="s">
        <v>9</v>
      </c>
      <c r="K1213" s="5">
        <v>21.5</v>
      </c>
      <c r="L1213" s="5" t="s">
        <v>194</v>
      </c>
      <c r="M1213" s="5">
        <v>1666</v>
      </c>
      <c r="N1213" s="5" t="s">
        <v>170</v>
      </c>
      <c r="O1213" s="6" t="s">
        <v>81</v>
      </c>
      <c r="P1213" s="6" t="s">
        <v>1505</v>
      </c>
      <c r="S1213" s="6">
        <v>35</v>
      </c>
      <c r="T1213" s="6">
        <v>16.59</v>
      </c>
      <c r="U1213" s="6">
        <v>1453</v>
      </c>
      <c r="V1213" s="6">
        <v>26.19</v>
      </c>
      <c r="W1213" s="6">
        <v>41</v>
      </c>
      <c r="X1213" s="6">
        <v>369</v>
      </c>
      <c r="Y1213" s="6">
        <v>713</v>
      </c>
      <c r="Z1213" s="6">
        <v>301</v>
      </c>
      <c r="AA1213" s="6">
        <v>28</v>
      </c>
      <c r="AB1213" s="6">
        <v>0</v>
      </c>
      <c r="AC1213" s="7">
        <v>119</v>
      </c>
      <c r="AD1213" s="7" t="s">
        <v>52</v>
      </c>
      <c r="AE1213" s="7">
        <v>35.090000000000003</v>
      </c>
      <c r="AF1213" s="7">
        <v>66</v>
      </c>
      <c r="AG1213" s="7">
        <v>26.28</v>
      </c>
      <c r="AH1213" s="7">
        <v>71.2</v>
      </c>
      <c r="AI1213" s="7">
        <v>71.2</v>
      </c>
      <c r="AJ1213" s="9">
        <v>459.90107959199503</v>
      </c>
      <c r="AK1213" s="9">
        <v>518.80453767381402</v>
      </c>
      <c r="AL1213" s="9">
        <v>549.857401877661</v>
      </c>
      <c r="AM1213" s="9">
        <v>78.297400714754005</v>
      </c>
      <c r="AN1213" s="9">
        <v>0.65796135054415095</v>
      </c>
      <c r="AO1213" s="9">
        <v>0.235711061788002</v>
      </c>
      <c r="AP1213" s="9">
        <v>1279.13937913682</v>
      </c>
      <c r="AQ1213" s="9">
        <v>10.7490704129145</v>
      </c>
      <c r="AR1213" s="9">
        <v>5.9103454429768503</v>
      </c>
      <c r="AS1213" s="8" t="s">
        <v>169</v>
      </c>
      <c r="AT1213" s="8" t="s">
        <v>169</v>
      </c>
      <c r="AU1213" s="10" t="s">
        <v>169</v>
      </c>
      <c r="AV1213" s="10">
        <v>0</v>
      </c>
      <c r="AX1213" s="10" t="s">
        <v>169</v>
      </c>
      <c r="BF1213" s="12">
        <v>0.55000000000000004</v>
      </c>
      <c r="BG1213" s="13">
        <v>526.71756954864304</v>
      </c>
      <c r="BH1213" s="96" t="str">
        <f>+VLOOKUP(G1213,Liste!$A$7:$G$50,3,FALSE)</f>
        <v>Chêne sessile</v>
      </c>
      <c r="BI1213" s="96" t="str">
        <f>+VLOOKUP(H1213,Liste!$B$7:$G$50,5,FALSE)</f>
        <v>Guide chênaie continentale</v>
      </c>
      <c r="BJ1213" s="135">
        <f t="shared" si="360"/>
        <v>119</v>
      </c>
      <c r="BK1213" s="135" t="str">
        <f t="shared" si="362"/>
        <v>Chêne sessile_F1_Dynamique_Guide chênaie continentale_119_</v>
      </c>
      <c r="BL1213" s="322"/>
      <c r="BM1213" s="13">
        <v>124.84942433817901</v>
      </c>
      <c r="BN1213" s="13">
        <v>651.56699388682205</v>
      </c>
      <c r="BO1213" s="13" t="s">
        <v>169</v>
      </c>
      <c r="BP1213" s="13">
        <v>345.74943247867299</v>
      </c>
      <c r="BQ1213" s="13">
        <v>6.7352633590186297</v>
      </c>
      <c r="BT1213" s="298" t="str">
        <f>+VLOOKUP(G1213,Liste!$A$7:$H$50,8,FALSE)</f>
        <v>Feuillus</v>
      </c>
      <c r="BU1213" s="298">
        <f t="shared" si="363"/>
        <v>1</v>
      </c>
      <c r="BV1213" s="300">
        <f t="shared" si="364"/>
        <v>0</v>
      </c>
      <c r="BW1213" s="321">
        <v>0</v>
      </c>
      <c r="BX1213" s="298">
        <f t="shared" si="365"/>
        <v>0.25</v>
      </c>
      <c r="BY1213">
        <f t="shared" si="366"/>
        <v>0</v>
      </c>
      <c r="BZ1213" s="304">
        <f t="shared" si="367"/>
        <v>0</v>
      </c>
      <c r="CB1213" s="299">
        <v>0.6</v>
      </c>
      <c r="CC1213" s="299">
        <v>0.4</v>
      </c>
      <c r="CD1213">
        <f t="shared" si="368"/>
        <v>0</v>
      </c>
      <c r="CE1213">
        <f t="shared" si="369"/>
        <v>0</v>
      </c>
      <c r="CF1213">
        <f t="shared" si="370"/>
        <v>0</v>
      </c>
      <c r="CG1213">
        <f t="shared" si="371"/>
        <v>0</v>
      </c>
      <c r="CH1213">
        <f t="shared" si="372"/>
        <v>0</v>
      </c>
      <c r="CI1213">
        <f t="shared" si="373"/>
        <v>0</v>
      </c>
      <c r="CJ1213">
        <f t="shared" si="374"/>
        <v>0</v>
      </c>
      <c r="CK1213">
        <f t="shared" si="375"/>
        <v>0</v>
      </c>
      <c r="CL1213">
        <f t="shared" si="376"/>
        <v>0</v>
      </c>
      <c r="CM1213">
        <f t="shared" si="378"/>
        <v>0</v>
      </c>
      <c r="CN1213">
        <f t="shared" si="377"/>
        <v>0</v>
      </c>
      <c r="CO1213">
        <f t="shared" si="361"/>
        <v>0</v>
      </c>
    </row>
    <row r="1214" spans="1:93" x14ac:dyDescent="0.25">
      <c r="A1214" s="4">
        <v>2021</v>
      </c>
      <c r="B1214" s="318">
        <v>44279</v>
      </c>
      <c r="C1214" s="4" t="s">
        <v>66</v>
      </c>
      <c r="D1214" s="4" t="s">
        <v>1504</v>
      </c>
      <c r="E1214" s="4" t="s">
        <v>87</v>
      </c>
      <c r="F1214" s="4" t="s">
        <v>90</v>
      </c>
      <c r="G1214" s="5" t="s">
        <v>17</v>
      </c>
      <c r="H1214" s="5" t="s">
        <v>22</v>
      </c>
      <c r="I1214" s="5" t="s">
        <v>146</v>
      </c>
      <c r="J1214" s="5" t="s">
        <v>9</v>
      </c>
      <c r="K1214" s="5">
        <v>21.5</v>
      </c>
      <c r="L1214" s="5" t="s">
        <v>194</v>
      </c>
      <c r="M1214" s="5">
        <v>1666</v>
      </c>
      <c r="N1214" s="5" t="s">
        <v>170</v>
      </c>
      <c r="O1214" s="6" t="s">
        <v>81</v>
      </c>
      <c r="P1214" s="6" t="s">
        <v>1505</v>
      </c>
      <c r="S1214" s="6">
        <v>35</v>
      </c>
      <c r="T1214" s="6">
        <v>16.59</v>
      </c>
      <c r="U1214" s="6">
        <v>1453</v>
      </c>
      <c r="V1214" s="6">
        <v>26.19</v>
      </c>
      <c r="W1214" s="6">
        <v>41</v>
      </c>
      <c r="X1214" s="6">
        <v>369</v>
      </c>
      <c r="Y1214" s="6">
        <v>713</v>
      </c>
      <c r="Z1214" s="6">
        <v>301</v>
      </c>
      <c r="AA1214" s="6">
        <v>28</v>
      </c>
      <c r="AB1214" s="6">
        <v>0</v>
      </c>
      <c r="AC1214" s="7">
        <v>119</v>
      </c>
      <c r="AD1214" s="7" t="s">
        <v>53</v>
      </c>
      <c r="AE1214" s="7">
        <v>35.090000000000003</v>
      </c>
      <c r="AF1214" s="7">
        <v>39</v>
      </c>
      <c r="AG1214" s="7">
        <v>15.13</v>
      </c>
      <c r="AH1214" s="7">
        <v>70.28</v>
      </c>
      <c r="AI1214" s="7">
        <v>70.28</v>
      </c>
      <c r="AJ1214" s="9">
        <v>264.76735649797899</v>
      </c>
      <c r="AK1214" s="9">
        <v>298.36787618421999</v>
      </c>
      <c r="AL1214" s="9">
        <v>316.25212079963097</v>
      </c>
      <c r="AM1214" s="9">
        <v>78.297400714754005</v>
      </c>
      <c r="AN1214" s="9">
        <v>0.65796135054415095</v>
      </c>
      <c r="AO1214" s="9">
        <v>0.235711061788002</v>
      </c>
      <c r="AP1214" s="9">
        <v>1279.13937913682</v>
      </c>
      <c r="AQ1214" s="9">
        <v>10.7490704129145</v>
      </c>
      <c r="AR1214" s="9">
        <v>5.9103454429768503</v>
      </c>
      <c r="AS1214" s="8">
        <v>27</v>
      </c>
      <c r="AT1214" s="8">
        <v>11.15</v>
      </c>
      <c r="AU1214" s="10">
        <v>72.512121397422021</v>
      </c>
      <c r="AV1214" s="10">
        <v>195.13372309401603</v>
      </c>
      <c r="AW1214" s="8">
        <v>1.04</v>
      </c>
      <c r="AX1214" s="10">
        <v>7.227174929408001</v>
      </c>
      <c r="BF1214" s="12">
        <v>0.55000000000000004</v>
      </c>
      <c r="BG1214" s="13">
        <v>302.94317738264601</v>
      </c>
      <c r="BH1214" s="96" t="str">
        <f>+VLOOKUP(G1214,Liste!$A$7:$G$50,3,FALSE)</f>
        <v>Chêne sessile</v>
      </c>
      <c r="BI1214" s="96" t="str">
        <f>+VLOOKUP(H1214,Liste!$B$7:$G$50,5,FALSE)</f>
        <v>Guide chênaie continentale</v>
      </c>
      <c r="BJ1214" s="135">
        <f t="shared" si="360"/>
        <v>119</v>
      </c>
      <c r="BK1214" s="135" t="str">
        <f t="shared" si="362"/>
        <v>Chêne sessile_F1_Dynamique_Guide chênaie continentale_119_</v>
      </c>
      <c r="BL1214" s="322"/>
      <c r="BM1214" s="13">
        <v>76.582780587907095</v>
      </c>
      <c r="BN1214" s="13">
        <v>379.52595797055301</v>
      </c>
      <c r="BO1214" s="13">
        <v>272.04103591626904</v>
      </c>
      <c r="BP1214" s="13">
        <v>345.74943247867299</v>
      </c>
      <c r="BQ1214" s="13">
        <v>6.7352633590186297</v>
      </c>
      <c r="BT1214" s="298" t="str">
        <f>+VLOOKUP(G1214,Liste!$A$7:$H$50,8,FALSE)</f>
        <v>Feuillus</v>
      </c>
      <c r="BU1214" s="298">
        <f t="shared" si="363"/>
        <v>1</v>
      </c>
      <c r="BV1214" s="300">
        <f t="shared" si="364"/>
        <v>0</v>
      </c>
      <c r="BW1214" s="321">
        <v>0</v>
      </c>
      <c r="BX1214" s="298">
        <f t="shared" si="365"/>
        <v>0.25</v>
      </c>
      <c r="BY1214">
        <f t="shared" si="366"/>
        <v>0</v>
      </c>
      <c r="BZ1214" s="304">
        <f t="shared" si="367"/>
        <v>0</v>
      </c>
      <c r="CB1214" s="299">
        <v>0.6</v>
      </c>
      <c r="CC1214" s="299">
        <v>0.4</v>
      </c>
      <c r="CD1214">
        <f t="shared" si="368"/>
        <v>0</v>
      </c>
      <c r="CE1214">
        <f t="shared" si="369"/>
        <v>0</v>
      </c>
      <c r="CF1214">
        <f t="shared" si="370"/>
        <v>0</v>
      </c>
      <c r="CG1214">
        <f t="shared" si="371"/>
        <v>0</v>
      </c>
      <c r="CH1214">
        <f t="shared" si="372"/>
        <v>0</v>
      </c>
      <c r="CI1214">
        <f t="shared" si="373"/>
        <v>0</v>
      </c>
      <c r="CJ1214">
        <f t="shared" si="374"/>
        <v>0</v>
      </c>
      <c r="CK1214">
        <f t="shared" si="375"/>
        <v>0</v>
      </c>
      <c r="CL1214">
        <f t="shared" si="376"/>
        <v>0</v>
      </c>
      <c r="CM1214">
        <f t="shared" si="378"/>
        <v>0</v>
      </c>
      <c r="CN1214">
        <f t="shared" si="377"/>
        <v>0</v>
      </c>
      <c r="CO1214">
        <f t="shared" si="361"/>
        <v>0</v>
      </c>
    </row>
    <row r="1215" spans="1:93" x14ac:dyDescent="0.25">
      <c r="A1215" s="4">
        <v>2021</v>
      </c>
      <c r="B1215" s="318">
        <v>44279</v>
      </c>
      <c r="C1215" s="4" t="s">
        <v>66</v>
      </c>
      <c r="D1215" s="4" t="s">
        <v>1504</v>
      </c>
      <c r="E1215" s="4" t="s">
        <v>87</v>
      </c>
      <c r="F1215" s="4" t="s">
        <v>90</v>
      </c>
      <c r="G1215" s="5" t="s">
        <v>17</v>
      </c>
      <c r="H1215" s="5" t="s">
        <v>22</v>
      </c>
      <c r="I1215" s="5" t="s">
        <v>146</v>
      </c>
      <c r="J1215" s="5" t="s">
        <v>9</v>
      </c>
      <c r="K1215" s="5">
        <v>21.5</v>
      </c>
      <c r="L1215" s="5" t="s">
        <v>194</v>
      </c>
      <c r="M1215" s="5">
        <v>1666</v>
      </c>
      <c r="N1215" s="5" t="s">
        <v>170</v>
      </c>
      <c r="O1215" s="6" t="s">
        <v>81</v>
      </c>
      <c r="P1215" s="6" t="s">
        <v>1505</v>
      </c>
      <c r="S1215" s="6">
        <v>35</v>
      </c>
      <c r="T1215" s="6">
        <v>16.59</v>
      </c>
      <c r="U1215" s="6">
        <v>1453</v>
      </c>
      <c r="V1215" s="6">
        <v>26.19</v>
      </c>
      <c r="W1215" s="6">
        <v>41</v>
      </c>
      <c r="X1215" s="6">
        <v>369</v>
      </c>
      <c r="Y1215" s="6">
        <v>713</v>
      </c>
      <c r="Z1215" s="6">
        <v>301</v>
      </c>
      <c r="AA1215" s="6">
        <v>28</v>
      </c>
      <c r="AB1215" s="6">
        <v>0</v>
      </c>
      <c r="AC1215" s="7">
        <v>123</v>
      </c>
      <c r="AD1215" s="7" t="s">
        <v>52</v>
      </c>
      <c r="AE1215" s="7">
        <v>35.46</v>
      </c>
      <c r="AF1215" s="7">
        <v>39</v>
      </c>
      <c r="AG1215" s="7">
        <v>16.07</v>
      </c>
      <c r="AH1215" s="7">
        <v>72.430000000000007</v>
      </c>
      <c r="AI1215" s="7">
        <v>72.430000000000007</v>
      </c>
      <c r="AJ1215" s="9">
        <v>284.39025895998998</v>
      </c>
      <c r="AK1215" s="9">
        <v>320.97454409539102</v>
      </c>
      <c r="AL1215" s="9">
        <v>339.89350257153802</v>
      </c>
      <c r="AM1215" s="9">
        <v>79.240244961906001</v>
      </c>
      <c r="AN1215" s="9">
        <v>0.64422963383663401</v>
      </c>
      <c r="AO1215" s="9">
        <v>0.15081424253119699</v>
      </c>
      <c r="AP1215" s="9">
        <v>1302.7807609087299</v>
      </c>
      <c r="AQ1215" s="9">
        <v>10.591713503323</v>
      </c>
      <c r="AR1215" s="9">
        <v>3.6841907536853</v>
      </c>
      <c r="AS1215" s="8" t="s">
        <v>169</v>
      </c>
      <c r="AT1215" s="8" t="s">
        <v>169</v>
      </c>
      <c r="AU1215" s="10" t="s">
        <v>169</v>
      </c>
      <c r="AV1215" s="10">
        <v>0</v>
      </c>
      <c r="AX1215" s="10" t="s">
        <v>169</v>
      </c>
      <c r="BF1215" s="12">
        <v>0.55000000000000004</v>
      </c>
      <c r="BG1215" s="13">
        <v>325.58965100498602</v>
      </c>
      <c r="BH1215" s="96" t="str">
        <f>+VLOOKUP(G1215,Liste!$A$7:$G$50,3,FALSE)</f>
        <v>Chêne sessile</v>
      </c>
      <c r="BI1215" s="96" t="str">
        <f>+VLOOKUP(H1215,Liste!$B$7:$G$50,5,FALSE)</f>
        <v>Guide chênaie continentale</v>
      </c>
      <c r="BJ1215" s="135">
        <f t="shared" si="360"/>
        <v>123</v>
      </c>
      <c r="BK1215" s="135" t="str">
        <f t="shared" si="362"/>
        <v>Chêne sessile_F1_Dynamique_Guide chênaie continentale_123_</v>
      </c>
      <c r="BL1215" s="322"/>
      <c r="BM1215" s="13">
        <v>81.619913619979201</v>
      </c>
      <c r="BN1215" s="13">
        <v>407.20956462496503</v>
      </c>
      <c r="BO1215" s="13" t="s">
        <v>169</v>
      </c>
      <c r="BP1215" s="13">
        <v>345.74943247867299</v>
      </c>
      <c r="BQ1215" s="13">
        <v>4.1972509333340904</v>
      </c>
      <c r="BT1215" s="298" t="str">
        <f>+VLOOKUP(G1215,Liste!$A$7:$H$50,8,FALSE)</f>
        <v>Feuillus</v>
      </c>
      <c r="BU1215" s="298">
        <f t="shared" si="363"/>
        <v>1</v>
      </c>
      <c r="BV1215" s="300">
        <f t="shared" si="364"/>
        <v>0</v>
      </c>
      <c r="BW1215" s="321">
        <v>0</v>
      </c>
      <c r="BX1215" s="298">
        <f t="shared" si="365"/>
        <v>0.25</v>
      </c>
      <c r="BY1215">
        <f t="shared" si="366"/>
        <v>0</v>
      </c>
      <c r="BZ1215" s="304">
        <f t="shared" si="367"/>
        <v>0</v>
      </c>
      <c r="CB1215" s="299">
        <v>0.6</v>
      </c>
      <c r="CC1215" s="299">
        <v>0.4</v>
      </c>
      <c r="CD1215">
        <f t="shared" si="368"/>
        <v>0</v>
      </c>
      <c r="CE1215">
        <f t="shared" si="369"/>
        <v>0</v>
      </c>
      <c r="CF1215">
        <f t="shared" si="370"/>
        <v>0</v>
      </c>
      <c r="CG1215">
        <f t="shared" si="371"/>
        <v>0</v>
      </c>
      <c r="CH1215">
        <f t="shared" si="372"/>
        <v>0</v>
      </c>
      <c r="CI1215">
        <f t="shared" si="373"/>
        <v>0</v>
      </c>
      <c r="CJ1215">
        <f t="shared" si="374"/>
        <v>0</v>
      </c>
      <c r="CK1215">
        <f t="shared" si="375"/>
        <v>0</v>
      </c>
      <c r="CL1215">
        <f t="shared" si="376"/>
        <v>0</v>
      </c>
      <c r="CM1215">
        <f t="shared" si="378"/>
        <v>0</v>
      </c>
      <c r="CN1215">
        <f t="shared" si="377"/>
        <v>0</v>
      </c>
      <c r="CO1215">
        <f t="shared" si="361"/>
        <v>0</v>
      </c>
    </row>
    <row r="1216" spans="1:93" x14ac:dyDescent="0.25">
      <c r="A1216" s="4">
        <v>2021</v>
      </c>
      <c r="B1216" s="318">
        <v>44279</v>
      </c>
      <c r="C1216" s="4" t="s">
        <v>66</v>
      </c>
      <c r="D1216" s="4" t="s">
        <v>1504</v>
      </c>
      <c r="E1216" s="4" t="s">
        <v>87</v>
      </c>
      <c r="F1216" s="4" t="s">
        <v>90</v>
      </c>
      <c r="G1216" s="5" t="s">
        <v>17</v>
      </c>
      <c r="H1216" s="5" t="s">
        <v>22</v>
      </c>
      <c r="I1216" s="5" t="s">
        <v>146</v>
      </c>
      <c r="J1216" s="5" t="s">
        <v>9</v>
      </c>
      <c r="K1216" s="5">
        <v>21.5</v>
      </c>
      <c r="L1216" s="5" t="s">
        <v>194</v>
      </c>
      <c r="M1216" s="5">
        <v>1666</v>
      </c>
      <c r="N1216" s="5" t="s">
        <v>170</v>
      </c>
      <c r="O1216" s="6" t="s">
        <v>81</v>
      </c>
      <c r="P1216" s="6" t="s">
        <v>1505</v>
      </c>
      <c r="S1216" s="6">
        <v>35</v>
      </c>
      <c r="T1216" s="6">
        <v>16.59</v>
      </c>
      <c r="U1216" s="6">
        <v>1453</v>
      </c>
      <c r="V1216" s="6">
        <v>26.19</v>
      </c>
      <c r="W1216" s="6">
        <v>41</v>
      </c>
      <c r="X1216" s="6">
        <v>369</v>
      </c>
      <c r="Y1216" s="6">
        <v>713</v>
      </c>
      <c r="Z1216" s="6">
        <v>301</v>
      </c>
      <c r="AA1216" s="6">
        <v>28</v>
      </c>
      <c r="AB1216" s="6">
        <v>0</v>
      </c>
      <c r="AC1216" s="7">
        <v>123</v>
      </c>
      <c r="AD1216" s="7" t="s">
        <v>53</v>
      </c>
      <c r="AE1216" s="7">
        <v>35.46</v>
      </c>
      <c r="AF1216" s="7">
        <v>26</v>
      </c>
      <c r="AG1216" s="7">
        <v>10.7</v>
      </c>
      <c r="AH1216" s="7">
        <v>72.39</v>
      </c>
      <c r="AI1216" s="7">
        <v>72.39</v>
      </c>
      <c r="AJ1216" s="9">
        <v>189.32959801464901</v>
      </c>
      <c r="AK1216" s="9">
        <v>213.852672251119</v>
      </c>
      <c r="AL1216" s="9">
        <v>226.44675098746501</v>
      </c>
      <c r="AM1216" s="9">
        <v>79.240244961906001</v>
      </c>
      <c r="AN1216" s="9">
        <v>0.64422963383663401</v>
      </c>
      <c r="AO1216" s="9">
        <v>0.15081424253119699</v>
      </c>
      <c r="AP1216" s="9">
        <v>1302.7807609087299</v>
      </c>
      <c r="AQ1216" s="9">
        <v>10.591713503323</v>
      </c>
      <c r="AR1216" s="9">
        <v>3.6841907536853</v>
      </c>
      <c r="AS1216" s="8">
        <v>13</v>
      </c>
      <c r="AT1216" s="8">
        <v>5.370000000000001</v>
      </c>
      <c r="AU1216" s="10">
        <v>72.522125829229751</v>
      </c>
      <c r="AV1216" s="10">
        <v>95.06066094534097</v>
      </c>
      <c r="AW1216" s="8">
        <v>1</v>
      </c>
      <c r="AX1216" s="10">
        <v>7.3123585342569974</v>
      </c>
      <c r="BF1216" s="12">
        <v>0.55000000000000004</v>
      </c>
      <c r="BG1216" s="13">
        <v>216.91711688340899</v>
      </c>
      <c r="BH1216" s="96" t="str">
        <f>+VLOOKUP(G1216,Liste!$A$7:$G$50,3,FALSE)</f>
        <v>Chêne sessile</v>
      </c>
      <c r="BI1216" s="96" t="str">
        <f>+VLOOKUP(H1216,Liste!$B$7:$G$50,5,FALSE)</f>
        <v>Guide chênaie continentale</v>
      </c>
      <c r="BJ1216" s="135">
        <f t="shared" si="360"/>
        <v>123</v>
      </c>
      <c r="BK1216" s="135" t="str">
        <f t="shared" si="362"/>
        <v>Chêne sessile_F1_Dynamique_Guide chênaie continentale_123_</v>
      </c>
      <c r="BL1216" s="322"/>
      <c r="BM1216" s="13">
        <v>57.009813193419099</v>
      </c>
      <c r="BN1216" s="13">
        <v>273.926930076828</v>
      </c>
      <c r="BO1216" s="13">
        <v>133.28263454813703</v>
      </c>
      <c r="BP1216" s="13">
        <v>345.74943247867299</v>
      </c>
      <c r="BQ1216" s="13">
        <v>4.1972509333340904</v>
      </c>
      <c r="BT1216" s="298" t="str">
        <f>+VLOOKUP(G1216,Liste!$A$7:$H$50,8,FALSE)</f>
        <v>Feuillus</v>
      </c>
      <c r="BU1216" s="298">
        <f t="shared" si="363"/>
        <v>1</v>
      </c>
      <c r="BV1216" s="300">
        <f t="shared" si="364"/>
        <v>0</v>
      </c>
      <c r="BW1216" s="321">
        <v>0</v>
      </c>
      <c r="BX1216" s="298">
        <f t="shared" si="365"/>
        <v>0.25</v>
      </c>
      <c r="BY1216">
        <f t="shared" si="366"/>
        <v>0</v>
      </c>
      <c r="BZ1216" s="304">
        <f t="shared" si="367"/>
        <v>0</v>
      </c>
      <c r="CB1216" s="299">
        <v>0.6</v>
      </c>
      <c r="CC1216" s="299">
        <v>0.4</v>
      </c>
      <c r="CD1216">
        <f t="shared" si="368"/>
        <v>0</v>
      </c>
      <c r="CE1216">
        <f t="shared" si="369"/>
        <v>0</v>
      </c>
      <c r="CF1216">
        <f t="shared" si="370"/>
        <v>0</v>
      </c>
      <c r="CG1216">
        <f t="shared" si="371"/>
        <v>0</v>
      </c>
      <c r="CH1216">
        <f t="shared" si="372"/>
        <v>0</v>
      </c>
      <c r="CI1216">
        <f t="shared" si="373"/>
        <v>0</v>
      </c>
      <c r="CJ1216">
        <f t="shared" si="374"/>
        <v>0</v>
      </c>
      <c r="CK1216">
        <f t="shared" si="375"/>
        <v>0</v>
      </c>
      <c r="CL1216">
        <f t="shared" si="376"/>
        <v>0</v>
      </c>
      <c r="CM1216">
        <f t="shared" si="378"/>
        <v>0</v>
      </c>
      <c r="CN1216">
        <f t="shared" si="377"/>
        <v>0</v>
      </c>
      <c r="CO1216">
        <f t="shared" si="361"/>
        <v>0</v>
      </c>
    </row>
    <row r="1217" spans="1:93" x14ac:dyDescent="0.25">
      <c r="A1217" s="4">
        <v>2021</v>
      </c>
      <c r="B1217" s="318">
        <v>44279</v>
      </c>
      <c r="C1217" s="4" t="s">
        <v>66</v>
      </c>
      <c r="D1217" s="4" t="s">
        <v>1504</v>
      </c>
      <c r="E1217" s="4" t="s">
        <v>87</v>
      </c>
      <c r="F1217" s="4" t="s">
        <v>90</v>
      </c>
      <c r="G1217" s="5" t="s">
        <v>17</v>
      </c>
      <c r="H1217" s="5" t="s">
        <v>22</v>
      </c>
      <c r="I1217" s="5" t="s">
        <v>146</v>
      </c>
      <c r="J1217" s="5" t="s">
        <v>9</v>
      </c>
      <c r="K1217" s="5">
        <v>21.5</v>
      </c>
      <c r="L1217" s="5" t="s">
        <v>194</v>
      </c>
      <c r="M1217" s="5">
        <v>1666</v>
      </c>
      <c r="N1217" s="5" t="s">
        <v>170</v>
      </c>
      <c r="O1217" s="6" t="s">
        <v>81</v>
      </c>
      <c r="P1217" s="6" t="s">
        <v>1505</v>
      </c>
      <c r="S1217" s="6">
        <v>35</v>
      </c>
      <c r="T1217" s="6">
        <v>16.59</v>
      </c>
      <c r="U1217" s="6">
        <v>1453</v>
      </c>
      <c r="V1217" s="6">
        <v>26.19</v>
      </c>
      <c r="W1217" s="6">
        <v>41</v>
      </c>
      <c r="X1217" s="6">
        <v>369</v>
      </c>
      <c r="Y1217" s="6">
        <v>713</v>
      </c>
      <c r="Z1217" s="6">
        <v>301</v>
      </c>
      <c r="AA1217" s="6">
        <v>28</v>
      </c>
      <c r="AB1217" s="6">
        <v>0</v>
      </c>
      <c r="AC1217" s="7">
        <v>127</v>
      </c>
      <c r="AD1217" s="7" t="s">
        <v>52</v>
      </c>
      <c r="AE1217" s="7">
        <v>35.72</v>
      </c>
      <c r="AF1217" s="7">
        <v>26</v>
      </c>
      <c r="AG1217" s="7">
        <v>11.3</v>
      </c>
      <c r="AH1217" s="7">
        <v>74.400000000000006</v>
      </c>
      <c r="AI1217" s="7">
        <v>74.400000000000006</v>
      </c>
      <c r="AJ1217" s="9">
        <v>201.37930736982801</v>
      </c>
      <c r="AK1217" s="9">
        <v>227.920902839635</v>
      </c>
      <c r="AL1217" s="9">
        <v>241.18351400220601</v>
      </c>
      <c r="AM1217" s="9">
        <v>79.843501932030804</v>
      </c>
      <c r="AN1217" s="9">
        <v>0.62868899159079406</v>
      </c>
      <c r="AO1217" s="9">
        <v>9.8339837556682894E-2</v>
      </c>
      <c r="AP1217" s="9">
        <v>1317.51752392347</v>
      </c>
      <c r="AQ1217" s="9">
        <v>10.3741537316809</v>
      </c>
      <c r="AR1217" s="9">
        <v>2.3636902293788999</v>
      </c>
      <c r="AS1217" s="8" t="s">
        <v>169</v>
      </c>
      <c r="AT1217" s="8" t="s">
        <v>169</v>
      </c>
      <c r="AU1217" s="10" t="s">
        <v>169</v>
      </c>
      <c r="AV1217" s="10">
        <v>0</v>
      </c>
      <c r="AX1217" s="10" t="s">
        <v>169</v>
      </c>
      <c r="BF1217" s="12">
        <v>0.55000000000000004</v>
      </c>
      <c r="BG1217" s="13">
        <v>231.03370778794701</v>
      </c>
      <c r="BH1217" s="96" t="str">
        <f>+VLOOKUP(G1217,Liste!$A$7:$G$50,3,FALSE)</f>
        <v>Chêne sessile</v>
      </c>
      <c r="BI1217" s="96" t="str">
        <f>+VLOOKUP(H1217,Liste!$B$7:$G$50,5,FALSE)</f>
        <v>Guide chênaie continentale</v>
      </c>
      <c r="BJ1217" s="135">
        <f t="shared" si="360"/>
        <v>127</v>
      </c>
      <c r="BK1217" s="135" t="str">
        <f t="shared" si="362"/>
        <v>Chêne sessile_F1_Dynamique_Guide chênaie continentale_127_</v>
      </c>
      <c r="BL1217" s="322"/>
      <c r="BM1217" s="13">
        <v>60.275931831536603</v>
      </c>
      <c r="BN1217" s="13">
        <v>291.30963961948299</v>
      </c>
      <c r="BO1217" s="13" t="s">
        <v>169</v>
      </c>
      <c r="BP1217" s="13">
        <v>345.74943247867299</v>
      </c>
      <c r="BQ1217" s="13">
        <v>2.6923991347164198</v>
      </c>
      <c r="BT1217" s="298" t="str">
        <f>+VLOOKUP(G1217,Liste!$A$7:$H$50,8,FALSE)</f>
        <v>Feuillus</v>
      </c>
      <c r="BU1217" s="298">
        <f t="shared" si="363"/>
        <v>1</v>
      </c>
      <c r="BV1217" s="300">
        <f t="shared" si="364"/>
        <v>0</v>
      </c>
      <c r="BW1217" s="321">
        <v>0</v>
      </c>
      <c r="BX1217" s="298">
        <f t="shared" si="365"/>
        <v>0.25</v>
      </c>
      <c r="BY1217">
        <f t="shared" si="366"/>
        <v>0</v>
      </c>
      <c r="BZ1217" s="304">
        <f t="shared" si="367"/>
        <v>0</v>
      </c>
      <c r="CB1217" s="299">
        <v>0.6</v>
      </c>
      <c r="CC1217" s="299">
        <v>0.4</v>
      </c>
      <c r="CD1217">
        <f t="shared" si="368"/>
        <v>0</v>
      </c>
      <c r="CE1217">
        <f t="shared" si="369"/>
        <v>0</v>
      </c>
      <c r="CF1217">
        <f t="shared" si="370"/>
        <v>0</v>
      </c>
      <c r="CG1217">
        <f t="shared" si="371"/>
        <v>0</v>
      </c>
      <c r="CH1217">
        <f t="shared" si="372"/>
        <v>0</v>
      </c>
      <c r="CI1217">
        <f t="shared" si="373"/>
        <v>0</v>
      </c>
      <c r="CJ1217">
        <f t="shared" si="374"/>
        <v>0</v>
      </c>
      <c r="CK1217">
        <f t="shared" si="375"/>
        <v>0</v>
      </c>
      <c r="CL1217">
        <f t="shared" si="376"/>
        <v>0</v>
      </c>
      <c r="CM1217">
        <f t="shared" si="378"/>
        <v>0</v>
      </c>
      <c r="CN1217">
        <f t="shared" si="377"/>
        <v>0</v>
      </c>
      <c r="CO1217">
        <f t="shared" si="361"/>
        <v>0</v>
      </c>
    </row>
    <row r="1218" spans="1:93" x14ac:dyDescent="0.25">
      <c r="A1218" s="4">
        <v>2021</v>
      </c>
      <c r="B1218" s="318">
        <v>44279</v>
      </c>
      <c r="C1218" s="4" t="s">
        <v>66</v>
      </c>
      <c r="D1218" s="4" t="s">
        <v>1504</v>
      </c>
      <c r="E1218" s="4" t="s">
        <v>87</v>
      </c>
      <c r="F1218" s="4" t="s">
        <v>90</v>
      </c>
      <c r="G1218" s="5" t="s">
        <v>17</v>
      </c>
      <c r="H1218" s="5" t="s">
        <v>22</v>
      </c>
      <c r="I1218" s="5" t="s">
        <v>146</v>
      </c>
      <c r="J1218" s="5" t="s">
        <v>9</v>
      </c>
      <c r="K1218" s="5">
        <v>21.5</v>
      </c>
      <c r="L1218" s="5" t="s">
        <v>194</v>
      </c>
      <c r="M1218" s="5">
        <v>1666</v>
      </c>
      <c r="N1218" s="5" t="s">
        <v>170</v>
      </c>
      <c r="O1218" s="6" t="s">
        <v>81</v>
      </c>
      <c r="P1218" s="6" t="s">
        <v>1505</v>
      </c>
      <c r="S1218" s="6">
        <v>35</v>
      </c>
      <c r="T1218" s="6">
        <v>16.59</v>
      </c>
      <c r="U1218" s="6">
        <v>1453</v>
      </c>
      <c r="V1218" s="6">
        <v>26.19</v>
      </c>
      <c r="W1218" s="6">
        <v>41</v>
      </c>
      <c r="X1218" s="6">
        <v>369</v>
      </c>
      <c r="Y1218" s="6">
        <v>713</v>
      </c>
      <c r="Z1218" s="6">
        <v>301</v>
      </c>
      <c r="AA1218" s="6">
        <v>28</v>
      </c>
      <c r="AB1218" s="6">
        <v>0</v>
      </c>
      <c r="AC1218" s="7">
        <v>127</v>
      </c>
      <c r="AD1218" s="7" t="s">
        <v>53</v>
      </c>
      <c r="AE1218" s="7">
        <v>35.72</v>
      </c>
      <c r="AF1218" s="7">
        <v>18</v>
      </c>
      <c r="AG1218" s="7">
        <v>7.63</v>
      </c>
      <c r="AH1218" s="7">
        <v>73.48</v>
      </c>
      <c r="AI1218" s="7">
        <v>73.48</v>
      </c>
      <c r="AJ1218" s="9">
        <v>135.99809962856301</v>
      </c>
      <c r="AK1218" s="9">
        <v>153.85299989003499</v>
      </c>
      <c r="AL1218" s="9">
        <v>162.81095697584499</v>
      </c>
      <c r="AM1218" s="9">
        <v>79.843501932030804</v>
      </c>
      <c r="AN1218" s="9">
        <v>0.62868899159079406</v>
      </c>
      <c r="AO1218" s="9">
        <v>9.8339837556682894E-2</v>
      </c>
      <c r="AP1218" s="9">
        <v>1317.51752392347</v>
      </c>
      <c r="AQ1218" s="9">
        <v>10.3741537316809</v>
      </c>
      <c r="AR1218" s="9">
        <v>2.3636902293788999</v>
      </c>
      <c r="AS1218" s="8">
        <v>8</v>
      </c>
      <c r="AT1218" s="8">
        <v>3.6700000000000008</v>
      </c>
      <c r="AU1218" s="10">
        <v>76.426346317697025</v>
      </c>
      <c r="AV1218" s="10">
        <v>65.381207741265001</v>
      </c>
      <c r="AW1218" s="8">
        <v>1.06</v>
      </c>
      <c r="AX1218" s="10">
        <v>8.1726509676581252</v>
      </c>
      <c r="BF1218" s="12">
        <v>0.55000000000000004</v>
      </c>
      <c r="BG1218" s="13">
        <v>155.959329203111</v>
      </c>
      <c r="BH1218" s="96" t="str">
        <f>+VLOOKUP(G1218,Liste!$A$7:$G$50,3,FALSE)</f>
        <v>Chêne sessile</v>
      </c>
      <c r="BI1218" s="96" t="str">
        <f>+VLOOKUP(H1218,Liste!$B$7:$G$50,5,FALSE)</f>
        <v>Guide chênaie continentale</v>
      </c>
      <c r="BJ1218" s="135">
        <f t="shared" si="360"/>
        <v>127</v>
      </c>
      <c r="BK1218" s="135" t="str">
        <f t="shared" si="362"/>
        <v>Chêne sessile_F1_Dynamique_Guide chênaie continentale_127_</v>
      </c>
      <c r="BL1218" s="322"/>
      <c r="BM1218" s="13">
        <v>42.593686687782501</v>
      </c>
      <c r="BN1218" s="13">
        <v>198.55301589089399</v>
      </c>
      <c r="BO1218" s="13">
        <v>92.756623728589005</v>
      </c>
      <c r="BP1218" s="13">
        <v>345.74943247867299</v>
      </c>
      <c r="BQ1218" s="13">
        <v>2.6923991347164198</v>
      </c>
      <c r="BT1218" s="298" t="str">
        <f>+VLOOKUP(G1218,Liste!$A$7:$H$50,8,FALSE)</f>
        <v>Feuillus</v>
      </c>
      <c r="BU1218" s="298">
        <f t="shared" si="363"/>
        <v>1</v>
      </c>
      <c r="BV1218" s="300">
        <f t="shared" si="364"/>
        <v>0</v>
      </c>
      <c r="BW1218" s="321">
        <v>0</v>
      </c>
      <c r="BX1218" s="298">
        <f t="shared" si="365"/>
        <v>0.25</v>
      </c>
      <c r="BY1218">
        <f t="shared" si="366"/>
        <v>0</v>
      </c>
      <c r="BZ1218" s="304">
        <f t="shared" si="367"/>
        <v>0</v>
      </c>
      <c r="CB1218" s="299">
        <v>0.6</v>
      </c>
      <c r="CC1218" s="299">
        <v>0.4</v>
      </c>
      <c r="CD1218">
        <f t="shared" si="368"/>
        <v>0</v>
      </c>
      <c r="CE1218">
        <f t="shared" si="369"/>
        <v>0</v>
      </c>
      <c r="CF1218">
        <f t="shared" si="370"/>
        <v>0</v>
      </c>
      <c r="CG1218">
        <f t="shared" si="371"/>
        <v>0</v>
      </c>
      <c r="CH1218">
        <f t="shared" si="372"/>
        <v>0</v>
      </c>
      <c r="CI1218">
        <f t="shared" si="373"/>
        <v>0</v>
      </c>
      <c r="CJ1218">
        <f t="shared" si="374"/>
        <v>0</v>
      </c>
      <c r="CK1218">
        <f t="shared" si="375"/>
        <v>0</v>
      </c>
      <c r="CL1218">
        <f t="shared" si="376"/>
        <v>0</v>
      </c>
      <c r="CM1218">
        <f t="shared" si="378"/>
        <v>0</v>
      </c>
      <c r="CN1218">
        <f t="shared" si="377"/>
        <v>0</v>
      </c>
      <c r="CO1218">
        <f t="shared" si="361"/>
        <v>0</v>
      </c>
    </row>
    <row r="1219" spans="1:93" x14ac:dyDescent="0.25">
      <c r="A1219" s="4">
        <v>2021</v>
      </c>
      <c r="B1219" s="318">
        <v>44279</v>
      </c>
      <c r="C1219" s="4" t="s">
        <v>66</v>
      </c>
      <c r="D1219" s="4" t="s">
        <v>1504</v>
      </c>
      <c r="E1219" s="4" t="s">
        <v>87</v>
      </c>
      <c r="F1219" s="4" t="s">
        <v>90</v>
      </c>
      <c r="G1219" s="5" t="s">
        <v>17</v>
      </c>
      <c r="H1219" s="5" t="s">
        <v>22</v>
      </c>
      <c r="I1219" s="5" t="s">
        <v>146</v>
      </c>
      <c r="J1219" s="5" t="s">
        <v>9</v>
      </c>
      <c r="K1219" s="5">
        <v>21.5</v>
      </c>
      <c r="L1219" s="5" t="s">
        <v>194</v>
      </c>
      <c r="M1219" s="5">
        <v>1666</v>
      </c>
      <c r="N1219" s="5" t="s">
        <v>170</v>
      </c>
      <c r="O1219" s="6" t="s">
        <v>81</v>
      </c>
      <c r="P1219" s="6" t="s">
        <v>1505</v>
      </c>
      <c r="S1219" s="6">
        <v>35</v>
      </c>
      <c r="T1219" s="6">
        <v>16.59</v>
      </c>
      <c r="U1219" s="6">
        <v>1453</v>
      </c>
      <c r="V1219" s="6">
        <v>26.19</v>
      </c>
      <c r="W1219" s="6">
        <v>41</v>
      </c>
      <c r="X1219" s="6">
        <v>369</v>
      </c>
      <c r="Y1219" s="6">
        <v>713</v>
      </c>
      <c r="Z1219" s="6">
        <v>301</v>
      </c>
      <c r="AA1219" s="6">
        <v>28</v>
      </c>
      <c r="AB1219" s="6">
        <v>0</v>
      </c>
      <c r="AC1219" s="7">
        <v>131</v>
      </c>
      <c r="AD1219" s="7" t="s">
        <v>52</v>
      </c>
      <c r="AE1219" s="7">
        <v>35.909999999999997</v>
      </c>
      <c r="AF1219" s="7">
        <v>18</v>
      </c>
      <c r="AG1219" s="7">
        <v>8.0299999999999994</v>
      </c>
      <c r="AH1219" s="7">
        <v>75.349999999999994</v>
      </c>
      <c r="AI1219" s="7">
        <v>75.349999999999994</v>
      </c>
      <c r="AJ1219" s="9">
        <v>143.652615970407</v>
      </c>
      <c r="AK1219" s="9">
        <v>162.86956535332999</v>
      </c>
      <c r="AL1219" s="9">
        <v>172.26571789336001</v>
      </c>
      <c r="AM1219" s="9">
        <v>80.236861282257493</v>
      </c>
      <c r="AN1219" s="9">
        <v>0.612495124292042</v>
      </c>
      <c r="AO1219" s="9"/>
      <c r="AP1219" s="9">
        <v>1326.9722848409799</v>
      </c>
      <c r="AQ1219" s="9">
        <v>10.1295594262671</v>
      </c>
      <c r="AS1219" s="8" t="s">
        <v>169</v>
      </c>
      <c r="AT1219" s="8" t="s">
        <v>169</v>
      </c>
      <c r="AU1219" s="10" t="s">
        <v>169</v>
      </c>
      <c r="AV1219" s="10">
        <v>0</v>
      </c>
      <c r="AX1219" s="10" t="s">
        <v>169</v>
      </c>
      <c r="BF1219" s="12">
        <v>0.55000000000000004</v>
      </c>
      <c r="BG1219" s="13">
        <v>165.016202265348</v>
      </c>
      <c r="BH1219" s="96" t="str">
        <f>+VLOOKUP(G1219,Liste!$A$7:$G$50,3,FALSE)</f>
        <v>Chêne sessile</v>
      </c>
      <c r="BI1219" s="96" t="str">
        <f>+VLOOKUP(H1219,Liste!$B$7:$G$50,5,FALSE)</f>
        <v>Guide chênaie continentale</v>
      </c>
      <c r="BJ1219" s="135">
        <f t="shared" ref="BJ1219:BJ1282" si="379">+AC1219</f>
        <v>131</v>
      </c>
      <c r="BK1219" s="135" t="str">
        <f t="shared" si="362"/>
        <v>Chêne sessile_F1_Dynamique_Guide chênaie continentale_131_</v>
      </c>
      <c r="BL1219" s="322"/>
      <c r="BM1219" s="13">
        <v>44.772040568219303</v>
      </c>
      <c r="BN1219" s="13">
        <v>209.78824283356701</v>
      </c>
      <c r="BO1219" s="13" t="s">
        <v>169</v>
      </c>
      <c r="BP1219" s="13">
        <v>345.74943247867299</v>
      </c>
      <c r="BQ1219" s="13"/>
      <c r="BT1219" s="298" t="str">
        <f>+VLOOKUP(G1219,Liste!$A$7:$H$50,8,FALSE)</f>
        <v>Feuillus</v>
      </c>
      <c r="BU1219" s="298">
        <f t="shared" si="363"/>
        <v>1</v>
      </c>
      <c r="BV1219" s="300">
        <f t="shared" si="364"/>
        <v>0</v>
      </c>
      <c r="BW1219" s="321">
        <v>0</v>
      </c>
      <c r="BX1219" s="298">
        <f t="shared" si="365"/>
        <v>0.25</v>
      </c>
      <c r="BY1219">
        <f t="shared" si="366"/>
        <v>0</v>
      </c>
      <c r="BZ1219" s="304">
        <f t="shared" si="367"/>
        <v>0</v>
      </c>
      <c r="CB1219" s="299">
        <v>0.6</v>
      </c>
      <c r="CC1219" s="299">
        <v>0.4</v>
      </c>
      <c r="CD1219">
        <f t="shared" si="368"/>
        <v>0</v>
      </c>
      <c r="CE1219">
        <f t="shared" si="369"/>
        <v>0</v>
      </c>
      <c r="CF1219">
        <f t="shared" si="370"/>
        <v>0</v>
      </c>
      <c r="CG1219">
        <f t="shared" si="371"/>
        <v>0</v>
      </c>
      <c r="CH1219">
        <f t="shared" si="372"/>
        <v>0</v>
      </c>
      <c r="CI1219">
        <f t="shared" si="373"/>
        <v>0</v>
      </c>
      <c r="CJ1219">
        <f t="shared" si="374"/>
        <v>0</v>
      </c>
      <c r="CK1219">
        <f t="shared" si="375"/>
        <v>0</v>
      </c>
      <c r="CL1219">
        <f t="shared" si="376"/>
        <v>0</v>
      </c>
      <c r="CM1219">
        <f t="shared" si="378"/>
        <v>0</v>
      </c>
      <c r="CN1219">
        <f t="shared" si="377"/>
        <v>0</v>
      </c>
      <c r="CO1219">
        <f t="shared" ref="CO1219:CO1282" si="380">+IF(BJ1219=30,CN1219/30,0)</f>
        <v>0</v>
      </c>
    </row>
    <row r="1220" spans="1:93" x14ac:dyDescent="0.25">
      <c r="A1220" s="4">
        <v>2021</v>
      </c>
      <c r="B1220" s="318">
        <v>44279</v>
      </c>
      <c r="C1220" s="4" t="s">
        <v>66</v>
      </c>
      <c r="D1220" s="4" t="s">
        <v>1504</v>
      </c>
      <c r="E1220" s="4" t="s">
        <v>87</v>
      </c>
      <c r="F1220" s="4" t="s">
        <v>90</v>
      </c>
      <c r="G1220" s="5" t="s">
        <v>17</v>
      </c>
      <c r="H1220" s="5" t="s">
        <v>22</v>
      </c>
      <c r="I1220" s="5" t="s">
        <v>146</v>
      </c>
      <c r="J1220" s="5" t="s">
        <v>9</v>
      </c>
      <c r="K1220" s="5">
        <v>21.5</v>
      </c>
      <c r="L1220" s="5" t="s">
        <v>194</v>
      </c>
      <c r="M1220" s="5">
        <v>1666</v>
      </c>
      <c r="N1220" s="5" t="s">
        <v>170</v>
      </c>
      <c r="O1220" s="6" t="s">
        <v>81</v>
      </c>
      <c r="P1220" s="6" t="s">
        <v>1505</v>
      </c>
      <c r="S1220" s="6">
        <v>35</v>
      </c>
      <c r="T1220" s="6">
        <v>16.59</v>
      </c>
      <c r="U1220" s="6">
        <v>1453</v>
      </c>
      <c r="V1220" s="6">
        <v>26.19</v>
      </c>
      <c r="W1220" s="6">
        <v>41</v>
      </c>
      <c r="X1220" s="6">
        <v>369</v>
      </c>
      <c r="Y1220" s="6">
        <v>713</v>
      </c>
      <c r="Z1220" s="6">
        <v>301</v>
      </c>
      <c r="AA1220" s="6">
        <v>28</v>
      </c>
      <c r="AB1220" s="6">
        <v>0</v>
      </c>
      <c r="AC1220" s="7">
        <v>131</v>
      </c>
      <c r="AD1220" s="7" t="s">
        <v>53</v>
      </c>
      <c r="AE1220" s="7">
        <v>35.909999999999997</v>
      </c>
      <c r="AF1220" s="7">
        <v>0</v>
      </c>
      <c r="AG1220" s="7">
        <v>0</v>
      </c>
      <c r="AH1220" s="7">
        <v>0</v>
      </c>
      <c r="AI1220" s="7">
        <v>0</v>
      </c>
      <c r="AJ1220" s="9">
        <v>0</v>
      </c>
      <c r="AK1220" s="9">
        <v>0</v>
      </c>
      <c r="AL1220" s="9">
        <v>0</v>
      </c>
      <c r="AM1220" s="9">
        <v>80.236861282257493</v>
      </c>
      <c r="AN1220" s="9">
        <v>0.612495124292042</v>
      </c>
      <c r="AO1220" s="9"/>
      <c r="AP1220" s="9">
        <v>1326.9722848409799</v>
      </c>
      <c r="AQ1220" s="9">
        <v>10.1295594262671</v>
      </c>
      <c r="AS1220" s="8">
        <v>18</v>
      </c>
      <c r="AT1220" s="8">
        <v>8.0299999999999994</v>
      </c>
      <c r="AU1220" s="10">
        <v>75.366193217676098</v>
      </c>
      <c r="AV1220" s="10">
        <v>143.652615970407</v>
      </c>
      <c r="AW1220" s="8">
        <v>1</v>
      </c>
      <c r="AX1220" s="10">
        <v>7.9807008872448328</v>
      </c>
      <c r="BF1220" s="12">
        <v>0.55000000000000004</v>
      </c>
      <c r="BG1220" s="13">
        <v>0</v>
      </c>
      <c r="BH1220" s="96" t="str">
        <f>+VLOOKUP(G1220,Liste!$A$7:$G$50,3,FALSE)</f>
        <v>Chêne sessile</v>
      </c>
      <c r="BI1220" s="96" t="str">
        <f>+VLOOKUP(H1220,Liste!$B$7:$G$50,5,FALSE)</f>
        <v>Guide chênaie continentale</v>
      </c>
      <c r="BJ1220" s="135">
        <f t="shared" si="379"/>
        <v>131</v>
      </c>
      <c r="BK1220" s="135" t="str">
        <f t="shared" ref="BK1220:BK1283" si="381">+_xlfn.CONCAT(BH1220,"_",J1220,"_",I1220,"_",BI1220,"_",BJ1220,"_")</f>
        <v>Chêne sessile_F1_Dynamique_Guide chênaie continentale_131_</v>
      </c>
      <c r="BL1220" s="322"/>
      <c r="BM1220" s="13">
        <v>0</v>
      </c>
      <c r="BN1220" s="13">
        <v>0</v>
      </c>
      <c r="BO1220" s="13">
        <v>209.78824283356701</v>
      </c>
      <c r="BP1220" s="13">
        <v>345.74943247867299</v>
      </c>
      <c r="BQ1220" s="13"/>
      <c r="BT1220" s="298" t="str">
        <f>+VLOOKUP(G1220,Liste!$A$7:$H$50,8,FALSE)</f>
        <v>Feuillus</v>
      </c>
      <c r="BU1220" s="298">
        <f t="shared" ref="BU1220:BU1283" si="382">IF(BT1220="Résineux",0%,100%)</f>
        <v>1</v>
      </c>
      <c r="BV1220" s="300">
        <f t="shared" ref="BV1220:BV1283" si="383">+IF(BT1220="Résineux",100%,0%)</f>
        <v>0</v>
      </c>
      <c r="BW1220" s="321">
        <v>0</v>
      </c>
      <c r="BX1220" s="298">
        <f t="shared" ref="BX1220:BX1283" si="384">+IF(BV1220&lt;&gt;0,0.43,0.25)</f>
        <v>0.25</v>
      </c>
      <c r="BY1220">
        <f t="shared" ref="BY1220:BY1283" si="385">+IF(BJ1220&lt;=30,AV1220*BX1220,0)</f>
        <v>0</v>
      </c>
      <c r="BZ1220" s="304">
        <f t="shared" ref="BZ1220:BZ1283" si="386">+IF(BJ1220&gt;=31,0,BY1220+BZ1219)</f>
        <v>0</v>
      </c>
      <c r="CB1220" s="299">
        <v>0.6</v>
      </c>
      <c r="CC1220" s="299">
        <v>0.4</v>
      </c>
      <c r="CD1220">
        <f t="shared" ref="CD1220:CD1283" si="387">+IF(BJ1220&lt;=31,AV1220*CA1220*0.5,0)</f>
        <v>0</v>
      </c>
      <c r="CE1220">
        <f t="shared" ref="CE1220:CE1283" si="388">IF(BJ1220&lt;=31,AV1220*CB1220,0)</f>
        <v>0</v>
      </c>
      <c r="CF1220">
        <f t="shared" ref="CF1220:CF1283" si="389">IF(BJ1220&lt;=31,AV1220*CC1220,0)</f>
        <v>0</v>
      </c>
      <c r="CG1220">
        <f t="shared" ref="CG1220:CG1283" si="390">CD1220*44/12*0.475*BF1220</f>
        <v>0</v>
      </c>
      <c r="CH1220">
        <f t="shared" ref="CH1220:CH1283" si="391">CE1220*44/12*0.475*BF1220</f>
        <v>0</v>
      </c>
      <c r="CI1220">
        <f t="shared" ref="CI1220:CI1283" si="392">CF1220*44/12*0.475*BF1220</f>
        <v>0</v>
      </c>
      <c r="CJ1220">
        <f t="shared" ref="CJ1220:CJ1283" si="393">+IF(BJ1220&lt;=31,CJ1219*EXP(-$CJ$1)+CG1219*(1-EXP(-$CJ$1))/$CJ$1,0)</f>
        <v>0</v>
      </c>
      <c r="CK1220">
        <f t="shared" ref="CK1220:CK1283" si="394">+IF(BJ1220&lt;=31,CK1219*EXP(-$CK$1)+CH1219*(1-EXP(-$CK$1))/$CK$1,0)</f>
        <v>0</v>
      </c>
      <c r="CL1220">
        <f t="shared" ref="CL1220:CL1283" si="395">+IF(BJ1220&lt;=31,CL1219*EXP(-$CL$1)+CI1219*(1-EXP(-$CL$1))/$CL$1,0)</f>
        <v>0</v>
      </c>
      <c r="CM1220">
        <f t="shared" si="378"/>
        <v>0</v>
      </c>
      <c r="CN1220">
        <f t="shared" ref="CN1220:CN1283" si="396">+IF(BJ1220&lt;=31,CM1220+CN1219,0)</f>
        <v>0</v>
      </c>
      <c r="CO1220">
        <f t="shared" si="380"/>
        <v>0</v>
      </c>
    </row>
    <row r="1221" spans="1:93" x14ac:dyDescent="0.25">
      <c r="A1221" s="4">
        <v>2021</v>
      </c>
      <c r="B1221" s="318">
        <v>44298</v>
      </c>
      <c r="C1221" s="4" t="s">
        <v>66</v>
      </c>
      <c r="D1221" s="4" t="s">
        <v>1504</v>
      </c>
      <c r="F1221" s="4" t="s">
        <v>90</v>
      </c>
      <c r="G1221" s="5" t="s">
        <v>69</v>
      </c>
      <c r="H1221" s="5" t="s">
        <v>22</v>
      </c>
      <c r="I1221" s="5" t="s">
        <v>146</v>
      </c>
      <c r="J1221" s="5" t="s">
        <v>9</v>
      </c>
      <c r="K1221" s="5">
        <v>26</v>
      </c>
      <c r="L1221" s="5" t="s">
        <v>194</v>
      </c>
      <c r="M1221" s="5">
        <v>1600</v>
      </c>
      <c r="N1221" s="5" t="s">
        <v>170</v>
      </c>
      <c r="O1221" s="6" t="s">
        <v>81</v>
      </c>
      <c r="P1221" s="6" t="s">
        <v>1505</v>
      </c>
      <c r="S1221" s="6">
        <v>31</v>
      </c>
      <c r="T1221" s="6">
        <v>16.22</v>
      </c>
      <c r="U1221" s="6">
        <v>1446</v>
      </c>
      <c r="V1221" s="6">
        <v>21.44</v>
      </c>
      <c r="W1221" s="6">
        <v>65</v>
      </c>
      <c r="X1221" s="6">
        <v>525</v>
      </c>
      <c r="Y1221" s="6">
        <v>696</v>
      </c>
      <c r="Z1221" s="6">
        <v>155</v>
      </c>
      <c r="AA1221" s="6">
        <v>5</v>
      </c>
      <c r="AB1221" s="6">
        <v>0</v>
      </c>
      <c r="AC1221" s="7">
        <v>30</v>
      </c>
      <c r="AD1221" s="7" t="s">
        <v>52</v>
      </c>
      <c r="AJ1221" s="9">
        <v>139.64192968215701</v>
      </c>
      <c r="AK1221" s="9">
        <v>146.93085948565499</v>
      </c>
      <c r="AL1221" s="9">
        <v>192.53431056051301</v>
      </c>
      <c r="AN1221" s="9"/>
      <c r="AO1221" s="9"/>
      <c r="AP1221" s="9"/>
      <c r="AQ1221" s="9"/>
      <c r="AU1221" s="10"/>
      <c r="AV1221" s="10">
        <v>0</v>
      </c>
      <c r="AX1221" s="10"/>
      <c r="BF1221" s="12">
        <v>0.56999999999999995</v>
      </c>
      <c r="BG1221" s="13">
        <v>191.13843680894999</v>
      </c>
      <c r="BH1221" s="96" t="str">
        <f>+VLOOKUP(G1221,Liste!$A$7:$G$50,3,FALSE)</f>
        <v>Chene_pedoncule</v>
      </c>
      <c r="BI1221" s="96" t="str">
        <f>+VLOOKUP(H1221,Liste!$B$7:$G$50,5,FALSE)</f>
        <v>Guide chênaie continentale</v>
      </c>
      <c r="BJ1221" s="135">
        <f t="shared" si="379"/>
        <v>30</v>
      </c>
      <c r="BK1221" s="135" t="str">
        <f t="shared" si="381"/>
        <v>Chene_pedoncule_F1_Dynamique_Guide chênaie continentale_30_</v>
      </c>
      <c r="BL1221" s="322"/>
      <c r="BM1221" s="13">
        <v>50.979962860234501</v>
      </c>
      <c r="BN1221" s="13">
        <v>242.11839966918399</v>
      </c>
      <c r="BP1221" s="13">
        <v>307.101589782742</v>
      </c>
      <c r="BQ1221" s="13"/>
      <c r="BT1221" s="298" t="str">
        <f>+VLOOKUP(G1221,Liste!$A$7:$H$50,8,FALSE)</f>
        <v>Feuillus</v>
      </c>
      <c r="BU1221" s="298">
        <f t="shared" si="382"/>
        <v>1</v>
      </c>
      <c r="BV1221" s="300">
        <f t="shared" si="383"/>
        <v>0</v>
      </c>
      <c r="BW1221" s="321">
        <v>0</v>
      </c>
      <c r="BX1221" s="298">
        <f t="shared" si="384"/>
        <v>0.25</v>
      </c>
      <c r="BY1221">
        <f t="shared" si="385"/>
        <v>0</v>
      </c>
      <c r="BZ1221" s="304">
        <f t="shared" si="386"/>
        <v>0</v>
      </c>
      <c r="CB1221" s="299">
        <v>0.6</v>
      </c>
      <c r="CC1221" s="299">
        <v>0.4</v>
      </c>
      <c r="CD1221">
        <f t="shared" si="387"/>
        <v>0</v>
      </c>
      <c r="CE1221">
        <f t="shared" si="388"/>
        <v>0</v>
      </c>
      <c r="CF1221">
        <f t="shared" si="389"/>
        <v>0</v>
      </c>
      <c r="CG1221">
        <f t="shared" si="390"/>
        <v>0</v>
      </c>
      <c r="CH1221">
        <f t="shared" si="391"/>
        <v>0</v>
      </c>
      <c r="CI1221">
        <f t="shared" si="392"/>
        <v>0</v>
      </c>
      <c r="CJ1221">
        <f t="shared" si="393"/>
        <v>0</v>
      </c>
      <c r="CK1221">
        <f t="shared" si="394"/>
        <v>0</v>
      </c>
      <c r="CL1221">
        <f t="shared" si="395"/>
        <v>0</v>
      </c>
      <c r="CM1221">
        <f t="shared" ref="CM1221:CM1284" si="397">+CJ1221+CK1221+CL1221</f>
        <v>0</v>
      </c>
      <c r="CN1221">
        <f t="shared" si="396"/>
        <v>0</v>
      </c>
      <c r="CO1221">
        <f t="shared" si="380"/>
        <v>0</v>
      </c>
    </row>
    <row r="1222" spans="1:93" x14ac:dyDescent="0.25">
      <c r="A1222" s="4">
        <v>2021</v>
      </c>
      <c r="B1222" s="318">
        <v>44298</v>
      </c>
      <c r="C1222" s="4" t="s">
        <v>66</v>
      </c>
      <c r="D1222" s="4" t="s">
        <v>1504</v>
      </c>
      <c r="F1222" s="4" t="s">
        <v>90</v>
      </c>
      <c r="G1222" s="5" t="s">
        <v>69</v>
      </c>
      <c r="H1222" s="5" t="s">
        <v>22</v>
      </c>
      <c r="I1222" s="5" t="s">
        <v>146</v>
      </c>
      <c r="J1222" s="5" t="s">
        <v>9</v>
      </c>
      <c r="K1222" s="5">
        <v>26</v>
      </c>
      <c r="L1222" s="5" t="s">
        <v>194</v>
      </c>
      <c r="M1222" s="5">
        <v>1600</v>
      </c>
      <c r="N1222" s="5" t="s">
        <v>170</v>
      </c>
      <c r="O1222" s="6" t="s">
        <v>81</v>
      </c>
      <c r="P1222" s="6" t="s">
        <v>1505</v>
      </c>
      <c r="S1222" s="6">
        <v>31</v>
      </c>
      <c r="T1222" s="6">
        <v>16.22</v>
      </c>
      <c r="U1222" s="6">
        <v>1446</v>
      </c>
      <c r="V1222" s="6">
        <v>21.44</v>
      </c>
      <c r="W1222" s="6">
        <v>65</v>
      </c>
      <c r="X1222" s="6">
        <v>525</v>
      </c>
      <c r="Y1222" s="6">
        <v>696</v>
      </c>
      <c r="Z1222" s="6">
        <v>155</v>
      </c>
      <c r="AA1222" s="6">
        <v>5</v>
      </c>
      <c r="AB1222" s="6">
        <v>0</v>
      </c>
      <c r="AC1222" s="7">
        <v>31</v>
      </c>
      <c r="AD1222" s="7" t="s">
        <v>52</v>
      </c>
      <c r="AE1222" s="7">
        <v>16.22</v>
      </c>
      <c r="AF1222" s="7">
        <v>1446</v>
      </c>
      <c r="AG1222" s="7">
        <v>21.44</v>
      </c>
      <c r="AH1222" s="7">
        <v>13.74</v>
      </c>
      <c r="AI1222" s="7">
        <v>19.95</v>
      </c>
      <c r="AJ1222" s="9">
        <v>144.29666067156199</v>
      </c>
      <c r="AK1222" s="9">
        <v>151.82855480184301</v>
      </c>
      <c r="AL1222" s="9">
        <v>198.95212091253001</v>
      </c>
      <c r="AM1222" s="9">
        <v>21.436971631035298</v>
      </c>
      <c r="AN1222" s="9">
        <v>0.69151521390436499</v>
      </c>
      <c r="AO1222" s="9">
        <v>1.03068229810044</v>
      </c>
      <c r="AP1222" s="9">
        <v>198.95212091253001</v>
      </c>
      <c r="AQ1222" s="9">
        <v>6.4178103520171099</v>
      </c>
      <c r="AR1222" s="9">
        <v>13.383160568134601</v>
      </c>
      <c r="AS1222" s="8" t="s">
        <v>169</v>
      </c>
      <c r="AT1222" s="8" t="s">
        <v>169</v>
      </c>
      <c r="AU1222" s="8" t="s">
        <v>169</v>
      </c>
      <c r="AV1222" s="10">
        <v>0</v>
      </c>
      <c r="BF1222" s="12">
        <v>0.56999999999999995</v>
      </c>
      <c r="BG1222" s="13">
        <v>197.509718035915</v>
      </c>
      <c r="BH1222" s="96" t="str">
        <f>+VLOOKUP(G1222,Liste!$A$7:$G$50,3,FALSE)</f>
        <v>Chene_pedoncule</v>
      </c>
      <c r="BI1222" s="96" t="str">
        <f>+VLOOKUP(H1222,Liste!$B$7:$G$50,5,FALSE)</f>
        <v>Guide chênaie continentale</v>
      </c>
      <c r="BJ1222" s="135">
        <f t="shared" si="379"/>
        <v>31</v>
      </c>
      <c r="BK1222" s="135" t="str">
        <f t="shared" si="381"/>
        <v>Chene_pedoncule_F1_Dynamique_Guide chênaie continentale_31_</v>
      </c>
      <c r="BL1222" s="322"/>
      <c r="BM1222" s="13">
        <v>52.4786152412033</v>
      </c>
      <c r="BN1222" s="13">
        <v>249.98833327711799</v>
      </c>
      <c r="BP1222" s="13">
        <v>307.101589782742</v>
      </c>
      <c r="BQ1222" s="13">
        <v>16.3712227810549</v>
      </c>
      <c r="BT1222" s="298" t="str">
        <f>+VLOOKUP(G1222,Liste!$A$7:$H$50,8,FALSE)</f>
        <v>Feuillus</v>
      </c>
      <c r="BU1222" s="298">
        <f t="shared" si="382"/>
        <v>1</v>
      </c>
      <c r="BV1222" s="300">
        <f t="shared" si="383"/>
        <v>0</v>
      </c>
      <c r="BW1222" s="321">
        <v>0</v>
      </c>
      <c r="BX1222" s="298">
        <f t="shared" si="384"/>
        <v>0.25</v>
      </c>
      <c r="BY1222">
        <f t="shared" si="385"/>
        <v>0</v>
      </c>
      <c r="BZ1222" s="304">
        <f t="shared" si="386"/>
        <v>0</v>
      </c>
      <c r="CB1222" s="299">
        <v>0.6</v>
      </c>
      <c r="CC1222" s="299">
        <v>0.4</v>
      </c>
      <c r="CD1222">
        <f t="shared" si="387"/>
        <v>0</v>
      </c>
      <c r="CE1222">
        <f t="shared" si="388"/>
        <v>0</v>
      </c>
      <c r="CF1222">
        <f t="shared" si="389"/>
        <v>0</v>
      </c>
      <c r="CG1222">
        <f t="shared" si="390"/>
        <v>0</v>
      </c>
      <c r="CH1222">
        <f t="shared" si="391"/>
        <v>0</v>
      </c>
      <c r="CI1222">
        <f t="shared" si="392"/>
        <v>0</v>
      </c>
      <c r="CJ1222">
        <f t="shared" si="393"/>
        <v>0</v>
      </c>
      <c r="CK1222">
        <f t="shared" si="394"/>
        <v>0</v>
      </c>
      <c r="CL1222">
        <f t="shared" si="395"/>
        <v>0</v>
      </c>
      <c r="CM1222">
        <f t="shared" si="397"/>
        <v>0</v>
      </c>
      <c r="CN1222">
        <f t="shared" si="396"/>
        <v>0</v>
      </c>
      <c r="CO1222">
        <f t="shared" si="380"/>
        <v>0</v>
      </c>
    </row>
    <row r="1223" spans="1:93" x14ac:dyDescent="0.25">
      <c r="A1223" s="4">
        <v>2021</v>
      </c>
      <c r="B1223" s="318">
        <v>44298</v>
      </c>
      <c r="C1223" s="4" t="s">
        <v>66</v>
      </c>
      <c r="D1223" s="4" t="s">
        <v>1504</v>
      </c>
      <c r="F1223" s="4" t="s">
        <v>90</v>
      </c>
      <c r="G1223" s="5" t="s">
        <v>69</v>
      </c>
      <c r="H1223" s="5" t="s">
        <v>22</v>
      </c>
      <c r="I1223" s="5" t="s">
        <v>146</v>
      </c>
      <c r="J1223" s="5" t="s">
        <v>9</v>
      </c>
      <c r="K1223" s="5">
        <v>26</v>
      </c>
      <c r="L1223" s="5" t="s">
        <v>194</v>
      </c>
      <c r="M1223" s="5">
        <v>1600</v>
      </c>
      <c r="N1223" s="5" t="s">
        <v>170</v>
      </c>
      <c r="O1223" s="6" t="s">
        <v>81</v>
      </c>
      <c r="P1223" s="6" t="s">
        <v>1505</v>
      </c>
      <c r="S1223" s="6">
        <v>31</v>
      </c>
      <c r="T1223" s="6">
        <v>16.22</v>
      </c>
      <c r="U1223" s="6">
        <v>1446</v>
      </c>
      <c r="V1223" s="6">
        <v>21.44</v>
      </c>
      <c r="W1223" s="6">
        <v>65</v>
      </c>
      <c r="X1223" s="6">
        <v>525</v>
      </c>
      <c r="Y1223" s="6">
        <v>696</v>
      </c>
      <c r="Z1223" s="6">
        <v>155</v>
      </c>
      <c r="AA1223" s="6">
        <v>5</v>
      </c>
      <c r="AB1223" s="6">
        <v>0</v>
      </c>
      <c r="AC1223" s="7">
        <v>31</v>
      </c>
      <c r="AD1223" s="7" t="s">
        <v>53</v>
      </c>
      <c r="AE1223" s="7">
        <v>16.22</v>
      </c>
      <c r="AF1223" s="7">
        <v>558</v>
      </c>
      <c r="AG1223" s="7">
        <v>10.83</v>
      </c>
      <c r="AH1223" s="7">
        <v>15.72</v>
      </c>
      <c r="AI1223" s="7">
        <v>19.95</v>
      </c>
      <c r="AJ1223" s="9">
        <v>77.940224919075106</v>
      </c>
      <c r="AK1223" s="9">
        <v>83.090362537250499</v>
      </c>
      <c r="AL1223" s="9">
        <v>104.608894393963</v>
      </c>
      <c r="AM1223" s="9">
        <v>21.436971631035298</v>
      </c>
      <c r="AN1223" s="9">
        <v>0.69151521390436499</v>
      </c>
      <c r="AO1223" s="9">
        <v>1.03068229810044</v>
      </c>
      <c r="AP1223" s="9">
        <v>198.95212091253001</v>
      </c>
      <c r="AQ1223" s="9">
        <v>6.4178103520171099</v>
      </c>
      <c r="AR1223" s="9">
        <v>13.383160568134601</v>
      </c>
      <c r="AS1223" s="8">
        <v>888</v>
      </c>
      <c r="AT1223" s="8">
        <v>10.610000000000001</v>
      </c>
      <c r="AU1223" s="10">
        <v>12.3340660101523</v>
      </c>
      <c r="AV1223" s="10">
        <v>66.356435752486888</v>
      </c>
      <c r="AW1223" s="8">
        <v>0.81</v>
      </c>
      <c r="AX1223" s="10">
        <v>7.472571593748524E-2</v>
      </c>
      <c r="BF1223" s="12">
        <v>0.56999999999999995</v>
      </c>
      <c r="BG1223" s="13">
        <v>103.850479909607</v>
      </c>
      <c r="BH1223" s="96" t="str">
        <f>+VLOOKUP(G1223,Liste!$A$7:$G$50,3,FALSE)</f>
        <v>Chene_pedoncule</v>
      </c>
      <c r="BI1223" s="96" t="str">
        <f>+VLOOKUP(H1223,Liste!$B$7:$G$50,5,FALSE)</f>
        <v>Guide chênaie continentale</v>
      </c>
      <c r="BJ1223" s="135">
        <f t="shared" si="379"/>
        <v>31</v>
      </c>
      <c r="BK1223" s="135" t="str">
        <f t="shared" si="381"/>
        <v>Chene_pedoncule_F1_Dynamique_Guide chênaie continentale_31_</v>
      </c>
      <c r="BL1223" s="322"/>
      <c r="BM1223" s="13">
        <v>29.737123263059601</v>
      </c>
      <c r="BN1223" s="13">
        <v>133.58760317266601</v>
      </c>
      <c r="BO1223" s="13">
        <v>116.40073010445198</v>
      </c>
      <c r="BP1223" s="13">
        <v>307.101589782742</v>
      </c>
      <c r="BQ1223" s="13">
        <v>16.3712227810549</v>
      </c>
      <c r="BT1223" s="298" t="str">
        <f>+VLOOKUP(G1223,Liste!$A$7:$H$50,8,FALSE)</f>
        <v>Feuillus</v>
      </c>
      <c r="BU1223" s="298">
        <f t="shared" si="382"/>
        <v>1</v>
      </c>
      <c r="BV1223" s="300">
        <f t="shared" si="383"/>
        <v>0</v>
      </c>
      <c r="BW1223" s="321">
        <v>0</v>
      </c>
      <c r="BX1223" s="298">
        <f t="shared" si="384"/>
        <v>0.25</v>
      </c>
      <c r="BY1223">
        <f t="shared" si="385"/>
        <v>0</v>
      </c>
      <c r="BZ1223" s="304">
        <f t="shared" si="386"/>
        <v>0</v>
      </c>
      <c r="CB1223" s="299">
        <v>0.6</v>
      </c>
      <c r="CC1223" s="299">
        <v>0.4</v>
      </c>
      <c r="CD1223">
        <f t="shared" si="387"/>
        <v>0</v>
      </c>
      <c r="CE1223">
        <f t="shared" si="388"/>
        <v>39.81386145149213</v>
      </c>
      <c r="CF1223">
        <f t="shared" si="389"/>
        <v>26.542574300994758</v>
      </c>
      <c r="CG1223">
        <f t="shared" si="390"/>
        <v>0</v>
      </c>
      <c r="CH1223">
        <f t="shared" si="391"/>
        <v>39.525210955968809</v>
      </c>
      <c r="CI1223">
        <f t="shared" si="392"/>
        <v>26.350140637312538</v>
      </c>
      <c r="CJ1223">
        <f t="shared" si="393"/>
        <v>0</v>
      </c>
      <c r="CK1223">
        <f t="shared" si="394"/>
        <v>0</v>
      </c>
      <c r="CL1223">
        <f t="shared" si="395"/>
        <v>0</v>
      </c>
      <c r="CM1223">
        <f t="shared" si="397"/>
        <v>0</v>
      </c>
      <c r="CN1223">
        <f t="shared" si="396"/>
        <v>0</v>
      </c>
      <c r="CO1223">
        <f t="shared" si="380"/>
        <v>0</v>
      </c>
    </row>
    <row r="1224" spans="1:93" x14ac:dyDescent="0.25">
      <c r="A1224" s="4">
        <v>2021</v>
      </c>
      <c r="B1224" s="318">
        <v>44298</v>
      </c>
      <c r="C1224" s="4" t="s">
        <v>66</v>
      </c>
      <c r="D1224" s="4" t="s">
        <v>1504</v>
      </c>
      <c r="F1224" s="4" t="s">
        <v>90</v>
      </c>
      <c r="G1224" s="5" t="s">
        <v>69</v>
      </c>
      <c r="H1224" s="5" t="s">
        <v>22</v>
      </c>
      <c r="I1224" s="5" t="s">
        <v>146</v>
      </c>
      <c r="J1224" s="5" t="s">
        <v>9</v>
      </c>
      <c r="K1224" s="5">
        <v>26</v>
      </c>
      <c r="L1224" s="5" t="s">
        <v>194</v>
      </c>
      <c r="M1224" s="5">
        <v>1600</v>
      </c>
      <c r="N1224" s="5" t="s">
        <v>170</v>
      </c>
      <c r="O1224" s="6" t="s">
        <v>81</v>
      </c>
      <c r="P1224" s="6" t="s">
        <v>1505</v>
      </c>
      <c r="S1224" s="6">
        <v>31</v>
      </c>
      <c r="T1224" s="6">
        <v>16.22</v>
      </c>
      <c r="U1224" s="6">
        <v>1446</v>
      </c>
      <c r="V1224" s="6">
        <v>21.44</v>
      </c>
      <c r="W1224" s="6">
        <v>65</v>
      </c>
      <c r="X1224" s="6">
        <v>525</v>
      </c>
      <c r="Y1224" s="6">
        <v>696</v>
      </c>
      <c r="Z1224" s="6">
        <v>155</v>
      </c>
      <c r="AA1224" s="6">
        <v>5</v>
      </c>
      <c r="AB1224" s="6">
        <v>0</v>
      </c>
      <c r="AC1224" s="7">
        <v>34</v>
      </c>
      <c r="AD1224" s="7" t="s">
        <v>52</v>
      </c>
      <c r="AE1224" s="7">
        <v>17.52</v>
      </c>
      <c r="AF1224" s="7">
        <v>558</v>
      </c>
      <c r="AG1224" s="7">
        <v>13.93</v>
      </c>
      <c r="AH1224" s="7">
        <v>17.829999999999998</v>
      </c>
      <c r="AI1224" s="7">
        <v>22.16</v>
      </c>
      <c r="AJ1224" s="9">
        <v>111.05445948338701</v>
      </c>
      <c r="AK1224" s="9">
        <v>119.11605456665301</v>
      </c>
      <c r="AL1224" s="9">
        <v>144.75837609836699</v>
      </c>
      <c r="AM1224" s="9">
        <v>24.5290185253366</v>
      </c>
      <c r="AN1224" s="9">
        <v>0.72144172133343099</v>
      </c>
      <c r="AO1224" s="9">
        <v>1.0769325162233101</v>
      </c>
      <c r="AP1224" s="9">
        <v>239.101602616934</v>
      </c>
      <c r="AQ1224" s="9">
        <v>7.0324000769686501</v>
      </c>
      <c r="AR1224" s="9">
        <v>15.0831519935572</v>
      </c>
      <c r="AS1224" s="8" t="s">
        <v>169</v>
      </c>
      <c r="AT1224" s="8" t="s">
        <v>169</v>
      </c>
      <c r="AU1224" s="10" t="s">
        <v>169</v>
      </c>
      <c r="AV1224" s="10">
        <v>0</v>
      </c>
      <c r="AX1224" s="10" t="s">
        <v>169</v>
      </c>
      <c r="BF1224" s="12">
        <v>0.56999999999999995</v>
      </c>
      <c r="BG1224" s="13">
        <v>143.70887787165299</v>
      </c>
      <c r="BH1224" s="96" t="str">
        <f>+VLOOKUP(G1224,Liste!$A$7:$G$50,3,FALSE)</f>
        <v>Chene_pedoncule</v>
      </c>
      <c r="BI1224" s="96" t="str">
        <f>+VLOOKUP(H1224,Liste!$B$7:$G$50,5,FALSE)</f>
        <v>Guide chênaie continentale</v>
      </c>
      <c r="BJ1224" s="135">
        <f t="shared" si="379"/>
        <v>34</v>
      </c>
      <c r="BK1224" s="135" t="str">
        <f t="shared" si="381"/>
        <v>Chene_pedoncule_F1_Dynamique_Guide chênaie continentale_34_</v>
      </c>
      <c r="BL1224" s="322"/>
      <c r="BM1224" s="13">
        <v>39.6235062246894</v>
      </c>
      <c r="BN1224" s="13">
        <v>183.33238409634299</v>
      </c>
      <c r="BO1224" s="13" t="s">
        <v>169</v>
      </c>
      <c r="BP1224" s="13">
        <v>307.101589782742</v>
      </c>
      <c r="BQ1224" s="13">
        <v>18.3793624523685</v>
      </c>
      <c r="BT1224" s="298" t="str">
        <f>+VLOOKUP(G1224,Liste!$A$7:$H$50,8,FALSE)</f>
        <v>Feuillus</v>
      </c>
      <c r="BU1224" s="298">
        <f t="shared" si="382"/>
        <v>1</v>
      </c>
      <c r="BV1224" s="300">
        <f t="shared" si="383"/>
        <v>0</v>
      </c>
      <c r="BW1224" s="321">
        <v>0</v>
      </c>
      <c r="BX1224" s="298">
        <f t="shared" si="384"/>
        <v>0.25</v>
      </c>
      <c r="BY1224">
        <f t="shared" si="385"/>
        <v>0</v>
      </c>
      <c r="BZ1224" s="304">
        <f t="shared" si="386"/>
        <v>0</v>
      </c>
      <c r="CB1224" s="299">
        <v>0.6</v>
      </c>
      <c r="CC1224" s="299">
        <v>0.4</v>
      </c>
      <c r="CD1224">
        <f t="shared" si="387"/>
        <v>0</v>
      </c>
      <c r="CE1224">
        <f t="shared" si="388"/>
        <v>0</v>
      </c>
      <c r="CF1224">
        <f t="shared" si="389"/>
        <v>0</v>
      </c>
      <c r="CG1224">
        <f t="shared" si="390"/>
        <v>0</v>
      </c>
      <c r="CH1224">
        <f t="shared" si="391"/>
        <v>0</v>
      </c>
      <c r="CI1224">
        <f t="shared" si="392"/>
        <v>0</v>
      </c>
      <c r="CJ1224">
        <f t="shared" si="393"/>
        <v>0</v>
      </c>
      <c r="CK1224">
        <f t="shared" si="394"/>
        <v>0</v>
      </c>
      <c r="CL1224">
        <f t="shared" si="395"/>
        <v>0</v>
      </c>
      <c r="CM1224">
        <f t="shared" si="397"/>
        <v>0</v>
      </c>
      <c r="CN1224">
        <f t="shared" si="396"/>
        <v>0</v>
      </c>
      <c r="CO1224">
        <f t="shared" si="380"/>
        <v>0</v>
      </c>
    </row>
    <row r="1225" spans="1:93" x14ac:dyDescent="0.25">
      <c r="A1225" s="4">
        <v>2021</v>
      </c>
      <c r="B1225" s="318">
        <v>44298</v>
      </c>
      <c r="C1225" s="4" t="s">
        <v>66</v>
      </c>
      <c r="D1225" s="4" t="s">
        <v>1504</v>
      </c>
      <c r="F1225" s="4" t="s">
        <v>90</v>
      </c>
      <c r="G1225" s="5" t="s">
        <v>69</v>
      </c>
      <c r="H1225" s="5" t="s">
        <v>22</v>
      </c>
      <c r="I1225" s="5" t="s">
        <v>146</v>
      </c>
      <c r="J1225" s="5" t="s">
        <v>9</v>
      </c>
      <c r="K1225" s="5">
        <v>26</v>
      </c>
      <c r="L1225" s="5" t="s">
        <v>194</v>
      </c>
      <c r="M1225" s="5">
        <v>1600</v>
      </c>
      <c r="N1225" s="5" t="s">
        <v>170</v>
      </c>
      <c r="O1225" s="6" t="s">
        <v>81</v>
      </c>
      <c r="P1225" s="6" t="s">
        <v>1505</v>
      </c>
      <c r="S1225" s="6">
        <v>31</v>
      </c>
      <c r="T1225" s="6">
        <v>16.22</v>
      </c>
      <c r="U1225" s="6">
        <v>1446</v>
      </c>
      <c r="V1225" s="6">
        <v>21.44</v>
      </c>
      <c r="W1225" s="6">
        <v>65</v>
      </c>
      <c r="X1225" s="6">
        <v>525</v>
      </c>
      <c r="Y1225" s="6">
        <v>696</v>
      </c>
      <c r="Z1225" s="6">
        <v>155</v>
      </c>
      <c r="AA1225" s="6">
        <v>5</v>
      </c>
      <c r="AB1225" s="6">
        <v>0</v>
      </c>
      <c r="AC1225" s="7">
        <v>37</v>
      </c>
      <c r="AD1225" s="7" t="s">
        <v>52</v>
      </c>
      <c r="AE1225" s="7">
        <v>18.77</v>
      </c>
      <c r="AF1225" s="7">
        <v>558</v>
      </c>
      <c r="AG1225" s="7">
        <v>17.16</v>
      </c>
      <c r="AH1225" s="7">
        <v>19.79</v>
      </c>
      <c r="AI1225" s="7">
        <v>24.24</v>
      </c>
      <c r="AJ1225" s="9">
        <v>148.60832252300801</v>
      </c>
      <c r="AK1225" s="9">
        <v>160.111376763214</v>
      </c>
      <c r="AL1225" s="9">
        <v>190.007832079038</v>
      </c>
      <c r="AM1225" s="9">
        <v>27.759816074006601</v>
      </c>
      <c r="AN1225" s="9">
        <v>0.75026529929747499</v>
      </c>
      <c r="AO1225" s="9">
        <v>0.96698324764653298</v>
      </c>
      <c r="AP1225" s="9">
        <v>284.35105859760603</v>
      </c>
      <c r="AQ1225" s="9">
        <v>7.6851637458812396</v>
      </c>
      <c r="AR1225" s="9">
        <v>14.2648546268841</v>
      </c>
      <c r="AS1225" s="8" t="s">
        <v>169</v>
      </c>
      <c r="AT1225" s="8" t="s">
        <v>169</v>
      </c>
      <c r="AU1225" s="10" t="s">
        <v>169</v>
      </c>
      <c r="AV1225" s="10">
        <v>0</v>
      </c>
      <c r="AX1225" s="10" t="s">
        <v>169</v>
      </c>
      <c r="BF1225" s="12">
        <v>0.56999999999999995</v>
      </c>
      <c r="BG1225" s="13">
        <v>188.63027529646499</v>
      </c>
      <c r="BH1225" s="96" t="str">
        <f>+VLOOKUP(G1225,Liste!$A$7:$G$50,3,FALSE)</f>
        <v>Chene_pedoncule</v>
      </c>
      <c r="BI1225" s="96" t="str">
        <f>+VLOOKUP(H1225,Liste!$B$7:$G$50,5,FALSE)</f>
        <v>Guide chênaie continentale</v>
      </c>
      <c r="BJ1225" s="135">
        <f t="shared" si="379"/>
        <v>37</v>
      </c>
      <c r="BK1225" s="135" t="str">
        <f t="shared" si="381"/>
        <v>Chene_pedoncule_F1_Dynamique_Guide chênaie continentale_37_</v>
      </c>
      <c r="BL1225" s="322"/>
      <c r="BM1225" s="13">
        <v>50.388406850087101</v>
      </c>
      <c r="BN1225" s="13">
        <v>239.01868214655201</v>
      </c>
      <c r="BO1225" s="13" t="s">
        <v>169</v>
      </c>
      <c r="BP1225" s="13">
        <v>307.101589782742</v>
      </c>
      <c r="BQ1225" s="13">
        <v>17.3243015191937</v>
      </c>
      <c r="BT1225" s="298" t="str">
        <f>+VLOOKUP(G1225,Liste!$A$7:$H$50,8,FALSE)</f>
        <v>Feuillus</v>
      </c>
      <c r="BU1225" s="298">
        <f t="shared" si="382"/>
        <v>1</v>
      </c>
      <c r="BV1225" s="300">
        <f t="shared" si="383"/>
        <v>0</v>
      </c>
      <c r="BW1225" s="321">
        <v>0</v>
      </c>
      <c r="BX1225" s="298">
        <f t="shared" si="384"/>
        <v>0.25</v>
      </c>
      <c r="BY1225">
        <f t="shared" si="385"/>
        <v>0</v>
      </c>
      <c r="BZ1225" s="304">
        <f t="shared" si="386"/>
        <v>0</v>
      </c>
      <c r="CB1225" s="299">
        <v>0.6</v>
      </c>
      <c r="CC1225" s="299">
        <v>0.4</v>
      </c>
      <c r="CD1225">
        <f t="shared" si="387"/>
        <v>0</v>
      </c>
      <c r="CE1225">
        <f t="shared" si="388"/>
        <v>0</v>
      </c>
      <c r="CF1225">
        <f t="shared" si="389"/>
        <v>0</v>
      </c>
      <c r="CG1225">
        <f t="shared" si="390"/>
        <v>0</v>
      </c>
      <c r="CH1225">
        <f t="shared" si="391"/>
        <v>0</v>
      </c>
      <c r="CI1225">
        <f t="shared" si="392"/>
        <v>0</v>
      </c>
      <c r="CJ1225">
        <f t="shared" si="393"/>
        <v>0</v>
      </c>
      <c r="CK1225">
        <f t="shared" si="394"/>
        <v>0</v>
      </c>
      <c r="CL1225">
        <f t="shared" si="395"/>
        <v>0</v>
      </c>
      <c r="CM1225">
        <f t="shared" si="397"/>
        <v>0</v>
      </c>
      <c r="CN1225">
        <f t="shared" si="396"/>
        <v>0</v>
      </c>
      <c r="CO1225">
        <f t="shared" si="380"/>
        <v>0</v>
      </c>
    </row>
    <row r="1226" spans="1:93" x14ac:dyDescent="0.25">
      <c r="A1226" s="4">
        <v>2021</v>
      </c>
      <c r="B1226" s="318">
        <v>44298</v>
      </c>
      <c r="C1226" s="4" t="s">
        <v>66</v>
      </c>
      <c r="D1226" s="4" t="s">
        <v>1504</v>
      </c>
      <c r="F1226" s="4" t="s">
        <v>90</v>
      </c>
      <c r="G1226" s="5" t="s">
        <v>69</v>
      </c>
      <c r="H1226" s="5" t="s">
        <v>22</v>
      </c>
      <c r="I1226" s="5" t="s">
        <v>146</v>
      </c>
      <c r="J1226" s="5" t="s">
        <v>9</v>
      </c>
      <c r="K1226" s="5">
        <v>26</v>
      </c>
      <c r="L1226" s="5" t="s">
        <v>194</v>
      </c>
      <c r="M1226" s="5">
        <v>1600</v>
      </c>
      <c r="N1226" s="5" t="s">
        <v>170</v>
      </c>
      <c r="O1226" s="6" t="s">
        <v>81</v>
      </c>
      <c r="P1226" s="6" t="s">
        <v>1505</v>
      </c>
      <c r="S1226" s="6">
        <v>31</v>
      </c>
      <c r="T1226" s="6">
        <v>16.22</v>
      </c>
      <c r="U1226" s="6">
        <v>1446</v>
      </c>
      <c r="V1226" s="6">
        <v>21.44</v>
      </c>
      <c r="W1226" s="6">
        <v>65</v>
      </c>
      <c r="X1226" s="6">
        <v>525</v>
      </c>
      <c r="Y1226" s="6">
        <v>696</v>
      </c>
      <c r="Z1226" s="6">
        <v>155</v>
      </c>
      <c r="AA1226" s="6">
        <v>5</v>
      </c>
      <c r="AB1226" s="6">
        <v>0</v>
      </c>
      <c r="AC1226" s="7">
        <v>37</v>
      </c>
      <c r="AD1226" s="7" t="s">
        <v>53</v>
      </c>
      <c r="AE1226" s="7">
        <v>18.77</v>
      </c>
      <c r="AF1226" s="7">
        <v>372</v>
      </c>
      <c r="AG1226" s="7">
        <v>12.2</v>
      </c>
      <c r="AH1226" s="7">
        <v>20.440000000000001</v>
      </c>
      <c r="AI1226" s="7">
        <v>24.02</v>
      </c>
      <c r="AJ1226" s="9">
        <v>106.594582953447</v>
      </c>
      <c r="AK1226" s="9">
        <v>115.26367727124</v>
      </c>
      <c r="AL1226" s="9">
        <v>136.19611008888199</v>
      </c>
      <c r="AM1226" s="9">
        <v>27.759816074006601</v>
      </c>
      <c r="AN1226" s="9">
        <v>0.75026529929747499</v>
      </c>
      <c r="AO1226" s="9">
        <v>0.96698324764653298</v>
      </c>
      <c r="AP1226" s="9">
        <v>284.35105859760603</v>
      </c>
      <c r="AQ1226" s="9">
        <v>7.6851637458812396</v>
      </c>
      <c r="AR1226" s="9">
        <v>14.2648546268841</v>
      </c>
      <c r="AS1226" s="8">
        <v>186</v>
      </c>
      <c r="AT1226" s="8">
        <v>4.9600000000000009</v>
      </c>
      <c r="AU1226" s="10">
        <v>18.426354638471228</v>
      </c>
      <c r="AV1226" s="10">
        <v>42.013739569561011</v>
      </c>
      <c r="AW1226" s="8">
        <v>0.87</v>
      </c>
      <c r="AX1226" s="10">
        <v>0.22588032026645705</v>
      </c>
      <c r="BF1226" s="12">
        <v>0.56999999999999995</v>
      </c>
      <c r="BG1226" s="13">
        <v>135.208688290738</v>
      </c>
      <c r="BH1226" s="96" t="str">
        <f>+VLOOKUP(G1226,Liste!$A$7:$G$50,3,FALSE)</f>
        <v>Chene_pedoncule</v>
      </c>
      <c r="BI1226" s="96" t="str">
        <f>+VLOOKUP(H1226,Liste!$B$7:$G$50,5,FALSE)</f>
        <v>Guide chênaie continentale</v>
      </c>
      <c r="BJ1226" s="135">
        <f t="shared" si="379"/>
        <v>37</v>
      </c>
      <c r="BK1226" s="135" t="str">
        <f t="shared" si="381"/>
        <v>Chene_pedoncule_F1_Dynamique_Guide chênaie continentale_37_</v>
      </c>
      <c r="BL1226" s="322"/>
      <c r="BM1226" s="13">
        <v>37.5453415712172</v>
      </c>
      <c r="BN1226" s="13">
        <v>172.75402986195499</v>
      </c>
      <c r="BO1226" s="13">
        <v>66.26465228459702</v>
      </c>
      <c r="BP1226" s="13">
        <v>307.101589782742</v>
      </c>
      <c r="BQ1226" s="13">
        <v>17.3243015191937</v>
      </c>
      <c r="BT1226" s="298" t="str">
        <f>+VLOOKUP(G1226,Liste!$A$7:$H$50,8,FALSE)</f>
        <v>Feuillus</v>
      </c>
      <c r="BU1226" s="298">
        <f t="shared" si="382"/>
        <v>1</v>
      </c>
      <c r="BV1226" s="300">
        <f t="shared" si="383"/>
        <v>0</v>
      </c>
      <c r="BW1226" s="321">
        <v>0</v>
      </c>
      <c r="BX1226" s="298">
        <f t="shared" si="384"/>
        <v>0.25</v>
      </c>
      <c r="BY1226">
        <f t="shared" si="385"/>
        <v>0</v>
      </c>
      <c r="BZ1226" s="304">
        <f t="shared" si="386"/>
        <v>0</v>
      </c>
      <c r="CB1226" s="299">
        <v>0.6</v>
      </c>
      <c r="CC1226" s="299">
        <v>0.4</v>
      </c>
      <c r="CD1226">
        <f t="shared" si="387"/>
        <v>0</v>
      </c>
      <c r="CE1226">
        <f t="shared" si="388"/>
        <v>0</v>
      </c>
      <c r="CF1226">
        <f t="shared" si="389"/>
        <v>0</v>
      </c>
      <c r="CG1226">
        <f t="shared" si="390"/>
        <v>0</v>
      </c>
      <c r="CH1226">
        <f t="shared" si="391"/>
        <v>0</v>
      </c>
      <c r="CI1226">
        <f t="shared" si="392"/>
        <v>0</v>
      </c>
      <c r="CJ1226">
        <f t="shared" si="393"/>
        <v>0</v>
      </c>
      <c r="CK1226">
        <f t="shared" si="394"/>
        <v>0</v>
      </c>
      <c r="CL1226">
        <f t="shared" si="395"/>
        <v>0</v>
      </c>
      <c r="CM1226">
        <f t="shared" si="397"/>
        <v>0</v>
      </c>
      <c r="CN1226">
        <f t="shared" si="396"/>
        <v>0</v>
      </c>
      <c r="CO1226">
        <f t="shared" si="380"/>
        <v>0</v>
      </c>
    </row>
    <row r="1227" spans="1:93" x14ac:dyDescent="0.25">
      <c r="A1227" s="4">
        <v>2021</v>
      </c>
      <c r="B1227" s="318">
        <v>44298</v>
      </c>
      <c r="C1227" s="4" t="s">
        <v>66</v>
      </c>
      <c r="D1227" s="4" t="s">
        <v>1504</v>
      </c>
      <c r="F1227" s="4" t="s">
        <v>90</v>
      </c>
      <c r="G1227" s="5" t="s">
        <v>69</v>
      </c>
      <c r="H1227" s="5" t="s">
        <v>22</v>
      </c>
      <c r="I1227" s="5" t="s">
        <v>146</v>
      </c>
      <c r="J1227" s="5" t="s">
        <v>9</v>
      </c>
      <c r="K1227" s="5">
        <v>26</v>
      </c>
      <c r="L1227" s="5" t="s">
        <v>194</v>
      </c>
      <c r="M1227" s="5">
        <v>1600</v>
      </c>
      <c r="N1227" s="5" t="s">
        <v>170</v>
      </c>
      <c r="O1227" s="6" t="s">
        <v>81</v>
      </c>
      <c r="P1227" s="6" t="s">
        <v>1505</v>
      </c>
      <c r="S1227" s="6">
        <v>31</v>
      </c>
      <c r="T1227" s="6">
        <v>16.22</v>
      </c>
      <c r="U1227" s="6">
        <v>1446</v>
      </c>
      <c r="V1227" s="6">
        <v>21.44</v>
      </c>
      <c r="W1227" s="6">
        <v>65</v>
      </c>
      <c r="X1227" s="6">
        <v>525</v>
      </c>
      <c r="Y1227" s="6">
        <v>696</v>
      </c>
      <c r="Z1227" s="6">
        <v>155</v>
      </c>
      <c r="AA1227" s="6">
        <v>5</v>
      </c>
      <c r="AB1227" s="6">
        <v>0</v>
      </c>
      <c r="AC1227" s="7">
        <v>40</v>
      </c>
      <c r="AD1227" s="7" t="s">
        <v>52</v>
      </c>
      <c r="AE1227" s="7">
        <v>19.95</v>
      </c>
      <c r="AF1227" s="7">
        <v>372</v>
      </c>
      <c r="AG1227" s="7">
        <v>15.1</v>
      </c>
      <c r="AH1227" s="7">
        <v>22.73</v>
      </c>
      <c r="AI1227" s="7">
        <v>26.36</v>
      </c>
      <c r="AJ1227" s="9">
        <v>141.92606087015099</v>
      </c>
      <c r="AK1227" s="9">
        <v>154.26774099063999</v>
      </c>
      <c r="AL1227" s="9">
        <v>178.99067396953501</v>
      </c>
      <c r="AM1227" s="9">
        <v>30.660765816946199</v>
      </c>
      <c r="AN1227" s="9">
        <v>0.76651914542365496</v>
      </c>
      <c r="AO1227" s="9">
        <v>0.98072818478139001</v>
      </c>
      <c r="AP1227" s="9">
        <v>327.14562247825802</v>
      </c>
      <c r="AQ1227" s="9">
        <v>8.1786405619564508</v>
      </c>
      <c r="AR1227" s="9">
        <v>15.6140781256731</v>
      </c>
      <c r="AS1227" s="8" t="s">
        <v>169</v>
      </c>
      <c r="AT1227" s="8" t="s">
        <v>169</v>
      </c>
      <c r="AU1227" s="10" t="s">
        <v>169</v>
      </c>
      <c r="AV1227" s="10">
        <v>0</v>
      </c>
      <c r="AX1227" s="10" t="s">
        <v>169</v>
      </c>
      <c r="BF1227" s="12">
        <v>0.56999999999999995</v>
      </c>
      <c r="BG1227" s="13">
        <v>177.69299158325501</v>
      </c>
      <c r="BH1227" s="96" t="str">
        <f>+VLOOKUP(G1227,Liste!$A$7:$G$50,3,FALSE)</f>
        <v>Chene_pedoncule</v>
      </c>
      <c r="BI1227" s="96" t="str">
        <f>+VLOOKUP(H1227,Liste!$B$7:$G$50,5,FALSE)</f>
        <v>Guide chênaie continentale</v>
      </c>
      <c r="BJ1227" s="135">
        <f t="shared" si="379"/>
        <v>40</v>
      </c>
      <c r="BK1227" s="135" t="str">
        <f t="shared" si="381"/>
        <v>Chene_pedoncule_F1_Dynamique_Guide chênaie continentale_40_</v>
      </c>
      <c r="BL1227" s="322"/>
      <c r="BM1227" s="13">
        <v>47.797928117693402</v>
      </c>
      <c r="BN1227" s="13">
        <v>225.49091970094901</v>
      </c>
      <c r="BO1227" s="13" t="s">
        <v>169</v>
      </c>
      <c r="BP1227" s="13">
        <v>307.101589782742</v>
      </c>
      <c r="BQ1227" s="13">
        <v>18.899687258468099</v>
      </c>
      <c r="BT1227" s="298" t="str">
        <f>+VLOOKUP(G1227,Liste!$A$7:$H$50,8,FALSE)</f>
        <v>Feuillus</v>
      </c>
      <c r="BU1227" s="298">
        <f t="shared" si="382"/>
        <v>1</v>
      </c>
      <c r="BV1227" s="300">
        <f t="shared" si="383"/>
        <v>0</v>
      </c>
      <c r="BW1227" s="321">
        <v>0</v>
      </c>
      <c r="BX1227" s="298">
        <f t="shared" si="384"/>
        <v>0.25</v>
      </c>
      <c r="BY1227">
        <f t="shared" si="385"/>
        <v>0</v>
      </c>
      <c r="BZ1227" s="304">
        <f t="shared" si="386"/>
        <v>0</v>
      </c>
      <c r="CB1227" s="299">
        <v>0.6</v>
      </c>
      <c r="CC1227" s="299">
        <v>0.4</v>
      </c>
      <c r="CD1227">
        <f t="shared" si="387"/>
        <v>0</v>
      </c>
      <c r="CE1227">
        <f t="shared" si="388"/>
        <v>0</v>
      </c>
      <c r="CF1227">
        <f t="shared" si="389"/>
        <v>0</v>
      </c>
      <c r="CG1227">
        <f t="shared" si="390"/>
        <v>0</v>
      </c>
      <c r="CH1227">
        <f t="shared" si="391"/>
        <v>0</v>
      </c>
      <c r="CI1227">
        <f t="shared" si="392"/>
        <v>0</v>
      </c>
      <c r="CJ1227">
        <f t="shared" si="393"/>
        <v>0</v>
      </c>
      <c r="CK1227">
        <f t="shared" si="394"/>
        <v>0</v>
      </c>
      <c r="CL1227">
        <f t="shared" si="395"/>
        <v>0</v>
      </c>
      <c r="CM1227">
        <f t="shared" si="397"/>
        <v>0</v>
      </c>
      <c r="CN1227">
        <f t="shared" si="396"/>
        <v>0</v>
      </c>
      <c r="CO1227">
        <f t="shared" si="380"/>
        <v>0</v>
      </c>
    </row>
    <row r="1228" spans="1:93" x14ac:dyDescent="0.25">
      <c r="A1228" s="4">
        <v>2021</v>
      </c>
      <c r="B1228" s="318">
        <v>44298</v>
      </c>
      <c r="C1228" s="4" t="s">
        <v>66</v>
      </c>
      <c r="D1228" s="4" t="s">
        <v>1504</v>
      </c>
      <c r="F1228" s="4" t="s">
        <v>90</v>
      </c>
      <c r="G1228" s="5" t="s">
        <v>69</v>
      </c>
      <c r="H1228" s="5" t="s">
        <v>22</v>
      </c>
      <c r="I1228" s="5" t="s">
        <v>146</v>
      </c>
      <c r="J1228" s="5" t="s">
        <v>9</v>
      </c>
      <c r="K1228" s="5">
        <v>26</v>
      </c>
      <c r="L1228" s="5" t="s">
        <v>194</v>
      </c>
      <c r="M1228" s="5">
        <v>1600</v>
      </c>
      <c r="N1228" s="5" t="s">
        <v>170</v>
      </c>
      <c r="O1228" s="6" t="s">
        <v>81</v>
      </c>
      <c r="P1228" s="6" t="s">
        <v>1505</v>
      </c>
      <c r="S1228" s="6">
        <v>31</v>
      </c>
      <c r="T1228" s="6">
        <v>16.22</v>
      </c>
      <c r="U1228" s="6">
        <v>1446</v>
      </c>
      <c r="V1228" s="6">
        <v>21.44</v>
      </c>
      <c r="W1228" s="6">
        <v>65</v>
      </c>
      <c r="X1228" s="6">
        <v>525</v>
      </c>
      <c r="Y1228" s="6">
        <v>696</v>
      </c>
      <c r="Z1228" s="6">
        <v>155</v>
      </c>
      <c r="AA1228" s="6">
        <v>5</v>
      </c>
      <c r="AB1228" s="6">
        <v>0</v>
      </c>
      <c r="AC1228" s="7">
        <v>44</v>
      </c>
      <c r="AD1228" s="7" t="s">
        <v>52</v>
      </c>
      <c r="AE1228" s="7">
        <v>21.44</v>
      </c>
      <c r="AF1228" s="7">
        <v>372</v>
      </c>
      <c r="AG1228" s="7">
        <v>19.02</v>
      </c>
      <c r="AH1228" s="7">
        <v>25.52</v>
      </c>
      <c r="AI1228" s="7">
        <v>29.23</v>
      </c>
      <c r="AJ1228" s="9">
        <v>193.86684696820001</v>
      </c>
      <c r="AK1228" s="9">
        <v>211.65124087891499</v>
      </c>
      <c r="AL1228" s="9">
        <v>241.446986472227</v>
      </c>
      <c r="AM1228" s="9">
        <v>34.583678556071703</v>
      </c>
      <c r="AN1228" s="9">
        <v>0.78599269445617603</v>
      </c>
      <c r="AO1228" s="9">
        <v>0.86653698530558598</v>
      </c>
      <c r="AP1228" s="9">
        <v>389.60193498094998</v>
      </c>
      <c r="AQ1228" s="9">
        <v>8.8545894313852305</v>
      </c>
      <c r="AR1228" s="9">
        <v>14.4005858116137</v>
      </c>
      <c r="AS1228" s="8" t="s">
        <v>169</v>
      </c>
      <c r="AT1228" s="8" t="s">
        <v>169</v>
      </c>
      <c r="AU1228" s="10" t="s">
        <v>169</v>
      </c>
      <c r="AV1228" s="10">
        <v>0</v>
      </c>
      <c r="AX1228" s="10" t="s">
        <v>169</v>
      </c>
      <c r="BF1228" s="12">
        <v>0.56999999999999995</v>
      </c>
      <c r="BG1228" s="13">
        <v>239.696495820303</v>
      </c>
      <c r="BH1228" s="96" t="str">
        <f>+VLOOKUP(G1228,Liste!$A$7:$G$50,3,FALSE)</f>
        <v>Chene_pedoncule</v>
      </c>
      <c r="BI1228" s="96" t="str">
        <f>+VLOOKUP(H1228,Liste!$B$7:$G$50,5,FALSE)</f>
        <v>Guide chênaie continentale</v>
      </c>
      <c r="BJ1228" s="135">
        <f t="shared" si="379"/>
        <v>44</v>
      </c>
      <c r="BK1228" s="135" t="str">
        <f t="shared" si="381"/>
        <v>Chene_pedoncule_F1_Dynamique_Guide chênaie continentale_44_</v>
      </c>
      <c r="BL1228" s="322"/>
      <c r="BM1228" s="13">
        <v>62.268651464252898</v>
      </c>
      <c r="BN1228" s="13">
        <v>301.965147284556</v>
      </c>
      <c r="BO1228" s="13" t="s">
        <v>169</v>
      </c>
      <c r="BP1228" s="13">
        <v>307.101589782742</v>
      </c>
      <c r="BQ1228" s="13">
        <v>17.3807459889847</v>
      </c>
      <c r="BT1228" s="298" t="str">
        <f>+VLOOKUP(G1228,Liste!$A$7:$H$50,8,FALSE)</f>
        <v>Feuillus</v>
      </c>
      <c r="BU1228" s="298">
        <f t="shared" si="382"/>
        <v>1</v>
      </c>
      <c r="BV1228" s="300">
        <f t="shared" si="383"/>
        <v>0</v>
      </c>
      <c r="BW1228" s="321">
        <v>0</v>
      </c>
      <c r="BX1228" s="298">
        <f t="shared" si="384"/>
        <v>0.25</v>
      </c>
      <c r="BY1228">
        <f t="shared" si="385"/>
        <v>0</v>
      </c>
      <c r="BZ1228" s="304">
        <f t="shared" si="386"/>
        <v>0</v>
      </c>
      <c r="CB1228" s="299">
        <v>0.6</v>
      </c>
      <c r="CC1228" s="299">
        <v>0.4</v>
      </c>
      <c r="CD1228">
        <f t="shared" si="387"/>
        <v>0</v>
      </c>
      <c r="CE1228">
        <f t="shared" si="388"/>
        <v>0</v>
      </c>
      <c r="CF1228">
        <f t="shared" si="389"/>
        <v>0</v>
      </c>
      <c r="CG1228">
        <f t="shared" si="390"/>
        <v>0</v>
      </c>
      <c r="CH1228">
        <f t="shared" si="391"/>
        <v>0</v>
      </c>
      <c r="CI1228">
        <f t="shared" si="392"/>
        <v>0</v>
      </c>
      <c r="CJ1228">
        <f t="shared" si="393"/>
        <v>0</v>
      </c>
      <c r="CK1228">
        <f t="shared" si="394"/>
        <v>0</v>
      </c>
      <c r="CL1228">
        <f t="shared" si="395"/>
        <v>0</v>
      </c>
      <c r="CM1228">
        <f t="shared" si="397"/>
        <v>0</v>
      </c>
      <c r="CN1228">
        <f t="shared" si="396"/>
        <v>0</v>
      </c>
      <c r="CO1228">
        <f t="shared" si="380"/>
        <v>0</v>
      </c>
    </row>
    <row r="1229" spans="1:93" x14ac:dyDescent="0.25">
      <c r="A1229" s="4">
        <v>2021</v>
      </c>
      <c r="B1229" s="318">
        <v>44298</v>
      </c>
      <c r="C1229" s="4" t="s">
        <v>66</v>
      </c>
      <c r="D1229" s="4" t="s">
        <v>1504</v>
      </c>
      <c r="F1229" s="4" t="s">
        <v>90</v>
      </c>
      <c r="G1229" s="5" t="s">
        <v>69</v>
      </c>
      <c r="H1229" s="5" t="s">
        <v>22</v>
      </c>
      <c r="I1229" s="5" t="s">
        <v>146</v>
      </c>
      <c r="J1229" s="5" t="s">
        <v>9</v>
      </c>
      <c r="K1229" s="5">
        <v>26</v>
      </c>
      <c r="L1229" s="5" t="s">
        <v>194</v>
      </c>
      <c r="M1229" s="5">
        <v>1600</v>
      </c>
      <c r="N1229" s="5" t="s">
        <v>170</v>
      </c>
      <c r="O1229" s="6" t="s">
        <v>81</v>
      </c>
      <c r="P1229" s="6" t="s">
        <v>1505</v>
      </c>
      <c r="S1229" s="6">
        <v>31</v>
      </c>
      <c r="T1229" s="6">
        <v>16.22</v>
      </c>
      <c r="U1229" s="6">
        <v>1446</v>
      </c>
      <c r="V1229" s="6">
        <v>21.44</v>
      </c>
      <c r="W1229" s="6">
        <v>65</v>
      </c>
      <c r="X1229" s="6">
        <v>525</v>
      </c>
      <c r="Y1229" s="6">
        <v>696</v>
      </c>
      <c r="Z1229" s="6">
        <v>155</v>
      </c>
      <c r="AA1229" s="6">
        <v>5</v>
      </c>
      <c r="AB1229" s="6">
        <v>0</v>
      </c>
      <c r="AC1229" s="7">
        <v>44</v>
      </c>
      <c r="AD1229" s="7" t="s">
        <v>53</v>
      </c>
      <c r="AE1229" s="7">
        <v>21.44</v>
      </c>
      <c r="AF1229" s="7">
        <v>256</v>
      </c>
      <c r="AG1229" s="7">
        <v>13.82</v>
      </c>
      <c r="AH1229" s="7">
        <v>26.21</v>
      </c>
      <c r="AI1229" s="7">
        <v>29.23</v>
      </c>
      <c r="AJ1229" s="9">
        <v>141.38166748796201</v>
      </c>
      <c r="AK1229" s="9">
        <v>154.876736245313</v>
      </c>
      <c r="AL1229" s="9">
        <v>176.33499079544799</v>
      </c>
      <c r="AM1229" s="9">
        <v>34.583678556071703</v>
      </c>
      <c r="AN1229" s="9">
        <v>0.78599269445617603</v>
      </c>
      <c r="AO1229" s="9">
        <v>0.86653698530558598</v>
      </c>
      <c r="AP1229" s="9">
        <v>389.60193498094998</v>
      </c>
      <c r="AQ1229" s="9">
        <v>8.8545894313852305</v>
      </c>
      <c r="AR1229" s="9">
        <v>14.4005858116137</v>
      </c>
      <c r="AS1229" s="8">
        <v>116</v>
      </c>
      <c r="AT1229" s="8">
        <v>5.1999999999999993</v>
      </c>
      <c r="AU1229" s="10">
        <v>23.890637382381662</v>
      </c>
      <c r="AV1229" s="10">
        <v>52.485179480238003</v>
      </c>
      <c r="AW1229" s="8">
        <v>0.88</v>
      </c>
      <c r="AX1229" s="10">
        <v>0.45245844379515521</v>
      </c>
      <c r="BF1229" s="12">
        <v>0.56999999999999995</v>
      </c>
      <c r="BG1229" s="13">
        <v>175.05656211218101</v>
      </c>
      <c r="BH1229" s="96" t="str">
        <f>+VLOOKUP(G1229,Liste!$A$7:$G$50,3,FALSE)</f>
        <v>Chene_pedoncule</v>
      </c>
      <c r="BI1229" s="96" t="str">
        <f>+VLOOKUP(H1229,Liste!$B$7:$G$50,5,FALSE)</f>
        <v>Guide chênaie continentale</v>
      </c>
      <c r="BJ1229" s="135">
        <f t="shared" si="379"/>
        <v>44</v>
      </c>
      <c r="BK1229" s="135" t="str">
        <f t="shared" si="381"/>
        <v>Chene_pedoncule_F1_Dynamique_Guide chênaie continentale_44_</v>
      </c>
      <c r="BL1229" s="322"/>
      <c r="BM1229" s="13">
        <v>47.170754790806498</v>
      </c>
      <c r="BN1229" s="13">
        <v>222.22731690298801</v>
      </c>
      <c r="BO1229" s="13">
        <v>79.737830381567989</v>
      </c>
      <c r="BP1229" s="13">
        <v>307.101589782742</v>
      </c>
      <c r="BQ1229" s="13">
        <v>17.3807459889847</v>
      </c>
      <c r="BT1229" s="298" t="str">
        <f>+VLOOKUP(G1229,Liste!$A$7:$H$50,8,FALSE)</f>
        <v>Feuillus</v>
      </c>
      <c r="BU1229" s="298">
        <f t="shared" si="382"/>
        <v>1</v>
      </c>
      <c r="BV1229" s="300">
        <f t="shared" si="383"/>
        <v>0</v>
      </c>
      <c r="BW1229" s="321">
        <v>0</v>
      </c>
      <c r="BX1229" s="298">
        <f t="shared" si="384"/>
        <v>0.25</v>
      </c>
      <c r="BY1229">
        <f t="shared" si="385"/>
        <v>0</v>
      </c>
      <c r="BZ1229" s="304">
        <f t="shared" si="386"/>
        <v>0</v>
      </c>
      <c r="CB1229" s="299">
        <v>0.6</v>
      </c>
      <c r="CC1229" s="299">
        <v>0.4</v>
      </c>
      <c r="CD1229">
        <f t="shared" si="387"/>
        <v>0</v>
      </c>
      <c r="CE1229">
        <f t="shared" si="388"/>
        <v>0</v>
      </c>
      <c r="CF1229">
        <f t="shared" si="389"/>
        <v>0</v>
      </c>
      <c r="CG1229">
        <f t="shared" si="390"/>
        <v>0</v>
      </c>
      <c r="CH1229">
        <f t="shared" si="391"/>
        <v>0</v>
      </c>
      <c r="CI1229">
        <f t="shared" si="392"/>
        <v>0</v>
      </c>
      <c r="CJ1229">
        <f t="shared" si="393"/>
        <v>0</v>
      </c>
      <c r="CK1229">
        <f t="shared" si="394"/>
        <v>0</v>
      </c>
      <c r="CL1229">
        <f t="shared" si="395"/>
        <v>0</v>
      </c>
      <c r="CM1229">
        <f t="shared" si="397"/>
        <v>0</v>
      </c>
      <c r="CN1229">
        <f t="shared" si="396"/>
        <v>0</v>
      </c>
      <c r="CO1229">
        <f t="shared" si="380"/>
        <v>0</v>
      </c>
    </row>
    <row r="1230" spans="1:93" x14ac:dyDescent="0.25">
      <c r="A1230" s="4">
        <v>2021</v>
      </c>
      <c r="B1230" s="318">
        <v>44298</v>
      </c>
      <c r="C1230" s="4" t="s">
        <v>66</v>
      </c>
      <c r="D1230" s="4" t="s">
        <v>1504</v>
      </c>
      <c r="F1230" s="4" t="s">
        <v>90</v>
      </c>
      <c r="G1230" s="5" t="s">
        <v>69</v>
      </c>
      <c r="H1230" s="5" t="s">
        <v>22</v>
      </c>
      <c r="I1230" s="5" t="s">
        <v>146</v>
      </c>
      <c r="J1230" s="5" t="s">
        <v>9</v>
      </c>
      <c r="K1230" s="5">
        <v>26</v>
      </c>
      <c r="L1230" s="5" t="s">
        <v>194</v>
      </c>
      <c r="M1230" s="5">
        <v>1600</v>
      </c>
      <c r="N1230" s="5" t="s">
        <v>170</v>
      </c>
      <c r="O1230" s="6" t="s">
        <v>81</v>
      </c>
      <c r="P1230" s="6" t="s">
        <v>1505</v>
      </c>
      <c r="S1230" s="6">
        <v>31</v>
      </c>
      <c r="T1230" s="6">
        <v>16.22</v>
      </c>
      <c r="U1230" s="6">
        <v>1446</v>
      </c>
      <c r="V1230" s="6">
        <v>21.44</v>
      </c>
      <c r="W1230" s="6">
        <v>65</v>
      </c>
      <c r="X1230" s="6">
        <v>525</v>
      </c>
      <c r="Y1230" s="6">
        <v>696</v>
      </c>
      <c r="Z1230" s="6">
        <v>155</v>
      </c>
      <c r="AA1230" s="6">
        <v>5</v>
      </c>
      <c r="AB1230" s="6">
        <v>0</v>
      </c>
      <c r="AC1230" s="7">
        <v>47</v>
      </c>
      <c r="AD1230" s="7" t="s">
        <v>52</v>
      </c>
      <c r="AE1230" s="7">
        <v>22.5</v>
      </c>
      <c r="AF1230" s="7">
        <v>256</v>
      </c>
      <c r="AG1230" s="7">
        <v>16.41</v>
      </c>
      <c r="AH1230" s="7">
        <v>28.57</v>
      </c>
      <c r="AI1230" s="7">
        <v>31.61</v>
      </c>
      <c r="AJ1230" s="9">
        <v>177.07966239859701</v>
      </c>
      <c r="AK1230" s="9">
        <v>194.736362729577</v>
      </c>
      <c r="AL1230" s="9">
        <v>219.53674823028899</v>
      </c>
      <c r="AM1230" s="9">
        <v>37.183289511988498</v>
      </c>
      <c r="AN1230" s="9">
        <v>0.79113381940401095</v>
      </c>
      <c r="AO1230" s="9">
        <v>0.87852399191125097</v>
      </c>
      <c r="AP1230" s="9">
        <v>432.80369241579098</v>
      </c>
      <c r="AQ1230" s="9">
        <v>9.2085892003359895</v>
      </c>
      <c r="AR1230" s="9">
        <v>15.5073951651309</v>
      </c>
      <c r="AS1230" s="8" t="s">
        <v>169</v>
      </c>
      <c r="AT1230" s="8" t="s">
        <v>169</v>
      </c>
      <c r="AU1230" s="10" t="s">
        <v>169</v>
      </c>
      <c r="AV1230" s="10">
        <v>0</v>
      </c>
      <c r="AX1230" s="10" t="s">
        <v>169</v>
      </c>
      <c r="BF1230" s="12">
        <v>0.56999999999999995</v>
      </c>
      <c r="BG1230" s="13">
        <v>217.94510680561899</v>
      </c>
      <c r="BH1230" s="96" t="str">
        <f>+VLOOKUP(G1230,Liste!$A$7:$G$50,3,FALSE)</f>
        <v>Chene_pedoncule</v>
      </c>
      <c r="BI1230" s="96" t="str">
        <f>+VLOOKUP(H1230,Liste!$B$7:$G$50,5,FALSE)</f>
        <v>Guide chênaie continentale</v>
      </c>
      <c r="BJ1230" s="135">
        <f t="shared" si="379"/>
        <v>47</v>
      </c>
      <c r="BK1230" s="135" t="str">
        <f t="shared" si="381"/>
        <v>Chene_pedoncule_F1_Dynamique_Guide chênaie continentale_47_</v>
      </c>
      <c r="BL1230" s="322"/>
      <c r="BM1230" s="13">
        <v>57.2484738153846</v>
      </c>
      <c r="BN1230" s="13">
        <v>275.193580621004</v>
      </c>
      <c r="BO1230" s="13" t="s">
        <v>169</v>
      </c>
      <c r="BP1230" s="13">
        <v>307.101589782742</v>
      </c>
      <c r="BQ1230" s="13">
        <v>18.670498902976099</v>
      </c>
      <c r="BT1230" s="298" t="str">
        <f>+VLOOKUP(G1230,Liste!$A$7:$H$50,8,FALSE)</f>
        <v>Feuillus</v>
      </c>
      <c r="BU1230" s="298">
        <f t="shared" si="382"/>
        <v>1</v>
      </c>
      <c r="BV1230" s="300">
        <f t="shared" si="383"/>
        <v>0</v>
      </c>
      <c r="BW1230" s="321">
        <v>0</v>
      </c>
      <c r="BX1230" s="298">
        <f t="shared" si="384"/>
        <v>0.25</v>
      </c>
      <c r="BY1230">
        <f t="shared" si="385"/>
        <v>0</v>
      </c>
      <c r="BZ1230" s="304">
        <f t="shared" si="386"/>
        <v>0</v>
      </c>
      <c r="CB1230" s="299">
        <v>0.6</v>
      </c>
      <c r="CC1230" s="299">
        <v>0.4</v>
      </c>
      <c r="CD1230">
        <f t="shared" si="387"/>
        <v>0</v>
      </c>
      <c r="CE1230">
        <f t="shared" si="388"/>
        <v>0</v>
      </c>
      <c r="CF1230">
        <f t="shared" si="389"/>
        <v>0</v>
      </c>
      <c r="CG1230">
        <f t="shared" si="390"/>
        <v>0</v>
      </c>
      <c r="CH1230">
        <f t="shared" si="391"/>
        <v>0</v>
      </c>
      <c r="CI1230">
        <f t="shared" si="392"/>
        <v>0</v>
      </c>
      <c r="CJ1230">
        <f t="shared" si="393"/>
        <v>0</v>
      </c>
      <c r="CK1230">
        <f t="shared" si="394"/>
        <v>0</v>
      </c>
      <c r="CL1230">
        <f t="shared" si="395"/>
        <v>0</v>
      </c>
      <c r="CM1230">
        <f t="shared" si="397"/>
        <v>0</v>
      </c>
      <c r="CN1230">
        <f t="shared" si="396"/>
        <v>0</v>
      </c>
      <c r="CO1230">
        <f t="shared" si="380"/>
        <v>0</v>
      </c>
    </row>
    <row r="1231" spans="1:93" x14ac:dyDescent="0.25">
      <c r="A1231" s="4">
        <v>2021</v>
      </c>
      <c r="B1231" s="318">
        <v>44298</v>
      </c>
      <c r="C1231" s="4" t="s">
        <v>66</v>
      </c>
      <c r="D1231" s="4" t="s">
        <v>1504</v>
      </c>
      <c r="F1231" s="4" t="s">
        <v>90</v>
      </c>
      <c r="G1231" s="5" t="s">
        <v>69</v>
      </c>
      <c r="H1231" s="5" t="s">
        <v>22</v>
      </c>
      <c r="I1231" s="5" t="s">
        <v>146</v>
      </c>
      <c r="J1231" s="5" t="s">
        <v>9</v>
      </c>
      <c r="K1231" s="5">
        <v>26</v>
      </c>
      <c r="L1231" s="5" t="s">
        <v>194</v>
      </c>
      <c r="M1231" s="5">
        <v>1600</v>
      </c>
      <c r="N1231" s="5" t="s">
        <v>170</v>
      </c>
      <c r="O1231" s="6" t="s">
        <v>81</v>
      </c>
      <c r="P1231" s="6" t="s">
        <v>1505</v>
      </c>
      <c r="S1231" s="6">
        <v>31</v>
      </c>
      <c r="T1231" s="6">
        <v>16.22</v>
      </c>
      <c r="U1231" s="6">
        <v>1446</v>
      </c>
      <c r="V1231" s="6">
        <v>21.44</v>
      </c>
      <c r="W1231" s="6">
        <v>65</v>
      </c>
      <c r="X1231" s="6">
        <v>525</v>
      </c>
      <c r="Y1231" s="6">
        <v>696</v>
      </c>
      <c r="Z1231" s="6">
        <v>155</v>
      </c>
      <c r="AA1231" s="6">
        <v>5</v>
      </c>
      <c r="AB1231" s="6">
        <v>0</v>
      </c>
      <c r="AC1231" s="7">
        <v>51</v>
      </c>
      <c r="AD1231" s="7" t="s">
        <v>52</v>
      </c>
      <c r="AE1231" s="7">
        <v>23.82</v>
      </c>
      <c r="AF1231" s="7">
        <v>256</v>
      </c>
      <c r="AG1231" s="7">
        <v>19.93</v>
      </c>
      <c r="AH1231" s="7">
        <v>31.48</v>
      </c>
      <c r="AI1231" s="7">
        <v>34.57</v>
      </c>
      <c r="AJ1231" s="9">
        <v>228.61980134091499</v>
      </c>
      <c r="AK1231" s="9">
        <v>252.29627079996899</v>
      </c>
      <c r="AL1231" s="9">
        <v>281.566328890813</v>
      </c>
      <c r="AM1231" s="9">
        <v>40.697385479633503</v>
      </c>
      <c r="AN1231" s="9">
        <v>0.79798795058104899</v>
      </c>
      <c r="AO1231" s="9">
        <v>0.79418891036485895</v>
      </c>
      <c r="AP1231" s="9">
        <v>494.83327307631498</v>
      </c>
      <c r="AQ1231" s="9">
        <v>9.7026131975748093</v>
      </c>
      <c r="AR1231" s="9">
        <v>14.554716566373401</v>
      </c>
      <c r="AS1231" s="8" t="s">
        <v>169</v>
      </c>
      <c r="AT1231" s="8" t="s">
        <v>169</v>
      </c>
      <c r="AU1231" s="10" t="s">
        <v>169</v>
      </c>
      <c r="AV1231" s="10">
        <v>0</v>
      </c>
      <c r="AX1231" s="10" t="s">
        <v>169</v>
      </c>
      <c r="BF1231" s="12">
        <v>0.56999999999999995</v>
      </c>
      <c r="BG1231" s="13">
        <v>279.524973006354</v>
      </c>
      <c r="BH1231" s="96" t="str">
        <f>+VLOOKUP(G1231,Liste!$A$7:$G$50,3,FALSE)</f>
        <v>Chene_pedoncule</v>
      </c>
      <c r="BI1231" s="96" t="str">
        <f>+VLOOKUP(H1231,Liste!$B$7:$G$50,5,FALSE)</f>
        <v>Guide chênaie continentale</v>
      </c>
      <c r="BJ1231" s="135">
        <f t="shared" si="379"/>
        <v>51</v>
      </c>
      <c r="BK1231" s="135" t="str">
        <f t="shared" si="381"/>
        <v>Chene_pedoncule_F1_Dynamique_Guide chênaie continentale_51_</v>
      </c>
      <c r="BL1231" s="322"/>
      <c r="BM1231" s="13">
        <v>71.327606393806803</v>
      </c>
      <c r="BN1231" s="13">
        <v>350.85257940016101</v>
      </c>
      <c r="BO1231" s="13" t="s">
        <v>169</v>
      </c>
      <c r="BP1231" s="13">
        <v>307.101589782742</v>
      </c>
      <c r="BQ1231" s="13">
        <v>17.4849506125388</v>
      </c>
      <c r="BT1231" s="298" t="str">
        <f>+VLOOKUP(G1231,Liste!$A$7:$H$50,8,FALSE)</f>
        <v>Feuillus</v>
      </c>
      <c r="BU1231" s="298">
        <f t="shared" si="382"/>
        <v>1</v>
      </c>
      <c r="BV1231" s="300">
        <f t="shared" si="383"/>
        <v>0</v>
      </c>
      <c r="BW1231" s="321">
        <v>0</v>
      </c>
      <c r="BX1231" s="298">
        <f t="shared" si="384"/>
        <v>0.25</v>
      </c>
      <c r="BY1231">
        <f t="shared" si="385"/>
        <v>0</v>
      </c>
      <c r="BZ1231" s="304">
        <f t="shared" si="386"/>
        <v>0</v>
      </c>
      <c r="CB1231" s="299">
        <v>0.6</v>
      </c>
      <c r="CC1231" s="299">
        <v>0.4</v>
      </c>
      <c r="CD1231">
        <f t="shared" si="387"/>
        <v>0</v>
      </c>
      <c r="CE1231">
        <f t="shared" si="388"/>
        <v>0</v>
      </c>
      <c r="CF1231">
        <f t="shared" si="389"/>
        <v>0</v>
      </c>
      <c r="CG1231">
        <f t="shared" si="390"/>
        <v>0</v>
      </c>
      <c r="CH1231">
        <f t="shared" si="391"/>
        <v>0</v>
      </c>
      <c r="CI1231">
        <f t="shared" si="392"/>
        <v>0</v>
      </c>
      <c r="CJ1231">
        <f t="shared" si="393"/>
        <v>0</v>
      </c>
      <c r="CK1231">
        <f t="shared" si="394"/>
        <v>0</v>
      </c>
      <c r="CL1231">
        <f t="shared" si="395"/>
        <v>0</v>
      </c>
      <c r="CM1231">
        <f t="shared" si="397"/>
        <v>0</v>
      </c>
      <c r="CN1231">
        <f t="shared" si="396"/>
        <v>0</v>
      </c>
      <c r="CO1231">
        <f t="shared" si="380"/>
        <v>0</v>
      </c>
    </row>
    <row r="1232" spans="1:93" x14ac:dyDescent="0.25">
      <c r="A1232" s="4">
        <v>2021</v>
      </c>
      <c r="B1232" s="318">
        <v>44298</v>
      </c>
      <c r="C1232" s="4" t="s">
        <v>66</v>
      </c>
      <c r="D1232" s="4" t="s">
        <v>1504</v>
      </c>
      <c r="F1232" s="4" t="s">
        <v>90</v>
      </c>
      <c r="G1232" s="5" t="s">
        <v>69</v>
      </c>
      <c r="H1232" s="5" t="s">
        <v>22</v>
      </c>
      <c r="I1232" s="5" t="s">
        <v>146</v>
      </c>
      <c r="J1232" s="5" t="s">
        <v>9</v>
      </c>
      <c r="K1232" s="5">
        <v>26</v>
      </c>
      <c r="L1232" s="5" t="s">
        <v>194</v>
      </c>
      <c r="M1232" s="5">
        <v>1600</v>
      </c>
      <c r="N1232" s="5" t="s">
        <v>170</v>
      </c>
      <c r="O1232" s="6" t="s">
        <v>81</v>
      </c>
      <c r="P1232" s="6" t="s">
        <v>1505</v>
      </c>
      <c r="S1232" s="6">
        <v>31</v>
      </c>
      <c r="T1232" s="6">
        <v>16.22</v>
      </c>
      <c r="U1232" s="6">
        <v>1446</v>
      </c>
      <c r="V1232" s="6">
        <v>21.44</v>
      </c>
      <c r="W1232" s="6">
        <v>65</v>
      </c>
      <c r="X1232" s="6">
        <v>525</v>
      </c>
      <c r="Y1232" s="6">
        <v>696</v>
      </c>
      <c r="Z1232" s="6">
        <v>155</v>
      </c>
      <c r="AA1232" s="6">
        <v>5</v>
      </c>
      <c r="AB1232" s="6">
        <v>0</v>
      </c>
      <c r="AC1232" s="7">
        <v>51</v>
      </c>
      <c r="AD1232" s="7" t="s">
        <v>53</v>
      </c>
      <c r="AE1232" s="7">
        <v>23.82</v>
      </c>
      <c r="AF1232" s="7">
        <v>192</v>
      </c>
      <c r="AG1232" s="7">
        <v>15.71</v>
      </c>
      <c r="AH1232" s="7">
        <v>32.28</v>
      </c>
      <c r="AI1232" s="7">
        <v>34.57</v>
      </c>
      <c r="AJ1232" s="9">
        <v>180.70035624447999</v>
      </c>
      <c r="AK1232" s="9">
        <v>200.03345154440501</v>
      </c>
      <c r="AL1232" s="9">
        <v>222.98890925549401</v>
      </c>
      <c r="AM1232" s="9">
        <v>40.697385479633503</v>
      </c>
      <c r="AN1232" s="9">
        <v>0.79798795058104899</v>
      </c>
      <c r="AO1232" s="9">
        <v>0.79418891036485895</v>
      </c>
      <c r="AP1232" s="9">
        <v>494.83327307631498</v>
      </c>
      <c r="AQ1232" s="9">
        <v>9.7026131975748005</v>
      </c>
      <c r="AR1232" s="9">
        <v>14.554716566373401</v>
      </c>
      <c r="AS1232" s="8">
        <v>64</v>
      </c>
      <c r="AT1232" s="8">
        <v>4.2199999999999989</v>
      </c>
      <c r="AU1232" s="10">
        <v>28.974856769443186</v>
      </c>
      <c r="AV1232" s="10">
        <v>47.919445096434998</v>
      </c>
      <c r="AW1232" s="8">
        <v>0.85</v>
      </c>
      <c r="AX1232" s="10">
        <v>0.74874132963179685</v>
      </c>
      <c r="BF1232" s="12">
        <v>0.56999999999999995</v>
      </c>
      <c r="BG1232" s="13">
        <v>221.37223966339201</v>
      </c>
      <c r="BH1232" s="96" t="str">
        <f>+VLOOKUP(G1232,Liste!$A$7:$G$50,3,FALSE)</f>
        <v>Chene_pedoncule</v>
      </c>
      <c r="BI1232" s="96" t="str">
        <f>+VLOOKUP(H1232,Liste!$B$7:$G$50,5,FALSE)</f>
        <v>Guide chênaie continentale</v>
      </c>
      <c r="BJ1232" s="135">
        <f t="shared" si="379"/>
        <v>51</v>
      </c>
      <c r="BK1232" s="135" t="str">
        <f t="shared" si="381"/>
        <v>Chene_pedoncule_F1_Dynamique_Guide chênaie continentale_51_</v>
      </c>
      <c r="BL1232" s="322"/>
      <c r="BM1232" s="13">
        <v>58.043182771349599</v>
      </c>
      <c r="BN1232" s="13">
        <v>279.41542243474203</v>
      </c>
      <c r="BO1232" s="13">
        <v>71.437156965418978</v>
      </c>
      <c r="BP1232" s="13">
        <v>307.101589782742</v>
      </c>
      <c r="BQ1232" s="13">
        <v>17.4849506125388</v>
      </c>
      <c r="BT1232" s="298" t="str">
        <f>+VLOOKUP(G1232,Liste!$A$7:$H$50,8,FALSE)</f>
        <v>Feuillus</v>
      </c>
      <c r="BU1232" s="298">
        <f t="shared" si="382"/>
        <v>1</v>
      </c>
      <c r="BV1232" s="300">
        <f t="shared" si="383"/>
        <v>0</v>
      </c>
      <c r="BW1232" s="321">
        <v>0</v>
      </c>
      <c r="BX1232" s="298">
        <f t="shared" si="384"/>
        <v>0.25</v>
      </c>
      <c r="BY1232">
        <f t="shared" si="385"/>
        <v>0</v>
      </c>
      <c r="BZ1232" s="304">
        <f t="shared" si="386"/>
        <v>0</v>
      </c>
      <c r="CB1232" s="299">
        <v>0.6</v>
      </c>
      <c r="CC1232" s="299">
        <v>0.4</v>
      </c>
      <c r="CD1232">
        <f t="shared" si="387"/>
        <v>0</v>
      </c>
      <c r="CE1232">
        <f t="shared" si="388"/>
        <v>0</v>
      </c>
      <c r="CF1232">
        <f t="shared" si="389"/>
        <v>0</v>
      </c>
      <c r="CG1232">
        <f t="shared" si="390"/>
        <v>0</v>
      </c>
      <c r="CH1232">
        <f t="shared" si="391"/>
        <v>0</v>
      </c>
      <c r="CI1232">
        <f t="shared" si="392"/>
        <v>0</v>
      </c>
      <c r="CJ1232">
        <f t="shared" si="393"/>
        <v>0</v>
      </c>
      <c r="CK1232">
        <f t="shared" si="394"/>
        <v>0</v>
      </c>
      <c r="CL1232">
        <f t="shared" si="395"/>
        <v>0</v>
      </c>
      <c r="CM1232">
        <f t="shared" si="397"/>
        <v>0</v>
      </c>
      <c r="CN1232">
        <f t="shared" si="396"/>
        <v>0</v>
      </c>
      <c r="CO1232">
        <f t="shared" si="380"/>
        <v>0</v>
      </c>
    </row>
    <row r="1233" spans="1:93" x14ac:dyDescent="0.25">
      <c r="A1233" s="4">
        <v>2021</v>
      </c>
      <c r="B1233" s="318">
        <v>44298</v>
      </c>
      <c r="C1233" s="4" t="s">
        <v>66</v>
      </c>
      <c r="D1233" s="4" t="s">
        <v>1504</v>
      </c>
      <c r="F1233" s="4" t="s">
        <v>90</v>
      </c>
      <c r="G1233" s="5" t="s">
        <v>69</v>
      </c>
      <c r="H1233" s="5" t="s">
        <v>22</v>
      </c>
      <c r="I1233" s="5" t="s">
        <v>146</v>
      </c>
      <c r="J1233" s="5" t="s">
        <v>9</v>
      </c>
      <c r="K1233" s="5">
        <v>26</v>
      </c>
      <c r="L1233" s="5" t="s">
        <v>194</v>
      </c>
      <c r="M1233" s="5">
        <v>1600</v>
      </c>
      <c r="N1233" s="5" t="s">
        <v>170</v>
      </c>
      <c r="O1233" s="6" t="s">
        <v>81</v>
      </c>
      <c r="P1233" s="6" t="s">
        <v>1505</v>
      </c>
      <c r="S1233" s="6">
        <v>31</v>
      </c>
      <c r="T1233" s="6">
        <v>16.22</v>
      </c>
      <c r="U1233" s="6">
        <v>1446</v>
      </c>
      <c r="V1233" s="6">
        <v>21.44</v>
      </c>
      <c r="W1233" s="6">
        <v>65</v>
      </c>
      <c r="X1233" s="6">
        <v>525</v>
      </c>
      <c r="Y1233" s="6">
        <v>696</v>
      </c>
      <c r="Z1233" s="6">
        <v>155</v>
      </c>
      <c r="AA1233" s="6">
        <v>5</v>
      </c>
      <c r="AB1233" s="6">
        <v>0</v>
      </c>
      <c r="AC1233" s="7">
        <v>54</v>
      </c>
      <c r="AD1233" s="7" t="s">
        <v>52</v>
      </c>
      <c r="AE1233" s="7">
        <v>24.76</v>
      </c>
      <c r="AF1233" s="7">
        <v>192</v>
      </c>
      <c r="AG1233" s="7">
        <v>18.100000000000001</v>
      </c>
      <c r="AH1233" s="7">
        <v>34.64</v>
      </c>
      <c r="AI1233" s="7">
        <v>36.950000000000003</v>
      </c>
      <c r="AJ1233" s="9">
        <v>216.81390732310601</v>
      </c>
      <c r="AK1233" s="9">
        <v>240.688009374876</v>
      </c>
      <c r="AL1233" s="9">
        <v>266.65305895461501</v>
      </c>
      <c r="AM1233" s="9">
        <v>43.079952210728102</v>
      </c>
      <c r="AN1233" s="9">
        <v>0.79777689279126096</v>
      </c>
      <c r="AO1233" s="9">
        <v>0.79270894991714902</v>
      </c>
      <c r="AP1233" s="9">
        <v>538.49742277543498</v>
      </c>
      <c r="AQ1233" s="9">
        <v>9.9721744958414007</v>
      </c>
      <c r="AR1233" s="9">
        <v>15.261606412401299</v>
      </c>
      <c r="AS1233" s="8" t="s">
        <v>169</v>
      </c>
      <c r="AT1233" s="8" t="s">
        <v>169</v>
      </c>
      <c r="AU1233" s="10" t="s">
        <v>169</v>
      </c>
      <c r="AV1233" s="10">
        <v>0</v>
      </c>
      <c r="AX1233" s="10" t="s">
        <v>169</v>
      </c>
      <c r="BF1233" s="12">
        <v>0.56999999999999995</v>
      </c>
      <c r="BG1233" s="13">
        <v>264.71982427719399</v>
      </c>
      <c r="BH1233" s="96" t="str">
        <f>+VLOOKUP(G1233,Liste!$A$7:$G$50,3,FALSE)</f>
        <v>Chene_pedoncule</v>
      </c>
      <c r="BI1233" s="96" t="str">
        <f>+VLOOKUP(H1233,Liste!$B$7:$G$50,5,FALSE)</f>
        <v>Guide chênaie continentale</v>
      </c>
      <c r="BJ1233" s="135">
        <f t="shared" si="379"/>
        <v>54</v>
      </c>
      <c r="BK1233" s="135" t="str">
        <f t="shared" si="381"/>
        <v>Chene_pedoncule_F1_Dynamique_Guide chênaie continentale_54_</v>
      </c>
      <c r="BL1233" s="322"/>
      <c r="BM1233" s="13">
        <v>67.978960106351806</v>
      </c>
      <c r="BN1233" s="13">
        <v>332.69878438354601</v>
      </c>
      <c r="BO1233" s="13" t="s">
        <v>169</v>
      </c>
      <c r="BP1233" s="13">
        <v>307.101589782742</v>
      </c>
      <c r="BQ1233" s="13">
        <v>18.298666568921298</v>
      </c>
      <c r="BT1233" s="298" t="str">
        <f>+VLOOKUP(G1233,Liste!$A$7:$H$50,8,FALSE)</f>
        <v>Feuillus</v>
      </c>
      <c r="BU1233" s="298">
        <f t="shared" si="382"/>
        <v>1</v>
      </c>
      <c r="BV1233" s="300">
        <f t="shared" si="383"/>
        <v>0</v>
      </c>
      <c r="BW1233" s="321">
        <v>0</v>
      </c>
      <c r="BX1233" s="298">
        <f t="shared" si="384"/>
        <v>0.25</v>
      </c>
      <c r="BY1233">
        <f t="shared" si="385"/>
        <v>0</v>
      </c>
      <c r="BZ1233" s="304">
        <f t="shared" si="386"/>
        <v>0</v>
      </c>
      <c r="CB1233" s="299">
        <v>0.6</v>
      </c>
      <c r="CC1233" s="299">
        <v>0.4</v>
      </c>
      <c r="CD1233">
        <f t="shared" si="387"/>
        <v>0</v>
      </c>
      <c r="CE1233">
        <f t="shared" si="388"/>
        <v>0</v>
      </c>
      <c r="CF1233">
        <f t="shared" si="389"/>
        <v>0</v>
      </c>
      <c r="CG1233">
        <f t="shared" si="390"/>
        <v>0</v>
      </c>
      <c r="CH1233">
        <f t="shared" si="391"/>
        <v>0</v>
      </c>
      <c r="CI1233">
        <f t="shared" si="392"/>
        <v>0</v>
      </c>
      <c r="CJ1233">
        <f t="shared" si="393"/>
        <v>0</v>
      </c>
      <c r="CK1233">
        <f t="shared" si="394"/>
        <v>0</v>
      </c>
      <c r="CL1233">
        <f t="shared" si="395"/>
        <v>0</v>
      </c>
      <c r="CM1233">
        <f t="shared" si="397"/>
        <v>0</v>
      </c>
      <c r="CN1233">
        <f t="shared" si="396"/>
        <v>0</v>
      </c>
      <c r="CO1233">
        <f t="shared" si="380"/>
        <v>0</v>
      </c>
    </row>
    <row r="1234" spans="1:93" x14ac:dyDescent="0.25">
      <c r="A1234" s="4">
        <v>2021</v>
      </c>
      <c r="B1234" s="318">
        <v>44298</v>
      </c>
      <c r="C1234" s="4" t="s">
        <v>66</v>
      </c>
      <c r="D1234" s="4" t="s">
        <v>1504</v>
      </c>
      <c r="F1234" s="4" t="s">
        <v>90</v>
      </c>
      <c r="G1234" s="5" t="s">
        <v>69</v>
      </c>
      <c r="H1234" s="5" t="s">
        <v>22</v>
      </c>
      <c r="I1234" s="5" t="s">
        <v>146</v>
      </c>
      <c r="J1234" s="5" t="s">
        <v>9</v>
      </c>
      <c r="K1234" s="5">
        <v>26</v>
      </c>
      <c r="L1234" s="5" t="s">
        <v>194</v>
      </c>
      <c r="M1234" s="5">
        <v>1600</v>
      </c>
      <c r="N1234" s="5" t="s">
        <v>170</v>
      </c>
      <c r="O1234" s="6" t="s">
        <v>81</v>
      </c>
      <c r="P1234" s="6" t="s">
        <v>1505</v>
      </c>
      <c r="S1234" s="6">
        <v>31</v>
      </c>
      <c r="T1234" s="6">
        <v>16.22</v>
      </c>
      <c r="U1234" s="6">
        <v>1446</v>
      </c>
      <c r="V1234" s="6">
        <v>21.44</v>
      </c>
      <c r="W1234" s="6">
        <v>65</v>
      </c>
      <c r="X1234" s="6">
        <v>525</v>
      </c>
      <c r="Y1234" s="6">
        <v>696</v>
      </c>
      <c r="Z1234" s="6">
        <v>155</v>
      </c>
      <c r="AA1234" s="6">
        <v>5</v>
      </c>
      <c r="AB1234" s="6">
        <v>0</v>
      </c>
      <c r="AC1234" s="7">
        <v>58</v>
      </c>
      <c r="AD1234" s="7" t="s">
        <v>52</v>
      </c>
      <c r="AE1234" s="7">
        <v>25.94</v>
      </c>
      <c r="AF1234" s="7">
        <v>192</v>
      </c>
      <c r="AG1234" s="7">
        <v>21.27</v>
      </c>
      <c r="AH1234" s="7">
        <v>37.549999999999997</v>
      </c>
      <c r="AI1234" s="7">
        <v>39.89</v>
      </c>
      <c r="AJ1234" s="9">
        <v>267.53739114165501</v>
      </c>
      <c r="AK1234" s="9">
        <v>297.77038418731701</v>
      </c>
      <c r="AL1234" s="9">
        <v>327.69948460422</v>
      </c>
      <c r="AM1234" s="9">
        <v>46.250788010396697</v>
      </c>
      <c r="AN1234" s="9">
        <v>0.79742737948959797</v>
      </c>
      <c r="AO1234" s="9">
        <v>0.72161497847428102</v>
      </c>
      <c r="AP1234" s="9">
        <v>599.54384842503998</v>
      </c>
      <c r="AQ1234" s="9">
        <v>10.33696290388</v>
      </c>
      <c r="AR1234" s="9">
        <v>14.3426910975243</v>
      </c>
      <c r="AS1234" s="8" t="s">
        <v>169</v>
      </c>
      <c r="AT1234" s="8" t="s">
        <v>169</v>
      </c>
      <c r="AU1234" s="10" t="s">
        <v>169</v>
      </c>
      <c r="AV1234" s="10">
        <v>0</v>
      </c>
      <c r="AX1234" s="10" t="s">
        <v>169</v>
      </c>
      <c r="BF1234" s="12">
        <v>0.56999999999999995</v>
      </c>
      <c r="BG1234" s="13">
        <v>325.323663340839</v>
      </c>
      <c r="BH1234" s="96" t="str">
        <f>+VLOOKUP(G1234,Liste!$A$7:$G$50,3,FALSE)</f>
        <v>Chene_pedoncule</v>
      </c>
      <c r="BI1234" s="96" t="str">
        <f>+VLOOKUP(H1234,Liste!$B$7:$G$50,5,FALSE)</f>
        <v>Guide chênaie continentale</v>
      </c>
      <c r="BJ1234" s="135">
        <f t="shared" si="379"/>
        <v>58</v>
      </c>
      <c r="BK1234" s="135" t="str">
        <f t="shared" si="381"/>
        <v>Chene_pedoncule_F1_Dynamique_Guide chênaie continentale_58_</v>
      </c>
      <c r="BL1234" s="322"/>
      <c r="BM1234" s="13">
        <v>81.560993530713901</v>
      </c>
      <c r="BN1234" s="13">
        <v>406.88465687155298</v>
      </c>
      <c r="BO1234" s="13" t="s">
        <v>169</v>
      </c>
      <c r="BP1234" s="13">
        <v>307.101589782742</v>
      </c>
      <c r="BQ1234" s="13">
        <v>17.166801816250299</v>
      </c>
      <c r="BT1234" s="298" t="str">
        <f>+VLOOKUP(G1234,Liste!$A$7:$H$50,8,FALSE)</f>
        <v>Feuillus</v>
      </c>
      <c r="BU1234" s="298">
        <f t="shared" si="382"/>
        <v>1</v>
      </c>
      <c r="BV1234" s="300">
        <f t="shared" si="383"/>
        <v>0</v>
      </c>
      <c r="BW1234" s="321">
        <v>0</v>
      </c>
      <c r="BX1234" s="298">
        <f t="shared" si="384"/>
        <v>0.25</v>
      </c>
      <c r="BY1234">
        <f t="shared" si="385"/>
        <v>0</v>
      </c>
      <c r="BZ1234" s="304">
        <f t="shared" si="386"/>
        <v>0</v>
      </c>
      <c r="CB1234" s="299">
        <v>0.6</v>
      </c>
      <c r="CC1234" s="299">
        <v>0.4</v>
      </c>
      <c r="CD1234">
        <f t="shared" si="387"/>
        <v>0</v>
      </c>
      <c r="CE1234">
        <f t="shared" si="388"/>
        <v>0</v>
      </c>
      <c r="CF1234">
        <f t="shared" si="389"/>
        <v>0</v>
      </c>
      <c r="CG1234">
        <f t="shared" si="390"/>
        <v>0</v>
      </c>
      <c r="CH1234">
        <f t="shared" si="391"/>
        <v>0</v>
      </c>
      <c r="CI1234">
        <f t="shared" si="392"/>
        <v>0</v>
      </c>
      <c r="CJ1234">
        <f t="shared" si="393"/>
        <v>0</v>
      </c>
      <c r="CK1234">
        <f t="shared" si="394"/>
        <v>0</v>
      </c>
      <c r="CL1234">
        <f t="shared" si="395"/>
        <v>0</v>
      </c>
      <c r="CM1234">
        <f t="shared" si="397"/>
        <v>0</v>
      </c>
      <c r="CN1234">
        <f t="shared" si="396"/>
        <v>0</v>
      </c>
      <c r="CO1234">
        <f t="shared" si="380"/>
        <v>0</v>
      </c>
    </row>
    <row r="1235" spans="1:93" x14ac:dyDescent="0.25">
      <c r="A1235" s="4">
        <v>2021</v>
      </c>
      <c r="B1235" s="318">
        <v>44298</v>
      </c>
      <c r="C1235" s="4" t="s">
        <v>66</v>
      </c>
      <c r="D1235" s="4" t="s">
        <v>1504</v>
      </c>
      <c r="F1235" s="4" t="s">
        <v>90</v>
      </c>
      <c r="G1235" s="5" t="s">
        <v>69</v>
      </c>
      <c r="H1235" s="5" t="s">
        <v>22</v>
      </c>
      <c r="I1235" s="5" t="s">
        <v>146</v>
      </c>
      <c r="J1235" s="5" t="s">
        <v>9</v>
      </c>
      <c r="K1235" s="5">
        <v>26</v>
      </c>
      <c r="L1235" s="5" t="s">
        <v>194</v>
      </c>
      <c r="M1235" s="5">
        <v>1600</v>
      </c>
      <c r="N1235" s="5" t="s">
        <v>170</v>
      </c>
      <c r="O1235" s="6" t="s">
        <v>81</v>
      </c>
      <c r="P1235" s="6" t="s">
        <v>1505</v>
      </c>
      <c r="S1235" s="6">
        <v>31</v>
      </c>
      <c r="T1235" s="6">
        <v>16.22</v>
      </c>
      <c r="U1235" s="6">
        <v>1446</v>
      </c>
      <c r="V1235" s="6">
        <v>21.44</v>
      </c>
      <c r="W1235" s="6">
        <v>65</v>
      </c>
      <c r="X1235" s="6">
        <v>525</v>
      </c>
      <c r="Y1235" s="6">
        <v>696</v>
      </c>
      <c r="Z1235" s="6">
        <v>155</v>
      </c>
      <c r="AA1235" s="6">
        <v>5</v>
      </c>
      <c r="AB1235" s="6">
        <v>0</v>
      </c>
      <c r="AC1235" s="7">
        <v>58</v>
      </c>
      <c r="AD1235" s="7" t="s">
        <v>53</v>
      </c>
      <c r="AE1235" s="7">
        <v>25.94</v>
      </c>
      <c r="AF1235" s="7">
        <v>153</v>
      </c>
      <c r="AG1235" s="7">
        <v>17.39</v>
      </c>
      <c r="AH1235" s="7">
        <v>38.04</v>
      </c>
      <c r="AI1235" s="7">
        <v>39.71</v>
      </c>
      <c r="AJ1235" s="9">
        <v>218.97805999575601</v>
      </c>
      <c r="AK1235" s="9">
        <v>244.095670091269</v>
      </c>
      <c r="AL1235" s="9">
        <v>268.51804618023198</v>
      </c>
      <c r="AM1235" s="9">
        <v>46.250788010396697</v>
      </c>
      <c r="AN1235" s="9">
        <v>0.79742737948959797</v>
      </c>
      <c r="AO1235" s="9">
        <v>0.72161497847428102</v>
      </c>
      <c r="AP1235" s="9">
        <v>599.54384842503998</v>
      </c>
      <c r="AQ1235" s="9">
        <v>10.33696290388</v>
      </c>
      <c r="AR1235" s="9">
        <v>14.3426910975243</v>
      </c>
      <c r="AS1235" s="8">
        <v>39</v>
      </c>
      <c r="AT1235" s="8">
        <v>3.879999999999999</v>
      </c>
      <c r="AU1235" s="10">
        <v>35.5908711774862</v>
      </c>
      <c r="AV1235" s="10">
        <v>48.559331145898994</v>
      </c>
      <c r="AW1235" s="8">
        <v>0.9</v>
      </c>
      <c r="AX1235" s="10">
        <v>1.2451110550230511</v>
      </c>
      <c r="BF1235" s="12">
        <v>0.56999999999999995</v>
      </c>
      <c r="BG1235" s="13">
        <v>266.57129034542601</v>
      </c>
      <c r="BH1235" s="96" t="str">
        <f>+VLOOKUP(G1235,Liste!$A$7:$G$50,3,FALSE)</f>
        <v>Chene_pedoncule</v>
      </c>
      <c r="BI1235" s="96" t="str">
        <f>+VLOOKUP(H1235,Liste!$B$7:$G$50,5,FALSE)</f>
        <v>Guide chênaie continentale</v>
      </c>
      <c r="BJ1235" s="135">
        <f t="shared" si="379"/>
        <v>58</v>
      </c>
      <c r="BK1235" s="135" t="str">
        <f t="shared" si="381"/>
        <v>Chene_pedoncule_F1_Dynamique_Guide chênaie continentale_58_</v>
      </c>
      <c r="BL1235" s="322"/>
      <c r="BM1235" s="13">
        <v>68.398896154040798</v>
      </c>
      <c r="BN1235" s="13">
        <v>334.97018649946602</v>
      </c>
      <c r="BO1235" s="13">
        <v>71.914470372086953</v>
      </c>
      <c r="BP1235" s="13">
        <v>307.101589782742</v>
      </c>
      <c r="BQ1235" s="13">
        <v>17.166801816250299</v>
      </c>
      <c r="BT1235" s="298" t="str">
        <f>+VLOOKUP(G1235,Liste!$A$7:$H$50,8,FALSE)</f>
        <v>Feuillus</v>
      </c>
      <c r="BU1235" s="298">
        <f t="shared" si="382"/>
        <v>1</v>
      </c>
      <c r="BV1235" s="300">
        <f t="shared" si="383"/>
        <v>0</v>
      </c>
      <c r="BW1235" s="321">
        <v>0</v>
      </c>
      <c r="BX1235" s="298">
        <f t="shared" si="384"/>
        <v>0.25</v>
      </c>
      <c r="BY1235">
        <f t="shared" si="385"/>
        <v>0</v>
      </c>
      <c r="BZ1235" s="304">
        <f t="shared" si="386"/>
        <v>0</v>
      </c>
      <c r="CB1235" s="299">
        <v>0.6</v>
      </c>
      <c r="CC1235" s="299">
        <v>0.4</v>
      </c>
      <c r="CD1235">
        <f t="shared" si="387"/>
        <v>0</v>
      </c>
      <c r="CE1235">
        <f t="shared" si="388"/>
        <v>0</v>
      </c>
      <c r="CF1235">
        <f t="shared" si="389"/>
        <v>0</v>
      </c>
      <c r="CG1235">
        <f t="shared" si="390"/>
        <v>0</v>
      </c>
      <c r="CH1235">
        <f t="shared" si="391"/>
        <v>0</v>
      </c>
      <c r="CI1235">
        <f t="shared" si="392"/>
        <v>0</v>
      </c>
      <c r="CJ1235">
        <f t="shared" si="393"/>
        <v>0</v>
      </c>
      <c r="CK1235">
        <f t="shared" si="394"/>
        <v>0</v>
      </c>
      <c r="CL1235">
        <f t="shared" si="395"/>
        <v>0</v>
      </c>
      <c r="CM1235">
        <f t="shared" si="397"/>
        <v>0</v>
      </c>
      <c r="CN1235">
        <f t="shared" si="396"/>
        <v>0</v>
      </c>
      <c r="CO1235">
        <f t="shared" si="380"/>
        <v>0</v>
      </c>
    </row>
    <row r="1236" spans="1:93" x14ac:dyDescent="0.25">
      <c r="A1236" s="4">
        <v>2021</v>
      </c>
      <c r="B1236" s="318">
        <v>44298</v>
      </c>
      <c r="C1236" s="4" t="s">
        <v>66</v>
      </c>
      <c r="D1236" s="4" t="s">
        <v>1504</v>
      </c>
      <c r="F1236" s="4" t="s">
        <v>90</v>
      </c>
      <c r="G1236" s="5" t="s">
        <v>69</v>
      </c>
      <c r="H1236" s="5" t="s">
        <v>22</v>
      </c>
      <c r="I1236" s="5" t="s">
        <v>146</v>
      </c>
      <c r="J1236" s="5" t="s">
        <v>9</v>
      </c>
      <c r="K1236" s="5">
        <v>26</v>
      </c>
      <c r="L1236" s="5" t="s">
        <v>194</v>
      </c>
      <c r="M1236" s="5">
        <v>1600</v>
      </c>
      <c r="N1236" s="5" t="s">
        <v>170</v>
      </c>
      <c r="O1236" s="6" t="s">
        <v>81</v>
      </c>
      <c r="P1236" s="6" t="s">
        <v>1505</v>
      </c>
      <c r="S1236" s="6">
        <v>31</v>
      </c>
      <c r="T1236" s="6">
        <v>16.22</v>
      </c>
      <c r="U1236" s="6">
        <v>1446</v>
      </c>
      <c r="V1236" s="6">
        <v>21.44</v>
      </c>
      <c r="W1236" s="6">
        <v>65</v>
      </c>
      <c r="X1236" s="6">
        <v>525</v>
      </c>
      <c r="Y1236" s="6">
        <v>696</v>
      </c>
      <c r="Z1236" s="6">
        <v>155</v>
      </c>
      <c r="AA1236" s="6">
        <v>5</v>
      </c>
      <c r="AB1236" s="6">
        <v>0</v>
      </c>
      <c r="AC1236" s="7">
        <v>61</v>
      </c>
      <c r="AD1236" s="7" t="s">
        <v>52</v>
      </c>
      <c r="AE1236" s="7">
        <v>26.77</v>
      </c>
      <c r="AF1236" s="7">
        <v>153</v>
      </c>
      <c r="AG1236" s="7">
        <v>19.559999999999999</v>
      </c>
      <c r="AH1236" s="7">
        <v>40.340000000000003</v>
      </c>
      <c r="AI1236" s="7">
        <v>42.02</v>
      </c>
      <c r="AJ1236" s="9">
        <v>254.656020219379</v>
      </c>
      <c r="AK1236" s="9">
        <v>284.43667056253901</v>
      </c>
      <c r="AL1236" s="9">
        <v>311.546119472805</v>
      </c>
      <c r="AM1236" s="9">
        <v>48.415632945819503</v>
      </c>
      <c r="AN1236" s="9">
        <v>0.79369890075114002</v>
      </c>
      <c r="AO1236" s="9">
        <v>0.71515932038491703</v>
      </c>
      <c r="AP1236" s="9">
        <v>642.57192171761301</v>
      </c>
      <c r="AQ1236" s="9">
        <v>10.533965929796899</v>
      </c>
      <c r="AR1236" s="9">
        <v>14.770543312692199</v>
      </c>
      <c r="AS1236" s="8" t="s">
        <v>169</v>
      </c>
      <c r="AT1236" s="8" t="s">
        <v>169</v>
      </c>
      <c r="AU1236" s="10" t="s">
        <v>169</v>
      </c>
      <c r="AV1236" s="10">
        <v>0</v>
      </c>
      <c r="AX1236" s="10" t="s">
        <v>169</v>
      </c>
      <c r="BF1236" s="12">
        <v>0.56999999999999995</v>
      </c>
      <c r="BG1236" s="13">
        <v>309.28741010662702</v>
      </c>
      <c r="BH1236" s="96" t="str">
        <f>+VLOOKUP(G1236,Liste!$A$7:$G$50,3,FALSE)</f>
        <v>Chene_pedoncule</v>
      </c>
      <c r="BI1236" s="96" t="str">
        <f>+VLOOKUP(H1236,Liste!$B$7:$G$50,5,FALSE)</f>
        <v>Guide chênaie continentale</v>
      </c>
      <c r="BJ1236" s="135">
        <f t="shared" si="379"/>
        <v>61</v>
      </c>
      <c r="BK1236" s="135" t="str">
        <f t="shared" si="381"/>
        <v>Chene_pedoncule_F1_Dynamique_Guide chênaie continentale_61_</v>
      </c>
      <c r="BL1236" s="322"/>
      <c r="BM1236" s="13">
        <v>77.998180620540296</v>
      </c>
      <c r="BN1236" s="13">
        <v>387.28559072716803</v>
      </c>
      <c r="BO1236" s="13" t="s">
        <v>169</v>
      </c>
      <c r="BP1236" s="13">
        <v>307.101589782742</v>
      </c>
      <c r="BQ1236" s="13">
        <v>17.651344111446701</v>
      </c>
      <c r="BT1236" s="298" t="str">
        <f>+VLOOKUP(G1236,Liste!$A$7:$H$50,8,FALSE)</f>
        <v>Feuillus</v>
      </c>
      <c r="BU1236" s="298">
        <f t="shared" si="382"/>
        <v>1</v>
      </c>
      <c r="BV1236" s="300">
        <f t="shared" si="383"/>
        <v>0</v>
      </c>
      <c r="BW1236" s="321">
        <v>0</v>
      </c>
      <c r="BX1236" s="298">
        <f t="shared" si="384"/>
        <v>0.25</v>
      </c>
      <c r="BY1236">
        <f t="shared" si="385"/>
        <v>0</v>
      </c>
      <c r="BZ1236" s="304">
        <f t="shared" si="386"/>
        <v>0</v>
      </c>
      <c r="CB1236" s="299">
        <v>0.6</v>
      </c>
      <c r="CC1236" s="299">
        <v>0.4</v>
      </c>
      <c r="CD1236">
        <f t="shared" si="387"/>
        <v>0</v>
      </c>
      <c r="CE1236">
        <f t="shared" si="388"/>
        <v>0</v>
      </c>
      <c r="CF1236">
        <f t="shared" si="389"/>
        <v>0</v>
      </c>
      <c r="CG1236">
        <f t="shared" si="390"/>
        <v>0</v>
      </c>
      <c r="CH1236">
        <f t="shared" si="391"/>
        <v>0</v>
      </c>
      <c r="CI1236">
        <f t="shared" si="392"/>
        <v>0</v>
      </c>
      <c r="CJ1236">
        <f t="shared" si="393"/>
        <v>0</v>
      </c>
      <c r="CK1236">
        <f t="shared" si="394"/>
        <v>0</v>
      </c>
      <c r="CL1236">
        <f t="shared" si="395"/>
        <v>0</v>
      </c>
      <c r="CM1236">
        <f t="shared" si="397"/>
        <v>0</v>
      </c>
      <c r="CN1236">
        <f t="shared" si="396"/>
        <v>0</v>
      </c>
      <c r="CO1236">
        <f t="shared" si="380"/>
        <v>0</v>
      </c>
    </row>
    <row r="1237" spans="1:93" x14ac:dyDescent="0.25">
      <c r="A1237" s="4">
        <v>2021</v>
      </c>
      <c r="B1237" s="318">
        <v>44298</v>
      </c>
      <c r="C1237" s="4" t="s">
        <v>66</v>
      </c>
      <c r="D1237" s="4" t="s">
        <v>1504</v>
      </c>
      <c r="F1237" s="4" t="s">
        <v>90</v>
      </c>
      <c r="G1237" s="5" t="s">
        <v>69</v>
      </c>
      <c r="H1237" s="5" t="s">
        <v>22</v>
      </c>
      <c r="I1237" s="5" t="s">
        <v>146</v>
      </c>
      <c r="J1237" s="5" t="s">
        <v>9</v>
      </c>
      <c r="K1237" s="5">
        <v>26</v>
      </c>
      <c r="L1237" s="5" t="s">
        <v>194</v>
      </c>
      <c r="M1237" s="5">
        <v>1600</v>
      </c>
      <c r="N1237" s="5" t="s">
        <v>170</v>
      </c>
      <c r="O1237" s="6" t="s">
        <v>81</v>
      </c>
      <c r="P1237" s="6" t="s">
        <v>1505</v>
      </c>
      <c r="S1237" s="6">
        <v>31</v>
      </c>
      <c r="T1237" s="6">
        <v>16.22</v>
      </c>
      <c r="U1237" s="6">
        <v>1446</v>
      </c>
      <c r="V1237" s="6">
        <v>21.44</v>
      </c>
      <c r="W1237" s="6">
        <v>65</v>
      </c>
      <c r="X1237" s="6">
        <v>525</v>
      </c>
      <c r="Y1237" s="6">
        <v>696</v>
      </c>
      <c r="Z1237" s="6">
        <v>155</v>
      </c>
      <c r="AA1237" s="6">
        <v>5</v>
      </c>
      <c r="AB1237" s="6">
        <v>0</v>
      </c>
      <c r="AC1237" s="7">
        <v>65</v>
      </c>
      <c r="AD1237" s="7" t="s">
        <v>52</v>
      </c>
      <c r="AE1237" s="7">
        <v>27.83</v>
      </c>
      <c r="AF1237" s="7">
        <v>153</v>
      </c>
      <c r="AG1237" s="7">
        <v>22.42</v>
      </c>
      <c r="AH1237" s="7">
        <v>43.19</v>
      </c>
      <c r="AI1237" s="7">
        <v>44.89</v>
      </c>
      <c r="AJ1237" s="9">
        <v>303.78911716259398</v>
      </c>
      <c r="AK1237" s="9">
        <v>339.99973528713599</v>
      </c>
      <c r="AL1237" s="9">
        <v>370.62829272357402</v>
      </c>
      <c r="AM1237" s="9">
        <v>51.276270227359198</v>
      </c>
      <c r="AN1237" s="9">
        <v>0.78886569580552601</v>
      </c>
      <c r="AO1237" s="9">
        <v>0.65392814476754102</v>
      </c>
      <c r="AP1237" s="9">
        <v>701.65409496838197</v>
      </c>
      <c r="AQ1237" s="9">
        <v>10.794678384129</v>
      </c>
      <c r="AR1237" s="9">
        <v>13.861638544718</v>
      </c>
      <c r="AS1237" s="8" t="s">
        <v>169</v>
      </c>
      <c r="AT1237" s="8" t="s">
        <v>169</v>
      </c>
      <c r="AU1237" s="10" t="s">
        <v>169</v>
      </c>
      <c r="AV1237" s="10">
        <v>0</v>
      </c>
      <c r="AX1237" s="10" t="s">
        <v>169</v>
      </c>
      <c r="BF1237" s="12">
        <v>0.56999999999999995</v>
      </c>
      <c r="BG1237" s="13">
        <v>367.941237601328</v>
      </c>
      <c r="BH1237" s="96" t="str">
        <f>+VLOOKUP(G1237,Liste!$A$7:$G$50,3,FALSE)</f>
        <v>Chene_pedoncule</v>
      </c>
      <c r="BI1237" s="96" t="str">
        <f>+VLOOKUP(H1237,Liste!$B$7:$G$50,5,FALSE)</f>
        <v>Guide chênaie continentale</v>
      </c>
      <c r="BJ1237" s="135">
        <f t="shared" si="379"/>
        <v>65</v>
      </c>
      <c r="BK1237" s="135" t="str">
        <f t="shared" si="381"/>
        <v>Chene_pedoncule_F1_Dynamique_Guide chênaie continentale_65_</v>
      </c>
      <c r="BL1237" s="322"/>
      <c r="BM1237" s="13">
        <v>90.933152379691194</v>
      </c>
      <c r="BN1237" s="13">
        <v>458.87438998101902</v>
      </c>
      <c r="BO1237" s="13" t="s">
        <v>169</v>
      </c>
      <c r="BP1237" s="13">
        <v>307.101589782742</v>
      </c>
      <c r="BQ1237" s="13">
        <v>16.5416308602532</v>
      </c>
      <c r="BT1237" s="298" t="str">
        <f>+VLOOKUP(G1237,Liste!$A$7:$H$50,8,FALSE)</f>
        <v>Feuillus</v>
      </c>
      <c r="BU1237" s="298">
        <f t="shared" si="382"/>
        <v>1</v>
      </c>
      <c r="BV1237" s="300">
        <f t="shared" si="383"/>
        <v>0</v>
      </c>
      <c r="BW1237" s="321">
        <v>0</v>
      </c>
      <c r="BX1237" s="298">
        <f t="shared" si="384"/>
        <v>0.25</v>
      </c>
      <c r="BY1237">
        <f t="shared" si="385"/>
        <v>0</v>
      </c>
      <c r="BZ1237" s="304">
        <f t="shared" si="386"/>
        <v>0</v>
      </c>
      <c r="CB1237" s="299">
        <v>0.6</v>
      </c>
      <c r="CC1237" s="299">
        <v>0.4</v>
      </c>
      <c r="CD1237">
        <f t="shared" si="387"/>
        <v>0</v>
      </c>
      <c r="CE1237">
        <f t="shared" si="388"/>
        <v>0</v>
      </c>
      <c r="CF1237">
        <f t="shared" si="389"/>
        <v>0</v>
      </c>
      <c r="CG1237">
        <f t="shared" si="390"/>
        <v>0</v>
      </c>
      <c r="CH1237">
        <f t="shared" si="391"/>
        <v>0</v>
      </c>
      <c r="CI1237">
        <f t="shared" si="392"/>
        <v>0</v>
      </c>
      <c r="CJ1237">
        <f t="shared" si="393"/>
        <v>0</v>
      </c>
      <c r="CK1237">
        <f t="shared" si="394"/>
        <v>0</v>
      </c>
      <c r="CL1237">
        <f t="shared" si="395"/>
        <v>0</v>
      </c>
      <c r="CM1237">
        <f t="shared" si="397"/>
        <v>0</v>
      </c>
      <c r="CN1237">
        <f t="shared" si="396"/>
        <v>0</v>
      </c>
      <c r="CO1237">
        <f t="shared" si="380"/>
        <v>0</v>
      </c>
    </row>
    <row r="1238" spans="1:93" x14ac:dyDescent="0.25">
      <c r="A1238" s="4">
        <v>2021</v>
      </c>
      <c r="B1238" s="318">
        <v>44298</v>
      </c>
      <c r="C1238" s="4" t="s">
        <v>66</v>
      </c>
      <c r="D1238" s="4" t="s">
        <v>1504</v>
      </c>
      <c r="F1238" s="4" t="s">
        <v>90</v>
      </c>
      <c r="G1238" s="5" t="s">
        <v>69</v>
      </c>
      <c r="H1238" s="5" t="s">
        <v>22</v>
      </c>
      <c r="I1238" s="5" t="s">
        <v>146</v>
      </c>
      <c r="J1238" s="5" t="s">
        <v>9</v>
      </c>
      <c r="K1238" s="5">
        <v>26</v>
      </c>
      <c r="L1238" s="5" t="s">
        <v>194</v>
      </c>
      <c r="M1238" s="5">
        <v>1600</v>
      </c>
      <c r="N1238" s="5" t="s">
        <v>170</v>
      </c>
      <c r="O1238" s="6" t="s">
        <v>81</v>
      </c>
      <c r="P1238" s="6" t="s">
        <v>1505</v>
      </c>
      <c r="S1238" s="6">
        <v>31</v>
      </c>
      <c r="T1238" s="6">
        <v>16.22</v>
      </c>
      <c r="U1238" s="6">
        <v>1446</v>
      </c>
      <c r="V1238" s="6">
        <v>21.44</v>
      </c>
      <c r="W1238" s="6">
        <v>65</v>
      </c>
      <c r="X1238" s="6">
        <v>525</v>
      </c>
      <c r="Y1238" s="6">
        <v>696</v>
      </c>
      <c r="Z1238" s="6">
        <v>155</v>
      </c>
      <c r="AA1238" s="6">
        <v>5</v>
      </c>
      <c r="AB1238" s="6">
        <v>0</v>
      </c>
      <c r="AC1238" s="7">
        <v>65</v>
      </c>
      <c r="AD1238" s="7" t="s">
        <v>53</v>
      </c>
      <c r="AE1238" s="7">
        <v>27.83</v>
      </c>
      <c r="AF1238" s="7">
        <v>124</v>
      </c>
      <c r="AG1238" s="7">
        <v>18.7</v>
      </c>
      <c r="AH1238" s="7">
        <v>43.83</v>
      </c>
      <c r="AI1238" s="7">
        <v>44.77</v>
      </c>
      <c r="AJ1238" s="9">
        <v>253.66429941736601</v>
      </c>
      <c r="AK1238" s="9">
        <v>284.36841080108201</v>
      </c>
      <c r="AL1238" s="9">
        <v>309.87141225673798</v>
      </c>
      <c r="AM1238" s="9">
        <v>51.276270227359198</v>
      </c>
      <c r="AN1238" s="9">
        <v>0.78886569580552601</v>
      </c>
      <c r="AO1238" s="9">
        <v>0.65392814476754102</v>
      </c>
      <c r="AP1238" s="9">
        <v>701.65409496838197</v>
      </c>
      <c r="AQ1238" s="9">
        <v>10.794678384129</v>
      </c>
      <c r="AR1238" s="9">
        <v>13.861638544718</v>
      </c>
      <c r="AS1238" s="8">
        <v>29</v>
      </c>
      <c r="AT1238" s="8">
        <v>3.7200000000000024</v>
      </c>
      <c r="AU1238" s="10">
        <v>40.413599223677203</v>
      </c>
      <c r="AV1238" s="10">
        <v>50.124817745227972</v>
      </c>
      <c r="AW1238" s="8">
        <v>0.87</v>
      </c>
      <c r="AX1238" s="10">
        <v>1.7284419912147577</v>
      </c>
      <c r="BF1238" s="12">
        <v>0.56999999999999995</v>
      </c>
      <c r="BG1238" s="13">
        <v>307.62484451787702</v>
      </c>
      <c r="BH1238" s="96" t="str">
        <f>+VLOOKUP(G1238,Liste!$A$7:$G$50,3,FALSE)</f>
        <v>Chene_pedoncule</v>
      </c>
      <c r="BI1238" s="96" t="str">
        <f>+VLOOKUP(H1238,Liste!$B$7:$G$50,5,FALSE)</f>
        <v>Guide chênaie continentale</v>
      </c>
      <c r="BJ1238" s="135">
        <f t="shared" si="379"/>
        <v>65</v>
      </c>
      <c r="BK1238" s="135" t="str">
        <f t="shared" si="381"/>
        <v>Chene_pedoncule_F1_Dynamique_Guide chênaie continentale_65_</v>
      </c>
      <c r="BL1238" s="322"/>
      <c r="BM1238" s="13">
        <v>77.627591345582005</v>
      </c>
      <c r="BN1238" s="13">
        <v>385.25243586345903</v>
      </c>
      <c r="BO1238" s="13">
        <v>73.621954117559994</v>
      </c>
      <c r="BP1238" s="13">
        <v>307.101589782742</v>
      </c>
      <c r="BQ1238" s="13">
        <v>16.5416308602532</v>
      </c>
      <c r="BT1238" s="298" t="str">
        <f>+VLOOKUP(G1238,Liste!$A$7:$H$50,8,FALSE)</f>
        <v>Feuillus</v>
      </c>
      <c r="BU1238" s="298">
        <f t="shared" si="382"/>
        <v>1</v>
      </c>
      <c r="BV1238" s="300">
        <f t="shared" si="383"/>
        <v>0</v>
      </c>
      <c r="BW1238" s="321">
        <v>0</v>
      </c>
      <c r="BX1238" s="298">
        <f t="shared" si="384"/>
        <v>0.25</v>
      </c>
      <c r="BY1238">
        <f t="shared" si="385"/>
        <v>0</v>
      </c>
      <c r="BZ1238" s="304">
        <f t="shared" si="386"/>
        <v>0</v>
      </c>
      <c r="CB1238" s="299">
        <v>0.6</v>
      </c>
      <c r="CC1238" s="299">
        <v>0.4</v>
      </c>
      <c r="CD1238">
        <f t="shared" si="387"/>
        <v>0</v>
      </c>
      <c r="CE1238">
        <f t="shared" si="388"/>
        <v>0</v>
      </c>
      <c r="CF1238">
        <f t="shared" si="389"/>
        <v>0</v>
      </c>
      <c r="CG1238">
        <f t="shared" si="390"/>
        <v>0</v>
      </c>
      <c r="CH1238">
        <f t="shared" si="391"/>
        <v>0</v>
      </c>
      <c r="CI1238">
        <f t="shared" si="392"/>
        <v>0</v>
      </c>
      <c r="CJ1238">
        <f t="shared" si="393"/>
        <v>0</v>
      </c>
      <c r="CK1238">
        <f t="shared" si="394"/>
        <v>0</v>
      </c>
      <c r="CL1238">
        <f t="shared" si="395"/>
        <v>0</v>
      </c>
      <c r="CM1238">
        <f t="shared" si="397"/>
        <v>0</v>
      </c>
      <c r="CN1238">
        <f t="shared" si="396"/>
        <v>0</v>
      </c>
      <c r="CO1238">
        <f t="shared" si="380"/>
        <v>0</v>
      </c>
    </row>
    <row r="1239" spans="1:93" x14ac:dyDescent="0.25">
      <c r="A1239" s="4">
        <v>2021</v>
      </c>
      <c r="B1239" s="318">
        <v>44298</v>
      </c>
      <c r="C1239" s="4" t="s">
        <v>66</v>
      </c>
      <c r="D1239" s="4" t="s">
        <v>1504</v>
      </c>
      <c r="F1239" s="4" t="s">
        <v>90</v>
      </c>
      <c r="G1239" s="5" t="s">
        <v>69</v>
      </c>
      <c r="H1239" s="5" t="s">
        <v>22</v>
      </c>
      <c r="I1239" s="5" t="s">
        <v>146</v>
      </c>
      <c r="J1239" s="5" t="s">
        <v>9</v>
      </c>
      <c r="K1239" s="5">
        <v>26</v>
      </c>
      <c r="L1239" s="5" t="s">
        <v>194</v>
      </c>
      <c r="M1239" s="5">
        <v>1600</v>
      </c>
      <c r="N1239" s="5" t="s">
        <v>170</v>
      </c>
      <c r="O1239" s="6" t="s">
        <v>81</v>
      </c>
      <c r="P1239" s="6" t="s">
        <v>1505</v>
      </c>
      <c r="S1239" s="6">
        <v>31</v>
      </c>
      <c r="T1239" s="6">
        <v>16.22</v>
      </c>
      <c r="U1239" s="6">
        <v>1446</v>
      </c>
      <c r="V1239" s="6">
        <v>21.44</v>
      </c>
      <c r="W1239" s="6">
        <v>65</v>
      </c>
      <c r="X1239" s="6">
        <v>525</v>
      </c>
      <c r="Y1239" s="6">
        <v>696</v>
      </c>
      <c r="Z1239" s="6">
        <v>155</v>
      </c>
      <c r="AA1239" s="6">
        <v>5</v>
      </c>
      <c r="AB1239" s="6">
        <v>0</v>
      </c>
      <c r="AC1239" s="7">
        <v>68</v>
      </c>
      <c r="AD1239" s="7" t="s">
        <v>52</v>
      </c>
      <c r="AE1239" s="7">
        <v>28.57</v>
      </c>
      <c r="AF1239" s="7">
        <v>124</v>
      </c>
      <c r="AG1239" s="7">
        <v>20.67</v>
      </c>
      <c r="AH1239" s="7">
        <v>46.07</v>
      </c>
      <c r="AI1239" s="7">
        <v>47.01</v>
      </c>
      <c r="AJ1239" s="9">
        <v>288.16216896610803</v>
      </c>
      <c r="AK1239" s="9">
        <v>323.55609488402098</v>
      </c>
      <c r="AL1239" s="9">
        <v>351.456327890892</v>
      </c>
      <c r="AM1239" s="9">
        <v>53.238054661661799</v>
      </c>
      <c r="AN1239" s="9">
        <v>0.78291256855385005</v>
      </c>
      <c r="AO1239" s="9">
        <v>0.64683011999231099</v>
      </c>
      <c r="AP1239" s="9">
        <v>743.23901060253604</v>
      </c>
      <c r="AQ1239" s="9">
        <v>10.9299854500373</v>
      </c>
      <c r="AR1239" s="9">
        <v>14.1711742299194</v>
      </c>
      <c r="AS1239" s="8" t="s">
        <v>169</v>
      </c>
      <c r="AT1239" s="8" t="s">
        <v>169</v>
      </c>
      <c r="AU1239" s="10" t="s">
        <v>169</v>
      </c>
      <c r="AV1239" s="10">
        <v>0</v>
      </c>
      <c r="AX1239" s="10" t="s">
        <v>169</v>
      </c>
      <c r="BF1239" s="12">
        <v>0.56999999999999995</v>
      </c>
      <c r="BG1239" s="13">
        <v>348.90826951368302</v>
      </c>
      <c r="BH1239" s="96" t="str">
        <f>+VLOOKUP(G1239,Liste!$A$7:$G$50,3,FALSE)</f>
        <v>Chene_pedoncule</v>
      </c>
      <c r="BI1239" s="96" t="str">
        <f>+VLOOKUP(H1239,Liste!$B$7:$G$50,5,FALSE)</f>
        <v>Guide chênaie continentale</v>
      </c>
      <c r="BJ1239" s="135">
        <f t="shared" si="379"/>
        <v>68</v>
      </c>
      <c r="BK1239" s="135" t="str">
        <f t="shared" si="381"/>
        <v>Chene_pedoncule_F1_Dynamique_Guide chênaie continentale_68_</v>
      </c>
      <c r="BL1239" s="322"/>
      <c r="BM1239" s="13">
        <v>86.764100229014105</v>
      </c>
      <c r="BN1239" s="13">
        <v>435.67236974269701</v>
      </c>
      <c r="BO1239" s="13" t="s">
        <v>169</v>
      </c>
      <c r="BP1239" s="13">
        <v>307.101589782742</v>
      </c>
      <c r="BQ1239" s="13">
        <v>16.889355595641401</v>
      </c>
      <c r="BT1239" s="298" t="str">
        <f>+VLOOKUP(G1239,Liste!$A$7:$H$50,8,FALSE)</f>
        <v>Feuillus</v>
      </c>
      <c r="BU1239" s="298">
        <f t="shared" si="382"/>
        <v>1</v>
      </c>
      <c r="BV1239" s="300">
        <f t="shared" si="383"/>
        <v>0</v>
      </c>
      <c r="BW1239" s="321">
        <v>0</v>
      </c>
      <c r="BX1239" s="298">
        <f t="shared" si="384"/>
        <v>0.25</v>
      </c>
      <c r="BY1239">
        <f t="shared" si="385"/>
        <v>0</v>
      </c>
      <c r="BZ1239" s="304">
        <f t="shared" si="386"/>
        <v>0</v>
      </c>
      <c r="CB1239" s="299">
        <v>0.6</v>
      </c>
      <c r="CC1239" s="299">
        <v>0.4</v>
      </c>
      <c r="CD1239">
        <f t="shared" si="387"/>
        <v>0</v>
      </c>
      <c r="CE1239">
        <f t="shared" si="388"/>
        <v>0</v>
      </c>
      <c r="CF1239">
        <f t="shared" si="389"/>
        <v>0</v>
      </c>
      <c r="CG1239">
        <f t="shared" si="390"/>
        <v>0</v>
      </c>
      <c r="CH1239">
        <f t="shared" si="391"/>
        <v>0</v>
      </c>
      <c r="CI1239">
        <f t="shared" si="392"/>
        <v>0</v>
      </c>
      <c r="CJ1239">
        <f t="shared" si="393"/>
        <v>0</v>
      </c>
      <c r="CK1239">
        <f t="shared" si="394"/>
        <v>0</v>
      </c>
      <c r="CL1239">
        <f t="shared" si="395"/>
        <v>0</v>
      </c>
      <c r="CM1239">
        <f t="shared" si="397"/>
        <v>0</v>
      </c>
      <c r="CN1239">
        <f t="shared" si="396"/>
        <v>0</v>
      </c>
      <c r="CO1239">
        <f t="shared" si="380"/>
        <v>0</v>
      </c>
    </row>
    <row r="1240" spans="1:93" x14ac:dyDescent="0.25">
      <c r="A1240" s="4">
        <v>2021</v>
      </c>
      <c r="B1240" s="318">
        <v>44298</v>
      </c>
      <c r="C1240" s="4" t="s">
        <v>66</v>
      </c>
      <c r="D1240" s="4" t="s">
        <v>1504</v>
      </c>
      <c r="F1240" s="4" t="s">
        <v>90</v>
      </c>
      <c r="G1240" s="5" t="s">
        <v>69</v>
      </c>
      <c r="H1240" s="5" t="s">
        <v>22</v>
      </c>
      <c r="I1240" s="5" t="s">
        <v>146</v>
      </c>
      <c r="J1240" s="5" t="s">
        <v>9</v>
      </c>
      <c r="K1240" s="5">
        <v>26</v>
      </c>
      <c r="L1240" s="5" t="s">
        <v>194</v>
      </c>
      <c r="M1240" s="5">
        <v>1600</v>
      </c>
      <c r="N1240" s="5" t="s">
        <v>170</v>
      </c>
      <c r="O1240" s="6" t="s">
        <v>81</v>
      </c>
      <c r="P1240" s="6" t="s">
        <v>1505</v>
      </c>
      <c r="S1240" s="6">
        <v>31</v>
      </c>
      <c r="T1240" s="6">
        <v>16.22</v>
      </c>
      <c r="U1240" s="6">
        <v>1446</v>
      </c>
      <c r="V1240" s="6">
        <v>21.44</v>
      </c>
      <c r="W1240" s="6">
        <v>65</v>
      </c>
      <c r="X1240" s="6">
        <v>525</v>
      </c>
      <c r="Y1240" s="6">
        <v>696</v>
      </c>
      <c r="Z1240" s="6">
        <v>155</v>
      </c>
      <c r="AA1240" s="6">
        <v>5</v>
      </c>
      <c r="AB1240" s="6">
        <v>0</v>
      </c>
      <c r="AC1240" s="7">
        <v>72</v>
      </c>
      <c r="AD1240" s="7" t="s">
        <v>52</v>
      </c>
      <c r="AE1240" s="7">
        <v>29.52</v>
      </c>
      <c r="AF1240" s="7">
        <v>124</v>
      </c>
      <c r="AG1240" s="7">
        <v>23.25</v>
      </c>
      <c r="AH1240" s="7">
        <v>48.86</v>
      </c>
      <c r="AI1240" s="7">
        <v>49.82</v>
      </c>
      <c r="AJ1240" s="9">
        <v>335.30922104505402</v>
      </c>
      <c r="AK1240" s="9">
        <v>377.104589566551</v>
      </c>
      <c r="AL1240" s="9">
        <v>408.14102481057</v>
      </c>
      <c r="AM1240" s="9">
        <v>55.825375141631099</v>
      </c>
      <c r="AN1240" s="9">
        <v>0.77535243252265396</v>
      </c>
      <c r="AO1240" s="9">
        <v>0.59072590839386196</v>
      </c>
      <c r="AP1240" s="9">
        <v>799.92370752221404</v>
      </c>
      <c r="AQ1240" s="9">
        <v>11.1100514933641</v>
      </c>
      <c r="AR1240" s="9">
        <v>13.213169964897499</v>
      </c>
      <c r="AS1240" s="8" t="s">
        <v>169</v>
      </c>
      <c r="AT1240" s="8" t="s">
        <v>169</v>
      </c>
      <c r="AU1240" s="10" t="s">
        <v>169</v>
      </c>
      <c r="AV1240" s="10">
        <v>0</v>
      </c>
      <c r="AX1240" s="10" t="s">
        <v>169</v>
      </c>
      <c r="BF1240" s="12">
        <v>0.56999999999999995</v>
      </c>
      <c r="BG1240" s="13">
        <v>405.18200238069301</v>
      </c>
      <c r="BH1240" s="96" t="str">
        <f>+VLOOKUP(G1240,Liste!$A$7:$G$50,3,FALSE)</f>
        <v>Chene_pedoncule</v>
      </c>
      <c r="BI1240" s="96" t="str">
        <f>+VLOOKUP(H1240,Liste!$B$7:$G$50,5,FALSE)</f>
        <v>Guide chênaie continentale</v>
      </c>
      <c r="BJ1240" s="135">
        <f t="shared" si="379"/>
        <v>72</v>
      </c>
      <c r="BK1240" s="135" t="str">
        <f t="shared" si="381"/>
        <v>Chene_pedoncule_F1_Dynamique_Guide chênaie continentale_72_</v>
      </c>
      <c r="BL1240" s="322"/>
      <c r="BM1240" s="13">
        <v>99.019348569171299</v>
      </c>
      <c r="BN1240" s="13">
        <v>504.20135094986398</v>
      </c>
      <c r="BO1240" s="13" t="s">
        <v>169</v>
      </c>
      <c r="BP1240" s="13">
        <v>307.101589782742</v>
      </c>
      <c r="BQ1240" s="13">
        <v>15.7290802066527</v>
      </c>
      <c r="BT1240" s="298" t="str">
        <f>+VLOOKUP(G1240,Liste!$A$7:$H$50,8,FALSE)</f>
        <v>Feuillus</v>
      </c>
      <c r="BU1240" s="298">
        <f t="shared" si="382"/>
        <v>1</v>
      </c>
      <c r="BV1240" s="300">
        <f t="shared" si="383"/>
        <v>0</v>
      </c>
      <c r="BW1240" s="321">
        <v>0</v>
      </c>
      <c r="BX1240" s="298">
        <f t="shared" si="384"/>
        <v>0.25</v>
      </c>
      <c r="BY1240">
        <f t="shared" si="385"/>
        <v>0</v>
      </c>
      <c r="BZ1240" s="304">
        <f t="shared" si="386"/>
        <v>0</v>
      </c>
      <c r="CB1240" s="299">
        <v>0.6</v>
      </c>
      <c r="CC1240" s="299">
        <v>0.4</v>
      </c>
      <c r="CD1240">
        <f t="shared" si="387"/>
        <v>0</v>
      </c>
      <c r="CE1240">
        <f t="shared" si="388"/>
        <v>0</v>
      </c>
      <c r="CF1240">
        <f t="shared" si="389"/>
        <v>0</v>
      </c>
      <c r="CG1240">
        <f t="shared" si="390"/>
        <v>0</v>
      </c>
      <c r="CH1240">
        <f t="shared" si="391"/>
        <v>0</v>
      </c>
      <c r="CI1240">
        <f t="shared" si="392"/>
        <v>0</v>
      </c>
      <c r="CJ1240">
        <f t="shared" si="393"/>
        <v>0</v>
      </c>
      <c r="CK1240">
        <f t="shared" si="394"/>
        <v>0</v>
      </c>
      <c r="CL1240">
        <f t="shared" si="395"/>
        <v>0</v>
      </c>
      <c r="CM1240">
        <f t="shared" si="397"/>
        <v>0</v>
      </c>
      <c r="CN1240">
        <f t="shared" si="396"/>
        <v>0</v>
      </c>
      <c r="CO1240">
        <f t="shared" si="380"/>
        <v>0</v>
      </c>
    </row>
    <row r="1241" spans="1:93" x14ac:dyDescent="0.25">
      <c r="A1241" s="4">
        <v>2021</v>
      </c>
      <c r="B1241" s="318">
        <v>44298</v>
      </c>
      <c r="C1241" s="4" t="s">
        <v>66</v>
      </c>
      <c r="D1241" s="4" t="s">
        <v>1504</v>
      </c>
      <c r="F1241" s="4" t="s">
        <v>90</v>
      </c>
      <c r="G1241" s="5" t="s">
        <v>69</v>
      </c>
      <c r="H1241" s="5" t="s">
        <v>22</v>
      </c>
      <c r="I1241" s="5" t="s">
        <v>146</v>
      </c>
      <c r="J1241" s="5" t="s">
        <v>9</v>
      </c>
      <c r="K1241" s="5">
        <v>26</v>
      </c>
      <c r="L1241" s="5" t="s">
        <v>194</v>
      </c>
      <c r="M1241" s="5">
        <v>1600</v>
      </c>
      <c r="N1241" s="5" t="s">
        <v>170</v>
      </c>
      <c r="O1241" s="6" t="s">
        <v>81</v>
      </c>
      <c r="P1241" s="6" t="s">
        <v>1505</v>
      </c>
      <c r="S1241" s="6">
        <v>31</v>
      </c>
      <c r="T1241" s="6">
        <v>16.22</v>
      </c>
      <c r="U1241" s="6">
        <v>1446</v>
      </c>
      <c r="V1241" s="6">
        <v>21.44</v>
      </c>
      <c r="W1241" s="6">
        <v>65</v>
      </c>
      <c r="X1241" s="6">
        <v>525</v>
      </c>
      <c r="Y1241" s="6">
        <v>696</v>
      </c>
      <c r="Z1241" s="6">
        <v>155</v>
      </c>
      <c r="AA1241" s="6">
        <v>5</v>
      </c>
      <c r="AB1241" s="6">
        <v>0</v>
      </c>
      <c r="AC1241" s="7">
        <v>72</v>
      </c>
      <c r="AD1241" s="7" t="s">
        <v>53</v>
      </c>
      <c r="AE1241" s="7">
        <v>29.52</v>
      </c>
      <c r="AF1241" s="7">
        <v>101</v>
      </c>
      <c r="AG1241" s="7">
        <v>19.38</v>
      </c>
      <c r="AH1241" s="7">
        <v>49.42</v>
      </c>
      <c r="AI1241" s="7">
        <v>49.48</v>
      </c>
      <c r="AJ1241" s="9">
        <v>279.55501920471301</v>
      </c>
      <c r="AK1241" s="9">
        <v>314.81341763306801</v>
      </c>
      <c r="AL1241" s="9">
        <v>340.64094840189301</v>
      </c>
      <c r="AM1241" s="9">
        <v>55.825375141631099</v>
      </c>
      <c r="AN1241" s="9">
        <v>0.77535243252265396</v>
      </c>
      <c r="AO1241" s="9">
        <v>0.59072590839386196</v>
      </c>
      <c r="AP1241" s="9">
        <v>799.92370752221404</v>
      </c>
      <c r="AQ1241" s="9">
        <v>11.1100514933641</v>
      </c>
      <c r="AR1241" s="9">
        <v>13.213169964897499</v>
      </c>
      <c r="AS1241" s="8">
        <v>23</v>
      </c>
      <c r="AT1241" s="8">
        <v>3.870000000000001</v>
      </c>
      <c r="AU1241" s="10">
        <v>46.28567737021465</v>
      </c>
      <c r="AV1241" s="10">
        <v>55.754201840341011</v>
      </c>
      <c r="AW1241" s="8">
        <v>0.9</v>
      </c>
      <c r="AX1241" s="10">
        <v>2.4240957321887397</v>
      </c>
      <c r="BF1241" s="12">
        <v>0.56999999999999995</v>
      </c>
      <c r="BG1241" s="13">
        <v>338.171301525979</v>
      </c>
      <c r="BH1241" s="96" t="str">
        <f>+VLOOKUP(G1241,Liste!$A$7:$G$50,3,FALSE)</f>
        <v>Chene_pedoncule</v>
      </c>
      <c r="BI1241" s="96" t="str">
        <f>+VLOOKUP(H1241,Liste!$B$7:$G$50,5,FALSE)</f>
        <v>Guide chênaie continentale</v>
      </c>
      <c r="BJ1241" s="135">
        <f t="shared" si="379"/>
        <v>72</v>
      </c>
      <c r="BK1241" s="135" t="str">
        <f t="shared" si="381"/>
        <v>Chene_pedoncule_F1_Dynamique_Guide chênaie continentale_72_</v>
      </c>
      <c r="BL1241" s="322"/>
      <c r="BM1241" s="13">
        <v>84.400618057319804</v>
      </c>
      <c r="BN1241" s="13">
        <v>422.57191958329901</v>
      </c>
      <c r="BO1241" s="13">
        <v>81.629431366564972</v>
      </c>
      <c r="BP1241" s="13">
        <v>307.101589782742</v>
      </c>
      <c r="BQ1241" s="13">
        <v>15.7290802066527</v>
      </c>
      <c r="BT1241" s="298" t="str">
        <f>+VLOOKUP(G1241,Liste!$A$7:$H$50,8,FALSE)</f>
        <v>Feuillus</v>
      </c>
      <c r="BU1241" s="298">
        <f t="shared" si="382"/>
        <v>1</v>
      </c>
      <c r="BV1241" s="300">
        <f t="shared" si="383"/>
        <v>0</v>
      </c>
      <c r="BW1241" s="321">
        <v>0</v>
      </c>
      <c r="BX1241" s="298">
        <f t="shared" si="384"/>
        <v>0.25</v>
      </c>
      <c r="BY1241">
        <f t="shared" si="385"/>
        <v>0</v>
      </c>
      <c r="BZ1241" s="304">
        <f t="shared" si="386"/>
        <v>0</v>
      </c>
      <c r="CB1241" s="299">
        <v>0.6</v>
      </c>
      <c r="CC1241" s="299">
        <v>0.4</v>
      </c>
      <c r="CD1241">
        <f t="shared" si="387"/>
        <v>0</v>
      </c>
      <c r="CE1241">
        <f t="shared" si="388"/>
        <v>0</v>
      </c>
      <c r="CF1241">
        <f t="shared" si="389"/>
        <v>0</v>
      </c>
      <c r="CG1241">
        <f t="shared" si="390"/>
        <v>0</v>
      </c>
      <c r="CH1241">
        <f t="shared" si="391"/>
        <v>0</v>
      </c>
      <c r="CI1241">
        <f t="shared" si="392"/>
        <v>0</v>
      </c>
      <c r="CJ1241">
        <f t="shared" si="393"/>
        <v>0</v>
      </c>
      <c r="CK1241">
        <f t="shared" si="394"/>
        <v>0</v>
      </c>
      <c r="CL1241">
        <f t="shared" si="395"/>
        <v>0</v>
      </c>
      <c r="CM1241">
        <f t="shared" si="397"/>
        <v>0</v>
      </c>
      <c r="CN1241">
        <f t="shared" si="396"/>
        <v>0</v>
      </c>
      <c r="CO1241">
        <f t="shared" si="380"/>
        <v>0</v>
      </c>
    </row>
    <row r="1242" spans="1:93" x14ac:dyDescent="0.25">
      <c r="A1242" s="4">
        <v>2021</v>
      </c>
      <c r="B1242" s="318">
        <v>44298</v>
      </c>
      <c r="C1242" s="4" t="s">
        <v>66</v>
      </c>
      <c r="D1242" s="4" t="s">
        <v>1504</v>
      </c>
      <c r="F1242" s="4" t="s">
        <v>90</v>
      </c>
      <c r="G1242" s="5" t="s">
        <v>69</v>
      </c>
      <c r="H1242" s="5" t="s">
        <v>22</v>
      </c>
      <c r="I1242" s="5" t="s">
        <v>146</v>
      </c>
      <c r="J1242" s="5" t="s">
        <v>9</v>
      </c>
      <c r="K1242" s="5">
        <v>26</v>
      </c>
      <c r="L1242" s="5" t="s">
        <v>194</v>
      </c>
      <c r="M1242" s="5">
        <v>1600</v>
      </c>
      <c r="N1242" s="5" t="s">
        <v>170</v>
      </c>
      <c r="O1242" s="6" t="s">
        <v>81</v>
      </c>
      <c r="P1242" s="6" t="s">
        <v>1505</v>
      </c>
      <c r="S1242" s="6">
        <v>31</v>
      </c>
      <c r="T1242" s="6">
        <v>16.22</v>
      </c>
      <c r="U1242" s="6">
        <v>1446</v>
      </c>
      <c r="V1242" s="6">
        <v>21.44</v>
      </c>
      <c r="W1242" s="6">
        <v>65</v>
      </c>
      <c r="X1242" s="6">
        <v>525</v>
      </c>
      <c r="Y1242" s="6">
        <v>696</v>
      </c>
      <c r="Z1242" s="6">
        <v>155</v>
      </c>
      <c r="AA1242" s="6">
        <v>5</v>
      </c>
      <c r="AB1242" s="6">
        <v>0</v>
      </c>
      <c r="AC1242" s="7">
        <v>75</v>
      </c>
      <c r="AD1242" s="7" t="s">
        <v>52</v>
      </c>
      <c r="AE1242" s="7">
        <v>30.2</v>
      </c>
      <c r="AF1242" s="7">
        <v>101</v>
      </c>
      <c r="AG1242" s="7">
        <v>21.15</v>
      </c>
      <c r="AH1242" s="7">
        <v>51.63</v>
      </c>
      <c r="AI1242" s="7">
        <v>51.69</v>
      </c>
      <c r="AJ1242" s="9">
        <v>312.44381483903697</v>
      </c>
      <c r="AK1242" s="9">
        <v>352.31771906261599</v>
      </c>
      <c r="AL1242" s="9">
        <v>380.28045829658498</v>
      </c>
      <c r="AM1242" s="9">
        <v>57.597552866812599</v>
      </c>
      <c r="AN1242" s="9">
        <v>0.76796737155750205</v>
      </c>
      <c r="AO1242" s="9">
        <v>0.584254358427162</v>
      </c>
      <c r="AP1242" s="9">
        <v>839.56321741690601</v>
      </c>
      <c r="AQ1242" s="9">
        <v>11.1941762322254</v>
      </c>
      <c r="AR1242" s="9">
        <v>13.324254262107701</v>
      </c>
      <c r="AS1242" s="8" t="s">
        <v>169</v>
      </c>
      <c r="AT1242" s="8" t="s">
        <v>169</v>
      </c>
      <c r="AU1242" s="10" t="s">
        <v>169</v>
      </c>
      <c r="AV1242" s="10">
        <v>0</v>
      </c>
      <c r="AX1242" s="10" t="s">
        <v>169</v>
      </c>
      <c r="BF1242" s="12">
        <v>0.56999999999999995</v>
      </c>
      <c r="BG1242" s="13">
        <v>377.52342497393499</v>
      </c>
      <c r="BH1242" s="96" t="str">
        <f>+VLOOKUP(G1242,Liste!$A$7:$G$50,3,FALSE)</f>
        <v>Chene_pedoncule</v>
      </c>
      <c r="BI1242" s="96" t="str">
        <f>+VLOOKUP(H1242,Liste!$B$7:$G$50,5,FALSE)</f>
        <v>Guide chênaie continentale</v>
      </c>
      <c r="BJ1242" s="135">
        <f t="shared" si="379"/>
        <v>75</v>
      </c>
      <c r="BK1242" s="135" t="str">
        <f t="shared" si="381"/>
        <v>Chene_pedoncule_F1_Dynamique_Guide chênaie continentale_75_</v>
      </c>
      <c r="BL1242" s="322"/>
      <c r="BM1242" s="13">
        <v>93.022504784911504</v>
      </c>
      <c r="BN1242" s="13">
        <v>470.54592975884702</v>
      </c>
      <c r="BO1242" s="13" t="s">
        <v>169</v>
      </c>
      <c r="BP1242" s="13">
        <v>307.101589782742</v>
      </c>
      <c r="BQ1242" s="13">
        <v>15.8468174314484</v>
      </c>
      <c r="BT1242" s="298" t="str">
        <f>+VLOOKUP(G1242,Liste!$A$7:$H$50,8,FALSE)</f>
        <v>Feuillus</v>
      </c>
      <c r="BU1242" s="298">
        <f t="shared" si="382"/>
        <v>1</v>
      </c>
      <c r="BV1242" s="300">
        <f t="shared" si="383"/>
        <v>0</v>
      </c>
      <c r="BW1242" s="321">
        <v>0</v>
      </c>
      <c r="BX1242" s="298">
        <f t="shared" si="384"/>
        <v>0.25</v>
      </c>
      <c r="BY1242">
        <f t="shared" si="385"/>
        <v>0</v>
      </c>
      <c r="BZ1242" s="304">
        <f t="shared" si="386"/>
        <v>0</v>
      </c>
      <c r="CB1242" s="299">
        <v>0.6</v>
      </c>
      <c r="CC1242" s="299">
        <v>0.4</v>
      </c>
      <c r="CD1242">
        <f t="shared" si="387"/>
        <v>0</v>
      </c>
      <c r="CE1242">
        <f t="shared" si="388"/>
        <v>0</v>
      </c>
      <c r="CF1242">
        <f t="shared" si="389"/>
        <v>0</v>
      </c>
      <c r="CG1242">
        <f t="shared" si="390"/>
        <v>0</v>
      </c>
      <c r="CH1242">
        <f t="shared" si="391"/>
        <v>0</v>
      </c>
      <c r="CI1242">
        <f t="shared" si="392"/>
        <v>0</v>
      </c>
      <c r="CJ1242">
        <f t="shared" si="393"/>
        <v>0</v>
      </c>
      <c r="CK1242">
        <f t="shared" si="394"/>
        <v>0</v>
      </c>
      <c r="CL1242">
        <f t="shared" si="395"/>
        <v>0</v>
      </c>
      <c r="CM1242">
        <f t="shared" si="397"/>
        <v>0</v>
      </c>
      <c r="CN1242">
        <f t="shared" si="396"/>
        <v>0</v>
      </c>
      <c r="CO1242">
        <f t="shared" si="380"/>
        <v>0</v>
      </c>
    </row>
    <row r="1243" spans="1:93" x14ac:dyDescent="0.25">
      <c r="A1243" s="4">
        <v>2021</v>
      </c>
      <c r="B1243" s="318">
        <v>44298</v>
      </c>
      <c r="C1243" s="4" t="s">
        <v>66</v>
      </c>
      <c r="D1243" s="4" t="s">
        <v>1504</v>
      </c>
      <c r="F1243" s="4" t="s">
        <v>90</v>
      </c>
      <c r="G1243" s="5" t="s">
        <v>69</v>
      </c>
      <c r="H1243" s="5" t="s">
        <v>22</v>
      </c>
      <c r="I1243" s="5" t="s">
        <v>146</v>
      </c>
      <c r="J1243" s="5" t="s">
        <v>9</v>
      </c>
      <c r="K1243" s="5">
        <v>26</v>
      </c>
      <c r="L1243" s="5" t="s">
        <v>194</v>
      </c>
      <c r="M1243" s="5">
        <v>1600</v>
      </c>
      <c r="N1243" s="5" t="s">
        <v>170</v>
      </c>
      <c r="O1243" s="6" t="s">
        <v>81</v>
      </c>
      <c r="P1243" s="6" t="s">
        <v>1505</v>
      </c>
      <c r="S1243" s="6">
        <v>31</v>
      </c>
      <c r="T1243" s="6">
        <v>16.22</v>
      </c>
      <c r="U1243" s="6">
        <v>1446</v>
      </c>
      <c r="V1243" s="6">
        <v>21.44</v>
      </c>
      <c r="W1243" s="6">
        <v>65</v>
      </c>
      <c r="X1243" s="6">
        <v>525</v>
      </c>
      <c r="Y1243" s="6">
        <v>696</v>
      </c>
      <c r="Z1243" s="6">
        <v>155</v>
      </c>
      <c r="AA1243" s="6">
        <v>5</v>
      </c>
      <c r="AB1243" s="6">
        <v>0</v>
      </c>
      <c r="AC1243" s="7">
        <v>78</v>
      </c>
      <c r="AD1243" s="7" t="s">
        <v>52</v>
      </c>
      <c r="AE1243" s="7">
        <v>30.84</v>
      </c>
      <c r="AF1243" s="7">
        <v>101</v>
      </c>
      <c r="AG1243" s="7">
        <v>22.9</v>
      </c>
      <c r="AH1243" s="7">
        <v>53.73</v>
      </c>
      <c r="AI1243" s="7">
        <v>53.79</v>
      </c>
      <c r="AJ1243" s="9">
        <v>345.61308645631999</v>
      </c>
      <c r="AK1243" s="9">
        <v>390.189545133786</v>
      </c>
      <c r="AL1243" s="9">
        <v>420.253221082908</v>
      </c>
      <c r="AM1243" s="9">
        <v>59.350315942094099</v>
      </c>
      <c r="AN1243" s="9">
        <v>0.76090148643710398</v>
      </c>
      <c r="AO1243" s="9">
        <v>0.57420682255466904</v>
      </c>
      <c r="AP1243" s="9">
        <v>879.53598020322897</v>
      </c>
      <c r="AQ1243" s="9">
        <v>11.2761023102978</v>
      </c>
      <c r="AR1243" s="9">
        <v>13.534617939633501</v>
      </c>
      <c r="AS1243" s="8" t="s">
        <v>169</v>
      </c>
      <c r="AT1243" s="8" t="s">
        <v>169</v>
      </c>
      <c r="AU1243" s="10" t="s">
        <v>169</v>
      </c>
      <c r="AV1243" s="10">
        <v>0</v>
      </c>
      <c r="AX1243" s="10" t="s">
        <v>169</v>
      </c>
      <c r="BF1243" s="12">
        <v>0.56999999999999995</v>
      </c>
      <c r="BG1243" s="13">
        <v>417.20638523005698</v>
      </c>
      <c r="BH1243" s="96" t="str">
        <f>+VLOOKUP(G1243,Liste!$A$7:$G$50,3,FALSE)</f>
        <v>Chene_pedoncule</v>
      </c>
      <c r="BI1243" s="96" t="str">
        <f>+VLOOKUP(H1243,Liste!$B$7:$G$50,5,FALSE)</f>
        <v>Guide chênaie continentale</v>
      </c>
      <c r="BJ1243" s="135">
        <f t="shared" si="379"/>
        <v>78</v>
      </c>
      <c r="BK1243" s="135" t="str">
        <f t="shared" si="381"/>
        <v>Chene_pedoncule_F1_Dynamique_Guide chênaie continentale_78_</v>
      </c>
      <c r="BL1243" s="322"/>
      <c r="BM1243" s="13">
        <v>101.611413291787</v>
      </c>
      <c r="BN1243" s="13">
        <v>518.817798521844</v>
      </c>
      <c r="BO1243" s="13" t="s">
        <v>169</v>
      </c>
      <c r="BP1243" s="13">
        <v>307.101589782742</v>
      </c>
      <c r="BQ1243" s="13">
        <v>16.082857918778799</v>
      </c>
      <c r="BT1243" s="298" t="str">
        <f>+VLOOKUP(G1243,Liste!$A$7:$H$50,8,FALSE)</f>
        <v>Feuillus</v>
      </c>
      <c r="BU1243" s="298">
        <f t="shared" si="382"/>
        <v>1</v>
      </c>
      <c r="BV1243" s="300">
        <f t="shared" si="383"/>
        <v>0</v>
      </c>
      <c r="BW1243" s="321">
        <v>0</v>
      </c>
      <c r="BX1243" s="298">
        <f t="shared" si="384"/>
        <v>0.25</v>
      </c>
      <c r="BY1243">
        <f t="shared" si="385"/>
        <v>0</v>
      </c>
      <c r="BZ1243" s="304">
        <f t="shared" si="386"/>
        <v>0</v>
      </c>
      <c r="CB1243" s="299">
        <v>0.6</v>
      </c>
      <c r="CC1243" s="299">
        <v>0.4</v>
      </c>
      <c r="CD1243">
        <f t="shared" si="387"/>
        <v>0</v>
      </c>
      <c r="CE1243">
        <f t="shared" si="388"/>
        <v>0</v>
      </c>
      <c r="CF1243">
        <f t="shared" si="389"/>
        <v>0</v>
      </c>
      <c r="CG1243">
        <f t="shared" si="390"/>
        <v>0</v>
      </c>
      <c r="CH1243">
        <f t="shared" si="391"/>
        <v>0</v>
      </c>
      <c r="CI1243">
        <f t="shared" si="392"/>
        <v>0</v>
      </c>
      <c r="CJ1243">
        <f t="shared" si="393"/>
        <v>0</v>
      </c>
      <c r="CK1243">
        <f t="shared" si="394"/>
        <v>0</v>
      </c>
      <c r="CL1243">
        <f t="shared" si="395"/>
        <v>0</v>
      </c>
      <c r="CM1243">
        <f t="shared" si="397"/>
        <v>0</v>
      </c>
      <c r="CN1243">
        <f t="shared" si="396"/>
        <v>0</v>
      </c>
      <c r="CO1243">
        <f t="shared" si="380"/>
        <v>0</v>
      </c>
    </row>
    <row r="1244" spans="1:93" x14ac:dyDescent="0.25">
      <c r="A1244" s="4">
        <v>2021</v>
      </c>
      <c r="B1244" s="318">
        <v>44298</v>
      </c>
      <c r="C1244" s="4" t="s">
        <v>66</v>
      </c>
      <c r="D1244" s="4" t="s">
        <v>1504</v>
      </c>
      <c r="F1244" s="4" t="s">
        <v>90</v>
      </c>
      <c r="G1244" s="5" t="s">
        <v>69</v>
      </c>
      <c r="H1244" s="5" t="s">
        <v>22</v>
      </c>
      <c r="I1244" s="5" t="s">
        <v>146</v>
      </c>
      <c r="J1244" s="5" t="s">
        <v>9</v>
      </c>
      <c r="K1244" s="5">
        <v>26</v>
      </c>
      <c r="L1244" s="5" t="s">
        <v>194</v>
      </c>
      <c r="M1244" s="5">
        <v>1600</v>
      </c>
      <c r="N1244" s="5" t="s">
        <v>170</v>
      </c>
      <c r="O1244" s="6" t="s">
        <v>81</v>
      </c>
      <c r="P1244" s="6" t="s">
        <v>1505</v>
      </c>
      <c r="S1244" s="6">
        <v>31</v>
      </c>
      <c r="T1244" s="6">
        <v>16.22</v>
      </c>
      <c r="U1244" s="6">
        <v>1446</v>
      </c>
      <c r="V1244" s="6">
        <v>21.44</v>
      </c>
      <c r="W1244" s="6">
        <v>65</v>
      </c>
      <c r="X1244" s="6">
        <v>525</v>
      </c>
      <c r="Y1244" s="6">
        <v>696</v>
      </c>
      <c r="Z1244" s="6">
        <v>155</v>
      </c>
      <c r="AA1244" s="6">
        <v>5</v>
      </c>
      <c r="AB1244" s="6">
        <v>0</v>
      </c>
      <c r="AC1244" s="7">
        <v>81</v>
      </c>
      <c r="AD1244" s="7" t="s">
        <v>52</v>
      </c>
      <c r="AE1244" s="7">
        <v>31.47</v>
      </c>
      <c r="AF1244" s="7">
        <v>101</v>
      </c>
      <c r="AG1244" s="7">
        <v>24.62</v>
      </c>
      <c r="AH1244" s="7">
        <v>55.72</v>
      </c>
      <c r="AI1244" s="7">
        <v>55.77</v>
      </c>
      <c r="AJ1244" s="9">
        <v>379.47852070452598</v>
      </c>
      <c r="AK1244" s="9">
        <v>428.74482065904402</v>
      </c>
      <c r="AL1244" s="9">
        <v>460.85707490180903</v>
      </c>
      <c r="AM1244" s="9">
        <v>61.0729364097581</v>
      </c>
      <c r="AN1244" s="9">
        <v>0.75398686925627301</v>
      </c>
      <c r="AO1244" s="9">
        <v>0.52317912426962698</v>
      </c>
      <c r="AP1244" s="9">
        <v>920.13983402213</v>
      </c>
      <c r="AQ1244" s="9">
        <v>11.3597510373102</v>
      </c>
      <c r="AR1244" s="9">
        <v>12.2851011552063</v>
      </c>
      <c r="AS1244" s="8" t="s">
        <v>169</v>
      </c>
      <c r="AT1244" s="8" t="s">
        <v>169</v>
      </c>
      <c r="AU1244" s="10" t="s">
        <v>169</v>
      </c>
      <c r="AV1244" s="10">
        <v>0</v>
      </c>
      <c r="AX1244" s="10" t="s">
        <v>169</v>
      </c>
      <c r="BF1244" s="12">
        <v>0.56999999999999995</v>
      </c>
      <c r="BG1244" s="13">
        <v>457.51586110877099</v>
      </c>
      <c r="BH1244" s="96" t="str">
        <f>+VLOOKUP(G1244,Liste!$A$7:$G$50,3,FALSE)</f>
        <v>Chene_pedoncule</v>
      </c>
      <c r="BI1244" s="96" t="str">
        <f>+VLOOKUP(H1244,Liste!$B$7:$G$50,5,FALSE)</f>
        <v>Guide chênaie continentale</v>
      </c>
      <c r="BJ1244" s="135">
        <f t="shared" si="379"/>
        <v>81</v>
      </c>
      <c r="BK1244" s="135" t="str">
        <f t="shared" si="381"/>
        <v>Chene_pedoncule_F1_Dynamique_Guide chênaie continentale_81_</v>
      </c>
      <c r="BL1244" s="322"/>
      <c r="BM1244" s="13">
        <v>110.239002246011</v>
      </c>
      <c r="BN1244" s="13">
        <v>567.75486335478195</v>
      </c>
      <c r="BO1244" s="13" t="s">
        <v>169</v>
      </c>
      <c r="BP1244" s="13">
        <v>307.101589782742</v>
      </c>
      <c r="BQ1244" s="13">
        <v>14.586327575272399</v>
      </c>
      <c r="BT1244" s="298" t="str">
        <f>+VLOOKUP(G1244,Liste!$A$7:$H$50,8,FALSE)</f>
        <v>Feuillus</v>
      </c>
      <c r="BU1244" s="298">
        <f t="shared" si="382"/>
        <v>1</v>
      </c>
      <c r="BV1244" s="300">
        <f t="shared" si="383"/>
        <v>0</v>
      </c>
      <c r="BW1244" s="321">
        <v>0</v>
      </c>
      <c r="BX1244" s="298">
        <f t="shared" si="384"/>
        <v>0.25</v>
      </c>
      <c r="BY1244">
        <f t="shared" si="385"/>
        <v>0</v>
      </c>
      <c r="BZ1244" s="304">
        <f t="shared" si="386"/>
        <v>0</v>
      </c>
      <c r="CB1244" s="299">
        <v>0.6</v>
      </c>
      <c r="CC1244" s="299">
        <v>0.4</v>
      </c>
      <c r="CD1244">
        <f t="shared" si="387"/>
        <v>0</v>
      </c>
      <c r="CE1244">
        <f t="shared" si="388"/>
        <v>0</v>
      </c>
      <c r="CF1244">
        <f t="shared" si="389"/>
        <v>0</v>
      </c>
      <c r="CG1244">
        <f t="shared" si="390"/>
        <v>0</v>
      </c>
      <c r="CH1244">
        <f t="shared" si="391"/>
        <v>0</v>
      </c>
      <c r="CI1244">
        <f t="shared" si="392"/>
        <v>0</v>
      </c>
      <c r="CJ1244">
        <f t="shared" si="393"/>
        <v>0</v>
      </c>
      <c r="CK1244">
        <f t="shared" si="394"/>
        <v>0</v>
      </c>
      <c r="CL1244">
        <f t="shared" si="395"/>
        <v>0</v>
      </c>
      <c r="CM1244">
        <f t="shared" si="397"/>
        <v>0</v>
      </c>
      <c r="CN1244">
        <f t="shared" si="396"/>
        <v>0</v>
      </c>
      <c r="CO1244">
        <f t="shared" si="380"/>
        <v>0</v>
      </c>
    </row>
    <row r="1245" spans="1:93" x14ac:dyDescent="0.25">
      <c r="A1245" s="4">
        <v>2021</v>
      </c>
      <c r="B1245" s="318">
        <v>44298</v>
      </c>
      <c r="C1245" s="4" t="s">
        <v>66</v>
      </c>
      <c r="D1245" s="4" t="s">
        <v>1504</v>
      </c>
      <c r="F1245" s="4" t="s">
        <v>90</v>
      </c>
      <c r="G1245" s="5" t="s">
        <v>69</v>
      </c>
      <c r="H1245" s="5" t="s">
        <v>22</v>
      </c>
      <c r="I1245" s="5" t="s">
        <v>146</v>
      </c>
      <c r="J1245" s="5" t="s">
        <v>9</v>
      </c>
      <c r="K1245" s="5">
        <v>26</v>
      </c>
      <c r="L1245" s="5" t="s">
        <v>194</v>
      </c>
      <c r="M1245" s="5">
        <v>1600</v>
      </c>
      <c r="N1245" s="5" t="s">
        <v>170</v>
      </c>
      <c r="O1245" s="6" t="s">
        <v>81</v>
      </c>
      <c r="P1245" s="6" t="s">
        <v>1505</v>
      </c>
      <c r="S1245" s="6">
        <v>31</v>
      </c>
      <c r="T1245" s="6">
        <v>16.22</v>
      </c>
      <c r="U1245" s="6">
        <v>1446</v>
      </c>
      <c r="V1245" s="6">
        <v>21.44</v>
      </c>
      <c r="W1245" s="6">
        <v>65</v>
      </c>
      <c r="X1245" s="6">
        <v>525</v>
      </c>
      <c r="Y1245" s="6">
        <v>696</v>
      </c>
      <c r="Z1245" s="6">
        <v>155</v>
      </c>
      <c r="AA1245" s="6">
        <v>5</v>
      </c>
      <c r="AB1245" s="6">
        <v>0</v>
      </c>
      <c r="AC1245" s="7">
        <v>81</v>
      </c>
      <c r="AD1245" s="7" t="s">
        <v>53</v>
      </c>
      <c r="AE1245" s="7">
        <v>31.47</v>
      </c>
      <c r="AF1245" s="7">
        <v>79</v>
      </c>
      <c r="AG1245" s="7">
        <v>19.47</v>
      </c>
      <c r="AH1245" s="7">
        <v>56.01</v>
      </c>
      <c r="AI1245" s="7">
        <v>56.01</v>
      </c>
      <c r="AJ1245" s="9">
        <v>300.02692777926501</v>
      </c>
      <c r="AK1245" s="9">
        <v>339.20240556604199</v>
      </c>
      <c r="AL1245" s="9">
        <v>364.57219647088499</v>
      </c>
      <c r="AM1245" s="9">
        <v>61.0729364097581</v>
      </c>
      <c r="AN1245" s="9">
        <v>0.75398686925627301</v>
      </c>
      <c r="AO1245" s="9">
        <v>0.52317912426962698</v>
      </c>
      <c r="AP1245" s="9">
        <v>920.13983402213</v>
      </c>
      <c r="AQ1245" s="9">
        <v>11.3597510373102</v>
      </c>
      <c r="AR1245" s="9">
        <v>12.2851011552063</v>
      </c>
      <c r="AS1245" s="8">
        <v>22</v>
      </c>
      <c r="AT1245" s="8">
        <v>5.1500000000000021</v>
      </c>
      <c r="AU1245" s="10">
        <v>54.594303962734941</v>
      </c>
      <c r="AV1245" s="10">
        <v>79.451592925260968</v>
      </c>
      <c r="AW1245" s="8">
        <v>0.96</v>
      </c>
      <c r="AX1245" s="10">
        <v>3.6114360420573166</v>
      </c>
      <c r="BF1245" s="12">
        <v>0.56999999999999995</v>
      </c>
      <c r="BG1245" s="13">
        <v>361.929048046471</v>
      </c>
      <c r="BH1245" s="96" t="str">
        <f>+VLOOKUP(G1245,Liste!$A$7:$G$50,3,FALSE)</f>
        <v>Chene_pedoncule</v>
      </c>
      <c r="BI1245" s="96" t="str">
        <f>+VLOOKUP(H1245,Liste!$B$7:$G$50,5,FALSE)</f>
        <v>Guide chênaie continentale</v>
      </c>
      <c r="BJ1245" s="135">
        <f t="shared" si="379"/>
        <v>81</v>
      </c>
      <c r="BK1245" s="135" t="str">
        <f t="shared" si="381"/>
        <v>Chene_pedoncule_F1_Dynamique_Guide chênaie continentale_81_</v>
      </c>
      <c r="BL1245" s="322"/>
      <c r="BM1245" s="13">
        <v>89.618994632273797</v>
      </c>
      <c r="BN1245" s="13">
        <v>451.54804267874499</v>
      </c>
      <c r="BO1245" s="13">
        <v>116.20682067603695</v>
      </c>
      <c r="BP1245" s="13">
        <v>307.101589782742</v>
      </c>
      <c r="BQ1245" s="13">
        <v>14.586327575272399</v>
      </c>
      <c r="BT1245" s="298" t="str">
        <f>+VLOOKUP(G1245,Liste!$A$7:$H$50,8,FALSE)</f>
        <v>Feuillus</v>
      </c>
      <c r="BU1245" s="298">
        <f t="shared" si="382"/>
        <v>1</v>
      </c>
      <c r="BV1245" s="300">
        <f t="shared" si="383"/>
        <v>0</v>
      </c>
      <c r="BW1245" s="321">
        <v>0</v>
      </c>
      <c r="BX1245" s="298">
        <f t="shared" si="384"/>
        <v>0.25</v>
      </c>
      <c r="BY1245">
        <f t="shared" si="385"/>
        <v>0</v>
      </c>
      <c r="BZ1245" s="304">
        <f t="shared" si="386"/>
        <v>0</v>
      </c>
      <c r="CB1245" s="299">
        <v>0.6</v>
      </c>
      <c r="CC1245" s="299">
        <v>0.4</v>
      </c>
      <c r="CD1245">
        <f t="shared" si="387"/>
        <v>0</v>
      </c>
      <c r="CE1245">
        <f t="shared" si="388"/>
        <v>0</v>
      </c>
      <c r="CF1245">
        <f t="shared" si="389"/>
        <v>0</v>
      </c>
      <c r="CG1245">
        <f t="shared" si="390"/>
        <v>0</v>
      </c>
      <c r="CH1245">
        <f t="shared" si="391"/>
        <v>0</v>
      </c>
      <c r="CI1245">
        <f t="shared" si="392"/>
        <v>0</v>
      </c>
      <c r="CJ1245">
        <f t="shared" si="393"/>
        <v>0</v>
      </c>
      <c r="CK1245">
        <f t="shared" si="394"/>
        <v>0</v>
      </c>
      <c r="CL1245">
        <f t="shared" si="395"/>
        <v>0</v>
      </c>
      <c r="CM1245">
        <f t="shared" si="397"/>
        <v>0</v>
      </c>
      <c r="CN1245">
        <f t="shared" si="396"/>
        <v>0</v>
      </c>
      <c r="CO1245">
        <f t="shared" si="380"/>
        <v>0</v>
      </c>
    </row>
    <row r="1246" spans="1:93" x14ac:dyDescent="0.25">
      <c r="A1246" s="4">
        <v>2021</v>
      </c>
      <c r="B1246" s="318">
        <v>44298</v>
      </c>
      <c r="C1246" s="4" t="s">
        <v>66</v>
      </c>
      <c r="D1246" s="4" t="s">
        <v>1504</v>
      </c>
      <c r="F1246" s="4" t="s">
        <v>90</v>
      </c>
      <c r="G1246" s="5" t="s">
        <v>69</v>
      </c>
      <c r="H1246" s="5" t="s">
        <v>22</v>
      </c>
      <c r="I1246" s="5" t="s">
        <v>146</v>
      </c>
      <c r="J1246" s="5" t="s">
        <v>9</v>
      </c>
      <c r="K1246" s="5">
        <v>26</v>
      </c>
      <c r="L1246" s="5" t="s">
        <v>194</v>
      </c>
      <c r="M1246" s="5">
        <v>1600</v>
      </c>
      <c r="N1246" s="5" t="s">
        <v>170</v>
      </c>
      <c r="O1246" s="6" t="s">
        <v>81</v>
      </c>
      <c r="P1246" s="6" t="s">
        <v>1505</v>
      </c>
      <c r="S1246" s="6">
        <v>31</v>
      </c>
      <c r="T1246" s="6">
        <v>16.22</v>
      </c>
      <c r="U1246" s="6">
        <v>1446</v>
      </c>
      <c r="V1246" s="6">
        <v>21.44</v>
      </c>
      <c r="W1246" s="6">
        <v>65</v>
      </c>
      <c r="X1246" s="6">
        <v>525</v>
      </c>
      <c r="Y1246" s="6">
        <v>696</v>
      </c>
      <c r="Z1246" s="6">
        <v>155</v>
      </c>
      <c r="AA1246" s="6">
        <v>5</v>
      </c>
      <c r="AB1246" s="6">
        <v>0</v>
      </c>
      <c r="AC1246" s="7">
        <v>84</v>
      </c>
      <c r="AD1246" s="7" t="s">
        <v>52</v>
      </c>
      <c r="AE1246" s="7">
        <v>32.07</v>
      </c>
      <c r="AF1246" s="7">
        <v>79</v>
      </c>
      <c r="AG1246" s="7">
        <v>21.04</v>
      </c>
      <c r="AH1246" s="7">
        <v>58.23</v>
      </c>
      <c r="AI1246" s="7">
        <v>58.23</v>
      </c>
      <c r="AJ1246" s="9">
        <v>330.53633612064198</v>
      </c>
      <c r="AK1246" s="9">
        <v>374.19276145190702</v>
      </c>
      <c r="AL1246" s="9">
        <v>401.42749993650398</v>
      </c>
      <c r="AM1246" s="9">
        <v>62.642473782567002</v>
      </c>
      <c r="AN1246" s="9">
        <v>0.74574373550674999</v>
      </c>
      <c r="AO1246" s="9">
        <v>0.516789187644079</v>
      </c>
      <c r="AP1246" s="9">
        <v>956.99513748774802</v>
      </c>
      <c r="AQ1246" s="9">
        <v>11.3927992558065</v>
      </c>
      <c r="AR1246" s="9">
        <v>12.389190121392801</v>
      </c>
      <c r="AS1246" s="8" t="s">
        <v>169</v>
      </c>
      <c r="AT1246" s="8" t="s">
        <v>169</v>
      </c>
      <c r="AU1246" s="10" t="s">
        <v>169</v>
      </c>
      <c r="AV1246" s="10">
        <v>0</v>
      </c>
      <c r="AX1246" s="10" t="s">
        <v>169</v>
      </c>
      <c r="BF1246" s="12">
        <v>0.56999999999999995</v>
      </c>
      <c r="BG1246" s="13">
        <v>398.51715056196502</v>
      </c>
      <c r="BH1246" s="96" t="str">
        <f>+VLOOKUP(G1246,Liste!$A$7:$G$50,3,FALSE)</f>
        <v>Chene_pedoncule</v>
      </c>
      <c r="BI1246" s="96" t="str">
        <f>+VLOOKUP(H1246,Liste!$B$7:$G$50,5,FALSE)</f>
        <v>Guide chênaie continentale</v>
      </c>
      <c r="BJ1246" s="135">
        <f t="shared" si="379"/>
        <v>84</v>
      </c>
      <c r="BK1246" s="135" t="str">
        <f t="shared" si="381"/>
        <v>Chene_pedoncule_F1_Dynamique_Guide chênaie continentale_84_</v>
      </c>
      <c r="BL1246" s="322"/>
      <c r="BM1246" s="13">
        <v>97.578778939945593</v>
      </c>
      <c r="BN1246" s="13">
        <v>496.09592950191001</v>
      </c>
      <c r="BO1246" s="13" t="s">
        <v>169</v>
      </c>
      <c r="BP1246" s="13">
        <v>307.101589782742</v>
      </c>
      <c r="BQ1246" s="13">
        <v>14.6990854551635</v>
      </c>
      <c r="BT1246" s="298" t="str">
        <f>+VLOOKUP(G1246,Liste!$A$7:$H$50,8,FALSE)</f>
        <v>Feuillus</v>
      </c>
      <c r="BU1246" s="298">
        <f t="shared" si="382"/>
        <v>1</v>
      </c>
      <c r="BV1246" s="300">
        <f t="shared" si="383"/>
        <v>0</v>
      </c>
      <c r="BW1246" s="321">
        <v>0</v>
      </c>
      <c r="BX1246" s="298">
        <f t="shared" si="384"/>
        <v>0.25</v>
      </c>
      <c r="BY1246">
        <f t="shared" si="385"/>
        <v>0</v>
      </c>
      <c r="BZ1246" s="304">
        <f t="shared" si="386"/>
        <v>0</v>
      </c>
      <c r="CB1246" s="299">
        <v>0.6</v>
      </c>
      <c r="CC1246" s="299">
        <v>0.4</v>
      </c>
      <c r="CD1246">
        <f t="shared" si="387"/>
        <v>0</v>
      </c>
      <c r="CE1246">
        <f t="shared" si="388"/>
        <v>0</v>
      </c>
      <c r="CF1246">
        <f t="shared" si="389"/>
        <v>0</v>
      </c>
      <c r="CG1246">
        <f t="shared" si="390"/>
        <v>0</v>
      </c>
      <c r="CH1246">
        <f t="shared" si="391"/>
        <v>0</v>
      </c>
      <c r="CI1246">
        <f t="shared" si="392"/>
        <v>0</v>
      </c>
      <c r="CJ1246">
        <f t="shared" si="393"/>
        <v>0</v>
      </c>
      <c r="CK1246">
        <f t="shared" si="394"/>
        <v>0</v>
      </c>
      <c r="CL1246">
        <f t="shared" si="395"/>
        <v>0</v>
      </c>
      <c r="CM1246">
        <f t="shared" si="397"/>
        <v>0</v>
      </c>
      <c r="CN1246">
        <f t="shared" si="396"/>
        <v>0</v>
      </c>
      <c r="CO1246">
        <f t="shared" si="380"/>
        <v>0</v>
      </c>
    </row>
    <row r="1247" spans="1:93" x14ac:dyDescent="0.25">
      <c r="A1247" s="4">
        <v>2021</v>
      </c>
      <c r="B1247" s="318">
        <v>44298</v>
      </c>
      <c r="C1247" s="4" t="s">
        <v>66</v>
      </c>
      <c r="D1247" s="4" t="s">
        <v>1504</v>
      </c>
      <c r="F1247" s="4" t="s">
        <v>90</v>
      </c>
      <c r="G1247" s="5" t="s">
        <v>69</v>
      </c>
      <c r="H1247" s="5" t="s">
        <v>22</v>
      </c>
      <c r="I1247" s="5" t="s">
        <v>146</v>
      </c>
      <c r="J1247" s="5" t="s">
        <v>9</v>
      </c>
      <c r="K1247" s="5">
        <v>26</v>
      </c>
      <c r="L1247" s="5" t="s">
        <v>194</v>
      </c>
      <c r="M1247" s="5">
        <v>1600</v>
      </c>
      <c r="N1247" s="5" t="s">
        <v>170</v>
      </c>
      <c r="O1247" s="6" t="s">
        <v>81</v>
      </c>
      <c r="P1247" s="6" t="s">
        <v>1505</v>
      </c>
      <c r="S1247" s="6">
        <v>31</v>
      </c>
      <c r="T1247" s="6">
        <v>16.22</v>
      </c>
      <c r="U1247" s="6">
        <v>1446</v>
      </c>
      <c r="V1247" s="6">
        <v>21.44</v>
      </c>
      <c r="W1247" s="6">
        <v>65</v>
      </c>
      <c r="X1247" s="6">
        <v>525</v>
      </c>
      <c r="Y1247" s="6">
        <v>696</v>
      </c>
      <c r="Z1247" s="6">
        <v>155</v>
      </c>
      <c r="AA1247" s="6">
        <v>5</v>
      </c>
      <c r="AB1247" s="6">
        <v>0</v>
      </c>
      <c r="AC1247" s="7">
        <v>87</v>
      </c>
      <c r="AD1247" s="7" t="s">
        <v>52</v>
      </c>
      <c r="AE1247" s="7">
        <v>32.65</v>
      </c>
      <c r="AF1247" s="7">
        <v>79</v>
      </c>
      <c r="AG1247" s="7">
        <v>22.59</v>
      </c>
      <c r="AH1247" s="7">
        <v>60.34</v>
      </c>
      <c r="AI1247" s="7">
        <v>60.34</v>
      </c>
      <c r="AJ1247" s="9">
        <v>361.34470534304103</v>
      </c>
      <c r="AK1247" s="9">
        <v>409.52833921470199</v>
      </c>
      <c r="AL1247" s="9">
        <v>438.59507030068301</v>
      </c>
      <c r="AM1247" s="9">
        <v>64.192841345499303</v>
      </c>
      <c r="AN1247" s="9">
        <v>0.73784875109769299</v>
      </c>
      <c r="AO1247" s="9">
        <v>0.51023128314930899</v>
      </c>
      <c r="AP1247" s="9">
        <v>994.16270785192705</v>
      </c>
      <c r="AQ1247" s="9">
        <v>11.427157561516401</v>
      </c>
      <c r="AR1247" s="9">
        <v>12.5887064594643</v>
      </c>
      <c r="AS1247" s="8" t="s">
        <v>169</v>
      </c>
      <c r="AT1247" s="8" t="s">
        <v>169</v>
      </c>
      <c r="AU1247" s="10" t="s">
        <v>169</v>
      </c>
      <c r="AV1247" s="10">
        <v>0</v>
      </c>
      <c r="AX1247" s="10" t="s">
        <v>169</v>
      </c>
      <c r="BF1247" s="12">
        <v>0.56999999999999995</v>
      </c>
      <c r="BG1247" s="13">
        <v>435.41525604100298</v>
      </c>
      <c r="BH1247" s="96" t="str">
        <f>+VLOOKUP(G1247,Liste!$A$7:$G$50,3,FALSE)</f>
        <v>Chene_pedoncule</v>
      </c>
      <c r="BI1247" s="96" t="str">
        <f>+VLOOKUP(H1247,Liste!$B$7:$G$50,5,FALSE)</f>
        <v>Guide chênaie continentale</v>
      </c>
      <c r="BJ1247" s="135">
        <f t="shared" si="379"/>
        <v>87</v>
      </c>
      <c r="BK1247" s="135" t="str">
        <f t="shared" si="381"/>
        <v>Chene_pedoncule_F1_Dynamique_Guide chênaie continentale_87_</v>
      </c>
      <c r="BL1247" s="322"/>
      <c r="BM1247" s="13">
        <v>105.520211586855</v>
      </c>
      <c r="BN1247" s="13">
        <v>540.93546762785797</v>
      </c>
      <c r="BO1247" s="13" t="s">
        <v>169</v>
      </c>
      <c r="BP1247" s="13">
        <v>307.101589782742</v>
      </c>
      <c r="BQ1247" s="13">
        <v>14.9251269803623</v>
      </c>
      <c r="BT1247" s="298" t="str">
        <f>+VLOOKUP(G1247,Liste!$A$7:$H$50,8,FALSE)</f>
        <v>Feuillus</v>
      </c>
      <c r="BU1247" s="298">
        <f t="shared" si="382"/>
        <v>1</v>
      </c>
      <c r="BV1247" s="300">
        <f t="shared" si="383"/>
        <v>0</v>
      </c>
      <c r="BW1247" s="321">
        <v>0</v>
      </c>
      <c r="BX1247" s="298">
        <f t="shared" si="384"/>
        <v>0.25</v>
      </c>
      <c r="BY1247">
        <f t="shared" si="385"/>
        <v>0</v>
      </c>
      <c r="BZ1247" s="304">
        <f t="shared" si="386"/>
        <v>0</v>
      </c>
      <c r="CB1247" s="299">
        <v>0.6</v>
      </c>
      <c r="CC1247" s="299">
        <v>0.4</v>
      </c>
      <c r="CD1247">
        <f t="shared" si="387"/>
        <v>0</v>
      </c>
      <c r="CE1247">
        <f t="shared" si="388"/>
        <v>0</v>
      </c>
      <c r="CF1247">
        <f t="shared" si="389"/>
        <v>0</v>
      </c>
      <c r="CG1247">
        <f t="shared" si="390"/>
        <v>0</v>
      </c>
      <c r="CH1247">
        <f t="shared" si="391"/>
        <v>0</v>
      </c>
      <c r="CI1247">
        <f t="shared" si="392"/>
        <v>0</v>
      </c>
      <c r="CJ1247">
        <f t="shared" si="393"/>
        <v>0</v>
      </c>
      <c r="CK1247">
        <f t="shared" si="394"/>
        <v>0</v>
      </c>
      <c r="CL1247">
        <f t="shared" si="395"/>
        <v>0</v>
      </c>
      <c r="CM1247">
        <f t="shared" si="397"/>
        <v>0</v>
      </c>
      <c r="CN1247">
        <f t="shared" si="396"/>
        <v>0</v>
      </c>
      <c r="CO1247">
        <f t="shared" si="380"/>
        <v>0</v>
      </c>
    </row>
    <row r="1248" spans="1:93" x14ac:dyDescent="0.25">
      <c r="A1248" s="4">
        <v>2021</v>
      </c>
      <c r="B1248" s="318">
        <v>44298</v>
      </c>
      <c r="C1248" s="4" t="s">
        <v>66</v>
      </c>
      <c r="D1248" s="4" t="s">
        <v>1504</v>
      </c>
      <c r="F1248" s="4" t="s">
        <v>90</v>
      </c>
      <c r="G1248" s="5" t="s">
        <v>69</v>
      </c>
      <c r="H1248" s="5" t="s">
        <v>22</v>
      </c>
      <c r="I1248" s="5" t="s">
        <v>146</v>
      </c>
      <c r="J1248" s="5" t="s">
        <v>9</v>
      </c>
      <c r="K1248" s="5">
        <v>26</v>
      </c>
      <c r="L1248" s="5" t="s">
        <v>194</v>
      </c>
      <c r="M1248" s="5">
        <v>1600</v>
      </c>
      <c r="N1248" s="5" t="s">
        <v>170</v>
      </c>
      <c r="O1248" s="6" t="s">
        <v>81</v>
      </c>
      <c r="P1248" s="6" t="s">
        <v>1505</v>
      </c>
      <c r="S1248" s="6">
        <v>31</v>
      </c>
      <c r="T1248" s="6">
        <v>16.22</v>
      </c>
      <c r="U1248" s="6">
        <v>1446</v>
      </c>
      <c r="V1248" s="6">
        <v>21.44</v>
      </c>
      <c r="W1248" s="6">
        <v>65</v>
      </c>
      <c r="X1248" s="6">
        <v>525</v>
      </c>
      <c r="Y1248" s="6">
        <v>696</v>
      </c>
      <c r="Z1248" s="6">
        <v>155</v>
      </c>
      <c r="AA1248" s="6">
        <v>5</v>
      </c>
      <c r="AB1248" s="6">
        <v>0</v>
      </c>
      <c r="AC1248" s="7">
        <v>90</v>
      </c>
      <c r="AD1248" s="7" t="s">
        <v>52</v>
      </c>
      <c r="AE1248" s="7">
        <v>33.22</v>
      </c>
      <c r="AF1248" s="7">
        <v>79</v>
      </c>
      <c r="AG1248" s="7">
        <v>24.12</v>
      </c>
      <c r="AH1248" s="7">
        <v>62.35</v>
      </c>
      <c r="AI1248" s="7">
        <v>62.35</v>
      </c>
      <c r="AJ1248" s="9">
        <v>392.78446299654001</v>
      </c>
      <c r="AK1248" s="9">
        <v>445.498358450767</v>
      </c>
      <c r="AL1248" s="9">
        <v>476.36118967907601</v>
      </c>
      <c r="AM1248" s="9">
        <v>65.723535194947203</v>
      </c>
      <c r="AN1248" s="9">
        <v>0.73026150216607999</v>
      </c>
      <c r="AO1248" s="9">
        <v>0.47021179620828502</v>
      </c>
      <c r="AP1248" s="9">
        <v>1031.9288272303199</v>
      </c>
      <c r="AQ1248" s="9">
        <v>11.4658758581147</v>
      </c>
      <c r="AR1248" s="9">
        <v>11.6121485506022</v>
      </c>
      <c r="AS1248" s="8" t="s">
        <v>169</v>
      </c>
      <c r="AT1248" s="8" t="s">
        <v>169</v>
      </c>
      <c r="AU1248" s="10" t="s">
        <v>169</v>
      </c>
      <c r="AV1248" s="10">
        <v>0</v>
      </c>
      <c r="AX1248" s="10" t="s">
        <v>169</v>
      </c>
      <c r="BF1248" s="12">
        <v>0.56999999999999995</v>
      </c>
      <c r="BG1248" s="13">
        <v>472.90757105390202</v>
      </c>
      <c r="BH1248" s="96" t="str">
        <f>+VLOOKUP(G1248,Liste!$A$7:$G$50,3,FALSE)</f>
        <v>Chene_pedoncule</v>
      </c>
      <c r="BI1248" s="96" t="str">
        <f>+VLOOKUP(H1248,Liste!$B$7:$G$50,5,FALSE)</f>
        <v>Guide chênaie continentale</v>
      </c>
      <c r="BJ1248" s="135">
        <f t="shared" si="379"/>
        <v>90</v>
      </c>
      <c r="BK1248" s="135" t="str">
        <f t="shared" si="381"/>
        <v>Chene_pedoncule_F1_Dynamique_Guide chênaie continentale_90_</v>
      </c>
      <c r="BL1248" s="322"/>
      <c r="BM1248" s="13">
        <v>113.50962920823299</v>
      </c>
      <c r="BN1248" s="13">
        <v>586.41720026213602</v>
      </c>
      <c r="BO1248" s="13" t="s">
        <v>169</v>
      </c>
      <c r="BP1248" s="13">
        <v>307.101589782742</v>
      </c>
      <c r="BQ1248" s="13">
        <v>13.7581615489061</v>
      </c>
      <c r="BT1248" s="298" t="str">
        <f>+VLOOKUP(G1248,Liste!$A$7:$H$50,8,FALSE)</f>
        <v>Feuillus</v>
      </c>
      <c r="BU1248" s="298">
        <f t="shared" si="382"/>
        <v>1</v>
      </c>
      <c r="BV1248" s="300">
        <f t="shared" si="383"/>
        <v>0</v>
      </c>
      <c r="BW1248" s="321">
        <v>0</v>
      </c>
      <c r="BX1248" s="298">
        <f t="shared" si="384"/>
        <v>0.25</v>
      </c>
      <c r="BY1248">
        <f t="shared" si="385"/>
        <v>0</v>
      </c>
      <c r="BZ1248" s="304">
        <f t="shared" si="386"/>
        <v>0</v>
      </c>
      <c r="CB1248" s="299">
        <v>0.6</v>
      </c>
      <c r="CC1248" s="299">
        <v>0.4</v>
      </c>
      <c r="CD1248">
        <f t="shared" si="387"/>
        <v>0</v>
      </c>
      <c r="CE1248">
        <f t="shared" si="388"/>
        <v>0</v>
      </c>
      <c r="CF1248">
        <f t="shared" si="389"/>
        <v>0</v>
      </c>
      <c r="CG1248">
        <f t="shared" si="390"/>
        <v>0</v>
      </c>
      <c r="CH1248">
        <f t="shared" si="391"/>
        <v>0</v>
      </c>
      <c r="CI1248">
        <f t="shared" si="392"/>
        <v>0</v>
      </c>
      <c r="CJ1248">
        <f t="shared" si="393"/>
        <v>0</v>
      </c>
      <c r="CK1248">
        <f t="shared" si="394"/>
        <v>0</v>
      </c>
      <c r="CL1248">
        <f t="shared" si="395"/>
        <v>0</v>
      </c>
      <c r="CM1248">
        <f t="shared" si="397"/>
        <v>0</v>
      </c>
      <c r="CN1248">
        <f t="shared" si="396"/>
        <v>0</v>
      </c>
      <c r="CO1248">
        <f t="shared" si="380"/>
        <v>0</v>
      </c>
    </row>
    <row r="1249" spans="1:93" x14ac:dyDescent="0.25">
      <c r="A1249" s="4">
        <v>2021</v>
      </c>
      <c r="B1249" s="318">
        <v>44298</v>
      </c>
      <c r="C1249" s="4" t="s">
        <v>66</v>
      </c>
      <c r="D1249" s="4" t="s">
        <v>1504</v>
      </c>
      <c r="F1249" s="4" t="s">
        <v>90</v>
      </c>
      <c r="G1249" s="5" t="s">
        <v>69</v>
      </c>
      <c r="H1249" s="5" t="s">
        <v>22</v>
      </c>
      <c r="I1249" s="5" t="s">
        <v>146</v>
      </c>
      <c r="J1249" s="5" t="s">
        <v>9</v>
      </c>
      <c r="K1249" s="5">
        <v>26</v>
      </c>
      <c r="L1249" s="5" t="s">
        <v>194</v>
      </c>
      <c r="M1249" s="5">
        <v>1600</v>
      </c>
      <c r="N1249" s="5" t="s">
        <v>170</v>
      </c>
      <c r="O1249" s="6" t="s">
        <v>81</v>
      </c>
      <c r="P1249" s="6" t="s">
        <v>1505</v>
      </c>
      <c r="S1249" s="6">
        <v>31</v>
      </c>
      <c r="T1249" s="6">
        <v>16.22</v>
      </c>
      <c r="U1249" s="6">
        <v>1446</v>
      </c>
      <c r="V1249" s="6">
        <v>21.44</v>
      </c>
      <c r="W1249" s="6">
        <v>65</v>
      </c>
      <c r="X1249" s="6">
        <v>525</v>
      </c>
      <c r="Y1249" s="6">
        <v>696</v>
      </c>
      <c r="Z1249" s="6">
        <v>155</v>
      </c>
      <c r="AA1249" s="6">
        <v>5</v>
      </c>
      <c r="AB1249" s="6">
        <v>0</v>
      </c>
      <c r="AC1249" s="7">
        <v>90</v>
      </c>
      <c r="AD1249" s="7" t="s">
        <v>53</v>
      </c>
      <c r="AE1249" s="7">
        <v>33.22</v>
      </c>
      <c r="AF1249" s="7">
        <v>63</v>
      </c>
      <c r="AG1249" s="7">
        <v>19.48</v>
      </c>
      <c r="AH1249" s="7">
        <v>62.74</v>
      </c>
      <c r="AI1249" s="7">
        <v>62.74</v>
      </c>
      <c r="AJ1249" s="9">
        <v>317.23905979140699</v>
      </c>
      <c r="AK1249" s="9">
        <v>360.09217283046598</v>
      </c>
      <c r="AL1249" s="9">
        <v>385.00004899646598</v>
      </c>
      <c r="AM1249" s="9">
        <v>65.723535194947203</v>
      </c>
      <c r="AN1249" s="9">
        <v>0.73026150216607999</v>
      </c>
      <c r="AO1249" s="9">
        <v>0.47021179620828502</v>
      </c>
      <c r="AP1249" s="9">
        <v>1031.9288272303199</v>
      </c>
      <c r="AQ1249" s="9">
        <v>11.4658758581147</v>
      </c>
      <c r="AR1249" s="9">
        <v>11.6121485506022</v>
      </c>
      <c r="AS1249" s="8">
        <v>16</v>
      </c>
      <c r="AT1249" s="8">
        <v>4.6400000000000006</v>
      </c>
      <c r="AU1249" s="10">
        <v>60.76507779746499</v>
      </c>
      <c r="AV1249" s="10">
        <v>75.545403205133027</v>
      </c>
      <c r="AW1249" s="8">
        <v>0.95</v>
      </c>
      <c r="AX1249" s="10">
        <v>4.7215877003208142</v>
      </c>
      <c r="BF1249" s="12">
        <v>0.56999999999999995</v>
      </c>
      <c r="BG1249" s="13">
        <v>382.208798641241</v>
      </c>
      <c r="BH1249" s="96" t="str">
        <f>+VLOOKUP(G1249,Liste!$A$7:$G$50,3,FALSE)</f>
        <v>Chene_pedoncule</v>
      </c>
      <c r="BI1249" s="96" t="str">
        <f>+VLOOKUP(H1249,Liste!$B$7:$G$50,5,FALSE)</f>
        <v>Guide chênaie continentale</v>
      </c>
      <c r="BJ1249" s="135">
        <f t="shared" si="379"/>
        <v>90</v>
      </c>
      <c r="BK1249" s="135" t="str">
        <f t="shared" si="381"/>
        <v>Chene_pedoncule_F1_Dynamique_Guide chênaie continentale_90_</v>
      </c>
      <c r="BL1249" s="322"/>
      <c r="BM1249" s="13">
        <v>94.041874429337398</v>
      </c>
      <c r="BN1249" s="13">
        <v>476.25067307057901</v>
      </c>
      <c r="BO1249" s="13">
        <v>110.16652719155701</v>
      </c>
      <c r="BP1249" s="13">
        <v>307.101589782742</v>
      </c>
      <c r="BQ1249" s="13">
        <v>13.7581615489061</v>
      </c>
      <c r="BT1249" s="298" t="str">
        <f>+VLOOKUP(G1249,Liste!$A$7:$H$50,8,FALSE)</f>
        <v>Feuillus</v>
      </c>
      <c r="BU1249" s="298">
        <f t="shared" si="382"/>
        <v>1</v>
      </c>
      <c r="BV1249" s="300">
        <f t="shared" si="383"/>
        <v>0</v>
      </c>
      <c r="BW1249" s="321">
        <v>0</v>
      </c>
      <c r="BX1249" s="298">
        <f t="shared" si="384"/>
        <v>0.25</v>
      </c>
      <c r="BY1249">
        <f t="shared" si="385"/>
        <v>0</v>
      </c>
      <c r="BZ1249" s="304">
        <f t="shared" si="386"/>
        <v>0</v>
      </c>
      <c r="CB1249" s="299">
        <v>0.6</v>
      </c>
      <c r="CC1249" s="299">
        <v>0.4</v>
      </c>
      <c r="CD1249">
        <f t="shared" si="387"/>
        <v>0</v>
      </c>
      <c r="CE1249">
        <f t="shared" si="388"/>
        <v>0</v>
      </c>
      <c r="CF1249">
        <f t="shared" si="389"/>
        <v>0</v>
      </c>
      <c r="CG1249">
        <f t="shared" si="390"/>
        <v>0</v>
      </c>
      <c r="CH1249">
        <f t="shared" si="391"/>
        <v>0</v>
      </c>
      <c r="CI1249">
        <f t="shared" si="392"/>
        <v>0</v>
      </c>
      <c r="CJ1249">
        <f t="shared" si="393"/>
        <v>0</v>
      </c>
      <c r="CK1249">
        <f t="shared" si="394"/>
        <v>0</v>
      </c>
      <c r="CL1249">
        <f t="shared" si="395"/>
        <v>0</v>
      </c>
      <c r="CM1249">
        <f t="shared" si="397"/>
        <v>0</v>
      </c>
      <c r="CN1249">
        <f t="shared" si="396"/>
        <v>0</v>
      </c>
      <c r="CO1249">
        <f t="shared" si="380"/>
        <v>0</v>
      </c>
    </row>
    <row r="1250" spans="1:93" x14ac:dyDescent="0.25">
      <c r="A1250" s="4">
        <v>2021</v>
      </c>
      <c r="B1250" s="318">
        <v>44298</v>
      </c>
      <c r="C1250" s="4" t="s">
        <v>66</v>
      </c>
      <c r="D1250" s="4" t="s">
        <v>1504</v>
      </c>
      <c r="F1250" s="4" t="s">
        <v>90</v>
      </c>
      <c r="G1250" s="5" t="s">
        <v>69</v>
      </c>
      <c r="H1250" s="5" t="s">
        <v>22</v>
      </c>
      <c r="I1250" s="5" t="s">
        <v>146</v>
      </c>
      <c r="J1250" s="5" t="s">
        <v>9</v>
      </c>
      <c r="K1250" s="5">
        <v>26</v>
      </c>
      <c r="L1250" s="5" t="s">
        <v>194</v>
      </c>
      <c r="M1250" s="5">
        <v>1600</v>
      </c>
      <c r="N1250" s="5" t="s">
        <v>170</v>
      </c>
      <c r="O1250" s="6" t="s">
        <v>81</v>
      </c>
      <c r="P1250" s="6" t="s">
        <v>1505</v>
      </c>
      <c r="S1250" s="6">
        <v>31</v>
      </c>
      <c r="T1250" s="6">
        <v>16.22</v>
      </c>
      <c r="U1250" s="6">
        <v>1446</v>
      </c>
      <c r="V1250" s="6">
        <v>21.44</v>
      </c>
      <c r="W1250" s="6">
        <v>65</v>
      </c>
      <c r="X1250" s="6">
        <v>525</v>
      </c>
      <c r="Y1250" s="6">
        <v>696</v>
      </c>
      <c r="Z1250" s="6">
        <v>155</v>
      </c>
      <c r="AA1250" s="6">
        <v>5</v>
      </c>
      <c r="AB1250" s="6">
        <v>0</v>
      </c>
      <c r="AC1250" s="7">
        <v>93</v>
      </c>
      <c r="AD1250" s="7" t="s">
        <v>52</v>
      </c>
      <c r="AE1250" s="7">
        <v>33.770000000000003</v>
      </c>
      <c r="AF1250" s="7">
        <v>63</v>
      </c>
      <c r="AG1250" s="7">
        <v>20.89</v>
      </c>
      <c r="AH1250" s="7">
        <v>64.97</v>
      </c>
      <c r="AI1250" s="7">
        <v>64.97</v>
      </c>
      <c r="AJ1250" s="9">
        <v>346.081878869082</v>
      </c>
      <c r="AK1250" s="9">
        <v>393.27682567646099</v>
      </c>
      <c r="AL1250" s="9">
        <v>419.83649464827198</v>
      </c>
      <c r="AM1250" s="9">
        <v>67.134170583572001</v>
      </c>
      <c r="AN1250" s="9">
        <v>0.72187280197389303</v>
      </c>
      <c r="AO1250" s="9">
        <v>0.46573291395585198</v>
      </c>
      <c r="AP1250" s="9">
        <v>1066.7652728821299</v>
      </c>
      <c r="AQ1250" s="9">
        <v>11.4705943320659</v>
      </c>
      <c r="AR1250" s="9">
        <v>11.697244276948799</v>
      </c>
      <c r="AS1250" s="8" t="s">
        <v>169</v>
      </c>
      <c r="AT1250" s="8" t="s">
        <v>169</v>
      </c>
      <c r="AU1250" s="10" t="s">
        <v>169</v>
      </c>
      <c r="AV1250" s="10">
        <v>0</v>
      </c>
      <c r="AX1250" s="10" t="s">
        <v>169</v>
      </c>
      <c r="BF1250" s="12">
        <v>0.56999999999999995</v>
      </c>
      <c r="BG1250" s="13">
        <v>416.79268006207201</v>
      </c>
      <c r="BH1250" s="96" t="str">
        <f>+VLOOKUP(G1250,Liste!$A$7:$G$50,3,FALSE)</f>
        <v>Chene_pedoncule</v>
      </c>
      <c r="BI1250" s="96" t="str">
        <f>+VLOOKUP(H1250,Liste!$B$7:$G$50,5,FALSE)</f>
        <v>Guide chênaie continentale</v>
      </c>
      <c r="BJ1250" s="135">
        <f t="shared" si="379"/>
        <v>93</v>
      </c>
      <c r="BK1250" s="135" t="str">
        <f t="shared" si="381"/>
        <v>Chene_pedoncule_F1_Dynamique_Guide chênaie continentale_93_</v>
      </c>
      <c r="BL1250" s="322"/>
      <c r="BM1250" s="13">
        <v>101.522377777622</v>
      </c>
      <c r="BN1250" s="13">
        <v>518.31505783969499</v>
      </c>
      <c r="BO1250" s="13" t="s">
        <v>169</v>
      </c>
      <c r="BP1250" s="13">
        <v>307.101589782742</v>
      </c>
      <c r="BQ1250" s="13">
        <v>13.8504282220104</v>
      </c>
      <c r="BT1250" s="298" t="str">
        <f>+VLOOKUP(G1250,Liste!$A$7:$H$50,8,FALSE)</f>
        <v>Feuillus</v>
      </c>
      <c r="BU1250" s="298">
        <f t="shared" si="382"/>
        <v>1</v>
      </c>
      <c r="BV1250" s="300">
        <f t="shared" si="383"/>
        <v>0</v>
      </c>
      <c r="BW1250" s="321">
        <v>0</v>
      </c>
      <c r="BX1250" s="298">
        <f t="shared" si="384"/>
        <v>0.25</v>
      </c>
      <c r="BY1250">
        <f t="shared" si="385"/>
        <v>0</v>
      </c>
      <c r="BZ1250" s="304">
        <f t="shared" si="386"/>
        <v>0</v>
      </c>
      <c r="CB1250" s="299">
        <v>0.6</v>
      </c>
      <c r="CC1250" s="299">
        <v>0.4</v>
      </c>
      <c r="CD1250">
        <f t="shared" si="387"/>
        <v>0</v>
      </c>
      <c r="CE1250">
        <f t="shared" si="388"/>
        <v>0</v>
      </c>
      <c r="CF1250">
        <f t="shared" si="389"/>
        <v>0</v>
      </c>
      <c r="CG1250">
        <f t="shared" si="390"/>
        <v>0</v>
      </c>
      <c r="CH1250">
        <f t="shared" si="391"/>
        <v>0</v>
      </c>
      <c r="CI1250">
        <f t="shared" si="392"/>
        <v>0</v>
      </c>
      <c r="CJ1250">
        <f t="shared" si="393"/>
        <v>0</v>
      </c>
      <c r="CK1250">
        <f t="shared" si="394"/>
        <v>0</v>
      </c>
      <c r="CL1250">
        <f t="shared" si="395"/>
        <v>0</v>
      </c>
      <c r="CM1250">
        <f t="shared" si="397"/>
        <v>0</v>
      </c>
      <c r="CN1250">
        <f t="shared" si="396"/>
        <v>0</v>
      </c>
      <c r="CO1250">
        <f t="shared" si="380"/>
        <v>0</v>
      </c>
    </row>
    <row r="1251" spans="1:93" x14ac:dyDescent="0.25">
      <c r="A1251" s="4">
        <v>2021</v>
      </c>
      <c r="B1251" s="318">
        <v>44298</v>
      </c>
      <c r="C1251" s="4" t="s">
        <v>66</v>
      </c>
      <c r="D1251" s="4" t="s">
        <v>1504</v>
      </c>
      <c r="F1251" s="4" t="s">
        <v>90</v>
      </c>
      <c r="G1251" s="5" t="s">
        <v>69</v>
      </c>
      <c r="H1251" s="5" t="s">
        <v>22</v>
      </c>
      <c r="I1251" s="5" t="s">
        <v>146</v>
      </c>
      <c r="J1251" s="5" t="s">
        <v>9</v>
      </c>
      <c r="K1251" s="5">
        <v>26</v>
      </c>
      <c r="L1251" s="5" t="s">
        <v>194</v>
      </c>
      <c r="M1251" s="5">
        <v>1600</v>
      </c>
      <c r="N1251" s="5" t="s">
        <v>170</v>
      </c>
      <c r="O1251" s="6" t="s">
        <v>81</v>
      </c>
      <c r="P1251" s="6" t="s">
        <v>1505</v>
      </c>
      <c r="S1251" s="6">
        <v>31</v>
      </c>
      <c r="T1251" s="6">
        <v>16.22</v>
      </c>
      <c r="U1251" s="6">
        <v>1446</v>
      </c>
      <c r="V1251" s="6">
        <v>21.44</v>
      </c>
      <c r="W1251" s="6">
        <v>65</v>
      </c>
      <c r="X1251" s="6">
        <v>525</v>
      </c>
      <c r="Y1251" s="6">
        <v>696</v>
      </c>
      <c r="Z1251" s="6">
        <v>155</v>
      </c>
      <c r="AA1251" s="6">
        <v>5</v>
      </c>
      <c r="AB1251" s="6">
        <v>0</v>
      </c>
      <c r="AC1251" s="7">
        <v>96</v>
      </c>
      <c r="AD1251" s="7" t="s">
        <v>52</v>
      </c>
      <c r="AE1251" s="7">
        <v>34.31</v>
      </c>
      <c r="AF1251" s="7">
        <v>63</v>
      </c>
      <c r="AG1251" s="7">
        <v>22.29</v>
      </c>
      <c r="AH1251" s="7">
        <v>67.11</v>
      </c>
      <c r="AI1251" s="7">
        <v>67.11</v>
      </c>
      <c r="AJ1251" s="9">
        <v>375.15296455569302</v>
      </c>
      <c r="AK1251" s="9">
        <v>426.74035402801297</v>
      </c>
      <c r="AL1251" s="9">
        <v>454.92822747911902</v>
      </c>
      <c r="AM1251" s="9">
        <v>68.531369325439599</v>
      </c>
      <c r="AN1251" s="9">
        <v>0.71386843047332904</v>
      </c>
      <c r="AO1251" s="9">
        <v>0.46166541802543298</v>
      </c>
      <c r="AP1251" s="9">
        <v>1101.85700571297</v>
      </c>
      <c r="AQ1251" s="9">
        <v>11.4776771428435</v>
      </c>
      <c r="AR1251" s="9">
        <v>11.806549729036901</v>
      </c>
      <c r="AS1251" s="8" t="s">
        <v>169</v>
      </c>
      <c r="AT1251" s="8" t="s">
        <v>169</v>
      </c>
      <c r="AU1251" s="10" t="s">
        <v>169</v>
      </c>
      <c r="AV1251" s="10">
        <v>0</v>
      </c>
      <c r="AX1251" s="10" t="s">
        <v>169</v>
      </c>
      <c r="BF1251" s="12">
        <v>0.56999999999999995</v>
      </c>
      <c r="BG1251" s="13">
        <v>451.62999782989499</v>
      </c>
      <c r="BH1251" s="96" t="str">
        <f>+VLOOKUP(G1251,Liste!$A$7:$G$50,3,FALSE)</f>
        <v>Chene_pedoncule</v>
      </c>
      <c r="BI1251" s="96" t="str">
        <f>+VLOOKUP(H1251,Liste!$B$7:$G$50,5,FALSE)</f>
        <v>Guide chênaie continentale</v>
      </c>
      <c r="BJ1251" s="135">
        <f t="shared" si="379"/>
        <v>96</v>
      </c>
      <c r="BK1251" s="135" t="str">
        <f t="shared" si="381"/>
        <v>Chene_pedoncule_F1_Dynamique_Guide chênaie continentale_96_</v>
      </c>
      <c r="BL1251" s="322"/>
      <c r="BM1251" s="13">
        <v>108.98493272952101</v>
      </c>
      <c r="BN1251" s="13">
        <v>560.61493055941605</v>
      </c>
      <c r="BO1251" s="13" t="s">
        <v>169</v>
      </c>
      <c r="BP1251" s="13">
        <v>307.101589782742</v>
      </c>
      <c r="BQ1251" s="13">
        <v>13.9714561255494</v>
      </c>
      <c r="BT1251" s="298" t="str">
        <f>+VLOOKUP(G1251,Liste!$A$7:$H$50,8,FALSE)</f>
        <v>Feuillus</v>
      </c>
      <c r="BU1251" s="298">
        <f t="shared" si="382"/>
        <v>1</v>
      </c>
      <c r="BV1251" s="300">
        <f t="shared" si="383"/>
        <v>0</v>
      </c>
      <c r="BW1251" s="321">
        <v>0</v>
      </c>
      <c r="BX1251" s="298">
        <f t="shared" si="384"/>
        <v>0.25</v>
      </c>
      <c r="BY1251">
        <f t="shared" si="385"/>
        <v>0</v>
      </c>
      <c r="BZ1251" s="304">
        <f t="shared" si="386"/>
        <v>0</v>
      </c>
      <c r="CB1251" s="299">
        <v>0.6</v>
      </c>
      <c r="CC1251" s="299">
        <v>0.4</v>
      </c>
      <c r="CD1251">
        <f t="shared" si="387"/>
        <v>0</v>
      </c>
      <c r="CE1251">
        <f t="shared" si="388"/>
        <v>0</v>
      </c>
      <c r="CF1251">
        <f t="shared" si="389"/>
        <v>0</v>
      </c>
      <c r="CG1251">
        <f t="shared" si="390"/>
        <v>0</v>
      </c>
      <c r="CH1251">
        <f t="shared" si="391"/>
        <v>0</v>
      </c>
      <c r="CI1251">
        <f t="shared" si="392"/>
        <v>0</v>
      </c>
      <c r="CJ1251">
        <f t="shared" si="393"/>
        <v>0</v>
      </c>
      <c r="CK1251">
        <f t="shared" si="394"/>
        <v>0</v>
      </c>
      <c r="CL1251">
        <f t="shared" si="395"/>
        <v>0</v>
      </c>
      <c r="CM1251">
        <f t="shared" si="397"/>
        <v>0</v>
      </c>
      <c r="CN1251">
        <f t="shared" si="396"/>
        <v>0</v>
      </c>
      <c r="CO1251">
        <f t="shared" si="380"/>
        <v>0</v>
      </c>
    </row>
    <row r="1252" spans="1:93" x14ac:dyDescent="0.25">
      <c r="A1252" s="4">
        <v>2021</v>
      </c>
      <c r="B1252" s="318">
        <v>44298</v>
      </c>
      <c r="C1252" s="4" t="s">
        <v>66</v>
      </c>
      <c r="D1252" s="4" t="s">
        <v>1504</v>
      </c>
      <c r="F1252" s="4" t="s">
        <v>90</v>
      </c>
      <c r="G1252" s="5" t="s">
        <v>69</v>
      </c>
      <c r="H1252" s="5" t="s">
        <v>22</v>
      </c>
      <c r="I1252" s="5" t="s">
        <v>146</v>
      </c>
      <c r="J1252" s="5" t="s">
        <v>9</v>
      </c>
      <c r="K1252" s="5">
        <v>26</v>
      </c>
      <c r="L1252" s="5" t="s">
        <v>194</v>
      </c>
      <c r="M1252" s="5">
        <v>1600</v>
      </c>
      <c r="N1252" s="5" t="s">
        <v>170</v>
      </c>
      <c r="O1252" s="6" t="s">
        <v>81</v>
      </c>
      <c r="P1252" s="6" t="s">
        <v>1505</v>
      </c>
      <c r="S1252" s="6">
        <v>31</v>
      </c>
      <c r="T1252" s="6">
        <v>16.22</v>
      </c>
      <c r="U1252" s="6">
        <v>1446</v>
      </c>
      <c r="V1252" s="6">
        <v>21.44</v>
      </c>
      <c r="W1252" s="6">
        <v>65</v>
      </c>
      <c r="X1252" s="6">
        <v>525</v>
      </c>
      <c r="Y1252" s="6">
        <v>696</v>
      </c>
      <c r="Z1252" s="6">
        <v>155</v>
      </c>
      <c r="AA1252" s="6">
        <v>5</v>
      </c>
      <c r="AB1252" s="6">
        <v>0</v>
      </c>
      <c r="AC1252" s="7">
        <v>99</v>
      </c>
      <c r="AD1252" s="7" t="s">
        <v>52</v>
      </c>
      <c r="AE1252" s="7">
        <v>34.83</v>
      </c>
      <c r="AF1252" s="7">
        <v>63</v>
      </c>
      <c r="AG1252" s="7">
        <v>23.67</v>
      </c>
      <c r="AH1252" s="7">
        <v>69.17</v>
      </c>
      <c r="AI1252" s="7">
        <v>69.17</v>
      </c>
      <c r="AJ1252" s="9">
        <v>404.53450345928098</v>
      </c>
      <c r="AK1252" s="9">
        <v>460.55379881868498</v>
      </c>
      <c r="AL1252" s="9">
        <v>490.34787666622901</v>
      </c>
      <c r="AM1252" s="9">
        <v>69.916365579515897</v>
      </c>
      <c r="AN1252" s="9">
        <v>0.70622591494460496</v>
      </c>
      <c r="AO1252" s="9">
        <v>0.289984811991367</v>
      </c>
      <c r="AP1252" s="9">
        <v>1137.2766549000801</v>
      </c>
      <c r="AQ1252" s="9">
        <v>11.487642978788701</v>
      </c>
      <c r="AR1252" s="9">
        <v>7.4071480831015597</v>
      </c>
      <c r="AS1252" s="8" t="s">
        <v>169</v>
      </c>
      <c r="AT1252" s="8" t="s">
        <v>169</v>
      </c>
      <c r="AU1252" s="10" t="s">
        <v>169</v>
      </c>
      <c r="AV1252" s="10">
        <v>0</v>
      </c>
      <c r="AX1252" s="10" t="s">
        <v>169</v>
      </c>
      <c r="BF1252" s="12">
        <v>0.56999999999999995</v>
      </c>
      <c r="BG1252" s="13">
        <v>486.79285456039901</v>
      </c>
      <c r="BH1252" s="96" t="str">
        <f>+VLOOKUP(G1252,Liste!$A$7:$G$50,3,FALSE)</f>
        <v>Chene_pedoncule</v>
      </c>
      <c r="BI1252" s="96" t="str">
        <f>+VLOOKUP(H1252,Liste!$B$7:$G$50,5,FALSE)</f>
        <v>Guide chênaie continentale</v>
      </c>
      <c r="BJ1252" s="135">
        <f t="shared" si="379"/>
        <v>99</v>
      </c>
      <c r="BK1252" s="135" t="str">
        <f t="shared" si="381"/>
        <v>Chene_pedoncule_F1_Dynamique_Guide chênaie continentale_99_</v>
      </c>
      <c r="BL1252" s="322"/>
      <c r="BM1252" s="13">
        <v>116.449526247299</v>
      </c>
      <c r="BN1252" s="13">
        <v>603.24238080769805</v>
      </c>
      <c r="BO1252" s="13" t="s">
        <v>169</v>
      </c>
      <c r="BP1252" s="13">
        <v>307.101589782742</v>
      </c>
      <c r="BQ1252" s="13">
        <v>8.7617108483889297</v>
      </c>
      <c r="BT1252" s="298" t="str">
        <f>+VLOOKUP(G1252,Liste!$A$7:$H$50,8,FALSE)</f>
        <v>Feuillus</v>
      </c>
      <c r="BU1252" s="298">
        <f t="shared" si="382"/>
        <v>1</v>
      </c>
      <c r="BV1252" s="300">
        <f t="shared" si="383"/>
        <v>0</v>
      </c>
      <c r="BW1252" s="321">
        <v>0</v>
      </c>
      <c r="BX1252" s="298">
        <f t="shared" si="384"/>
        <v>0.25</v>
      </c>
      <c r="BY1252">
        <f t="shared" si="385"/>
        <v>0</v>
      </c>
      <c r="BZ1252" s="304">
        <f t="shared" si="386"/>
        <v>0</v>
      </c>
      <c r="CB1252" s="299">
        <v>0.6</v>
      </c>
      <c r="CC1252" s="299">
        <v>0.4</v>
      </c>
      <c r="CD1252">
        <f t="shared" si="387"/>
        <v>0</v>
      </c>
      <c r="CE1252">
        <f t="shared" si="388"/>
        <v>0</v>
      </c>
      <c r="CF1252">
        <f t="shared" si="389"/>
        <v>0</v>
      </c>
      <c r="CG1252">
        <f t="shared" si="390"/>
        <v>0</v>
      </c>
      <c r="CH1252">
        <f t="shared" si="391"/>
        <v>0</v>
      </c>
      <c r="CI1252">
        <f t="shared" si="392"/>
        <v>0</v>
      </c>
      <c r="CJ1252">
        <f t="shared" si="393"/>
        <v>0</v>
      </c>
      <c r="CK1252">
        <f t="shared" si="394"/>
        <v>0</v>
      </c>
      <c r="CL1252">
        <f t="shared" si="395"/>
        <v>0</v>
      </c>
      <c r="CM1252">
        <f t="shared" si="397"/>
        <v>0</v>
      </c>
      <c r="CN1252">
        <f t="shared" si="396"/>
        <v>0</v>
      </c>
      <c r="CO1252">
        <f t="shared" si="380"/>
        <v>0</v>
      </c>
    </row>
    <row r="1253" spans="1:93" x14ac:dyDescent="0.25">
      <c r="A1253" s="4">
        <v>2021</v>
      </c>
      <c r="B1253" s="318">
        <v>44298</v>
      </c>
      <c r="C1253" s="4" t="s">
        <v>66</v>
      </c>
      <c r="D1253" s="4" t="s">
        <v>1504</v>
      </c>
      <c r="F1253" s="4" t="s">
        <v>90</v>
      </c>
      <c r="G1253" s="5" t="s">
        <v>69</v>
      </c>
      <c r="H1253" s="5" t="s">
        <v>22</v>
      </c>
      <c r="I1253" s="5" t="s">
        <v>146</v>
      </c>
      <c r="J1253" s="5" t="s">
        <v>9</v>
      </c>
      <c r="K1253" s="5">
        <v>26</v>
      </c>
      <c r="L1253" s="5" t="s">
        <v>194</v>
      </c>
      <c r="M1253" s="5">
        <v>1600</v>
      </c>
      <c r="N1253" s="5" t="s">
        <v>170</v>
      </c>
      <c r="O1253" s="6" t="s">
        <v>81</v>
      </c>
      <c r="P1253" s="6" t="s">
        <v>1505</v>
      </c>
      <c r="S1253" s="6">
        <v>31</v>
      </c>
      <c r="T1253" s="6">
        <v>16.22</v>
      </c>
      <c r="U1253" s="6">
        <v>1446</v>
      </c>
      <c r="V1253" s="6">
        <v>21.44</v>
      </c>
      <c r="W1253" s="6">
        <v>65</v>
      </c>
      <c r="X1253" s="6">
        <v>525</v>
      </c>
      <c r="Y1253" s="6">
        <v>696</v>
      </c>
      <c r="Z1253" s="6">
        <v>155</v>
      </c>
      <c r="AA1253" s="6">
        <v>5</v>
      </c>
      <c r="AB1253" s="6">
        <v>0</v>
      </c>
      <c r="AC1253" s="7">
        <v>99</v>
      </c>
      <c r="AD1253" s="7" t="s">
        <v>53</v>
      </c>
      <c r="AE1253" s="7">
        <v>34.83</v>
      </c>
      <c r="AF1253" s="7">
        <v>32</v>
      </c>
      <c r="AG1253" s="7">
        <v>12.21</v>
      </c>
      <c r="AH1253" s="7">
        <v>69.7</v>
      </c>
      <c r="AI1253" s="7">
        <v>69.7</v>
      </c>
      <c r="AJ1253" s="9">
        <v>208.679261041887</v>
      </c>
      <c r="AK1253" s="9">
        <v>237.78885024629301</v>
      </c>
      <c r="AL1253" s="9">
        <v>253.14352275917699</v>
      </c>
      <c r="AM1253" s="9">
        <v>69.916365579515897</v>
      </c>
      <c r="AN1253" s="9">
        <v>0.70622591494460496</v>
      </c>
      <c r="AO1253" s="9">
        <v>0.289984811991367</v>
      </c>
      <c r="AP1253" s="9">
        <v>1137.2766549000801</v>
      </c>
      <c r="AQ1253" s="9">
        <v>11.487642978788701</v>
      </c>
      <c r="AR1253" s="9">
        <v>7.4071480831015597</v>
      </c>
      <c r="AS1253" s="8">
        <v>31</v>
      </c>
      <c r="AT1253" s="8">
        <v>11.46</v>
      </c>
      <c r="AU1253" s="10">
        <v>68.606698588273787</v>
      </c>
      <c r="AV1253" s="10">
        <v>195.85524241739398</v>
      </c>
      <c r="AW1253" s="8">
        <v>0.98</v>
      </c>
      <c r="AX1253" s="10">
        <v>6.3179110457223864</v>
      </c>
      <c r="BF1253" s="12">
        <v>0.56999999999999995</v>
      </c>
      <c r="BG1253" s="13">
        <v>251.308232219172</v>
      </c>
      <c r="BH1253" s="96" t="str">
        <f>+VLOOKUP(G1253,Liste!$A$7:$G$50,3,FALSE)</f>
        <v>Chene_pedoncule</v>
      </c>
      <c r="BI1253" s="96" t="str">
        <f>+VLOOKUP(H1253,Liste!$B$7:$G$50,5,FALSE)</f>
        <v>Guide chênaie continentale</v>
      </c>
      <c r="BJ1253" s="135">
        <f t="shared" si="379"/>
        <v>99</v>
      </c>
      <c r="BK1253" s="135" t="str">
        <f t="shared" si="381"/>
        <v>Chene_pedoncule_F1_Dynamique_Guide chênaie continentale_99_</v>
      </c>
      <c r="BL1253" s="322"/>
      <c r="BM1253" s="13">
        <v>64.926658042651297</v>
      </c>
      <c r="BN1253" s="13">
        <v>316.23489026182398</v>
      </c>
      <c r="BO1253" s="13">
        <v>287.00749054587408</v>
      </c>
      <c r="BP1253" s="13">
        <v>307.101589782742</v>
      </c>
      <c r="BQ1253" s="13">
        <v>8.7617108483889297</v>
      </c>
      <c r="BT1253" s="298" t="str">
        <f>+VLOOKUP(G1253,Liste!$A$7:$H$50,8,FALSE)</f>
        <v>Feuillus</v>
      </c>
      <c r="BU1253" s="298">
        <f t="shared" si="382"/>
        <v>1</v>
      </c>
      <c r="BV1253" s="300">
        <f t="shared" si="383"/>
        <v>0</v>
      </c>
      <c r="BW1253" s="321">
        <v>0</v>
      </c>
      <c r="BX1253" s="298">
        <f t="shared" si="384"/>
        <v>0.25</v>
      </c>
      <c r="BY1253">
        <f t="shared" si="385"/>
        <v>0</v>
      </c>
      <c r="BZ1253" s="304">
        <f t="shared" si="386"/>
        <v>0</v>
      </c>
      <c r="CB1253" s="299">
        <v>0.6</v>
      </c>
      <c r="CC1253" s="299">
        <v>0.4</v>
      </c>
      <c r="CD1253">
        <f t="shared" si="387"/>
        <v>0</v>
      </c>
      <c r="CE1253">
        <f t="shared" si="388"/>
        <v>0</v>
      </c>
      <c r="CF1253">
        <f t="shared" si="389"/>
        <v>0</v>
      </c>
      <c r="CG1253">
        <f t="shared" si="390"/>
        <v>0</v>
      </c>
      <c r="CH1253">
        <f t="shared" si="391"/>
        <v>0</v>
      </c>
      <c r="CI1253">
        <f t="shared" si="392"/>
        <v>0</v>
      </c>
      <c r="CJ1253">
        <f t="shared" si="393"/>
        <v>0</v>
      </c>
      <c r="CK1253">
        <f t="shared" si="394"/>
        <v>0</v>
      </c>
      <c r="CL1253">
        <f t="shared" si="395"/>
        <v>0</v>
      </c>
      <c r="CM1253">
        <f t="shared" si="397"/>
        <v>0</v>
      </c>
      <c r="CN1253">
        <f t="shared" si="396"/>
        <v>0</v>
      </c>
      <c r="CO1253">
        <f t="shared" si="380"/>
        <v>0</v>
      </c>
    </row>
    <row r="1254" spans="1:93" x14ac:dyDescent="0.25">
      <c r="A1254" s="4">
        <v>2021</v>
      </c>
      <c r="B1254" s="318">
        <v>44298</v>
      </c>
      <c r="C1254" s="4" t="s">
        <v>66</v>
      </c>
      <c r="D1254" s="4" t="s">
        <v>1504</v>
      </c>
      <c r="F1254" s="4" t="s">
        <v>90</v>
      </c>
      <c r="G1254" s="5" t="s">
        <v>69</v>
      </c>
      <c r="H1254" s="5" t="s">
        <v>22</v>
      </c>
      <c r="I1254" s="5" t="s">
        <v>146</v>
      </c>
      <c r="J1254" s="5" t="s">
        <v>9</v>
      </c>
      <c r="K1254" s="5">
        <v>26</v>
      </c>
      <c r="L1254" s="5" t="s">
        <v>194</v>
      </c>
      <c r="M1254" s="5">
        <v>1600</v>
      </c>
      <c r="N1254" s="5" t="s">
        <v>170</v>
      </c>
      <c r="O1254" s="6" t="s">
        <v>81</v>
      </c>
      <c r="P1254" s="6" t="s">
        <v>1505</v>
      </c>
      <c r="S1254" s="6">
        <v>31</v>
      </c>
      <c r="T1254" s="6">
        <v>16.22</v>
      </c>
      <c r="U1254" s="6">
        <v>1446</v>
      </c>
      <c r="V1254" s="6">
        <v>21.44</v>
      </c>
      <c r="W1254" s="6">
        <v>65</v>
      </c>
      <c r="X1254" s="6">
        <v>525</v>
      </c>
      <c r="Y1254" s="6">
        <v>696</v>
      </c>
      <c r="Z1254" s="6">
        <v>155</v>
      </c>
      <c r="AA1254" s="6">
        <v>5</v>
      </c>
      <c r="AB1254" s="6">
        <v>0</v>
      </c>
      <c r="AC1254" s="7">
        <v>101</v>
      </c>
      <c r="AD1254" s="7" t="s">
        <v>52</v>
      </c>
      <c r="AE1254" s="7">
        <v>35.17</v>
      </c>
      <c r="AF1254" s="7">
        <v>32</v>
      </c>
      <c r="AG1254" s="7">
        <v>12.79</v>
      </c>
      <c r="AH1254" s="7">
        <v>71.33</v>
      </c>
      <c r="AI1254" s="7">
        <v>71.33</v>
      </c>
      <c r="AJ1254" s="9">
        <v>220.90370277391801</v>
      </c>
      <c r="AK1254" s="9">
        <v>251.93185212384799</v>
      </c>
      <c r="AL1254" s="9">
        <v>267.95781892538002</v>
      </c>
      <c r="AM1254" s="9">
        <v>70.496335203498603</v>
      </c>
      <c r="AN1254" s="9">
        <v>0.69798351686632298</v>
      </c>
      <c r="AO1254" s="9">
        <v>0.19536396040207599</v>
      </c>
      <c r="AP1254" s="9">
        <v>1152.09095106629</v>
      </c>
      <c r="AQ1254" s="9">
        <v>11.406841099666201</v>
      </c>
      <c r="AR1254" s="9">
        <v>4.9340139406425596</v>
      </c>
      <c r="AS1254" s="8" t="s">
        <v>169</v>
      </c>
      <c r="AT1254" s="8" t="s">
        <v>169</v>
      </c>
      <c r="AU1254" s="10" t="s">
        <v>169</v>
      </c>
      <c r="AV1254" s="10">
        <v>0</v>
      </c>
      <c r="AX1254" s="10" t="s">
        <v>169</v>
      </c>
      <c r="BF1254" s="12">
        <v>0.56999999999999995</v>
      </c>
      <c r="BG1254" s="13">
        <v>266.01512473817098</v>
      </c>
      <c r="BH1254" s="96" t="str">
        <f>+VLOOKUP(G1254,Liste!$A$7:$G$50,3,FALSE)</f>
        <v>Chene_pedoncule</v>
      </c>
      <c r="BI1254" s="96" t="str">
        <f>+VLOOKUP(H1254,Liste!$B$7:$G$50,5,FALSE)</f>
        <v>Guide chênaie continentale</v>
      </c>
      <c r="BJ1254" s="135">
        <f t="shared" si="379"/>
        <v>101</v>
      </c>
      <c r="BK1254" s="135" t="str">
        <f t="shared" si="381"/>
        <v>Chene_pedoncule_F1_Dynamique_Guide chênaie continentale_101_</v>
      </c>
      <c r="BL1254" s="322"/>
      <c r="BM1254" s="13">
        <v>68.2727865019245</v>
      </c>
      <c r="BN1254" s="13">
        <v>334.28791124009501</v>
      </c>
      <c r="BO1254" s="13" t="s">
        <v>169</v>
      </c>
      <c r="BP1254" s="13">
        <v>307.101589782742</v>
      </c>
      <c r="BQ1254" s="13">
        <v>5.8351381224578098</v>
      </c>
      <c r="BT1254" s="298" t="str">
        <f>+VLOOKUP(G1254,Liste!$A$7:$H$50,8,FALSE)</f>
        <v>Feuillus</v>
      </c>
      <c r="BU1254" s="298">
        <f t="shared" si="382"/>
        <v>1</v>
      </c>
      <c r="BV1254" s="300">
        <f t="shared" si="383"/>
        <v>0</v>
      </c>
      <c r="BW1254" s="321">
        <v>0</v>
      </c>
      <c r="BX1254" s="298">
        <f t="shared" si="384"/>
        <v>0.25</v>
      </c>
      <c r="BY1254">
        <f t="shared" si="385"/>
        <v>0</v>
      </c>
      <c r="BZ1254" s="304">
        <f t="shared" si="386"/>
        <v>0</v>
      </c>
      <c r="CB1254" s="299">
        <v>0.6</v>
      </c>
      <c r="CC1254" s="299">
        <v>0.4</v>
      </c>
      <c r="CD1254">
        <f t="shared" si="387"/>
        <v>0</v>
      </c>
      <c r="CE1254">
        <f t="shared" si="388"/>
        <v>0</v>
      </c>
      <c r="CF1254">
        <f t="shared" si="389"/>
        <v>0</v>
      </c>
      <c r="CG1254">
        <f t="shared" si="390"/>
        <v>0</v>
      </c>
      <c r="CH1254">
        <f t="shared" si="391"/>
        <v>0</v>
      </c>
      <c r="CI1254">
        <f t="shared" si="392"/>
        <v>0</v>
      </c>
      <c r="CJ1254">
        <f t="shared" si="393"/>
        <v>0</v>
      </c>
      <c r="CK1254">
        <f t="shared" si="394"/>
        <v>0</v>
      </c>
      <c r="CL1254">
        <f t="shared" si="395"/>
        <v>0</v>
      </c>
      <c r="CM1254">
        <f t="shared" si="397"/>
        <v>0</v>
      </c>
      <c r="CN1254">
        <f t="shared" si="396"/>
        <v>0</v>
      </c>
      <c r="CO1254">
        <f t="shared" si="380"/>
        <v>0</v>
      </c>
    </row>
    <row r="1255" spans="1:93" x14ac:dyDescent="0.25">
      <c r="A1255" s="4">
        <v>2021</v>
      </c>
      <c r="B1255" s="318">
        <v>44298</v>
      </c>
      <c r="C1255" s="4" t="s">
        <v>66</v>
      </c>
      <c r="D1255" s="4" t="s">
        <v>1504</v>
      </c>
      <c r="F1255" s="4" t="s">
        <v>90</v>
      </c>
      <c r="G1255" s="5" t="s">
        <v>69</v>
      </c>
      <c r="H1255" s="5" t="s">
        <v>22</v>
      </c>
      <c r="I1255" s="5" t="s">
        <v>146</v>
      </c>
      <c r="J1255" s="5" t="s">
        <v>9</v>
      </c>
      <c r="K1255" s="5">
        <v>26</v>
      </c>
      <c r="L1255" s="5" t="s">
        <v>194</v>
      </c>
      <c r="M1255" s="5">
        <v>1600</v>
      </c>
      <c r="N1255" s="5" t="s">
        <v>170</v>
      </c>
      <c r="O1255" s="6" t="s">
        <v>81</v>
      </c>
      <c r="P1255" s="6" t="s">
        <v>1505</v>
      </c>
      <c r="S1255" s="6">
        <v>31</v>
      </c>
      <c r="T1255" s="6">
        <v>16.22</v>
      </c>
      <c r="U1255" s="6">
        <v>1446</v>
      </c>
      <c r="V1255" s="6">
        <v>21.44</v>
      </c>
      <c r="W1255" s="6">
        <v>65</v>
      </c>
      <c r="X1255" s="6">
        <v>525</v>
      </c>
      <c r="Y1255" s="6">
        <v>696</v>
      </c>
      <c r="Z1255" s="6">
        <v>155</v>
      </c>
      <c r="AA1255" s="6">
        <v>5</v>
      </c>
      <c r="AB1255" s="6">
        <v>0</v>
      </c>
      <c r="AC1255" s="7">
        <v>101</v>
      </c>
      <c r="AD1255" s="7" t="s">
        <v>53</v>
      </c>
      <c r="AE1255" s="7">
        <v>35.17</v>
      </c>
      <c r="AF1255" s="7">
        <v>21</v>
      </c>
      <c r="AG1255" s="7">
        <v>8.44</v>
      </c>
      <c r="AH1255" s="7">
        <v>71.55</v>
      </c>
      <c r="AI1255" s="7">
        <v>71.55</v>
      </c>
      <c r="AJ1255" s="9">
        <v>145.90041623147499</v>
      </c>
      <c r="AK1255" s="9">
        <v>166.44386160370701</v>
      </c>
      <c r="AL1255" s="9">
        <v>177.02228404568899</v>
      </c>
      <c r="AM1255" s="9">
        <v>70.496335203498603</v>
      </c>
      <c r="AN1255" s="9">
        <v>0.69798351686632298</v>
      </c>
      <c r="AO1255" s="9">
        <v>0.19536396040207599</v>
      </c>
      <c r="AP1255" s="9">
        <v>1152.09095106629</v>
      </c>
      <c r="AQ1255" s="9">
        <v>11.406841099666201</v>
      </c>
      <c r="AR1255" s="9">
        <v>4.9340139406425596</v>
      </c>
      <c r="AS1255" s="8">
        <v>11</v>
      </c>
      <c r="AT1255" s="8">
        <v>4.3499999999999996</v>
      </c>
      <c r="AU1255" s="10">
        <v>70.958323360828942</v>
      </c>
      <c r="AV1255" s="10">
        <v>75.003286542443021</v>
      </c>
      <c r="AW1255" s="8">
        <v>0.99</v>
      </c>
      <c r="AX1255" s="10">
        <v>6.8184805947675473</v>
      </c>
      <c r="BF1255" s="12">
        <v>0.56999999999999995</v>
      </c>
      <c r="BG1255" s="13">
        <v>175.73887248635799</v>
      </c>
      <c r="BH1255" s="96" t="str">
        <f>+VLOOKUP(G1255,Liste!$A$7:$G$50,3,FALSE)</f>
        <v>Chene_pedoncule</v>
      </c>
      <c r="BI1255" s="96" t="str">
        <f>+VLOOKUP(H1255,Liste!$B$7:$G$50,5,FALSE)</f>
        <v>Guide chênaie continentale</v>
      </c>
      <c r="BJ1255" s="135">
        <f t="shared" si="379"/>
        <v>101</v>
      </c>
      <c r="BK1255" s="135" t="str">
        <f t="shared" si="381"/>
        <v>Chene_pedoncule_F1_Dynamique_Guide chênaie continentale_101_</v>
      </c>
      <c r="BL1255" s="322"/>
      <c r="BM1255" s="13">
        <v>47.3331726293519</v>
      </c>
      <c r="BN1255" s="13">
        <v>223.07204511571001</v>
      </c>
      <c r="BO1255" s="13">
        <v>111.215866124385</v>
      </c>
      <c r="BP1255" s="13">
        <v>307.101589782742</v>
      </c>
      <c r="BQ1255" s="13">
        <v>5.8351381224578098</v>
      </c>
      <c r="BT1255" s="298" t="str">
        <f>+VLOOKUP(G1255,Liste!$A$7:$H$50,8,FALSE)</f>
        <v>Feuillus</v>
      </c>
      <c r="BU1255" s="298">
        <f t="shared" si="382"/>
        <v>1</v>
      </c>
      <c r="BV1255" s="300">
        <f t="shared" si="383"/>
        <v>0</v>
      </c>
      <c r="BW1255" s="321">
        <v>0</v>
      </c>
      <c r="BX1255" s="298">
        <f t="shared" si="384"/>
        <v>0.25</v>
      </c>
      <c r="BY1255">
        <f t="shared" si="385"/>
        <v>0</v>
      </c>
      <c r="BZ1255" s="304">
        <f t="shared" si="386"/>
        <v>0</v>
      </c>
      <c r="CB1255" s="299">
        <v>0.6</v>
      </c>
      <c r="CC1255" s="299">
        <v>0.4</v>
      </c>
      <c r="CD1255">
        <f t="shared" si="387"/>
        <v>0</v>
      </c>
      <c r="CE1255">
        <f t="shared" si="388"/>
        <v>0</v>
      </c>
      <c r="CF1255">
        <f t="shared" si="389"/>
        <v>0</v>
      </c>
      <c r="CG1255">
        <f t="shared" si="390"/>
        <v>0</v>
      </c>
      <c r="CH1255">
        <f t="shared" si="391"/>
        <v>0</v>
      </c>
      <c r="CI1255">
        <f t="shared" si="392"/>
        <v>0</v>
      </c>
      <c r="CJ1255">
        <f t="shared" si="393"/>
        <v>0</v>
      </c>
      <c r="CK1255">
        <f t="shared" si="394"/>
        <v>0</v>
      </c>
      <c r="CL1255">
        <f t="shared" si="395"/>
        <v>0</v>
      </c>
      <c r="CM1255">
        <f t="shared" si="397"/>
        <v>0</v>
      </c>
      <c r="CN1255">
        <f t="shared" si="396"/>
        <v>0</v>
      </c>
      <c r="CO1255">
        <f t="shared" si="380"/>
        <v>0</v>
      </c>
    </row>
    <row r="1256" spans="1:93" x14ac:dyDescent="0.25">
      <c r="A1256" s="4">
        <v>2021</v>
      </c>
      <c r="B1256" s="318">
        <v>44298</v>
      </c>
      <c r="C1256" s="4" t="s">
        <v>66</v>
      </c>
      <c r="D1256" s="4" t="s">
        <v>1504</v>
      </c>
      <c r="F1256" s="4" t="s">
        <v>90</v>
      </c>
      <c r="G1256" s="5" t="s">
        <v>69</v>
      </c>
      <c r="H1256" s="5" t="s">
        <v>22</v>
      </c>
      <c r="I1256" s="5" t="s">
        <v>146</v>
      </c>
      <c r="J1256" s="5" t="s">
        <v>9</v>
      </c>
      <c r="K1256" s="5">
        <v>26</v>
      </c>
      <c r="L1256" s="5" t="s">
        <v>194</v>
      </c>
      <c r="M1256" s="5">
        <v>1600</v>
      </c>
      <c r="N1256" s="5" t="s">
        <v>170</v>
      </c>
      <c r="O1256" s="6" t="s">
        <v>81</v>
      </c>
      <c r="P1256" s="6" t="s">
        <v>1505</v>
      </c>
      <c r="S1256" s="6">
        <v>31</v>
      </c>
      <c r="T1256" s="6">
        <v>16.22</v>
      </c>
      <c r="U1256" s="6">
        <v>1446</v>
      </c>
      <c r="V1256" s="6">
        <v>21.44</v>
      </c>
      <c r="W1256" s="6">
        <v>65</v>
      </c>
      <c r="X1256" s="6">
        <v>525</v>
      </c>
      <c r="Y1256" s="6">
        <v>696</v>
      </c>
      <c r="Z1256" s="6">
        <v>155</v>
      </c>
      <c r="AA1256" s="6">
        <v>5</v>
      </c>
      <c r="AB1256" s="6">
        <v>0</v>
      </c>
      <c r="AC1256" s="7">
        <v>103</v>
      </c>
      <c r="AD1256" s="7" t="s">
        <v>52</v>
      </c>
      <c r="AE1256" s="7">
        <v>35.51</v>
      </c>
      <c r="AF1256" s="7">
        <v>21</v>
      </c>
      <c r="AG1256" s="7">
        <v>8.84</v>
      </c>
      <c r="AH1256" s="7">
        <v>73.19</v>
      </c>
      <c r="AI1256" s="7">
        <v>73.19</v>
      </c>
      <c r="AJ1256" s="9">
        <v>153.98213384742999</v>
      </c>
      <c r="AK1256" s="9">
        <v>175.859531682132</v>
      </c>
      <c r="AL1256" s="9">
        <v>186.89031192697399</v>
      </c>
      <c r="AM1256" s="9">
        <v>70.887063124302799</v>
      </c>
      <c r="AN1256" s="9">
        <v>0.68822391382818204</v>
      </c>
      <c r="AO1256" s="9">
        <v>0.13362911745099401</v>
      </c>
      <c r="AP1256" s="9">
        <v>1161.9589789475699</v>
      </c>
      <c r="AQ1256" s="9">
        <v>11.2811551354133</v>
      </c>
      <c r="AR1256" s="9">
        <v>3.46885832004621</v>
      </c>
      <c r="AS1256" s="8" t="s">
        <v>169</v>
      </c>
      <c r="AT1256" s="8" t="s">
        <v>169</v>
      </c>
      <c r="AU1256" s="10" t="s">
        <v>169</v>
      </c>
      <c r="AV1256" s="10">
        <v>0</v>
      </c>
      <c r="AX1256" s="10" t="s">
        <v>169</v>
      </c>
      <c r="BF1256" s="12">
        <v>0.56999999999999995</v>
      </c>
      <c r="BG1256" s="13">
        <v>185.535357165504</v>
      </c>
      <c r="BH1256" s="96" t="str">
        <f>+VLOOKUP(G1256,Liste!$A$7:$G$50,3,FALSE)</f>
        <v>Chene_pedoncule</v>
      </c>
      <c r="BI1256" s="96" t="str">
        <f>+VLOOKUP(H1256,Liste!$B$7:$G$50,5,FALSE)</f>
        <v>Guide chênaie continentale</v>
      </c>
      <c r="BJ1256" s="135">
        <f t="shared" si="379"/>
        <v>103</v>
      </c>
      <c r="BK1256" s="135" t="str">
        <f t="shared" si="381"/>
        <v>Chene_pedoncule_F1_Dynamique_Guide chênaie continentale_103_</v>
      </c>
      <c r="BL1256" s="322"/>
      <c r="BM1256" s="13">
        <v>49.657198460471001</v>
      </c>
      <c r="BN1256" s="13">
        <v>235.19255562597499</v>
      </c>
      <c r="BO1256" s="13" t="s">
        <v>169</v>
      </c>
      <c r="BP1256" s="13">
        <v>307.101589782742</v>
      </c>
      <c r="BQ1256" s="13">
        <v>4.1017251785419102</v>
      </c>
      <c r="BT1256" s="298" t="str">
        <f>+VLOOKUP(G1256,Liste!$A$7:$H$50,8,FALSE)</f>
        <v>Feuillus</v>
      </c>
      <c r="BU1256" s="298">
        <f t="shared" si="382"/>
        <v>1</v>
      </c>
      <c r="BV1256" s="300">
        <f t="shared" si="383"/>
        <v>0</v>
      </c>
      <c r="BW1256" s="321">
        <v>0</v>
      </c>
      <c r="BX1256" s="298">
        <f t="shared" si="384"/>
        <v>0.25</v>
      </c>
      <c r="BY1256">
        <f t="shared" si="385"/>
        <v>0</v>
      </c>
      <c r="BZ1256" s="304">
        <f t="shared" si="386"/>
        <v>0</v>
      </c>
      <c r="CB1256" s="299">
        <v>0.6</v>
      </c>
      <c r="CC1256" s="299">
        <v>0.4</v>
      </c>
      <c r="CD1256">
        <f t="shared" si="387"/>
        <v>0</v>
      </c>
      <c r="CE1256">
        <f t="shared" si="388"/>
        <v>0</v>
      </c>
      <c r="CF1256">
        <f t="shared" si="389"/>
        <v>0</v>
      </c>
      <c r="CG1256">
        <f t="shared" si="390"/>
        <v>0</v>
      </c>
      <c r="CH1256">
        <f t="shared" si="391"/>
        <v>0</v>
      </c>
      <c r="CI1256">
        <f t="shared" si="392"/>
        <v>0</v>
      </c>
      <c r="CJ1256">
        <f t="shared" si="393"/>
        <v>0</v>
      </c>
      <c r="CK1256">
        <f t="shared" si="394"/>
        <v>0</v>
      </c>
      <c r="CL1256">
        <f t="shared" si="395"/>
        <v>0</v>
      </c>
      <c r="CM1256">
        <f t="shared" si="397"/>
        <v>0</v>
      </c>
      <c r="CN1256">
        <f t="shared" si="396"/>
        <v>0</v>
      </c>
      <c r="CO1256">
        <f t="shared" si="380"/>
        <v>0</v>
      </c>
    </row>
    <row r="1257" spans="1:93" x14ac:dyDescent="0.25">
      <c r="A1257" s="4">
        <v>2021</v>
      </c>
      <c r="B1257" s="318">
        <v>44298</v>
      </c>
      <c r="C1257" s="4" t="s">
        <v>66</v>
      </c>
      <c r="D1257" s="4" t="s">
        <v>1504</v>
      </c>
      <c r="F1257" s="4" t="s">
        <v>90</v>
      </c>
      <c r="G1257" s="5" t="s">
        <v>69</v>
      </c>
      <c r="H1257" s="5" t="s">
        <v>22</v>
      </c>
      <c r="I1257" s="5" t="s">
        <v>146</v>
      </c>
      <c r="J1257" s="5" t="s">
        <v>9</v>
      </c>
      <c r="K1257" s="5">
        <v>26</v>
      </c>
      <c r="L1257" s="5" t="s">
        <v>194</v>
      </c>
      <c r="M1257" s="5">
        <v>1600</v>
      </c>
      <c r="N1257" s="5" t="s">
        <v>170</v>
      </c>
      <c r="O1257" s="6" t="s">
        <v>81</v>
      </c>
      <c r="P1257" s="6" t="s">
        <v>1505</v>
      </c>
      <c r="S1257" s="6">
        <v>31</v>
      </c>
      <c r="T1257" s="6">
        <v>16.22</v>
      </c>
      <c r="U1257" s="6">
        <v>1446</v>
      </c>
      <c r="V1257" s="6">
        <v>21.44</v>
      </c>
      <c r="W1257" s="6">
        <v>65</v>
      </c>
      <c r="X1257" s="6">
        <v>525</v>
      </c>
      <c r="Y1257" s="6">
        <v>696</v>
      </c>
      <c r="Z1257" s="6">
        <v>155</v>
      </c>
      <c r="AA1257" s="6">
        <v>5</v>
      </c>
      <c r="AB1257" s="6">
        <v>0</v>
      </c>
      <c r="AC1257" s="7">
        <v>103</v>
      </c>
      <c r="AD1257" s="7" t="s">
        <v>53</v>
      </c>
      <c r="AE1257" s="7">
        <v>35.51</v>
      </c>
      <c r="AF1257" s="7">
        <v>14</v>
      </c>
      <c r="AG1257" s="9">
        <v>5.9303296600328599</v>
      </c>
      <c r="AH1257" s="7">
        <v>73.44</v>
      </c>
      <c r="AI1257" s="7">
        <v>73.44</v>
      </c>
      <c r="AJ1257" s="9">
        <v>103.345044727865</v>
      </c>
      <c r="AK1257" s="9">
        <v>118.07841400613501</v>
      </c>
      <c r="AL1257" s="9">
        <v>125.47962544073501</v>
      </c>
      <c r="AM1257" s="9">
        <v>70.887063124302799</v>
      </c>
      <c r="AN1257" s="9">
        <v>0.68822391382818204</v>
      </c>
      <c r="AO1257" s="9">
        <v>0.13362911745099401</v>
      </c>
      <c r="AP1257" s="9">
        <v>1161.9589789475699</v>
      </c>
      <c r="AQ1257" s="9">
        <v>11.2811551354133</v>
      </c>
      <c r="AR1257" s="9">
        <v>3.46885832004621</v>
      </c>
      <c r="AS1257" s="8">
        <v>7</v>
      </c>
      <c r="AT1257" s="8">
        <v>2.90967033996714</v>
      </c>
      <c r="AU1257" s="10">
        <v>72.749151580611652</v>
      </c>
      <c r="AV1257" s="10">
        <v>50.63708911956499</v>
      </c>
      <c r="AW1257" s="8">
        <v>0.99</v>
      </c>
      <c r="AX1257" s="10">
        <v>7.2338698742235703</v>
      </c>
      <c r="BF1257" s="12">
        <v>0.56999999999999995</v>
      </c>
      <c r="BG1257" s="13">
        <v>124.56989815628999</v>
      </c>
      <c r="BH1257" s="96" t="str">
        <f>+VLOOKUP(G1257,Liste!$A$7:$G$50,3,FALSE)</f>
        <v>Chene_pedoncule</v>
      </c>
      <c r="BI1257" s="96" t="str">
        <f>+VLOOKUP(H1257,Liste!$B$7:$G$50,5,FALSE)</f>
        <v>Guide chênaie continentale</v>
      </c>
      <c r="BJ1257" s="135">
        <f t="shared" si="379"/>
        <v>103</v>
      </c>
      <c r="BK1257" s="135" t="str">
        <f t="shared" si="381"/>
        <v>Chene_pedoncule_F1_Dynamique_Guide chênaie continentale_103_</v>
      </c>
      <c r="BL1257" s="322"/>
      <c r="BM1257" s="13">
        <v>34.922668299833099</v>
      </c>
      <c r="BN1257" s="13">
        <v>159.492566456123</v>
      </c>
      <c r="BO1257" s="13">
        <v>75.699989169851989</v>
      </c>
      <c r="BP1257" s="13">
        <v>307.101589782742</v>
      </c>
      <c r="BQ1257" s="13">
        <v>4.1017251785419102</v>
      </c>
      <c r="BT1257" s="298" t="str">
        <f>+VLOOKUP(G1257,Liste!$A$7:$H$50,8,FALSE)</f>
        <v>Feuillus</v>
      </c>
      <c r="BU1257" s="298">
        <f t="shared" si="382"/>
        <v>1</v>
      </c>
      <c r="BV1257" s="300">
        <f t="shared" si="383"/>
        <v>0</v>
      </c>
      <c r="BW1257" s="321">
        <v>0</v>
      </c>
      <c r="BX1257" s="298">
        <f t="shared" si="384"/>
        <v>0.25</v>
      </c>
      <c r="BY1257">
        <f t="shared" si="385"/>
        <v>0</v>
      </c>
      <c r="BZ1257" s="304">
        <f t="shared" si="386"/>
        <v>0</v>
      </c>
      <c r="CB1257" s="299">
        <v>0.6</v>
      </c>
      <c r="CC1257" s="299">
        <v>0.4</v>
      </c>
      <c r="CD1257">
        <f t="shared" si="387"/>
        <v>0</v>
      </c>
      <c r="CE1257">
        <f t="shared" si="388"/>
        <v>0</v>
      </c>
      <c r="CF1257">
        <f t="shared" si="389"/>
        <v>0</v>
      </c>
      <c r="CG1257">
        <f t="shared" si="390"/>
        <v>0</v>
      </c>
      <c r="CH1257">
        <f t="shared" si="391"/>
        <v>0</v>
      </c>
      <c r="CI1257">
        <f t="shared" si="392"/>
        <v>0</v>
      </c>
      <c r="CJ1257">
        <f t="shared" si="393"/>
        <v>0</v>
      </c>
      <c r="CK1257">
        <f t="shared" si="394"/>
        <v>0</v>
      </c>
      <c r="CL1257">
        <f t="shared" si="395"/>
        <v>0</v>
      </c>
      <c r="CM1257">
        <f t="shared" si="397"/>
        <v>0</v>
      </c>
      <c r="CN1257">
        <f t="shared" si="396"/>
        <v>0</v>
      </c>
      <c r="CO1257">
        <f t="shared" si="380"/>
        <v>0</v>
      </c>
    </row>
    <row r="1258" spans="1:93" x14ac:dyDescent="0.25">
      <c r="A1258" s="4">
        <v>2021</v>
      </c>
      <c r="B1258" s="318">
        <v>44298</v>
      </c>
      <c r="C1258" s="4" t="s">
        <v>66</v>
      </c>
      <c r="D1258" s="4" t="s">
        <v>1504</v>
      </c>
      <c r="F1258" s="4" t="s">
        <v>90</v>
      </c>
      <c r="G1258" s="5" t="s">
        <v>69</v>
      </c>
      <c r="H1258" s="5" t="s">
        <v>22</v>
      </c>
      <c r="I1258" s="5" t="s">
        <v>146</v>
      </c>
      <c r="J1258" s="5" t="s">
        <v>9</v>
      </c>
      <c r="K1258" s="5">
        <v>26</v>
      </c>
      <c r="L1258" s="5" t="s">
        <v>194</v>
      </c>
      <c r="M1258" s="5">
        <v>1600</v>
      </c>
      <c r="N1258" s="5" t="s">
        <v>170</v>
      </c>
      <c r="O1258" s="6" t="s">
        <v>81</v>
      </c>
      <c r="P1258" s="6" t="s">
        <v>1505</v>
      </c>
      <c r="S1258" s="6">
        <v>31</v>
      </c>
      <c r="T1258" s="6">
        <v>16.22</v>
      </c>
      <c r="U1258" s="6">
        <v>1446</v>
      </c>
      <c r="V1258" s="6">
        <v>21.44</v>
      </c>
      <c r="W1258" s="6">
        <v>65</v>
      </c>
      <c r="X1258" s="6">
        <v>525</v>
      </c>
      <c r="Y1258" s="6">
        <v>696</v>
      </c>
      <c r="Z1258" s="6">
        <v>155</v>
      </c>
      <c r="AA1258" s="6">
        <v>5</v>
      </c>
      <c r="AB1258" s="6">
        <v>0</v>
      </c>
      <c r="AC1258" s="7">
        <v>106</v>
      </c>
      <c r="AD1258" s="7" t="s">
        <v>52</v>
      </c>
      <c r="AE1258" s="7">
        <v>36.01</v>
      </c>
      <c r="AF1258" s="7">
        <v>14</v>
      </c>
      <c r="AG1258" s="9">
        <v>6.3313097510094796</v>
      </c>
      <c r="AH1258" s="7">
        <v>75.88</v>
      </c>
      <c r="AI1258" s="7">
        <v>75.88</v>
      </c>
      <c r="AJ1258" s="9">
        <v>111.90693256422099</v>
      </c>
      <c r="AK1258" s="9">
        <v>128.023999866243</v>
      </c>
      <c r="AL1258" s="9">
        <v>135.886200400874</v>
      </c>
      <c r="AM1258" s="9">
        <v>71.287950476655794</v>
      </c>
      <c r="AN1258" s="9">
        <v>0.67252783468543198</v>
      </c>
      <c r="AO1258" s="9"/>
      <c r="AP1258" s="9">
        <v>1172.3655539077099</v>
      </c>
      <c r="AQ1258" s="9">
        <v>11.0600523953558</v>
      </c>
      <c r="AS1258" s="8" t="s">
        <v>169</v>
      </c>
      <c r="AT1258" s="8" t="s">
        <v>169</v>
      </c>
      <c r="AU1258" s="10" t="s">
        <v>169</v>
      </c>
      <c r="AV1258" s="10">
        <v>0</v>
      </c>
      <c r="AX1258" s="10" t="s">
        <v>169</v>
      </c>
      <c r="BF1258" s="12">
        <v>0.56999999999999995</v>
      </c>
      <c r="BG1258" s="13">
        <v>134.90102544796699</v>
      </c>
      <c r="BH1258" s="96" t="str">
        <f>+VLOOKUP(G1258,Liste!$A$7:$G$50,3,FALSE)</f>
        <v>Chene_pedoncule</v>
      </c>
      <c r="BI1258" s="96" t="str">
        <f>+VLOOKUP(H1258,Liste!$B$7:$G$50,5,FALSE)</f>
        <v>Guide chênaie continentale</v>
      </c>
      <c r="BJ1258" s="135">
        <f t="shared" si="379"/>
        <v>106</v>
      </c>
      <c r="BK1258" s="135" t="str">
        <f t="shared" si="381"/>
        <v>Chene_pedoncule_F1_Dynamique_Guide chênaie continentale_106_</v>
      </c>
      <c r="BL1258" s="322"/>
      <c r="BM1258" s="13">
        <v>37.469842818759801</v>
      </c>
      <c r="BN1258" s="13">
        <v>172.370868266727</v>
      </c>
      <c r="BO1258" s="13" t="s">
        <v>169</v>
      </c>
      <c r="BP1258" s="13">
        <v>307.101589782742</v>
      </c>
      <c r="BT1258" s="298" t="str">
        <f>+VLOOKUP(G1258,Liste!$A$7:$H$50,8,FALSE)</f>
        <v>Feuillus</v>
      </c>
      <c r="BU1258" s="298">
        <f t="shared" si="382"/>
        <v>1</v>
      </c>
      <c r="BV1258" s="300">
        <f t="shared" si="383"/>
        <v>0</v>
      </c>
      <c r="BW1258" s="321">
        <v>0</v>
      </c>
      <c r="BX1258" s="298">
        <f t="shared" si="384"/>
        <v>0.25</v>
      </c>
      <c r="BY1258">
        <f t="shared" si="385"/>
        <v>0</v>
      </c>
      <c r="BZ1258" s="304">
        <f t="shared" si="386"/>
        <v>0</v>
      </c>
      <c r="CB1258" s="299">
        <v>0.6</v>
      </c>
      <c r="CC1258" s="299">
        <v>0.4</v>
      </c>
      <c r="CD1258">
        <f t="shared" si="387"/>
        <v>0</v>
      </c>
      <c r="CE1258">
        <f t="shared" si="388"/>
        <v>0</v>
      </c>
      <c r="CF1258">
        <f t="shared" si="389"/>
        <v>0</v>
      </c>
      <c r="CG1258">
        <f t="shared" si="390"/>
        <v>0</v>
      </c>
      <c r="CH1258">
        <f t="shared" si="391"/>
        <v>0</v>
      </c>
      <c r="CI1258">
        <f t="shared" si="392"/>
        <v>0</v>
      </c>
      <c r="CJ1258">
        <f t="shared" si="393"/>
        <v>0</v>
      </c>
      <c r="CK1258">
        <f t="shared" si="394"/>
        <v>0</v>
      </c>
      <c r="CL1258">
        <f t="shared" si="395"/>
        <v>0</v>
      </c>
      <c r="CM1258">
        <f t="shared" si="397"/>
        <v>0</v>
      </c>
      <c r="CN1258">
        <f t="shared" si="396"/>
        <v>0</v>
      </c>
      <c r="CO1258">
        <f t="shared" si="380"/>
        <v>0</v>
      </c>
    </row>
    <row r="1259" spans="1:93" x14ac:dyDescent="0.25">
      <c r="A1259" s="4">
        <v>2021</v>
      </c>
      <c r="B1259" s="318">
        <v>44298</v>
      </c>
      <c r="C1259" s="4" t="s">
        <v>66</v>
      </c>
      <c r="D1259" s="4" t="s">
        <v>1504</v>
      </c>
      <c r="F1259" s="4" t="s">
        <v>90</v>
      </c>
      <c r="G1259" s="5" t="s">
        <v>69</v>
      </c>
      <c r="H1259" s="5" t="s">
        <v>22</v>
      </c>
      <c r="I1259" s="5" t="s">
        <v>146</v>
      </c>
      <c r="J1259" s="5" t="s">
        <v>9</v>
      </c>
      <c r="K1259" s="5">
        <v>26</v>
      </c>
      <c r="L1259" s="5" t="s">
        <v>194</v>
      </c>
      <c r="M1259" s="5">
        <v>1600</v>
      </c>
      <c r="N1259" s="5" t="s">
        <v>170</v>
      </c>
      <c r="O1259" s="6" t="s">
        <v>81</v>
      </c>
      <c r="P1259" s="6" t="s">
        <v>1505</v>
      </c>
      <c r="S1259" s="6">
        <v>31</v>
      </c>
      <c r="T1259" s="6">
        <v>16.22</v>
      </c>
      <c r="U1259" s="6">
        <v>1446</v>
      </c>
      <c r="V1259" s="6">
        <v>21.44</v>
      </c>
      <c r="W1259" s="6">
        <v>65</v>
      </c>
      <c r="X1259" s="6">
        <v>525</v>
      </c>
      <c r="Y1259" s="6">
        <v>696</v>
      </c>
      <c r="Z1259" s="6">
        <v>155</v>
      </c>
      <c r="AA1259" s="6">
        <v>5</v>
      </c>
      <c r="AB1259" s="6">
        <v>0</v>
      </c>
      <c r="AC1259" s="7">
        <v>106</v>
      </c>
      <c r="AD1259" s="7" t="s">
        <v>53</v>
      </c>
      <c r="AE1259" s="7">
        <v>36.01</v>
      </c>
      <c r="AF1259" s="7">
        <v>0</v>
      </c>
      <c r="AG1259" s="9">
        <v>0</v>
      </c>
      <c r="AH1259" s="7">
        <v>0</v>
      </c>
      <c r="AI1259" s="7">
        <v>0</v>
      </c>
      <c r="AJ1259" s="9">
        <v>0</v>
      </c>
      <c r="AK1259" s="9">
        <v>0</v>
      </c>
      <c r="AL1259" s="9">
        <v>0</v>
      </c>
      <c r="AM1259" s="9">
        <v>71.287950476655794</v>
      </c>
      <c r="AN1259" s="9">
        <v>0.67252783468543198</v>
      </c>
      <c r="AO1259" s="9"/>
      <c r="AP1259" s="9">
        <v>1172.3655539077099</v>
      </c>
      <c r="AQ1259" s="9">
        <v>11.0600523953558</v>
      </c>
      <c r="AS1259" s="8">
        <v>14</v>
      </c>
      <c r="AT1259" s="8">
        <v>6.3313097510094796</v>
      </c>
      <c r="AU1259" s="10">
        <v>75.881834570754094</v>
      </c>
      <c r="AV1259" s="10">
        <v>111.90693256422099</v>
      </c>
      <c r="AW1259" s="8">
        <v>1</v>
      </c>
      <c r="AX1259" s="10">
        <v>7.9933523260157857</v>
      </c>
      <c r="BF1259" s="12">
        <v>0.56999999999999995</v>
      </c>
      <c r="BG1259" s="13">
        <v>0</v>
      </c>
      <c r="BH1259" s="96" t="str">
        <f>+VLOOKUP(G1259,Liste!$A$7:$G$50,3,FALSE)</f>
        <v>Chene_pedoncule</v>
      </c>
      <c r="BI1259" s="96" t="str">
        <f>+VLOOKUP(H1259,Liste!$B$7:$G$50,5,FALSE)</f>
        <v>Guide chênaie continentale</v>
      </c>
      <c r="BJ1259" s="135">
        <f t="shared" si="379"/>
        <v>106</v>
      </c>
      <c r="BK1259" s="135" t="str">
        <f t="shared" si="381"/>
        <v>Chene_pedoncule_F1_Dynamique_Guide chênaie continentale_106_</v>
      </c>
      <c r="BL1259" s="322"/>
      <c r="BM1259" s="13">
        <v>0</v>
      </c>
      <c r="BN1259" s="13">
        <v>0</v>
      </c>
      <c r="BO1259" s="13">
        <v>172.370868266727</v>
      </c>
      <c r="BP1259" s="13">
        <v>307.101589782742</v>
      </c>
      <c r="BT1259" s="298" t="str">
        <f>+VLOOKUP(G1259,Liste!$A$7:$H$50,8,FALSE)</f>
        <v>Feuillus</v>
      </c>
      <c r="BU1259" s="298">
        <f t="shared" si="382"/>
        <v>1</v>
      </c>
      <c r="BV1259" s="300">
        <f t="shared" si="383"/>
        <v>0</v>
      </c>
      <c r="BW1259" s="321">
        <v>0</v>
      </c>
      <c r="BX1259" s="298">
        <f t="shared" si="384"/>
        <v>0.25</v>
      </c>
      <c r="BY1259">
        <f t="shared" si="385"/>
        <v>0</v>
      </c>
      <c r="BZ1259" s="304">
        <f t="shared" si="386"/>
        <v>0</v>
      </c>
      <c r="CB1259" s="299">
        <v>0.6</v>
      </c>
      <c r="CC1259" s="299">
        <v>0.4</v>
      </c>
      <c r="CD1259">
        <f t="shared" si="387"/>
        <v>0</v>
      </c>
      <c r="CE1259">
        <f t="shared" si="388"/>
        <v>0</v>
      </c>
      <c r="CF1259">
        <f t="shared" si="389"/>
        <v>0</v>
      </c>
      <c r="CG1259">
        <f t="shared" si="390"/>
        <v>0</v>
      </c>
      <c r="CH1259">
        <f t="shared" si="391"/>
        <v>0</v>
      </c>
      <c r="CI1259">
        <f t="shared" si="392"/>
        <v>0</v>
      </c>
      <c r="CJ1259">
        <f t="shared" si="393"/>
        <v>0</v>
      </c>
      <c r="CK1259">
        <f t="shared" si="394"/>
        <v>0</v>
      </c>
      <c r="CL1259">
        <f t="shared" si="395"/>
        <v>0</v>
      </c>
      <c r="CM1259">
        <f t="shared" si="397"/>
        <v>0</v>
      </c>
      <c r="CN1259">
        <f t="shared" si="396"/>
        <v>0</v>
      </c>
      <c r="CO1259">
        <f t="shared" si="380"/>
        <v>0</v>
      </c>
    </row>
    <row r="1260" spans="1:93" x14ac:dyDescent="0.25">
      <c r="A1260" s="4">
        <v>2021</v>
      </c>
      <c r="B1260" s="318">
        <v>44298</v>
      </c>
      <c r="C1260" s="4" t="s">
        <v>66</v>
      </c>
      <c r="D1260" s="4" t="s">
        <v>1504</v>
      </c>
      <c r="F1260" s="4" t="s">
        <v>90</v>
      </c>
      <c r="G1260" s="5" t="s">
        <v>69</v>
      </c>
      <c r="H1260" s="5" t="s">
        <v>22</v>
      </c>
      <c r="I1260" s="5" t="s">
        <v>146</v>
      </c>
      <c r="J1260" s="5" t="s">
        <v>10</v>
      </c>
      <c r="K1260" s="5">
        <v>21.9</v>
      </c>
      <c r="L1260" s="5" t="s">
        <v>194</v>
      </c>
      <c r="M1260" s="5">
        <v>1600</v>
      </c>
      <c r="N1260" s="5" t="s">
        <v>170</v>
      </c>
      <c r="O1260" s="6" t="s">
        <v>81</v>
      </c>
      <c r="P1260" s="6" t="s">
        <v>1505</v>
      </c>
      <c r="S1260" s="6">
        <v>38</v>
      </c>
      <c r="T1260" s="6">
        <v>16.27</v>
      </c>
      <c r="U1260" s="6">
        <v>1446</v>
      </c>
      <c r="V1260" s="6">
        <v>21.44</v>
      </c>
      <c r="W1260" s="6">
        <v>65</v>
      </c>
      <c r="X1260" s="6">
        <v>525</v>
      </c>
      <c r="Y1260" s="6">
        <v>696</v>
      </c>
      <c r="Z1260" s="6">
        <v>155</v>
      </c>
      <c r="AA1260" s="6">
        <v>5</v>
      </c>
      <c r="AB1260" s="6">
        <v>0</v>
      </c>
      <c r="AC1260" s="7">
        <v>30</v>
      </c>
      <c r="AD1260" s="7" t="s">
        <v>52</v>
      </c>
      <c r="AG1260" s="9"/>
      <c r="AJ1260" s="9">
        <v>114.242968565225</v>
      </c>
      <c r="AK1260" s="9">
        <v>120.148144205596</v>
      </c>
      <c r="AL1260" s="9">
        <v>157.35834747775601</v>
      </c>
      <c r="AN1260" s="9"/>
      <c r="AO1260" s="9"/>
      <c r="AP1260" s="9"/>
      <c r="AQ1260" s="9"/>
      <c r="AU1260" s="10"/>
      <c r="AV1260" s="10">
        <v>0</v>
      </c>
      <c r="AX1260" s="10"/>
      <c r="BF1260" s="12">
        <v>0.56999999999999995</v>
      </c>
      <c r="BG1260" s="13">
        <v>156.21749945854299</v>
      </c>
      <c r="BH1260" s="96" t="str">
        <f>+VLOOKUP(G1260,Liste!$A$7:$G$50,3,FALSE)</f>
        <v>Chene_pedoncule</v>
      </c>
      <c r="BI1260" s="96" t="str">
        <f>+VLOOKUP(H1260,Liste!$B$7:$G$50,5,FALSE)</f>
        <v>Guide chênaie continentale</v>
      </c>
      <c r="BJ1260" s="135">
        <f t="shared" si="379"/>
        <v>30</v>
      </c>
      <c r="BK1260" s="135" t="str">
        <f t="shared" si="381"/>
        <v>Chene_pedoncule_F2_Dynamique_Guide chênaie continentale_30_</v>
      </c>
      <c r="BL1260" s="322"/>
      <c r="BM1260" s="13">
        <v>42.655981799321701</v>
      </c>
      <c r="BN1260" s="13">
        <v>198.873481257864</v>
      </c>
      <c r="BO1260" s="13"/>
      <c r="BP1260" s="13">
        <v>281.59342762421699</v>
      </c>
      <c r="BT1260" s="298" t="str">
        <f>+VLOOKUP(G1260,Liste!$A$7:$H$50,8,FALSE)</f>
        <v>Feuillus</v>
      </c>
      <c r="BU1260" s="298">
        <f t="shared" si="382"/>
        <v>1</v>
      </c>
      <c r="BV1260" s="300">
        <f t="shared" si="383"/>
        <v>0</v>
      </c>
      <c r="BW1260" s="321">
        <v>0</v>
      </c>
      <c r="BX1260" s="298">
        <f t="shared" si="384"/>
        <v>0.25</v>
      </c>
      <c r="BY1260">
        <f t="shared" si="385"/>
        <v>0</v>
      </c>
      <c r="BZ1260" s="304">
        <f t="shared" si="386"/>
        <v>0</v>
      </c>
      <c r="CB1260" s="299">
        <v>0.6</v>
      </c>
      <c r="CC1260" s="299">
        <v>0.4</v>
      </c>
      <c r="CD1260">
        <f t="shared" si="387"/>
        <v>0</v>
      </c>
      <c r="CE1260">
        <f t="shared" si="388"/>
        <v>0</v>
      </c>
      <c r="CF1260">
        <f t="shared" si="389"/>
        <v>0</v>
      </c>
      <c r="CG1260">
        <f t="shared" si="390"/>
        <v>0</v>
      </c>
      <c r="CH1260">
        <f t="shared" si="391"/>
        <v>0</v>
      </c>
      <c r="CI1260">
        <f t="shared" si="392"/>
        <v>0</v>
      </c>
      <c r="CJ1260">
        <f t="shared" si="393"/>
        <v>0</v>
      </c>
      <c r="CK1260">
        <f t="shared" si="394"/>
        <v>0</v>
      </c>
      <c r="CL1260">
        <f t="shared" si="395"/>
        <v>0</v>
      </c>
      <c r="CM1260">
        <f t="shared" si="397"/>
        <v>0</v>
      </c>
      <c r="CN1260">
        <f t="shared" si="396"/>
        <v>0</v>
      </c>
      <c r="CO1260">
        <f t="shared" si="380"/>
        <v>0</v>
      </c>
    </row>
    <row r="1261" spans="1:93" x14ac:dyDescent="0.25">
      <c r="A1261" s="4">
        <v>2021</v>
      </c>
      <c r="B1261" s="318">
        <v>44298</v>
      </c>
      <c r="C1261" s="4" t="s">
        <v>66</v>
      </c>
      <c r="D1261" s="4" t="s">
        <v>1504</v>
      </c>
      <c r="F1261" s="4" t="s">
        <v>90</v>
      </c>
      <c r="G1261" s="5" t="s">
        <v>69</v>
      </c>
      <c r="H1261" s="5" t="s">
        <v>22</v>
      </c>
      <c r="I1261" s="5" t="s">
        <v>146</v>
      </c>
      <c r="J1261" s="5" t="s">
        <v>10</v>
      </c>
      <c r="K1261" s="5">
        <v>21.9</v>
      </c>
      <c r="L1261" s="5" t="s">
        <v>194</v>
      </c>
      <c r="M1261" s="5">
        <v>1600</v>
      </c>
      <c r="N1261" s="5" t="s">
        <v>170</v>
      </c>
      <c r="O1261" s="6" t="s">
        <v>81</v>
      </c>
      <c r="P1261" s="6" t="s">
        <v>1505</v>
      </c>
      <c r="S1261" s="6">
        <v>38</v>
      </c>
      <c r="T1261" s="6">
        <v>16.27</v>
      </c>
      <c r="U1261" s="6">
        <v>1446</v>
      </c>
      <c r="V1261" s="6">
        <v>21.44</v>
      </c>
      <c r="W1261" s="6">
        <v>65</v>
      </c>
      <c r="X1261" s="6">
        <v>525</v>
      </c>
      <c r="Y1261" s="6">
        <v>696</v>
      </c>
      <c r="Z1261" s="6">
        <v>155</v>
      </c>
      <c r="AA1261" s="6">
        <v>5</v>
      </c>
      <c r="AB1261" s="6">
        <v>0</v>
      </c>
      <c r="AC1261" s="7">
        <v>38</v>
      </c>
      <c r="AD1261" s="7" t="s">
        <v>52</v>
      </c>
      <c r="AE1261" s="7">
        <v>16.27</v>
      </c>
      <c r="AF1261" s="7">
        <v>1446</v>
      </c>
      <c r="AG1261" s="7">
        <v>21.44</v>
      </c>
      <c r="AH1261" s="7">
        <v>13.74</v>
      </c>
      <c r="AI1261" s="7">
        <v>19.95</v>
      </c>
      <c r="AJ1261" s="9">
        <v>144.70776018261799</v>
      </c>
      <c r="AK1261" s="9">
        <v>152.187649327088</v>
      </c>
      <c r="AL1261" s="9">
        <v>199.32057347182501</v>
      </c>
      <c r="AM1261" s="9">
        <v>21.436971631035298</v>
      </c>
      <c r="AN1261" s="9">
        <v>0.56413083239566597</v>
      </c>
      <c r="AO1261" s="9">
        <v>0.80759023253073703</v>
      </c>
      <c r="AP1261" s="9">
        <v>199.32057347182501</v>
      </c>
      <c r="AQ1261" s="9">
        <v>5.2452782492585497</v>
      </c>
      <c r="AR1261" s="9">
        <v>10.3071750894555</v>
      </c>
      <c r="AS1261" s="8" t="s">
        <v>169</v>
      </c>
      <c r="AT1261" s="8" t="s">
        <v>169</v>
      </c>
      <c r="AU1261" s="8" t="s">
        <v>169</v>
      </c>
      <c r="AV1261" s="10">
        <v>0</v>
      </c>
      <c r="AW1261" s="8" t="s">
        <v>169</v>
      </c>
      <c r="AX1261" s="8" t="s">
        <v>169</v>
      </c>
      <c r="BF1261" s="12">
        <v>0.56999999999999995</v>
      </c>
      <c r="BG1261" s="13">
        <v>197.87549931415401</v>
      </c>
      <c r="BH1261" s="96" t="str">
        <f>+VLOOKUP(G1261,Liste!$A$7:$G$50,3,FALSE)</f>
        <v>Chene_pedoncule</v>
      </c>
      <c r="BI1261" s="96" t="str">
        <f>+VLOOKUP(H1261,Liste!$B$7:$G$50,5,FALSE)</f>
        <v>Guide chênaie continentale</v>
      </c>
      <c r="BJ1261" s="135">
        <f t="shared" si="379"/>
        <v>38</v>
      </c>
      <c r="BK1261" s="135" t="str">
        <f t="shared" si="381"/>
        <v>Chene_pedoncule_F2_Dynamique_Guide chênaie continentale_38_</v>
      </c>
      <c r="BL1261" s="322"/>
      <c r="BM1261" s="13">
        <v>52.564481847318703</v>
      </c>
      <c r="BN1261" s="13">
        <v>250.43998116147301</v>
      </c>
      <c r="BO1261" s="12" t="s">
        <v>169</v>
      </c>
      <c r="BP1261" s="13">
        <v>281.59342762421699</v>
      </c>
      <c r="BQ1261" s="13">
        <v>12.6137140664596</v>
      </c>
      <c r="BT1261" s="298" t="str">
        <f>+VLOOKUP(G1261,Liste!$A$7:$H$50,8,FALSE)</f>
        <v>Feuillus</v>
      </c>
      <c r="BU1261" s="298">
        <f t="shared" si="382"/>
        <v>1</v>
      </c>
      <c r="BV1261" s="300">
        <f t="shared" si="383"/>
        <v>0</v>
      </c>
      <c r="BW1261" s="321">
        <v>0</v>
      </c>
      <c r="BX1261" s="298">
        <f t="shared" si="384"/>
        <v>0.25</v>
      </c>
      <c r="BY1261">
        <f t="shared" si="385"/>
        <v>0</v>
      </c>
      <c r="BZ1261" s="304">
        <f t="shared" si="386"/>
        <v>0</v>
      </c>
      <c r="CB1261" s="299">
        <v>0.6</v>
      </c>
      <c r="CC1261" s="299">
        <v>0.4</v>
      </c>
      <c r="CD1261">
        <f t="shared" si="387"/>
        <v>0</v>
      </c>
      <c r="CE1261">
        <f t="shared" si="388"/>
        <v>0</v>
      </c>
      <c r="CF1261">
        <f t="shared" si="389"/>
        <v>0</v>
      </c>
      <c r="CG1261">
        <f t="shared" si="390"/>
        <v>0</v>
      </c>
      <c r="CH1261">
        <f t="shared" si="391"/>
        <v>0</v>
      </c>
      <c r="CI1261">
        <f t="shared" si="392"/>
        <v>0</v>
      </c>
      <c r="CJ1261">
        <f t="shared" si="393"/>
        <v>0</v>
      </c>
      <c r="CK1261">
        <f t="shared" si="394"/>
        <v>0</v>
      </c>
      <c r="CL1261">
        <f t="shared" si="395"/>
        <v>0</v>
      </c>
      <c r="CM1261">
        <f t="shared" si="397"/>
        <v>0</v>
      </c>
      <c r="CN1261">
        <f t="shared" si="396"/>
        <v>0</v>
      </c>
      <c r="CO1261">
        <f t="shared" si="380"/>
        <v>0</v>
      </c>
    </row>
    <row r="1262" spans="1:93" x14ac:dyDescent="0.25">
      <c r="A1262" s="4">
        <v>2021</v>
      </c>
      <c r="B1262" s="318">
        <v>44298</v>
      </c>
      <c r="C1262" s="4" t="s">
        <v>66</v>
      </c>
      <c r="D1262" s="4" t="s">
        <v>1504</v>
      </c>
      <c r="F1262" s="4" t="s">
        <v>90</v>
      </c>
      <c r="G1262" s="5" t="s">
        <v>69</v>
      </c>
      <c r="H1262" s="5" t="s">
        <v>22</v>
      </c>
      <c r="I1262" s="5" t="s">
        <v>146</v>
      </c>
      <c r="J1262" s="5" t="s">
        <v>10</v>
      </c>
      <c r="K1262" s="5">
        <v>21.9</v>
      </c>
      <c r="L1262" s="5" t="s">
        <v>194</v>
      </c>
      <c r="M1262" s="5">
        <v>1600</v>
      </c>
      <c r="N1262" s="5" t="s">
        <v>170</v>
      </c>
      <c r="O1262" s="6" t="s">
        <v>81</v>
      </c>
      <c r="P1262" s="6" t="s">
        <v>1505</v>
      </c>
      <c r="S1262" s="6">
        <v>38</v>
      </c>
      <c r="T1262" s="6">
        <v>16.27</v>
      </c>
      <c r="U1262" s="6">
        <v>1446</v>
      </c>
      <c r="V1262" s="6">
        <v>21.44</v>
      </c>
      <c r="W1262" s="6">
        <v>65</v>
      </c>
      <c r="X1262" s="6">
        <v>525</v>
      </c>
      <c r="Y1262" s="6">
        <v>696</v>
      </c>
      <c r="Z1262" s="6">
        <v>155</v>
      </c>
      <c r="AA1262" s="6">
        <v>5</v>
      </c>
      <c r="AB1262" s="6">
        <v>0</v>
      </c>
      <c r="AC1262" s="7">
        <v>38</v>
      </c>
      <c r="AD1262" s="7" t="s">
        <v>53</v>
      </c>
      <c r="AE1262" s="7">
        <v>16.27</v>
      </c>
      <c r="AF1262" s="7">
        <v>542</v>
      </c>
      <c r="AG1262" s="7">
        <v>10.59</v>
      </c>
      <c r="AH1262" s="7">
        <v>15.78</v>
      </c>
      <c r="AI1262" s="7">
        <v>19.95</v>
      </c>
      <c r="AJ1262" s="9">
        <v>76.607302074434301</v>
      </c>
      <c r="AK1262" s="9">
        <v>81.674155122497197</v>
      </c>
      <c r="AL1262" s="9">
        <v>102.661359033407</v>
      </c>
      <c r="AM1262" s="9">
        <v>21.436971631035298</v>
      </c>
      <c r="AN1262" s="9">
        <v>0.56413083239566597</v>
      </c>
      <c r="AO1262" s="9">
        <v>0.80759023253073703</v>
      </c>
      <c r="AP1262" s="9">
        <v>199.32057347182501</v>
      </c>
      <c r="AQ1262" s="9">
        <v>5.2452782492585497</v>
      </c>
      <c r="AR1262" s="9">
        <v>10.3071750894555</v>
      </c>
      <c r="AS1262" s="8">
        <v>904</v>
      </c>
      <c r="AT1262" s="8">
        <v>10.850000000000001</v>
      </c>
      <c r="AU1262" s="10">
        <v>12.361913864151294</v>
      </c>
      <c r="AV1262" s="10">
        <v>68.100458108183688</v>
      </c>
      <c r="AW1262" s="10">
        <v>0.81</v>
      </c>
      <c r="AX1262" s="10">
        <v>7.5332365163920015E-2</v>
      </c>
      <c r="BF1262" s="12">
        <v>0.56999999999999995</v>
      </c>
      <c r="BG1262" s="13">
        <v>101.917064180414</v>
      </c>
      <c r="BH1262" s="96" t="str">
        <f>+VLOOKUP(G1262,Liste!$A$7:$G$50,3,FALSE)</f>
        <v>Chene_pedoncule</v>
      </c>
      <c r="BI1262" s="96" t="str">
        <f>+VLOOKUP(H1262,Liste!$B$7:$G$50,5,FALSE)</f>
        <v>Guide chênaie continentale</v>
      </c>
      <c r="BJ1262" s="135">
        <f t="shared" si="379"/>
        <v>38</v>
      </c>
      <c r="BK1262" s="135" t="str">
        <f t="shared" si="381"/>
        <v>Chene_pedoncule_F2_Dynamique_Guide chênaie continentale_38_</v>
      </c>
      <c r="BL1262" s="322"/>
      <c r="BM1262" s="13">
        <v>29.2474064619351</v>
      </c>
      <c r="BN1262" s="13">
        <v>131.16447064234899</v>
      </c>
      <c r="BO1262" s="13">
        <v>119.27551051912403</v>
      </c>
      <c r="BP1262" s="13">
        <v>281.59342762421699</v>
      </c>
      <c r="BQ1262" s="13">
        <v>12.6137140664596</v>
      </c>
      <c r="BT1262" s="298" t="str">
        <f>+VLOOKUP(G1262,Liste!$A$7:$H$50,8,FALSE)</f>
        <v>Feuillus</v>
      </c>
      <c r="BU1262" s="298">
        <f t="shared" si="382"/>
        <v>1</v>
      </c>
      <c r="BV1262" s="300">
        <f t="shared" si="383"/>
        <v>0</v>
      </c>
      <c r="BW1262" s="321">
        <v>0</v>
      </c>
      <c r="BX1262" s="298">
        <f t="shared" si="384"/>
        <v>0.25</v>
      </c>
      <c r="BY1262">
        <f t="shared" si="385"/>
        <v>0</v>
      </c>
      <c r="BZ1262" s="304">
        <f t="shared" si="386"/>
        <v>0</v>
      </c>
      <c r="CB1262" s="299">
        <v>0.6</v>
      </c>
      <c r="CC1262" s="299">
        <v>0.4</v>
      </c>
      <c r="CD1262">
        <f t="shared" si="387"/>
        <v>0</v>
      </c>
      <c r="CE1262">
        <f t="shared" si="388"/>
        <v>0</v>
      </c>
      <c r="CF1262">
        <f t="shared" si="389"/>
        <v>0</v>
      </c>
      <c r="CG1262">
        <f t="shared" si="390"/>
        <v>0</v>
      </c>
      <c r="CH1262">
        <f t="shared" si="391"/>
        <v>0</v>
      </c>
      <c r="CI1262">
        <f t="shared" si="392"/>
        <v>0</v>
      </c>
      <c r="CJ1262">
        <f t="shared" si="393"/>
        <v>0</v>
      </c>
      <c r="CK1262">
        <f t="shared" si="394"/>
        <v>0</v>
      </c>
      <c r="CL1262">
        <f t="shared" si="395"/>
        <v>0</v>
      </c>
      <c r="CM1262">
        <f t="shared" si="397"/>
        <v>0</v>
      </c>
      <c r="CN1262">
        <f t="shared" si="396"/>
        <v>0</v>
      </c>
      <c r="CO1262">
        <f t="shared" si="380"/>
        <v>0</v>
      </c>
    </row>
    <row r="1263" spans="1:93" x14ac:dyDescent="0.25">
      <c r="A1263" s="4">
        <v>2021</v>
      </c>
      <c r="B1263" s="318">
        <v>44298</v>
      </c>
      <c r="C1263" s="4" t="s">
        <v>66</v>
      </c>
      <c r="D1263" s="4" t="s">
        <v>1504</v>
      </c>
      <c r="F1263" s="4" t="s">
        <v>90</v>
      </c>
      <c r="G1263" s="5" t="s">
        <v>69</v>
      </c>
      <c r="H1263" s="5" t="s">
        <v>22</v>
      </c>
      <c r="I1263" s="5" t="s">
        <v>146</v>
      </c>
      <c r="J1263" s="5" t="s">
        <v>10</v>
      </c>
      <c r="K1263" s="5">
        <v>21.9</v>
      </c>
      <c r="L1263" s="5" t="s">
        <v>194</v>
      </c>
      <c r="M1263" s="5">
        <v>1600</v>
      </c>
      <c r="N1263" s="5" t="s">
        <v>170</v>
      </c>
      <c r="O1263" s="6" t="s">
        <v>81</v>
      </c>
      <c r="P1263" s="6" t="s">
        <v>1505</v>
      </c>
      <c r="S1263" s="6">
        <v>38</v>
      </c>
      <c r="T1263" s="6">
        <v>16.27</v>
      </c>
      <c r="U1263" s="6">
        <v>1446</v>
      </c>
      <c r="V1263" s="6">
        <v>21.44</v>
      </c>
      <c r="W1263" s="6">
        <v>65</v>
      </c>
      <c r="X1263" s="6">
        <v>525</v>
      </c>
      <c r="Y1263" s="6">
        <v>696</v>
      </c>
      <c r="Z1263" s="6">
        <v>155</v>
      </c>
      <c r="AA1263" s="6">
        <v>5</v>
      </c>
      <c r="AB1263" s="6">
        <v>0</v>
      </c>
      <c r="AC1263" s="7">
        <v>41</v>
      </c>
      <c r="AD1263" s="7" t="s">
        <v>52</v>
      </c>
      <c r="AE1263" s="7">
        <v>17.260000000000002</v>
      </c>
      <c r="AF1263" s="7">
        <v>542</v>
      </c>
      <c r="AG1263" s="7">
        <v>13.02</v>
      </c>
      <c r="AH1263" s="7">
        <v>17.489999999999998</v>
      </c>
      <c r="AI1263" s="7">
        <v>21.78</v>
      </c>
      <c r="AJ1263" s="9">
        <v>101.964434862811</v>
      </c>
      <c r="AK1263" s="9">
        <v>109.359371699425</v>
      </c>
      <c r="AL1263" s="9">
        <v>133.58288430177299</v>
      </c>
      <c r="AM1263" s="9">
        <v>23.859742328627501</v>
      </c>
      <c r="AN1263" s="9">
        <v>0.58194493484457399</v>
      </c>
      <c r="AO1263" s="9">
        <v>0.83271296975034903</v>
      </c>
      <c r="AP1263" s="9">
        <v>230.24209874019101</v>
      </c>
      <c r="AQ1263" s="9">
        <v>5.6156609448827197</v>
      </c>
      <c r="AR1263" s="9">
        <v>11.409518096898401</v>
      </c>
      <c r="AS1263" s="8" t="s">
        <v>169</v>
      </c>
      <c r="AT1263" s="8" t="s">
        <v>169</v>
      </c>
      <c r="AU1263" s="10" t="s">
        <v>169</v>
      </c>
      <c r="AV1263" s="10">
        <v>0</v>
      </c>
      <c r="AX1263" s="10" t="s">
        <v>169</v>
      </c>
      <c r="BF1263" s="12">
        <v>0.56999999999999995</v>
      </c>
      <c r="BG1263" s="13">
        <v>132.614408390585</v>
      </c>
      <c r="BH1263" s="96" t="str">
        <f>+VLOOKUP(G1263,Liste!$A$7:$G$50,3,FALSE)</f>
        <v>Chene_pedoncule</v>
      </c>
      <c r="BI1263" s="96" t="str">
        <f>+VLOOKUP(H1263,Liste!$B$7:$G$50,5,FALSE)</f>
        <v>Guide chênaie continentale</v>
      </c>
      <c r="BJ1263" s="135">
        <f t="shared" si="379"/>
        <v>41</v>
      </c>
      <c r="BK1263" s="135" t="str">
        <f t="shared" si="381"/>
        <v>Chene_pedoncule_F2_Dynamique_Guide chênaie continentale_41_</v>
      </c>
      <c r="BL1263" s="322"/>
      <c r="BM1263" s="13">
        <v>36.908088118362102</v>
      </c>
      <c r="BN1263" s="13">
        <v>169.522496508947</v>
      </c>
      <c r="BO1263" s="13" t="s">
        <v>169</v>
      </c>
      <c r="BP1263" s="13">
        <v>281.59342762421699</v>
      </c>
      <c r="BQ1263" s="13">
        <v>13.9130602228849</v>
      </c>
      <c r="BT1263" s="298" t="str">
        <f>+VLOOKUP(G1263,Liste!$A$7:$H$50,8,FALSE)</f>
        <v>Feuillus</v>
      </c>
      <c r="BU1263" s="298">
        <f t="shared" si="382"/>
        <v>1</v>
      </c>
      <c r="BV1263" s="300">
        <f t="shared" si="383"/>
        <v>0</v>
      </c>
      <c r="BW1263" s="321">
        <v>0</v>
      </c>
      <c r="BX1263" s="298">
        <f t="shared" si="384"/>
        <v>0.25</v>
      </c>
      <c r="BY1263">
        <f t="shared" si="385"/>
        <v>0</v>
      </c>
      <c r="BZ1263" s="304">
        <f t="shared" si="386"/>
        <v>0</v>
      </c>
      <c r="CB1263" s="299">
        <v>0.6</v>
      </c>
      <c r="CC1263" s="299">
        <v>0.4</v>
      </c>
      <c r="CD1263">
        <f t="shared" si="387"/>
        <v>0</v>
      </c>
      <c r="CE1263">
        <f t="shared" si="388"/>
        <v>0</v>
      </c>
      <c r="CF1263">
        <f t="shared" si="389"/>
        <v>0</v>
      </c>
      <c r="CG1263">
        <f t="shared" si="390"/>
        <v>0</v>
      </c>
      <c r="CH1263">
        <f t="shared" si="391"/>
        <v>0</v>
      </c>
      <c r="CI1263">
        <f t="shared" si="392"/>
        <v>0</v>
      </c>
      <c r="CJ1263">
        <f t="shared" si="393"/>
        <v>0</v>
      </c>
      <c r="CK1263">
        <f t="shared" si="394"/>
        <v>0</v>
      </c>
      <c r="CL1263">
        <f t="shared" si="395"/>
        <v>0</v>
      </c>
      <c r="CM1263">
        <f t="shared" si="397"/>
        <v>0</v>
      </c>
      <c r="CN1263">
        <f t="shared" si="396"/>
        <v>0</v>
      </c>
      <c r="CO1263">
        <f t="shared" si="380"/>
        <v>0</v>
      </c>
    </row>
    <row r="1264" spans="1:93" x14ac:dyDescent="0.25">
      <c r="A1264" s="4">
        <v>2021</v>
      </c>
      <c r="B1264" s="318">
        <v>44298</v>
      </c>
      <c r="C1264" s="4" t="s">
        <v>66</v>
      </c>
      <c r="D1264" s="4" t="s">
        <v>1504</v>
      </c>
      <c r="F1264" s="4" t="s">
        <v>90</v>
      </c>
      <c r="G1264" s="5" t="s">
        <v>69</v>
      </c>
      <c r="H1264" s="5" t="s">
        <v>22</v>
      </c>
      <c r="I1264" s="5" t="s">
        <v>146</v>
      </c>
      <c r="J1264" s="5" t="s">
        <v>10</v>
      </c>
      <c r="K1264" s="5">
        <v>21.9</v>
      </c>
      <c r="L1264" s="5" t="s">
        <v>194</v>
      </c>
      <c r="M1264" s="5">
        <v>1600</v>
      </c>
      <c r="N1264" s="5" t="s">
        <v>170</v>
      </c>
      <c r="O1264" s="6" t="s">
        <v>81</v>
      </c>
      <c r="P1264" s="6" t="s">
        <v>1505</v>
      </c>
      <c r="S1264" s="6">
        <v>38</v>
      </c>
      <c r="T1264" s="6">
        <v>16.27</v>
      </c>
      <c r="U1264" s="6">
        <v>1446</v>
      </c>
      <c r="V1264" s="6">
        <v>21.44</v>
      </c>
      <c r="W1264" s="6">
        <v>65</v>
      </c>
      <c r="X1264" s="6">
        <v>525</v>
      </c>
      <c r="Y1264" s="6">
        <v>696</v>
      </c>
      <c r="Z1264" s="6">
        <v>155</v>
      </c>
      <c r="AA1264" s="6">
        <v>5</v>
      </c>
      <c r="AB1264" s="6">
        <v>0</v>
      </c>
      <c r="AC1264" s="7">
        <v>45</v>
      </c>
      <c r="AD1264" s="7" t="s">
        <v>52</v>
      </c>
      <c r="AE1264" s="7">
        <v>18.510000000000002</v>
      </c>
      <c r="AF1264" s="7">
        <v>542</v>
      </c>
      <c r="AG1264" s="7">
        <v>16.350000000000001</v>
      </c>
      <c r="AH1264" s="7">
        <v>19.600000000000001</v>
      </c>
      <c r="AI1264" s="7">
        <v>24.07</v>
      </c>
      <c r="AJ1264" s="9">
        <v>139.60046108911899</v>
      </c>
      <c r="AK1264" s="9">
        <v>150.59236099182701</v>
      </c>
      <c r="AL1264" s="9">
        <v>179.220956689367</v>
      </c>
      <c r="AM1264" s="9">
        <v>27.190594207628902</v>
      </c>
      <c r="AN1264" s="9">
        <v>0.60423542683619802</v>
      </c>
      <c r="AO1264" s="9">
        <v>0.72945344849452698</v>
      </c>
      <c r="AP1264" s="9">
        <v>275.88017112778499</v>
      </c>
      <c r="AQ1264" s="9">
        <v>6.1306704695063301</v>
      </c>
      <c r="AR1264" s="9">
        <v>10.4715285027011</v>
      </c>
      <c r="AS1264" s="8" t="s">
        <v>169</v>
      </c>
      <c r="AT1264" s="8" t="s">
        <v>169</v>
      </c>
      <c r="AU1264" s="10" t="s">
        <v>169</v>
      </c>
      <c r="AV1264" s="10">
        <v>0</v>
      </c>
      <c r="AX1264" s="10" t="s">
        <v>169</v>
      </c>
      <c r="BF1264" s="12">
        <v>0.56999999999999995</v>
      </c>
      <c r="BG1264" s="13">
        <v>177.921604753369</v>
      </c>
      <c r="BH1264" s="96" t="str">
        <f>+VLOOKUP(G1264,Liste!$A$7:$G$50,3,FALSE)</f>
        <v>Chene_pedoncule</v>
      </c>
      <c r="BI1264" s="96" t="str">
        <f>+VLOOKUP(H1264,Liste!$B$7:$G$50,5,FALSE)</f>
        <v>Guide chênaie continentale</v>
      </c>
      <c r="BJ1264" s="135">
        <f t="shared" si="379"/>
        <v>45</v>
      </c>
      <c r="BK1264" s="135" t="str">
        <f t="shared" si="381"/>
        <v>Chene_pedoncule_F2_Dynamique_Guide chênaie continentale_45_</v>
      </c>
      <c r="BL1264" s="322"/>
      <c r="BM1264" s="13">
        <v>47.852261059621902</v>
      </c>
      <c r="BN1264" s="13">
        <v>225.773865812991</v>
      </c>
      <c r="BO1264" s="13" t="s">
        <v>169</v>
      </c>
      <c r="BP1264" s="13">
        <v>281.59342762421699</v>
      </c>
      <c r="BQ1264" s="13">
        <v>12.7301543279178</v>
      </c>
      <c r="BT1264" s="298" t="str">
        <f>+VLOOKUP(G1264,Liste!$A$7:$H$50,8,FALSE)</f>
        <v>Feuillus</v>
      </c>
      <c r="BU1264" s="298">
        <f t="shared" si="382"/>
        <v>1</v>
      </c>
      <c r="BV1264" s="300">
        <f t="shared" si="383"/>
        <v>0</v>
      </c>
      <c r="BW1264" s="321">
        <v>0</v>
      </c>
      <c r="BX1264" s="298">
        <f t="shared" si="384"/>
        <v>0.25</v>
      </c>
      <c r="BY1264">
        <f t="shared" si="385"/>
        <v>0</v>
      </c>
      <c r="BZ1264" s="304">
        <f t="shared" si="386"/>
        <v>0</v>
      </c>
      <c r="CB1264" s="299">
        <v>0.6</v>
      </c>
      <c r="CC1264" s="299">
        <v>0.4</v>
      </c>
      <c r="CD1264">
        <f t="shared" si="387"/>
        <v>0</v>
      </c>
      <c r="CE1264">
        <f t="shared" si="388"/>
        <v>0</v>
      </c>
      <c r="CF1264">
        <f t="shared" si="389"/>
        <v>0</v>
      </c>
      <c r="CG1264">
        <f t="shared" si="390"/>
        <v>0</v>
      </c>
      <c r="CH1264">
        <f t="shared" si="391"/>
        <v>0</v>
      </c>
      <c r="CI1264">
        <f t="shared" si="392"/>
        <v>0</v>
      </c>
      <c r="CJ1264">
        <f t="shared" si="393"/>
        <v>0</v>
      </c>
      <c r="CK1264">
        <f t="shared" si="394"/>
        <v>0</v>
      </c>
      <c r="CL1264">
        <f t="shared" si="395"/>
        <v>0</v>
      </c>
      <c r="CM1264">
        <f t="shared" si="397"/>
        <v>0</v>
      </c>
      <c r="CN1264">
        <f t="shared" si="396"/>
        <v>0</v>
      </c>
      <c r="CO1264">
        <f t="shared" si="380"/>
        <v>0</v>
      </c>
    </row>
    <row r="1265" spans="1:93" x14ac:dyDescent="0.25">
      <c r="A1265" s="4">
        <v>2021</v>
      </c>
      <c r="B1265" s="318">
        <v>44298</v>
      </c>
      <c r="C1265" s="4" t="s">
        <v>66</v>
      </c>
      <c r="D1265" s="4" t="s">
        <v>1504</v>
      </c>
      <c r="F1265" s="4" t="s">
        <v>90</v>
      </c>
      <c r="G1265" s="5" t="s">
        <v>69</v>
      </c>
      <c r="H1265" s="5" t="s">
        <v>22</v>
      </c>
      <c r="I1265" s="5" t="s">
        <v>146</v>
      </c>
      <c r="J1265" s="5" t="s">
        <v>10</v>
      </c>
      <c r="K1265" s="5">
        <v>21.9</v>
      </c>
      <c r="L1265" s="5" t="s">
        <v>194</v>
      </c>
      <c r="M1265" s="5">
        <v>1600</v>
      </c>
      <c r="N1265" s="5" t="s">
        <v>170</v>
      </c>
      <c r="O1265" s="6" t="s">
        <v>81</v>
      </c>
      <c r="P1265" s="6" t="s">
        <v>1505</v>
      </c>
      <c r="S1265" s="6">
        <v>38</v>
      </c>
      <c r="T1265" s="6">
        <v>16.27</v>
      </c>
      <c r="U1265" s="6">
        <v>1446</v>
      </c>
      <c r="V1265" s="6">
        <v>21.44</v>
      </c>
      <c r="W1265" s="6">
        <v>65</v>
      </c>
      <c r="X1265" s="6">
        <v>525</v>
      </c>
      <c r="Y1265" s="6">
        <v>696</v>
      </c>
      <c r="Z1265" s="6">
        <v>155</v>
      </c>
      <c r="AA1265" s="6">
        <v>5</v>
      </c>
      <c r="AB1265" s="6">
        <v>0</v>
      </c>
      <c r="AC1265" s="7">
        <v>45</v>
      </c>
      <c r="AD1265" s="7" t="s">
        <v>53</v>
      </c>
      <c r="AE1265" s="7">
        <v>18.510000000000002</v>
      </c>
      <c r="AF1265" s="7">
        <v>345</v>
      </c>
      <c r="AG1265" s="7">
        <v>11.45</v>
      </c>
      <c r="AH1265" s="7">
        <v>20.55</v>
      </c>
      <c r="AI1265" s="7">
        <v>24.07</v>
      </c>
      <c r="AJ1265" s="9">
        <v>98.956656852496096</v>
      </c>
      <c r="AK1265" s="9">
        <v>107.329122607201</v>
      </c>
      <c r="AL1265" s="9">
        <v>126.92242117924999</v>
      </c>
      <c r="AM1265" s="9">
        <v>27.190594207628902</v>
      </c>
      <c r="AN1265" s="9">
        <v>0.60423542683619802</v>
      </c>
      <c r="AO1265" s="9">
        <v>0.72945344849452698</v>
      </c>
      <c r="AP1265" s="9">
        <v>275.88017112778499</v>
      </c>
      <c r="AQ1265" s="9">
        <v>6.1306704695063301</v>
      </c>
      <c r="AR1265" s="9">
        <v>10.4715285027011</v>
      </c>
      <c r="AS1265" s="8">
        <v>197</v>
      </c>
      <c r="AT1265" s="8">
        <v>4.9000000000000021</v>
      </c>
      <c r="AU1265" s="10">
        <v>17.795901212344027</v>
      </c>
      <c r="AV1265" s="10">
        <v>40.643804236622898</v>
      </c>
      <c r="AW1265" s="10">
        <v>0.82</v>
      </c>
      <c r="AX1265" s="10">
        <v>0.20631372708945633</v>
      </c>
      <c r="BF1265" s="12">
        <v>0.56999999999999995</v>
      </c>
      <c r="BG1265" s="13">
        <v>126.002233625701</v>
      </c>
      <c r="BH1265" s="96" t="str">
        <f>+VLOOKUP(G1265,Liste!$A$7:$G$50,3,FALSE)</f>
        <v>Chene_pedoncule</v>
      </c>
      <c r="BI1265" s="96" t="str">
        <f>+VLOOKUP(H1265,Liste!$B$7:$G$50,5,FALSE)</f>
        <v>Guide chênaie continentale</v>
      </c>
      <c r="BJ1265" s="135">
        <f t="shared" si="379"/>
        <v>45</v>
      </c>
      <c r="BK1265" s="135" t="str">
        <f t="shared" si="381"/>
        <v>Chene_pedoncule_F2_Dynamique_Guide chênaie continentale_45_</v>
      </c>
      <c r="BL1265" s="322"/>
      <c r="BM1265" s="13">
        <v>35.277240983174103</v>
      </c>
      <c r="BN1265" s="13">
        <v>161.27947460887501</v>
      </c>
      <c r="BO1265" s="13">
        <v>64.494391204115999</v>
      </c>
      <c r="BP1265" s="13">
        <v>281.59342762421699</v>
      </c>
      <c r="BQ1265" s="13">
        <v>12.7301543279178</v>
      </c>
      <c r="BT1265" s="298" t="str">
        <f>+VLOOKUP(G1265,Liste!$A$7:$H$50,8,FALSE)</f>
        <v>Feuillus</v>
      </c>
      <c r="BU1265" s="298">
        <f t="shared" si="382"/>
        <v>1</v>
      </c>
      <c r="BV1265" s="300">
        <f t="shared" si="383"/>
        <v>0</v>
      </c>
      <c r="BW1265" s="321">
        <v>0</v>
      </c>
      <c r="BX1265" s="298">
        <f t="shared" si="384"/>
        <v>0.25</v>
      </c>
      <c r="BY1265">
        <f t="shared" si="385"/>
        <v>0</v>
      </c>
      <c r="BZ1265" s="304">
        <f t="shared" si="386"/>
        <v>0</v>
      </c>
      <c r="CB1265" s="299">
        <v>0.6</v>
      </c>
      <c r="CC1265" s="299">
        <v>0.4</v>
      </c>
      <c r="CD1265">
        <f t="shared" si="387"/>
        <v>0</v>
      </c>
      <c r="CE1265">
        <f t="shared" si="388"/>
        <v>0</v>
      </c>
      <c r="CF1265">
        <f t="shared" si="389"/>
        <v>0</v>
      </c>
      <c r="CG1265">
        <f t="shared" si="390"/>
        <v>0</v>
      </c>
      <c r="CH1265">
        <f t="shared" si="391"/>
        <v>0</v>
      </c>
      <c r="CI1265">
        <f t="shared" si="392"/>
        <v>0</v>
      </c>
      <c r="CJ1265">
        <f t="shared" si="393"/>
        <v>0</v>
      </c>
      <c r="CK1265">
        <f t="shared" si="394"/>
        <v>0</v>
      </c>
      <c r="CL1265">
        <f t="shared" si="395"/>
        <v>0</v>
      </c>
      <c r="CM1265">
        <f t="shared" si="397"/>
        <v>0</v>
      </c>
      <c r="CN1265">
        <f t="shared" si="396"/>
        <v>0</v>
      </c>
      <c r="CO1265">
        <f t="shared" si="380"/>
        <v>0</v>
      </c>
    </row>
    <row r="1266" spans="1:93" x14ac:dyDescent="0.25">
      <c r="A1266" s="4">
        <v>2021</v>
      </c>
      <c r="B1266" s="318">
        <v>44298</v>
      </c>
      <c r="C1266" s="4" t="s">
        <v>66</v>
      </c>
      <c r="D1266" s="4" t="s">
        <v>1504</v>
      </c>
      <c r="F1266" s="4" t="s">
        <v>90</v>
      </c>
      <c r="G1266" s="5" t="s">
        <v>69</v>
      </c>
      <c r="H1266" s="5" t="s">
        <v>22</v>
      </c>
      <c r="I1266" s="5" t="s">
        <v>146</v>
      </c>
      <c r="J1266" s="5" t="s">
        <v>10</v>
      </c>
      <c r="K1266" s="5">
        <v>21.9</v>
      </c>
      <c r="L1266" s="5" t="s">
        <v>194</v>
      </c>
      <c r="M1266" s="5">
        <v>1600</v>
      </c>
      <c r="N1266" s="5" t="s">
        <v>170</v>
      </c>
      <c r="O1266" s="6" t="s">
        <v>81</v>
      </c>
      <c r="P1266" s="6" t="s">
        <v>1505</v>
      </c>
      <c r="S1266" s="6">
        <v>38</v>
      </c>
      <c r="T1266" s="6">
        <v>16.27</v>
      </c>
      <c r="U1266" s="6">
        <v>1446</v>
      </c>
      <c r="V1266" s="6">
        <v>21.44</v>
      </c>
      <c r="W1266" s="6">
        <v>65</v>
      </c>
      <c r="X1266" s="6">
        <v>525</v>
      </c>
      <c r="Y1266" s="6">
        <v>696</v>
      </c>
      <c r="Z1266" s="6">
        <v>155</v>
      </c>
      <c r="AA1266" s="6">
        <v>5</v>
      </c>
      <c r="AB1266" s="6">
        <v>0</v>
      </c>
      <c r="AC1266" s="7">
        <v>48</v>
      </c>
      <c r="AD1266" s="7" t="s">
        <v>52</v>
      </c>
      <c r="AE1266" s="7">
        <v>19.39</v>
      </c>
      <c r="AF1266" s="7">
        <v>345</v>
      </c>
      <c r="AG1266" s="7">
        <v>13.64</v>
      </c>
      <c r="AH1266" s="7">
        <v>22.43</v>
      </c>
      <c r="AI1266" s="7">
        <v>26.01</v>
      </c>
      <c r="AJ1266" s="9">
        <v>124.63812970415201</v>
      </c>
      <c r="AK1266" s="9">
        <v>135.86961391304399</v>
      </c>
      <c r="AL1266" s="9">
        <v>158.33700668735401</v>
      </c>
      <c r="AM1266" s="9">
        <v>29.3789545531125</v>
      </c>
      <c r="AN1266" s="9">
        <v>0.61206155318984401</v>
      </c>
      <c r="AO1266" s="9">
        <v>0.74120871551809897</v>
      </c>
      <c r="AP1266" s="9">
        <v>307.29475663588801</v>
      </c>
      <c r="AQ1266" s="9">
        <v>6.4019740965810001</v>
      </c>
      <c r="AR1266" s="9">
        <v>11.2533792788241</v>
      </c>
      <c r="AS1266" s="8" t="s">
        <v>169</v>
      </c>
      <c r="AT1266" s="8" t="s">
        <v>169</v>
      </c>
      <c r="AU1266" s="10" t="s">
        <v>169</v>
      </c>
      <c r="AV1266" s="10">
        <v>0</v>
      </c>
      <c r="AX1266" s="10" t="s">
        <v>169</v>
      </c>
      <c r="BF1266" s="12">
        <v>0.56999999999999995</v>
      </c>
      <c r="BG1266" s="13">
        <v>157.18906338887001</v>
      </c>
      <c r="BH1266" s="96" t="str">
        <f>+VLOOKUP(G1266,Liste!$A$7:$G$50,3,FALSE)</f>
        <v>Chene_pedoncule</v>
      </c>
      <c r="BI1266" s="96" t="str">
        <f>+VLOOKUP(H1266,Liste!$B$7:$G$50,5,FALSE)</f>
        <v>Guide chênaie continentale</v>
      </c>
      <c r="BJ1266" s="135">
        <f t="shared" si="379"/>
        <v>48</v>
      </c>
      <c r="BK1266" s="135" t="str">
        <f t="shared" si="381"/>
        <v>Chene_pedoncule_F2_Dynamique_Guide chênaie continentale_48_</v>
      </c>
      <c r="BL1266" s="322"/>
      <c r="BM1266" s="13">
        <v>42.890307803292302</v>
      </c>
      <c r="BN1266" s="13">
        <v>200.07937119216299</v>
      </c>
      <c r="BO1266" s="13" t="s">
        <v>169</v>
      </c>
      <c r="BP1266" s="13">
        <v>281.59342762421699</v>
      </c>
      <c r="BQ1266" s="13">
        <v>13.6450310925183</v>
      </c>
      <c r="BT1266" s="298" t="str">
        <f>+VLOOKUP(G1266,Liste!$A$7:$H$50,8,FALSE)</f>
        <v>Feuillus</v>
      </c>
      <c r="BU1266" s="298">
        <f t="shared" si="382"/>
        <v>1</v>
      </c>
      <c r="BV1266" s="300">
        <f t="shared" si="383"/>
        <v>0</v>
      </c>
      <c r="BW1266" s="321">
        <v>0</v>
      </c>
      <c r="BX1266" s="298">
        <f t="shared" si="384"/>
        <v>0.25</v>
      </c>
      <c r="BY1266">
        <f t="shared" si="385"/>
        <v>0</v>
      </c>
      <c r="BZ1266" s="304">
        <f t="shared" si="386"/>
        <v>0</v>
      </c>
      <c r="CB1266" s="299">
        <v>0.6</v>
      </c>
      <c r="CC1266" s="299">
        <v>0.4</v>
      </c>
      <c r="CD1266">
        <f t="shared" si="387"/>
        <v>0</v>
      </c>
      <c r="CE1266">
        <f t="shared" si="388"/>
        <v>0</v>
      </c>
      <c r="CF1266">
        <f t="shared" si="389"/>
        <v>0</v>
      </c>
      <c r="CG1266">
        <f t="shared" si="390"/>
        <v>0</v>
      </c>
      <c r="CH1266">
        <f t="shared" si="391"/>
        <v>0</v>
      </c>
      <c r="CI1266">
        <f t="shared" si="392"/>
        <v>0</v>
      </c>
      <c r="CJ1266">
        <f t="shared" si="393"/>
        <v>0</v>
      </c>
      <c r="CK1266">
        <f t="shared" si="394"/>
        <v>0</v>
      </c>
      <c r="CL1266">
        <f t="shared" si="395"/>
        <v>0</v>
      </c>
      <c r="CM1266">
        <f t="shared" si="397"/>
        <v>0</v>
      </c>
      <c r="CN1266">
        <f t="shared" si="396"/>
        <v>0</v>
      </c>
      <c r="CO1266">
        <f t="shared" si="380"/>
        <v>0</v>
      </c>
    </row>
    <row r="1267" spans="1:93" x14ac:dyDescent="0.25">
      <c r="A1267" s="4">
        <v>2021</v>
      </c>
      <c r="B1267" s="318">
        <v>44298</v>
      </c>
      <c r="C1267" s="4" t="s">
        <v>66</v>
      </c>
      <c r="D1267" s="4" t="s">
        <v>1504</v>
      </c>
      <c r="F1267" s="4" t="s">
        <v>90</v>
      </c>
      <c r="G1267" s="5" t="s">
        <v>69</v>
      </c>
      <c r="H1267" s="5" t="s">
        <v>22</v>
      </c>
      <c r="I1267" s="5" t="s">
        <v>146</v>
      </c>
      <c r="J1267" s="5" t="s">
        <v>10</v>
      </c>
      <c r="K1267" s="5">
        <v>21.9</v>
      </c>
      <c r="L1267" s="5" t="s">
        <v>194</v>
      </c>
      <c r="M1267" s="5">
        <v>1600</v>
      </c>
      <c r="N1267" s="5" t="s">
        <v>170</v>
      </c>
      <c r="O1267" s="6" t="s">
        <v>81</v>
      </c>
      <c r="P1267" s="6" t="s">
        <v>1505</v>
      </c>
      <c r="S1267" s="6">
        <v>38</v>
      </c>
      <c r="T1267" s="6">
        <v>16.27</v>
      </c>
      <c r="U1267" s="6">
        <v>1446</v>
      </c>
      <c r="V1267" s="6">
        <v>21.44</v>
      </c>
      <c r="W1267" s="6">
        <v>65</v>
      </c>
      <c r="X1267" s="6">
        <v>525</v>
      </c>
      <c r="Y1267" s="6">
        <v>696</v>
      </c>
      <c r="Z1267" s="6">
        <v>155</v>
      </c>
      <c r="AA1267" s="6">
        <v>5</v>
      </c>
      <c r="AB1267" s="6">
        <v>0</v>
      </c>
      <c r="AC1267" s="7">
        <v>52</v>
      </c>
      <c r="AD1267" s="7" t="s">
        <v>52</v>
      </c>
      <c r="AE1267" s="7">
        <v>20.5</v>
      </c>
      <c r="AF1267" s="7">
        <v>345</v>
      </c>
      <c r="AG1267" s="7">
        <v>16.600000000000001</v>
      </c>
      <c r="AH1267" s="7">
        <v>24.75</v>
      </c>
      <c r="AI1267" s="7">
        <v>28.42</v>
      </c>
      <c r="AJ1267" s="9">
        <v>161.570025485976</v>
      </c>
      <c r="AK1267" s="9">
        <v>177.01583491395701</v>
      </c>
      <c r="AL1267" s="9">
        <v>203.35052380265</v>
      </c>
      <c r="AM1267" s="9">
        <v>32.343789415184901</v>
      </c>
      <c r="AN1267" s="9">
        <v>0.62199595029201704</v>
      </c>
      <c r="AO1267" s="9">
        <v>0.65904260001172099</v>
      </c>
      <c r="AP1267" s="9">
        <v>352.308273751184</v>
      </c>
      <c r="AQ1267" s="9">
        <v>6.7751591105997004</v>
      </c>
      <c r="AR1267" s="9">
        <v>10.421278404997</v>
      </c>
      <c r="AS1267" s="8" t="s">
        <v>169</v>
      </c>
      <c r="AT1267" s="8" t="s">
        <v>169</v>
      </c>
      <c r="AU1267" s="10" t="s">
        <v>169</v>
      </c>
      <c r="AV1267" s="10">
        <v>0</v>
      </c>
      <c r="AX1267" s="10" t="s">
        <v>169</v>
      </c>
      <c r="BF1267" s="12">
        <v>0.56999999999999995</v>
      </c>
      <c r="BG1267" s="13">
        <v>201.87623250508099</v>
      </c>
      <c r="BH1267" s="96" t="str">
        <f>+VLOOKUP(G1267,Liste!$A$7:$G$50,3,FALSE)</f>
        <v>Chene_pedoncule</v>
      </c>
      <c r="BI1267" s="96" t="str">
        <f>+VLOOKUP(H1267,Liste!$B$7:$G$50,5,FALSE)</f>
        <v>Guide chênaie continentale</v>
      </c>
      <c r="BJ1267" s="135">
        <f t="shared" si="379"/>
        <v>52</v>
      </c>
      <c r="BK1267" s="135" t="str">
        <f t="shared" si="381"/>
        <v>Chene_pedoncule_F2_Dynamique_Guide chênaie continentale_52_</v>
      </c>
      <c r="BL1267" s="322"/>
      <c r="BM1267" s="13">
        <v>53.502450076895002</v>
      </c>
      <c r="BN1267" s="13">
        <v>255.37868258197599</v>
      </c>
      <c r="BO1267" s="13" t="s">
        <v>169</v>
      </c>
      <c r="BP1267" s="13">
        <v>281.59342762421699</v>
      </c>
      <c r="BQ1267" s="13">
        <v>12.606957323068199</v>
      </c>
      <c r="BT1267" s="298" t="str">
        <f>+VLOOKUP(G1267,Liste!$A$7:$H$50,8,FALSE)</f>
        <v>Feuillus</v>
      </c>
      <c r="BU1267" s="298">
        <f t="shared" si="382"/>
        <v>1</v>
      </c>
      <c r="BV1267" s="300">
        <f t="shared" si="383"/>
        <v>0</v>
      </c>
      <c r="BW1267" s="321">
        <v>0</v>
      </c>
      <c r="BX1267" s="298">
        <f t="shared" si="384"/>
        <v>0.25</v>
      </c>
      <c r="BY1267">
        <f t="shared" si="385"/>
        <v>0</v>
      </c>
      <c r="BZ1267" s="304">
        <f t="shared" si="386"/>
        <v>0</v>
      </c>
      <c r="CB1267" s="299">
        <v>0.6</v>
      </c>
      <c r="CC1267" s="299">
        <v>0.4</v>
      </c>
      <c r="CD1267">
        <f t="shared" si="387"/>
        <v>0</v>
      </c>
      <c r="CE1267">
        <f t="shared" si="388"/>
        <v>0</v>
      </c>
      <c r="CF1267">
        <f t="shared" si="389"/>
        <v>0</v>
      </c>
      <c r="CG1267">
        <f t="shared" si="390"/>
        <v>0</v>
      </c>
      <c r="CH1267">
        <f t="shared" si="391"/>
        <v>0</v>
      </c>
      <c r="CI1267">
        <f t="shared" si="392"/>
        <v>0</v>
      </c>
      <c r="CJ1267">
        <f t="shared" si="393"/>
        <v>0</v>
      </c>
      <c r="CK1267">
        <f t="shared" si="394"/>
        <v>0</v>
      </c>
      <c r="CL1267">
        <f t="shared" si="395"/>
        <v>0</v>
      </c>
      <c r="CM1267">
        <f t="shared" si="397"/>
        <v>0</v>
      </c>
      <c r="CN1267">
        <f t="shared" si="396"/>
        <v>0</v>
      </c>
      <c r="CO1267">
        <f t="shared" si="380"/>
        <v>0</v>
      </c>
    </row>
    <row r="1268" spans="1:93" x14ac:dyDescent="0.25">
      <c r="A1268" s="4">
        <v>2021</v>
      </c>
      <c r="B1268" s="318">
        <v>44298</v>
      </c>
      <c r="C1268" s="4" t="s">
        <v>66</v>
      </c>
      <c r="D1268" s="4" t="s">
        <v>1504</v>
      </c>
      <c r="F1268" s="4" t="s">
        <v>90</v>
      </c>
      <c r="G1268" s="5" t="s">
        <v>69</v>
      </c>
      <c r="H1268" s="5" t="s">
        <v>22</v>
      </c>
      <c r="I1268" s="5" t="s">
        <v>146</v>
      </c>
      <c r="J1268" s="5" t="s">
        <v>10</v>
      </c>
      <c r="K1268" s="5">
        <v>21.9</v>
      </c>
      <c r="L1268" s="5" t="s">
        <v>194</v>
      </c>
      <c r="M1268" s="5">
        <v>1600</v>
      </c>
      <c r="N1268" s="5" t="s">
        <v>170</v>
      </c>
      <c r="O1268" s="6" t="s">
        <v>81</v>
      </c>
      <c r="P1268" s="6" t="s">
        <v>1505</v>
      </c>
      <c r="S1268" s="6">
        <v>38</v>
      </c>
      <c r="T1268" s="6">
        <v>16.27</v>
      </c>
      <c r="U1268" s="6">
        <v>1446</v>
      </c>
      <c r="V1268" s="6">
        <v>21.44</v>
      </c>
      <c r="W1268" s="6">
        <v>65</v>
      </c>
      <c r="X1268" s="6">
        <v>525</v>
      </c>
      <c r="Y1268" s="6">
        <v>696</v>
      </c>
      <c r="Z1268" s="6">
        <v>155</v>
      </c>
      <c r="AA1268" s="6">
        <v>5</v>
      </c>
      <c r="AB1268" s="6">
        <v>0</v>
      </c>
      <c r="AC1268" s="7">
        <v>52</v>
      </c>
      <c r="AD1268" s="7" t="s">
        <v>53</v>
      </c>
      <c r="AE1268" s="7">
        <v>20.5</v>
      </c>
      <c r="AF1268" s="7">
        <v>239</v>
      </c>
      <c r="AG1268" s="7">
        <v>12.39</v>
      </c>
      <c r="AH1268" s="7">
        <v>25.69</v>
      </c>
      <c r="AI1268" s="7">
        <v>28.34</v>
      </c>
      <c r="AJ1268" s="9">
        <v>121.299113496719</v>
      </c>
      <c r="AK1268" s="9">
        <v>133.487046970509</v>
      </c>
      <c r="AL1268" s="9">
        <v>152.90975914501101</v>
      </c>
      <c r="AM1268" s="9">
        <v>32.343789415184901</v>
      </c>
      <c r="AN1268" s="9">
        <v>0.62199595029201704</v>
      </c>
      <c r="AO1268" s="9">
        <v>0.65904260001172099</v>
      </c>
      <c r="AP1268" s="9">
        <v>352.308273751184</v>
      </c>
      <c r="AQ1268" s="9">
        <v>6.7751591105997004</v>
      </c>
      <c r="AR1268" s="9">
        <v>10.421278404997</v>
      </c>
      <c r="AS1268" s="8">
        <v>106</v>
      </c>
      <c r="AT1268" s="8">
        <v>4.2100000000000009</v>
      </c>
      <c r="AU1268" s="10">
        <v>22.487603468324238</v>
      </c>
      <c r="AV1268" s="10">
        <v>40.270911989257002</v>
      </c>
      <c r="AW1268" s="10">
        <v>0.83</v>
      </c>
      <c r="AX1268" s="10">
        <v>0.37991426404959433</v>
      </c>
      <c r="BF1268" s="12">
        <v>0.56999999999999995</v>
      </c>
      <c r="BG1268" s="13">
        <v>151.801163391209</v>
      </c>
      <c r="BH1268" s="96" t="str">
        <f>+VLOOKUP(G1268,Liste!$A$7:$G$50,3,FALSE)</f>
        <v>Chene_pedoncule</v>
      </c>
      <c r="BI1268" s="96" t="str">
        <f>+VLOOKUP(H1268,Liste!$B$7:$G$50,5,FALSE)</f>
        <v>Guide chênaie continentale</v>
      </c>
      <c r="BJ1268" s="135">
        <f t="shared" si="379"/>
        <v>52</v>
      </c>
      <c r="BK1268" s="135" t="str">
        <f t="shared" si="381"/>
        <v>Chene_pedoncule_F2_Dynamique_Guide chênaie continentale_52_</v>
      </c>
      <c r="BL1268" s="322"/>
      <c r="BM1268" s="13">
        <v>41.588674017785301</v>
      </c>
      <c r="BN1268" s="13">
        <v>193.389837408994</v>
      </c>
      <c r="BO1268" s="13">
        <v>61.988845172981996</v>
      </c>
      <c r="BP1268" s="13">
        <v>281.59342762421699</v>
      </c>
      <c r="BQ1268" s="13">
        <v>12.606957323068199</v>
      </c>
      <c r="BT1268" s="298" t="str">
        <f>+VLOOKUP(G1268,Liste!$A$7:$H$50,8,FALSE)</f>
        <v>Feuillus</v>
      </c>
      <c r="BU1268" s="298">
        <f t="shared" si="382"/>
        <v>1</v>
      </c>
      <c r="BV1268" s="300">
        <f t="shared" si="383"/>
        <v>0</v>
      </c>
      <c r="BW1268" s="321">
        <v>0</v>
      </c>
      <c r="BX1268" s="298">
        <f t="shared" si="384"/>
        <v>0.25</v>
      </c>
      <c r="BY1268">
        <f t="shared" si="385"/>
        <v>0</v>
      </c>
      <c r="BZ1268" s="304">
        <f t="shared" si="386"/>
        <v>0</v>
      </c>
      <c r="CB1268" s="299">
        <v>0.6</v>
      </c>
      <c r="CC1268" s="299">
        <v>0.4</v>
      </c>
      <c r="CD1268">
        <f t="shared" si="387"/>
        <v>0</v>
      </c>
      <c r="CE1268">
        <f t="shared" si="388"/>
        <v>0</v>
      </c>
      <c r="CF1268">
        <f t="shared" si="389"/>
        <v>0</v>
      </c>
      <c r="CG1268">
        <f t="shared" si="390"/>
        <v>0</v>
      </c>
      <c r="CH1268">
        <f t="shared" si="391"/>
        <v>0</v>
      </c>
      <c r="CI1268">
        <f t="shared" si="392"/>
        <v>0</v>
      </c>
      <c r="CJ1268">
        <f t="shared" si="393"/>
        <v>0</v>
      </c>
      <c r="CK1268">
        <f t="shared" si="394"/>
        <v>0</v>
      </c>
      <c r="CL1268">
        <f t="shared" si="395"/>
        <v>0</v>
      </c>
      <c r="CM1268">
        <f t="shared" si="397"/>
        <v>0</v>
      </c>
      <c r="CN1268">
        <f t="shared" si="396"/>
        <v>0</v>
      </c>
      <c r="CO1268">
        <f t="shared" si="380"/>
        <v>0</v>
      </c>
    </row>
    <row r="1269" spans="1:93" x14ac:dyDescent="0.25">
      <c r="A1269" s="4">
        <v>2021</v>
      </c>
      <c r="B1269" s="318">
        <v>44298</v>
      </c>
      <c r="C1269" s="4" t="s">
        <v>66</v>
      </c>
      <c r="D1269" s="4" t="s">
        <v>1504</v>
      </c>
      <c r="F1269" s="4" t="s">
        <v>90</v>
      </c>
      <c r="G1269" s="5" t="s">
        <v>69</v>
      </c>
      <c r="H1269" s="5" t="s">
        <v>22</v>
      </c>
      <c r="I1269" s="5" t="s">
        <v>146</v>
      </c>
      <c r="J1269" s="5" t="s">
        <v>10</v>
      </c>
      <c r="K1269" s="5">
        <v>21.9</v>
      </c>
      <c r="L1269" s="5" t="s">
        <v>194</v>
      </c>
      <c r="M1269" s="5">
        <v>1600</v>
      </c>
      <c r="N1269" s="5" t="s">
        <v>170</v>
      </c>
      <c r="O1269" s="6" t="s">
        <v>81</v>
      </c>
      <c r="P1269" s="6" t="s">
        <v>1505</v>
      </c>
      <c r="S1269" s="6">
        <v>38</v>
      </c>
      <c r="T1269" s="6">
        <v>16.27</v>
      </c>
      <c r="U1269" s="6">
        <v>1446</v>
      </c>
      <c r="V1269" s="6">
        <v>21.44</v>
      </c>
      <c r="W1269" s="6">
        <v>65</v>
      </c>
      <c r="X1269" s="6">
        <v>525</v>
      </c>
      <c r="Y1269" s="6">
        <v>696</v>
      </c>
      <c r="Z1269" s="6">
        <v>155</v>
      </c>
      <c r="AA1269" s="6">
        <v>5</v>
      </c>
      <c r="AB1269" s="6">
        <v>0</v>
      </c>
      <c r="AC1269" s="7">
        <v>55</v>
      </c>
      <c r="AD1269" s="7" t="s">
        <v>52</v>
      </c>
      <c r="AE1269" s="7">
        <v>21.29</v>
      </c>
      <c r="AF1269" s="7">
        <v>239</v>
      </c>
      <c r="AG1269" s="7">
        <v>14.37</v>
      </c>
      <c r="AH1269" s="7">
        <v>27.67</v>
      </c>
      <c r="AI1269" s="7">
        <v>30.34</v>
      </c>
      <c r="AJ1269" s="9">
        <v>146.78380341934101</v>
      </c>
      <c r="AK1269" s="9">
        <v>162.18383270944901</v>
      </c>
      <c r="AL1269" s="9">
        <v>184.173594360001</v>
      </c>
      <c r="AM1269" s="9">
        <v>34.320917215220099</v>
      </c>
      <c r="AN1269" s="9">
        <v>0.62401667664036498</v>
      </c>
      <c r="AO1269" s="9">
        <v>0.66448175718260305</v>
      </c>
      <c r="AP1269" s="9">
        <v>383.57210896617499</v>
      </c>
      <c r="AQ1269" s="9">
        <v>6.97403834483955</v>
      </c>
      <c r="AR1269" s="9">
        <v>10.990978026923401</v>
      </c>
      <c r="AS1269" s="8" t="s">
        <v>169</v>
      </c>
      <c r="AT1269" s="8" t="s">
        <v>169</v>
      </c>
      <c r="AU1269" s="10" t="s">
        <v>169</v>
      </c>
      <c r="AV1269" s="10">
        <v>0</v>
      </c>
      <c r="AX1269" s="10" t="s">
        <v>169</v>
      </c>
      <c r="BF1269" s="12">
        <v>0.56999999999999995</v>
      </c>
      <c r="BG1269" s="13">
        <v>182.838335800891</v>
      </c>
      <c r="BH1269" s="96" t="str">
        <f>+VLOOKUP(G1269,Liste!$A$7:$G$50,3,FALSE)</f>
        <v>Chene_pedoncule</v>
      </c>
      <c r="BI1269" s="96" t="str">
        <f>+VLOOKUP(H1269,Liste!$B$7:$G$50,5,FALSE)</f>
        <v>Guide chênaie continentale</v>
      </c>
      <c r="BJ1269" s="135">
        <f t="shared" si="379"/>
        <v>55</v>
      </c>
      <c r="BK1269" s="135" t="str">
        <f t="shared" si="381"/>
        <v>Chene_pedoncule_F2_Dynamique_Guide chênaie continentale_55_</v>
      </c>
      <c r="BL1269" s="322"/>
      <c r="BM1269" s="13">
        <v>49.018839599381899</v>
      </c>
      <c r="BN1269" s="13">
        <v>231.85717540027301</v>
      </c>
      <c r="BO1269" s="13" t="s">
        <v>169</v>
      </c>
      <c r="BP1269" s="13">
        <v>281.59342762421699</v>
      </c>
      <c r="BQ1269" s="13">
        <v>13.269332299263199</v>
      </c>
      <c r="BT1269" s="298" t="str">
        <f>+VLOOKUP(G1269,Liste!$A$7:$H$50,8,FALSE)</f>
        <v>Feuillus</v>
      </c>
      <c r="BU1269" s="298">
        <f t="shared" si="382"/>
        <v>1</v>
      </c>
      <c r="BV1269" s="300">
        <f t="shared" si="383"/>
        <v>0</v>
      </c>
      <c r="BW1269" s="321">
        <v>0</v>
      </c>
      <c r="BX1269" s="298">
        <f t="shared" si="384"/>
        <v>0.25</v>
      </c>
      <c r="BY1269">
        <f t="shared" si="385"/>
        <v>0</v>
      </c>
      <c r="BZ1269" s="304">
        <f t="shared" si="386"/>
        <v>0</v>
      </c>
      <c r="CB1269" s="299">
        <v>0.6</v>
      </c>
      <c r="CC1269" s="299">
        <v>0.4</v>
      </c>
      <c r="CD1269">
        <f t="shared" si="387"/>
        <v>0</v>
      </c>
      <c r="CE1269">
        <f t="shared" si="388"/>
        <v>0</v>
      </c>
      <c r="CF1269">
        <f t="shared" si="389"/>
        <v>0</v>
      </c>
      <c r="CG1269">
        <f t="shared" si="390"/>
        <v>0</v>
      </c>
      <c r="CH1269">
        <f t="shared" si="391"/>
        <v>0</v>
      </c>
      <c r="CI1269">
        <f t="shared" si="392"/>
        <v>0</v>
      </c>
      <c r="CJ1269">
        <f t="shared" si="393"/>
        <v>0</v>
      </c>
      <c r="CK1269">
        <f t="shared" si="394"/>
        <v>0</v>
      </c>
      <c r="CL1269">
        <f t="shared" si="395"/>
        <v>0</v>
      </c>
      <c r="CM1269">
        <f t="shared" si="397"/>
        <v>0</v>
      </c>
      <c r="CN1269">
        <f t="shared" si="396"/>
        <v>0</v>
      </c>
      <c r="CO1269">
        <f t="shared" si="380"/>
        <v>0</v>
      </c>
    </row>
    <row r="1270" spans="1:93" x14ac:dyDescent="0.25">
      <c r="A1270" s="4">
        <v>2021</v>
      </c>
      <c r="B1270" s="318">
        <v>44298</v>
      </c>
      <c r="C1270" s="4" t="s">
        <v>66</v>
      </c>
      <c r="D1270" s="4" t="s">
        <v>1504</v>
      </c>
      <c r="F1270" s="4" t="s">
        <v>90</v>
      </c>
      <c r="G1270" s="5" t="s">
        <v>69</v>
      </c>
      <c r="H1270" s="5" t="s">
        <v>22</v>
      </c>
      <c r="I1270" s="5" t="s">
        <v>146</v>
      </c>
      <c r="J1270" s="5" t="s">
        <v>10</v>
      </c>
      <c r="K1270" s="5">
        <v>21.9</v>
      </c>
      <c r="L1270" s="5" t="s">
        <v>194</v>
      </c>
      <c r="M1270" s="5">
        <v>1600</v>
      </c>
      <c r="N1270" s="5" t="s">
        <v>170</v>
      </c>
      <c r="O1270" s="6" t="s">
        <v>81</v>
      </c>
      <c r="P1270" s="6" t="s">
        <v>1505</v>
      </c>
      <c r="S1270" s="6">
        <v>38</v>
      </c>
      <c r="T1270" s="6">
        <v>16.27</v>
      </c>
      <c r="U1270" s="6">
        <v>1446</v>
      </c>
      <c r="V1270" s="6">
        <v>21.44</v>
      </c>
      <c r="W1270" s="6">
        <v>65</v>
      </c>
      <c r="X1270" s="6">
        <v>525</v>
      </c>
      <c r="Y1270" s="6">
        <v>696</v>
      </c>
      <c r="Z1270" s="6">
        <v>155</v>
      </c>
      <c r="AA1270" s="6">
        <v>5</v>
      </c>
      <c r="AB1270" s="6">
        <v>0</v>
      </c>
      <c r="AC1270" s="7">
        <v>59</v>
      </c>
      <c r="AD1270" s="7" t="s">
        <v>52</v>
      </c>
      <c r="AE1270" s="7">
        <v>22.29</v>
      </c>
      <c r="AF1270" s="7">
        <v>239</v>
      </c>
      <c r="AG1270" s="7">
        <v>17.03</v>
      </c>
      <c r="AH1270" s="7">
        <v>30.12</v>
      </c>
      <c r="AI1270" s="7">
        <v>32.840000000000003</v>
      </c>
      <c r="AJ1270" s="9">
        <v>182.71171892242899</v>
      </c>
      <c r="AK1270" s="9">
        <v>202.72304754059201</v>
      </c>
      <c r="AL1270" s="9">
        <v>228.137506467695</v>
      </c>
      <c r="AM1270" s="9">
        <v>36.978844243950498</v>
      </c>
      <c r="AN1270" s="9">
        <v>0.62676007193136396</v>
      </c>
      <c r="AO1270" s="9">
        <v>0.60369555740318304</v>
      </c>
      <c r="AP1270" s="9">
        <v>427.53602107386899</v>
      </c>
      <c r="AQ1270" s="9">
        <v>7.2463732385401496</v>
      </c>
      <c r="AR1270" s="9">
        <v>10.271750124741599</v>
      </c>
      <c r="AS1270" s="8" t="s">
        <v>169</v>
      </c>
      <c r="AT1270" s="8" t="s">
        <v>169</v>
      </c>
      <c r="AU1270" s="10" t="s">
        <v>169</v>
      </c>
      <c r="AV1270" s="10">
        <v>0</v>
      </c>
      <c r="AX1270" s="10" t="s">
        <v>169</v>
      </c>
      <c r="BF1270" s="12">
        <v>0.56999999999999995</v>
      </c>
      <c r="BG1270" s="13">
        <v>226.483509545804</v>
      </c>
      <c r="BH1270" s="96" t="str">
        <f>+VLOOKUP(G1270,Liste!$A$7:$G$50,3,FALSE)</f>
        <v>Chene_pedoncule</v>
      </c>
      <c r="BI1270" s="96" t="str">
        <f>+VLOOKUP(H1270,Liste!$B$7:$G$50,5,FALSE)</f>
        <v>Guide chênaie continentale</v>
      </c>
      <c r="BJ1270" s="135">
        <f t="shared" si="379"/>
        <v>59</v>
      </c>
      <c r="BK1270" s="135" t="str">
        <f t="shared" si="381"/>
        <v>Chene_pedoncule_F2_Dynamique_Guide chênaie continentale_59_</v>
      </c>
      <c r="BL1270" s="322"/>
      <c r="BM1270" s="13">
        <v>59.2257709986376</v>
      </c>
      <c r="BN1270" s="13">
        <v>285.70928054444198</v>
      </c>
      <c r="BO1270" s="13" t="s">
        <v>169</v>
      </c>
      <c r="BP1270" s="13">
        <v>281.59342762421699</v>
      </c>
      <c r="BQ1270" s="13">
        <v>12.3784257671179</v>
      </c>
      <c r="BT1270" s="298" t="str">
        <f>+VLOOKUP(G1270,Liste!$A$7:$H$50,8,FALSE)</f>
        <v>Feuillus</v>
      </c>
      <c r="BU1270" s="298">
        <f t="shared" si="382"/>
        <v>1</v>
      </c>
      <c r="BV1270" s="300">
        <f t="shared" si="383"/>
        <v>0</v>
      </c>
      <c r="BW1270" s="321">
        <v>0</v>
      </c>
      <c r="BX1270" s="298">
        <f t="shared" si="384"/>
        <v>0.25</v>
      </c>
      <c r="BY1270">
        <f t="shared" si="385"/>
        <v>0</v>
      </c>
      <c r="BZ1270" s="304">
        <f t="shared" si="386"/>
        <v>0</v>
      </c>
      <c r="CB1270" s="299">
        <v>0.6</v>
      </c>
      <c r="CC1270" s="299">
        <v>0.4</v>
      </c>
      <c r="CD1270">
        <f t="shared" si="387"/>
        <v>0</v>
      </c>
      <c r="CE1270">
        <f t="shared" si="388"/>
        <v>0</v>
      </c>
      <c r="CF1270">
        <f t="shared" si="389"/>
        <v>0</v>
      </c>
      <c r="CG1270">
        <f t="shared" si="390"/>
        <v>0</v>
      </c>
      <c r="CH1270">
        <f t="shared" si="391"/>
        <v>0</v>
      </c>
      <c r="CI1270">
        <f t="shared" si="392"/>
        <v>0</v>
      </c>
      <c r="CJ1270">
        <f t="shared" si="393"/>
        <v>0</v>
      </c>
      <c r="CK1270">
        <f t="shared" si="394"/>
        <v>0</v>
      </c>
      <c r="CL1270">
        <f t="shared" si="395"/>
        <v>0</v>
      </c>
      <c r="CM1270">
        <f t="shared" si="397"/>
        <v>0</v>
      </c>
      <c r="CN1270">
        <f t="shared" si="396"/>
        <v>0</v>
      </c>
      <c r="CO1270">
        <f t="shared" si="380"/>
        <v>0</v>
      </c>
    </row>
    <row r="1271" spans="1:93" x14ac:dyDescent="0.25">
      <c r="A1271" s="4">
        <v>2021</v>
      </c>
      <c r="B1271" s="318">
        <v>44298</v>
      </c>
      <c r="C1271" s="4" t="s">
        <v>66</v>
      </c>
      <c r="D1271" s="4" t="s">
        <v>1504</v>
      </c>
      <c r="F1271" s="4" t="s">
        <v>90</v>
      </c>
      <c r="G1271" s="5" t="s">
        <v>69</v>
      </c>
      <c r="H1271" s="5" t="s">
        <v>22</v>
      </c>
      <c r="I1271" s="5" t="s">
        <v>146</v>
      </c>
      <c r="J1271" s="5" t="s">
        <v>10</v>
      </c>
      <c r="K1271" s="5">
        <v>21.9</v>
      </c>
      <c r="L1271" s="5" t="s">
        <v>194</v>
      </c>
      <c r="M1271" s="5">
        <v>1600</v>
      </c>
      <c r="N1271" s="5" t="s">
        <v>170</v>
      </c>
      <c r="O1271" s="6" t="s">
        <v>81</v>
      </c>
      <c r="P1271" s="6" t="s">
        <v>1505</v>
      </c>
      <c r="S1271" s="6">
        <v>38</v>
      </c>
      <c r="T1271" s="6">
        <v>16.27</v>
      </c>
      <c r="U1271" s="6">
        <v>1446</v>
      </c>
      <c r="V1271" s="6">
        <v>21.44</v>
      </c>
      <c r="W1271" s="6">
        <v>65</v>
      </c>
      <c r="X1271" s="6">
        <v>525</v>
      </c>
      <c r="Y1271" s="6">
        <v>696</v>
      </c>
      <c r="Z1271" s="6">
        <v>155</v>
      </c>
      <c r="AA1271" s="6">
        <v>5</v>
      </c>
      <c r="AB1271" s="6">
        <v>0</v>
      </c>
      <c r="AC1271" s="7">
        <v>59</v>
      </c>
      <c r="AD1271" s="7" t="s">
        <v>53</v>
      </c>
      <c r="AE1271" s="7">
        <v>22.29</v>
      </c>
      <c r="AF1271" s="7">
        <v>179</v>
      </c>
      <c r="AG1271" s="7">
        <v>13.59</v>
      </c>
      <c r="AH1271" s="7">
        <v>31.09</v>
      </c>
      <c r="AI1271" s="7">
        <v>32.82</v>
      </c>
      <c r="AJ1271" s="9">
        <v>146.274402534167</v>
      </c>
      <c r="AK1271" s="9">
        <v>162.936777289551</v>
      </c>
      <c r="AL1271" s="9">
        <v>183.072173128797</v>
      </c>
      <c r="AM1271" s="9">
        <v>36.978844243950498</v>
      </c>
      <c r="AN1271" s="9">
        <v>0.62676007193136396</v>
      </c>
      <c r="AO1271" s="9">
        <v>0.60369555740318304</v>
      </c>
      <c r="AP1271" s="9">
        <v>427.53602107386899</v>
      </c>
      <c r="AQ1271" s="9">
        <v>7.2463732385401496</v>
      </c>
      <c r="AR1271" s="9">
        <v>10.271750124741599</v>
      </c>
      <c r="AS1271" s="8">
        <v>60</v>
      </c>
      <c r="AT1271" s="8">
        <v>3.4400000000000013</v>
      </c>
      <c r="AU1271" s="10">
        <v>27.018339555102695</v>
      </c>
      <c r="AV1271" s="10">
        <v>36.437316388261991</v>
      </c>
      <c r="AW1271" s="10">
        <v>0.8</v>
      </c>
      <c r="AX1271" s="10">
        <v>0.60728860647103322</v>
      </c>
      <c r="BF1271" s="12">
        <v>0.56999999999999995</v>
      </c>
      <c r="BG1271" s="13">
        <v>181.74489987361301</v>
      </c>
      <c r="BH1271" s="96" t="str">
        <f>+VLOOKUP(G1271,Liste!$A$7:$G$50,3,FALSE)</f>
        <v>Chene_pedoncule</v>
      </c>
      <c r="BI1271" s="96" t="str">
        <f>+VLOOKUP(H1271,Liste!$B$7:$G$50,5,FALSE)</f>
        <v>Guide chênaie continentale</v>
      </c>
      <c r="BJ1271" s="135">
        <f t="shared" si="379"/>
        <v>59</v>
      </c>
      <c r="BK1271" s="135" t="str">
        <f t="shared" si="381"/>
        <v>Chene_pedoncule_F2_Dynamique_Guide chênaie continentale_59_</v>
      </c>
      <c r="BL1271" s="322"/>
      <c r="BM1271" s="13">
        <v>48.759722374939301</v>
      </c>
      <c r="BN1271" s="13">
        <v>230.50462224855201</v>
      </c>
      <c r="BO1271" s="13">
        <v>55.204658295889971</v>
      </c>
      <c r="BP1271" s="13">
        <v>281.59342762421699</v>
      </c>
      <c r="BQ1271" s="13">
        <v>12.3784257671179</v>
      </c>
      <c r="BT1271" s="298" t="str">
        <f>+VLOOKUP(G1271,Liste!$A$7:$H$50,8,FALSE)</f>
        <v>Feuillus</v>
      </c>
      <c r="BU1271" s="298">
        <f t="shared" si="382"/>
        <v>1</v>
      </c>
      <c r="BV1271" s="300">
        <f t="shared" si="383"/>
        <v>0</v>
      </c>
      <c r="BW1271" s="321">
        <v>0</v>
      </c>
      <c r="BX1271" s="298">
        <f t="shared" si="384"/>
        <v>0.25</v>
      </c>
      <c r="BY1271">
        <f t="shared" si="385"/>
        <v>0</v>
      </c>
      <c r="BZ1271" s="304">
        <f t="shared" si="386"/>
        <v>0</v>
      </c>
      <c r="CB1271" s="299">
        <v>0.6</v>
      </c>
      <c r="CC1271" s="299">
        <v>0.4</v>
      </c>
      <c r="CD1271">
        <f t="shared" si="387"/>
        <v>0</v>
      </c>
      <c r="CE1271">
        <f t="shared" si="388"/>
        <v>0</v>
      </c>
      <c r="CF1271">
        <f t="shared" si="389"/>
        <v>0</v>
      </c>
      <c r="CG1271">
        <f t="shared" si="390"/>
        <v>0</v>
      </c>
      <c r="CH1271">
        <f t="shared" si="391"/>
        <v>0</v>
      </c>
      <c r="CI1271">
        <f t="shared" si="392"/>
        <v>0</v>
      </c>
      <c r="CJ1271">
        <f t="shared" si="393"/>
        <v>0</v>
      </c>
      <c r="CK1271">
        <f t="shared" si="394"/>
        <v>0</v>
      </c>
      <c r="CL1271">
        <f t="shared" si="395"/>
        <v>0</v>
      </c>
      <c r="CM1271">
        <f t="shared" si="397"/>
        <v>0</v>
      </c>
      <c r="CN1271">
        <f t="shared" si="396"/>
        <v>0</v>
      </c>
      <c r="CO1271">
        <f t="shared" si="380"/>
        <v>0</v>
      </c>
    </row>
    <row r="1272" spans="1:93" x14ac:dyDescent="0.25">
      <c r="A1272" s="4">
        <v>2021</v>
      </c>
      <c r="B1272" s="318">
        <v>44298</v>
      </c>
      <c r="C1272" s="4" t="s">
        <v>66</v>
      </c>
      <c r="D1272" s="4" t="s">
        <v>1504</v>
      </c>
      <c r="F1272" s="4" t="s">
        <v>90</v>
      </c>
      <c r="G1272" s="5" t="s">
        <v>69</v>
      </c>
      <c r="H1272" s="5" t="s">
        <v>22</v>
      </c>
      <c r="I1272" s="5" t="s">
        <v>146</v>
      </c>
      <c r="J1272" s="5" t="s">
        <v>10</v>
      </c>
      <c r="K1272" s="5">
        <v>21.9</v>
      </c>
      <c r="L1272" s="5" t="s">
        <v>194</v>
      </c>
      <c r="M1272" s="5">
        <v>1600</v>
      </c>
      <c r="N1272" s="5" t="s">
        <v>170</v>
      </c>
      <c r="O1272" s="6" t="s">
        <v>81</v>
      </c>
      <c r="P1272" s="6" t="s">
        <v>1505</v>
      </c>
      <c r="S1272" s="6">
        <v>38</v>
      </c>
      <c r="T1272" s="6">
        <v>16.27</v>
      </c>
      <c r="U1272" s="6">
        <v>1446</v>
      </c>
      <c r="V1272" s="6">
        <v>21.44</v>
      </c>
      <c r="W1272" s="6">
        <v>65</v>
      </c>
      <c r="X1272" s="6">
        <v>525</v>
      </c>
      <c r="Y1272" s="6">
        <v>696</v>
      </c>
      <c r="Z1272" s="6">
        <v>155</v>
      </c>
      <c r="AA1272" s="6">
        <v>5</v>
      </c>
      <c r="AB1272" s="6">
        <v>0</v>
      </c>
      <c r="AC1272" s="7">
        <v>62</v>
      </c>
      <c r="AD1272" s="7" t="s">
        <v>52</v>
      </c>
      <c r="AE1272" s="7">
        <v>23</v>
      </c>
      <c r="AF1272" s="7">
        <v>179</v>
      </c>
      <c r="AG1272" s="7">
        <v>15.4</v>
      </c>
      <c r="AH1272" s="7">
        <v>33.090000000000003</v>
      </c>
      <c r="AI1272" s="7">
        <v>34.83</v>
      </c>
      <c r="AJ1272" s="9">
        <v>171.26496051103501</v>
      </c>
      <c r="AK1272" s="9">
        <v>191.43151133656801</v>
      </c>
      <c r="AL1272" s="9">
        <v>213.88742350302201</v>
      </c>
      <c r="AM1272" s="9">
        <v>38.789930916160003</v>
      </c>
      <c r="AN1272" s="9">
        <v>0.625644047034839</v>
      </c>
      <c r="AO1272" s="9">
        <v>0.60370325692317595</v>
      </c>
      <c r="AP1272" s="9">
        <v>458.351271448094</v>
      </c>
      <c r="AQ1272" s="9">
        <v>7.3927624427111898</v>
      </c>
      <c r="AR1272" s="9">
        <v>10.6446701631767</v>
      </c>
      <c r="AS1272" s="8" t="s">
        <v>169</v>
      </c>
      <c r="AT1272" s="8" t="s">
        <v>169</v>
      </c>
      <c r="AU1272" s="10" t="s">
        <v>169</v>
      </c>
      <c r="AV1272" s="10">
        <v>0</v>
      </c>
      <c r="AX1272" s="10" t="s">
        <v>169</v>
      </c>
      <c r="BF1272" s="12">
        <v>0.56999999999999995</v>
      </c>
      <c r="BG1272" s="13">
        <v>212.33673968262499</v>
      </c>
      <c r="BH1272" s="96" t="str">
        <f>+VLOOKUP(G1272,Liste!$A$7:$G$50,3,FALSE)</f>
        <v>Chene_pedoncule</v>
      </c>
      <c r="BI1272" s="96" t="str">
        <f>+VLOOKUP(H1272,Liste!$B$7:$G$50,5,FALSE)</f>
        <v>Guide chênaie continentale</v>
      </c>
      <c r="BJ1272" s="135">
        <f t="shared" si="379"/>
        <v>62</v>
      </c>
      <c r="BK1272" s="135" t="str">
        <f t="shared" si="381"/>
        <v>Chene_pedoncule_F2_Dynamique_Guide chênaie continentale_62_</v>
      </c>
      <c r="BL1272" s="322"/>
      <c r="BM1272" s="13">
        <v>55.944811309623802</v>
      </c>
      <c r="BN1272" s="13">
        <v>268.28155099224898</v>
      </c>
      <c r="BO1272" s="13" t="s">
        <v>169</v>
      </c>
      <c r="BP1272" s="13">
        <v>281.59342762421699</v>
      </c>
      <c r="BQ1272" s="13">
        <v>12.8098916052327</v>
      </c>
      <c r="BT1272" s="298" t="str">
        <f>+VLOOKUP(G1272,Liste!$A$7:$H$50,8,FALSE)</f>
        <v>Feuillus</v>
      </c>
      <c r="BU1272" s="298">
        <f t="shared" si="382"/>
        <v>1</v>
      </c>
      <c r="BV1272" s="300">
        <f t="shared" si="383"/>
        <v>0</v>
      </c>
      <c r="BW1272" s="321">
        <v>0</v>
      </c>
      <c r="BX1272" s="298">
        <f t="shared" si="384"/>
        <v>0.25</v>
      </c>
      <c r="BY1272">
        <f t="shared" si="385"/>
        <v>0</v>
      </c>
      <c r="BZ1272" s="304">
        <f t="shared" si="386"/>
        <v>0</v>
      </c>
      <c r="CB1272" s="299">
        <v>0.6</v>
      </c>
      <c r="CC1272" s="299">
        <v>0.4</v>
      </c>
      <c r="CD1272">
        <f t="shared" si="387"/>
        <v>0</v>
      </c>
      <c r="CE1272">
        <f t="shared" si="388"/>
        <v>0</v>
      </c>
      <c r="CF1272">
        <f t="shared" si="389"/>
        <v>0</v>
      </c>
      <c r="CG1272">
        <f t="shared" si="390"/>
        <v>0</v>
      </c>
      <c r="CH1272">
        <f t="shared" si="391"/>
        <v>0</v>
      </c>
      <c r="CI1272">
        <f t="shared" si="392"/>
        <v>0</v>
      </c>
      <c r="CJ1272">
        <f t="shared" si="393"/>
        <v>0</v>
      </c>
      <c r="CK1272">
        <f t="shared" si="394"/>
        <v>0</v>
      </c>
      <c r="CL1272">
        <f t="shared" si="395"/>
        <v>0</v>
      </c>
      <c r="CM1272">
        <f t="shared" si="397"/>
        <v>0</v>
      </c>
      <c r="CN1272">
        <f t="shared" si="396"/>
        <v>0</v>
      </c>
      <c r="CO1272">
        <f t="shared" si="380"/>
        <v>0</v>
      </c>
    </row>
    <row r="1273" spans="1:93" x14ac:dyDescent="0.25">
      <c r="A1273" s="4">
        <v>2021</v>
      </c>
      <c r="B1273" s="318">
        <v>44298</v>
      </c>
      <c r="C1273" s="4" t="s">
        <v>66</v>
      </c>
      <c r="D1273" s="4" t="s">
        <v>1504</v>
      </c>
      <c r="F1273" s="4" t="s">
        <v>90</v>
      </c>
      <c r="G1273" s="5" t="s">
        <v>69</v>
      </c>
      <c r="H1273" s="5" t="s">
        <v>22</v>
      </c>
      <c r="I1273" s="5" t="s">
        <v>146</v>
      </c>
      <c r="J1273" s="5" t="s">
        <v>10</v>
      </c>
      <c r="K1273" s="5">
        <v>21.9</v>
      </c>
      <c r="L1273" s="5" t="s">
        <v>194</v>
      </c>
      <c r="M1273" s="5">
        <v>1600</v>
      </c>
      <c r="N1273" s="5" t="s">
        <v>170</v>
      </c>
      <c r="O1273" s="6" t="s">
        <v>81</v>
      </c>
      <c r="P1273" s="6" t="s">
        <v>1505</v>
      </c>
      <c r="S1273" s="6">
        <v>38</v>
      </c>
      <c r="T1273" s="6">
        <v>16.27</v>
      </c>
      <c r="U1273" s="6">
        <v>1446</v>
      </c>
      <c r="V1273" s="6">
        <v>21.44</v>
      </c>
      <c r="W1273" s="6">
        <v>65</v>
      </c>
      <c r="X1273" s="6">
        <v>525</v>
      </c>
      <c r="Y1273" s="6">
        <v>696</v>
      </c>
      <c r="Z1273" s="6">
        <v>155</v>
      </c>
      <c r="AA1273" s="6">
        <v>5</v>
      </c>
      <c r="AB1273" s="6">
        <v>0</v>
      </c>
      <c r="AC1273" s="7">
        <v>65</v>
      </c>
      <c r="AD1273" s="7" t="s">
        <v>52</v>
      </c>
      <c r="AE1273" s="7">
        <v>23.67</v>
      </c>
      <c r="AF1273" s="7">
        <v>179</v>
      </c>
      <c r="AG1273" s="7">
        <v>17.21</v>
      </c>
      <c r="AH1273" s="7">
        <v>34.99</v>
      </c>
      <c r="AI1273" s="7">
        <v>36.75</v>
      </c>
      <c r="AJ1273" s="9">
        <v>197.244822865705</v>
      </c>
      <c r="AK1273" s="9">
        <v>221.06208285234499</v>
      </c>
      <c r="AL1273" s="9">
        <v>245.82143399255199</v>
      </c>
      <c r="AM1273" s="9">
        <v>40.601040686929601</v>
      </c>
      <c r="AN1273" s="9">
        <v>0.62463139518353195</v>
      </c>
      <c r="AO1273" s="9">
        <v>0.59888106927954998</v>
      </c>
      <c r="AP1273" s="9">
        <v>490.28528193762401</v>
      </c>
      <c r="AQ1273" s="9">
        <v>7.5428504913480596</v>
      </c>
      <c r="AR1273" s="9">
        <v>10.8821669555255</v>
      </c>
      <c r="AS1273" s="8" t="s">
        <v>169</v>
      </c>
      <c r="AT1273" s="8" t="s">
        <v>169</v>
      </c>
      <c r="AU1273" s="10" t="s">
        <v>169</v>
      </c>
      <c r="AV1273" s="10">
        <v>0</v>
      </c>
      <c r="AX1273" s="10" t="s">
        <v>169</v>
      </c>
      <c r="BF1273" s="12">
        <v>0.56999999999999995</v>
      </c>
      <c r="BG1273" s="13">
        <v>244.039228596106</v>
      </c>
      <c r="BH1273" s="96" t="str">
        <f>+VLOOKUP(G1273,Liste!$A$7:$G$50,3,FALSE)</f>
        <v>Chene_pedoncule</v>
      </c>
      <c r="BI1273" s="96" t="str">
        <f>+VLOOKUP(H1273,Liste!$B$7:$G$50,5,FALSE)</f>
        <v>Guide chênaie continentale</v>
      </c>
      <c r="BJ1273" s="135">
        <f t="shared" si="379"/>
        <v>65</v>
      </c>
      <c r="BK1273" s="135" t="str">
        <f t="shared" si="381"/>
        <v>Chene_pedoncule_F2_Dynamique_Guide chênaie continentale_65_</v>
      </c>
      <c r="BL1273" s="322"/>
      <c r="BM1273" s="13">
        <v>63.264449966584401</v>
      </c>
      <c r="BN1273" s="13">
        <v>307.30367856268998</v>
      </c>
      <c r="BO1273" s="13" t="s">
        <v>169</v>
      </c>
      <c r="BP1273" s="13">
        <v>281.59342762421699</v>
      </c>
      <c r="BQ1273" s="13">
        <v>13.081019120787801</v>
      </c>
      <c r="BT1273" s="298" t="str">
        <f>+VLOOKUP(G1273,Liste!$A$7:$H$50,8,FALSE)</f>
        <v>Feuillus</v>
      </c>
      <c r="BU1273" s="298">
        <f t="shared" si="382"/>
        <v>1</v>
      </c>
      <c r="BV1273" s="300">
        <f t="shared" si="383"/>
        <v>0</v>
      </c>
      <c r="BW1273" s="321">
        <v>0</v>
      </c>
      <c r="BX1273" s="298">
        <f t="shared" si="384"/>
        <v>0.25</v>
      </c>
      <c r="BY1273">
        <f t="shared" si="385"/>
        <v>0</v>
      </c>
      <c r="BZ1273" s="304">
        <f t="shared" si="386"/>
        <v>0</v>
      </c>
      <c r="CB1273" s="299">
        <v>0.6</v>
      </c>
      <c r="CC1273" s="299">
        <v>0.4</v>
      </c>
      <c r="CD1273">
        <f t="shared" si="387"/>
        <v>0</v>
      </c>
      <c r="CE1273">
        <f t="shared" si="388"/>
        <v>0</v>
      </c>
      <c r="CF1273">
        <f t="shared" si="389"/>
        <v>0</v>
      </c>
      <c r="CG1273">
        <f t="shared" si="390"/>
        <v>0</v>
      </c>
      <c r="CH1273">
        <f t="shared" si="391"/>
        <v>0</v>
      </c>
      <c r="CI1273">
        <f t="shared" si="392"/>
        <v>0</v>
      </c>
      <c r="CJ1273">
        <f t="shared" si="393"/>
        <v>0</v>
      </c>
      <c r="CK1273">
        <f t="shared" si="394"/>
        <v>0</v>
      </c>
      <c r="CL1273">
        <f t="shared" si="395"/>
        <v>0</v>
      </c>
      <c r="CM1273">
        <f t="shared" si="397"/>
        <v>0</v>
      </c>
      <c r="CN1273">
        <f t="shared" si="396"/>
        <v>0</v>
      </c>
      <c r="CO1273">
        <f t="shared" si="380"/>
        <v>0</v>
      </c>
    </row>
    <row r="1274" spans="1:93" x14ac:dyDescent="0.25">
      <c r="A1274" s="4">
        <v>2021</v>
      </c>
      <c r="B1274" s="318">
        <v>44298</v>
      </c>
      <c r="C1274" s="4" t="s">
        <v>66</v>
      </c>
      <c r="D1274" s="4" t="s">
        <v>1504</v>
      </c>
      <c r="F1274" s="4" t="s">
        <v>90</v>
      </c>
      <c r="G1274" s="5" t="s">
        <v>69</v>
      </c>
      <c r="H1274" s="5" t="s">
        <v>22</v>
      </c>
      <c r="I1274" s="5" t="s">
        <v>146</v>
      </c>
      <c r="J1274" s="5" t="s">
        <v>10</v>
      </c>
      <c r="K1274" s="5">
        <v>21.9</v>
      </c>
      <c r="L1274" s="5" t="s">
        <v>194</v>
      </c>
      <c r="M1274" s="5">
        <v>1600</v>
      </c>
      <c r="N1274" s="5" t="s">
        <v>170</v>
      </c>
      <c r="O1274" s="6" t="s">
        <v>81</v>
      </c>
      <c r="P1274" s="6" t="s">
        <v>1505</v>
      </c>
      <c r="S1274" s="6">
        <v>38</v>
      </c>
      <c r="T1274" s="6">
        <v>16.27</v>
      </c>
      <c r="U1274" s="6">
        <v>1446</v>
      </c>
      <c r="V1274" s="6">
        <v>21.44</v>
      </c>
      <c r="W1274" s="6">
        <v>65</v>
      </c>
      <c r="X1274" s="6">
        <v>525</v>
      </c>
      <c r="Y1274" s="6">
        <v>696</v>
      </c>
      <c r="Z1274" s="6">
        <v>155</v>
      </c>
      <c r="AA1274" s="6">
        <v>5</v>
      </c>
      <c r="AB1274" s="6">
        <v>0</v>
      </c>
      <c r="AC1274" s="7">
        <v>67</v>
      </c>
      <c r="AD1274" s="7" t="s">
        <v>52</v>
      </c>
      <c r="AE1274" s="7">
        <v>24.11</v>
      </c>
      <c r="AF1274" s="7">
        <v>179</v>
      </c>
      <c r="AG1274" s="7">
        <v>18.41</v>
      </c>
      <c r="AH1274" s="7">
        <v>36.19</v>
      </c>
      <c r="AI1274" s="7">
        <v>37.96</v>
      </c>
      <c r="AJ1274" s="9">
        <v>215.01416640221299</v>
      </c>
      <c r="AK1274" s="9">
        <v>241.31281674660701</v>
      </c>
      <c r="AL1274" s="9">
        <v>267.58576790360303</v>
      </c>
      <c r="AM1274" s="9">
        <v>41.7988028254887</v>
      </c>
      <c r="AN1274" s="9">
        <v>0.62386272873863702</v>
      </c>
      <c r="AO1274" s="9">
        <v>0.55830809130881898</v>
      </c>
      <c r="AP1274" s="9">
        <v>512.04961584867499</v>
      </c>
      <c r="AQ1274" s="9">
        <v>7.6425315798309699</v>
      </c>
      <c r="AR1274" s="9">
        <v>10.2316495475383</v>
      </c>
      <c r="AS1274" s="8" t="s">
        <v>169</v>
      </c>
      <c r="AT1274" s="8" t="s">
        <v>169</v>
      </c>
      <c r="AU1274" s="10" t="s">
        <v>169</v>
      </c>
      <c r="AV1274" s="10">
        <v>0</v>
      </c>
      <c r="AX1274" s="10" t="s">
        <v>169</v>
      </c>
      <c r="BF1274" s="12">
        <v>0.56999999999999995</v>
      </c>
      <c r="BG1274" s="13">
        <v>265.64577108630198</v>
      </c>
      <c r="BH1274" s="96" t="str">
        <f>+VLOOKUP(G1274,Liste!$A$7:$G$50,3,FALSE)</f>
        <v>Chene_pedoncule</v>
      </c>
      <c r="BI1274" s="96" t="str">
        <f>+VLOOKUP(H1274,Liste!$B$7:$G$50,5,FALSE)</f>
        <v>Guide chênaie continentale</v>
      </c>
      <c r="BJ1274" s="135">
        <f t="shared" si="379"/>
        <v>67</v>
      </c>
      <c r="BK1274" s="135" t="str">
        <f t="shared" si="381"/>
        <v>Chene_pedoncule_F2_Dynamique_Guide chênaie continentale_67_</v>
      </c>
      <c r="BL1274" s="322"/>
      <c r="BM1274" s="13">
        <v>68.189019202423097</v>
      </c>
      <c r="BN1274" s="13">
        <v>333.834790288725</v>
      </c>
      <c r="BO1274" s="13" t="s">
        <v>169</v>
      </c>
      <c r="BP1274" s="13">
        <v>281.59342762421699</v>
      </c>
      <c r="BQ1274" s="13">
        <v>12.2863963865346</v>
      </c>
      <c r="BT1274" s="298" t="str">
        <f>+VLOOKUP(G1274,Liste!$A$7:$H$50,8,FALSE)</f>
        <v>Feuillus</v>
      </c>
      <c r="BU1274" s="298">
        <f t="shared" si="382"/>
        <v>1</v>
      </c>
      <c r="BV1274" s="300">
        <f t="shared" si="383"/>
        <v>0</v>
      </c>
      <c r="BW1274" s="321">
        <v>0</v>
      </c>
      <c r="BX1274" s="298">
        <f t="shared" si="384"/>
        <v>0.25</v>
      </c>
      <c r="BY1274">
        <f t="shared" si="385"/>
        <v>0</v>
      </c>
      <c r="BZ1274" s="304">
        <f t="shared" si="386"/>
        <v>0</v>
      </c>
      <c r="CB1274" s="299">
        <v>0.6</v>
      </c>
      <c r="CC1274" s="299">
        <v>0.4</v>
      </c>
      <c r="CD1274">
        <f t="shared" si="387"/>
        <v>0</v>
      </c>
      <c r="CE1274">
        <f t="shared" si="388"/>
        <v>0</v>
      </c>
      <c r="CF1274">
        <f t="shared" si="389"/>
        <v>0</v>
      </c>
      <c r="CG1274">
        <f t="shared" si="390"/>
        <v>0</v>
      </c>
      <c r="CH1274">
        <f t="shared" si="391"/>
        <v>0</v>
      </c>
      <c r="CI1274">
        <f t="shared" si="392"/>
        <v>0</v>
      </c>
      <c r="CJ1274">
        <f t="shared" si="393"/>
        <v>0</v>
      </c>
      <c r="CK1274">
        <f t="shared" si="394"/>
        <v>0</v>
      </c>
      <c r="CL1274">
        <f t="shared" si="395"/>
        <v>0</v>
      </c>
      <c r="CM1274">
        <f t="shared" si="397"/>
        <v>0</v>
      </c>
      <c r="CN1274">
        <f t="shared" si="396"/>
        <v>0</v>
      </c>
      <c r="CO1274">
        <f t="shared" si="380"/>
        <v>0</v>
      </c>
    </row>
    <row r="1275" spans="1:93" x14ac:dyDescent="0.25">
      <c r="A1275" s="4">
        <v>2021</v>
      </c>
      <c r="B1275" s="318">
        <v>44298</v>
      </c>
      <c r="C1275" s="4" t="s">
        <v>66</v>
      </c>
      <c r="D1275" s="4" t="s">
        <v>1504</v>
      </c>
      <c r="F1275" s="4" t="s">
        <v>90</v>
      </c>
      <c r="G1275" s="5" t="s">
        <v>69</v>
      </c>
      <c r="H1275" s="5" t="s">
        <v>22</v>
      </c>
      <c r="I1275" s="5" t="s">
        <v>146</v>
      </c>
      <c r="J1275" s="5" t="s">
        <v>10</v>
      </c>
      <c r="K1275" s="5">
        <v>21.9</v>
      </c>
      <c r="L1275" s="5" t="s">
        <v>194</v>
      </c>
      <c r="M1275" s="5">
        <v>1600</v>
      </c>
      <c r="N1275" s="5" t="s">
        <v>170</v>
      </c>
      <c r="O1275" s="6" t="s">
        <v>81</v>
      </c>
      <c r="P1275" s="6" t="s">
        <v>1505</v>
      </c>
      <c r="S1275" s="6">
        <v>38</v>
      </c>
      <c r="T1275" s="6">
        <v>16.27</v>
      </c>
      <c r="U1275" s="6">
        <v>1446</v>
      </c>
      <c r="V1275" s="6">
        <v>21.44</v>
      </c>
      <c r="W1275" s="6">
        <v>65</v>
      </c>
      <c r="X1275" s="6">
        <v>525</v>
      </c>
      <c r="Y1275" s="6">
        <v>696</v>
      </c>
      <c r="Z1275" s="6">
        <v>155</v>
      </c>
      <c r="AA1275" s="6">
        <v>5</v>
      </c>
      <c r="AB1275" s="6">
        <v>0</v>
      </c>
      <c r="AC1275" s="7">
        <v>67</v>
      </c>
      <c r="AD1275" s="7" t="s">
        <v>53</v>
      </c>
      <c r="AE1275" s="7">
        <v>24.11</v>
      </c>
      <c r="AF1275" s="7">
        <v>143</v>
      </c>
      <c r="AG1275" s="7">
        <v>15.17</v>
      </c>
      <c r="AH1275" s="7">
        <v>36.76</v>
      </c>
      <c r="AI1275" s="7">
        <v>37.9</v>
      </c>
      <c r="AJ1275" s="9">
        <v>177.36518572139099</v>
      </c>
      <c r="AK1275" s="9">
        <v>199.46338597015</v>
      </c>
      <c r="AL1275" s="9">
        <v>221.05793630282099</v>
      </c>
      <c r="AM1275" s="9">
        <v>41.7988028254887</v>
      </c>
      <c r="AN1275" s="9">
        <v>0.62386272873863702</v>
      </c>
      <c r="AO1275" s="9">
        <v>0.55830809130881898</v>
      </c>
      <c r="AP1275" s="9">
        <v>512.04961584867499</v>
      </c>
      <c r="AQ1275" s="9">
        <v>7.6425315798309699</v>
      </c>
      <c r="AR1275" s="9">
        <v>10.2316495475383</v>
      </c>
      <c r="AS1275" s="8">
        <v>36</v>
      </c>
      <c r="AT1275" s="8">
        <v>3.24</v>
      </c>
      <c r="AU1275" s="10">
        <v>33.851375012865383</v>
      </c>
      <c r="AV1275" s="10">
        <v>37.648980680822007</v>
      </c>
      <c r="AW1275" s="10">
        <v>0.87</v>
      </c>
      <c r="AX1275" s="10">
        <v>1.0458050189117225</v>
      </c>
      <c r="BF1275" s="12">
        <v>0.56999999999999995</v>
      </c>
      <c r="BG1275" s="13">
        <v>219.455266264626</v>
      </c>
      <c r="BH1275" s="96" t="str">
        <f>+VLOOKUP(G1275,Liste!$A$7:$G$50,3,FALSE)</f>
        <v>Chene_pedoncule</v>
      </c>
      <c r="BI1275" s="96" t="str">
        <f>+VLOOKUP(H1275,Liste!$B$7:$G$50,5,FALSE)</f>
        <v>Guide chênaie continentale</v>
      </c>
      <c r="BJ1275" s="135">
        <f t="shared" si="379"/>
        <v>67</v>
      </c>
      <c r="BK1275" s="135" t="str">
        <f t="shared" si="381"/>
        <v>Chene_pedoncule_F2_Dynamique_Guide chênaie continentale_67_</v>
      </c>
      <c r="BL1275" s="322"/>
      <c r="BM1275" s="13">
        <v>57.598838706609797</v>
      </c>
      <c r="BN1275" s="13">
        <v>277.05410497123597</v>
      </c>
      <c r="BO1275" s="13">
        <v>56.780685317489031</v>
      </c>
      <c r="BP1275" s="13">
        <v>281.59342762421699</v>
      </c>
      <c r="BQ1275" s="13">
        <v>12.2863963865346</v>
      </c>
      <c r="BT1275" s="298" t="str">
        <f>+VLOOKUP(G1275,Liste!$A$7:$H$50,8,FALSE)</f>
        <v>Feuillus</v>
      </c>
      <c r="BU1275" s="298">
        <f t="shared" si="382"/>
        <v>1</v>
      </c>
      <c r="BV1275" s="300">
        <f t="shared" si="383"/>
        <v>0</v>
      </c>
      <c r="BW1275" s="321">
        <v>0</v>
      </c>
      <c r="BX1275" s="298">
        <f t="shared" si="384"/>
        <v>0.25</v>
      </c>
      <c r="BY1275">
        <f t="shared" si="385"/>
        <v>0</v>
      </c>
      <c r="BZ1275" s="304">
        <f t="shared" si="386"/>
        <v>0</v>
      </c>
      <c r="CB1275" s="299">
        <v>0.6</v>
      </c>
      <c r="CC1275" s="299">
        <v>0.4</v>
      </c>
      <c r="CD1275">
        <f t="shared" si="387"/>
        <v>0</v>
      </c>
      <c r="CE1275">
        <f t="shared" si="388"/>
        <v>0</v>
      </c>
      <c r="CF1275">
        <f t="shared" si="389"/>
        <v>0</v>
      </c>
      <c r="CG1275">
        <f t="shared" si="390"/>
        <v>0</v>
      </c>
      <c r="CH1275">
        <f t="shared" si="391"/>
        <v>0</v>
      </c>
      <c r="CI1275">
        <f t="shared" si="392"/>
        <v>0</v>
      </c>
      <c r="CJ1275">
        <f t="shared" si="393"/>
        <v>0</v>
      </c>
      <c r="CK1275">
        <f t="shared" si="394"/>
        <v>0</v>
      </c>
      <c r="CL1275">
        <f t="shared" si="395"/>
        <v>0</v>
      </c>
      <c r="CM1275">
        <f t="shared" si="397"/>
        <v>0</v>
      </c>
      <c r="CN1275">
        <f t="shared" si="396"/>
        <v>0</v>
      </c>
      <c r="CO1275">
        <f t="shared" si="380"/>
        <v>0</v>
      </c>
    </row>
    <row r="1276" spans="1:93" x14ac:dyDescent="0.25">
      <c r="A1276" s="4">
        <v>2021</v>
      </c>
      <c r="B1276" s="318">
        <v>44298</v>
      </c>
      <c r="C1276" s="4" t="s">
        <v>66</v>
      </c>
      <c r="D1276" s="4" t="s">
        <v>1504</v>
      </c>
      <c r="F1276" s="4" t="s">
        <v>90</v>
      </c>
      <c r="G1276" s="5" t="s">
        <v>69</v>
      </c>
      <c r="H1276" s="5" t="s">
        <v>22</v>
      </c>
      <c r="I1276" s="5" t="s">
        <v>146</v>
      </c>
      <c r="J1276" s="5" t="s">
        <v>10</v>
      </c>
      <c r="K1276" s="5">
        <v>21.9</v>
      </c>
      <c r="L1276" s="5" t="s">
        <v>194</v>
      </c>
      <c r="M1276" s="5">
        <v>1600</v>
      </c>
      <c r="N1276" s="5" t="s">
        <v>170</v>
      </c>
      <c r="O1276" s="6" t="s">
        <v>81</v>
      </c>
      <c r="P1276" s="6" t="s">
        <v>1505</v>
      </c>
      <c r="S1276" s="6">
        <v>38</v>
      </c>
      <c r="T1276" s="6">
        <v>16.27</v>
      </c>
      <c r="U1276" s="6">
        <v>1446</v>
      </c>
      <c r="V1276" s="6">
        <v>21.44</v>
      </c>
      <c r="W1276" s="6">
        <v>65</v>
      </c>
      <c r="X1276" s="6">
        <v>525</v>
      </c>
      <c r="Y1276" s="6">
        <v>696</v>
      </c>
      <c r="Z1276" s="6">
        <v>155</v>
      </c>
      <c r="AA1276" s="6">
        <v>5</v>
      </c>
      <c r="AB1276" s="6">
        <v>0</v>
      </c>
      <c r="AC1276" s="7">
        <v>70</v>
      </c>
      <c r="AD1276" s="7" t="s">
        <v>52</v>
      </c>
      <c r="AE1276" s="7">
        <v>24.74</v>
      </c>
      <c r="AF1276" s="7">
        <v>143</v>
      </c>
      <c r="AG1276" s="7">
        <v>16.850000000000001</v>
      </c>
      <c r="AH1276" s="7">
        <v>38.729999999999997</v>
      </c>
      <c r="AI1276" s="7">
        <v>39.89</v>
      </c>
      <c r="AJ1276" s="9">
        <v>202.25721847829499</v>
      </c>
      <c r="AK1276" s="9">
        <v>228.04824146142599</v>
      </c>
      <c r="AL1276" s="9">
        <v>251.75288494543599</v>
      </c>
      <c r="AM1276" s="9">
        <v>43.4737270994151</v>
      </c>
      <c r="AN1276" s="9">
        <v>0.62105324427735897</v>
      </c>
      <c r="AO1276" s="9">
        <v>0.55312340576087105</v>
      </c>
      <c r="AP1276" s="9">
        <v>542.74456449129002</v>
      </c>
      <c r="AQ1276" s="9">
        <v>7.7534937784469999</v>
      </c>
      <c r="AR1276" s="9">
        <v>10.5211088485144</v>
      </c>
      <c r="AS1276" s="8" t="s">
        <v>169</v>
      </c>
      <c r="AT1276" s="8" t="s">
        <v>169</v>
      </c>
      <c r="AU1276" s="10" t="s">
        <v>169</v>
      </c>
      <c r="AV1276" s="10">
        <v>0</v>
      </c>
      <c r="AX1276" s="10" t="s">
        <v>169</v>
      </c>
      <c r="BF1276" s="12">
        <v>0.56999999999999995</v>
      </c>
      <c r="BG1276" s="13">
        <v>249.92767652958199</v>
      </c>
      <c r="BH1276" s="96" t="str">
        <f>+VLOOKUP(G1276,Liste!$A$7:$G$50,3,FALSE)</f>
        <v>Chene_pedoncule</v>
      </c>
      <c r="BI1276" s="96" t="str">
        <f>+VLOOKUP(H1276,Liste!$B$7:$G$50,5,FALSE)</f>
        <v>Guide chênaie continentale</v>
      </c>
      <c r="BJ1276" s="135">
        <f t="shared" si="379"/>
        <v>70</v>
      </c>
      <c r="BK1276" s="135" t="str">
        <f t="shared" si="381"/>
        <v>Chene_pedoncule_F2_Dynamique_Guide chênaie continentale_70_</v>
      </c>
      <c r="BL1276" s="322"/>
      <c r="BM1276" s="13">
        <v>64.611400790108604</v>
      </c>
      <c r="BN1276" s="13">
        <v>314.53907731969002</v>
      </c>
      <c r="BO1276" s="13" t="s">
        <v>169</v>
      </c>
      <c r="BP1276" s="13">
        <v>281.59342762421699</v>
      </c>
      <c r="BQ1276" s="13">
        <v>12.619418814628499</v>
      </c>
      <c r="BT1276" s="298" t="str">
        <f>+VLOOKUP(G1276,Liste!$A$7:$H$50,8,FALSE)</f>
        <v>Feuillus</v>
      </c>
      <c r="BU1276" s="298">
        <f t="shared" si="382"/>
        <v>1</v>
      </c>
      <c r="BV1276" s="300">
        <f t="shared" si="383"/>
        <v>0</v>
      </c>
      <c r="BW1276" s="321">
        <v>0</v>
      </c>
      <c r="BX1276" s="298">
        <f t="shared" si="384"/>
        <v>0.25</v>
      </c>
      <c r="BY1276">
        <f t="shared" si="385"/>
        <v>0</v>
      </c>
      <c r="BZ1276" s="304">
        <f t="shared" si="386"/>
        <v>0</v>
      </c>
      <c r="CB1276" s="299">
        <v>0.6</v>
      </c>
      <c r="CC1276" s="299">
        <v>0.4</v>
      </c>
      <c r="CD1276">
        <f t="shared" si="387"/>
        <v>0</v>
      </c>
      <c r="CE1276">
        <f t="shared" si="388"/>
        <v>0</v>
      </c>
      <c r="CF1276">
        <f t="shared" si="389"/>
        <v>0</v>
      </c>
      <c r="CG1276">
        <f t="shared" si="390"/>
        <v>0</v>
      </c>
      <c r="CH1276">
        <f t="shared" si="391"/>
        <v>0</v>
      </c>
      <c r="CI1276">
        <f t="shared" si="392"/>
        <v>0</v>
      </c>
      <c r="CJ1276">
        <f t="shared" si="393"/>
        <v>0</v>
      </c>
      <c r="CK1276">
        <f t="shared" si="394"/>
        <v>0</v>
      </c>
      <c r="CL1276">
        <f t="shared" si="395"/>
        <v>0</v>
      </c>
      <c r="CM1276">
        <f t="shared" si="397"/>
        <v>0</v>
      </c>
      <c r="CN1276">
        <f t="shared" si="396"/>
        <v>0</v>
      </c>
      <c r="CO1276">
        <f t="shared" si="380"/>
        <v>0</v>
      </c>
    </row>
    <row r="1277" spans="1:93" x14ac:dyDescent="0.25">
      <c r="A1277" s="4">
        <v>2021</v>
      </c>
      <c r="B1277" s="318">
        <v>44298</v>
      </c>
      <c r="C1277" s="4" t="s">
        <v>66</v>
      </c>
      <c r="D1277" s="4" t="s">
        <v>1504</v>
      </c>
      <c r="F1277" s="4" t="s">
        <v>90</v>
      </c>
      <c r="G1277" s="5" t="s">
        <v>69</v>
      </c>
      <c r="H1277" s="5" t="s">
        <v>22</v>
      </c>
      <c r="I1277" s="5" t="s">
        <v>146</v>
      </c>
      <c r="J1277" s="5" t="s">
        <v>10</v>
      </c>
      <c r="K1277" s="5">
        <v>21.9</v>
      </c>
      <c r="L1277" s="5" t="s">
        <v>194</v>
      </c>
      <c r="M1277" s="5">
        <v>1600</v>
      </c>
      <c r="N1277" s="5" t="s">
        <v>170</v>
      </c>
      <c r="O1277" s="6" t="s">
        <v>81</v>
      </c>
      <c r="P1277" s="6" t="s">
        <v>1505</v>
      </c>
      <c r="S1277" s="6">
        <v>38</v>
      </c>
      <c r="T1277" s="6">
        <v>16.27</v>
      </c>
      <c r="U1277" s="6">
        <v>1446</v>
      </c>
      <c r="V1277" s="6">
        <v>21.44</v>
      </c>
      <c r="W1277" s="6">
        <v>65</v>
      </c>
      <c r="X1277" s="6">
        <v>525</v>
      </c>
      <c r="Y1277" s="6">
        <v>696</v>
      </c>
      <c r="Z1277" s="6">
        <v>155</v>
      </c>
      <c r="AA1277" s="6">
        <v>5</v>
      </c>
      <c r="AB1277" s="6">
        <v>0</v>
      </c>
      <c r="AC1277" s="7">
        <v>73</v>
      </c>
      <c r="AD1277" s="7" t="s">
        <v>52</v>
      </c>
      <c r="AE1277" s="7">
        <v>25.34</v>
      </c>
      <c r="AF1277" s="7">
        <v>143</v>
      </c>
      <c r="AG1277" s="7">
        <v>18.510000000000002</v>
      </c>
      <c r="AH1277" s="7">
        <v>40.590000000000003</v>
      </c>
      <c r="AI1277" s="7">
        <v>41.76</v>
      </c>
      <c r="AJ1277" s="9">
        <v>227.99274339481599</v>
      </c>
      <c r="AK1277" s="9">
        <v>257.53827435172201</v>
      </c>
      <c r="AL1277" s="9">
        <v>283.31621149097998</v>
      </c>
      <c r="AM1277" s="9">
        <v>45.1330973166977</v>
      </c>
      <c r="AN1277" s="9">
        <v>0.618261607078051</v>
      </c>
      <c r="AO1277" s="9">
        <v>0.54509941422245201</v>
      </c>
      <c r="AP1277" s="9">
        <v>574.30789103683298</v>
      </c>
      <c r="AQ1277" s="9">
        <v>7.8672313840662103</v>
      </c>
      <c r="AR1277" s="9">
        <v>10.522903576492601</v>
      </c>
      <c r="AS1277" s="8" t="s">
        <v>169</v>
      </c>
      <c r="AT1277" s="8" t="s">
        <v>169</v>
      </c>
      <c r="AU1277" s="10" t="s">
        <v>169</v>
      </c>
      <c r="AV1277" s="10">
        <v>0</v>
      </c>
      <c r="AX1277" s="10" t="s">
        <v>169</v>
      </c>
      <c r="BF1277" s="12">
        <v>0.56999999999999995</v>
      </c>
      <c r="BG1277" s="13">
        <v>281.26216895766999</v>
      </c>
      <c r="BH1277" s="96" t="str">
        <f>+VLOOKUP(G1277,Liste!$A$7:$G$50,3,FALSE)</f>
        <v>Chene_pedoncule</v>
      </c>
      <c r="BI1277" s="96" t="str">
        <f>+VLOOKUP(H1277,Liste!$B$7:$G$50,5,FALSE)</f>
        <v>Guide chênaie continentale</v>
      </c>
      <c r="BJ1277" s="135">
        <f t="shared" si="379"/>
        <v>73</v>
      </c>
      <c r="BK1277" s="135" t="str">
        <f t="shared" si="381"/>
        <v>Chene_pedoncule_F2_Dynamique_Guide chênaie continentale_73_</v>
      </c>
      <c r="BL1277" s="322"/>
      <c r="BM1277" s="13">
        <v>71.719154204791096</v>
      </c>
      <c r="BN1277" s="13">
        <v>352.98132316246102</v>
      </c>
      <c r="BO1277" s="13" t="s">
        <v>169</v>
      </c>
      <c r="BP1277" s="13">
        <v>281.59342762421699</v>
      </c>
      <c r="BQ1277" s="13">
        <v>12.609929469911799</v>
      </c>
      <c r="BT1277" s="298" t="str">
        <f>+VLOOKUP(G1277,Liste!$A$7:$H$50,8,FALSE)</f>
        <v>Feuillus</v>
      </c>
      <c r="BU1277" s="298">
        <f t="shared" si="382"/>
        <v>1</v>
      </c>
      <c r="BV1277" s="300">
        <f t="shared" si="383"/>
        <v>0</v>
      </c>
      <c r="BW1277" s="321">
        <v>0</v>
      </c>
      <c r="BX1277" s="298">
        <f t="shared" si="384"/>
        <v>0.25</v>
      </c>
      <c r="BY1277">
        <f t="shared" si="385"/>
        <v>0</v>
      </c>
      <c r="BZ1277" s="304">
        <f t="shared" si="386"/>
        <v>0</v>
      </c>
      <c r="CB1277" s="299">
        <v>0.6</v>
      </c>
      <c r="CC1277" s="299">
        <v>0.4</v>
      </c>
      <c r="CD1277">
        <f t="shared" si="387"/>
        <v>0</v>
      </c>
      <c r="CE1277">
        <f t="shared" si="388"/>
        <v>0</v>
      </c>
      <c r="CF1277">
        <f t="shared" si="389"/>
        <v>0</v>
      </c>
      <c r="CG1277">
        <f t="shared" si="390"/>
        <v>0</v>
      </c>
      <c r="CH1277">
        <f t="shared" si="391"/>
        <v>0</v>
      </c>
      <c r="CI1277">
        <f t="shared" si="392"/>
        <v>0</v>
      </c>
      <c r="CJ1277">
        <f t="shared" si="393"/>
        <v>0</v>
      </c>
      <c r="CK1277">
        <f t="shared" si="394"/>
        <v>0</v>
      </c>
      <c r="CL1277">
        <f t="shared" si="395"/>
        <v>0</v>
      </c>
      <c r="CM1277">
        <f t="shared" si="397"/>
        <v>0</v>
      </c>
      <c r="CN1277">
        <f t="shared" si="396"/>
        <v>0</v>
      </c>
      <c r="CO1277">
        <f t="shared" si="380"/>
        <v>0</v>
      </c>
    </row>
    <row r="1278" spans="1:93" x14ac:dyDescent="0.25">
      <c r="A1278" s="4">
        <v>2021</v>
      </c>
      <c r="B1278" s="318">
        <v>44298</v>
      </c>
      <c r="C1278" s="4" t="s">
        <v>66</v>
      </c>
      <c r="D1278" s="4" t="s">
        <v>1504</v>
      </c>
      <c r="F1278" s="4" t="s">
        <v>90</v>
      </c>
      <c r="G1278" s="5" t="s">
        <v>69</v>
      </c>
      <c r="H1278" s="5" t="s">
        <v>22</v>
      </c>
      <c r="I1278" s="5" t="s">
        <v>146</v>
      </c>
      <c r="J1278" s="5" t="s">
        <v>10</v>
      </c>
      <c r="K1278" s="5">
        <v>21.9</v>
      </c>
      <c r="L1278" s="5" t="s">
        <v>194</v>
      </c>
      <c r="M1278" s="5">
        <v>1600</v>
      </c>
      <c r="N1278" s="5" t="s">
        <v>170</v>
      </c>
      <c r="O1278" s="6" t="s">
        <v>81</v>
      </c>
      <c r="P1278" s="6" t="s">
        <v>1505</v>
      </c>
      <c r="S1278" s="6">
        <v>38</v>
      </c>
      <c r="T1278" s="6">
        <v>16.27</v>
      </c>
      <c r="U1278" s="6">
        <v>1446</v>
      </c>
      <c r="V1278" s="6">
        <v>21.44</v>
      </c>
      <c r="W1278" s="6">
        <v>65</v>
      </c>
      <c r="X1278" s="6">
        <v>525</v>
      </c>
      <c r="Y1278" s="6">
        <v>696</v>
      </c>
      <c r="Z1278" s="6">
        <v>155</v>
      </c>
      <c r="AA1278" s="6">
        <v>5</v>
      </c>
      <c r="AB1278" s="6">
        <v>0</v>
      </c>
      <c r="AC1278" s="7">
        <v>75</v>
      </c>
      <c r="AD1278" s="7" t="s">
        <v>52</v>
      </c>
      <c r="AE1278" s="7">
        <v>25.74</v>
      </c>
      <c r="AF1278" s="7">
        <v>143</v>
      </c>
      <c r="AG1278" s="7">
        <v>19.600000000000001</v>
      </c>
      <c r="AH1278" s="7">
        <v>41.77</v>
      </c>
      <c r="AI1278" s="7">
        <v>42.95</v>
      </c>
      <c r="AJ1278" s="9">
        <v>245.13749015358701</v>
      </c>
      <c r="AK1278" s="9">
        <v>277.22735784878398</v>
      </c>
      <c r="AL1278" s="9">
        <v>304.36201864396497</v>
      </c>
      <c r="AM1278" s="9">
        <v>46.223296145142598</v>
      </c>
      <c r="AN1278" s="9">
        <v>0.61631061526856801</v>
      </c>
      <c r="AO1278" s="9">
        <v>0.51523915986271596</v>
      </c>
      <c r="AP1278" s="9">
        <v>595.35369818981803</v>
      </c>
      <c r="AQ1278" s="9">
        <v>7.9380493091975799</v>
      </c>
      <c r="AR1278" s="9">
        <v>10.074845376350201</v>
      </c>
      <c r="AS1278" s="8" t="s">
        <v>169</v>
      </c>
      <c r="AT1278" s="8" t="s">
        <v>169</v>
      </c>
      <c r="AU1278" s="10" t="s">
        <v>169</v>
      </c>
      <c r="AV1278" s="10">
        <v>0</v>
      </c>
      <c r="AX1278" s="10" t="s">
        <v>169</v>
      </c>
      <c r="BF1278" s="12">
        <v>0.56999999999999995</v>
      </c>
      <c r="BG1278" s="13">
        <v>302.15539400879601</v>
      </c>
      <c r="BH1278" s="96" t="str">
        <f>+VLOOKUP(G1278,Liste!$A$7:$G$50,3,FALSE)</f>
        <v>Chene_pedoncule</v>
      </c>
      <c r="BI1278" s="96" t="str">
        <f>+VLOOKUP(H1278,Liste!$B$7:$G$50,5,FALSE)</f>
        <v>Guide chênaie continentale</v>
      </c>
      <c r="BJ1278" s="135">
        <f t="shared" si="379"/>
        <v>75</v>
      </c>
      <c r="BK1278" s="135" t="str">
        <f t="shared" si="381"/>
        <v>Chene_pedoncule_F2_Dynamique_Guide chênaie continentale_75_</v>
      </c>
      <c r="BL1278" s="322"/>
      <c r="BM1278" s="13">
        <v>76.406786426764199</v>
      </c>
      <c r="BN1278" s="13">
        <v>378.56218043555998</v>
      </c>
      <c r="BO1278" s="13" t="s">
        <v>169</v>
      </c>
      <c r="BP1278" s="13">
        <v>281.59342762421699</v>
      </c>
      <c r="BQ1278" s="13">
        <v>12.062703111286099</v>
      </c>
      <c r="BT1278" s="298" t="str">
        <f>+VLOOKUP(G1278,Liste!$A$7:$H$50,8,FALSE)</f>
        <v>Feuillus</v>
      </c>
      <c r="BU1278" s="298">
        <f t="shared" si="382"/>
        <v>1</v>
      </c>
      <c r="BV1278" s="300">
        <f t="shared" si="383"/>
        <v>0</v>
      </c>
      <c r="BW1278" s="321">
        <v>0</v>
      </c>
      <c r="BX1278" s="298">
        <f t="shared" si="384"/>
        <v>0.25</v>
      </c>
      <c r="BY1278">
        <f t="shared" si="385"/>
        <v>0</v>
      </c>
      <c r="BZ1278" s="304">
        <f t="shared" si="386"/>
        <v>0</v>
      </c>
      <c r="CB1278" s="299">
        <v>0.6</v>
      </c>
      <c r="CC1278" s="299">
        <v>0.4</v>
      </c>
      <c r="CD1278">
        <f t="shared" si="387"/>
        <v>0</v>
      </c>
      <c r="CE1278">
        <f t="shared" si="388"/>
        <v>0</v>
      </c>
      <c r="CF1278">
        <f t="shared" si="389"/>
        <v>0</v>
      </c>
      <c r="CG1278">
        <f t="shared" si="390"/>
        <v>0</v>
      </c>
      <c r="CH1278">
        <f t="shared" si="391"/>
        <v>0</v>
      </c>
      <c r="CI1278">
        <f t="shared" si="392"/>
        <v>0</v>
      </c>
      <c r="CJ1278">
        <f t="shared" si="393"/>
        <v>0</v>
      </c>
      <c r="CK1278">
        <f t="shared" si="394"/>
        <v>0</v>
      </c>
      <c r="CL1278">
        <f t="shared" si="395"/>
        <v>0</v>
      </c>
      <c r="CM1278">
        <f t="shared" si="397"/>
        <v>0</v>
      </c>
      <c r="CN1278">
        <f t="shared" si="396"/>
        <v>0</v>
      </c>
      <c r="CO1278">
        <f t="shared" si="380"/>
        <v>0</v>
      </c>
    </row>
    <row r="1279" spans="1:93" x14ac:dyDescent="0.25">
      <c r="A1279" s="4">
        <v>2021</v>
      </c>
      <c r="B1279" s="318">
        <v>44298</v>
      </c>
      <c r="C1279" s="4" t="s">
        <v>66</v>
      </c>
      <c r="D1279" s="4" t="s">
        <v>1504</v>
      </c>
      <c r="F1279" s="4" t="s">
        <v>90</v>
      </c>
      <c r="G1279" s="5" t="s">
        <v>69</v>
      </c>
      <c r="H1279" s="5" t="s">
        <v>22</v>
      </c>
      <c r="I1279" s="5" t="s">
        <v>146</v>
      </c>
      <c r="J1279" s="5" t="s">
        <v>10</v>
      </c>
      <c r="K1279" s="5">
        <v>21.9</v>
      </c>
      <c r="L1279" s="5" t="s">
        <v>194</v>
      </c>
      <c r="M1279" s="5">
        <v>1600</v>
      </c>
      <c r="N1279" s="5" t="s">
        <v>170</v>
      </c>
      <c r="O1279" s="6" t="s">
        <v>81</v>
      </c>
      <c r="P1279" s="6" t="s">
        <v>1505</v>
      </c>
      <c r="S1279" s="6">
        <v>38</v>
      </c>
      <c r="T1279" s="6">
        <v>16.27</v>
      </c>
      <c r="U1279" s="6">
        <v>1446</v>
      </c>
      <c r="V1279" s="6">
        <v>21.44</v>
      </c>
      <c r="W1279" s="6">
        <v>65</v>
      </c>
      <c r="X1279" s="6">
        <v>525</v>
      </c>
      <c r="Y1279" s="6">
        <v>696</v>
      </c>
      <c r="Z1279" s="6">
        <v>155</v>
      </c>
      <c r="AA1279" s="6">
        <v>5</v>
      </c>
      <c r="AB1279" s="6">
        <v>0</v>
      </c>
      <c r="AC1279" s="7">
        <v>75</v>
      </c>
      <c r="AD1279" s="7" t="s">
        <v>53</v>
      </c>
      <c r="AE1279" s="7">
        <v>25.74</v>
      </c>
      <c r="AF1279" s="7">
        <v>119</v>
      </c>
      <c r="AG1279" s="7">
        <v>16.559999999999999</v>
      </c>
      <c r="AH1279" s="7">
        <v>42.1</v>
      </c>
      <c r="AI1279" s="7">
        <v>42.78</v>
      </c>
      <c r="AJ1279" s="9">
        <v>207.21338354308901</v>
      </c>
      <c r="AK1279" s="9">
        <v>234.58925195844199</v>
      </c>
      <c r="AL1279" s="9">
        <v>257.494361844808</v>
      </c>
      <c r="AM1279" s="9">
        <v>46.223296145142598</v>
      </c>
      <c r="AN1279" s="9">
        <v>0.61631061526856801</v>
      </c>
      <c r="AO1279" s="9">
        <v>0.51523915986271596</v>
      </c>
      <c r="AP1279" s="9">
        <v>595.35369818981803</v>
      </c>
      <c r="AQ1279" s="9">
        <v>7.9380493091975799</v>
      </c>
      <c r="AR1279" s="9">
        <v>10.074845376350201</v>
      </c>
      <c r="AS1279" s="8">
        <v>24</v>
      </c>
      <c r="AT1279" s="8">
        <v>3.0400000000000027</v>
      </c>
      <c r="AU1279" s="10">
        <v>40.159308883469023</v>
      </c>
      <c r="AV1279" s="10">
        <v>37.924106610498001</v>
      </c>
      <c r="AW1279" s="10">
        <v>0.92</v>
      </c>
      <c r="AX1279" s="10">
        <v>1.58017110877075</v>
      </c>
      <c r="BF1279" s="12">
        <v>0.56999999999999995</v>
      </c>
      <c r="BG1279" s="13">
        <v>255.62752772143301</v>
      </c>
      <c r="BH1279" s="96" t="str">
        <f>+VLOOKUP(G1279,Liste!$A$7:$G$50,3,FALSE)</f>
        <v>Chene_pedoncule</v>
      </c>
      <c r="BI1279" s="96" t="str">
        <f>+VLOOKUP(H1279,Liste!$B$7:$G$50,5,FALSE)</f>
        <v>Guide chênaie continentale</v>
      </c>
      <c r="BJ1279" s="135">
        <f t="shared" si="379"/>
        <v>75</v>
      </c>
      <c r="BK1279" s="135" t="str">
        <f t="shared" si="381"/>
        <v>Chene_pedoncule_F2_Dynamique_Guide chênaie continentale_75_</v>
      </c>
      <c r="BL1279" s="322"/>
      <c r="BM1279" s="13">
        <v>65.9116962437773</v>
      </c>
      <c r="BN1279" s="13">
        <v>321.53922396521</v>
      </c>
      <c r="BO1279" s="13">
        <v>57.022956470349982</v>
      </c>
      <c r="BP1279" s="13">
        <v>281.59342762421699</v>
      </c>
      <c r="BQ1279" s="13">
        <v>12.062703111286099</v>
      </c>
      <c r="BT1279" s="298" t="str">
        <f>+VLOOKUP(G1279,Liste!$A$7:$H$50,8,FALSE)</f>
        <v>Feuillus</v>
      </c>
      <c r="BU1279" s="298">
        <f t="shared" si="382"/>
        <v>1</v>
      </c>
      <c r="BV1279" s="300">
        <f t="shared" si="383"/>
        <v>0</v>
      </c>
      <c r="BW1279" s="321">
        <v>0</v>
      </c>
      <c r="BX1279" s="298">
        <f t="shared" si="384"/>
        <v>0.25</v>
      </c>
      <c r="BY1279">
        <f t="shared" si="385"/>
        <v>0</v>
      </c>
      <c r="BZ1279" s="304">
        <f t="shared" si="386"/>
        <v>0</v>
      </c>
      <c r="CB1279" s="299">
        <v>0.6</v>
      </c>
      <c r="CC1279" s="299">
        <v>0.4</v>
      </c>
      <c r="CD1279">
        <f t="shared" si="387"/>
        <v>0</v>
      </c>
      <c r="CE1279">
        <f t="shared" si="388"/>
        <v>0</v>
      </c>
      <c r="CF1279">
        <f t="shared" si="389"/>
        <v>0</v>
      </c>
      <c r="CG1279">
        <f t="shared" si="390"/>
        <v>0</v>
      </c>
      <c r="CH1279">
        <f t="shared" si="391"/>
        <v>0</v>
      </c>
      <c r="CI1279">
        <f t="shared" si="392"/>
        <v>0</v>
      </c>
      <c r="CJ1279">
        <f t="shared" si="393"/>
        <v>0</v>
      </c>
      <c r="CK1279">
        <f t="shared" si="394"/>
        <v>0</v>
      </c>
      <c r="CL1279">
        <f t="shared" si="395"/>
        <v>0</v>
      </c>
      <c r="CM1279">
        <f t="shared" si="397"/>
        <v>0</v>
      </c>
      <c r="CN1279">
        <f t="shared" si="396"/>
        <v>0</v>
      </c>
      <c r="CO1279">
        <f t="shared" si="380"/>
        <v>0</v>
      </c>
    </row>
    <row r="1280" spans="1:93" x14ac:dyDescent="0.25">
      <c r="A1280" s="4">
        <v>2021</v>
      </c>
      <c r="B1280" s="318">
        <v>44298</v>
      </c>
      <c r="C1280" s="4" t="s">
        <v>66</v>
      </c>
      <c r="D1280" s="4" t="s">
        <v>1504</v>
      </c>
      <c r="F1280" s="4" t="s">
        <v>90</v>
      </c>
      <c r="G1280" s="5" t="s">
        <v>69</v>
      </c>
      <c r="H1280" s="5" t="s">
        <v>22</v>
      </c>
      <c r="I1280" s="5" t="s">
        <v>146</v>
      </c>
      <c r="J1280" s="5" t="s">
        <v>10</v>
      </c>
      <c r="K1280" s="5">
        <v>21.9</v>
      </c>
      <c r="L1280" s="5" t="s">
        <v>194</v>
      </c>
      <c r="M1280" s="5">
        <v>1600</v>
      </c>
      <c r="N1280" s="5" t="s">
        <v>170</v>
      </c>
      <c r="O1280" s="6" t="s">
        <v>81</v>
      </c>
      <c r="P1280" s="6" t="s">
        <v>1505</v>
      </c>
      <c r="S1280" s="6">
        <v>38</v>
      </c>
      <c r="T1280" s="6">
        <v>16.27</v>
      </c>
      <c r="U1280" s="6">
        <v>1446</v>
      </c>
      <c r="V1280" s="6">
        <v>21.44</v>
      </c>
      <c r="W1280" s="6">
        <v>65</v>
      </c>
      <c r="X1280" s="6">
        <v>525</v>
      </c>
      <c r="Y1280" s="6">
        <v>696</v>
      </c>
      <c r="Z1280" s="6">
        <v>155</v>
      </c>
      <c r="AA1280" s="6">
        <v>5</v>
      </c>
      <c r="AB1280" s="6">
        <v>0</v>
      </c>
      <c r="AC1280" s="7">
        <v>78</v>
      </c>
      <c r="AD1280" s="7" t="s">
        <v>52</v>
      </c>
      <c r="AE1280" s="7">
        <v>26.31</v>
      </c>
      <c r="AF1280" s="7">
        <v>119</v>
      </c>
      <c r="AG1280" s="7">
        <v>18.11</v>
      </c>
      <c r="AH1280" s="7">
        <v>44.02</v>
      </c>
      <c r="AI1280" s="7">
        <v>44.71</v>
      </c>
      <c r="AJ1280" s="9">
        <v>231.770397078483</v>
      </c>
      <c r="AK1280" s="9">
        <v>262.89784243906098</v>
      </c>
      <c r="AL1280" s="9">
        <v>287.71889797385802</v>
      </c>
      <c r="AM1280" s="9">
        <v>47.769013624730803</v>
      </c>
      <c r="AN1280" s="9">
        <v>0.61242325159911204</v>
      </c>
      <c r="AO1280" s="9">
        <v>0.50884098179244097</v>
      </c>
      <c r="AP1280" s="9">
        <v>625.57823431886902</v>
      </c>
      <c r="AQ1280" s="9">
        <v>8.0202337733188394</v>
      </c>
      <c r="AR1280" s="9">
        <v>10.209813419563901</v>
      </c>
      <c r="AS1280" s="8" t="s">
        <v>169</v>
      </c>
      <c r="AT1280" s="8" t="s">
        <v>169</v>
      </c>
      <c r="AU1280" s="10" t="s">
        <v>169</v>
      </c>
      <c r="AV1280" s="10">
        <v>0</v>
      </c>
      <c r="AX1280" s="10" t="s">
        <v>169</v>
      </c>
      <c r="BF1280" s="12">
        <v>0.56999999999999995</v>
      </c>
      <c r="BG1280" s="13">
        <v>285.63293596354799</v>
      </c>
      <c r="BH1280" s="96" t="str">
        <f>+VLOOKUP(G1280,Liste!$A$7:$G$50,3,FALSE)</f>
        <v>Chene_pedoncule</v>
      </c>
      <c r="BI1280" s="96" t="str">
        <f>+VLOOKUP(H1280,Liste!$B$7:$G$50,5,FALSE)</f>
        <v>Guide chênaie continentale</v>
      </c>
      <c r="BJ1280" s="135">
        <f t="shared" si="379"/>
        <v>78</v>
      </c>
      <c r="BK1280" s="135" t="str">
        <f t="shared" si="381"/>
        <v>Chene_pedoncule_F2_Dynamique_Guide chênaie continentale_78_</v>
      </c>
      <c r="BL1280" s="322"/>
      <c r="BM1280" s="13">
        <v>72.703044086433096</v>
      </c>
      <c r="BN1280" s="13">
        <v>358.335980049981</v>
      </c>
      <c r="BO1280" s="13" t="s">
        <v>169</v>
      </c>
      <c r="BP1280" s="13">
        <v>281.59342762421699</v>
      </c>
      <c r="BQ1280" s="13">
        <v>12.212508613424101</v>
      </c>
      <c r="BT1280" s="298" t="str">
        <f>+VLOOKUP(G1280,Liste!$A$7:$H$50,8,FALSE)</f>
        <v>Feuillus</v>
      </c>
      <c r="BU1280" s="298">
        <f t="shared" si="382"/>
        <v>1</v>
      </c>
      <c r="BV1280" s="300">
        <f t="shared" si="383"/>
        <v>0</v>
      </c>
      <c r="BW1280" s="321">
        <v>0</v>
      </c>
      <c r="BX1280" s="298">
        <f t="shared" si="384"/>
        <v>0.25</v>
      </c>
      <c r="BY1280">
        <f t="shared" si="385"/>
        <v>0</v>
      </c>
      <c r="BZ1280" s="304">
        <f t="shared" si="386"/>
        <v>0</v>
      </c>
      <c r="CB1280" s="299">
        <v>0.6</v>
      </c>
      <c r="CC1280" s="299">
        <v>0.4</v>
      </c>
      <c r="CD1280">
        <f t="shared" si="387"/>
        <v>0</v>
      </c>
      <c r="CE1280">
        <f t="shared" si="388"/>
        <v>0</v>
      </c>
      <c r="CF1280">
        <f t="shared" si="389"/>
        <v>0</v>
      </c>
      <c r="CG1280">
        <f t="shared" si="390"/>
        <v>0</v>
      </c>
      <c r="CH1280">
        <f t="shared" si="391"/>
        <v>0</v>
      </c>
      <c r="CI1280">
        <f t="shared" si="392"/>
        <v>0</v>
      </c>
      <c r="CJ1280">
        <f t="shared" si="393"/>
        <v>0</v>
      </c>
      <c r="CK1280">
        <f t="shared" si="394"/>
        <v>0</v>
      </c>
      <c r="CL1280">
        <f t="shared" si="395"/>
        <v>0</v>
      </c>
      <c r="CM1280">
        <f t="shared" si="397"/>
        <v>0</v>
      </c>
      <c r="CN1280">
        <f t="shared" si="396"/>
        <v>0</v>
      </c>
      <c r="CO1280">
        <f t="shared" si="380"/>
        <v>0</v>
      </c>
    </row>
    <row r="1281" spans="1:93" x14ac:dyDescent="0.25">
      <c r="A1281" s="4">
        <v>2021</v>
      </c>
      <c r="B1281" s="318">
        <v>44298</v>
      </c>
      <c r="C1281" s="4" t="s">
        <v>66</v>
      </c>
      <c r="D1281" s="4" t="s">
        <v>1504</v>
      </c>
      <c r="F1281" s="4" t="s">
        <v>90</v>
      </c>
      <c r="G1281" s="5" t="s">
        <v>69</v>
      </c>
      <c r="H1281" s="5" t="s">
        <v>22</v>
      </c>
      <c r="I1281" s="5" t="s">
        <v>146</v>
      </c>
      <c r="J1281" s="5" t="s">
        <v>10</v>
      </c>
      <c r="K1281" s="5">
        <v>21.9</v>
      </c>
      <c r="L1281" s="5" t="s">
        <v>194</v>
      </c>
      <c r="M1281" s="5">
        <v>1600</v>
      </c>
      <c r="N1281" s="5" t="s">
        <v>170</v>
      </c>
      <c r="O1281" s="6" t="s">
        <v>81</v>
      </c>
      <c r="P1281" s="6" t="s">
        <v>1505</v>
      </c>
      <c r="S1281" s="6">
        <v>38</v>
      </c>
      <c r="T1281" s="6">
        <v>16.27</v>
      </c>
      <c r="U1281" s="6">
        <v>1446</v>
      </c>
      <c r="V1281" s="6">
        <v>21.44</v>
      </c>
      <c r="W1281" s="6">
        <v>65</v>
      </c>
      <c r="X1281" s="6">
        <v>525</v>
      </c>
      <c r="Y1281" s="6">
        <v>696</v>
      </c>
      <c r="Z1281" s="6">
        <v>155</v>
      </c>
      <c r="AA1281" s="6">
        <v>5</v>
      </c>
      <c r="AB1281" s="6">
        <v>0</v>
      </c>
      <c r="AC1281" s="7">
        <v>81</v>
      </c>
      <c r="AD1281" s="7" t="s">
        <v>52</v>
      </c>
      <c r="AE1281" s="7">
        <v>26.85</v>
      </c>
      <c r="AF1281" s="7">
        <v>119</v>
      </c>
      <c r="AG1281" s="7">
        <v>19.63</v>
      </c>
      <c r="AH1281" s="7">
        <v>45.83</v>
      </c>
      <c r="AI1281" s="7">
        <v>46.53</v>
      </c>
      <c r="AJ1281" s="9">
        <v>256.71631827547901</v>
      </c>
      <c r="AK1281" s="9">
        <v>291.64700026838</v>
      </c>
      <c r="AL1281" s="9">
        <v>318.34833823255002</v>
      </c>
      <c r="AM1281" s="9">
        <v>49.295536570108098</v>
      </c>
      <c r="AN1281" s="9">
        <v>0.60858687123590205</v>
      </c>
      <c r="AO1281" s="9">
        <v>0.503208436031784</v>
      </c>
      <c r="AP1281" s="9">
        <v>656.20767457756097</v>
      </c>
      <c r="AQ1281" s="9">
        <v>8.1013293157723592</v>
      </c>
      <c r="AR1281" s="9">
        <v>10.2575490551569</v>
      </c>
      <c r="AS1281" s="8" t="s">
        <v>169</v>
      </c>
      <c r="AT1281" s="8" t="s">
        <v>169</v>
      </c>
      <c r="AU1281" s="10" t="s">
        <v>169</v>
      </c>
      <c r="AV1281" s="10">
        <v>0</v>
      </c>
      <c r="AX1281" s="10" t="s">
        <v>169</v>
      </c>
      <c r="BF1281" s="12">
        <v>0.56999999999999995</v>
      </c>
      <c r="BG1281" s="13">
        <v>316.04031278036399</v>
      </c>
      <c r="BH1281" s="96" t="str">
        <f>+VLOOKUP(G1281,Liste!$A$7:$G$50,3,FALSE)</f>
        <v>Chene_pedoncule</v>
      </c>
      <c r="BI1281" s="96" t="str">
        <f>+VLOOKUP(H1281,Liste!$B$7:$G$50,5,FALSE)</f>
        <v>Guide chênaie continentale</v>
      </c>
      <c r="BJ1281" s="135">
        <f t="shared" si="379"/>
        <v>81</v>
      </c>
      <c r="BK1281" s="135" t="str">
        <f t="shared" si="381"/>
        <v>Chene_pedoncule_F2_Dynamique_Guide chênaie continentale_81_</v>
      </c>
      <c r="BL1281" s="322"/>
      <c r="BM1281" s="13">
        <v>79.501047963423105</v>
      </c>
      <c r="BN1281" s="13">
        <v>395.54136074378698</v>
      </c>
      <c r="BO1281" s="13" t="s">
        <v>169</v>
      </c>
      <c r="BP1281" s="13">
        <v>281.59342762421699</v>
      </c>
      <c r="BQ1281" s="13">
        <v>12.260112330623199</v>
      </c>
      <c r="BT1281" s="298" t="str">
        <f>+VLOOKUP(G1281,Liste!$A$7:$H$50,8,FALSE)</f>
        <v>Feuillus</v>
      </c>
      <c r="BU1281" s="298">
        <f t="shared" si="382"/>
        <v>1</v>
      </c>
      <c r="BV1281" s="300">
        <f t="shared" si="383"/>
        <v>0</v>
      </c>
      <c r="BW1281" s="321">
        <v>0</v>
      </c>
      <c r="BX1281" s="298">
        <f t="shared" si="384"/>
        <v>0.25</v>
      </c>
      <c r="BY1281">
        <f t="shared" si="385"/>
        <v>0</v>
      </c>
      <c r="BZ1281" s="304">
        <f t="shared" si="386"/>
        <v>0</v>
      </c>
      <c r="CB1281" s="299">
        <v>0.6</v>
      </c>
      <c r="CC1281" s="299">
        <v>0.4</v>
      </c>
      <c r="CD1281">
        <f t="shared" si="387"/>
        <v>0</v>
      </c>
      <c r="CE1281">
        <f t="shared" si="388"/>
        <v>0</v>
      </c>
      <c r="CF1281">
        <f t="shared" si="389"/>
        <v>0</v>
      </c>
      <c r="CG1281">
        <f t="shared" si="390"/>
        <v>0</v>
      </c>
      <c r="CH1281">
        <f t="shared" si="391"/>
        <v>0</v>
      </c>
      <c r="CI1281">
        <f t="shared" si="392"/>
        <v>0</v>
      </c>
      <c r="CJ1281">
        <f t="shared" si="393"/>
        <v>0</v>
      </c>
      <c r="CK1281">
        <f t="shared" si="394"/>
        <v>0</v>
      </c>
      <c r="CL1281">
        <f t="shared" si="395"/>
        <v>0</v>
      </c>
      <c r="CM1281">
        <f t="shared" si="397"/>
        <v>0</v>
      </c>
      <c r="CN1281">
        <f t="shared" si="396"/>
        <v>0</v>
      </c>
      <c r="CO1281">
        <f t="shared" si="380"/>
        <v>0</v>
      </c>
    </row>
    <row r="1282" spans="1:93" x14ac:dyDescent="0.25">
      <c r="A1282" s="4">
        <v>2021</v>
      </c>
      <c r="B1282" s="318">
        <v>44298</v>
      </c>
      <c r="C1282" s="4" t="s">
        <v>66</v>
      </c>
      <c r="D1282" s="4" t="s">
        <v>1504</v>
      </c>
      <c r="F1282" s="4" t="s">
        <v>90</v>
      </c>
      <c r="G1282" s="5" t="s">
        <v>69</v>
      </c>
      <c r="H1282" s="5" t="s">
        <v>22</v>
      </c>
      <c r="I1282" s="5" t="s">
        <v>146</v>
      </c>
      <c r="J1282" s="5" t="s">
        <v>10</v>
      </c>
      <c r="K1282" s="5">
        <v>21.9</v>
      </c>
      <c r="L1282" s="5" t="s">
        <v>194</v>
      </c>
      <c r="M1282" s="5">
        <v>1600</v>
      </c>
      <c r="N1282" s="5" t="s">
        <v>170</v>
      </c>
      <c r="O1282" s="6" t="s">
        <v>81</v>
      </c>
      <c r="P1282" s="6" t="s">
        <v>1505</v>
      </c>
      <c r="S1282" s="6">
        <v>38</v>
      </c>
      <c r="T1282" s="6">
        <v>16.27</v>
      </c>
      <c r="U1282" s="6">
        <v>1446</v>
      </c>
      <c r="V1282" s="6">
        <v>21.44</v>
      </c>
      <c r="W1282" s="6">
        <v>65</v>
      </c>
      <c r="X1282" s="6">
        <v>525</v>
      </c>
      <c r="Y1282" s="6">
        <v>696</v>
      </c>
      <c r="Z1282" s="6">
        <v>155</v>
      </c>
      <c r="AA1282" s="6">
        <v>5</v>
      </c>
      <c r="AB1282" s="6">
        <v>0</v>
      </c>
      <c r="AC1282" s="7">
        <v>83</v>
      </c>
      <c r="AD1282" s="7" t="s">
        <v>52</v>
      </c>
      <c r="AE1282" s="7">
        <v>27.21</v>
      </c>
      <c r="AF1282" s="7">
        <v>119</v>
      </c>
      <c r="AG1282" s="7">
        <v>20.64</v>
      </c>
      <c r="AH1282" s="7">
        <v>46.99</v>
      </c>
      <c r="AI1282" s="7">
        <v>47.7</v>
      </c>
      <c r="AJ1282" s="9">
        <v>273.43114834024402</v>
      </c>
      <c r="AK1282" s="9">
        <v>310.92758847366798</v>
      </c>
      <c r="AL1282" s="9">
        <v>338.86343634286402</v>
      </c>
      <c r="AM1282" s="9">
        <v>50.301953442171701</v>
      </c>
      <c r="AN1282" s="9">
        <v>0.60604763183339405</v>
      </c>
      <c r="AO1282" s="9">
        <v>0.47502831851315602</v>
      </c>
      <c r="AP1282" s="9">
        <v>676.72277268787502</v>
      </c>
      <c r="AQ1282" s="9">
        <v>8.1532864179261999</v>
      </c>
      <c r="AR1282" s="9">
        <v>9.7779088873312094</v>
      </c>
      <c r="AS1282" s="8" t="s">
        <v>169</v>
      </c>
      <c r="AT1282" s="8" t="s">
        <v>169</v>
      </c>
      <c r="AU1282" s="10" t="s">
        <v>169</v>
      </c>
      <c r="AV1282" s="10">
        <v>0</v>
      </c>
      <c r="AX1282" s="10" t="s">
        <v>169</v>
      </c>
      <c r="BF1282" s="12">
        <v>0.56999999999999995</v>
      </c>
      <c r="BG1282" s="13">
        <v>336.40667642937802</v>
      </c>
      <c r="BH1282" s="96" t="str">
        <f>+VLOOKUP(G1282,Liste!$A$7:$G$50,3,FALSE)</f>
        <v>Chene_pedoncule</v>
      </c>
      <c r="BI1282" s="96" t="str">
        <f>+VLOOKUP(H1282,Liste!$B$7:$G$50,5,FALSE)</f>
        <v>Guide chênaie continentale</v>
      </c>
      <c r="BJ1282" s="135">
        <f t="shared" si="379"/>
        <v>83</v>
      </c>
      <c r="BK1282" s="135" t="str">
        <f t="shared" si="381"/>
        <v>Chene_pedoncule_F2_Dynamique_Guide chênaie continentale_83_</v>
      </c>
      <c r="BL1282" s="322"/>
      <c r="BM1282" s="13">
        <v>84.011349642327801</v>
      </c>
      <c r="BN1282" s="13">
        <v>420.41802607170598</v>
      </c>
      <c r="BO1282" s="13" t="s">
        <v>169</v>
      </c>
      <c r="BP1282" s="13">
        <v>281.59342762421699</v>
      </c>
      <c r="BQ1282" s="13">
        <v>11.678398895499299</v>
      </c>
      <c r="BT1282" s="298" t="str">
        <f>+VLOOKUP(G1282,Liste!$A$7:$H$50,8,FALSE)</f>
        <v>Feuillus</v>
      </c>
      <c r="BU1282" s="298">
        <f t="shared" si="382"/>
        <v>1</v>
      </c>
      <c r="BV1282" s="300">
        <f t="shared" si="383"/>
        <v>0</v>
      </c>
      <c r="BW1282" s="321">
        <v>0</v>
      </c>
      <c r="BX1282" s="298">
        <f t="shared" si="384"/>
        <v>0.25</v>
      </c>
      <c r="BY1282">
        <f t="shared" si="385"/>
        <v>0</v>
      </c>
      <c r="BZ1282" s="304">
        <f t="shared" si="386"/>
        <v>0</v>
      </c>
      <c r="CB1282" s="299">
        <v>0.6</v>
      </c>
      <c r="CC1282" s="299">
        <v>0.4</v>
      </c>
      <c r="CD1282">
        <f t="shared" si="387"/>
        <v>0</v>
      </c>
      <c r="CE1282">
        <f t="shared" si="388"/>
        <v>0</v>
      </c>
      <c r="CF1282">
        <f t="shared" si="389"/>
        <v>0</v>
      </c>
      <c r="CG1282">
        <f t="shared" si="390"/>
        <v>0</v>
      </c>
      <c r="CH1282">
        <f t="shared" si="391"/>
        <v>0</v>
      </c>
      <c r="CI1282">
        <f t="shared" si="392"/>
        <v>0</v>
      </c>
      <c r="CJ1282">
        <f t="shared" si="393"/>
        <v>0</v>
      </c>
      <c r="CK1282">
        <f t="shared" si="394"/>
        <v>0</v>
      </c>
      <c r="CL1282">
        <f t="shared" si="395"/>
        <v>0</v>
      </c>
      <c r="CM1282">
        <f t="shared" si="397"/>
        <v>0</v>
      </c>
      <c r="CN1282">
        <f t="shared" si="396"/>
        <v>0</v>
      </c>
      <c r="CO1282">
        <f t="shared" si="380"/>
        <v>0</v>
      </c>
    </row>
    <row r="1283" spans="1:93" x14ac:dyDescent="0.25">
      <c r="A1283" s="4">
        <v>2021</v>
      </c>
      <c r="B1283" s="318">
        <v>44298</v>
      </c>
      <c r="C1283" s="4" t="s">
        <v>66</v>
      </c>
      <c r="D1283" s="4" t="s">
        <v>1504</v>
      </c>
      <c r="F1283" s="4" t="s">
        <v>90</v>
      </c>
      <c r="G1283" s="5" t="s">
        <v>69</v>
      </c>
      <c r="H1283" s="5" t="s">
        <v>22</v>
      </c>
      <c r="I1283" s="5" t="s">
        <v>146</v>
      </c>
      <c r="J1283" s="5" t="s">
        <v>10</v>
      </c>
      <c r="K1283" s="5">
        <v>21.9</v>
      </c>
      <c r="L1283" s="5" t="s">
        <v>194</v>
      </c>
      <c r="M1283" s="5">
        <v>1600</v>
      </c>
      <c r="N1283" s="5" t="s">
        <v>170</v>
      </c>
      <c r="O1283" s="6" t="s">
        <v>81</v>
      </c>
      <c r="P1283" s="6" t="s">
        <v>1505</v>
      </c>
      <c r="S1283" s="6">
        <v>38</v>
      </c>
      <c r="T1283" s="6">
        <v>16.27</v>
      </c>
      <c r="U1283" s="6">
        <v>1446</v>
      </c>
      <c r="V1283" s="6">
        <v>21.44</v>
      </c>
      <c r="W1283" s="6">
        <v>65</v>
      </c>
      <c r="X1283" s="6">
        <v>525</v>
      </c>
      <c r="Y1283" s="6">
        <v>696</v>
      </c>
      <c r="Z1283" s="6">
        <v>155</v>
      </c>
      <c r="AA1283" s="6">
        <v>5</v>
      </c>
      <c r="AB1283" s="6">
        <v>0</v>
      </c>
      <c r="AC1283" s="7">
        <v>83</v>
      </c>
      <c r="AD1283" s="7" t="s">
        <v>53</v>
      </c>
      <c r="AE1283" s="7">
        <v>27.21</v>
      </c>
      <c r="AF1283" s="7">
        <v>99</v>
      </c>
      <c r="AG1283" s="7">
        <v>17.41</v>
      </c>
      <c r="AH1283" s="7">
        <v>47.32</v>
      </c>
      <c r="AI1283" s="7">
        <v>47.32</v>
      </c>
      <c r="AJ1283" s="9">
        <v>230.67042068645</v>
      </c>
      <c r="AK1283" s="9">
        <v>262.55716003492699</v>
      </c>
      <c r="AL1283" s="9">
        <v>286.09907467014301</v>
      </c>
      <c r="AM1283" s="9">
        <v>50.301953442171701</v>
      </c>
      <c r="AN1283" s="9">
        <v>0.60604763183339305</v>
      </c>
      <c r="AO1283" s="9">
        <v>0.47502831851315602</v>
      </c>
      <c r="AP1283" s="9">
        <v>676.72277268787502</v>
      </c>
      <c r="AQ1283" s="9">
        <v>8.1532864179261999</v>
      </c>
      <c r="AR1283" s="9">
        <v>9.7779088873312094</v>
      </c>
      <c r="AS1283" s="8">
        <v>20</v>
      </c>
      <c r="AT1283" s="8">
        <v>3.2300000000000004</v>
      </c>
      <c r="AU1283" s="10">
        <v>45.346244218758493</v>
      </c>
      <c r="AV1283" s="10">
        <v>42.760727653794021</v>
      </c>
      <c r="AW1283" s="10">
        <v>0.93</v>
      </c>
      <c r="AX1283" s="10">
        <v>2.1380363826897009</v>
      </c>
      <c r="BF1283" s="12">
        <v>0.56999999999999995</v>
      </c>
      <c r="BG1283" s="13">
        <v>284.02485637878402</v>
      </c>
      <c r="BH1283" s="96" t="str">
        <f>+VLOOKUP(G1283,Liste!$A$7:$G$50,3,FALSE)</f>
        <v>Chene_pedoncule</v>
      </c>
      <c r="BI1283" s="96" t="str">
        <f>+VLOOKUP(H1283,Liste!$B$7:$G$50,5,FALSE)</f>
        <v>Guide chênaie continentale</v>
      </c>
      <c r="BJ1283" s="135">
        <f t="shared" ref="BJ1283:BJ1346" si="398">+AC1283</f>
        <v>83</v>
      </c>
      <c r="BK1283" s="135" t="str">
        <f t="shared" si="381"/>
        <v>Chene_pedoncule_F2_Dynamique_Guide chênaie continentale_83_</v>
      </c>
      <c r="BL1283" s="322"/>
      <c r="BM1283" s="13">
        <v>72.341259439237305</v>
      </c>
      <c r="BN1283" s="13">
        <v>356.36611581802202</v>
      </c>
      <c r="BO1283" s="13">
        <v>64.051910253683957</v>
      </c>
      <c r="BP1283" s="13">
        <v>281.59342762421699</v>
      </c>
      <c r="BQ1283" s="13">
        <v>11.678398895499299</v>
      </c>
      <c r="BT1283" s="298" t="str">
        <f>+VLOOKUP(G1283,Liste!$A$7:$H$50,8,FALSE)</f>
        <v>Feuillus</v>
      </c>
      <c r="BU1283" s="298">
        <f t="shared" si="382"/>
        <v>1</v>
      </c>
      <c r="BV1283" s="300">
        <f t="shared" si="383"/>
        <v>0</v>
      </c>
      <c r="BW1283" s="321">
        <v>0</v>
      </c>
      <c r="BX1283" s="298">
        <f t="shared" si="384"/>
        <v>0.25</v>
      </c>
      <c r="BY1283">
        <f t="shared" si="385"/>
        <v>0</v>
      </c>
      <c r="BZ1283" s="304">
        <f t="shared" si="386"/>
        <v>0</v>
      </c>
      <c r="CB1283" s="299">
        <v>0.6</v>
      </c>
      <c r="CC1283" s="299">
        <v>0.4</v>
      </c>
      <c r="CD1283">
        <f t="shared" si="387"/>
        <v>0</v>
      </c>
      <c r="CE1283">
        <f t="shared" si="388"/>
        <v>0</v>
      </c>
      <c r="CF1283">
        <f t="shared" si="389"/>
        <v>0</v>
      </c>
      <c r="CG1283">
        <f t="shared" si="390"/>
        <v>0</v>
      </c>
      <c r="CH1283">
        <f t="shared" si="391"/>
        <v>0</v>
      </c>
      <c r="CI1283">
        <f t="shared" si="392"/>
        <v>0</v>
      </c>
      <c r="CJ1283">
        <f t="shared" si="393"/>
        <v>0</v>
      </c>
      <c r="CK1283">
        <f t="shared" si="394"/>
        <v>0</v>
      </c>
      <c r="CL1283">
        <f t="shared" si="395"/>
        <v>0</v>
      </c>
      <c r="CM1283">
        <f t="shared" si="397"/>
        <v>0</v>
      </c>
      <c r="CN1283">
        <f t="shared" si="396"/>
        <v>0</v>
      </c>
      <c r="CO1283">
        <f t="shared" ref="CO1283:CO1346" si="399">+IF(BJ1283=30,CN1283/30,0)</f>
        <v>0</v>
      </c>
    </row>
    <row r="1284" spans="1:93" x14ac:dyDescent="0.25">
      <c r="A1284" s="4">
        <v>2021</v>
      </c>
      <c r="B1284" s="318">
        <v>44298</v>
      </c>
      <c r="C1284" s="4" t="s">
        <v>66</v>
      </c>
      <c r="D1284" s="4" t="s">
        <v>1504</v>
      </c>
      <c r="F1284" s="4" t="s">
        <v>90</v>
      </c>
      <c r="G1284" s="5" t="s">
        <v>69</v>
      </c>
      <c r="H1284" s="5" t="s">
        <v>22</v>
      </c>
      <c r="I1284" s="5" t="s">
        <v>146</v>
      </c>
      <c r="J1284" s="5" t="s">
        <v>10</v>
      </c>
      <c r="K1284" s="5">
        <v>21.9</v>
      </c>
      <c r="L1284" s="5" t="s">
        <v>194</v>
      </c>
      <c r="M1284" s="5">
        <v>1600</v>
      </c>
      <c r="N1284" s="5" t="s">
        <v>170</v>
      </c>
      <c r="O1284" s="6" t="s">
        <v>81</v>
      </c>
      <c r="P1284" s="6" t="s">
        <v>1505</v>
      </c>
      <c r="S1284" s="6">
        <v>38</v>
      </c>
      <c r="T1284" s="6">
        <v>16.27</v>
      </c>
      <c r="U1284" s="6">
        <v>1446</v>
      </c>
      <c r="V1284" s="6">
        <v>21.44</v>
      </c>
      <c r="W1284" s="6">
        <v>65</v>
      </c>
      <c r="X1284" s="6">
        <v>525</v>
      </c>
      <c r="Y1284" s="6">
        <v>696</v>
      </c>
      <c r="Z1284" s="6">
        <v>155</v>
      </c>
      <c r="AA1284" s="6">
        <v>5</v>
      </c>
      <c r="AB1284" s="6">
        <v>0</v>
      </c>
      <c r="AC1284" s="7">
        <v>86</v>
      </c>
      <c r="AD1284" s="7" t="s">
        <v>52</v>
      </c>
      <c r="AE1284" s="7">
        <v>27.73</v>
      </c>
      <c r="AF1284" s="7">
        <v>99</v>
      </c>
      <c r="AG1284" s="7">
        <v>18.84</v>
      </c>
      <c r="AH1284" s="7">
        <v>49.22</v>
      </c>
      <c r="AI1284" s="7">
        <v>49.22</v>
      </c>
      <c r="AJ1284" s="9">
        <v>254.50324824901699</v>
      </c>
      <c r="AK1284" s="9">
        <v>290.14930076728501</v>
      </c>
      <c r="AL1284" s="9">
        <v>315.43280133213699</v>
      </c>
      <c r="AM1284" s="9">
        <v>51.727038397711098</v>
      </c>
      <c r="AN1284" s="9">
        <v>0.60147719067105998</v>
      </c>
      <c r="AO1284" s="9">
        <v>0.469961034282671</v>
      </c>
      <c r="AP1284" s="9">
        <v>706.05649934986798</v>
      </c>
      <c r="AQ1284" s="9">
        <v>8.2099592947659108</v>
      </c>
      <c r="AR1284" s="9">
        <v>9.9506763615881599</v>
      </c>
      <c r="AS1284" s="8" t="s">
        <v>169</v>
      </c>
      <c r="AT1284" s="8" t="s">
        <v>169</v>
      </c>
      <c r="AU1284" s="10" t="s">
        <v>169</v>
      </c>
      <c r="AV1284" s="10">
        <v>0</v>
      </c>
      <c r="AX1284" s="10" t="s">
        <v>169</v>
      </c>
      <c r="BF1284" s="12">
        <v>0.56999999999999995</v>
      </c>
      <c r="BG1284" s="13">
        <v>313.14591352247902</v>
      </c>
      <c r="BH1284" s="96" t="str">
        <f>+VLOOKUP(G1284,Liste!$A$7:$G$50,3,FALSE)</f>
        <v>Chene_pedoncule</v>
      </c>
      <c r="BI1284" s="96" t="str">
        <f>+VLOOKUP(H1284,Liste!$B$7:$G$50,5,FALSE)</f>
        <v>Guide chênaie continentale</v>
      </c>
      <c r="BJ1284" s="135">
        <f t="shared" si="398"/>
        <v>86</v>
      </c>
      <c r="BK1284" s="135" t="str">
        <f t="shared" ref="BK1284:BK1347" si="400">+_xlfn.CONCAT(BH1284,"_",J1284,"_",I1284,"_",BI1284,"_",BJ1284,"_")</f>
        <v>Chene_pedoncule_F2_Dynamique_Guide chênaie continentale_86_</v>
      </c>
      <c r="BL1284" s="322"/>
      <c r="BM1284" s="13">
        <v>78.857358008564802</v>
      </c>
      <c r="BN1284" s="13">
        <v>392.00327153104303</v>
      </c>
      <c r="BO1284" s="13" t="s">
        <v>169</v>
      </c>
      <c r="BP1284" s="13">
        <v>281.59342762421699</v>
      </c>
      <c r="BQ1284" s="13">
        <v>11.874982077906401</v>
      </c>
      <c r="BT1284" s="298" t="str">
        <f>+VLOOKUP(G1284,Liste!$A$7:$H$50,8,FALSE)</f>
        <v>Feuillus</v>
      </c>
      <c r="BU1284" s="298">
        <f t="shared" ref="BU1284:BU1347" si="401">IF(BT1284="Résineux",0%,100%)</f>
        <v>1</v>
      </c>
      <c r="BV1284" s="300">
        <f t="shared" ref="BV1284:BV1347" si="402">+IF(BT1284="Résineux",100%,0%)</f>
        <v>0</v>
      </c>
      <c r="BW1284" s="321">
        <v>0</v>
      </c>
      <c r="BX1284" s="298">
        <f t="shared" ref="BX1284:BX1347" si="403">+IF(BV1284&lt;&gt;0,0.43,0.25)</f>
        <v>0.25</v>
      </c>
      <c r="BY1284">
        <f t="shared" ref="BY1284:BY1347" si="404">+IF(BJ1284&lt;=30,AV1284*BX1284,0)</f>
        <v>0</v>
      </c>
      <c r="BZ1284" s="304">
        <f t="shared" ref="BZ1284:BZ1347" si="405">+IF(BJ1284&gt;=31,0,BY1284+BZ1283)</f>
        <v>0</v>
      </c>
      <c r="CB1284" s="299">
        <v>0.6</v>
      </c>
      <c r="CC1284" s="299">
        <v>0.4</v>
      </c>
      <c r="CD1284">
        <f t="shared" ref="CD1284:CD1347" si="406">+IF(BJ1284&lt;=31,AV1284*CA1284*0.5,0)</f>
        <v>0</v>
      </c>
      <c r="CE1284">
        <f t="shared" ref="CE1284:CE1347" si="407">IF(BJ1284&lt;=31,AV1284*CB1284,0)</f>
        <v>0</v>
      </c>
      <c r="CF1284">
        <f t="shared" ref="CF1284:CF1347" si="408">IF(BJ1284&lt;=31,AV1284*CC1284,0)</f>
        <v>0</v>
      </c>
      <c r="CG1284">
        <f t="shared" ref="CG1284:CG1347" si="409">CD1284*44/12*0.475*BF1284</f>
        <v>0</v>
      </c>
      <c r="CH1284">
        <f t="shared" ref="CH1284:CH1347" si="410">CE1284*44/12*0.475*BF1284</f>
        <v>0</v>
      </c>
      <c r="CI1284">
        <f t="shared" ref="CI1284:CI1347" si="411">CF1284*44/12*0.475*BF1284</f>
        <v>0</v>
      </c>
      <c r="CJ1284">
        <f t="shared" ref="CJ1284:CJ1347" si="412">+IF(BJ1284&lt;=31,CJ1283*EXP(-$CJ$1)+CG1283*(1-EXP(-$CJ$1))/$CJ$1,0)</f>
        <v>0</v>
      </c>
      <c r="CK1284">
        <f t="shared" ref="CK1284:CK1347" si="413">+IF(BJ1284&lt;=31,CK1283*EXP(-$CK$1)+CH1283*(1-EXP(-$CK$1))/$CK$1,0)</f>
        <v>0</v>
      </c>
      <c r="CL1284">
        <f t="shared" ref="CL1284:CL1347" si="414">+IF(BJ1284&lt;=31,CL1283*EXP(-$CL$1)+CI1283*(1-EXP(-$CL$1))/$CL$1,0)</f>
        <v>0</v>
      </c>
      <c r="CM1284">
        <f t="shared" si="397"/>
        <v>0</v>
      </c>
      <c r="CN1284">
        <f t="shared" ref="CN1284:CN1347" si="415">+IF(BJ1284&lt;=31,CM1284+CN1283,0)</f>
        <v>0</v>
      </c>
      <c r="CO1284">
        <f t="shared" si="399"/>
        <v>0</v>
      </c>
    </row>
    <row r="1285" spans="1:93" x14ac:dyDescent="0.25">
      <c r="A1285" s="4">
        <v>2021</v>
      </c>
      <c r="B1285" s="318">
        <v>44298</v>
      </c>
      <c r="C1285" s="4" t="s">
        <v>66</v>
      </c>
      <c r="D1285" s="4" t="s">
        <v>1504</v>
      </c>
      <c r="F1285" s="4" t="s">
        <v>90</v>
      </c>
      <c r="G1285" s="5" t="s">
        <v>69</v>
      </c>
      <c r="H1285" s="5" t="s">
        <v>22</v>
      </c>
      <c r="I1285" s="5" t="s">
        <v>146</v>
      </c>
      <c r="J1285" s="5" t="s">
        <v>10</v>
      </c>
      <c r="K1285" s="5">
        <v>21.9</v>
      </c>
      <c r="L1285" s="5" t="s">
        <v>194</v>
      </c>
      <c r="M1285" s="5">
        <v>1600</v>
      </c>
      <c r="N1285" s="5" t="s">
        <v>170</v>
      </c>
      <c r="O1285" s="6" t="s">
        <v>81</v>
      </c>
      <c r="P1285" s="6" t="s">
        <v>1505</v>
      </c>
      <c r="S1285" s="6">
        <v>38</v>
      </c>
      <c r="T1285" s="6">
        <v>16.27</v>
      </c>
      <c r="U1285" s="6">
        <v>1446</v>
      </c>
      <c r="V1285" s="6">
        <v>21.44</v>
      </c>
      <c r="W1285" s="6">
        <v>65</v>
      </c>
      <c r="X1285" s="6">
        <v>525</v>
      </c>
      <c r="Y1285" s="6">
        <v>696</v>
      </c>
      <c r="Z1285" s="6">
        <v>155</v>
      </c>
      <c r="AA1285" s="6">
        <v>5</v>
      </c>
      <c r="AB1285" s="6">
        <v>0</v>
      </c>
      <c r="AC1285" s="7">
        <v>89</v>
      </c>
      <c r="AD1285" s="7" t="s">
        <v>52</v>
      </c>
      <c r="AE1285" s="7">
        <v>28.24</v>
      </c>
      <c r="AF1285" s="7">
        <v>99</v>
      </c>
      <c r="AG1285" s="7">
        <v>20.25</v>
      </c>
      <c r="AH1285" s="7">
        <v>51.03</v>
      </c>
      <c r="AI1285" s="7">
        <v>51.03</v>
      </c>
      <c r="AJ1285" s="9">
        <v>278.85658725339198</v>
      </c>
      <c r="AK1285" s="9">
        <v>318.28963485188598</v>
      </c>
      <c r="AL1285" s="9">
        <v>345.284830416901</v>
      </c>
      <c r="AM1285" s="9">
        <v>53.136921500559097</v>
      </c>
      <c r="AN1285" s="9">
        <v>0.59704406180403502</v>
      </c>
      <c r="AO1285" s="9">
        <v>0.46771178680588898</v>
      </c>
      <c r="AP1285" s="9">
        <v>735.90852843463301</v>
      </c>
      <c r="AQ1285" s="9">
        <v>8.2686351509509297</v>
      </c>
      <c r="AR1285" s="9">
        <v>10.048859340463499</v>
      </c>
      <c r="AS1285" s="8" t="s">
        <v>169</v>
      </c>
      <c r="AT1285" s="8" t="s">
        <v>169</v>
      </c>
      <c r="AU1285" s="10" t="s">
        <v>169</v>
      </c>
      <c r="AV1285" s="10">
        <v>0</v>
      </c>
      <c r="AX1285" s="10" t="s">
        <v>169</v>
      </c>
      <c r="BF1285" s="12">
        <v>0.56999999999999995</v>
      </c>
      <c r="BG1285" s="13">
        <v>342.78151539637901</v>
      </c>
      <c r="BH1285" s="96" t="str">
        <f>+VLOOKUP(G1285,Liste!$A$7:$G$50,3,FALSE)</f>
        <v>Chene_pedoncule</v>
      </c>
      <c r="BI1285" s="96" t="str">
        <f>+VLOOKUP(H1285,Liste!$B$7:$G$50,5,FALSE)</f>
        <v>Guide chênaie continentale</v>
      </c>
      <c r="BJ1285" s="135">
        <f t="shared" si="398"/>
        <v>89</v>
      </c>
      <c r="BK1285" s="135" t="str">
        <f t="shared" si="400"/>
        <v>Chene_pedoncule_F2_Dynamique_Guide chênaie continentale_89_</v>
      </c>
      <c r="BL1285" s="322"/>
      <c r="BM1285" s="13">
        <v>85.416498681584997</v>
      </c>
      <c r="BN1285" s="13">
        <v>428.19801407796399</v>
      </c>
      <c r="BO1285" s="13" t="s">
        <v>169</v>
      </c>
      <c r="BP1285" s="13">
        <v>281.59342762421699</v>
      </c>
      <c r="BQ1285" s="13">
        <v>11.981062907232699</v>
      </c>
      <c r="BT1285" s="298" t="str">
        <f>+VLOOKUP(G1285,Liste!$A$7:$H$50,8,FALSE)</f>
        <v>Feuillus</v>
      </c>
      <c r="BU1285" s="298">
        <f t="shared" si="401"/>
        <v>1</v>
      </c>
      <c r="BV1285" s="300">
        <f t="shared" si="402"/>
        <v>0</v>
      </c>
      <c r="BW1285" s="321">
        <v>0</v>
      </c>
      <c r="BX1285" s="298">
        <f t="shared" si="403"/>
        <v>0.25</v>
      </c>
      <c r="BY1285">
        <f t="shared" si="404"/>
        <v>0</v>
      </c>
      <c r="BZ1285" s="304">
        <f t="shared" si="405"/>
        <v>0</v>
      </c>
      <c r="CB1285" s="299">
        <v>0.6</v>
      </c>
      <c r="CC1285" s="299">
        <v>0.4</v>
      </c>
      <c r="CD1285">
        <f t="shared" si="406"/>
        <v>0</v>
      </c>
      <c r="CE1285">
        <f t="shared" si="407"/>
        <v>0</v>
      </c>
      <c r="CF1285">
        <f t="shared" si="408"/>
        <v>0</v>
      </c>
      <c r="CG1285">
        <f t="shared" si="409"/>
        <v>0</v>
      </c>
      <c r="CH1285">
        <f t="shared" si="410"/>
        <v>0</v>
      </c>
      <c r="CI1285">
        <f t="shared" si="411"/>
        <v>0</v>
      </c>
      <c r="CJ1285">
        <f t="shared" si="412"/>
        <v>0</v>
      </c>
      <c r="CK1285">
        <f t="shared" si="413"/>
        <v>0</v>
      </c>
      <c r="CL1285">
        <f t="shared" si="414"/>
        <v>0</v>
      </c>
      <c r="CM1285">
        <f t="shared" ref="CM1285:CM1348" si="416">+CJ1285+CK1285+CL1285</f>
        <v>0</v>
      </c>
      <c r="CN1285">
        <f t="shared" si="415"/>
        <v>0</v>
      </c>
      <c r="CO1285">
        <f t="shared" si="399"/>
        <v>0</v>
      </c>
    </row>
    <row r="1286" spans="1:93" x14ac:dyDescent="0.25">
      <c r="A1286" s="4">
        <v>2021</v>
      </c>
      <c r="B1286" s="318">
        <v>44298</v>
      </c>
      <c r="C1286" s="4" t="s">
        <v>66</v>
      </c>
      <c r="D1286" s="4" t="s">
        <v>1504</v>
      </c>
      <c r="F1286" s="4" t="s">
        <v>90</v>
      </c>
      <c r="G1286" s="5" t="s">
        <v>69</v>
      </c>
      <c r="H1286" s="5" t="s">
        <v>22</v>
      </c>
      <c r="I1286" s="5" t="s">
        <v>146</v>
      </c>
      <c r="J1286" s="5" t="s">
        <v>10</v>
      </c>
      <c r="K1286" s="5">
        <v>21.9</v>
      </c>
      <c r="L1286" s="5" t="s">
        <v>194</v>
      </c>
      <c r="M1286" s="5">
        <v>1600</v>
      </c>
      <c r="N1286" s="5" t="s">
        <v>170</v>
      </c>
      <c r="O1286" s="6" t="s">
        <v>81</v>
      </c>
      <c r="P1286" s="6" t="s">
        <v>1505</v>
      </c>
      <c r="S1286" s="6">
        <v>38</v>
      </c>
      <c r="T1286" s="6">
        <v>16.27</v>
      </c>
      <c r="U1286" s="6">
        <v>1446</v>
      </c>
      <c r="V1286" s="6">
        <v>21.44</v>
      </c>
      <c r="W1286" s="6">
        <v>65</v>
      </c>
      <c r="X1286" s="6">
        <v>525</v>
      </c>
      <c r="Y1286" s="6">
        <v>696</v>
      </c>
      <c r="Z1286" s="6">
        <v>155</v>
      </c>
      <c r="AA1286" s="6">
        <v>5</v>
      </c>
      <c r="AB1286" s="6">
        <v>0</v>
      </c>
      <c r="AC1286" s="7">
        <v>93</v>
      </c>
      <c r="AD1286" s="7" t="s">
        <v>52</v>
      </c>
      <c r="AE1286" s="7">
        <v>28.9</v>
      </c>
      <c r="AF1286" s="7">
        <v>99</v>
      </c>
      <c r="AG1286" s="7">
        <v>22.12</v>
      </c>
      <c r="AH1286" s="7">
        <v>53.34</v>
      </c>
      <c r="AI1286" s="7">
        <v>53.34</v>
      </c>
      <c r="AJ1286" s="9">
        <v>311.60662473531897</v>
      </c>
      <c r="AK1286" s="9">
        <v>356.22413985333799</v>
      </c>
      <c r="AL1286" s="9">
        <v>385.48026777875498</v>
      </c>
      <c r="AM1286" s="9">
        <v>55.007768647782697</v>
      </c>
      <c r="AN1286" s="9">
        <v>0.59148138330949096</v>
      </c>
      <c r="AO1286" s="9">
        <v>0.43074831618906301</v>
      </c>
      <c r="AP1286" s="9">
        <v>776.10396579648705</v>
      </c>
      <c r="AQ1286" s="9">
        <v>8.3452039332955597</v>
      </c>
      <c r="AR1286" s="9">
        <v>9.3625442252854008</v>
      </c>
      <c r="AS1286" s="8" t="s">
        <v>169</v>
      </c>
      <c r="AT1286" s="8" t="s">
        <v>169</v>
      </c>
      <c r="AU1286" s="10" t="s">
        <v>169</v>
      </c>
      <c r="AV1286" s="10">
        <v>0</v>
      </c>
      <c r="AX1286" s="10" t="s">
        <v>169</v>
      </c>
      <c r="BF1286" s="12">
        <v>0.56999999999999995</v>
      </c>
      <c r="BG1286" s="13">
        <v>382.685535837359</v>
      </c>
      <c r="BH1286" s="96" t="str">
        <f>+VLOOKUP(G1286,Liste!$A$7:$G$50,3,FALSE)</f>
        <v>Chene_pedoncule</v>
      </c>
      <c r="BI1286" s="96" t="str">
        <f>+VLOOKUP(H1286,Liste!$B$7:$G$50,5,FALSE)</f>
        <v>Guide chênaie continentale</v>
      </c>
      <c r="BJ1286" s="135">
        <f t="shared" si="398"/>
        <v>93</v>
      </c>
      <c r="BK1286" s="135" t="str">
        <f t="shared" si="400"/>
        <v>Chene_pedoncule_F2_Dynamique_Guide chênaie continentale_93_</v>
      </c>
      <c r="BL1286" s="322"/>
      <c r="BM1286" s="13">
        <v>94.145513575811705</v>
      </c>
      <c r="BN1286" s="13">
        <v>476.831049413171</v>
      </c>
      <c r="BO1286" s="13" t="s">
        <v>169</v>
      </c>
      <c r="BP1286" s="13">
        <v>281.59342762421699</v>
      </c>
      <c r="BQ1286" s="13">
        <v>11.1531866371079</v>
      </c>
      <c r="BT1286" s="298" t="str">
        <f>+VLOOKUP(G1286,Liste!$A$7:$H$50,8,FALSE)</f>
        <v>Feuillus</v>
      </c>
      <c r="BU1286" s="298">
        <f t="shared" si="401"/>
        <v>1</v>
      </c>
      <c r="BV1286" s="300">
        <f t="shared" si="402"/>
        <v>0</v>
      </c>
      <c r="BW1286" s="321">
        <v>0</v>
      </c>
      <c r="BX1286" s="298">
        <f t="shared" si="403"/>
        <v>0.25</v>
      </c>
      <c r="BY1286">
        <f t="shared" si="404"/>
        <v>0</v>
      </c>
      <c r="BZ1286" s="304">
        <f t="shared" si="405"/>
        <v>0</v>
      </c>
      <c r="CB1286" s="299">
        <v>0.6</v>
      </c>
      <c r="CC1286" s="299">
        <v>0.4</v>
      </c>
      <c r="CD1286">
        <f t="shared" si="406"/>
        <v>0</v>
      </c>
      <c r="CE1286">
        <f t="shared" si="407"/>
        <v>0</v>
      </c>
      <c r="CF1286">
        <f t="shared" si="408"/>
        <v>0</v>
      </c>
      <c r="CG1286">
        <f t="shared" si="409"/>
        <v>0</v>
      </c>
      <c r="CH1286">
        <f t="shared" si="410"/>
        <v>0</v>
      </c>
      <c r="CI1286">
        <f t="shared" si="411"/>
        <v>0</v>
      </c>
      <c r="CJ1286">
        <f t="shared" si="412"/>
        <v>0</v>
      </c>
      <c r="CK1286">
        <f t="shared" si="413"/>
        <v>0</v>
      </c>
      <c r="CL1286">
        <f t="shared" si="414"/>
        <v>0</v>
      </c>
      <c r="CM1286">
        <f t="shared" si="416"/>
        <v>0</v>
      </c>
      <c r="CN1286">
        <f t="shared" si="415"/>
        <v>0</v>
      </c>
      <c r="CO1286">
        <f t="shared" si="399"/>
        <v>0</v>
      </c>
    </row>
    <row r="1287" spans="1:93" x14ac:dyDescent="0.25">
      <c r="A1287" s="4">
        <v>2021</v>
      </c>
      <c r="B1287" s="318">
        <v>44298</v>
      </c>
      <c r="C1287" s="4" t="s">
        <v>66</v>
      </c>
      <c r="D1287" s="4" t="s">
        <v>1504</v>
      </c>
      <c r="F1287" s="4" t="s">
        <v>90</v>
      </c>
      <c r="G1287" s="5" t="s">
        <v>69</v>
      </c>
      <c r="H1287" s="5" t="s">
        <v>22</v>
      </c>
      <c r="I1287" s="5" t="s">
        <v>146</v>
      </c>
      <c r="J1287" s="5" t="s">
        <v>10</v>
      </c>
      <c r="K1287" s="5">
        <v>21.9</v>
      </c>
      <c r="L1287" s="5" t="s">
        <v>194</v>
      </c>
      <c r="M1287" s="5">
        <v>1600</v>
      </c>
      <c r="N1287" s="5" t="s">
        <v>170</v>
      </c>
      <c r="O1287" s="6" t="s">
        <v>81</v>
      </c>
      <c r="P1287" s="6" t="s">
        <v>1505</v>
      </c>
      <c r="S1287" s="6">
        <v>38</v>
      </c>
      <c r="T1287" s="6">
        <v>16.27</v>
      </c>
      <c r="U1287" s="6">
        <v>1446</v>
      </c>
      <c r="V1287" s="6">
        <v>21.44</v>
      </c>
      <c r="W1287" s="6">
        <v>65</v>
      </c>
      <c r="X1287" s="6">
        <v>525</v>
      </c>
      <c r="Y1287" s="6">
        <v>696</v>
      </c>
      <c r="Z1287" s="6">
        <v>155</v>
      </c>
      <c r="AA1287" s="6">
        <v>5</v>
      </c>
      <c r="AB1287" s="6">
        <v>0</v>
      </c>
      <c r="AC1287" s="7">
        <v>93</v>
      </c>
      <c r="AD1287" s="7" t="s">
        <v>53</v>
      </c>
      <c r="AE1287" s="7">
        <v>28.9</v>
      </c>
      <c r="AF1287" s="7">
        <v>78</v>
      </c>
      <c r="AG1287" s="7">
        <v>17.86</v>
      </c>
      <c r="AH1287" s="7">
        <v>53.99</v>
      </c>
      <c r="AI1287" s="7">
        <v>53.99</v>
      </c>
      <c r="AJ1287" s="9">
        <v>251.619182351673</v>
      </c>
      <c r="AK1287" s="9">
        <v>288.10003995161497</v>
      </c>
      <c r="AL1287" s="9">
        <v>311.68558281608699</v>
      </c>
      <c r="AM1287" s="9">
        <v>55.007768647782697</v>
      </c>
      <c r="AN1287" s="9">
        <v>0.59148138330949096</v>
      </c>
      <c r="AO1287" s="9">
        <v>0.43074831618906301</v>
      </c>
      <c r="AP1287" s="9">
        <v>776.10396579648705</v>
      </c>
      <c r="AQ1287" s="9">
        <v>8.3452039332955597</v>
      </c>
      <c r="AR1287" s="9">
        <v>9.3625442252854008</v>
      </c>
      <c r="AS1287" s="8">
        <v>21</v>
      </c>
      <c r="AT1287" s="8">
        <v>4.2600000000000016</v>
      </c>
      <c r="AU1287" s="10">
        <v>50.821819744840354</v>
      </c>
      <c r="AV1287" s="10">
        <v>59.98744238364597</v>
      </c>
      <c r="AW1287" s="10">
        <v>0.91</v>
      </c>
      <c r="AX1287" s="10">
        <v>2.8565448754117129</v>
      </c>
      <c r="BF1287" s="12">
        <v>0.56999999999999995</v>
      </c>
      <c r="BG1287" s="13">
        <v>309.42586234067102</v>
      </c>
      <c r="BH1287" s="96" t="str">
        <f>+VLOOKUP(G1287,Liste!$A$7:$G$50,3,FALSE)</f>
        <v>Chene_pedoncule</v>
      </c>
      <c r="BI1287" s="96" t="str">
        <f>+VLOOKUP(H1287,Liste!$B$7:$G$50,5,FALSE)</f>
        <v>Guide chênaie continentale</v>
      </c>
      <c r="BJ1287" s="135">
        <f t="shared" si="398"/>
        <v>93</v>
      </c>
      <c r="BK1287" s="135" t="str">
        <f t="shared" si="400"/>
        <v>Chene_pedoncule_F2_Dynamique_Guide chênaie continentale_93_</v>
      </c>
      <c r="BL1287" s="322"/>
      <c r="BM1287" s="13">
        <v>78.029031432068606</v>
      </c>
      <c r="BN1287" s="13">
        <v>387.45489377273901</v>
      </c>
      <c r="BO1287" s="13">
        <v>89.376155640431989</v>
      </c>
      <c r="BP1287" s="13">
        <v>281.59342762421699</v>
      </c>
      <c r="BQ1287" s="13">
        <v>11.1531866371079</v>
      </c>
      <c r="BT1287" s="298" t="str">
        <f>+VLOOKUP(G1287,Liste!$A$7:$H$50,8,FALSE)</f>
        <v>Feuillus</v>
      </c>
      <c r="BU1287" s="298">
        <f t="shared" si="401"/>
        <v>1</v>
      </c>
      <c r="BV1287" s="300">
        <f t="shared" si="402"/>
        <v>0</v>
      </c>
      <c r="BW1287" s="321">
        <v>0</v>
      </c>
      <c r="BX1287" s="298">
        <f t="shared" si="403"/>
        <v>0.25</v>
      </c>
      <c r="BY1287">
        <f t="shared" si="404"/>
        <v>0</v>
      </c>
      <c r="BZ1287" s="304">
        <f t="shared" si="405"/>
        <v>0</v>
      </c>
      <c r="CB1287" s="299">
        <v>0.6</v>
      </c>
      <c r="CC1287" s="299">
        <v>0.4</v>
      </c>
      <c r="CD1287">
        <f t="shared" si="406"/>
        <v>0</v>
      </c>
      <c r="CE1287">
        <f t="shared" si="407"/>
        <v>0</v>
      </c>
      <c r="CF1287">
        <f t="shared" si="408"/>
        <v>0</v>
      </c>
      <c r="CG1287">
        <f t="shared" si="409"/>
        <v>0</v>
      </c>
      <c r="CH1287">
        <f t="shared" si="410"/>
        <v>0</v>
      </c>
      <c r="CI1287">
        <f t="shared" si="411"/>
        <v>0</v>
      </c>
      <c r="CJ1287">
        <f t="shared" si="412"/>
        <v>0</v>
      </c>
      <c r="CK1287">
        <f t="shared" si="413"/>
        <v>0</v>
      </c>
      <c r="CL1287">
        <f t="shared" si="414"/>
        <v>0</v>
      </c>
      <c r="CM1287">
        <f t="shared" si="416"/>
        <v>0</v>
      </c>
      <c r="CN1287">
        <f t="shared" si="415"/>
        <v>0</v>
      </c>
      <c r="CO1287">
        <f t="shared" si="399"/>
        <v>0</v>
      </c>
    </row>
    <row r="1288" spans="1:93" x14ac:dyDescent="0.25">
      <c r="A1288" s="4">
        <v>2021</v>
      </c>
      <c r="B1288" s="318">
        <v>44298</v>
      </c>
      <c r="C1288" s="4" t="s">
        <v>66</v>
      </c>
      <c r="D1288" s="4" t="s">
        <v>1504</v>
      </c>
      <c r="F1288" s="4" t="s">
        <v>90</v>
      </c>
      <c r="G1288" s="5" t="s">
        <v>69</v>
      </c>
      <c r="H1288" s="5" t="s">
        <v>22</v>
      </c>
      <c r="I1288" s="5" t="s">
        <v>146</v>
      </c>
      <c r="J1288" s="5" t="s">
        <v>10</v>
      </c>
      <c r="K1288" s="5">
        <v>21.9</v>
      </c>
      <c r="L1288" s="5" t="s">
        <v>194</v>
      </c>
      <c r="M1288" s="5">
        <v>1600</v>
      </c>
      <c r="N1288" s="5" t="s">
        <v>170</v>
      </c>
      <c r="O1288" s="6" t="s">
        <v>81</v>
      </c>
      <c r="P1288" s="6" t="s">
        <v>1505</v>
      </c>
      <c r="S1288" s="6">
        <v>38</v>
      </c>
      <c r="T1288" s="6">
        <v>16.27</v>
      </c>
      <c r="U1288" s="6">
        <v>1446</v>
      </c>
      <c r="V1288" s="6">
        <v>21.44</v>
      </c>
      <c r="W1288" s="6">
        <v>65</v>
      </c>
      <c r="X1288" s="6">
        <v>525</v>
      </c>
      <c r="Y1288" s="6">
        <v>696</v>
      </c>
      <c r="Z1288" s="6">
        <v>155</v>
      </c>
      <c r="AA1288" s="6">
        <v>5</v>
      </c>
      <c r="AB1288" s="6">
        <v>0</v>
      </c>
      <c r="AC1288" s="7">
        <v>96</v>
      </c>
      <c r="AD1288" s="7" t="s">
        <v>52</v>
      </c>
      <c r="AE1288" s="7">
        <v>29.38</v>
      </c>
      <c r="AF1288" s="7">
        <v>78</v>
      </c>
      <c r="AG1288" s="7">
        <v>19.149999999999999</v>
      </c>
      <c r="AH1288" s="7">
        <v>55.91</v>
      </c>
      <c r="AI1288" s="7">
        <v>55.91</v>
      </c>
      <c r="AJ1288" s="9">
        <v>274.412941050212</v>
      </c>
      <c r="AK1288" s="9">
        <v>314.63386126249401</v>
      </c>
      <c r="AL1288" s="9">
        <v>339.77321549194301</v>
      </c>
      <c r="AM1288" s="9">
        <v>56.300013596349899</v>
      </c>
      <c r="AN1288" s="9">
        <v>0.586458474961978</v>
      </c>
      <c r="AO1288" s="9">
        <v>0.43100560739140298</v>
      </c>
      <c r="AP1288" s="9">
        <v>804.191598472343</v>
      </c>
      <c r="AQ1288" s="9">
        <v>8.3769958174202408</v>
      </c>
      <c r="AR1288" s="9">
        <v>9.49498077858774</v>
      </c>
      <c r="AS1288" s="8" t="s">
        <v>169</v>
      </c>
      <c r="AT1288" s="8" t="s">
        <v>169</v>
      </c>
      <c r="AU1288" s="10" t="s">
        <v>169</v>
      </c>
      <c r="AV1288" s="10">
        <v>0</v>
      </c>
      <c r="AX1288" s="10" t="s">
        <v>169</v>
      </c>
      <c r="BF1288" s="12">
        <v>0.56999999999999995</v>
      </c>
      <c r="BG1288" s="13">
        <v>337.30985967962698</v>
      </c>
      <c r="BH1288" s="96" t="str">
        <f>+VLOOKUP(G1288,Liste!$A$7:$G$50,3,FALSE)</f>
        <v>Chene_pedoncule</v>
      </c>
      <c r="BI1288" s="96" t="str">
        <f>+VLOOKUP(H1288,Liste!$B$7:$G$50,5,FALSE)</f>
        <v>Guide chênaie continentale</v>
      </c>
      <c r="BJ1288" s="135">
        <f t="shared" si="398"/>
        <v>96</v>
      </c>
      <c r="BK1288" s="135" t="str">
        <f t="shared" si="400"/>
        <v>Chene_pedoncule_F2_Dynamique_Guide chênaie continentale_96_</v>
      </c>
      <c r="BL1288" s="322"/>
      <c r="BM1288" s="13">
        <v>84.210617448333593</v>
      </c>
      <c r="BN1288" s="13">
        <v>421.52047712796002</v>
      </c>
      <c r="BO1288" s="13" t="s">
        <v>169</v>
      </c>
      <c r="BP1288" s="13">
        <v>281.59342762421699</v>
      </c>
      <c r="BQ1288" s="13">
        <v>11.3032510754452</v>
      </c>
      <c r="BT1288" s="298" t="str">
        <f>+VLOOKUP(G1288,Liste!$A$7:$H$50,8,FALSE)</f>
        <v>Feuillus</v>
      </c>
      <c r="BU1288" s="298">
        <f t="shared" si="401"/>
        <v>1</v>
      </c>
      <c r="BV1288" s="300">
        <f t="shared" si="402"/>
        <v>0</v>
      </c>
      <c r="BW1288" s="321">
        <v>0</v>
      </c>
      <c r="BX1288" s="298">
        <f t="shared" si="403"/>
        <v>0.25</v>
      </c>
      <c r="BY1288">
        <f t="shared" si="404"/>
        <v>0</v>
      </c>
      <c r="BZ1288" s="304">
        <f t="shared" si="405"/>
        <v>0</v>
      </c>
      <c r="CB1288" s="299">
        <v>0.6</v>
      </c>
      <c r="CC1288" s="299">
        <v>0.4</v>
      </c>
      <c r="CD1288">
        <f t="shared" si="406"/>
        <v>0</v>
      </c>
      <c r="CE1288">
        <f t="shared" si="407"/>
        <v>0</v>
      </c>
      <c r="CF1288">
        <f t="shared" si="408"/>
        <v>0</v>
      </c>
      <c r="CG1288">
        <f t="shared" si="409"/>
        <v>0</v>
      </c>
      <c r="CH1288">
        <f t="shared" si="410"/>
        <v>0</v>
      </c>
      <c r="CI1288">
        <f t="shared" si="411"/>
        <v>0</v>
      </c>
      <c r="CJ1288">
        <f t="shared" si="412"/>
        <v>0</v>
      </c>
      <c r="CK1288">
        <f t="shared" si="413"/>
        <v>0</v>
      </c>
      <c r="CL1288">
        <f t="shared" si="414"/>
        <v>0</v>
      </c>
      <c r="CM1288">
        <f t="shared" si="416"/>
        <v>0</v>
      </c>
      <c r="CN1288">
        <f t="shared" si="415"/>
        <v>0</v>
      </c>
      <c r="CO1288">
        <f t="shared" si="399"/>
        <v>0</v>
      </c>
    </row>
    <row r="1289" spans="1:93" x14ac:dyDescent="0.25">
      <c r="A1289" s="4">
        <v>2021</v>
      </c>
      <c r="B1289" s="318">
        <v>44298</v>
      </c>
      <c r="C1289" s="4" t="s">
        <v>66</v>
      </c>
      <c r="D1289" s="4" t="s">
        <v>1504</v>
      </c>
      <c r="F1289" s="4" t="s">
        <v>90</v>
      </c>
      <c r="G1289" s="5" t="s">
        <v>69</v>
      </c>
      <c r="H1289" s="5" t="s">
        <v>22</v>
      </c>
      <c r="I1289" s="5" t="s">
        <v>146</v>
      </c>
      <c r="J1289" s="5" t="s">
        <v>10</v>
      </c>
      <c r="K1289" s="5">
        <v>21.9</v>
      </c>
      <c r="L1289" s="5" t="s">
        <v>194</v>
      </c>
      <c r="M1289" s="5">
        <v>1600</v>
      </c>
      <c r="N1289" s="5" t="s">
        <v>170</v>
      </c>
      <c r="O1289" s="6" t="s">
        <v>81</v>
      </c>
      <c r="P1289" s="6" t="s">
        <v>1505</v>
      </c>
      <c r="S1289" s="6">
        <v>38</v>
      </c>
      <c r="T1289" s="6">
        <v>16.27</v>
      </c>
      <c r="U1289" s="6">
        <v>1446</v>
      </c>
      <c r="V1289" s="6">
        <v>21.44</v>
      </c>
      <c r="W1289" s="6">
        <v>65</v>
      </c>
      <c r="X1289" s="6">
        <v>525</v>
      </c>
      <c r="Y1289" s="6">
        <v>696</v>
      </c>
      <c r="Z1289" s="6">
        <v>155</v>
      </c>
      <c r="AA1289" s="6">
        <v>5</v>
      </c>
      <c r="AB1289" s="6">
        <v>0</v>
      </c>
      <c r="AC1289" s="7">
        <v>99</v>
      </c>
      <c r="AD1289" s="7" t="s">
        <v>52</v>
      </c>
      <c r="AE1289" s="7">
        <v>29.85</v>
      </c>
      <c r="AF1289" s="7">
        <v>78</v>
      </c>
      <c r="AG1289" s="7">
        <v>20.440000000000001</v>
      </c>
      <c r="AH1289" s="7">
        <v>57.77</v>
      </c>
      <c r="AI1289" s="7">
        <v>57.77</v>
      </c>
      <c r="AJ1289" s="9">
        <v>297.51595442007903</v>
      </c>
      <c r="AK1289" s="9">
        <v>341.57056954016502</v>
      </c>
      <c r="AL1289" s="9">
        <v>368.25815782770701</v>
      </c>
      <c r="AM1289" s="9">
        <v>57.593030418524101</v>
      </c>
      <c r="AN1289" s="9">
        <v>0.58174778200529398</v>
      </c>
      <c r="AO1289" s="9">
        <v>0.42960375937253498</v>
      </c>
      <c r="AP1289" s="9">
        <v>832.67654080810598</v>
      </c>
      <c r="AQ1289" s="9">
        <v>8.4108741495768307</v>
      </c>
      <c r="AR1289" s="9">
        <v>9.7891962190522896</v>
      </c>
      <c r="AS1289" s="8" t="s">
        <v>169</v>
      </c>
      <c r="AT1289" s="8" t="s">
        <v>169</v>
      </c>
      <c r="AU1289" s="10" t="s">
        <v>169</v>
      </c>
      <c r="AV1289" s="10">
        <v>0</v>
      </c>
      <c r="AX1289" s="10" t="s">
        <v>169</v>
      </c>
      <c r="BF1289" s="12">
        <v>0.56999999999999995</v>
      </c>
      <c r="BG1289" s="13">
        <v>365.58828618345598</v>
      </c>
      <c r="BH1289" s="96" t="str">
        <f>+VLOOKUP(G1289,Liste!$A$7:$G$50,3,FALSE)</f>
        <v>Chene_pedoncule</v>
      </c>
      <c r="BI1289" s="96" t="str">
        <f>+VLOOKUP(H1289,Liste!$B$7:$G$50,5,FALSE)</f>
        <v>Guide chênaie continentale</v>
      </c>
      <c r="BJ1289" s="135">
        <f t="shared" si="398"/>
        <v>99</v>
      </c>
      <c r="BK1289" s="135" t="str">
        <f t="shared" si="400"/>
        <v>Chene_pedoncule_F2_Dynamique_Guide chênaie continentale_99_</v>
      </c>
      <c r="BL1289" s="322"/>
      <c r="BM1289" s="13">
        <v>90.419138977458999</v>
      </c>
      <c r="BN1289" s="13">
        <v>456.00742516091498</v>
      </c>
      <c r="BO1289" s="13" t="s">
        <v>169</v>
      </c>
      <c r="BP1289" s="13">
        <v>281.59342762421699</v>
      </c>
      <c r="BQ1289" s="13">
        <v>11.644407524132101</v>
      </c>
      <c r="BT1289" s="298" t="str">
        <f>+VLOOKUP(G1289,Liste!$A$7:$H$50,8,FALSE)</f>
        <v>Feuillus</v>
      </c>
      <c r="BU1289" s="298">
        <f t="shared" si="401"/>
        <v>1</v>
      </c>
      <c r="BV1289" s="300">
        <f t="shared" si="402"/>
        <v>0</v>
      </c>
      <c r="BW1289" s="321">
        <v>0</v>
      </c>
      <c r="BX1289" s="298">
        <f t="shared" si="403"/>
        <v>0.25</v>
      </c>
      <c r="BY1289">
        <f t="shared" si="404"/>
        <v>0</v>
      </c>
      <c r="BZ1289" s="304">
        <f t="shared" si="405"/>
        <v>0</v>
      </c>
      <c r="CB1289" s="299">
        <v>0.6</v>
      </c>
      <c r="CC1289" s="299">
        <v>0.4</v>
      </c>
      <c r="CD1289">
        <f t="shared" si="406"/>
        <v>0</v>
      </c>
      <c r="CE1289">
        <f t="shared" si="407"/>
        <v>0</v>
      </c>
      <c r="CF1289">
        <f t="shared" si="408"/>
        <v>0</v>
      </c>
      <c r="CG1289">
        <f t="shared" si="409"/>
        <v>0</v>
      </c>
      <c r="CH1289">
        <f t="shared" si="410"/>
        <v>0</v>
      </c>
      <c r="CI1289">
        <f t="shared" si="411"/>
        <v>0</v>
      </c>
      <c r="CJ1289">
        <f t="shared" si="412"/>
        <v>0</v>
      </c>
      <c r="CK1289">
        <f t="shared" si="413"/>
        <v>0</v>
      </c>
      <c r="CL1289">
        <f t="shared" si="414"/>
        <v>0</v>
      </c>
      <c r="CM1289">
        <f t="shared" si="416"/>
        <v>0</v>
      </c>
      <c r="CN1289">
        <f t="shared" si="415"/>
        <v>0</v>
      </c>
      <c r="CO1289">
        <f t="shared" si="399"/>
        <v>0</v>
      </c>
    </row>
    <row r="1290" spans="1:93" x14ac:dyDescent="0.25">
      <c r="A1290" s="4">
        <v>2021</v>
      </c>
      <c r="B1290" s="318">
        <v>44298</v>
      </c>
      <c r="C1290" s="4" t="s">
        <v>66</v>
      </c>
      <c r="D1290" s="4" t="s">
        <v>1504</v>
      </c>
      <c r="F1290" s="4" t="s">
        <v>90</v>
      </c>
      <c r="G1290" s="5" t="s">
        <v>69</v>
      </c>
      <c r="H1290" s="5" t="s">
        <v>22</v>
      </c>
      <c r="I1290" s="5" t="s">
        <v>146</v>
      </c>
      <c r="J1290" s="5" t="s">
        <v>10</v>
      </c>
      <c r="K1290" s="5">
        <v>21.9</v>
      </c>
      <c r="L1290" s="5" t="s">
        <v>194</v>
      </c>
      <c r="M1290" s="5">
        <v>1600</v>
      </c>
      <c r="N1290" s="5" t="s">
        <v>170</v>
      </c>
      <c r="O1290" s="6" t="s">
        <v>81</v>
      </c>
      <c r="P1290" s="6" t="s">
        <v>1505</v>
      </c>
      <c r="S1290" s="6">
        <v>38</v>
      </c>
      <c r="T1290" s="6">
        <v>16.27</v>
      </c>
      <c r="U1290" s="6">
        <v>1446</v>
      </c>
      <c r="V1290" s="6">
        <v>21.44</v>
      </c>
      <c r="W1290" s="6">
        <v>65</v>
      </c>
      <c r="X1290" s="6">
        <v>525</v>
      </c>
      <c r="Y1290" s="6">
        <v>696</v>
      </c>
      <c r="Z1290" s="6">
        <v>155</v>
      </c>
      <c r="AA1290" s="6">
        <v>5</v>
      </c>
      <c r="AB1290" s="6">
        <v>0</v>
      </c>
      <c r="AC1290" s="7">
        <v>103</v>
      </c>
      <c r="AD1290" s="7" t="s">
        <v>52</v>
      </c>
      <c r="AE1290" s="7">
        <v>30.46</v>
      </c>
      <c r="AF1290" s="7">
        <v>78</v>
      </c>
      <c r="AG1290" s="7">
        <v>22.16</v>
      </c>
      <c r="AH1290" s="7">
        <v>60.15</v>
      </c>
      <c r="AI1290" s="7">
        <v>60.15</v>
      </c>
      <c r="AJ1290" s="9">
        <v>329.47293616028401</v>
      </c>
      <c r="AK1290" s="9">
        <v>378.685349312928</v>
      </c>
      <c r="AL1290" s="9">
        <v>407.41494270391598</v>
      </c>
      <c r="AM1290" s="9">
        <v>59.311445456014198</v>
      </c>
      <c r="AN1290" s="9">
        <v>0.57583927627198295</v>
      </c>
      <c r="AO1290" s="9">
        <v>0.39949172337857403</v>
      </c>
      <c r="AP1290" s="9">
        <v>871.83332568431501</v>
      </c>
      <c r="AQ1290" s="9">
        <v>8.4644012202360699</v>
      </c>
      <c r="AR1290" s="9">
        <v>9.02010538155597</v>
      </c>
      <c r="AS1290" s="8" t="s">
        <v>169</v>
      </c>
      <c r="AT1290" s="8" t="s">
        <v>169</v>
      </c>
      <c r="AU1290" s="10" t="s">
        <v>169</v>
      </c>
      <c r="AV1290" s="10">
        <v>0</v>
      </c>
      <c r="AX1290" s="10" t="s">
        <v>169</v>
      </c>
      <c r="BF1290" s="12">
        <v>0.56999999999999995</v>
      </c>
      <c r="BG1290" s="13">
        <v>404.46118436931198</v>
      </c>
      <c r="BH1290" s="96" t="str">
        <f>+VLOOKUP(G1290,Liste!$A$7:$G$50,3,FALSE)</f>
        <v>Chene_pedoncule</v>
      </c>
      <c r="BI1290" s="96" t="str">
        <f>+VLOOKUP(H1290,Liste!$B$7:$G$50,5,FALSE)</f>
        <v>Guide chênaie continentale</v>
      </c>
      <c r="BJ1290" s="135">
        <f t="shared" si="398"/>
        <v>103</v>
      </c>
      <c r="BK1290" s="135" t="str">
        <f t="shared" si="400"/>
        <v>Chene_pedoncule_F2_Dynamique_Guide chênaie continentale_103_</v>
      </c>
      <c r="BL1290" s="322"/>
      <c r="BM1290" s="13">
        <v>98.863681679139304</v>
      </c>
      <c r="BN1290" s="13">
        <v>503.32486604845201</v>
      </c>
      <c r="BO1290" s="13" t="s">
        <v>169</v>
      </c>
      <c r="BP1290" s="13">
        <v>281.59342762421699</v>
      </c>
      <c r="BQ1290" s="13">
        <v>10.7216939062462</v>
      </c>
      <c r="BT1290" s="298" t="str">
        <f>+VLOOKUP(G1290,Liste!$A$7:$H$50,8,FALSE)</f>
        <v>Feuillus</v>
      </c>
      <c r="BU1290" s="298">
        <f t="shared" si="401"/>
        <v>1</v>
      </c>
      <c r="BV1290" s="300">
        <f t="shared" si="402"/>
        <v>0</v>
      </c>
      <c r="BW1290" s="321">
        <v>0</v>
      </c>
      <c r="BX1290" s="298">
        <f t="shared" si="403"/>
        <v>0.25</v>
      </c>
      <c r="BY1290">
        <f t="shared" si="404"/>
        <v>0</v>
      </c>
      <c r="BZ1290" s="304">
        <f t="shared" si="405"/>
        <v>0</v>
      </c>
      <c r="CB1290" s="299">
        <v>0.6</v>
      </c>
      <c r="CC1290" s="299">
        <v>0.4</v>
      </c>
      <c r="CD1290">
        <f t="shared" si="406"/>
        <v>0</v>
      </c>
      <c r="CE1290">
        <f t="shared" si="407"/>
        <v>0</v>
      </c>
      <c r="CF1290">
        <f t="shared" si="408"/>
        <v>0</v>
      </c>
      <c r="CG1290">
        <f t="shared" si="409"/>
        <v>0</v>
      </c>
      <c r="CH1290">
        <f t="shared" si="410"/>
        <v>0</v>
      </c>
      <c r="CI1290">
        <f t="shared" si="411"/>
        <v>0</v>
      </c>
      <c r="CJ1290">
        <f t="shared" si="412"/>
        <v>0</v>
      </c>
      <c r="CK1290">
        <f t="shared" si="413"/>
        <v>0</v>
      </c>
      <c r="CL1290">
        <f t="shared" si="414"/>
        <v>0</v>
      </c>
      <c r="CM1290">
        <f t="shared" si="416"/>
        <v>0</v>
      </c>
      <c r="CN1290">
        <f t="shared" si="415"/>
        <v>0</v>
      </c>
      <c r="CO1290">
        <f t="shared" si="399"/>
        <v>0</v>
      </c>
    </row>
    <row r="1291" spans="1:93" x14ac:dyDescent="0.25">
      <c r="A1291" s="4">
        <v>2021</v>
      </c>
      <c r="B1291" s="318">
        <v>44298</v>
      </c>
      <c r="C1291" s="4" t="s">
        <v>66</v>
      </c>
      <c r="D1291" s="4" t="s">
        <v>1504</v>
      </c>
      <c r="F1291" s="4" t="s">
        <v>90</v>
      </c>
      <c r="G1291" s="5" t="s">
        <v>69</v>
      </c>
      <c r="H1291" s="5" t="s">
        <v>22</v>
      </c>
      <c r="I1291" s="5" t="s">
        <v>146</v>
      </c>
      <c r="J1291" s="5" t="s">
        <v>10</v>
      </c>
      <c r="K1291" s="5">
        <v>21.9</v>
      </c>
      <c r="L1291" s="5" t="s">
        <v>194</v>
      </c>
      <c r="M1291" s="5">
        <v>1600</v>
      </c>
      <c r="N1291" s="5" t="s">
        <v>170</v>
      </c>
      <c r="O1291" s="6" t="s">
        <v>81</v>
      </c>
      <c r="P1291" s="6" t="s">
        <v>1505</v>
      </c>
      <c r="S1291" s="6">
        <v>38</v>
      </c>
      <c r="T1291" s="6">
        <v>16.27</v>
      </c>
      <c r="U1291" s="6">
        <v>1446</v>
      </c>
      <c r="V1291" s="6">
        <v>21.44</v>
      </c>
      <c r="W1291" s="6">
        <v>65</v>
      </c>
      <c r="X1291" s="6">
        <v>525</v>
      </c>
      <c r="Y1291" s="6">
        <v>696</v>
      </c>
      <c r="Z1291" s="6">
        <v>155</v>
      </c>
      <c r="AA1291" s="6">
        <v>5</v>
      </c>
      <c r="AB1291" s="6">
        <v>0</v>
      </c>
      <c r="AC1291" s="7">
        <v>103</v>
      </c>
      <c r="AD1291" s="7" t="s">
        <v>53</v>
      </c>
      <c r="AE1291" s="7">
        <v>30.46</v>
      </c>
      <c r="AF1291" s="7">
        <v>63</v>
      </c>
      <c r="AG1291" s="7">
        <v>18.04</v>
      </c>
      <c r="AH1291" s="7">
        <v>60.39</v>
      </c>
      <c r="AI1291" s="7">
        <v>60.39</v>
      </c>
      <c r="AJ1291" s="9">
        <v>268.24759610140501</v>
      </c>
      <c r="AK1291" s="9">
        <v>308.47667001480698</v>
      </c>
      <c r="AL1291" s="9">
        <v>331.85392380331899</v>
      </c>
      <c r="AM1291" s="9">
        <v>59.311445456014198</v>
      </c>
      <c r="AN1291" s="9">
        <v>0.57583927627198295</v>
      </c>
      <c r="AO1291" s="9">
        <v>0.39949172337857403</v>
      </c>
      <c r="AP1291" s="9">
        <v>871.83332568431501</v>
      </c>
      <c r="AQ1291" s="9">
        <v>8.4644012202360699</v>
      </c>
      <c r="AR1291" s="9">
        <v>9.02010538155597</v>
      </c>
      <c r="AS1291" s="8">
        <v>15</v>
      </c>
      <c r="AT1291" s="8">
        <v>4.120000000000001</v>
      </c>
      <c r="AU1291" s="10">
        <v>59.136829609017042</v>
      </c>
      <c r="AV1291" s="10">
        <v>61.225340058878999</v>
      </c>
      <c r="AW1291" s="10">
        <v>0.97</v>
      </c>
      <c r="AX1291" s="10">
        <v>4.0816893372585996</v>
      </c>
      <c r="BF1291" s="12">
        <v>0.56999999999999995</v>
      </c>
      <c r="BG1291" s="13">
        <v>329.44798285574399</v>
      </c>
      <c r="BH1291" s="96" t="str">
        <f>+VLOOKUP(G1291,Liste!$A$7:$G$50,3,FALSE)</f>
        <v>Chene_pedoncule</v>
      </c>
      <c r="BI1291" s="96" t="str">
        <f>+VLOOKUP(H1291,Liste!$B$7:$G$50,5,FALSE)</f>
        <v>Guide chênaie continentale</v>
      </c>
      <c r="BJ1291" s="135">
        <f t="shared" si="398"/>
        <v>103</v>
      </c>
      <c r="BK1291" s="135" t="str">
        <f t="shared" si="400"/>
        <v>Chene_pedoncule_F2_Dynamique_Guide chênaie continentale_103_</v>
      </c>
      <c r="BL1291" s="322"/>
      <c r="BM1291" s="13">
        <v>82.473962066199604</v>
      </c>
      <c r="BN1291" s="13">
        <v>411.92194492194398</v>
      </c>
      <c r="BO1291" s="13">
        <v>91.402921126508033</v>
      </c>
      <c r="BP1291" s="13">
        <v>281.59342762421699</v>
      </c>
      <c r="BQ1291" s="13">
        <v>10.7216939062462</v>
      </c>
      <c r="BT1291" s="298" t="str">
        <f>+VLOOKUP(G1291,Liste!$A$7:$H$50,8,FALSE)</f>
        <v>Feuillus</v>
      </c>
      <c r="BU1291" s="298">
        <f t="shared" si="401"/>
        <v>1</v>
      </c>
      <c r="BV1291" s="300">
        <f t="shared" si="402"/>
        <v>0</v>
      </c>
      <c r="BW1291" s="321">
        <v>0</v>
      </c>
      <c r="BX1291" s="298">
        <f t="shared" si="403"/>
        <v>0.25</v>
      </c>
      <c r="BY1291">
        <f t="shared" si="404"/>
        <v>0</v>
      </c>
      <c r="BZ1291" s="304">
        <f t="shared" si="405"/>
        <v>0</v>
      </c>
      <c r="CB1291" s="299">
        <v>0.6</v>
      </c>
      <c r="CC1291" s="299">
        <v>0.4</v>
      </c>
      <c r="CD1291">
        <f t="shared" si="406"/>
        <v>0</v>
      </c>
      <c r="CE1291">
        <f t="shared" si="407"/>
        <v>0</v>
      </c>
      <c r="CF1291">
        <f t="shared" si="408"/>
        <v>0</v>
      </c>
      <c r="CG1291">
        <f t="shared" si="409"/>
        <v>0</v>
      </c>
      <c r="CH1291">
        <f t="shared" si="410"/>
        <v>0</v>
      </c>
      <c r="CI1291">
        <f t="shared" si="411"/>
        <v>0</v>
      </c>
      <c r="CJ1291">
        <f t="shared" si="412"/>
        <v>0</v>
      </c>
      <c r="CK1291">
        <f t="shared" si="413"/>
        <v>0</v>
      </c>
      <c r="CL1291">
        <f t="shared" si="414"/>
        <v>0</v>
      </c>
      <c r="CM1291">
        <f t="shared" si="416"/>
        <v>0</v>
      </c>
      <c r="CN1291">
        <f t="shared" si="415"/>
        <v>0</v>
      </c>
      <c r="CO1291">
        <f t="shared" si="399"/>
        <v>0</v>
      </c>
    </row>
    <row r="1292" spans="1:93" x14ac:dyDescent="0.25">
      <c r="A1292" s="4">
        <v>2021</v>
      </c>
      <c r="B1292" s="318">
        <v>44298</v>
      </c>
      <c r="C1292" s="4" t="s">
        <v>66</v>
      </c>
      <c r="D1292" s="4" t="s">
        <v>1504</v>
      </c>
      <c r="F1292" s="4" t="s">
        <v>90</v>
      </c>
      <c r="G1292" s="5" t="s">
        <v>69</v>
      </c>
      <c r="H1292" s="5" t="s">
        <v>22</v>
      </c>
      <c r="I1292" s="5" t="s">
        <v>146</v>
      </c>
      <c r="J1292" s="5" t="s">
        <v>10</v>
      </c>
      <c r="K1292" s="5">
        <v>21.9</v>
      </c>
      <c r="L1292" s="5" t="s">
        <v>194</v>
      </c>
      <c r="M1292" s="5">
        <v>1600</v>
      </c>
      <c r="N1292" s="5" t="s">
        <v>170</v>
      </c>
      <c r="O1292" s="6" t="s">
        <v>81</v>
      </c>
      <c r="P1292" s="6" t="s">
        <v>1505</v>
      </c>
      <c r="S1292" s="6">
        <v>38</v>
      </c>
      <c r="T1292" s="6">
        <v>16.27</v>
      </c>
      <c r="U1292" s="6">
        <v>1446</v>
      </c>
      <c r="V1292" s="6">
        <v>21.44</v>
      </c>
      <c r="W1292" s="6">
        <v>65</v>
      </c>
      <c r="X1292" s="6">
        <v>525</v>
      </c>
      <c r="Y1292" s="6">
        <v>696</v>
      </c>
      <c r="Z1292" s="6">
        <v>155</v>
      </c>
      <c r="AA1292" s="6">
        <v>5</v>
      </c>
      <c r="AB1292" s="6">
        <v>0</v>
      </c>
      <c r="AC1292" s="7">
        <v>106</v>
      </c>
      <c r="AD1292" s="7" t="s">
        <v>52</v>
      </c>
      <c r="AE1292" s="7">
        <v>30.91</v>
      </c>
      <c r="AF1292" s="7">
        <v>63</v>
      </c>
      <c r="AG1292" s="7">
        <v>19.239999999999998</v>
      </c>
      <c r="AH1292" s="7">
        <v>62.36</v>
      </c>
      <c r="AI1292" s="7">
        <v>62.36</v>
      </c>
      <c r="AJ1292" s="9">
        <v>290.12128502856001</v>
      </c>
      <c r="AK1292" s="9">
        <v>334.114813878365</v>
      </c>
      <c r="AL1292" s="9">
        <v>358.91423994798703</v>
      </c>
      <c r="AM1292" s="9">
        <v>60.509920626149899</v>
      </c>
      <c r="AN1292" s="9">
        <v>0.57084830779386697</v>
      </c>
      <c r="AO1292" s="9">
        <v>0.40112002655889301</v>
      </c>
      <c r="AP1292" s="9">
        <v>898.89364182898305</v>
      </c>
      <c r="AQ1292" s="9">
        <v>8.4801286964998397</v>
      </c>
      <c r="AR1292" s="9">
        <v>9.3797977369698309</v>
      </c>
      <c r="AS1292" s="8" t="s">
        <v>169</v>
      </c>
      <c r="AT1292" s="8" t="s">
        <v>169</v>
      </c>
      <c r="AU1292" s="10" t="s">
        <v>169</v>
      </c>
      <c r="AV1292" s="10">
        <v>0</v>
      </c>
      <c r="AX1292" s="10" t="s">
        <v>169</v>
      </c>
      <c r="BF1292" s="12">
        <v>0.56999999999999995</v>
      </c>
      <c r="BG1292" s="13">
        <v>356.312111708364</v>
      </c>
      <c r="BH1292" s="96" t="str">
        <f>+VLOOKUP(G1292,Liste!$A$7:$G$50,3,FALSE)</f>
        <v>Chene_pedoncule</v>
      </c>
      <c r="BI1292" s="96" t="str">
        <f>+VLOOKUP(H1292,Liste!$B$7:$G$50,5,FALSE)</f>
        <v>Guide chênaie continentale</v>
      </c>
      <c r="BJ1292" s="135">
        <f t="shared" si="398"/>
        <v>106</v>
      </c>
      <c r="BK1292" s="135" t="str">
        <f t="shared" si="400"/>
        <v>Chene_pedoncule_F2_Dynamique_Guide chênaie continentale_106_</v>
      </c>
      <c r="BL1292" s="322"/>
      <c r="BM1292" s="13">
        <v>88.388934877413405</v>
      </c>
      <c r="BN1292" s="13">
        <v>444.70104658577702</v>
      </c>
      <c r="BO1292" s="13" t="s">
        <v>169</v>
      </c>
      <c r="BP1292" s="13">
        <v>281.59342762421699</v>
      </c>
      <c r="BQ1292" s="13">
        <v>11.142686399779899</v>
      </c>
      <c r="BT1292" s="298" t="str">
        <f>+VLOOKUP(G1292,Liste!$A$7:$H$50,8,FALSE)</f>
        <v>Feuillus</v>
      </c>
      <c r="BU1292" s="298">
        <f t="shared" si="401"/>
        <v>1</v>
      </c>
      <c r="BV1292" s="300">
        <f t="shared" si="402"/>
        <v>0</v>
      </c>
      <c r="BW1292" s="321">
        <v>0</v>
      </c>
      <c r="BX1292" s="298">
        <f t="shared" si="403"/>
        <v>0.25</v>
      </c>
      <c r="BY1292">
        <f t="shared" si="404"/>
        <v>0</v>
      </c>
      <c r="BZ1292" s="304">
        <f t="shared" si="405"/>
        <v>0</v>
      </c>
      <c r="CB1292" s="299">
        <v>0.6</v>
      </c>
      <c r="CC1292" s="299">
        <v>0.4</v>
      </c>
      <c r="CD1292">
        <f t="shared" si="406"/>
        <v>0</v>
      </c>
      <c r="CE1292">
        <f t="shared" si="407"/>
        <v>0</v>
      </c>
      <c r="CF1292">
        <f t="shared" si="408"/>
        <v>0</v>
      </c>
      <c r="CG1292">
        <f t="shared" si="409"/>
        <v>0</v>
      </c>
      <c r="CH1292">
        <f t="shared" si="410"/>
        <v>0</v>
      </c>
      <c r="CI1292">
        <f t="shared" si="411"/>
        <v>0</v>
      </c>
      <c r="CJ1292">
        <f t="shared" si="412"/>
        <v>0</v>
      </c>
      <c r="CK1292">
        <f t="shared" si="413"/>
        <v>0</v>
      </c>
      <c r="CL1292">
        <f t="shared" si="414"/>
        <v>0</v>
      </c>
      <c r="CM1292">
        <f t="shared" si="416"/>
        <v>0</v>
      </c>
      <c r="CN1292">
        <f t="shared" si="415"/>
        <v>0</v>
      </c>
      <c r="CO1292">
        <f t="shared" si="399"/>
        <v>0</v>
      </c>
    </row>
    <row r="1293" spans="1:93" x14ac:dyDescent="0.25">
      <c r="A1293" s="4">
        <v>2021</v>
      </c>
      <c r="B1293" s="318">
        <v>44298</v>
      </c>
      <c r="C1293" s="4" t="s">
        <v>66</v>
      </c>
      <c r="D1293" s="4" t="s">
        <v>1504</v>
      </c>
      <c r="F1293" s="4" t="s">
        <v>90</v>
      </c>
      <c r="G1293" s="5" t="s">
        <v>69</v>
      </c>
      <c r="H1293" s="5" t="s">
        <v>22</v>
      </c>
      <c r="I1293" s="5" t="s">
        <v>146</v>
      </c>
      <c r="J1293" s="5" t="s">
        <v>10</v>
      </c>
      <c r="K1293" s="5">
        <v>21.9</v>
      </c>
      <c r="L1293" s="5" t="s">
        <v>194</v>
      </c>
      <c r="M1293" s="5">
        <v>1600</v>
      </c>
      <c r="N1293" s="5" t="s">
        <v>170</v>
      </c>
      <c r="O1293" s="6" t="s">
        <v>81</v>
      </c>
      <c r="P1293" s="6" t="s">
        <v>1505</v>
      </c>
      <c r="S1293" s="6">
        <v>38</v>
      </c>
      <c r="T1293" s="6">
        <v>16.27</v>
      </c>
      <c r="U1293" s="6">
        <v>1446</v>
      </c>
      <c r="V1293" s="6">
        <v>21.44</v>
      </c>
      <c r="W1293" s="6">
        <v>65</v>
      </c>
      <c r="X1293" s="6">
        <v>525</v>
      </c>
      <c r="Y1293" s="6">
        <v>696</v>
      </c>
      <c r="Z1293" s="6">
        <v>155</v>
      </c>
      <c r="AA1293" s="6">
        <v>5</v>
      </c>
      <c r="AB1293" s="6">
        <v>0</v>
      </c>
      <c r="AC1293" s="7">
        <v>109</v>
      </c>
      <c r="AD1293" s="7" t="s">
        <v>52</v>
      </c>
      <c r="AE1293" s="7">
        <v>31.35</v>
      </c>
      <c r="AF1293" s="7">
        <v>63</v>
      </c>
      <c r="AG1293" s="7">
        <v>20.440000000000001</v>
      </c>
      <c r="AH1293" s="7">
        <v>64.28</v>
      </c>
      <c r="AI1293" s="7">
        <v>64.28</v>
      </c>
      <c r="AJ1293" s="9">
        <v>313.040657650757</v>
      </c>
      <c r="AK1293" s="9">
        <v>360.83663403705702</v>
      </c>
      <c r="AL1293" s="9">
        <v>387.05363315889599</v>
      </c>
      <c r="AM1293" s="9">
        <v>61.713280705826598</v>
      </c>
      <c r="AN1293" s="9">
        <v>0.56617688720941906</v>
      </c>
      <c r="AO1293" s="9">
        <v>0.40195196741745098</v>
      </c>
      <c r="AP1293" s="9">
        <v>927.03303503989298</v>
      </c>
      <c r="AQ1293" s="9">
        <v>8.5048902297237898</v>
      </c>
      <c r="AR1293" s="9">
        <v>9.4755617770113592</v>
      </c>
      <c r="AS1293" s="8" t="s">
        <v>169</v>
      </c>
      <c r="AT1293" s="8" t="s">
        <v>169</v>
      </c>
      <c r="AU1293" s="10" t="s">
        <v>169</v>
      </c>
      <c r="AV1293" s="10">
        <v>0</v>
      </c>
      <c r="AX1293" s="10" t="s">
        <v>169</v>
      </c>
      <c r="BF1293" s="12">
        <v>0.56999999999999995</v>
      </c>
      <c r="BG1293" s="13">
        <v>384.24749431849398</v>
      </c>
      <c r="BH1293" s="96" t="str">
        <f>+VLOOKUP(G1293,Liste!$A$7:$G$50,3,FALSE)</f>
        <v>Chene_pedoncule</v>
      </c>
      <c r="BI1293" s="96" t="str">
        <f>+VLOOKUP(H1293,Liste!$B$7:$G$50,5,FALSE)</f>
        <v>Guide chênaie continentale</v>
      </c>
      <c r="BJ1293" s="135">
        <f t="shared" si="398"/>
        <v>109</v>
      </c>
      <c r="BK1293" s="135" t="str">
        <f t="shared" si="400"/>
        <v>Chene_pedoncule_F2_Dynamique_Guide chênaie continentale_109_</v>
      </c>
      <c r="BL1293" s="322"/>
      <c r="BM1293" s="13">
        <v>94.484966655017203</v>
      </c>
      <c r="BN1293" s="13">
        <v>478.73246097351102</v>
      </c>
      <c r="BO1293" s="13" t="s">
        <v>169</v>
      </c>
      <c r="BP1293" s="13">
        <v>281.59342762421699</v>
      </c>
      <c r="BQ1293" s="13">
        <v>11.248821837025799</v>
      </c>
      <c r="BT1293" s="298" t="str">
        <f>+VLOOKUP(G1293,Liste!$A$7:$H$50,8,FALSE)</f>
        <v>Feuillus</v>
      </c>
      <c r="BU1293" s="298">
        <f t="shared" si="401"/>
        <v>1</v>
      </c>
      <c r="BV1293" s="300">
        <f t="shared" si="402"/>
        <v>0</v>
      </c>
      <c r="BW1293" s="321">
        <v>0</v>
      </c>
      <c r="BX1293" s="298">
        <f t="shared" si="403"/>
        <v>0.25</v>
      </c>
      <c r="BY1293">
        <f t="shared" si="404"/>
        <v>0</v>
      </c>
      <c r="BZ1293" s="304">
        <f t="shared" si="405"/>
        <v>0</v>
      </c>
      <c r="CB1293" s="299">
        <v>0.6</v>
      </c>
      <c r="CC1293" s="299">
        <v>0.4</v>
      </c>
      <c r="CD1293">
        <f t="shared" si="406"/>
        <v>0</v>
      </c>
      <c r="CE1293">
        <f t="shared" si="407"/>
        <v>0</v>
      </c>
      <c r="CF1293">
        <f t="shared" si="408"/>
        <v>0</v>
      </c>
      <c r="CG1293">
        <f t="shared" si="409"/>
        <v>0</v>
      </c>
      <c r="CH1293">
        <f t="shared" si="410"/>
        <v>0</v>
      </c>
      <c r="CI1293">
        <f t="shared" si="411"/>
        <v>0</v>
      </c>
      <c r="CJ1293">
        <f t="shared" si="412"/>
        <v>0</v>
      </c>
      <c r="CK1293">
        <f t="shared" si="413"/>
        <v>0</v>
      </c>
      <c r="CL1293">
        <f t="shared" si="414"/>
        <v>0</v>
      </c>
      <c r="CM1293">
        <f t="shared" si="416"/>
        <v>0</v>
      </c>
      <c r="CN1293">
        <f t="shared" si="415"/>
        <v>0</v>
      </c>
      <c r="CO1293">
        <f t="shared" si="399"/>
        <v>0</v>
      </c>
    </row>
    <row r="1294" spans="1:93" x14ac:dyDescent="0.25">
      <c r="A1294" s="4">
        <v>2021</v>
      </c>
      <c r="B1294" s="318">
        <v>44298</v>
      </c>
      <c r="C1294" s="4" t="s">
        <v>66</v>
      </c>
      <c r="D1294" s="4" t="s">
        <v>1504</v>
      </c>
      <c r="F1294" s="4" t="s">
        <v>90</v>
      </c>
      <c r="G1294" s="5" t="s">
        <v>69</v>
      </c>
      <c r="H1294" s="5" t="s">
        <v>22</v>
      </c>
      <c r="I1294" s="5" t="s">
        <v>146</v>
      </c>
      <c r="J1294" s="5" t="s">
        <v>10</v>
      </c>
      <c r="K1294" s="5">
        <v>21.9</v>
      </c>
      <c r="L1294" s="5" t="s">
        <v>194</v>
      </c>
      <c r="M1294" s="5">
        <v>1600</v>
      </c>
      <c r="N1294" s="5" t="s">
        <v>170</v>
      </c>
      <c r="O1294" s="6" t="s">
        <v>81</v>
      </c>
      <c r="P1294" s="6" t="s">
        <v>1505</v>
      </c>
      <c r="S1294" s="6">
        <v>38</v>
      </c>
      <c r="T1294" s="6">
        <v>16.27</v>
      </c>
      <c r="U1294" s="6">
        <v>1446</v>
      </c>
      <c r="V1294" s="6">
        <v>21.44</v>
      </c>
      <c r="W1294" s="6">
        <v>65</v>
      </c>
      <c r="X1294" s="6">
        <v>525</v>
      </c>
      <c r="Y1294" s="6">
        <v>696</v>
      </c>
      <c r="Z1294" s="6">
        <v>155</v>
      </c>
      <c r="AA1294" s="6">
        <v>5</v>
      </c>
      <c r="AB1294" s="6">
        <v>0</v>
      </c>
      <c r="AC1294" s="7">
        <v>113</v>
      </c>
      <c r="AD1294" s="7" t="s">
        <v>52</v>
      </c>
      <c r="AE1294" s="7">
        <v>31.94</v>
      </c>
      <c r="AF1294" s="7">
        <v>63</v>
      </c>
      <c r="AG1294" s="7">
        <v>22.05</v>
      </c>
      <c r="AH1294" s="7">
        <v>66.760000000000005</v>
      </c>
      <c r="AI1294" s="7">
        <v>66.760000000000005</v>
      </c>
      <c r="AJ1294" s="9">
        <v>343.834692384064</v>
      </c>
      <c r="AK1294" s="9">
        <v>396.85176165799402</v>
      </c>
      <c r="AL1294" s="9">
        <v>424.95588026694202</v>
      </c>
      <c r="AM1294" s="9">
        <v>63.321088575496397</v>
      </c>
      <c r="AN1294" s="9">
        <v>0.56036361571235804</v>
      </c>
      <c r="AO1294" s="9">
        <v>0.37449080337759899</v>
      </c>
      <c r="AP1294" s="9">
        <v>964.93528214793798</v>
      </c>
      <c r="AQ1294" s="9">
        <v>8.5392502844950293</v>
      </c>
      <c r="AR1294" s="9">
        <v>8.9183165441334395</v>
      </c>
      <c r="AS1294" s="8" t="s">
        <v>169</v>
      </c>
      <c r="AT1294" s="8" t="s">
        <v>169</v>
      </c>
      <c r="AU1294" s="10" t="s">
        <v>169</v>
      </c>
      <c r="AV1294" s="10">
        <v>0</v>
      </c>
      <c r="AX1294" s="10" t="s">
        <v>169</v>
      </c>
      <c r="BF1294" s="12">
        <v>0.56999999999999995</v>
      </c>
      <c r="BG1294" s="13">
        <v>421.87495013500597</v>
      </c>
      <c r="BH1294" s="96" t="str">
        <f>+VLOOKUP(G1294,Liste!$A$7:$G$50,3,FALSE)</f>
        <v>Chene_pedoncule</v>
      </c>
      <c r="BI1294" s="96" t="str">
        <f>+VLOOKUP(H1294,Liste!$B$7:$G$50,5,FALSE)</f>
        <v>Guide chênaie continentale</v>
      </c>
      <c r="BJ1294" s="135">
        <f t="shared" si="398"/>
        <v>113</v>
      </c>
      <c r="BK1294" s="135" t="str">
        <f t="shared" si="400"/>
        <v>Chene_pedoncule_F2_Dynamique_Guide chênaie continentale_113_</v>
      </c>
      <c r="BL1294" s="322"/>
      <c r="BM1294" s="13">
        <v>102.61544838759001</v>
      </c>
      <c r="BN1294" s="13">
        <v>524.49039852259602</v>
      </c>
      <c r="BO1294" s="13" t="s">
        <v>169</v>
      </c>
      <c r="BP1294" s="13">
        <v>281.59342762421699</v>
      </c>
      <c r="BQ1294" s="13">
        <v>10.580517716785099</v>
      </c>
      <c r="BT1294" s="298" t="str">
        <f>+VLOOKUP(G1294,Liste!$A$7:$H$50,8,FALSE)</f>
        <v>Feuillus</v>
      </c>
      <c r="BU1294" s="298">
        <f t="shared" si="401"/>
        <v>1</v>
      </c>
      <c r="BV1294" s="300">
        <f t="shared" si="402"/>
        <v>0</v>
      </c>
      <c r="BW1294" s="321">
        <v>0</v>
      </c>
      <c r="BX1294" s="298">
        <f t="shared" si="403"/>
        <v>0.25</v>
      </c>
      <c r="BY1294">
        <f t="shared" si="404"/>
        <v>0</v>
      </c>
      <c r="BZ1294" s="304">
        <f t="shared" si="405"/>
        <v>0</v>
      </c>
      <c r="CB1294" s="299">
        <v>0.6</v>
      </c>
      <c r="CC1294" s="299">
        <v>0.4</v>
      </c>
      <c r="CD1294">
        <f t="shared" si="406"/>
        <v>0</v>
      </c>
      <c r="CE1294">
        <f t="shared" si="407"/>
        <v>0</v>
      </c>
      <c r="CF1294">
        <f t="shared" si="408"/>
        <v>0</v>
      </c>
      <c r="CG1294">
        <f t="shared" si="409"/>
        <v>0</v>
      </c>
      <c r="CH1294">
        <f t="shared" si="410"/>
        <v>0</v>
      </c>
      <c r="CI1294">
        <f t="shared" si="411"/>
        <v>0</v>
      </c>
      <c r="CJ1294">
        <f t="shared" si="412"/>
        <v>0</v>
      </c>
      <c r="CK1294">
        <f t="shared" si="413"/>
        <v>0</v>
      </c>
      <c r="CL1294">
        <f t="shared" si="414"/>
        <v>0</v>
      </c>
      <c r="CM1294">
        <f t="shared" si="416"/>
        <v>0</v>
      </c>
      <c r="CN1294">
        <f t="shared" si="415"/>
        <v>0</v>
      </c>
      <c r="CO1294">
        <f t="shared" si="399"/>
        <v>0</v>
      </c>
    </row>
    <row r="1295" spans="1:93" x14ac:dyDescent="0.25">
      <c r="A1295" s="4">
        <v>2021</v>
      </c>
      <c r="B1295" s="318">
        <v>44298</v>
      </c>
      <c r="C1295" s="4" t="s">
        <v>66</v>
      </c>
      <c r="D1295" s="4" t="s">
        <v>1504</v>
      </c>
      <c r="F1295" s="4" t="s">
        <v>90</v>
      </c>
      <c r="G1295" s="5" t="s">
        <v>69</v>
      </c>
      <c r="H1295" s="5" t="s">
        <v>22</v>
      </c>
      <c r="I1295" s="5" t="s">
        <v>146</v>
      </c>
      <c r="J1295" s="5" t="s">
        <v>10</v>
      </c>
      <c r="K1295" s="5">
        <v>21.9</v>
      </c>
      <c r="L1295" s="5" t="s">
        <v>194</v>
      </c>
      <c r="M1295" s="5">
        <v>1600</v>
      </c>
      <c r="N1295" s="5" t="s">
        <v>170</v>
      </c>
      <c r="O1295" s="6" t="s">
        <v>81</v>
      </c>
      <c r="P1295" s="6" t="s">
        <v>1505</v>
      </c>
      <c r="S1295" s="6">
        <v>38</v>
      </c>
      <c r="T1295" s="6">
        <v>16.27</v>
      </c>
      <c r="U1295" s="6">
        <v>1446</v>
      </c>
      <c r="V1295" s="6">
        <v>21.44</v>
      </c>
      <c r="W1295" s="6">
        <v>65</v>
      </c>
      <c r="X1295" s="6">
        <v>525</v>
      </c>
      <c r="Y1295" s="6">
        <v>696</v>
      </c>
      <c r="Z1295" s="6">
        <v>155</v>
      </c>
      <c r="AA1295" s="6">
        <v>5</v>
      </c>
      <c r="AB1295" s="6">
        <v>0</v>
      </c>
      <c r="AC1295" s="7">
        <v>113</v>
      </c>
      <c r="AD1295" s="7" t="s">
        <v>53</v>
      </c>
      <c r="AE1295" s="7">
        <v>31.94</v>
      </c>
      <c r="AF1295" s="7">
        <v>51</v>
      </c>
      <c r="AG1295" s="7">
        <v>18.010000000000002</v>
      </c>
      <c r="AH1295" s="7">
        <v>67.05</v>
      </c>
      <c r="AI1295" s="7">
        <v>67.05</v>
      </c>
      <c r="AJ1295" s="9">
        <v>280.85156591203298</v>
      </c>
      <c r="AK1295" s="9">
        <v>324.33999421299501</v>
      </c>
      <c r="AL1295" s="9">
        <v>347.28001092370499</v>
      </c>
      <c r="AM1295" s="9">
        <v>63.321088575496397</v>
      </c>
      <c r="AN1295" s="9">
        <v>0.56036361571235804</v>
      </c>
      <c r="AO1295" s="9">
        <v>0.37449080337759899</v>
      </c>
      <c r="AP1295" s="9">
        <v>964.93528214793798</v>
      </c>
      <c r="AQ1295" s="9">
        <v>8.5392502844950293</v>
      </c>
      <c r="AR1295" s="9">
        <v>8.9183165441334395</v>
      </c>
      <c r="AS1295" s="8">
        <v>12</v>
      </c>
      <c r="AT1295" s="8">
        <v>4.0399999999999991</v>
      </c>
      <c r="AU1295" s="10">
        <v>65.471926303887784</v>
      </c>
      <c r="AV1295" s="10">
        <v>62.983126472031017</v>
      </c>
      <c r="AW1295" s="10">
        <v>0.96</v>
      </c>
      <c r="AX1295" s="10">
        <v>5.2485938726692511</v>
      </c>
      <c r="BF1295" s="12">
        <v>0.56999999999999995</v>
      </c>
      <c r="BG1295" s="13">
        <v>344.762230844508</v>
      </c>
      <c r="BH1295" s="96" t="str">
        <f>+VLOOKUP(G1295,Liste!$A$7:$G$50,3,FALSE)</f>
        <v>Chene_pedoncule</v>
      </c>
      <c r="BI1295" s="96" t="str">
        <f>+VLOOKUP(H1295,Liste!$B$7:$G$50,5,FALSE)</f>
        <v>Guide chênaie continentale</v>
      </c>
      <c r="BJ1295" s="135">
        <f t="shared" si="398"/>
        <v>113</v>
      </c>
      <c r="BK1295" s="135" t="str">
        <f t="shared" si="400"/>
        <v>Chene_pedoncule_F2_Dynamique_Guide chênaie continentale_113_</v>
      </c>
      <c r="BL1295" s="322"/>
      <c r="BM1295" s="13">
        <v>85.852468477140604</v>
      </c>
      <c r="BN1295" s="13">
        <v>430.61469932164903</v>
      </c>
      <c r="BO1295" s="13">
        <v>93.875699200946997</v>
      </c>
      <c r="BP1295" s="13">
        <v>281.59342762421699</v>
      </c>
      <c r="BQ1295" s="13">
        <v>10.580517716785099</v>
      </c>
      <c r="BT1295" s="298" t="str">
        <f>+VLOOKUP(G1295,Liste!$A$7:$H$50,8,FALSE)</f>
        <v>Feuillus</v>
      </c>
      <c r="BU1295" s="298">
        <f t="shared" si="401"/>
        <v>1</v>
      </c>
      <c r="BV1295" s="300">
        <f t="shared" si="402"/>
        <v>0</v>
      </c>
      <c r="BW1295" s="321">
        <v>0</v>
      </c>
      <c r="BX1295" s="298">
        <f t="shared" si="403"/>
        <v>0.25</v>
      </c>
      <c r="BY1295">
        <f t="shared" si="404"/>
        <v>0</v>
      </c>
      <c r="BZ1295" s="304">
        <f t="shared" si="405"/>
        <v>0</v>
      </c>
      <c r="CB1295" s="299">
        <v>0.6</v>
      </c>
      <c r="CC1295" s="299">
        <v>0.4</v>
      </c>
      <c r="CD1295">
        <f t="shared" si="406"/>
        <v>0</v>
      </c>
      <c r="CE1295">
        <f t="shared" si="407"/>
        <v>0</v>
      </c>
      <c r="CF1295">
        <f t="shared" si="408"/>
        <v>0</v>
      </c>
      <c r="CG1295">
        <f t="shared" si="409"/>
        <v>0</v>
      </c>
      <c r="CH1295">
        <f t="shared" si="410"/>
        <v>0</v>
      </c>
      <c r="CI1295">
        <f t="shared" si="411"/>
        <v>0</v>
      </c>
      <c r="CJ1295">
        <f t="shared" si="412"/>
        <v>0</v>
      </c>
      <c r="CK1295">
        <f t="shared" si="413"/>
        <v>0</v>
      </c>
      <c r="CL1295">
        <f t="shared" si="414"/>
        <v>0</v>
      </c>
      <c r="CM1295">
        <f t="shared" si="416"/>
        <v>0</v>
      </c>
      <c r="CN1295">
        <f t="shared" si="415"/>
        <v>0</v>
      </c>
      <c r="CO1295">
        <f t="shared" si="399"/>
        <v>0</v>
      </c>
    </row>
    <row r="1296" spans="1:93" x14ac:dyDescent="0.25">
      <c r="A1296" s="4">
        <v>2021</v>
      </c>
      <c r="B1296" s="318">
        <v>44298</v>
      </c>
      <c r="C1296" s="4" t="s">
        <v>66</v>
      </c>
      <c r="D1296" s="4" t="s">
        <v>1504</v>
      </c>
      <c r="F1296" s="4" t="s">
        <v>90</v>
      </c>
      <c r="G1296" s="5" t="s">
        <v>69</v>
      </c>
      <c r="H1296" s="5" t="s">
        <v>22</v>
      </c>
      <c r="I1296" s="5" t="s">
        <v>146</v>
      </c>
      <c r="J1296" s="5" t="s">
        <v>10</v>
      </c>
      <c r="K1296" s="5">
        <v>21.9</v>
      </c>
      <c r="L1296" s="5" t="s">
        <v>194</v>
      </c>
      <c r="M1296" s="5">
        <v>1600</v>
      </c>
      <c r="N1296" s="5" t="s">
        <v>170</v>
      </c>
      <c r="O1296" s="6" t="s">
        <v>81</v>
      </c>
      <c r="P1296" s="6" t="s">
        <v>1505</v>
      </c>
      <c r="S1296" s="6">
        <v>38</v>
      </c>
      <c r="T1296" s="6">
        <v>16.27</v>
      </c>
      <c r="U1296" s="6">
        <v>1446</v>
      </c>
      <c r="V1296" s="6">
        <v>21.44</v>
      </c>
      <c r="W1296" s="6">
        <v>65</v>
      </c>
      <c r="X1296" s="6">
        <v>525</v>
      </c>
      <c r="Y1296" s="6">
        <v>696</v>
      </c>
      <c r="Z1296" s="6">
        <v>155</v>
      </c>
      <c r="AA1296" s="6">
        <v>5</v>
      </c>
      <c r="AB1296" s="6">
        <v>0</v>
      </c>
      <c r="AC1296" s="7">
        <v>116</v>
      </c>
      <c r="AD1296" s="7" t="s">
        <v>52</v>
      </c>
      <c r="AE1296" s="7">
        <v>32.369999999999997</v>
      </c>
      <c r="AF1296" s="7">
        <v>51</v>
      </c>
      <c r="AG1296" s="7">
        <v>19.13</v>
      </c>
      <c r="AH1296" s="7">
        <v>69.12</v>
      </c>
      <c r="AI1296" s="7">
        <v>69.12</v>
      </c>
      <c r="AJ1296" s="9">
        <v>302.53745874910601</v>
      </c>
      <c r="AK1296" s="9">
        <v>349.78213961557901</v>
      </c>
      <c r="AL1296" s="9">
        <v>374.03496055610498</v>
      </c>
      <c r="AM1296" s="9">
        <v>64.444560985629195</v>
      </c>
      <c r="AN1296" s="9">
        <v>0.55555656022094202</v>
      </c>
      <c r="AO1296" s="9">
        <v>0.37769463883563997</v>
      </c>
      <c r="AP1296" s="9">
        <v>991.69023178033899</v>
      </c>
      <c r="AQ1296" s="9">
        <v>8.5490537222443006</v>
      </c>
      <c r="AR1296" s="9">
        <v>9.0592896717091307</v>
      </c>
      <c r="AS1296" s="8" t="s">
        <v>169</v>
      </c>
      <c r="AT1296" s="8" t="s">
        <v>169</v>
      </c>
      <c r="AU1296" s="10" t="s">
        <v>169</v>
      </c>
      <c r="AV1296" s="10">
        <v>0</v>
      </c>
      <c r="AX1296" s="10" t="s">
        <v>169</v>
      </c>
      <c r="BF1296" s="12">
        <v>0.56999999999999995</v>
      </c>
      <c r="BG1296" s="13">
        <v>371.32320709207301</v>
      </c>
      <c r="BH1296" s="96" t="str">
        <f>+VLOOKUP(G1296,Liste!$A$7:$G$50,3,FALSE)</f>
        <v>Chene_pedoncule</v>
      </c>
      <c r="BI1296" s="96" t="str">
        <f>+VLOOKUP(H1296,Liste!$B$7:$G$50,5,FALSE)</f>
        <v>Guide chênaie continentale</v>
      </c>
      <c r="BJ1296" s="135">
        <f t="shared" si="398"/>
        <v>116</v>
      </c>
      <c r="BK1296" s="135" t="str">
        <f t="shared" si="400"/>
        <v>Chene_pedoncule_F2_Dynamique_Guide chênaie continentale_116_</v>
      </c>
      <c r="BL1296" s="322"/>
      <c r="BM1296" s="13">
        <v>91.671290403176002</v>
      </c>
      <c r="BN1296" s="13">
        <v>462.99449749525002</v>
      </c>
      <c r="BO1296" s="13" t="s">
        <v>169</v>
      </c>
      <c r="BP1296" s="13">
        <v>281.59342762421699</v>
      </c>
      <c r="BQ1296" s="13">
        <v>10.7422221261982</v>
      </c>
      <c r="BT1296" s="298" t="str">
        <f>+VLOOKUP(G1296,Liste!$A$7:$H$50,8,FALSE)</f>
        <v>Feuillus</v>
      </c>
      <c r="BU1296" s="298">
        <f t="shared" si="401"/>
        <v>1</v>
      </c>
      <c r="BV1296" s="300">
        <f t="shared" si="402"/>
        <v>0</v>
      </c>
      <c r="BW1296" s="321">
        <v>0</v>
      </c>
      <c r="BX1296" s="298">
        <f t="shared" si="403"/>
        <v>0.25</v>
      </c>
      <c r="BY1296">
        <f t="shared" si="404"/>
        <v>0</v>
      </c>
      <c r="BZ1296" s="304">
        <f t="shared" si="405"/>
        <v>0</v>
      </c>
      <c r="CB1296" s="299">
        <v>0.6</v>
      </c>
      <c r="CC1296" s="299">
        <v>0.4</v>
      </c>
      <c r="CD1296">
        <f t="shared" si="406"/>
        <v>0</v>
      </c>
      <c r="CE1296">
        <f t="shared" si="407"/>
        <v>0</v>
      </c>
      <c r="CF1296">
        <f t="shared" si="408"/>
        <v>0</v>
      </c>
      <c r="CG1296">
        <f t="shared" si="409"/>
        <v>0</v>
      </c>
      <c r="CH1296">
        <f t="shared" si="410"/>
        <v>0</v>
      </c>
      <c r="CI1296">
        <f t="shared" si="411"/>
        <v>0</v>
      </c>
      <c r="CJ1296">
        <f t="shared" si="412"/>
        <v>0</v>
      </c>
      <c r="CK1296">
        <f t="shared" si="413"/>
        <v>0</v>
      </c>
      <c r="CL1296">
        <f t="shared" si="414"/>
        <v>0</v>
      </c>
      <c r="CM1296">
        <f t="shared" si="416"/>
        <v>0</v>
      </c>
      <c r="CN1296">
        <f t="shared" si="415"/>
        <v>0</v>
      </c>
      <c r="CO1296">
        <f t="shared" si="399"/>
        <v>0</v>
      </c>
    </row>
    <row r="1297" spans="1:93" x14ac:dyDescent="0.25">
      <c r="A1297" s="4">
        <v>2021</v>
      </c>
      <c r="B1297" s="318">
        <v>44298</v>
      </c>
      <c r="C1297" s="4" t="s">
        <v>66</v>
      </c>
      <c r="D1297" s="4" t="s">
        <v>1504</v>
      </c>
      <c r="F1297" s="4" t="s">
        <v>90</v>
      </c>
      <c r="G1297" s="5" t="s">
        <v>69</v>
      </c>
      <c r="H1297" s="5" t="s">
        <v>22</v>
      </c>
      <c r="I1297" s="5" t="s">
        <v>146</v>
      </c>
      <c r="J1297" s="5" t="s">
        <v>10</v>
      </c>
      <c r="K1297" s="5">
        <v>21.9</v>
      </c>
      <c r="L1297" s="5" t="s">
        <v>194</v>
      </c>
      <c r="M1297" s="5">
        <v>1600</v>
      </c>
      <c r="N1297" s="5" t="s">
        <v>170</v>
      </c>
      <c r="O1297" s="6" t="s">
        <v>81</v>
      </c>
      <c r="P1297" s="6" t="s">
        <v>1505</v>
      </c>
      <c r="S1297" s="6">
        <v>38</v>
      </c>
      <c r="T1297" s="6">
        <v>16.27</v>
      </c>
      <c r="U1297" s="6">
        <v>1446</v>
      </c>
      <c r="V1297" s="6">
        <v>21.44</v>
      </c>
      <c r="W1297" s="6">
        <v>65</v>
      </c>
      <c r="X1297" s="6">
        <v>525</v>
      </c>
      <c r="Y1297" s="6">
        <v>696</v>
      </c>
      <c r="Z1297" s="6">
        <v>155</v>
      </c>
      <c r="AA1297" s="6">
        <v>5</v>
      </c>
      <c r="AB1297" s="6">
        <v>0</v>
      </c>
      <c r="AC1297" s="7">
        <v>119</v>
      </c>
      <c r="AD1297" s="7" t="s">
        <v>52</v>
      </c>
      <c r="AE1297" s="7">
        <v>32.799999999999997</v>
      </c>
      <c r="AF1297" s="7">
        <v>51</v>
      </c>
      <c r="AG1297" s="7">
        <v>20.27</v>
      </c>
      <c r="AH1297" s="7">
        <v>71.13</v>
      </c>
      <c r="AI1297" s="7">
        <v>71.13</v>
      </c>
      <c r="AJ1297" s="9">
        <v>324.52033880482497</v>
      </c>
      <c r="AK1297" s="9">
        <v>375.64035602513798</v>
      </c>
      <c r="AL1297" s="9">
        <v>401.21282957123299</v>
      </c>
      <c r="AM1297" s="9">
        <v>65.5776449021362</v>
      </c>
      <c r="AN1297" s="9">
        <v>0.55107264623643804</v>
      </c>
      <c r="AO1297" s="9">
        <v>0.379108767863787</v>
      </c>
      <c r="AP1297" s="9">
        <v>1018.86810079547</v>
      </c>
      <c r="AQ1297" s="9">
        <v>8.5619168134072794</v>
      </c>
      <c r="AR1297" s="9">
        <v>9.4110359891293491</v>
      </c>
      <c r="AS1297" s="8" t="s">
        <v>169</v>
      </c>
      <c r="AT1297" s="8" t="s">
        <v>169</v>
      </c>
      <c r="AU1297" s="10" t="s">
        <v>169</v>
      </c>
      <c r="AV1297" s="10">
        <v>0</v>
      </c>
      <c r="AX1297" s="10" t="s">
        <v>169</v>
      </c>
      <c r="BF1297" s="12">
        <v>0.56999999999999995</v>
      </c>
      <c r="BG1297" s="13">
        <v>398.30403655684103</v>
      </c>
      <c r="BH1297" s="96" t="str">
        <f>+VLOOKUP(G1297,Liste!$A$7:$G$50,3,FALSE)</f>
        <v>Chene_pedoncule</v>
      </c>
      <c r="BI1297" s="96" t="str">
        <f>+VLOOKUP(H1297,Liste!$B$7:$G$50,5,FALSE)</f>
        <v>Guide chênaie continentale</v>
      </c>
      <c r="BJ1297" s="135">
        <f t="shared" si="398"/>
        <v>119</v>
      </c>
      <c r="BK1297" s="135" t="str">
        <f t="shared" si="400"/>
        <v>Chene_pedoncule_F2_Dynamique_Guide chênaie continentale_119_</v>
      </c>
      <c r="BL1297" s="322"/>
      <c r="BM1297" s="13">
        <v>97.532669528344698</v>
      </c>
      <c r="BN1297" s="13">
        <v>495.83670608518599</v>
      </c>
      <c r="BO1297" s="13" t="s">
        <v>169</v>
      </c>
      <c r="BP1297" s="13">
        <v>281.59342762421699</v>
      </c>
      <c r="BQ1297" s="13">
        <v>11.152620560000599</v>
      </c>
      <c r="BT1297" s="298" t="str">
        <f>+VLOOKUP(G1297,Liste!$A$7:$H$50,8,FALSE)</f>
        <v>Feuillus</v>
      </c>
      <c r="BU1297" s="298">
        <f t="shared" si="401"/>
        <v>1</v>
      </c>
      <c r="BV1297" s="300">
        <f t="shared" si="402"/>
        <v>0</v>
      </c>
      <c r="BW1297" s="321">
        <v>0</v>
      </c>
      <c r="BX1297" s="298">
        <f t="shared" si="403"/>
        <v>0.25</v>
      </c>
      <c r="BY1297">
        <f t="shared" si="404"/>
        <v>0</v>
      </c>
      <c r="BZ1297" s="304">
        <f t="shared" si="405"/>
        <v>0</v>
      </c>
      <c r="CB1297" s="299">
        <v>0.6</v>
      </c>
      <c r="CC1297" s="299">
        <v>0.4</v>
      </c>
      <c r="CD1297">
        <f t="shared" si="406"/>
        <v>0</v>
      </c>
      <c r="CE1297">
        <f t="shared" si="407"/>
        <v>0</v>
      </c>
      <c r="CF1297">
        <f t="shared" si="408"/>
        <v>0</v>
      </c>
      <c r="CG1297">
        <f t="shared" si="409"/>
        <v>0</v>
      </c>
      <c r="CH1297">
        <f t="shared" si="410"/>
        <v>0</v>
      </c>
      <c r="CI1297">
        <f t="shared" si="411"/>
        <v>0</v>
      </c>
      <c r="CJ1297">
        <f t="shared" si="412"/>
        <v>0</v>
      </c>
      <c r="CK1297">
        <f t="shared" si="413"/>
        <v>0</v>
      </c>
      <c r="CL1297">
        <f t="shared" si="414"/>
        <v>0</v>
      </c>
      <c r="CM1297">
        <f t="shared" si="416"/>
        <v>0</v>
      </c>
      <c r="CN1297">
        <f t="shared" si="415"/>
        <v>0</v>
      </c>
      <c r="CO1297">
        <f t="shared" si="399"/>
        <v>0</v>
      </c>
    </row>
    <row r="1298" spans="1:93" x14ac:dyDescent="0.25">
      <c r="A1298" s="4">
        <v>2021</v>
      </c>
      <c r="B1298" s="318">
        <v>44298</v>
      </c>
      <c r="C1298" s="4" t="s">
        <v>66</v>
      </c>
      <c r="D1298" s="4" t="s">
        <v>1504</v>
      </c>
      <c r="F1298" s="4" t="s">
        <v>90</v>
      </c>
      <c r="G1298" s="5" t="s">
        <v>69</v>
      </c>
      <c r="H1298" s="5" t="s">
        <v>22</v>
      </c>
      <c r="I1298" s="5" t="s">
        <v>146</v>
      </c>
      <c r="J1298" s="5" t="s">
        <v>10</v>
      </c>
      <c r="K1298" s="5">
        <v>21.9</v>
      </c>
      <c r="L1298" s="5" t="s">
        <v>194</v>
      </c>
      <c r="M1298" s="5">
        <v>1600</v>
      </c>
      <c r="N1298" s="5" t="s">
        <v>170</v>
      </c>
      <c r="O1298" s="6" t="s">
        <v>81</v>
      </c>
      <c r="P1298" s="6" t="s">
        <v>1505</v>
      </c>
      <c r="S1298" s="6">
        <v>38</v>
      </c>
      <c r="T1298" s="6">
        <v>16.27</v>
      </c>
      <c r="U1298" s="6">
        <v>1446</v>
      </c>
      <c r="V1298" s="6">
        <v>21.44</v>
      </c>
      <c r="W1298" s="6">
        <v>65</v>
      </c>
      <c r="X1298" s="6">
        <v>525</v>
      </c>
      <c r="Y1298" s="6">
        <v>696</v>
      </c>
      <c r="Z1298" s="6">
        <v>155</v>
      </c>
      <c r="AA1298" s="6">
        <v>5</v>
      </c>
      <c r="AB1298" s="6">
        <v>0</v>
      </c>
      <c r="AC1298" s="7">
        <v>123</v>
      </c>
      <c r="AD1298" s="7" t="s">
        <v>52</v>
      </c>
      <c r="AE1298" s="7">
        <v>33.369999999999997</v>
      </c>
      <c r="AF1298" s="7">
        <v>51</v>
      </c>
      <c r="AG1298" s="7">
        <v>21.78</v>
      </c>
      <c r="AH1298" s="7">
        <v>73.75</v>
      </c>
      <c r="AI1298" s="7">
        <v>73.75</v>
      </c>
      <c r="AJ1298" s="9">
        <v>355.18472610882299</v>
      </c>
      <c r="AK1298" s="9">
        <v>411.53105901735103</v>
      </c>
      <c r="AL1298" s="9">
        <v>438.85697352774997</v>
      </c>
      <c r="AM1298" s="9">
        <v>67.094079973591306</v>
      </c>
      <c r="AN1298" s="9">
        <v>0.54548032498854704</v>
      </c>
      <c r="AO1298" s="9">
        <v>0.220065753658538</v>
      </c>
      <c r="AP1298" s="9">
        <v>1056.51224475198</v>
      </c>
      <c r="AQ1298" s="9">
        <v>8.5895304451380792</v>
      </c>
      <c r="AR1298" s="9">
        <v>5.3864290966383797</v>
      </c>
      <c r="AS1298" s="8" t="s">
        <v>169</v>
      </c>
      <c r="AT1298" s="8" t="s">
        <v>169</v>
      </c>
      <c r="AU1298" s="10" t="s">
        <v>169</v>
      </c>
      <c r="AV1298" s="10">
        <v>0</v>
      </c>
      <c r="AX1298" s="10" t="s">
        <v>169</v>
      </c>
      <c r="BF1298" s="12">
        <v>0.56999999999999995</v>
      </c>
      <c r="BG1298" s="13">
        <v>435.67526046967401</v>
      </c>
      <c r="BH1298" s="96" t="str">
        <f>+VLOOKUP(G1298,Liste!$A$7:$G$50,3,FALSE)</f>
        <v>Chene_pedoncule</v>
      </c>
      <c r="BI1298" s="96" t="str">
        <f>+VLOOKUP(H1298,Liste!$B$7:$G$50,5,FALSE)</f>
        <v>Guide chênaie continentale</v>
      </c>
      <c r="BJ1298" s="135">
        <f t="shared" si="398"/>
        <v>123</v>
      </c>
      <c r="BK1298" s="135" t="str">
        <f t="shared" si="400"/>
        <v>Chene_pedoncule_F2_Dynamique_Guide chênaie continentale_123_</v>
      </c>
      <c r="BL1298" s="322"/>
      <c r="BM1298" s="13">
        <v>105.5758857085</v>
      </c>
      <c r="BN1298" s="13">
        <v>541.25114617817405</v>
      </c>
      <c r="BO1298" s="13" t="s">
        <v>169</v>
      </c>
      <c r="BP1298" s="13">
        <v>281.59342762421699</v>
      </c>
      <c r="BQ1298" s="13">
        <v>6.3804455917035101</v>
      </c>
      <c r="BT1298" s="298" t="str">
        <f>+VLOOKUP(G1298,Liste!$A$7:$H$50,8,FALSE)</f>
        <v>Feuillus</v>
      </c>
      <c r="BU1298" s="298">
        <f t="shared" si="401"/>
        <v>1</v>
      </c>
      <c r="BV1298" s="300">
        <f t="shared" si="402"/>
        <v>0</v>
      </c>
      <c r="BW1298" s="321">
        <v>0</v>
      </c>
      <c r="BX1298" s="298">
        <f t="shared" si="403"/>
        <v>0.25</v>
      </c>
      <c r="BY1298">
        <f t="shared" si="404"/>
        <v>0</v>
      </c>
      <c r="BZ1298" s="304">
        <f t="shared" si="405"/>
        <v>0</v>
      </c>
      <c r="CB1298" s="299">
        <v>0.6</v>
      </c>
      <c r="CC1298" s="299">
        <v>0.4</v>
      </c>
      <c r="CD1298">
        <f t="shared" si="406"/>
        <v>0</v>
      </c>
      <c r="CE1298">
        <f t="shared" si="407"/>
        <v>0</v>
      </c>
      <c r="CF1298">
        <f t="shared" si="408"/>
        <v>0</v>
      </c>
      <c r="CG1298">
        <f t="shared" si="409"/>
        <v>0</v>
      </c>
      <c r="CH1298">
        <f t="shared" si="410"/>
        <v>0</v>
      </c>
      <c r="CI1298">
        <f t="shared" si="411"/>
        <v>0</v>
      </c>
      <c r="CJ1298">
        <f t="shared" si="412"/>
        <v>0</v>
      </c>
      <c r="CK1298">
        <f t="shared" si="413"/>
        <v>0</v>
      </c>
      <c r="CL1298">
        <f t="shared" si="414"/>
        <v>0</v>
      </c>
      <c r="CM1298">
        <f t="shared" si="416"/>
        <v>0</v>
      </c>
      <c r="CN1298">
        <f t="shared" si="415"/>
        <v>0</v>
      </c>
      <c r="CO1298">
        <f t="shared" si="399"/>
        <v>0</v>
      </c>
    </row>
    <row r="1299" spans="1:93" x14ac:dyDescent="0.25">
      <c r="A1299" s="4">
        <v>2021</v>
      </c>
      <c r="B1299" s="318">
        <v>44298</v>
      </c>
      <c r="C1299" s="4" t="s">
        <v>66</v>
      </c>
      <c r="D1299" s="4" t="s">
        <v>1504</v>
      </c>
      <c r="F1299" s="4" t="s">
        <v>90</v>
      </c>
      <c r="G1299" s="5" t="s">
        <v>69</v>
      </c>
      <c r="H1299" s="5" t="s">
        <v>22</v>
      </c>
      <c r="I1299" s="5" t="s">
        <v>146</v>
      </c>
      <c r="J1299" s="5" t="s">
        <v>10</v>
      </c>
      <c r="K1299" s="5">
        <v>21.9</v>
      </c>
      <c r="L1299" s="5" t="s">
        <v>194</v>
      </c>
      <c r="M1299" s="5">
        <v>1600</v>
      </c>
      <c r="N1299" s="5" t="s">
        <v>170</v>
      </c>
      <c r="O1299" s="6" t="s">
        <v>81</v>
      </c>
      <c r="P1299" s="6" t="s">
        <v>1505</v>
      </c>
      <c r="S1299" s="6">
        <v>38</v>
      </c>
      <c r="T1299" s="6">
        <v>16.27</v>
      </c>
      <c r="U1299" s="6">
        <v>1446</v>
      </c>
      <c r="V1299" s="6">
        <v>21.44</v>
      </c>
      <c r="W1299" s="6">
        <v>65</v>
      </c>
      <c r="X1299" s="6">
        <v>525</v>
      </c>
      <c r="Y1299" s="6">
        <v>696</v>
      </c>
      <c r="Z1299" s="6">
        <v>155</v>
      </c>
      <c r="AA1299" s="6">
        <v>5</v>
      </c>
      <c r="AB1299" s="6">
        <v>0</v>
      </c>
      <c r="AC1299" s="7">
        <v>123</v>
      </c>
      <c r="AD1299" s="7" t="s">
        <v>53</v>
      </c>
      <c r="AE1299" s="7">
        <v>33.369999999999997</v>
      </c>
      <c r="AF1299" s="7">
        <v>26</v>
      </c>
      <c r="AG1299" s="7">
        <v>11.2</v>
      </c>
      <c r="AH1299" s="7">
        <v>74.069999999999993</v>
      </c>
      <c r="AI1299" s="7">
        <v>74.069999999999993</v>
      </c>
      <c r="AJ1299" s="9">
        <v>182.64325119866899</v>
      </c>
      <c r="AK1299" s="9">
        <v>211.73900433909699</v>
      </c>
      <c r="AL1299" s="9">
        <v>225.78454256066399</v>
      </c>
      <c r="AM1299" s="9">
        <v>67.094079973591306</v>
      </c>
      <c r="AN1299" s="9">
        <v>0.54548032498854704</v>
      </c>
      <c r="AO1299" s="9">
        <v>0.220065753658538</v>
      </c>
      <c r="AP1299" s="9">
        <v>1056.51224475198</v>
      </c>
      <c r="AQ1299" s="9">
        <v>8.5895304451380792</v>
      </c>
      <c r="AR1299" s="9">
        <v>5.3864290966383797</v>
      </c>
      <c r="AS1299" s="8">
        <v>25</v>
      </c>
      <c r="AT1299" s="8">
        <v>10.580000000000002</v>
      </c>
      <c r="AU1299" s="10">
        <v>73.405379593863614</v>
      </c>
      <c r="AV1299" s="10">
        <v>172.54147491015399</v>
      </c>
      <c r="AW1299" s="10">
        <v>0.99</v>
      </c>
      <c r="AX1299" s="10">
        <v>6.9016589964061597</v>
      </c>
      <c r="BF1299" s="12">
        <v>0.56999999999999995</v>
      </c>
      <c r="BG1299" s="13">
        <v>224.14760462709901</v>
      </c>
      <c r="BH1299" s="96" t="str">
        <f>+VLOOKUP(G1299,Liste!$A$7:$G$50,3,FALSE)</f>
        <v>Chene_pedoncule</v>
      </c>
      <c r="BI1299" s="96" t="str">
        <f>+VLOOKUP(H1299,Liste!$B$7:$G$50,5,FALSE)</f>
        <v>Guide chênaie continentale</v>
      </c>
      <c r="BJ1299" s="135">
        <f t="shared" si="398"/>
        <v>123</v>
      </c>
      <c r="BK1299" s="135" t="str">
        <f t="shared" si="400"/>
        <v>Chene_pedoncule_F2_Dynamique_Guide chênaie continentale_123_</v>
      </c>
      <c r="BL1299" s="322"/>
      <c r="BM1299" s="13">
        <v>58.685705264271903</v>
      </c>
      <c r="BN1299" s="13">
        <v>282.83330989137102</v>
      </c>
      <c r="BO1299" s="13">
        <v>258.41783628680304</v>
      </c>
      <c r="BP1299" s="13">
        <v>281.59342762421699</v>
      </c>
      <c r="BQ1299" s="13">
        <v>6.3804455917035101</v>
      </c>
      <c r="BT1299" s="298" t="str">
        <f>+VLOOKUP(G1299,Liste!$A$7:$H$50,8,FALSE)</f>
        <v>Feuillus</v>
      </c>
      <c r="BU1299" s="298">
        <f t="shared" si="401"/>
        <v>1</v>
      </c>
      <c r="BV1299" s="300">
        <f t="shared" si="402"/>
        <v>0</v>
      </c>
      <c r="BW1299" s="321">
        <v>0</v>
      </c>
      <c r="BX1299" s="298">
        <f t="shared" si="403"/>
        <v>0.25</v>
      </c>
      <c r="BY1299">
        <f t="shared" si="404"/>
        <v>0</v>
      </c>
      <c r="BZ1299" s="304">
        <f t="shared" si="405"/>
        <v>0</v>
      </c>
      <c r="CB1299" s="299">
        <v>0.6</v>
      </c>
      <c r="CC1299" s="299">
        <v>0.4</v>
      </c>
      <c r="CD1299">
        <f t="shared" si="406"/>
        <v>0</v>
      </c>
      <c r="CE1299">
        <f t="shared" si="407"/>
        <v>0</v>
      </c>
      <c r="CF1299">
        <f t="shared" si="408"/>
        <v>0</v>
      </c>
      <c r="CG1299">
        <f t="shared" si="409"/>
        <v>0</v>
      </c>
      <c r="CH1299">
        <f t="shared" si="410"/>
        <v>0</v>
      </c>
      <c r="CI1299">
        <f t="shared" si="411"/>
        <v>0</v>
      </c>
      <c r="CJ1299">
        <f t="shared" si="412"/>
        <v>0</v>
      </c>
      <c r="CK1299">
        <f t="shared" si="413"/>
        <v>0</v>
      </c>
      <c r="CL1299">
        <f t="shared" si="414"/>
        <v>0</v>
      </c>
      <c r="CM1299">
        <f t="shared" si="416"/>
        <v>0</v>
      </c>
      <c r="CN1299">
        <f t="shared" si="415"/>
        <v>0</v>
      </c>
      <c r="CO1299">
        <f t="shared" si="399"/>
        <v>0</v>
      </c>
    </row>
    <row r="1300" spans="1:93" x14ac:dyDescent="0.25">
      <c r="A1300" s="4">
        <v>2021</v>
      </c>
      <c r="B1300" s="318">
        <v>44298</v>
      </c>
      <c r="C1300" s="4" t="s">
        <v>66</v>
      </c>
      <c r="D1300" s="4" t="s">
        <v>1504</v>
      </c>
      <c r="F1300" s="4" t="s">
        <v>90</v>
      </c>
      <c r="G1300" s="5" t="s">
        <v>69</v>
      </c>
      <c r="H1300" s="5" t="s">
        <v>22</v>
      </c>
      <c r="I1300" s="5" t="s">
        <v>146</v>
      </c>
      <c r="J1300" s="5" t="s">
        <v>10</v>
      </c>
      <c r="K1300" s="5">
        <v>21.9</v>
      </c>
      <c r="L1300" s="5" t="s">
        <v>194</v>
      </c>
      <c r="M1300" s="5">
        <v>1600</v>
      </c>
      <c r="N1300" s="5" t="s">
        <v>170</v>
      </c>
      <c r="O1300" s="6" t="s">
        <v>81</v>
      </c>
      <c r="P1300" s="6" t="s">
        <v>1505</v>
      </c>
      <c r="S1300" s="6">
        <v>38</v>
      </c>
      <c r="T1300" s="6">
        <v>16.27</v>
      </c>
      <c r="U1300" s="6">
        <v>1446</v>
      </c>
      <c r="V1300" s="6">
        <v>21.44</v>
      </c>
      <c r="W1300" s="6">
        <v>65</v>
      </c>
      <c r="X1300" s="6">
        <v>525</v>
      </c>
      <c r="Y1300" s="6">
        <v>696</v>
      </c>
      <c r="Z1300" s="6">
        <v>155</v>
      </c>
      <c r="AA1300" s="6">
        <v>5</v>
      </c>
      <c r="AB1300" s="6">
        <v>0</v>
      </c>
      <c r="AC1300" s="7">
        <v>125</v>
      </c>
      <c r="AD1300" s="7" t="s">
        <v>52</v>
      </c>
      <c r="AE1300" s="7">
        <v>33.65</v>
      </c>
      <c r="AF1300" s="7">
        <v>26</v>
      </c>
      <c r="AG1300" s="7">
        <v>11.64</v>
      </c>
      <c r="AH1300" s="7">
        <v>75.510000000000005</v>
      </c>
      <c r="AI1300" s="7">
        <v>75.510000000000005</v>
      </c>
      <c r="AJ1300" s="9">
        <v>191.332110377167</v>
      </c>
      <c r="AK1300" s="9">
        <v>222.003297617893</v>
      </c>
      <c r="AL1300" s="9">
        <v>236.55740075394101</v>
      </c>
      <c r="AM1300" s="9">
        <v>67.534211480908397</v>
      </c>
      <c r="AN1300" s="9">
        <v>0.54027369184726703</v>
      </c>
      <c r="AO1300" s="9">
        <v>0.147556161585506</v>
      </c>
      <c r="AP1300" s="9">
        <v>1067.28510294526</v>
      </c>
      <c r="AQ1300" s="9">
        <v>8.5382808235620793</v>
      </c>
      <c r="AR1300" s="9">
        <v>3.6225523911905402</v>
      </c>
      <c r="AS1300" s="8" t="s">
        <v>169</v>
      </c>
      <c r="AT1300" s="8" t="s">
        <v>169</v>
      </c>
      <c r="AU1300" s="10" t="s">
        <v>169</v>
      </c>
      <c r="AV1300" s="10">
        <v>0</v>
      </c>
      <c r="AX1300" s="10" t="s">
        <v>169</v>
      </c>
      <c r="BF1300" s="12">
        <v>0.56999999999999995</v>
      </c>
      <c r="BG1300" s="13">
        <v>234.84235959847399</v>
      </c>
      <c r="BH1300" s="96" t="str">
        <f>+VLOOKUP(G1300,Liste!$A$7:$G$50,3,FALSE)</f>
        <v>Chene_pedoncule</v>
      </c>
      <c r="BI1300" s="96" t="str">
        <f>+VLOOKUP(H1300,Liste!$B$7:$G$50,5,FALSE)</f>
        <v>Guide chênaie continentale</v>
      </c>
      <c r="BJ1300" s="135">
        <f t="shared" si="398"/>
        <v>125</v>
      </c>
      <c r="BK1300" s="135" t="str">
        <f t="shared" si="400"/>
        <v>Chene_pedoncule_F2_Dynamique_Guide chênaie continentale_125_</v>
      </c>
      <c r="BL1300" s="322"/>
      <c r="BM1300" s="13">
        <v>61.153096679600701</v>
      </c>
      <c r="BN1300" s="13">
        <v>295.99545627807498</v>
      </c>
      <c r="BO1300" s="13" t="s">
        <v>169</v>
      </c>
      <c r="BP1300" s="13">
        <v>281.59342762421699</v>
      </c>
      <c r="BQ1300" s="13">
        <v>4.2903783981145098</v>
      </c>
      <c r="BT1300" s="298" t="str">
        <f>+VLOOKUP(G1300,Liste!$A$7:$H$50,8,FALSE)</f>
        <v>Feuillus</v>
      </c>
      <c r="BU1300" s="298">
        <f t="shared" si="401"/>
        <v>1</v>
      </c>
      <c r="BV1300" s="300">
        <f t="shared" si="402"/>
        <v>0</v>
      </c>
      <c r="BW1300" s="321">
        <v>0</v>
      </c>
      <c r="BX1300" s="298">
        <f t="shared" si="403"/>
        <v>0.25</v>
      </c>
      <c r="BY1300">
        <f t="shared" si="404"/>
        <v>0</v>
      </c>
      <c r="BZ1300" s="304">
        <f t="shared" si="405"/>
        <v>0</v>
      </c>
      <c r="CB1300" s="299">
        <v>0.6</v>
      </c>
      <c r="CC1300" s="299">
        <v>0.4</v>
      </c>
      <c r="CD1300">
        <f t="shared" si="406"/>
        <v>0</v>
      </c>
      <c r="CE1300">
        <f t="shared" si="407"/>
        <v>0</v>
      </c>
      <c r="CF1300">
        <f t="shared" si="408"/>
        <v>0</v>
      </c>
      <c r="CG1300">
        <f t="shared" si="409"/>
        <v>0</v>
      </c>
      <c r="CH1300">
        <f t="shared" si="410"/>
        <v>0</v>
      </c>
      <c r="CI1300">
        <f t="shared" si="411"/>
        <v>0</v>
      </c>
      <c r="CJ1300">
        <f t="shared" si="412"/>
        <v>0</v>
      </c>
      <c r="CK1300">
        <f t="shared" si="413"/>
        <v>0</v>
      </c>
      <c r="CL1300">
        <f t="shared" si="414"/>
        <v>0</v>
      </c>
      <c r="CM1300">
        <f t="shared" si="416"/>
        <v>0</v>
      </c>
      <c r="CN1300">
        <f t="shared" si="415"/>
        <v>0</v>
      </c>
      <c r="CO1300">
        <f t="shared" si="399"/>
        <v>0</v>
      </c>
    </row>
    <row r="1301" spans="1:93" x14ac:dyDescent="0.25">
      <c r="A1301" s="4">
        <v>2021</v>
      </c>
      <c r="B1301" s="318">
        <v>44298</v>
      </c>
      <c r="C1301" s="4" t="s">
        <v>66</v>
      </c>
      <c r="D1301" s="4" t="s">
        <v>1504</v>
      </c>
      <c r="F1301" s="4" t="s">
        <v>90</v>
      </c>
      <c r="G1301" s="5" t="s">
        <v>69</v>
      </c>
      <c r="H1301" s="5" t="s">
        <v>22</v>
      </c>
      <c r="I1301" s="5" t="s">
        <v>146</v>
      </c>
      <c r="J1301" s="5" t="s">
        <v>10</v>
      </c>
      <c r="K1301" s="5">
        <v>21.9</v>
      </c>
      <c r="L1301" s="5" t="s">
        <v>194</v>
      </c>
      <c r="M1301" s="5">
        <v>1600</v>
      </c>
      <c r="N1301" s="5" t="s">
        <v>170</v>
      </c>
      <c r="O1301" s="6" t="s">
        <v>81</v>
      </c>
      <c r="P1301" s="6" t="s">
        <v>1505</v>
      </c>
      <c r="S1301" s="6">
        <v>38</v>
      </c>
      <c r="T1301" s="6">
        <v>16.27</v>
      </c>
      <c r="U1301" s="6">
        <v>1446</v>
      </c>
      <c r="V1301" s="6">
        <v>21.44</v>
      </c>
      <c r="W1301" s="6">
        <v>65</v>
      </c>
      <c r="X1301" s="6">
        <v>525</v>
      </c>
      <c r="Y1301" s="6">
        <v>696</v>
      </c>
      <c r="Z1301" s="6">
        <v>155</v>
      </c>
      <c r="AA1301" s="6">
        <v>5</v>
      </c>
      <c r="AB1301" s="6">
        <v>0</v>
      </c>
      <c r="AC1301" s="7">
        <v>125</v>
      </c>
      <c r="AD1301" s="7" t="s">
        <v>53</v>
      </c>
      <c r="AE1301" s="7">
        <v>33.65</v>
      </c>
      <c r="AF1301" s="7">
        <v>17</v>
      </c>
      <c r="AG1301" s="7">
        <v>7.7</v>
      </c>
      <c r="AH1301" s="7">
        <v>75.930000000000007</v>
      </c>
      <c r="AI1301" s="7">
        <v>75.930000000000007</v>
      </c>
      <c r="AJ1301" s="9">
        <v>126.491385411178</v>
      </c>
      <c r="AK1301" s="9">
        <v>146.87621700113601</v>
      </c>
      <c r="AL1301" s="9">
        <v>156.49200008151001</v>
      </c>
      <c r="AM1301" s="9">
        <v>67.534211480908397</v>
      </c>
      <c r="AN1301" s="9">
        <v>0.54027369184726703</v>
      </c>
      <c r="AO1301" s="9">
        <v>0.147556161585506</v>
      </c>
      <c r="AP1301" s="9">
        <v>1067.28510294526</v>
      </c>
      <c r="AQ1301" s="9">
        <v>8.5382808235620793</v>
      </c>
      <c r="AR1301" s="9">
        <v>3.6225523911905402</v>
      </c>
      <c r="AS1301" s="8">
        <v>9</v>
      </c>
      <c r="AT1301" s="8">
        <v>3.9400000000000004</v>
      </c>
      <c r="AU1301" s="10">
        <v>74.658956493708715</v>
      </c>
      <c r="AV1301" s="10">
        <v>64.840724965988997</v>
      </c>
      <c r="AW1301" s="10">
        <v>0.98</v>
      </c>
      <c r="AX1301" s="10">
        <v>7.2045249962210001</v>
      </c>
      <c r="BF1301" s="12">
        <v>0.56999999999999995</v>
      </c>
      <c r="BG1301" s="13">
        <v>155.35743308091901</v>
      </c>
      <c r="BH1301" s="96" t="str">
        <f>+VLOOKUP(G1301,Liste!$A$7:$G$50,3,FALSE)</f>
        <v>Chene_pedoncule</v>
      </c>
      <c r="BI1301" s="96" t="str">
        <f>+VLOOKUP(H1301,Liste!$B$7:$G$50,5,FALSE)</f>
        <v>Guide chênaie continentale</v>
      </c>
      <c r="BJ1301" s="135">
        <f t="shared" si="398"/>
        <v>125</v>
      </c>
      <c r="BK1301" s="135" t="str">
        <f t="shared" si="400"/>
        <v>Chene_pedoncule_F2_Dynamique_Guide chênaie continentale_125_</v>
      </c>
      <c r="BL1301" s="322"/>
      <c r="BM1301" s="13">
        <v>42.448405693606702</v>
      </c>
      <c r="BN1301" s="13">
        <v>197.80583877452599</v>
      </c>
      <c r="BO1301" s="13">
        <v>98.189617503548988</v>
      </c>
      <c r="BP1301" s="13">
        <v>281.59342762421699</v>
      </c>
      <c r="BQ1301" s="13">
        <v>4.2903783981145098</v>
      </c>
      <c r="BT1301" s="298" t="str">
        <f>+VLOOKUP(G1301,Liste!$A$7:$H$50,8,FALSE)</f>
        <v>Feuillus</v>
      </c>
      <c r="BU1301" s="298">
        <f t="shared" si="401"/>
        <v>1</v>
      </c>
      <c r="BV1301" s="300">
        <f t="shared" si="402"/>
        <v>0</v>
      </c>
      <c r="BW1301" s="321">
        <v>0</v>
      </c>
      <c r="BX1301" s="298">
        <f t="shared" si="403"/>
        <v>0.25</v>
      </c>
      <c r="BY1301">
        <f t="shared" si="404"/>
        <v>0</v>
      </c>
      <c r="BZ1301" s="304">
        <f t="shared" si="405"/>
        <v>0</v>
      </c>
      <c r="CB1301" s="299">
        <v>0.6</v>
      </c>
      <c r="CC1301" s="299">
        <v>0.4</v>
      </c>
      <c r="CD1301">
        <f t="shared" si="406"/>
        <v>0</v>
      </c>
      <c r="CE1301">
        <f t="shared" si="407"/>
        <v>0</v>
      </c>
      <c r="CF1301">
        <f t="shared" si="408"/>
        <v>0</v>
      </c>
      <c r="CG1301">
        <f t="shared" si="409"/>
        <v>0</v>
      </c>
      <c r="CH1301">
        <f t="shared" si="410"/>
        <v>0</v>
      </c>
      <c r="CI1301">
        <f t="shared" si="411"/>
        <v>0</v>
      </c>
      <c r="CJ1301">
        <f t="shared" si="412"/>
        <v>0</v>
      </c>
      <c r="CK1301">
        <f t="shared" si="413"/>
        <v>0</v>
      </c>
      <c r="CL1301">
        <f t="shared" si="414"/>
        <v>0</v>
      </c>
      <c r="CM1301">
        <f t="shared" si="416"/>
        <v>0</v>
      </c>
      <c r="CN1301">
        <f t="shared" si="415"/>
        <v>0</v>
      </c>
      <c r="CO1301">
        <f t="shared" si="399"/>
        <v>0</v>
      </c>
    </row>
    <row r="1302" spans="1:93" x14ac:dyDescent="0.25">
      <c r="A1302" s="4">
        <v>2021</v>
      </c>
      <c r="B1302" s="318">
        <v>44298</v>
      </c>
      <c r="C1302" s="4" t="s">
        <v>66</v>
      </c>
      <c r="D1302" s="4" t="s">
        <v>1504</v>
      </c>
      <c r="F1302" s="4" t="s">
        <v>90</v>
      </c>
      <c r="G1302" s="5" t="s">
        <v>69</v>
      </c>
      <c r="H1302" s="5" t="s">
        <v>22</v>
      </c>
      <c r="I1302" s="5" t="s">
        <v>146</v>
      </c>
      <c r="J1302" s="5" t="s">
        <v>10</v>
      </c>
      <c r="K1302" s="5">
        <v>21.9</v>
      </c>
      <c r="L1302" s="5" t="s">
        <v>194</v>
      </c>
      <c r="M1302" s="5">
        <v>1600</v>
      </c>
      <c r="N1302" s="5" t="s">
        <v>170</v>
      </c>
      <c r="O1302" s="6" t="s">
        <v>81</v>
      </c>
      <c r="P1302" s="6" t="s">
        <v>1505</v>
      </c>
      <c r="S1302" s="6">
        <v>38</v>
      </c>
      <c r="T1302" s="6">
        <v>16.27</v>
      </c>
      <c r="U1302" s="6">
        <v>1446</v>
      </c>
      <c r="V1302" s="6">
        <v>21.44</v>
      </c>
      <c r="W1302" s="6">
        <v>65</v>
      </c>
      <c r="X1302" s="6">
        <v>525</v>
      </c>
      <c r="Y1302" s="6">
        <v>696</v>
      </c>
      <c r="Z1302" s="6">
        <v>155</v>
      </c>
      <c r="AA1302" s="6">
        <v>5</v>
      </c>
      <c r="AB1302" s="6">
        <v>0</v>
      </c>
      <c r="AC1302" s="7">
        <v>127</v>
      </c>
      <c r="AD1302" s="7" t="s">
        <v>52</v>
      </c>
      <c r="AE1302" s="7">
        <v>33.93</v>
      </c>
      <c r="AF1302" s="7">
        <v>17</v>
      </c>
      <c r="AG1302" s="7">
        <v>7.99</v>
      </c>
      <c r="AH1302" s="7">
        <v>77.37</v>
      </c>
      <c r="AI1302" s="7">
        <v>77.37</v>
      </c>
      <c r="AJ1302" s="9">
        <v>132.31878551690099</v>
      </c>
      <c r="AK1302" s="9">
        <v>153.78127964766301</v>
      </c>
      <c r="AL1302" s="9">
        <v>163.73710486389101</v>
      </c>
      <c r="AM1302" s="9">
        <v>67.829323804079394</v>
      </c>
      <c r="AN1302" s="9">
        <v>0.53408916381164895</v>
      </c>
      <c r="AO1302" s="9">
        <v>0.106186365762085</v>
      </c>
      <c r="AP1302" s="9">
        <v>1074.5302077276399</v>
      </c>
      <c r="AQ1302" s="9">
        <v>8.4608677773829992</v>
      </c>
      <c r="AR1302" s="9">
        <v>2.7162314140202102</v>
      </c>
      <c r="AS1302" s="8" t="s">
        <v>169</v>
      </c>
      <c r="AT1302" s="8" t="s">
        <v>169</v>
      </c>
      <c r="AU1302" s="10" t="s">
        <v>169</v>
      </c>
      <c r="AV1302" s="10">
        <v>0</v>
      </c>
      <c r="AX1302" s="10" t="s">
        <v>169</v>
      </c>
      <c r="BF1302" s="12">
        <v>0.56999999999999995</v>
      </c>
      <c r="BG1302" s="13">
        <v>162.55001085362801</v>
      </c>
      <c r="BH1302" s="96" t="str">
        <f>+VLOOKUP(G1302,Liste!$A$7:$G$50,3,FALSE)</f>
        <v>Chene_pedoncule</v>
      </c>
      <c r="BI1302" s="96" t="str">
        <f>+VLOOKUP(H1302,Liste!$B$7:$G$50,5,FALSE)</f>
        <v>Guide chênaie continentale</v>
      </c>
      <c r="BJ1302" s="135">
        <f t="shared" si="398"/>
        <v>127</v>
      </c>
      <c r="BK1302" s="135" t="str">
        <f t="shared" si="400"/>
        <v>Chene_pedoncule_F2_Dynamique_Guide chênaie continentale_127_</v>
      </c>
      <c r="BL1302" s="322"/>
      <c r="BM1302" s="13">
        <v>44.180284809231502</v>
      </c>
      <c r="BN1302" s="13">
        <v>206.73029566285899</v>
      </c>
      <c r="BO1302" s="13" t="s">
        <v>169</v>
      </c>
      <c r="BP1302" s="13">
        <v>281.59342762421699</v>
      </c>
      <c r="BQ1302" s="13">
        <v>3.2165414026931098</v>
      </c>
      <c r="BT1302" s="298" t="str">
        <f>+VLOOKUP(G1302,Liste!$A$7:$H$50,8,FALSE)</f>
        <v>Feuillus</v>
      </c>
      <c r="BU1302" s="298">
        <f t="shared" si="401"/>
        <v>1</v>
      </c>
      <c r="BV1302" s="300">
        <f t="shared" si="402"/>
        <v>0</v>
      </c>
      <c r="BW1302" s="321">
        <v>0</v>
      </c>
      <c r="BX1302" s="298">
        <f t="shared" si="403"/>
        <v>0.25</v>
      </c>
      <c r="BY1302">
        <f t="shared" si="404"/>
        <v>0</v>
      </c>
      <c r="BZ1302" s="304">
        <f t="shared" si="405"/>
        <v>0</v>
      </c>
      <c r="CB1302" s="299">
        <v>0.6</v>
      </c>
      <c r="CC1302" s="299">
        <v>0.4</v>
      </c>
      <c r="CD1302">
        <f t="shared" si="406"/>
        <v>0</v>
      </c>
      <c r="CE1302">
        <f t="shared" si="407"/>
        <v>0</v>
      </c>
      <c r="CF1302">
        <f t="shared" si="408"/>
        <v>0</v>
      </c>
      <c r="CG1302">
        <f t="shared" si="409"/>
        <v>0</v>
      </c>
      <c r="CH1302">
        <f t="shared" si="410"/>
        <v>0</v>
      </c>
      <c r="CI1302">
        <f t="shared" si="411"/>
        <v>0</v>
      </c>
      <c r="CJ1302">
        <f t="shared" si="412"/>
        <v>0</v>
      </c>
      <c r="CK1302">
        <f t="shared" si="413"/>
        <v>0</v>
      </c>
      <c r="CL1302">
        <f t="shared" si="414"/>
        <v>0</v>
      </c>
      <c r="CM1302">
        <f t="shared" si="416"/>
        <v>0</v>
      </c>
      <c r="CN1302">
        <f t="shared" si="415"/>
        <v>0</v>
      </c>
      <c r="CO1302">
        <f t="shared" si="399"/>
        <v>0</v>
      </c>
    </row>
    <row r="1303" spans="1:93" x14ac:dyDescent="0.25">
      <c r="A1303" s="4">
        <v>2021</v>
      </c>
      <c r="B1303" s="318">
        <v>44298</v>
      </c>
      <c r="C1303" s="4" t="s">
        <v>66</v>
      </c>
      <c r="D1303" s="4" t="s">
        <v>1504</v>
      </c>
      <c r="F1303" s="4" t="s">
        <v>90</v>
      </c>
      <c r="G1303" s="5" t="s">
        <v>69</v>
      </c>
      <c r="H1303" s="5" t="s">
        <v>22</v>
      </c>
      <c r="I1303" s="5" t="s">
        <v>146</v>
      </c>
      <c r="J1303" s="5" t="s">
        <v>10</v>
      </c>
      <c r="K1303" s="5">
        <v>21.9</v>
      </c>
      <c r="L1303" s="5" t="s">
        <v>194</v>
      </c>
      <c r="M1303" s="5">
        <v>1600</v>
      </c>
      <c r="N1303" s="5" t="s">
        <v>170</v>
      </c>
      <c r="O1303" s="6" t="s">
        <v>81</v>
      </c>
      <c r="P1303" s="6" t="s">
        <v>1505</v>
      </c>
      <c r="S1303" s="6">
        <v>38</v>
      </c>
      <c r="T1303" s="6">
        <v>16.27</v>
      </c>
      <c r="U1303" s="6">
        <v>1446</v>
      </c>
      <c r="V1303" s="6">
        <v>21.44</v>
      </c>
      <c r="W1303" s="6">
        <v>65</v>
      </c>
      <c r="X1303" s="6">
        <v>525</v>
      </c>
      <c r="Y1303" s="6">
        <v>696</v>
      </c>
      <c r="Z1303" s="6">
        <v>155</v>
      </c>
      <c r="AA1303" s="6">
        <v>5</v>
      </c>
      <c r="AB1303" s="6">
        <v>0</v>
      </c>
      <c r="AC1303" s="7">
        <v>127</v>
      </c>
      <c r="AD1303" s="7" t="s">
        <v>53</v>
      </c>
      <c r="AE1303" s="7">
        <v>33.93</v>
      </c>
      <c r="AF1303" s="7">
        <v>12</v>
      </c>
      <c r="AG1303" s="7">
        <v>5.63</v>
      </c>
      <c r="AH1303" s="7">
        <v>77.31</v>
      </c>
      <c r="AI1303" s="7">
        <v>77.31</v>
      </c>
      <c r="AJ1303" s="9">
        <v>93.243382486409004</v>
      </c>
      <c r="AK1303" s="9">
        <v>108.35573094851701</v>
      </c>
      <c r="AL1303" s="9">
        <v>115.372959403837</v>
      </c>
      <c r="AM1303" s="9">
        <v>67.829323804079394</v>
      </c>
      <c r="AN1303" s="9">
        <v>0.53408916381164895</v>
      </c>
      <c r="AO1303" s="9">
        <v>0.106186365762085</v>
      </c>
      <c r="AP1303" s="9">
        <v>1074.5302077276399</v>
      </c>
      <c r="AQ1303" s="9">
        <v>8.4608677773829992</v>
      </c>
      <c r="AR1303" s="9">
        <v>2.7162314140202102</v>
      </c>
      <c r="AS1303" s="8">
        <v>5</v>
      </c>
      <c r="AT1303" s="8">
        <v>2.3600000000000003</v>
      </c>
      <c r="AU1303" s="10">
        <v>77.522194571296609</v>
      </c>
      <c r="AV1303" s="10">
        <v>39.075403030491984</v>
      </c>
      <c r="AW1303" s="10">
        <v>1</v>
      </c>
      <c r="AX1303" s="10">
        <v>7.8150806060983964</v>
      </c>
      <c r="BF1303" s="12">
        <v>0.56999999999999995</v>
      </c>
      <c r="BG1303" s="13">
        <v>114.53650544815901</v>
      </c>
      <c r="BH1303" s="96" t="str">
        <f>+VLOOKUP(G1303,Liste!$A$7:$G$50,3,FALSE)</f>
        <v>Chene_pedoncule</v>
      </c>
      <c r="BI1303" s="96" t="str">
        <f>+VLOOKUP(H1303,Liste!$B$7:$G$50,5,FALSE)</f>
        <v>Guide chênaie continentale</v>
      </c>
      <c r="BJ1303" s="135">
        <f t="shared" si="398"/>
        <v>127</v>
      </c>
      <c r="BK1303" s="135" t="str">
        <f t="shared" si="400"/>
        <v>Chene_pedoncule_F2_Dynamique_Guide chênaie continentale_127_</v>
      </c>
      <c r="BL1303" s="322"/>
      <c r="BM1303" s="13">
        <v>32.425243844191101</v>
      </c>
      <c r="BN1303" s="13">
        <v>146.96174929235099</v>
      </c>
      <c r="BO1303" s="13">
        <v>59.768546370508005</v>
      </c>
      <c r="BP1303" s="13">
        <v>281.59342762421699</v>
      </c>
      <c r="BQ1303" s="13">
        <v>3.2165414026931098</v>
      </c>
      <c r="BT1303" s="298" t="str">
        <f>+VLOOKUP(G1303,Liste!$A$7:$H$50,8,FALSE)</f>
        <v>Feuillus</v>
      </c>
      <c r="BU1303" s="298">
        <f t="shared" si="401"/>
        <v>1</v>
      </c>
      <c r="BV1303" s="300">
        <f t="shared" si="402"/>
        <v>0</v>
      </c>
      <c r="BW1303" s="321">
        <v>0</v>
      </c>
      <c r="BX1303" s="298">
        <f t="shared" si="403"/>
        <v>0.25</v>
      </c>
      <c r="BY1303">
        <f t="shared" si="404"/>
        <v>0</v>
      </c>
      <c r="BZ1303" s="304">
        <f t="shared" si="405"/>
        <v>0</v>
      </c>
      <c r="CB1303" s="299">
        <v>0.6</v>
      </c>
      <c r="CC1303" s="299">
        <v>0.4</v>
      </c>
      <c r="CD1303">
        <f t="shared" si="406"/>
        <v>0</v>
      </c>
      <c r="CE1303">
        <f t="shared" si="407"/>
        <v>0</v>
      </c>
      <c r="CF1303">
        <f t="shared" si="408"/>
        <v>0</v>
      </c>
      <c r="CG1303">
        <f t="shared" si="409"/>
        <v>0</v>
      </c>
      <c r="CH1303">
        <f t="shared" si="410"/>
        <v>0</v>
      </c>
      <c r="CI1303">
        <f t="shared" si="411"/>
        <v>0</v>
      </c>
      <c r="CJ1303">
        <f t="shared" si="412"/>
        <v>0</v>
      </c>
      <c r="CK1303">
        <f t="shared" si="413"/>
        <v>0</v>
      </c>
      <c r="CL1303">
        <f t="shared" si="414"/>
        <v>0</v>
      </c>
      <c r="CM1303">
        <f t="shared" si="416"/>
        <v>0</v>
      </c>
      <c r="CN1303">
        <f t="shared" si="415"/>
        <v>0</v>
      </c>
      <c r="CO1303">
        <f t="shared" si="399"/>
        <v>0</v>
      </c>
    </row>
    <row r="1304" spans="1:93" x14ac:dyDescent="0.25">
      <c r="A1304" s="4">
        <v>2021</v>
      </c>
      <c r="B1304" s="318">
        <v>44298</v>
      </c>
      <c r="C1304" s="4" t="s">
        <v>66</v>
      </c>
      <c r="D1304" s="4" t="s">
        <v>1504</v>
      </c>
      <c r="F1304" s="4" t="s">
        <v>90</v>
      </c>
      <c r="G1304" s="5" t="s">
        <v>69</v>
      </c>
      <c r="H1304" s="5" t="s">
        <v>22</v>
      </c>
      <c r="I1304" s="5" t="s">
        <v>146</v>
      </c>
      <c r="J1304" s="5" t="s">
        <v>10</v>
      </c>
      <c r="K1304" s="5">
        <v>21.9</v>
      </c>
      <c r="L1304" s="5" t="s">
        <v>194</v>
      </c>
      <c r="M1304" s="5">
        <v>1600</v>
      </c>
      <c r="N1304" s="5" t="s">
        <v>170</v>
      </c>
      <c r="O1304" s="6" t="s">
        <v>81</v>
      </c>
      <c r="P1304" s="6" t="s">
        <v>1505</v>
      </c>
      <c r="S1304" s="6">
        <v>38</v>
      </c>
      <c r="T1304" s="6">
        <v>16.27</v>
      </c>
      <c r="U1304" s="6">
        <v>1446</v>
      </c>
      <c r="V1304" s="6">
        <v>21.44</v>
      </c>
      <c r="W1304" s="6">
        <v>65</v>
      </c>
      <c r="X1304" s="6">
        <v>525</v>
      </c>
      <c r="Y1304" s="6">
        <v>696</v>
      </c>
      <c r="Z1304" s="6">
        <v>155</v>
      </c>
      <c r="AA1304" s="6">
        <v>5</v>
      </c>
      <c r="AB1304" s="6">
        <v>0</v>
      </c>
      <c r="AC1304" s="7">
        <v>130</v>
      </c>
      <c r="AD1304" s="7" t="s">
        <v>52</v>
      </c>
      <c r="AE1304" s="7">
        <v>34.35</v>
      </c>
      <c r="AF1304" s="7">
        <v>12</v>
      </c>
      <c r="AG1304" s="7">
        <v>5.95</v>
      </c>
      <c r="AH1304" s="7">
        <v>79.459999999999994</v>
      </c>
      <c r="AI1304" s="7">
        <v>79.459999999999994</v>
      </c>
      <c r="AJ1304" s="9">
        <v>99.870729804023995</v>
      </c>
      <c r="AK1304" s="9">
        <v>116.139947862771</v>
      </c>
      <c r="AL1304" s="9">
        <v>123.521653645898</v>
      </c>
      <c r="AM1304" s="9">
        <v>68.147882901365705</v>
      </c>
      <c r="AN1304" s="9">
        <v>0.52421448385665903</v>
      </c>
      <c r="AP1304" s="9">
        <v>1082.6789019697001</v>
      </c>
      <c r="AQ1304" s="9">
        <v>8.3282992459207907</v>
      </c>
      <c r="AS1304" s="8" t="s">
        <v>169</v>
      </c>
      <c r="AT1304" s="8" t="s">
        <v>169</v>
      </c>
      <c r="AU1304" s="10" t="s">
        <v>169</v>
      </c>
      <c r="AV1304" s="10">
        <v>0</v>
      </c>
      <c r="AX1304" s="10" t="s">
        <v>169</v>
      </c>
      <c r="BF1304" s="12">
        <v>0.56999999999999995</v>
      </c>
      <c r="BG1304" s="13">
        <v>122.626121656965</v>
      </c>
      <c r="BH1304" s="96" t="str">
        <f>+VLOOKUP(G1304,Liste!$A$7:$G$50,3,FALSE)</f>
        <v>Chene_pedoncule</v>
      </c>
      <c r="BI1304" s="96" t="str">
        <f>+VLOOKUP(H1304,Liste!$B$7:$G$50,5,FALSE)</f>
        <v>Guide chênaie continentale</v>
      </c>
      <c r="BJ1304" s="135">
        <f t="shared" si="398"/>
        <v>130</v>
      </c>
      <c r="BK1304" s="135" t="str">
        <f t="shared" si="400"/>
        <v>Chene_pedoncule_F2_Dynamique_Guide chênaie continentale_130_</v>
      </c>
      <c r="BL1304" s="322"/>
      <c r="BM1304" s="13">
        <v>34.440728408506402</v>
      </c>
      <c r="BN1304" s="13">
        <v>157.06685006547201</v>
      </c>
      <c r="BO1304" s="13" t="s">
        <v>169</v>
      </c>
      <c r="BP1304" s="13">
        <v>281.59342762421699</v>
      </c>
      <c r="BT1304" s="298" t="str">
        <f>+VLOOKUP(G1304,Liste!$A$7:$H$50,8,FALSE)</f>
        <v>Feuillus</v>
      </c>
      <c r="BU1304" s="298">
        <f t="shared" si="401"/>
        <v>1</v>
      </c>
      <c r="BV1304" s="300">
        <f t="shared" si="402"/>
        <v>0</v>
      </c>
      <c r="BW1304" s="321">
        <v>0</v>
      </c>
      <c r="BX1304" s="298">
        <f t="shared" si="403"/>
        <v>0.25</v>
      </c>
      <c r="BY1304">
        <f t="shared" si="404"/>
        <v>0</v>
      </c>
      <c r="BZ1304" s="304">
        <f t="shared" si="405"/>
        <v>0</v>
      </c>
      <c r="CB1304" s="299">
        <v>0.6</v>
      </c>
      <c r="CC1304" s="299">
        <v>0.4</v>
      </c>
      <c r="CD1304">
        <f t="shared" si="406"/>
        <v>0</v>
      </c>
      <c r="CE1304">
        <f t="shared" si="407"/>
        <v>0</v>
      </c>
      <c r="CF1304">
        <f t="shared" si="408"/>
        <v>0</v>
      </c>
      <c r="CG1304">
        <f t="shared" si="409"/>
        <v>0</v>
      </c>
      <c r="CH1304">
        <f t="shared" si="410"/>
        <v>0</v>
      </c>
      <c r="CI1304">
        <f t="shared" si="411"/>
        <v>0</v>
      </c>
      <c r="CJ1304">
        <f t="shared" si="412"/>
        <v>0</v>
      </c>
      <c r="CK1304">
        <f t="shared" si="413"/>
        <v>0</v>
      </c>
      <c r="CL1304">
        <f t="shared" si="414"/>
        <v>0</v>
      </c>
      <c r="CM1304">
        <f t="shared" si="416"/>
        <v>0</v>
      </c>
      <c r="CN1304">
        <f t="shared" si="415"/>
        <v>0</v>
      </c>
      <c r="CO1304">
        <f t="shared" si="399"/>
        <v>0</v>
      </c>
    </row>
    <row r="1305" spans="1:93" x14ac:dyDescent="0.25">
      <c r="A1305" s="4">
        <v>2021</v>
      </c>
      <c r="B1305" s="318">
        <v>44298</v>
      </c>
      <c r="C1305" s="4" t="s">
        <v>66</v>
      </c>
      <c r="D1305" s="4" t="s">
        <v>1504</v>
      </c>
      <c r="F1305" s="4" t="s">
        <v>90</v>
      </c>
      <c r="G1305" s="5" t="s">
        <v>69</v>
      </c>
      <c r="H1305" s="5" t="s">
        <v>22</v>
      </c>
      <c r="I1305" s="5" t="s">
        <v>146</v>
      </c>
      <c r="J1305" s="5" t="s">
        <v>10</v>
      </c>
      <c r="K1305" s="5">
        <v>21.9</v>
      </c>
      <c r="L1305" s="5" t="s">
        <v>194</v>
      </c>
      <c r="M1305" s="5">
        <v>1600</v>
      </c>
      <c r="N1305" s="5" t="s">
        <v>170</v>
      </c>
      <c r="O1305" s="6" t="s">
        <v>81</v>
      </c>
      <c r="P1305" s="6" t="s">
        <v>1505</v>
      </c>
      <c r="S1305" s="6">
        <v>38</v>
      </c>
      <c r="T1305" s="6">
        <v>16.27</v>
      </c>
      <c r="U1305" s="6">
        <v>1446</v>
      </c>
      <c r="V1305" s="6">
        <v>21.44</v>
      </c>
      <c r="W1305" s="6">
        <v>65</v>
      </c>
      <c r="X1305" s="6">
        <v>525</v>
      </c>
      <c r="Y1305" s="6">
        <v>696</v>
      </c>
      <c r="Z1305" s="6">
        <v>155</v>
      </c>
      <c r="AA1305" s="6">
        <v>5</v>
      </c>
      <c r="AB1305" s="6">
        <v>0</v>
      </c>
      <c r="AC1305" s="7">
        <v>130</v>
      </c>
      <c r="AD1305" s="7" t="s">
        <v>53</v>
      </c>
      <c r="AE1305" s="7">
        <v>34.35</v>
      </c>
      <c r="AF1305" s="7">
        <v>0</v>
      </c>
      <c r="AG1305" s="7">
        <v>0</v>
      </c>
      <c r="AH1305" s="7">
        <v>0</v>
      </c>
      <c r="AI1305" s="7">
        <v>0</v>
      </c>
      <c r="AJ1305" s="9">
        <v>0</v>
      </c>
      <c r="AK1305" s="9">
        <v>0</v>
      </c>
      <c r="AL1305" s="9">
        <v>0</v>
      </c>
      <c r="AM1305" s="9">
        <v>68.147882901365705</v>
      </c>
      <c r="AN1305" s="9">
        <v>0.52421448385665903</v>
      </c>
      <c r="AP1305" s="9">
        <v>1082.6789019697001</v>
      </c>
      <c r="AQ1305" s="9">
        <v>8.3282992459207907</v>
      </c>
      <c r="AS1305" s="8">
        <v>12</v>
      </c>
      <c r="AT1305" s="8">
        <v>5.95</v>
      </c>
      <c r="AU1305" s="10">
        <v>79.455308670840338</v>
      </c>
      <c r="AV1305" s="10">
        <v>99.870729804023995</v>
      </c>
      <c r="AW1305" s="10">
        <v>1</v>
      </c>
      <c r="AX1305" s="10">
        <v>8.3225608170019996</v>
      </c>
      <c r="BF1305" s="12">
        <v>0.56999999999999995</v>
      </c>
      <c r="BG1305" s="13">
        <v>0</v>
      </c>
      <c r="BH1305" s="96" t="str">
        <f>+VLOOKUP(G1305,Liste!$A$7:$G$50,3,FALSE)</f>
        <v>Chene_pedoncule</v>
      </c>
      <c r="BI1305" s="96" t="str">
        <f>+VLOOKUP(H1305,Liste!$B$7:$G$50,5,FALSE)</f>
        <v>Guide chênaie continentale</v>
      </c>
      <c r="BJ1305" s="135">
        <f t="shared" si="398"/>
        <v>130</v>
      </c>
      <c r="BK1305" s="135" t="str">
        <f t="shared" si="400"/>
        <v>Chene_pedoncule_F2_Dynamique_Guide chênaie continentale_130_</v>
      </c>
      <c r="BL1305" s="322"/>
      <c r="BM1305" s="13">
        <v>0</v>
      </c>
      <c r="BN1305" s="13">
        <v>0</v>
      </c>
      <c r="BO1305" s="13">
        <v>157.06685006547201</v>
      </c>
      <c r="BP1305" s="13">
        <v>281.59342762421699</v>
      </c>
      <c r="BT1305" s="298" t="str">
        <f>+VLOOKUP(G1305,Liste!$A$7:$H$50,8,FALSE)</f>
        <v>Feuillus</v>
      </c>
      <c r="BU1305" s="298">
        <f t="shared" si="401"/>
        <v>1</v>
      </c>
      <c r="BV1305" s="300">
        <f t="shared" si="402"/>
        <v>0</v>
      </c>
      <c r="BW1305" s="321">
        <v>0</v>
      </c>
      <c r="BX1305" s="298">
        <f t="shared" si="403"/>
        <v>0.25</v>
      </c>
      <c r="BY1305">
        <f t="shared" si="404"/>
        <v>0</v>
      </c>
      <c r="BZ1305" s="304">
        <f t="shared" si="405"/>
        <v>0</v>
      </c>
      <c r="CB1305" s="299">
        <v>0.6</v>
      </c>
      <c r="CC1305" s="299">
        <v>0.4</v>
      </c>
      <c r="CD1305">
        <f t="shared" si="406"/>
        <v>0</v>
      </c>
      <c r="CE1305">
        <f t="shared" si="407"/>
        <v>0</v>
      </c>
      <c r="CF1305">
        <f t="shared" si="408"/>
        <v>0</v>
      </c>
      <c r="CG1305">
        <f t="shared" si="409"/>
        <v>0</v>
      </c>
      <c r="CH1305">
        <f t="shared" si="410"/>
        <v>0</v>
      </c>
      <c r="CI1305">
        <f t="shared" si="411"/>
        <v>0</v>
      </c>
      <c r="CJ1305">
        <f t="shared" si="412"/>
        <v>0</v>
      </c>
      <c r="CK1305">
        <f t="shared" si="413"/>
        <v>0</v>
      </c>
      <c r="CL1305">
        <f t="shared" si="414"/>
        <v>0</v>
      </c>
      <c r="CM1305">
        <f t="shared" si="416"/>
        <v>0</v>
      </c>
      <c r="CN1305">
        <f t="shared" si="415"/>
        <v>0</v>
      </c>
      <c r="CO1305">
        <f t="shared" si="399"/>
        <v>0</v>
      </c>
    </row>
    <row r="1306" spans="1:93" x14ac:dyDescent="0.25">
      <c r="A1306" s="4">
        <v>2021</v>
      </c>
      <c r="B1306" s="318">
        <v>44320</v>
      </c>
      <c r="C1306" s="4" t="s">
        <v>1524</v>
      </c>
      <c r="D1306" s="4" t="s">
        <v>1525</v>
      </c>
      <c r="F1306" s="4" t="s">
        <v>1526</v>
      </c>
      <c r="G1306" s="5" t="s">
        <v>1514</v>
      </c>
      <c r="H1306" s="5" t="s">
        <v>1527</v>
      </c>
      <c r="I1306" s="5" t="s">
        <v>18</v>
      </c>
      <c r="J1306" s="5" t="s">
        <v>9</v>
      </c>
      <c r="K1306" s="5">
        <v>15.5</v>
      </c>
      <c r="L1306" s="5" t="s">
        <v>1528</v>
      </c>
      <c r="M1306" s="5">
        <v>1100</v>
      </c>
      <c r="N1306" s="5" t="s">
        <v>170</v>
      </c>
      <c r="O1306" s="6" t="s">
        <v>81</v>
      </c>
      <c r="P1306" s="6" t="s">
        <v>1530</v>
      </c>
      <c r="S1306" s="6">
        <v>15</v>
      </c>
      <c r="T1306" s="6">
        <v>4.33</v>
      </c>
      <c r="U1306" s="6">
        <v>1101</v>
      </c>
      <c r="V1306" s="6">
        <v>4.92</v>
      </c>
      <c r="W1306" s="6">
        <v>569</v>
      </c>
      <c r="X1306" s="6">
        <v>532</v>
      </c>
      <c r="Y1306" s="6">
        <v>0</v>
      </c>
      <c r="Z1306" s="6">
        <v>0</v>
      </c>
      <c r="AA1306" s="6">
        <v>0</v>
      </c>
      <c r="AB1306" s="6">
        <v>0</v>
      </c>
      <c r="AC1306" s="7">
        <v>15</v>
      </c>
      <c r="AD1306" s="7" t="s">
        <v>52</v>
      </c>
      <c r="AE1306" s="7">
        <v>4.33</v>
      </c>
      <c r="AF1306" s="7">
        <v>1101</v>
      </c>
      <c r="AG1306" s="7">
        <v>4.92</v>
      </c>
      <c r="AH1306" s="7">
        <v>7.55</v>
      </c>
      <c r="AI1306" s="7">
        <v>9.52</v>
      </c>
      <c r="AJ1306" s="9">
        <v>8.0854195737831507</v>
      </c>
      <c r="AK1306" s="9">
        <v>8.4607043740300192</v>
      </c>
      <c r="AL1306" s="9">
        <v>27.354306631070202</v>
      </c>
      <c r="AM1306" s="9">
        <v>4.9238636797948496</v>
      </c>
      <c r="AN1306" s="9">
        <v>0.32825757865298999</v>
      </c>
      <c r="AO1306" s="9">
        <v>0.61513387896141003</v>
      </c>
      <c r="AP1306" s="9">
        <v>27.354306631070202</v>
      </c>
      <c r="AQ1306" s="9">
        <v>1.82362044207135</v>
      </c>
      <c r="AR1306" s="9">
        <v>2.9955211169068998</v>
      </c>
      <c r="AV1306" s="10">
        <v>0</v>
      </c>
      <c r="BF1306" s="12">
        <v>0.45</v>
      </c>
      <c r="BG1306" s="13">
        <v>21.438937822101298</v>
      </c>
      <c r="BH1306" s="96" t="str">
        <f>+VLOOKUP(G1306,Liste!$A$7:$G$50,3,FALSE)</f>
        <v>Pin d'Alep</v>
      </c>
      <c r="BI1306" s="96" t="str">
        <f>+VLOOKUP(H1306,Liste!$B$7:$G$50,5,FALSE)</f>
        <v>Pin d'Alep</v>
      </c>
      <c r="BJ1306" s="135">
        <f t="shared" si="398"/>
        <v>15</v>
      </c>
      <c r="BK1306" s="135" t="str">
        <f t="shared" si="400"/>
        <v>Pin d'Alep_F1_Classique_Pin d'Alep_15_</v>
      </c>
      <c r="BL1306" s="322"/>
      <c r="BM1306" s="13">
        <v>7.3765212906220299</v>
      </c>
      <c r="BN1306" s="13">
        <v>28.8154591127233</v>
      </c>
      <c r="BP1306" s="13">
        <v>139.96016108448799</v>
      </c>
      <c r="BQ1306" s="13">
        <v>3.0571288372516698</v>
      </c>
      <c r="BT1306" s="298" t="str">
        <f>+VLOOKUP(G1306,Liste!$A$7:$H$50,8,FALSE)</f>
        <v>Résineux</v>
      </c>
      <c r="BU1306" s="298">
        <f t="shared" si="401"/>
        <v>0</v>
      </c>
      <c r="BV1306" s="300">
        <f t="shared" si="402"/>
        <v>1</v>
      </c>
      <c r="BW1306" s="321">
        <v>0</v>
      </c>
      <c r="BX1306" s="298">
        <f t="shared" si="403"/>
        <v>0.43</v>
      </c>
      <c r="BY1306">
        <f t="shared" si="404"/>
        <v>0</v>
      </c>
      <c r="BZ1306" s="304">
        <f t="shared" si="405"/>
        <v>0</v>
      </c>
      <c r="CB1306" s="299">
        <v>0.6</v>
      </c>
      <c r="CC1306" s="299">
        <v>0.4</v>
      </c>
      <c r="CD1306">
        <f t="shared" si="406"/>
        <v>0</v>
      </c>
      <c r="CE1306">
        <f t="shared" si="407"/>
        <v>0</v>
      </c>
      <c r="CF1306">
        <f t="shared" si="408"/>
        <v>0</v>
      </c>
      <c r="CG1306">
        <f t="shared" si="409"/>
        <v>0</v>
      </c>
      <c r="CH1306">
        <f t="shared" si="410"/>
        <v>0</v>
      </c>
      <c r="CI1306">
        <f t="shared" si="411"/>
        <v>0</v>
      </c>
      <c r="CJ1306">
        <f t="shared" si="412"/>
        <v>0</v>
      </c>
      <c r="CK1306">
        <f t="shared" si="413"/>
        <v>0</v>
      </c>
      <c r="CL1306">
        <f t="shared" si="414"/>
        <v>0</v>
      </c>
      <c r="CM1306">
        <f t="shared" si="416"/>
        <v>0</v>
      </c>
      <c r="CN1306">
        <f t="shared" si="415"/>
        <v>0</v>
      </c>
      <c r="CO1306">
        <f t="shared" si="399"/>
        <v>0</v>
      </c>
    </row>
    <row r="1307" spans="1:93" x14ac:dyDescent="0.25">
      <c r="A1307" s="4">
        <v>2021</v>
      </c>
      <c r="B1307" s="318">
        <v>44320</v>
      </c>
      <c r="C1307" s="4" t="s">
        <v>1524</v>
      </c>
      <c r="D1307" s="4" t="s">
        <v>1525</v>
      </c>
      <c r="F1307" s="4" t="s">
        <v>1526</v>
      </c>
      <c r="G1307" s="5" t="s">
        <v>1514</v>
      </c>
      <c r="H1307" s="5" t="s">
        <v>1527</v>
      </c>
      <c r="I1307" s="5" t="s">
        <v>18</v>
      </c>
      <c r="J1307" s="5" t="s">
        <v>9</v>
      </c>
      <c r="K1307" s="5">
        <v>15.5</v>
      </c>
      <c r="L1307" s="5" t="s">
        <v>1528</v>
      </c>
      <c r="M1307" s="5">
        <v>1100</v>
      </c>
      <c r="N1307" s="5" t="s">
        <v>170</v>
      </c>
      <c r="O1307" s="6" t="s">
        <v>81</v>
      </c>
      <c r="P1307" s="6" t="s">
        <v>1530</v>
      </c>
      <c r="S1307" s="6">
        <v>15</v>
      </c>
      <c r="T1307" s="6">
        <v>4.33</v>
      </c>
      <c r="U1307" s="6">
        <v>1101</v>
      </c>
      <c r="V1307" s="6">
        <v>4.92</v>
      </c>
      <c r="W1307" s="6">
        <v>569</v>
      </c>
      <c r="X1307" s="6">
        <v>532</v>
      </c>
      <c r="Y1307" s="6">
        <v>0</v>
      </c>
      <c r="Z1307" s="6">
        <v>0</v>
      </c>
      <c r="AA1307" s="6">
        <v>0</v>
      </c>
      <c r="AB1307" s="6">
        <v>0</v>
      </c>
      <c r="AC1307" s="7">
        <v>16</v>
      </c>
      <c r="AD1307" s="7" t="s">
        <v>52</v>
      </c>
      <c r="AE1307" s="7">
        <v>4.75</v>
      </c>
      <c r="AF1307" s="7">
        <v>1101</v>
      </c>
      <c r="AG1307" s="7">
        <v>5.54</v>
      </c>
      <c r="AH1307" s="7">
        <v>8</v>
      </c>
      <c r="AI1307" s="7">
        <v>10.01</v>
      </c>
      <c r="AJ1307" s="9">
        <v>10.777751460270601</v>
      </c>
      <c r="AK1307" s="9">
        <v>11.1345121076548</v>
      </c>
      <c r="AL1307" s="9">
        <v>30.349827747977098</v>
      </c>
      <c r="AM1307" s="9">
        <v>5.5389975587562601</v>
      </c>
      <c r="AN1307" s="9">
        <v>0.34618734742226598</v>
      </c>
      <c r="AO1307" s="9">
        <v>0.64388776910830703</v>
      </c>
      <c r="AP1307" s="9">
        <v>30.349827747977098</v>
      </c>
      <c r="AQ1307" s="9">
        <v>1.89686423424857</v>
      </c>
      <c r="AR1307" s="9">
        <v>3.56372855540143</v>
      </c>
      <c r="AS1307" s="8" t="s">
        <v>169</v>
      </c>
      <c r="AT1307" s="8" t="s">
        <v>169</v>
      </c>
      <c r="AU1307" s="8" t="s">
        <v>169</v>
      </c>
      <c r="AV1307" s="10">
        <v>0</v>
      </c>
      <c r="AW1307" s="8" t="s">
        <v>169</v>
      </c>
      <c r="AX1307" s="8" t="s">
        <v>169</v>
      </c>
      <c r="BF1307" s="12">
        <v>0.45</v>
      </c>
      <c r="BG1307" s="13">
        <v>23.786677497477001</v>
      </c>
      <c r="BH1307" s="96" t="str">
        <f>+VLOOKUP(G1307,Liste!$A$7:$G$50,3,FALSE)</f>
        <v>Pin d'Alep</v>
      </c>
      <c r="BI1307" s="96" t="str">
        <f>+VLOOKUP(H1307,Liste!$B$7:$G$50,5,FALSE)</f>
        <v>Pin d'Alep</v>
      </c>
      <c r="BJ1307" s="135">
        <f t="shared" si="398"/>
        <v>16</v>
      </c>
      <c r="BK1307" s="135" t="str">
        <f t="shared" si="400"/>
        <v>Pin d'Alep_F1_Classique_Pin d'Alep_16_</v>
      </c>
      <c r="BL1307" s="322"/>
      <c r="BM1307" s="13">
        <v>8.0859104524979308</v>
      </c>
      <c r="BN1307" s="13">
        <v>31.872587949974999</v>
      </c>
      <c r="BO1307" s="12" t="s">
        <v>169</v>
      </c>
      <c r="BP1307" s="13">
        <v>139.96016108448799</v>
      </c>
      <c r="BQ1307" s="13">
        <v>3.6265190680776</v>
      </c>
      <c r="BT1307" s="298" t="str">
        <f>+VLOOKUP(G1307,Liste!$A$7:$H$50,8,FALSE)</f>
        <v>Résineux</v>
      </c>
      <c r="BU1307" s="298">
        <f t="shared" si="401"/>
        <v>0</v>
      </c>
      <c r="BV1307" s="300">
        <f t="shared" si="402"/>
        <v>1</v>
      </c>
      <c r="BW1307" s="321">
        <v>0</v>
      </c>
      <c r="BX1307" s="298">
        <f t="shared" si="403"/>
        <v>0.43</v>
      </c>
      <c r="BY1307">
        <f t="shared" si="404"/>
        <v>0</v>
      </c>
      <c r="BZ1307" s="304">
        <f t="shared" si="405"/>
        <v>0</v>
      </c>
      <c r="CB1307" s="299">
        <v>0.6</v>
      </c>
      <c r="CC1307" s="299">
        <v>0.4</v>
      </c>
      <c r="CD1307">
        <f t="shared" si="406"/>
        <v>0</v>
      </c>
      <c r="CE1307">
        <f t="shared" si="407"/>
        <v>0</v>
      </c>
      <c r="CF1307">
        <f t="shared" si="408"/>
        <v>0</v>
      </c>
      <c r="CG1307">
        <f t="shared" si="409"/>
        <v>0</v>
      </c>
      <c r="CH1307">
        <f t="shared" si="410"/>
        <v>0</v>
      </c>
      <c r="CI1307">
        <f t="shared" si="411"/>
        <v>0</v>
      </c>
      <c r="CJ1307">
        <f t="shared" si="412"/>
        <v>0</v>
      </c>
      <c r="CK1307">
        <f t="shared" si="413"/>
        <v>0</v>
      </c>
      <c r="CL1307">
        <f t="shared" si="414"/>
        <v>0</v>
      </c>
      <c r="CM1307">
        <f t="shared" si="416"/>
        <v>0</v>
      </c>
      <c r="CN1307">
        <f t="shared" si="415"/>
        <v>0</v>
      </c>
      <c r="CO1307">
        <f t="shared" si="399"/>
        <v>0</v>
      </c>
    </row>
    <row r="1308" spans="1:93" x14ac:dyDescent="0.25">
      <c r="A1308" s="4">
        <v>2021</v>
      </c>
      <c r="B1308" s="318">
        <v>44320</v>
      </c>
      <c r="C1308" s="4" t="s">
        <v>1524</v>
      </c>
      <c r="D1308" s="4" t="s">
        <v>1525</v>
      </c>
      <c r="F1308" s="4" t="s">
        <v>1526</v>
      </c>
      <c r="G1308" s="5" t="s">
        <v>1514</v>
      </c>
      <c r="H1308" s="5" t="s">
        <v>1527</v>
      </c>
      <c r="I1308" s="5" t="s">
        <v>18</v>
      </c>
      <c r="J1308" s="5" t="s">
        <v>9</v>
      </c>
      <c r="K1308" s="5">
        <v>15.5</v>
      </c>
      <c r="L1308" s="5" t="s">
        <v>1528</v>
      </c>
      <c r="M1308" s="5">
        <v>1100</v>
      </c>
      <c r="N1308" s="5" t="s">
        <v>170</v>
      </c>
      <c r="O1308" s="6" t="s">
        <v>81</v>
      </c>
      <c r="P1308" s="6" t="s">
        <v>1530</v>
      </c>
      <c r="S1308" s="6">
        <v>15</v>
      </c>
      <c r="T1308" s="6">
        <v>4.33</v>
      </c>
      <c r="U1308" s="6">
        <v>1101</v>
      </c>
      <c r="V1308" s="6">
        <v>4.92</v>
      </c>
      <c r="W1308" s="6">
        <v>569</v>
      </c>
      <c r="X1308" s="6">
        <v>532</v>
      </c>
      <c r="Y1308" s="6">
        <v>0</v>
      </c>
      <c r="Z1308" s="6">
        <v>0</v>
      </c>
      <c r="AA1308" s="6">
        <v>0</v>
      </c>
      <c r="AB1308" s="6">
        <v>0</v>
      </c>
      <c r="AC1308" s="7">
        <v>17</v>
      </c>
      <c r="AD1308" s="7" t="s">
        <v>52</v>
      </c>
      <c r="AE1308" s="7">
        <v>5.16</v>
      </c>
      <c r="AF1308" s="7">
        <v>1101</v>
      </c>
      <c r="AG1308" s="7">
        <v>6.18</v>
      </c>
      <c r="AH1308" s="7">
        <v>8.4600000000000009</v>
      </c>
      <c r="AI1308" s="7">
        <v>10.5</v>
      </c>
      <c r="AJ1308" s="9">
        <v>13.563039762891799</v>
      </c>
      <c r="AK1308" s="9">
        <v>13.938274046316501</v>
      </c>
      <c r="AL1308" s="9">
        <v>33.913556303378499</v>
      </c>
      <c r="AM1308" s="9">
        <v>6.1828853278645699</v>
      </c>
      <c r="AN1308" s="9">
        <v>0.36369913693320999</v>
      </c>
      <c r="AO1308" s="9">
        <v>0.67106139102655804</v>
      </c>
      <c r="AP1308" s="9">
        <v>33.913556303378499</v>
      </c>
      <c r="AQ1308" s="9">
        <v>1.99491507666933</v>
      </c>
      <c r="AR1308" s="9">
        <v>3.9807731317590398</v>
      </c>
      <c r="AS1308" s="8" t="s">
        <v>169</v>
      </c>
      <c r="AT1308" s="8" t="s">
        <v>169</v>
      </c>
      <c r="AU1308" s="8" t="s">
        <v>169</v>
      </c>
      <c r="AV1308" s="10">
        <v>0</v>
      </c>
      <c r="AW1308" s="8" t="s">
        <v>169</v>
      </c>
      <c r="AX1308" s="8" t="s">
        <v>169</v>
      </c>
      <c r="BF1308" s="12">
        <v>0.45</v>
      </c>
      <c r="BG1308" s="13">
        <v>26.579749752772901</v>
      </c>
      <c r="BH1308" s="96" t="str">
        <f>+VLOOKUP(G1308,Liste!$A$7:$G$50,3,FALSE)</f>
        <v>Pin d'Alep</v>
      </c>
      <c r="BI1308" s="96" t="str">
        <f>+VLOOKUP(H1308,Liste!$B$7:$G$50,5,FALSE)</f>
        <v>Pin d'Alep</v>
      </c>
      <c r="BJ1308" s="135">
        <f t="shared" si="398"/>
        <v>17</v>
      </c>
      <c r="BK1308" s="135" t="str">
        <f t="shared" si="400"/>
        <v>Pin d'Alep_F1_Classique_Pin d'Alep_17_</v>
      </c>
      <c r="BL1308" s="322"/>
      <c r="BM1308" s="13">
        <v>8.9193572652796504</v>
      </c>
      <c r="BN1308" s="13">
        <v>35.499107018052598</v>
      </c>
      <c r="BO1308" s="12" t="s">
        <v>169</v>
      </c>
      <c r="BP1308" s="13">
        <v>139.96016108448799</v>
      </c>
      <c r="BQ1308" s="13">
        <v>4.0389599214671996</v>
      </c>
      <c r="BT1308" s="298" t="str">
        <f>+VLOOKUP(G1308,Liste!$A$7:$H$50,8,FALSE)</f>
        <v>Résineux</v>
      </c>
      <c r="BU1308" s="298">
        <f t="shared" si="401"/>
        <v>0</v>
      </c>
      <c r="BV1308" s="300">
        <f t="shared" si="402"/>
        <v>1</v>
      </c>
      <c r="BW1308" s="321">
        <v>0</v>
      </c>
      <c r="BX1308" s="298">
        <f t="shared" si="403"/>
        <v>0.43</v>
      </c>
      <c r="BY1308">
        <f t="shared" si="404"/>
        <v>0</v>
      </c>
      <c r="BZ1308" s="304">
        <f t="shared" si="405"/>
        <v>0</v>
      </c>
      <c r="CB1308" s="299">
        <v>0.6</v>
      </c>
      <c r="CC1308" s="299">
        <v>0.4</v>
      </c>
      <c r="CD1308">
        <f t="shared" si="406"/>
        <v>0</v>
      </c>
      <c r="CE1308">
        <f t="shared" si="407"/>
        <v>0</v>
      </c>
      <c r="CF1308">
        <f t="shared" si="408"/>
        <v>0</v>
      </c>
      <c r="CG1308">
        <f t="shared" si="409"/>
        <v>0</v>
      </c>
      <c r="CH1308">
        <f t="shared" si="410"/>
        <v>0</v>
      </c>
      <c r="CI1308">
        <f t="shared" si="411"/>
        <v>0</v>
      </c>
      <c r="CJ1308">
        <f t="shared" si="412"/>
        <v>0</v>
      </c>
      <c r="CK1308">
        <f t="shared" si="413"/>
        <v>0</v>
      </c>
      <c r="CL1308">
        <f t="shared" si="414"/>
        <v>0</v>
      </c>
      <c r="CM1308">
        <f t="shared" si="416"/>
        <v>0</v>
      </c>
      <c r="CN1308">
        <f t="shared" si="415"/>
        <v>0</v>
      </c>
      <c r="CO1308">
        <f t="shared" si="399"/>
        <v>0</v>
      </c>
    </row>
    <row r="1309" spans="1:93" x14ac:dyDescent="0.25">
      <c r="A1309" s="4">
        <v>2021</v>
      </c>
      <c r="B1309" s="318">
        <v>44320</v>
      </c>
      <c r="C1309" s="4" t="s">
        <v>1524</v>
      </c>
      <c r="D1309" s="4" t="s">
        <v>1525</v>
      </c>
      <c r="F1309" s="4" t="s">
        <v>1526</v>
      </c>
      <c r="G1309" s="5" t="s">
        <v>1514</v>
      </c>
      <c r="H1309" s="5" t="s">
        <v>1527</v>
      </c>
      <c r="I1309" s="5" t="s">
        <v>18</v>
      </c>
      <c r="J1309" s="5" t="s">
        <v>9</v>
      </c>
      <c r="K1309" s="5">
        <v>15.5</v>
      </c>
      <c r="L1309" s="5" t="s">
        <v>1528</v>
      </c>
      <c r="M1309" s="5">
        <v>1100</v>
      </c>
      <c r="N1309" s="5" t="s">
        <v>170</v>
      </c>
      <c r="O1309" s="6" t="s">
        <v>81</v>
      </c>
      <c r="P1309" s="6" t="s">
        <v>1530</v>
      </c>
      <c r="S1309" s="6">
        <v>15</v>
      </c>
      <c r="T1309" s="6">
        <v>4.33</v>
      </c>
      <c r="U1309" s="6">
        <v>1101</v>
      </c>
      <c r="V1309" s="6">
        <v>4.92</v>
      </c>
      <c r="W1309" s="6">
        <v>569</v>
      </c>
      <c r="X1309" s="6">
        <v>532</v>
      </c>
      <c r="Y1309" s="6">
        <v>0</v>
      </c>
      <c r="Z1309" s="6">
        <v>0</v>
      </c>
      <c r="AA1309" s="6">
        <v>0</v>
      </c>
      <c r="AB1309" s="6">
        <v>0</v>
      </c>
      <c r="AC1309" s="7">
        <v>18</v>
      </c>
      <c r="AD1309" s="7" t="s">
        <v>52</v>
      </c>
      <c r="AE1309" s="7">
        <v>5.56</v>
      </c>
      <c r="AF1309" s="7">
        <v>1101</v>
      </c>
      <c r="AG1309" s="7">
        <v>6.85</v>
      </c>
      <c r="AH1309" s="7">
        <v>8.9</v>
      </c>
      <c r="AI1309" s="7">
        <v>10.98</v>
      </c>
      <c r="AJ1309" s="9">
        <v>16.359972967973899</v>
      </c>
      <c r="AK1309" s="9">
        <v>16.764361604780898</v>
      </c>
      <c r="AL1309" s="9">
        <v>37.8943294351376</v>
      </c>
      <c r="AM1309" s="9">
        <v>6.8539467188911303</v>
      </c>
      <c r="AN1309" s="9">
        <v>0.380774817716174</v>
      </c>
      <c r="AO1309" s="9">
        <v>0.69649970711871001</v>
      </c>
      <c r="AP1309" s="9">
        <v>37.8943294351376</v>
      </c>
      <c r="AQ1309" s="9">
        <v>2.10524052417431</v>
      </c>
      <c r="AR1309" s="9">
        <v>4.3798727559181501</v>
      </c>
      <c r="AS1309" s="8" t="s">
        <v>169</v>
      </c>
      <c r="AT1309" s="8" t="s">
        <v>169</v>
      </c>
      <c r="AU1309" s="8" t="s">
        <v>169</v>
      </c>
      <c r="AV1309" s="10">
        <v>0</v>
      </c>
      <c r="AW1309" s="8" t="s">
        <v>169</v>
      </c>
      <c r="AX1309" s="8" t="s">
        <v>169</v>
      </c>
      <c r="BF1309" s="12">
        <v>0.45</v>
      </c>
      <c r="BG1309" s="13">
        <v>29.699680694789102</v>
      </c>
      <c r="BH1309" s="96" t="str">
        <f>+VLOOKUP(G1309,Liste!$A$7:$G$50,3,FALSE)</f>
        <v>Pin d'Alep</v>
      </c>
      <c r="BI1309" s="96" t="str">
        <f>+VLOOKUP(H1309,Liste!$B$7:$G$50,5,FALSE)</f>
        <v>Pin d'Alep</v>
      </c>
      <c r="BJ1309" s="135">
        <f t="shared" si="398"/>
        <v>18</v>
      </c>
      <c r="BK1309" s="135" t="str">
        <f t="shared" si="400"/>
        <v>Pin d'Alep_F1_Classique_Pin d'Alep_18_</v>
      </c>
      <c r="BL1309" s="322"/>
      <c r="BM1309" s="13">
        <v>9.8383862447307102</v>
      </c>
      <c r="BN1309" s="13">
        <v>39.538066939519801</v>
      </c>
      <c r="BO1309" s="12" t="s">
        <v>169</v>
      </c>
      <c r="BP1309" s="13">
        <v>139.96016108448799</v>
      </c>
      <c r="BQ1309" s="13">
        <v>4.43101090068782</v>
      </c>
      <c r="BT1309" s="298" t="str">
        <f>+VLOOKUP(G1309,Liste!$A$7:$H$50,8,FALSE)</f>
        <v>Résineux</v>
      </c>
      <c r="BU1309" s="298">
        <f t="shared" si="401"/>
        <v>0</v>
      </c>
      <c r="BV1309" s="300">
        <f t="shared" si="402"/>
        <v>1</v>
      </c>
      <c r="BW1309" s="321">
        <v>0</v>
      </c>
      <c r="BX1309" s="298">
        <f t="shared" si="403"/>
        <v>0.43</v>
      </c>
      <c r="BY1309">
        <f t="shared" si="404"/>
        <v>0</v>
      </c>
      <c r="BZ1309" s="304">
        <f t="shared" si="405"/>
        <v>0</v>
      </c>
      <c r="CB1309" s="299">
        <v>0.6</v>
      </c>
      <c r="CC1309" s="299">
        <v>0.4</v>
      </c>
      <c r="CD1309">
        <f t="shared" si="406"/>
        <v>0</v>
      </c>
      <c r="CE1309">
        <f t="shared" si="407"/>
        <v>0</v>
      </c>
      <c r="CF1309">
        <f t="shared" si="408"/>
        <v>0</v>
      </c>
      <c r="CG1309">
        <f t="shared" si="409"/>
        <v>0</v>
      </c>
      <c r="CH1309">
        <f t="shared" si="410"/>
        <v>0</v>
      </c>
      <c r="CI1309">
        <f t="shared" si="411"/>
        <v>0</v>
      </c>
      <c r="CJ1309">
        <f t="shared" si="412"/>
        <v>0</v>
      </c>
      <c r="CK1309">
        <f t="shared" si="413"/>
        <v>0</v>
      </c>
      <c r="CL1309">
        <f t="shared" si="414"/>
        <v>0</v>
      </c>
      <c r="CM1309">
        <f t="shared" si="416"/>
        <v>0</v>
      </c>
      <c r="CN1309">
        <f t="shared" si="415"/>
        <v>0</v>
      </c>
      <c r="CO1309">
        <f t="shared" si="399"/>
        <v>0</v>
      </c>
    </row>
    <row r="1310" spans="1:93" x14ac:dyDescent="0.25">
      <c r="A1310" s="4">
        <v>2021</v>
      </c>
      <c r="B1310" s="318">
        <v>44320</v>
      </c>
      <c r="C1310" s="4" t="s">
        <v>1524</v>
      </c>
      <c r="D1310" s="4" t="s">
        <v>1525</v>
      </c>
      <c r="F1310" s="4" t="s">
        <v>1526</v>
      </c>
      <c r="G1310" s="5" t="s">
        <v>1514</v>
      </c>
      <c r="H1310" s="5" t="s">
        <v>1527</v>
      </c>
      <c r="I1310" s="5" t="s">
        <v>18</v>
      </c>
      <c r="J1310" s="5" t="s">
        <v>9</v>
      </c>
      <c r="K1310" s="5">
        <v>15.5</v>
      </c>
      <c r="L1310" s="5" t="s">
        <v>1528</v>
      </c>
      <c r="M1310" s="5">
        <v>1100</v>
      </c>
      <c r="N1310" s="5" t="s">
        <v>170</v>
      </c>
      <c r="O1310" s="6" t="s">
        <v>81</v>
      </c>
      <c r="P1310" s="6" t="s">
        <v>1530</v>
      </c>
      <c r="S1310" s="6">
        <v>15</v>
      </c>
      <c r="T1310" s="6">
        <v>4.33</v>
      </c>
      <c r="U1310" s="6">
        <v>1101</v>
      </c>
      <c r="V1310" s="6">
        <v>4.92</v>
      </c>
      <c r="W1310" s="6">
        <v>569</v>
      </c>
      <c r="X1310" s="6">
        <v>532</v>
      </c>
      <c r="Y1310" s="6">
        <v>0</v>
      </c>
      <c r="Z1310" s="6">
        <v>0</v>
      </c>
      <c r="AA1310" s="6">
        <v>0</v>
      </c>
      <c r="AB1310" s="6">
        <v>0</v>
      </c>
      <c r="AC1310" s="7">
        <v>19</v>
      </c>
      <c r="AD1310" s="7" t="s">
        <v>52</v>
      </c>
      <c r="AE1310" s="7">
        <v>5.96</v>
      </c>
      <c r="AF1310" s="7">
        <v>1101</v>
      </c>
      <c r="AG1310" s="7">
        <v>7.55</v>
      </c>
      <c r="AH1310" s="7">
        <v>9.34</v>
      </c>
      <c r="AI1310" s="7">
        <v>11.45</v>
      </c>
      <c r="AJ1310" s="9">
        <v>19.3637823487026</v>
      </c>
      <c r="AK1310" s="9">
        <v>19.8064154261284</v>
      </c>
      <c r="AL1310" s="9">
        <v>42.2742021910557</v>
      </c>
      <c r="AM1310" s="9">
        <v>7.5504464260098398</v>
      </c>
      <c r="AN1310" s="9">
        <v>0.39739191715841199</v>
      </c>
      <c r="AO1310" s="9">
        <v>0.71980986122342905</v>
      </c>
      <c r="AP1310" s="9">
        <v>42.2742021910557</v>
      </c>
      <c r="AQ1310" s="9">
        <v>2.2249580100555599</v>
      </c>
      <c r="AR1310" s="9">
        <v>4.7596221166328503</v>
      </c>
      <c r="AS1310" s="8" t="s">
        <v>169</v>
      </c>
      <c r="AT1310" s="8" t="s">
        <v>169</v>
      </c>
      <c r="AU1310" s="8" t="s">
        <v>169</v>
      </c>
      <c r="AV1310" s="10">
        <v>0</v>
      </c>
      <c r="AW1310" s="8" t="s">
        <v>169</v>
      </c>
      <c r="AX1310" s="8" t="s">
        <v>169</v>
      </c>
      <c r="BF1310" s="12">
        <v>0.45</v>
      </c>
      <c r="BG1310" s="13">
        <v>33.132405967239897</v>
      </c>
      <c r="BH1310" s="96" t="str">
        <f>+VLOOKUP(G1310,Liste!$A$7:$G$50,3,FALSE)</f>
        <v>Pin d'Alep</v>
      </c>
      <c r="BI1310" s="96" t="str">
        <f>+VLOOKUP(H1310,Liste!$B$7:$G$50,5,FALSE)</f>
        <v>Pin d'Alep</v>
      </c>
      <c r="BJ1310" s="135">
        <f t="shared" si="398"/>
        <v>19</v>
      </c>
      <c r="BK1310" s="135" t="str">
        <f t="shared" si="400"/>
        <v>Pin d'Alep_F1_Classique_Pin d'Alep_19_</v>
      </c>
      <c r="BL1310" s="322"/>
      <c r="BM1310" s="13">
        <v>10.836671872967701</v>
      </c>
      <c r="BN1310" s="13">
        <v>43.969077840207603</v>
      </c>
      <c r="BO1310" s="12" t="s">
        <v>169</v>
      </c>
      <c r="BP1310" s="13">
        <v>139.96016108448799</v>
      </c>
      <c r="BQ1310" s="13">
        <v>4.8016433171611901</v>
      </c>
      <c r="BT1310" s="298" t="str">
        <f>+VLOOKUP(G1310,Liste!$A$7:$H$50,8,FALSE)</f>
        <v>Résineux</v>
      </c>
      <c r="BU1310" s="298">
        <f t="shared" si="401"/>
        <v>0</v>
      </c>
      <c r="BV1310" s="300">
        <f t="shared" si="402"/>
        <v>1</v>
      </c>
      <c r="BW1310" s="321">
        <v>0</v>
      </c>
      <c r="BX1310" s="298">
        <f t="shared" si="403"/>
        <v>0.43</v>
      </c>
      <c r="BY1310">
        <f t="shared" si="404"/>
        <v>0</v>
      </c>
      <c r="BZ1310" s="304">
        <f t="shared" si="405"/>
        <v>0</v>
      </c>
      <c r="CB1310" s="299">
        <v>0.6</v>
      </c>
      <c r="CC1310" s="299">
        <v>0.4</v>
      </c>
      <c r="CD1310">
        <f t="shared" si="406"/>
        <v>0</v>
      </c>
      <c r="CE1310">
        <f t="shared" si="407"/>
        <v>0</v>
      </c>
      <c r="CF1310">
        <f t="shared" si="408"/>
        <v>0</v>
      </c>
      <c r="CG1310">
        <f t="shared" si="409"/>
        <v>0</v>
      </c>
      <c r="CH1310">
        <f t="shared" si="410"/>
        <v>0</v>
      </c>
      <c r="CI1310">
        <f t="shared" si="411"/>
        <v>0</v>
      </c>
      <c r="CJ1310">
        <f t="shared" si="412"/>
        <v>0</v>
      </c>
      <c r="CK1310">
        <f t="shared" si="413"/>
        <v>0</v>
      </c>
      <c r="CL1310">
        <f t="shared" si="414"/>
        <v>0</v>
      </c>
      <c r="CM1310">
        <f t="shared" si="416"/>
        <v>0</v>
      </c>
      <c r="CN1310">
        <f t="shared" si="415"/>
        <v>0</v>
      </c>
      <c r="CO1310">
        <f t="shared" si="399"/>
        <v>0</v>
      </c>
    </row>
    <row r="1311" spans="1:93" x14ac:dyDescent="0.25">
      <c r="A1311" s="4">
        <v>2021</v>
      </c>
      <c r="B1311" s="318">
        <v>44320</v>
      </c>
      <c r="C1311" s="4" t="s">
        <v>1524</v>
      </c>
      <c r="D1311" s="4" t="s">
        <v>1525</v>
      </c>
      <c r="F1311" s="4" t="s">
        <v>1526</v>
      </c>
      <c r="G1311" s="5" t="s">
        <v>1514</v>
      </c>
      <c r="H1311" s="5" t="s">
        <v>1527</v>
      </c>
      <c r="I1311" s="5" t="s">
        <v>18</v>
      </c>
      <c r="J1311" s="5" t="s">
        <v>9</v>
      </c>
      <c r="K1311" s="5">
        <v>15.5</v>
      </c>
      <c r="L1311" s="5" t="s">
        <v>1528</v>
      </c>
      <c r="M1311" s="5">
        <v>1100</v>
      </c>
      <c r="N1311" s="5" t="s">
        <v>170</v>
      </c>
      <c r="O1311" s="6" t="s">
        <v>81</v>
      </c>
      <c r="P1311" s="6" t="s">
        <v>1530</v>
      </c>
      <c r="S1311" s="6">
        <v>15</v>
      </c>
      <c r="T1311" s="6">
        <v>4.33</v>
      </c>
      <c r="U1311" s="6">
        <v>1101</v>
      </c>
      <c r="V1311" s="6">
        <v>4.92</v>
      </c>
      <c r="W1311" s="6">
        <v>569</v>
      </c>
      <c r="X1311" s="6">
        <v>532</v>
      </c>
      <c r="Y1311" s="6">
        <v>0</v>
      </c>
      <c r="Z1311" s="6">
        <v>0</v>
      </c>
      <c r="AA1311" s="6">
        <v>0</v>
      </c>
      <c r="AB1311" s="6">
        <v>0</v>
      </c>
      <c r="AC1311" s="7">
        <v>20</v>
      </c>
      <c r="AD1311" s="7" t="s">
        <v>52</v>
      </c>
      <c r="AE1311" s="7">
        <v>6.36</v>
      </c>
      <c r="AF1311" s="7">
        <v>1101</v>
      </c>
      <c r="AG1311" s="7">
        <v>8.27</v>
      </c>
      <c r="AH1311" s="7">
        <v>9.7799999999999994</v>
      </c>
      <c r="AI1311" s="7">
        <v>11.92</v>
      </c>
      <c r="AJ1311" s="9">
        <v>22.568265689646399</v>
      </c>
      <c r="AK1311" s="9">
        <v>23.058162348103501</v>
      </c>
      <c r="AL1311" s="9">
        <v>47.033824307688597</v>
      </c>
      <c r="AM1311" s="9">
        <v>8.2702562872332592</v>
      </c>
      <c r="AN1311" s="9">
        <v>0.41351281436166298</v>
      </c>
      <c r="AO1311" s="9">
        <v>0.74092035854590499</v>
      </c>
      <c r="AP1311" s="9">
        <v>47.033824307688597</v>
      </c>
      <c r="AQ1311" s="9">
        <v>2.35169121538443</v>
      </c>
      <c r="AR1311" s="9">
        <v>5.1288637223698901</v>
      </c>
      <c r="AS1311" s="8" t="s">
        <v>169</v>
      </c>
      <c r="AT1311" s="8" t="s">
        <v>169</v>
      </c>
      <c r="AU1311" s="8" t="s">
        <v>169</v>
      </c>
      <c r="AV1311" s="10">
        <v>0</v>
      </c>
      <c r="AW1311" s="8" t="s">
        <v>169</v>
      </c>
      <c r="AX1311" s="8" t="s">
        <v>169</v>
      </c>
      <c r="BF1311" s="12">
        <v>0.45</v>
      </c>
      <c r="BG1311" s="13">
        <v>36.862759801150901</v>
      </c>
      <c r="BH1311" s="96" t="str">
        <f>+VLOOKUP(G1311,Liste!$A$7:$G$50,3,FALSE)</f>
        <v>Pin d'Alep</v>
      </c>
      <c r="BI1311" s="96" t="str">
        <f>+VLOOKUP(H1311,Liste!$B$7:$G$50,5,FALSE)</f>
        <v>Pin d'Alep</v>
      </c>
      <c r="BJ1311" s="135">
        <f t="shared" si="398"/>
        <v>20</v>
      </c>
      <c r="BK1311" s="135" t="str">
        <f t="shared" si="400"/>
        <v>Pin d'Alep_F1_Classique_Pin d'Alep_20_</v>
      </c>
      <c r="BL1311" s="322"/>
      <c r="BM1311" s="13">
        <v>11.9079613562179</v>
      </c>
      <c r="BN1311" s="13">
        <v>48.770721157368797</v>
      </c>
      <c r="BO1311" s="12" t="s">
        <v>169</v>
      </c>
      <c r="BP1311" s="13">
        <v>139.96016108448799</v>
      </c>
      <c r="BQ1311" s="13">
        <v>5.1601160028452098</v>
      </c>
      <c r="BT1311" s="298" t="str">
        <f>+VLOOKUP(G1311,Liste!$A$7:$H$50,8,FALSE)</f>
        <v>Résineux</v>
      </c>
      <c r="BU1311" s="298">
        <f t="shared" si="401"/>
        <v>0</v>
      </c>
      <c r="BV1311" s="300">
        <f t="shared" si="402"/>
        <v>1</v>
      </c>
      <c r="BW1311" s="321">
        <v>0</v>
      </c>
      <c r="BX1311" s="298">
        <f t="shared" si="403"/>
        <v>0.43</v>
      </c>
      <c r="BY1311">
        <f t="shared" si="404"/>
        <v>0</v>
      </c>
      <c r="BZ1311" s="304">
        <f t="shared" si="405"/>
        <v>0</v>
      </c>
      <c r="CB1311" s="299">
        <v>0.6</v>
      </c>
      <c r="CC1311" s="299">
        <v>0.4</v>
      </c>
      <c r="CD1311">
        <f t="shared" si="406"/>
        <v>0</v>
      </c>
      <c r="CE1311">
        <f t="shared" si="407"/>
        <v>0</v>
      </c>
      <c r="CF1311">
        <f t="shared" si="408"/>
        <v>0</v>
      </c>
      <c r="CG1311">
        <f t="shared" si="409"/>
        <v>0</v>
      </c>
      <c r="CH1311">
        <f t="shared" si="410"/>
        <v>0</v>
      </c>
      <c r="CI1311">
        <f t="shared" si="411"/>
        <v>0</v>
      </c>
      <c r="CJ1311">
        <f t="shared" si="412"/>
        <v>0</v>
      </c>
      <c r="CK1311">
        <f t="shared" si="413"/>
        <v>0</v>
      </c>
      <c r="CL1311">
        <f t="shared" si="414"/>
        <v>0</v>
      </c>
      <c r="CM1311">
        <f t="shared" si="416"/>
        <v>0</v>
      </c>
      <c r="CN1311">
        <f t="shared" si="415"/>
        <v>0</v>
      </c>
      <c r="CO1311">
        <f t="shared" si="399"/>
        <v>0</v>
      </c>
    </row>
    <row r="1312" spans="1:93" x14ac:dyDescent="0.25">
      <c r="A1312" s="4">
        <v>2021</v>
      </c>
      <c r="B1312" s="318">
        <v>44320</v>
      </c>
      <c r="C1312" s="4" t="s">
        <v>1524</v>
      </c>
      <c r="D1312" s="4" t="s">
        <v>1525</v>
      </c>
      <c r="F1312" s="4" t="s">
        <v>1526</v>
      </c>
      <c r="G1312" s="5" t="s">
        <v>1514</v>
      </c>
      <c r="H1312" s="5" t="s">
        <v>1527</v>
      </c>
      <c r="I1312" s="5" t="s">
        <v>18</v>
      </c>
      <c r="J1312" s="5" t="s">
        <v>9</v>
      </c>
      <c r="K1312" s="5">
        <v>15.5</v>
      </c>
      <c r="L1312" s="5" t="s">
        <v>1528</v>
      </c>
      <c r="M1312" s="5">
        <v>1100</v>
      </c>
      <c r="N1312" s="5" t="s">
        <v>170</v>
      </c>
      <c r="O1312" s="6" t="s">
        <v>81</v>
      </c>
      <c r="P1312" s="6" t="s">
        <v>1530</v>
      </c>
      <c r="S1312" s="6">
        <v>15</v>
      </c>
      <c r="T1312" s="6">
        <v>4.33</v>
      </c>
      <c r="U1312" s="6">
        <v>1101</v>
      </c>
      <c r="V1312" s="6">
        <v>4.92</v>
      </c>
      <c r="W1312" s="6">
        <v>569</v>
      </c>
      <c r="X1312" s="6">
        <v>532</v>
      </c>
      <c r="Y1312" s="6">
        <v>0</v>
      </c>
      <c r="Z1312" s="6">
        <v>0</v>
      </c>
      <c r="AA1312" s="6">
        <v>0</v>
      </c>
      <c r="AB1312" s="6">
        <v>0</v>
      </c>
      <c r="AC1312" s="7">
        <v>21</v>
      </c>
      <c r="AD1312" s="7" t="s">
        <v>52</v>
      </c>
      <c r="AE1312" s="7">
        <v>6.75</v>
      </c>
      <c r="AF1312" s="7">
        <v>1101</v>
      </c>
      <c r="AG1312" s="7">
        <v>9.01</v>
      </c>
      <c r="AH1312" s="7">
        <v>10.210000000000001</v>
      </c>
      <c r="AI1312" s="7">
        <v>12.39</v>
      </c>
      <c r="AJ1312" s="9">
        <v>26.0643810669145</v>
      </c>
      <c r="AK1312" s="9">
        <v>26.6092740114726</v>
      </c>
      <c r="AL1312" s="9">
        <v>52.162688030058398</v>
      </c>
      <c r="AM1312" s="9">
        <v>9.0111766457791695</v>
      </c>
      <c r="AN1312" s="9">
        <v>0.429103649799008</v>
      </c>
      <c r="AO1312" s="9">
        <v>0.76092663317453102</v>
      </c>
      <c r="AP1312" s="9">
        <v>52.162688030058398</v>
      </c>
      <c r="AQ1312" s="9">
        <v>2.4839375252408802</v>
      </c>
      <c r="AR1312" s="9">
        <v>5.4882927279152902</v>
      </c>
      <c r="AS1312" s="8" t="s">
        <v>169</v>
      </c>
      <c r="AT1312" s="8" t="s">
        <v>169</v>
      </c>
      <c r="AU1312" s="8" t="s">
        <v>169</v>
      </c>
      <c r="AV1312" s="10">
        <v>0</v>
      </c>
      <c r="AW1312" s="8" t="s">
        <v>169</v>
      </c>
      <c r="AX1312" s="8" t="s">
        <v>169</v>
      </c>
      <c r="BF1312" s="12">
        <v>0.45</v>
      </c>
      <c r="BG1312" s="13">
        <v>40.882506743558302</v>
      </c>
      <c r="BH1312" s="96" t="str">
        <f>+VLOOKUP(G1312,Liste!$A$7:$G$50,3,FALSE)</f>
        <v>Pin d'Alep</v>
      </c>
      <c r="BI1312" s="96" t="str">
        <f>+VLOOKUP(H1312,Liste!$B$7:$G$50,5,FALSE)</f>
        <v>Pin d'Alep</v>
      </c>
      <c r="BJ1312" s="135">
        <f t="shared" si="398"/>
        <v>21</v>
      </c>
      <c r="BK1312" s="135" t="str">
        <f t="shared" si="400"/>
        <v>Pin d'Alep_F1_Classique_Pin d'Alep_21_</v>
      </c>
      <c r="BL1312" s="322"/>
      <c r="BM1312" s="13">
        <v>13.0483304166557</v>
      </c>
      <c r="BN1312" s="13">
        <v>53.930837160213997</v>
      </c>
      <c r="BO1312" s="12" t="s">
        <v>169</v>
      </c>
      <c r="BP1312" s="13">
        <v>139.96016108448799</v>
      </c>
      <c r="BQ1312" s="13">
        <v>5.5073726417306501</v>
      </c>
      <c r="BT1312" s="298" t="str">
        <f>+VLOOKUP(G1312,Liste!$A$7:$H$50,8,FALSE)</f>
        <v>Résineux</v>
      </c>
      <c r="BU1312" s="298">
        <f t="shared" si="401"/>
        <v>0</v>
      </c>
      <c r="BV1312" s="300">
        <f t="shared" si="402"/>
        <v>1</v>
      </c>
      <c r="BW1312" s="321">
        <v>0</v>
      </c>
      <c r="BX1312" s="298">
        <f t="shared" si="403"/>
        <v>0.43</v>
      </c>
      <c r="BY1312">
        <f t="shared" si="404"/>
        <v>0</v>
      </c>
      <c r="BZ1312" s="304">
        <f t="shared" si="405"/>
        <v>0</v>
      </c>
      <c r="CB1312" s="299">
        <v>0.6</v>
      </c>
      <c r="CC1312" s="299">
        <v>0.4</v>
      </c>
      <c r="CD1312">
        <f t="shared" si="406"/>
        <v>0</v>
      </c>
      <c r="CE1312">
        <f t="shared" si="407"/>
        <v>0</v>
      </c>
      <c r="CF1312">
        <f t="shared" si="408"/>
        <v>0</v>
      </c>
      <c r="CG1312">
        <f t="shared" si="409"/>
        <v>0</v>
      </c>
      <c r="CH1312">
        <f t="shared" si="410"/>
        <v>0</v>
      </c>
      <c r="CI1312">
        <f t="shared" si="411"/>
        <v>0</v>
      </c>
      <c r="CJ1312">
        <f t="shared" si="412"/>
        <v>0</v>
      </c>
      <c r="CK1312">
        <f t="shared" si="413"/>
        <v>0</v>
      </c>
      <c r="CL1312">
        <f t="shared" si="414"/>
        <v>0</v>
      </c>
      <c r="CM1312">
        <f t="shared" si="416"/>
        <v>0</v>
      </c>
      <c r="CN1312">
        <f t="shared" si="415"/>
        <v>0</v>
      </c>
      <c r="CO1312">
        <f t="shared" si="399"/>
        <v>0</v>
      </c>
    </row>
    <row r="1313" spans="1:93" x14ac:dyDescent="0.25">
      <c r="A1313" s="4">
        <v>2021</v>
      </c>
      <c r="B1313" s="318">
        <v>44320</v>
      </c>
      <c r="C1313" s="4" t="s">
        <v>1524</v>
      </c>
      <c r="D1313" s="4" t="s">
        <v>1525</v>
      </c>
      <c r="F1313" s="4" t="s">
        <v>1526</v>
      </c>
      <c r="G1313" s="5" t="s">
        <v>1514</v>
      </c>
      <c r="H1313" s="5" t="s">
        <v>1527</v>
      </c>
      <c r="I1313" s="5" t="s">
        <v>18</v>
      </c>
      <c r="J1313" s="5" t="s">
        <v>9</v>
      </c>
      <c r="K1313" s="5">
        <v>15.5</v>
      </c>
      <c r="L1313" s="5" t="s">
        <v>1528</v>
      </c>
      <c r="M1313" s="5">
        <v>1100</v>
      </c>
      <c r="N1313" s="5" t="s">
        <v>170</v>
      </c>
      <c r="O1313" s="6" t="s">
        <v>81</v>
      </c>
      <c r="P1313" s="6" t="s">
        <v>1530</v>
      </c>
      <c r="S1313" s="6">
        <v>15</v>
      </c>
      <c r="T1313" s="6">
        <v>4.33</v>
      </c>
      <c r="U1313" s="6">
        <v>1101</v>
      </c>
      <c r="V1313" s="6">
        <v>4.92</v>
      </c>
      <c r="W1313" s="6">
        <v>569</v>
      </c>
      <c r="X1313" s="6">
        <v>532</v>
      </c>
      <c r="Y1313" s="6">
        <v>0</v>
      </c>
      <c r="Z1313" s="6">
        <v>0</v>
      </c>
      <c r="AA1313" s="6">
        <v>0</v>
      </c>
      <c r="AB1313" s="6">
        <v>0</v>
      </c>
      <c r="AC1313" s="7">
        <v>22</v>
      </c>
      <c r="AD1313" s="7" t="s">
        <v>52</v>
      </c>
      <c r="AE1313" s="7">
        <v>7.14</v>
      </c>
      <c r="AF1313" s="7">
        <v>1101</v>
      </c>
      <c r="AG1313" s="7">
        <v>9.77</v>
      </c>
      <c r="AH1313" s="7">
        <v>10.63</v>
      </c>
      <c r="AI1313" s="7">
        <v>12.85</v>
      </c>
      <c r="AJ1313" s="9">
        <v>29.787189618544598</v>
      </c>
      <c r="AK1313" s="9">
        <v>30.394993211504101</v>
      </c>
      <c r="AL1313" s="9">
        <v>57.650980757973699</v>
      </c>
      <c r="AM1313" s="9">
        <v>9.7721032789537006</v>
      </c>
      <c r="AN1313" s="9">
        <v>0.44418651267971399</v>
      </c>
      <c r="AO1313" s="9">
        <v>0.77827440570589201</v>
      </c>
      <c r="AP1313" s="9">
        <v>57.650980757973699</v>
      </c>
      <c r="AQ1313" s="9">
        <v>2.6204991253624401</v>
      </c>
      <c r="AR1313" s="9">
        <v>5.8317963866195202</v>
      </c>
      <c r="AS1313" s="8" t="s">
        <v>169</v>
      </c>
      <c r="AT1313" s="8" t="s">
        <v>169</v>
      </c>
      <c r="AU1313" s="8" t="s">
        <v>169</v>
      </c>
      <c r="AV1313" s="10">
        <v>0</v>
      </c>
      <c r="AW1313" s="8" t="s">
        <v>169</v>
      </c>
      <c r="AX1313" s="8" t="s">
        <v>169</v>
      </c>
      <c r="BF1313" s="12">
        <v>0.45</v>
      </c>
      <c r="BG1313" s="13">
        <v>45.183956169061901</v>
      </c>
      <c r="BH1313" s="96" t="str">
        <f>+VLOOKUP(G1313,Liste!$A$7:$G$50,3,FALSE)</f>
        <v>Pin d'Alep</v>
      </c>
      <c r="BI1313" s="96" t="str">
        <f>+VLOOKUP(H1313,Liste!$B$7:$G$50,5,FALSE)</f>
        <v>Pin d'Alep</v>
      </c>
      <c r="BJ1313" s="135">
        <f t="shared" si="398"/>
        <v>22</v>
      </c>
      <c r="BK1313" s="135" t="str">
        <f t="shared" si="400"/>
        <v>Pin d'Alep_F1_Classique_Pin d'Alep_22_</v>
      </c>
      <c r="BL1313" s="322"/>
      <c r="BM1313" s="13">
        <v>14.254253632882699</v>
      </c>
      <c r="BN1313" s="13">
        <v>59.438209801944701</v>
      </c>
      <c r="BO1313" s="12" t="s">
        <v>169</v>
      </c>
      <c r="BP1313" s="13">
        <v>139.96016108448799</v>
      </c>
      <c r="BQ1313" s="13">
        <v>5.8375151284620701</v>
      </c>
      <c r="BT1313" s="298" t="str">
        <f>+VLOOKUP(G1313,Liste!$A$7:$H$50,8,FALSE)</f>
        <v>Résineux</v>
      </c>
      <c r="BU1313" s="298">
        <f t="shared" si="401"/>
        <v>0</v>
      </c>
      <c r="BV1313" s="300">
        <f t="shared" si="402"/>
        <v>1</v>
      </c>
      <c r="BW1313" s="321">
        <v>0</v>
      </c>
      <c r="BX1313" s="298">
        <f t="shared" si="403"/>
        <v>0.43</v>
      </c>
      <c r="BY1313">
        <f t="shared" si="404"/>
        <v>0</v>
      </c>
      <c r="BZ1313" s="304">
        <f t="shared" si="405"/>
        <v>0</v>
      </c>
      <c r="CB1313" s="299">
        <v>0.6</v>
      </c>
      <c r="CC1313" s="299">
        <v>0.4</v>
      </c>
      <c r="CD1313">
        <f t="shared" si="406"/>
        <v>0</v>
      </c>
      <c r="CE1313">
        <f t="shared" si="407"/>
        <v>0</v>
      </c>
      <c r="CF1313">
        <f t="shared" si="408"/>
        <v>0</v>
      </c>
      <c r="CG1313">
        <f t="shared" si="409"/>
        <v>0</v>
      </c>
      <c r="CH1313">
        <f t="shared" si="410"/>
        <v>0</v>
      </c>
      <c r="CI1313">
        <f t="shared" si="411"/>
        <v>0</v>
      </c>
      <c r="CJ1313">
        <f t="shared" si="412"/>
        <v>0</v>
      </c>
      <c r="CK1313">
        <f t="shared" si="413"/>
        <v>0</v>
      </c>
      <c r="CL1313">
        <f t="shared" si="414"/>
        <v>0</v>
      </c>
      <c r="CM1313">
        <f t="shared" si="416"/>
        <v>0</v>
      </c>
      <c r="CN1313">
        <f t="shared" si="415"/>
        <v>0</v>
      </c>
      <c r="CO1313">
        <f t="shared" si="399"/>
        <v>0</v>
      </c>
    </row>
    <row r="1314" spans="1:93" x14ac:dyDescent="0.25">
      <c r="A1314" s="4">
        <v>2021</v>
      </c>
      <c r="B1314" s="318">
        <v>44320</v>
      </c>
      <c r="C1314" s="4" t="s">
        <v>1524</v>
      </c>
      <c r="D1314" s="4" t="s">
        <v>1525</v>
      </c>
      <c r="F1314" s="4" t="s">
        <v>1526</v>
      </c>
      <c r="G1314" s="5" t="s">
        <v>1514</v>
      </c>
      <c r="H1314" s="5" t="s">
        <v>1527</v>
      </c>
      <c r="I1314" s="5" t="s">
        <v>18</v>
      </c>
      <c r="J1314" s="5" t="s">
        <v>9</v>
      </c>
      <c r="K1314" s="5">
        <v>15.5</v>
      </c>
      <c r="L1314" s="5" t="s">
        <v>1528</v>
      </c>
      <c r="M1314" s="5">
        <v>1100</v>
      </c>
      <c r="N1314" s="5" t="s">
        <v>170</v>
      </c>
      <c r="O1314" s="6" t="s">
        <v>81</v>
      </c>
      <c r="P1314" s="6" t="s">
        <v>1530</v>
      </c>
      <c r="S1314" s="6">
        <v>15</v>
      </c>
      <c r="T1314" s="6">
        <v>4.33</v>
      </c>
      <c r="U1314" s="6">
        <v>1101</v>
      </c>
      <c r="V1314" s="6">
        <v>4.92</v>
      </c>
      <c r="W1314" s="6">
        <v>569</v>
      </c>
      <c r="X1314" s="6">
        <v>532</v>
      </c>
      <c r="Y1314" s="6">
        <v>0</v>
      </c>
      <c r="Z1314" s="6">
        <v>0</v>
      </c>
      <c r="AA1314" s="6">
        <v>0</v>
      </c>
      <c r="AB1314" s="6">
        <v>0</v>
      </c>
      <c r="AC1314" s="7">
        <v>23</v>
      </c>
      <c r="AD1314" s="7" t="s">
        <v>52</v>
      </c>
      <c r="AE1314" s="7">
        <v>7.52</v>
      </c>
      <c r="AF1314" s="7">
        <v>1101</v>
      </c>
      <c r="AG1314" s="7">
        <v>10.55</v>
      </c>
      <c r="AH1314" s="7">
        <v>11.05</v>
      </c>
      <c r="AI1314" s="7">
        <v>13.31</v>
      </c>
      <c r="AJ1314" s="9">
        <v>33.7575130435131</v>
      </c>
      <c r="AK1314" s="9">
        <v>34.435753860419702</v>
      </c>
      <c r="AL1314" s="9">
        <v>63.4827771445933</v>
      </c>
      <c r="AM1314" s="9">
        <v>10.550377684659599</v>
      </c>
      <c r="AN1314" s="9">
        <v>0.458712073246069</v>
      </c>
      <c r="AO1314" s="9">
        <v>0.793794069764168</v>
      </c>
      <c r="AP1314" s="9">
        <v>63.4827771445933</v>
      </c>
      <c r="AQ1314" s="9">
        <v>2.7601207454171002</v>
      </c>
      <c r="AR1314" s="9">
        <v>6.16233347910023</v>
      </c>
      <c r="AS1314" s="8" t="s">
        <v>169</v>
      </c>
      <c r="AT1314" s="8" t="s">
        <v>169</v>
      </c>
      <c r="AU1314" s="8" t="s">
        <v>169</v>
      </c>
      <c r="AV1314" s="10">
        <v>0</v>
      </c>
      <c r="AW1314" s="8" t="s">
        <v>169</v>
      </c>
      <c r="AX1314" s="8" t="s">
        <v>169</v>
      </c>
      <c r="BF1314" s="12">
        <v>0.45</v>
      </c>
      <c r="BG1314" s="13">
        <v>49.754626587075002</v>
      </c>
      <c r="BH1314" s="96" t="str">
        <f>+VLOOKUP(G1314,Liste!$A$7:$G$50,3,FALSE)</f>
        <v>Pin d'Alep</v>
      </c>
      <c r="BI1314" s="96" t="str">
        <f>+VLOOKUP(H1314,Liste!$B$7:$G$50,5,FALSE)</f>
        <v>Pin d'Alep</v>
      </c>
      <c r="BJ1314" s="135">
        <f t="shared" si="398"/>
        <v>23</v>
      </c>
      <c r="BK1314" s="135" t="str">
        <f t="shared" si="400"/>
        <v>Pin d'Alep_F1_Classique_Pin d'Alep_23_</v>
      </c>
      <c r="BL1314" s="322"/>
      <c r="BM1314" s="13">
        <v>15.521098343331801</v>
      </c>
      <c r="BN1314" s="13">
        <v>65.275724930406696</v>
      </c>
      <c r="BO1314" s="12" t="s">
        <v>169</v>
      </c>
      <c r="BP1314" s="13">
        <v>139.96016108448799</v>
      </c>
      <c r="BQ1314" s="13">
        <v>6.1537402773892298</v>
      </c>
      <c r="BT1314" s="298" t="str">
        <f>+VLOOKUP(G1314,Liste!$A$7:$H$50,8,FALSE)</f>
        <v>Résineux</v>
      </c>
      <c r="BU1314" s="298">
        <f t="shared" si="401"/>
        <v>0</v>
      </c>
      <c r="BV1314" s="300">
        <f t="shared" si="402"/>
        <v>1</v>
      </c>
      <c r="BW1314" s="321">
        <v>0</v>
      </c>
      <c r="BX1314" s="298">
        <f t="shared" si="403"/>
        <v>0.43</v>
      </c>
      <c r="BY1314">
        <f t="shared" si="404"/>
        <v>0</v>
      </c>
      <c r="BZ1314" s="304">
        <f t="shared" si="405"/>
        <v>0</v>
      </c>
      <c r="CB1314" s="299">
        <v>0.6</v>
      </c>
      <c r="CC1314" s="299">
        <v>0.4</v>
      </c>
      <c r="CD1314">
        <f t="shared" si="406"/>
        <v>0</v>
      </c>
      <c r="CE1314">
        <f t="shared" si="407"/>
        <v>0</v>
      </c>
      <c r="CF1314">
        <f t="shared" si="408"/>
        <v>0</v>
      </c>
      <c r="CG1314">
        <f t="shared" si="409"/>
        <v>0</v>
      </c>
      <c r="CH1314">
        <f t="shared" si="410"/>
        <v>0</v>
      </c>
      <c r="CI1314">
        <f t="shared" si="411"/>
        <v>0</v>
      </c>
      <c r="CJ1314">
        <f t="shared" si="412"/>
        <v>0</v>
      </c>
      <c r="CK1314">
        <f t="shared" si="413"/>
        <v>0</v>
      </c>
      <c r="CL1314">
        <f t="shared" si="414"/>
        <v>0</v>
      </c>
      <c r="CM1314">
        <f t="shared" si="416"/>
        <v>0</v>
      </c>
      <c r="CN1314">
        <f t="shared" si="415"/>
        <v>0</v>
      </c>
      <c r="CO1314">
        <f t="shared" si="399"/>
        <v>0</v>
      </c>
    </row>
    <row r="1315" spans="1:93" x14ac:dyDescent="0.25">
      <c r="A1315" s="4">
        <v>2021</v>
      </c>
      <c r="B1315" s="318">
        <v>44320</v>
      </c>
      <c r="C1315" s="4" t="s">
        <v>1524</v>
      </c>
      <c r="D1315" s="4" t="s">
        <v>1525</v>
      </c>
      <c r="F1315" s="4" t="s">
        <v>1526</v>
      </c>
      <c r="G1315" s="5" t="s">
        <v>1514</v>
      </c>
      <c r="H1315" s="5" t="s">
        <v>1527</v>
      </c>
      <c r="I1315" s="5" t="s">
        <v>18</v>
      </c>
      <c r="J1315" s="5" t="s">
        <v>9</v>
      </c>
      <c r="K1315" s="5">
        <v>15.5</v>
      </c>
      <c r="L1315" s="5" t="s">
        <v>1528</v>
      </c>
      <c r="M1315" s="5">
        <v>1100</v>
      </c>
      <c r="N1315" s="5" t="s">
        <v>170</v>
      </c>
      <c r="O1315" s="6" t="s">
        <v>81</v>
      </c>
      <c r="P1315" s="6" t="s">
        <v>1530</v>
      </c>
      <c r="S1315" s="6">
        <v>15</v>
      </c>
      <c r="T1315" s="6">
        <v>4.33</v>
      </c>
      <c r="U1315" s="6">
        <v>1101</v>
      </c>
      <c r="V1315" s="6">
        <v>4.92</v>
      </c>
      <c r="W1315" s="6">
        <v>569</v>
      </c>
      <c r="X1315" s="6">
        <v>532</v>
      </c>
      <c r="Y1315" s="6">
        <v>0</v>
      </c>
      <c r="Z1315" s="6">
        <v>0</v>
      </c>
      <c r="AA1315" s="6">
        <v>0</v>
      </c>
      <c r="AB1315" s="6">
        <v>0</v>
      </c>
      <c r="AC1315" s="7">
        <v>24</v>
      </c>
      <c r="AD1315" s="7" t="s">
        <v>52</v>
      </c>
      <c r="AE1315" s="7">
        <v>7.89</v>
      </c>
      <c r="AF1315" s="7">
        <v>1100</v>
      </c>
      <c r="AG1315" s="7">
        <v>11.34</v>
      </c>
      <c r="AH1315" s="7">
        <v>11.46</v>
      </c>
      <c r="AI1315" s="7">
        <v>13.77</v>
      </c>
      <c r="AJ1315" s="9">
        <v>37.937085658864703</v>
      </c>
      <c r="AK1315" s="9">
        <v>38.693103464537401</v>
      </c>
      <c r="AL1315" s="9">
        <v>69.618696327489999</v>
      </c>
      <c r="AM1315" s="9">
        <v>11.344171754423799</v>
      </c>
      <c r="AN1315" s="9">
        <v>0.47267382310098999</v>
      </c>
      <c r="AO1315" s="9">
        <v>0.80729900689175005</v>
      </c>
      <c r="AP1315" s="9">
        <v>69.645110623693498</v>
      </c>
      <c r="AQ1315" s="9">
        <v>2.9018796093205599</v>
      </c>
      <c r="AR1315" s="9">
        <v>6.4764467593608499</v>
      </c>
      <c r="AS1315" s="8" t="s">
        <v>169</v>
      </c>
      <c r="AT1315" s="8" t="s">
        <v>169</v>
      </c>
      <c r="AU1315" s="8" t="s">
        <v>169</v>
      </c>
      <c r="AV1315" s="10">
        <v>0</v>
      </c>
      <c r="AW1315" s="8" t="s">
        <v>169</v>
      </c>
      <c r="AX1315" s="8" t="s">
        <v>169</v>
      </c>
      <c r="BF1315" s="12">
        <v>0.45</v>
      </c>
      <c r="BG1315" s="13">
        <v>54.563653246670299</v>
      </c>
      <c r="BH1315" s="96" t="str">
        <f>+VLOOKUP(G1315,Liste!$A$7:$G$50,3,FALSE)</f>
        <v>Pin d'Alep</v>
      </c>
      <c r="BI1315" s="96" t="str">
        <f>+VLOOKUP(H1315,Liste!$B$7:$G$50,5,FALSE)</f>
        <v>Pin d'Alep</v>
      </c>
      <c r="BJ1315" s="135">
        <f t="shared" si="398"/>
        <v>24</v>
      </c>
      <c r="BK1315" s="135" t="str">
        <f t="shared" si="400"/>
        <v>Pin d'Alep_F1_Classique_Pin d'Alep_24_</v>
      </c>
      <c r="BL1315" s="322"/>
      <c r="BM1315" s="13">
        <v>16.839464449652102</v>
      </c>
      <c r="BN1315" s="13">
        <v>71.403117696322397</v>
      </c>
      <c r="BO1315" s="12" t="s">
        <v>169</v>
      </c>
      <c r="BP1315" s="13">
        <v>139.96016108448799</v>
      </c>
      <c r="BQ1315" s="13">
        <v>6.45279752838763</v>
      </c>
      <c r="BT1315" s="298" t="str">
        <f>+VLOOKUP(G1315,Liste!$A$7:$H$50,8,FALSE)</f>
        <v>Résineux</v>
      </c>
      <c r="BU1315" s="298">
        <f t="shared" si="401"/>
        <v>0</v>
      </c>
      <c r="BV1315" s="300">
        <f t="shared" si="402"/>
        <v>1</v>
      </c>
      <c r="BW1315" s="321">
        <v>0</v>
      </c>
      <c r="BX1315" s="298">
        <f t="shared" si="403"/>
        <v>0.43</v>
      </c>
      <c r="BY1315">
        <f t="shared" si="404"/>
        <v>0</v>
      </c>
      <c r="BZ1315" s="304">
        <f t="shared" si="405"/>
        <v>0</v>
      </c>
      <c r="CB1315" s="299">
        <v>0.6</v>
      </c>
      <c r="CC1315" s="299">
        <v>0.4</v>
      </c>
      <c r="CD1315">
        <f t="shared" si="406"/>
        <v>0</v>
      </c>
      <c r="CE1315">
        <f t="shared" si="407"/>
        <v>0</v>
      </c>
      <c r="CF1315">
        <f t="shared" si="408"/>
        <v>0</v>
      </c>
      <c r="CG1315">
        <f t="shared" si="409"/>
        <v>0</v>
      </c>
      <c r="CH1315">
        <f t="shared" si="410"/>
        <v>0</v>
      </c>
      <c r="CI1315">
        <f t="shared" si="411"/>
        <v>0</v>
      </c>
      <c r="CJ1315">
        <f t="shared" si="412"/>
        <v>0</v>
      </c>
      <c r="CK1315">
        <f t="shared" si="413"/>
        <v>0</v>
      </c>
      <c r="CL1315">
        <f t="shared" si="414"/>
        <v>0</v>
      </c>
      <c r="CM1315">
        <f t="shared" si="416"/>
        <v>0</v>
      </c>
      <c r="CN1315">
        <f t="shared" si="415"/>
        <v>0</v>
      </c>
      <c r="CO1315">
        <f t="shared" si="399"/>
        <v>0</v>
      </c>
    </row>
    <row r="1316" spans="1:93" x14ac:dyDescent="0.25">
      <c r="A1316" s="4">
        <v>2021</v>
      </c>
      <c r="B1316" s="318">
        <v>44320</v>
      </c>
      <c r="C1316" s="4" t="s">
        <v>1524</v>
      </c>
      <c r="D1316" s="4" t="s">
        <v>1525</v>
      </c>
      <c r="F1316" s="4" t="s">
        <v>1526</v>
      </c>
      <c r="G1316" s="5" t="s">
        <v>1514</v>
      </c>
      <c r="H1316" s="5" t="s">
        <v>1527</v>
      </c>
      <c r="I1316" s="5" t="s">
        <v>18</v>
      </c>
      <c r="J1316" s="5" t="s">
        <v>9</v>
      </c>
      <c r="K1316" s="5">
        <v>15.5</v>
      </c>
      <c r="L1316" s="5" t="s">
        <v>1528</v>
      </c>
      <c r="M1316" s="5">
        <v>1100</v>
      </c>
      <c r="N1316" s="5" t="s">
        <v>170</v>
      </c>
      <c r="O1316" s="6" t="s">
        <v>81</v>
      </c>
      <c r="P1316" s="6" t="s">
        <v>1530</v>
      </c>
      <c r="S1316" s="6">
        <v>15</v>
      </c>
      <c r="T1316" s="6">
        <v>4.33</v>
      </c>
      <c r="U1316" s="6">
        <v>1101</v>
      </c>
      <c r="V1316" s="6">
        <v>4.92</v>
      </c>
      <c r="W1316" s="6">
        <v>569</v>
      </c>
      <c r="X1316" s="6">
        <v>532</v>
      </c>
      <c r="Y1316" s="6">
        <v>0</v>
      </c>
      <c r="Z1316" s="6">
        <v>0</v>
      </c>
      <c r="AA1316" s="6">
        <v>0</v>
      </c>
      <c r="AB1316" s="6">
        <v>0</v>
      </c>
      <c r="AC1316" s="7">
        <v>25</v>
      </c>
      <c r="AD1316" s="7" t="s">
        <v>52</v>
      </c>
      <c r="AE1316" s="7">
        <v>8.26</v>
      </c>
      <c r="AF1316" s="7">
        <v>1100</v>
      </c>
      <c r="AG1316" s="7">
        <v>12.15</v>
      </c>
      <c r="AH1316" s="7">
        <v>11.86</v>
      </c>
      <c r="AI1316" s="7">
        <v>14.21</v>
      </c>
      <c r="AJ1316" s="9">
        <v>42.375409518284897</v>
      </c>
      <c r="AK1316" s="9">
        <v>43.216460890515002</v>
      </c>
      <c r="AL1316" s="9">
        <v>76.095143086850797</v>
      </c>
      <c r="AM1316" s="9">
        <v>12.151470761315499</v>
      </c>
      <c r="AN1316" s="9">
        <v>0.48605883045261999</v>
      </c>
      <c r="AO1316" s="9">
        <v>0.819277577666639</v>
      </c>
      <c r="AP1316" s="9">
        <v>76.121557383054395</v>
      </c>
      <c r="AQ1316" s="9">
        <v>3.04486229532217</v>
      </c>
      <c r="AR1316" s="9">
        <v>6.78150132749309</v>
      </c>
      <c r="AS1316" s="8" t="s">
        <v>169</v>
      </c>
      <c r="AT1316" s="8" t="s">
        <v>169</v>
      </c>
      <c r="AU1316" s="8" t="s">
        <v>169</v>
      </c>
      <c r="AV1316" s="10">
        <v>0</v>
      </c>
      <c r="AW1316" s="8" t="s">
        <v>169</v>
      </c>
      <c r="AX1316" s="8" t="s">
        <v>169</v>
      </c>
      <c r="BF1316" s="12">
        <v>0.45</v>
      </c>
      <c r="BG1316" s="13">
        <v>59.639568394319298</v>
      </c>
      <c r="BH1316" s="96" t="str">
        <f>+VLOOKUP(G1316,Liste!$A$7:$G$50,3,FALSE)</f>
        <v>Pin d'Alep</v>
      </c>
      <c r="BI1316" s="96" t="str">
        <f>+VLOOKUP(H1316,Liste!$B$7:$G$50,5,FALSE)</f>
        <v>Pin d'Alep</v>
      </c>
      <c r="BJ1316" s="135">
        <f t="shared" si="398"/>
        <v>25</v>
      </c>
      <c r="BK1316" s="135" t="str">
        <f t="shared" si="400"/>
        <v>Pin d'Alep_F1_Classique_Pin d'Alep_25_</v>
      </c>
      <c r="BL1316" s="322"/>
      <c r="BM1316" s="13">
        <v>18.216404969443499</v>
      </c>
      <c r="BN1316" s="13">
        <v>77.8559733637628</v>
      </c>
      <c r="BO1316" s="12" t="s">
        <v>169</v>
      </c>
      <c r="BP1316" s="13">
        <v>139.96016108448799</v>
      </c>
      <c r="BQ1316" s="13">
        <v>6.74219824448656</v>
      </c>
      <c r="BT1316" s="298" t="str">
        <f>+VLOOKUP(G1316,Liste!$A$7:$H$50,8,FALSE)</f>
        <v>Résineux</v>
      </c>
      <c r="BU1316" s="298">
        <f t="shared" si="401"/>
        <v>0</v>
      </c>
      <c r="BV1316" s="300">
        <f t="shared" si="402"/>
        <v>1</v>
      </c>
      <c r="BW1316" s="321">
        <v>0</v>
      </c>
      <c r="BX1316" s="298">
        <f t="shared" si="403"/>
        <v>0.43</v>
      </c>
      <c r="BY1316">
        <f t="shared" si="404"/>
        <v>0</v>
      </c>
      <c r="BZ1316" s="304">
        <f t="shared" si="405"/>
        <v>0</v>
      </c>
      <c r="CB1316" s="299">
        <v>0.6</v>
      </c>
      <c r="CC1316" s="299">
        <v>0.4</v>
      </c>
      <c r="CD1316">
        <f t="shared" si="406"/>
        <v>0</v>
      </c>
      <c r="CE1316">
        <f t="shared" si="407"/>
        <v>0</v>
      </c>
      <c r="CF1316">
        <f t="shared" si="408"/>
        <v>0</v>
      </c>
      <c r="CG1316">
        <f t="shared" si="409"/>
        <v>0</v>
      </c>
      <c r="CH1316">
        <f t="shared" si="410"/>
        <v>0</v>
      </c>
      <c r="CI1316">
        <f t="shared" si="411"/>
        <v>0</v>
      </c>
      <c r="CJ1316">
        <f t="shared" si="412"/>
        <v>0</v>
      </c>
      <c r="CK1316">
        <f t="shared" si="413"/>
        <v>0</v>
      </c>
      <c r="CL1316">
        <f t="shared" si="414"/>
        <v>0</v>
      </c>
      <c r="CM1316">
        <f t="shared" si="416"/>
        <v>0</v>
      </c>
      <c r="CN1316">
        <f t="shared" si="415"/>
        <v>0</v>
      </c>
      <c r="CO1316">
        <f t="shared" si="399"/>
        <v>0</v>
      </c>
    </row>
    <row r="1317" spans="1:93" x14ac:dyDescent="0.25">
      <c r="A1317" s="4">
        <v>2021</v>
      </c>
      <c r="B1317" s="318">
        <v>44320</v>
      </c>
      <c r="C1317" s="4" t="s">
        <v>1524</v>
      </c>
      <c r="D1317" s="4" t="s">
        <v>1525</v>
      </c>
      <c r="F1317" s="4" t="s">
        <v>1526</v>
      </c>
      <c r="G1317" s="5" t="s">
        <v>1514</v>
      </c>
      <c r="H1317" s="5" t="s">
        <v>1527</v>
      </c>
      <c r="I1317" s="5" t="s">
        <v>18</v>
      </c>
      <c r="J1317" s="5" t="s">
        <v>9</v>
      </c>
      <c r="K1317" s="5">
        <v>15.5</v>
      </c>
      <c r="L1317" s="5" t="s">
        <v>1528</v>
      </c>
      <c r="M1317" s="5">
        <v>1100</v>
      </c>
      <c r="N1317" s="5" t="s">
        <v>170</v>
      </c>
      <c r="O1317" s="6" t="s">
        <v>81</v>
      </c>
      <c r="P1317" s="6" t="s">
        <v>1530</v>
      </c>
      <c r="S1317" s="6">
        <v>15</v>
      </c>
      <c r="T1317" s="6">
        <v>4.33</v>
      </c>
      <c r="U1317" s="6">
        <v>1101</v>
      </c>
      <c r="V1317" s="6">
        <v>4.92</v>
      </c>
      <c r="W1317" s="6">
        <v>569</v>
      </c>
      <c r="X1317" s="6">
        <v>532</v>
      </c>
      <c r="Y1317" s="6">
        <v>0</v>
      </c>
      <c r="Z1317" s="6">
        <v>0</v>
      </c>
      <c r="AA1317" s="6">
        <v>0</v>
      </c>
      <c r="AB1317" s="6">
        <v>0</v>
      </c>
      <c r="AC1317" s="7">
        <v>26</v>
      </c>
      <c r="AD1317" s="7" t="s">
        <v>52</v>
      </c>
      <c r="AE1317" s="7">
        <v>8.6199999999999992</v>
      </c>
      <c r="AF1317" s="7">
        <v>1099</v>
      </c>
      <c r="AG1317" s="7">
        <v>12.95</v>
      </c>
      <c r="AH1317" s="7">
        <v>12.25</v>
      </c>
      <c r="AI1317" s="7">
        <v>14.66</v>
      </c>
      <c r="AJ1317" s="9">
        <v>47.011444651508903</v>
      </c>
      <c r="AK1317" s="9">
        <v>47.943384459377398</v>
      </c>
      <c r="AL1317" s="9">
        <v>82.796447265076097</v>
      </c>
      <c r="AM1317" s="9">
        <v>12.9707483389821</v>
      </c>
      <c r="AN1317" s="9">
        <v>0.49887493611469802</v>
      </c>
      <c r="AO1317" s="9">
        <v>0.82936367658895305</v>
      </c>
      <c r="AP1317" s="9">
        <v>82.903058710547398</v>
      </c>
      <c r="AQ1317" s="9">
        <v>3.1885791811748998</v>
      </c>
      <c r="AR1317" s="9">
        <v>7.0650750135089604</v>
      </c>
      <c r="AS1317" s="8" t="s">
        <v>169</v>
      </c>
      <c r="AT1317" s="8" t="s">
        <v>169</v>
      </c>
      <c r="AU1317" s="8" t="s">
        <v>169</v>
      </c>
      <c r="AV1317" s="10">
        <v>0</v>
      </c>
      <c r="AW1317" s="8" t="s">
        <v>169</v>
      </c>
      <c r="AX1317" s="8" t="s">
        <v>169</v>
      </c>
      <c r="BF1317" s="12">
        <v>0.45</v>
      </c>
      <c r="BG1317" s="13">
        <v>64.891715544003404</v>
      </c>
      <c r="BH1317" s="96" t="str">
        <f>+VLOOKUP(G1317,Liste!$A$7:$G$50,3,FALSE)</f>
        <v>Pin d'Alep</v>
      </c>
      <c r="BI1317" s="96" t="str">
        <f>+VLOOKUP(H1317,Liste!$B$7:$G$50,5,FALSE)</f>
        <v>Pin d'Alep</v>
      </c>
      <c r="BJ1317" s="135">
        <f t="shared" si="398"/>
        <v>26</v>
      </c>
      <c r="BK1317" s="135" t="str">
        <f t="shared" si="400"/>
        <v>Pin d'Alep_F1_Classique_Pin d'Alep_26_</v>
      </c>
      <c r="BL1317" s="322"/>
      <c r="BM1317" s="13">
        <v>19.626859878058099</v>
      </c>
      <c r="BN1317" s="13">
        <v>84.518575422061502</v>
      </c>
      <c r="BO1317" s="12" t="s">
        <v>169</v>
      </c>
      <c r="BP1317" s="13">
        <v>139.96016108448799</v>
      </c>
      <c r="BQ1317" s="13">
        <v>7.0097442683584203</v>
      </c>
      <c r="BT1317" s="298" t="str">
        <f>+VLOOKUP(G1317,Liste!$A$7:$H$50,8,FALSE)</f>
        <v>Résineux</v>
      </c>
      <c r="BU1317" s="298">
        <f t="shared" si="401"/>
        <v>0</v>
      </c>
      <c r="BV1317" s="300">
        <f t="shared" si="402"/>
        <v>1</v>
      </c>
      <c r="BW1317" s="321">
        <v>0</v>
      </c>
      <c r="BX1317" s="298">
        <f t="shared" si="403"/>
        <v>0.43</v>
      </c>
      <c r="BY1317">
        <f t="shared" si="404"/>
        <v>0</v>
      </c>
      <c r="BZ1317" s="304">
        <f t="shared" si="405"/>
        <v>0</v>
      </c>
      <c r="CB1317" s="299">
        <v>0.6</v>
      </c>
      <c r="CC1317" s="299">
        <v>0.4</v>
      </c>
      <c r="CD1317">
        <f t="shared" si="406"/>
        <v>0</v>
      </c>
      <c r="CE1317">
        <f t="shared" si="407"/>
        <v>0</v>
      </c>
      <c r="CF1317">
        <f t="shared" si="408"/>
        <v>0</v>
      </c>
      <c r="CG1317">
        <f t="shared" si="409"/>
        <v>0</v>
      </c>
      <c r="CH1317">
        <f t="shared" si="410"/>
        <v>0</v>
      </c>
      <c r="CI1317">
        <f t="shared" si="411"/>
        <v>0</v>
      </c>
      <c r="CJ1317">
        <f t="shared" si="412"/>
        <v>0</v>
      </c>
      <c r="CK1317">
        <f t="shared" si="413"/>
        <v>0</v>
      </c>
      <c r="CL1317">
        <f t="shared" si="414"/>
        <v>0</v>
      </c>
      <c r="CM1317">
        <f t="shared" si="416"/>
        <v>0</v>
      </c>
      <c r="CN1317">
        <f t="shared" si="415"/>
        <v>0</v>
      </c>
      <c r="CO1317">
        <f t="shared" si="399"/>
        <v>0</v>
      </c>
    </row>
    <row r="1318" spans="1:93" x14ac:dyDescent="0.25">
      <c r="A1318" s="4">
        <v>2021</v>
      </c>
      <c r="B1318" s="318">
        <v>44320</v>
      </c>
      <c r="C1318" s="4" t="s">
        <v>1524</v>
      </c>
      <c r="D1318" s="4" t="s">
        <v>1525</v>
      </c>
      <c r="F1318" s="4" t="s">
        <v>1526</v>
      </c>
      <c r="G1318" s="5" t="s">
        <v>1514</v>
      </c>
      <c r="H1318" s="5" t="s">
        <v>1527</v>
      </c>
      <c r="I1318" s="5" t="s">
        <v>18</v>
      </c>
      <c r="J1318" s="5" t="s">
        <v>9</v>
      </c>
      <c r="K1318" s="5">
        <v>15.5</v>
      </c>
      <c r="L1318" s="5" t="s">
        <v>1528</v>
      </c>
      <c r="M1318" s="5">
        <v>1100</v>
      </c>
      <c r="N1318" s="5" t="s">
        <v>170</v>
      </c>
      <c r="O1318" s="6" t="s">
        <v>81</v>
      </c>
      <c r="P1318" s="6" t="s">
        <v>1530</v>
      </c>
      <c r="S1318" s="6">
        <v>15</v>
      </c>
      <c r="T1318" s="6">
        <v>4.33</v>
      </c>
      <c r="U1318" s="6">
        <v>1101</v>
      </c>
      <c r="V1318" s="6">
        <v>4.92</v>
      </c>
      <c r="W1318" s="6">
        <v>569</v>
      </c>
      <c r="X1318" s="6">
        <v>532</v>
      </c>
      <c r="Y1318" s="6">
        <v>0</v>
      </c>
      <c r="Z1318" s="6">
        <v>0</v>
      </c>
      <c r="AA1318" s="6">
        <v>0</v>
      </c>
      <c r="AB1318" s="6">
        <v>0</v>
      </c>
      <c r="AC1318" s="7">
        <v>27</v>
      </c>
      <c r="AD1318" s="7" t="s">
        <v>52</v>
      </c>
      <c r="AE1318" s="7">
        <v>8.98</v>
      </c>
      <c r="AF1318" s="7">
        <v>1099</v>
      </c>
      <c r="AG1318" s="7">
        <v>13.78</v>
      </c>
      <c r="AH1318" s="7">
        <v>12.64</v>
      </c>
      <c r="AI1318" s="7">
        <v>15.09</v>
      </c>
      <c r="AJ1318" s="9">
        <v>51.919028336757599</v>
      </c>
      <c r="AK1318" s="9">
        <v>52.949742525073297</v>
      </c>
      <c r="AL1318" s="9">
        <v>89.861522278585099</v>
      </c>
      <c r="AM1318" s="9">
        <v>13.8001120155711</v>
      </c>
      <c r="AN1318" s="9">
        <v>0.51111525983596695</v>
      </c>
      <c r="AO1318" s="9">
        <v>0.83855032968056298</v>
      </c>
      <c r="AP1318" s="9">
        <v>89.968133724056401</v>
      </c>
      <c r="AQ1318" s="9">
        <v>3.3321531008909799</v>
      </c>
      <c r="AR1318" s="9">
        <v>7.3543330444960597</v>
      </c>
      <c r="AS1318" s="8" t="s">
        <v>169</v>
      </c>
      <c r="AT1318" s="8" t="s">
        <v>169</v>
      </c>
      <c r="AU1318" s="8" t="s">
        <v>169</v>
      </c>
      <c r="AV1318" s="10">
        <v>0</v>
      </c>
      <c r="AW1318" s="8" t="s">
        <v>169</v>
      </c>
      <c r="AX1318" s="8" t="s">
        <v>169</v>
      </c>
      <c r="BF1318" s="12">
        <v>0.45</v>
      </c>
      <c r="BG1318" s="13">
        <v>70.428968085841106</v>
      </c>
      <c r="BH1318" s="96" t="str">
        <f>+VLOOKUP(G1318,Liste!$A$7:$G$50,3,FALSE)</f>
        <v>Pin d'Alep</v>
      </c>
      <c r="BI1318" s="96" t="str">
        <f>+VLOOKUP(H1318,Liste!$B$7:$G$50,5,FALSE)</f>
        <v>Pin d'Alep</v>
      </c>
      <c r="BJ1318" s="135">
        <f t="shared" si="398"/>
        <v>27</v>
      </c>
      <c r="BK1318" s="135" t="str">
        <f t="shared" si="400"/>
        <v>Pin d'Alep_F1_Classique_Pin d'Alep_27_</v>
      </c>
      <c r="BL1318" s="322"/>
      <c r="BM1318" s="13">
        <v>21.099563287933901</v>
      </c>
      <c r="BN1318" s="13">
        <v>91.528531373774996</v>
      </c>
      <c r="BO1318" s="12" t="s">
        <v>169</v>
      </c>
      <c r="BP1318" s="13">
        <v>139.96016108448799</v>
      </c>
      <c r="BQ1318" s="13">
        <v>7.2825054738608701</v>
      </c>
      <c r="BT1318" s="298" t="str">
        <f>+VLOOKUP(G1318,Liste!$A$7:$H$50,8,FALSE)</f>
        <v>Résineux</v>
      </c>
      <c r="BU1318" s="298">
        <f t="shared" si="401"/>
        <v>0</v>
      </c>
      <c r="BV1318" s="300">
        <f t="shared" si="402"/>
        <v>1</v>
      </c>
      <c r="BW1318" s="321">
        <v>0</v>
      </c>
      <c r="BX1318" s="298">
        <f t="shared" si="403"/>
        <v>0.43</v>
      </c>
      <c r="BY1318">
        <f t="shared" si="404"/>
        <v>0</v>
      </c>
      <c r="BZ1318" s="304">
        <f t="shared" si="405"/>
        <v>0</v>
      </c>
      <c r="CB1318" s="299">
        <v>0.6</v>
      </c>
      <c r="CC1318" s="299">
        <v>0.4</v>
      </c>
      <c r="CD1318">
        <f t="shared" si="406"/>
        <v>0</v>
      </c>
      <c r="CE1318">
        <f t="shared" si="407"/>
        <v>0</v>
      </c>
      <c r="CF1318">
        <f t="shared" si="408"/>
        <v>0</v>
      </c>
      <c r="CG1318">
        <f t="shared" si="409"/>
        <v>0</v>
      </c>
      <c r="CH1318">
        <f t="shared" si="410"/>
        <v>0</v>
      </c>
      <c r="CI1318">
        <f t="shared" si="411"/>
        <v>0</v>
      </c>
      <c r="CJ1318">
        <f t="shared" si="412"/>
        <v>0</v>
      </c>
      <c r="CK1318">
        <f t="shared" si="413"/>
        <v>0</v>
      </c>
      <c r="CL1318">
        <f t="shared" si="414"/>
        <v>0</v>
      </c>
      <c r="CM1318">
        <f t="shared" si="416"/>
        <v>0</v>
      </c>
      <c r="CN1318">
        <f t="shared" si="415"/>
        <v>0</v>
      </c>
      <c r="CO1318">
        <f t="shared" si="399"/>
        <v>0</v>
      </c>
    </row>
    <row r="1319" spans="1:93" x14ac:dyDescent="0.25">
      <c r="A1319" s="4">
        <v>2021</v>
      </c>
      <c r="B1319" s="318">
        <v>44320</v>
      </c>
      <c r="C1319" s="4" t="s">
        <v>1524</v>
      </c>
      <c r="D1319" s="4" t="s">
        <v>1525</v>
      </c>
      <c r="F1319" s="4" t="s">
        <v>1526</v>
      </c>
      <c r="G1319" s="5" t="s">
        <v>1514</v>
      </c>
      <c r="H1319" s="5" t="s">
        <v>1527</v>
      </c>
      <c r="I1319" s="5" t="s">
        <v>18</v>
      </c>
      <c r="J1319" s="5" t="s">
        <v>9</v>
      </c>
      <c r="K1319" s="5">
        <v>15.5</v>
      </c>
      <c r="L1319" s="5" t="s">
        <v>1528</v>
      </c>
      <c r="M1319" s="5">
        <v>1100</v>
      </c>
      <c r="N1319" s="5" t="s">
        <v>170</v>
      </c>
      <c r="O1319" s="6" t="s">
        <v>81</v>
      </c>
      <c r="P1319" s="6" t="s">
        <v>1530</v>
      </c>
      <c r="S1319" s="6">
        <v>15</v>
      </c>
      <c r="T1319" s="6">
        <v>4.33</v>
      </c>
      <c r="U1319" s="6">
        <v>1101</v>
      </c>
      <c r="V1319" s="6">
        <v>4.92</v>
      </c>
      <c r="W1319" s="6">
        <v>569</v>
      </c>
      <c r="X1319" s="6">
        <v>532</v>
      </c>
      <c r="Y1319" s="6">
        <v>0</v>
      </c>
      <c r="Z1319" s="6">
        <v>0</v>
      </c>
      <c r="AA1319" s="6">
        <v>0</v>
      </c>
      <c r="AB1319" s="6">
        <v>0</v>
      </c>
      <c r="AC1319" s="7">
        <v>28</v>
      </c>
      <c r="AD1319" s="7" t="s">
        <v>52</v>
      </c>
      <c r="AE1319" s="7">
        <v>9.33</v>
      </c>
      <c r="AF1319" s="7">
        <v>1099</v>
      </c>
      <c r="AG1319" s="7">
        <v>14.62</v>
      </c>
      <c r="AH1319" s="7">
        <v>13.02</v>
      </c>
      <c r="AI1319" s="7">
        <v>15.53</v>
      </c>
      <c r="AJ1319" s="9">
        <v>57.0601666261324</v>
      </c>
      <c r="AK1319" s="9">
        <v>58.1958800668463</v>
      </c>
      <c r="AL1319" s="9">
        <v>97.2158553230812</v>
      </c>
      <c r="AM1319" s="9">
        <v>14.638662345251699</v>
      </c>
      <c r="AN1319" s="9">
        <v>0.52280936947327405</v>
      </c>
      <c r="AO1319" s="9">
        <v>0.84560303240027501</v>
      </c>
      <c r="AP1319" s="9">
        <v>97.322466768552502</v>
      </c>
      <c r="AQ1319" s="9">
        <v>3.4758023845911601</v>
      </c>
      <c r="AR1319" s="9">
        <v>7.6028469408505099</v>
      </c>
      <c r="AS1319" s="8" t="s">
        <v>169</v>
      </c>
      <c r="AT1319" s="8" t="s">
        <v>169</v>
      </c>
      <c r="AU1319" s="8" t="s">
        <v>169</v>
      </c>
      <c r="AV1319" s="10">
        <v>0</v>
      </c>
      <c r="AW1319" s="8" t="s">
        <v>169</v>
      </c>
      <c r="AX1319" s="8" t="s">
        <v>169</v>
      </c>
      <c r="BF1319" s="12">
        <v>0.45</v>
      </c>
      <c r="BG1319" s="13">
        <v>76.192926609464905</v>
      </c>
      <c r="BH1319" s="96" t="str">
        <f>+VLOOKUP(G1319,Liste!$A$7:$G$50,3,FALSE)</f>
        <v>Pin d'Alep</v>
      </c>
      <c r="BI1319" s="96" t="str">
        <f>+VLOOKUP(H1319,Liste!$B$7:$G$50,5,FALSE)</f>
        <v>Pin d'Alep</v>
      </c>
      <c r="BJ1319" s="135">
        <f t="shared" si="398"/>
        <v>28</v>
      </c>
      <c r="BK1319" s="135" t="str">
        <f t="shared" si="400"/>
        <v>Pin d'Alep_F1_Classique_Pin d'Alep_28_</v>
      </c>
      <c r="BL1319" s="322"/>
      <c r="BM1319" s="13">
        <v>22.6183117148768</v>
      </c>
      <c r="BN1319" s="13">
        <v>98.811238324341701</v>
      </c>
      <c r="BO1319" s="12" t="s">
        <v>169</v>
      </c>
      <c r="BP1319" s="13">
        <v>139.96016108448799</v>
      </c>
      <c r="BQ1319" s="13">
        <v>7.5146107807181597</v>
      </c>
      <c r="BT1319" s="298" t="str">
        <f>+VLOOKUP(G1319,Liste!$A$7:$H$50,8,FALSE)</f>
        <v>Résineux</v>
      </c>
      <c r="BU1319" s="298">
        <f t="shared" si="401"/>
        <v>0</v>
      </c>
      <c r="BV1319" s="300">
        <f t="shared" si="402"/>
        <v>1</v>
      </c>
      <c r="BW1319" s="321">
        <v>0</v>
      </c>
      <c r="BX1319" s="298">
        <f t="shared" si="403"/>
        <v>0.43</v>
      </c>
      <c r="BY1319">
        <f t="shared" si="404"/>
        <v>0</v>
      </c>
      <c r="BZ1319" s="304">
        <f t="shared" si="405"/>
        <v>0</v>
      </c>
      <c r="CB1319" s="299">
        <v>0.6</v>
      </c>
      <c r="CC1319" s="299">
        <v>0.4</v>
      </c>
      <c r="CD1319">
        <f t="shared" si="406"/>
        <v>0</v>
      </c>
      <c r="CE1319">
        <f t="shared" si="407"/>
        <v>0</v>
      </c>
      <c r="CF1319">
        <f t="shared" si="408"/>
        <v>0</v>
      </c>
      <c r="CG1319">
        <f t="shared" si="409"/>
        <v>0</v>
      </c>
      <c r="CH1319">
        <f t="shared" si="410"/>
        <v>0</v>
      </c>
      <c r="CI1319">
        <f t="shared" si="411"/>
        <v>0</v>
      </c>
      <c r="CJ1319">
        <f t="shared" si="412"/>
        <v>0</v>
      </c>
      <c r="CK1319">
        <f t="shared" si="413"/>
        <v>0</v>
      </c>
      <c r="CL1319">
        <f t="shared" si="414"/>
        <v>0</v>
      </c>
      <c r="CM1319">
        <f t="shared" si="416"/>
        <v>0</v>
      </c>
      <c r="CN1319">
        <f t="shared" si="415"/>
        <v>0</v>
      </c>
      <c r="CO1319">
        <f t="shared" si="399"/>
        <v>0</v>
      </c>
    </row>
    <row r="1320" spans="1:93" x14ac:dyDescent="0.25">
      <c r="A1320" s="4">
        <v>2021</v>
      </c>
      <c r="B1320" s="318">
        <v>44320</v>
      </c>
      <c r="C1320" s="4" t="s">
        <v>1524</v>
      </c>
      <c r="D1320" s="4" t="s">
        <v>1525</v>
      </c>
      <c r="F1320" s="4" t="s">
        <v>1526</v>
      </c>
      <c r="G1320" s="5" t="s">
        <v>1514</v>
      </c>
      <c r="H1320" s="5" t="s">
        <v>1527</v>
      </c>
      <c r="I1320" s="5" t="s">
        <v>18</v>
      </c>
      <c r="J1320" s="5" t="s">
        <v>9</v>
      </c>
      <c r="K1320" s="5">
        <v>15.5</v>
      </c>
      <c r="L1320" s="5" t="s">
        <v>1528</v>
      </c>
      <c r="M1320" s="5">
        <v>1100</v>
      </c>
      <c r="N1320" s="5" t="s">
        <v>170</v>
      </c>
      <c r="O1320" s="6" t="s">
        <v>81</v>
      </c>
      <c r="P1320" s="6" t="s">
        <v>1530</v>
      </c>
      <c r="S1320" s="6">
        <v>15</v>
      </c>
      <c r="T1320" s="6">
        <v>4.33</v>
      </c>
      <c r="U1320" s="6">
        <v>1101</v>
      </c>
      <c r="V1320" s="6">
        <v>4.92</v>
      </c>
      <c r="W1320" s="6">
        <v>569</v>
      </c>
      <c r="X1320" s="6">
        <v>532</v>
      </c>
      <c r="Y1320" s="6">
        <v>0</v>
      </c>
      <c r="Z1320" s="6">
        <v>0</v>
      </c>
      <c r="AA1320" s="6">
        <v>0</v>
      </c>
      <c r="AB1320" s="6">
        <v>0</v>
      </c>
      <c r="AC1320" s="7">
        <v>29</v>
      </c>
      <c r="AD1320" s="7" t="s">
        <v>52</v>
      </c>
      <c r="AE1320" s="7">
        <v>9.67</v>
      </c>
      <c r="AF1320" s="7">
        <v>1099</v>
      </c>
      <c r="AG1320" s="7">
        <v>15.47</v>
      </c>
      <c r="AH1320" s="7">
        <v>13.39</v>
      </c>
      <c r="AI1320" s="7">
        <v>15.95</v>
      </c>
      <c r="AJ1320" s="9">
        <v>62.399839005614901</v>
      </c>
      <c r="AK1320" s="9">
        <v>63.6472443087751</v>
      </c>
      <c r="AL1320" s="9">
        <v>104.818702263932</v>
      </c>
      <c r="AM1320" s="9">
        <v>15.4842653776519</v>
      </c>
      <c r="AN1320" s="9">
        <v>0.53394018543627397</v>
      </c>
      <c r="AO1320" s="9">
        <v>0.850335166290488</v>
      </c>
      <c r="AP1320" s="9">
        <v>104.925313709403</v>
      </c>
      <c r="AQ1320" s="9">
        <v>3.6181142658414802</v>
      </c>
      <c r="AR1320" s="9">
        <v>7.8477065149607599</v>
      </c>
      <c r="AS1320" s="8" t="s">
        <v>169</v>
      </c>
      <c r="AT1320" s="8" t="s">
        <v>169</v>
      </c>
      <c r="AU1320" s="8" t="s">
        <v>169</v>
      </c>
      <c r="AV1320" s="10">
        <v>0</v>
      </c>
      <c r="AW1320" s="8" t="s">
        <v>169</v>
      </c>
      <c r="AX1320" s="8" t="s">
        <v>169</v>
      </c>
      <c r="BF1320" s="12">
        <v>0.45</v>
      </c>
      <c r="BG1320" s="13">
        <v>82.151657899356493</v>
      </c>
      <c r="BH1320" s="96" t="str">
        <f>+VLOOKUP(G1320,Liste!$A$7:$G$50,3,FALSE)</f>
        <v>Pin d'Alep</v>
      </c>
      <c r="BI1320" s="96" t="str">
        <f>+VLOOKUP(H1320,Liste!$B$7:$G$50,5,FALSE)</f>
        <v>Pin d'Alep</v>
      </c>
      <c r="BJ1320" s="135">
        <f t="shared" si="398"/>
        <v>29</v>
      </c>
      <c r="BK1320" s="135" t="str">
        <f t="shared" si="400"/>
        <v>Pin d'Alep_F1_Classique_Pin d'Alep_29_</v>
      </c>
      <c r="BL1320" s="322"/>
      <c r="BM1320" s="13">
        <v>24.174382350939901</v>
      </c>
      <c r="BN1320" s="13">
        <v>106.326040250296</v>
      </c>
      <c r="BO1320" s="12" t="s">
        <v>169</v>
      </c>
      <c r="BP1320" s="13">
        <v>139.96016108448799</v>
      </c>
      <c r="BQ1320" s="13">
        <v>7.74292176913616</v>
      </c>
      <c r="BT1320" s="298" t="str">
        <f>+VLOOKUP(G1320,Liste!$A$7:$H$50,8,FALSE)</f>
        <v>Résineux</v>
      </c>
      <c r="BU1320" s="298">
        <f t="shared" si="401"/>
        <v>0</v>
      </c>
      <c r="BV1320" s="300">
        <f t="shared" si="402"/>
        <v>1</v>
      </c>
      <c r="BW1320" s="321">
        <v>0</v>
      </c>
      <c r="BX1320" s="298">
        <f t="shared" si="403"/>
        <v>0.43</v>
      </c>
      <c r="BY1320">
        <f t="shared" si="404"/>
        <v>0</v>
      </c>
      <c r="BZ1320" s="304">
        <f t="shared" si="405"/>
        <v>0</v>
      </c>
      <c r="CB1320" s="299">
        <v>0.6</v>
      </c>
      <c r="CC1320" s="299">
        <v>0.4</v>
      </c>
      <c r="CD1320">
        <f t="shared" si="406"/>
        <v>0</v>
      </c>
      <c r="CE1320">
        <f t="shared" si="407"/>
        <v>0</v>
      </c>
      <c r="CF1320">
        <f t="shared" si="408"/>
        <v>0</v>
      </c>
      <c r="CG1320">
        <f t="shared" si="409"/>
        <v>0</v>
      </c>
      <c r="CH1320">
        <f t="shared" si="410"/>
        <v>0</v>
      </c>
      <c r="CI1320">
        <f t="shared" si="411"/>
        <v>0</v>
      </c>
      <c r="CJ1320">
        <f t="shared" si="412"/>
        <v>0</v>
      </c>
      <c r="CK1320">
        <f t="shared" si="413"/>
        <v>0</v>
      </c>
      <c r="CL1320">
        <f t="shared" si="414"/>
        <v>0</v>
      </c>
      <c r="CM1320">
        <f t="shared" si="416"/>
        <v>0</v>
      </c>
      <c r="CN1320">
        <f t="shared" si="415"/>
        <v>0</v>
      </c>
      <c r="CO1320">
        <f t="shared" si="399"/>
        <v>0</v>
      </c>
    </row>
    <row r="1321" spans="1:93" x14ac:dyDescent="0.25">
      <c r="A1321" s="4">
        <v>2021</v>
      </c>
      <c r="B1321" s="318">
        <v>44320</v>
      </c>
      <c r="C1321" s="4" t="s">
        <v>1524</v>
      </c>
      <c r="D1321" s="4" t="s">
        <v>1525</v>
      </c>
      <c r="F1321" s="4" t="s">
        <v>1526</v>
      </c>
      <c r="G1321" s="5" t="s">
        <v>1514</v>
      </c>
      <c r="H1321" s="5" t="s">
        <v>1527</v>
      </c>
      <c r="I1321" s="5" t="s">
        <v>18</v>
      </c>
      <c r="J1321" s="5" t="s">
        <v>9</v>
      </c>
      <c r="K1321" s="5">
        <v>15.5</v>
      </c>
      <c r="L1321" s="5" t="s">
        <v>1528</v>
      </c>
      <c r="M1321" s="5">
        <v>1100</v>
      </c>
      <c r="N1321" s="5" t="s">
        <v>170</v>
      </c>
      <c r="O1321" s="6" t="s">
        <v>81</v>
      </c>
      <c r="P1321" s="6" t="s">
        <v>1530</v>
      </c>
      <c r="S1321" s="6">
        <v>15</v>
      </c>
      <c r="T1321" s="6">
        <v>4.33</v>
      </c>
      <c r="U1321" s="6">
        <v>1101</v>
      </c>
      <c r="V1321" s="6">
        <v>4.92</v>
      </c>
      <c r="W1321" s="6">
        <v>569</v>
      </c>
      <c r="X1321" s="6">
        <v>532</v>
      </c>
      <c r="Y1321" s="6">
        <v>0</v>
      </c>
      <c r="Z1321" s="6">
        <v>0</v>
      </c>
      <c r="AA1321" s="6">
        <v>0</v>
      </c>
      <c r="AB1321" s="6">
        <v>0</v>
      </c>
      <c r="AC1321" s="7">
        <v>30</v>
      </c>
      <c r="AD1321" s="7" t="s">
        <v>52</v>
      </c>
      <c r="AE1321" s="7">
        <v>10</v>
      </c>
      <c r="AF1321" s="7">
        <v>1099</v>
      </c>
      <c r="AG1321" s="7">
        <v>16.32</v>
      </c>
      <c r="AH1321" s="7">
        <v>13.75</v>
      </c>
      <c r="AI1321" s="7">
        <v>16.38</v>
      </c>
      <c r="AJ1321" s="9">
        <v>68.011870341275994</v>
      </c>
      <c r="AK1321" s="9">
        <v>69.370305262023706</v>
      </c>
      <c r="AL1321" s="9">
        <v>112.66640877889201</v>
      </c>
      <c r="AM1321" s="9">
        <v>16.3346005439424</v>
      </c>
      <c r="AN1321" s="9">
        <v>0.54448668479808104</v>
      </c>
      <c r="AO1321" s="9">
        <v>0.85453448606665094</v>
      </c>
      <c r="AP1321" s="9">
        <v>112.773020224364</v>
      </c>
      <c r="AQ1321" s="9">
        <v>3.75910067414546</v>
      </c>
      <c r="AR1321" s="9">
        <v>8.0901889141677401</v>
      </c>
      <c r="AS1321" s="8" t="s">
        <v>169</v>
      </c>
      <c r="AT1321" s="8" t="s">
        <v>169</v>
      </c>
      <c r="AU1321" s="8" t="s">
        <v>169</v>
      </c>
      <c r="AV1321" s="10">
        <v>0</v>
      </c>
      <c r="AW1321" s="8" t="s">
        <v>169</v>
      </c>
      <c r="AX1321" s="8" t="s">
        <v>169</v>
      </c>
      <c r="BF1321" s="12">
        <v>0.45</v>
      </c>
      <c r="BG1321" s="13">
        <v>88.302297880456905</v>
      </c>
      <c r="BH1321" s="96" t="str">
        <f>+VLOOKUP(G1321,Liste!$A$7:$G$50,3,FALSE)</f>
        <v>Pin d'Alep</v>
      </c>
      <c r="BI1321" s="96" t="str">
        <f>+VLOOKUP(H1321,Liste!$B$7:$G$50,5,FALSE)</f>
        <v>Pin d'Alep</v>
      </c>
      <c r="BJ1321" s="135">
        <f t="shared" si="398"/>
        <v>30</v>
      </c>
      <c r="BK1321" s="135" t="str">
        <f t="shared" si="400"/>
        <v>Pin d'Alep_F1_Classique_Pin d'Alep_30_</v>
      </c>
      <c r="BL1321" s="322"/>
      <c r="BM1321" s="13">
        <v>25.766845857637001</v>
      </c>
      <c r="BN1321" s="13">
        <v>114.069143738094</v>
      </c>
      <c r="BO1321" s="12" t="s">
        <v>169</v>
      </c>
      <c r="BP1321" s="13">
        <v>139.96016108448799</v>
      </c>
      <c r="BQ1321" s="13">
        <v>7.9687183540376099</v>
      </c>
      <c r="BT1321" s="298" t="str">
        <f>+VLOOKUP(G1321,Liste!$A$7:$H$50,8,FALSE)</f>
        <v>Résineux</v>
      </c>
      <c r="BU1321" s="298">
        <f t="shared" si="401"/>
        <v>0</v>
      </c>
      <c r="BV1321" s="300">
        <f t="shared" si="402"/>
        <v>1</v>
      </c>
      <c r="BW1321" s="321">
        <v>0</v>
      </c>
      <c r="BX1321" s="298">
        <f t="shared" si="403"/>
        <v>0.43</v>
      </c>
      <c r="BY1321">
        <f t="shared" si="404"/>
        <v>0</v>
      </c>
      <c r="BZ1321" s="304">
        <f t="shared" si="405"/>
        <v>0</v>
      </c>
      <c r="CB1321" s="299">
        <v>0.6</v>
      </c>
      <c r="CC1321" s="299">
        <v>0.4</v>
      </c>
      <c r="CD1321">
        <f t="shared" si="406"/>
        <v>0</v>
      </c>
      <c r="CE1321">
        <f t="shared" si="407"/>
        <v>0</v>
      </c>
      <c r="CF1321">
        <f t="shared" si="408"/>
        <v>0</v>
      </c>
      <c r="CG1321">
        <f t="shared" si="409"/>
        <v>0</v>
      </c>
      <c r="CH1321">
        <f t="shared" si="410"/>
        <v>0</v>
      </c>
      <c r="CI1321">
        <f t="shared" si="411"/>
        <v>0</v>
      </c>
      <c r="CJ1321">
        <f t="shared" si="412"/>
        <v>0</v>
      </c>
      <c r="CK1321">
        <f t="shared" si="413"/>
        <v>0</v>
      </c>
      <c r="CL1321">
        <f t="shared" si="414"/>
        <v>0</v>
      </c>
      <c r="CM1321">
        <f t="shared" si="416"/>
        <v>0</v>
      </c>
      <c r="CN1321">
        <f t="shared" si="415"/>
        <v>0</v>
      </c>
      <c r="CO1321">
        <f t="shared" si="399"/>
        <v>0</v>
      </c>
    </row>
    <row r="1322" spans="1:93" x14ac:dyDescent="0.25">
      <c r="A1322" s="4">
        <v>2021</v>
      </c>
      <c r="B1322" s="318">
        <v>44320</v>
      </c>
      <c r="C1322" s="4" t="s">
        <v>1524</v>
      </c>
      <c r="D1322" s="4" t="s">
        <v>1525</v>
      </c>
      <c r="F1322" s="4" t="s">
        <v>1526</v>
      </c>
      <c r="G1322" s="5" t="s">
        <v>1514</v>
      </c>
      <c r="H1322" s="5" t="s">
        <v>1527</v>
      </c>
      <c r="I1322" s="5" t="s">
        <v>18</v>
      </c>
      <c r="J1322" s="5" t="s">
        <v>9</v>
      </c>
      <c r="K1322" s="5">
        <v>15.5</v>
      </c>
      <c r="L1322" s="5" t="s">
        <v>1528</v>
      </c>
      <c r="M1322" s="5">
        <v>1100</v>
      </c>
      <c r="N1322" s="5" t="s">
        <v>170</v>
      </c>
      <c r="O1322" s="6" t="s">
        <v>81</v>
      </c>
      <c r="P1322" s="6" t="s">
        <v>1530</v>
      </c>
      <c r="S1322" s="6">
        <v>15</v>
      </c>
      <c r="T1322" s="6">
        <v>4.33</v>
      </c>
      <c r="U1322" s="6">
        <v>1101</v>
      </c>
      <c r="V1322" s="6">
        <v>4.92</v>
      </c>
      <c r="W1322" s="6">
        <v>569</v>
      </c>
      <c r="X1322" s="6">
        <v>532</v>
      </c>
      <c r="Y1322" s="6">
        <v>0</v>
      </c>
      <c r="Z1322" s="6">
        <v>0</v>
      </c>
      <c r="AA1322" s="6">
        <v>0</v>
      </c>
      <c r="AB1322" s="6">
        <v>0</v>
      </c>
      <c r="AC1322" s="7">
        <v>31</v>
      </c>
      <c r="AD1322" s="7" t="s">
        <v>52</v>
      </c>
      <c r="AE1322" s="7">
        <v>10.33</v>
      </c>
      <c r="AF1322" s="7">
        <v>1098</v>
      </c>
      <c r="AG1322" s="7">
        <v>17.16</v>
      </c>
      <c r="AH1322" s="7">
        <v>14.11</v>
      </c>
      <c r="AI1322" s="7">
        <v>16.79</v>
      </c>
      <c r="AJ1322" s="9">
        <v>73.927409593941704</v>
      </c>
      <c r="AK1322" s="9">
        <v>75.390109690945593</v>
      </c>
      <c r="AL1322" s="9">
        <v>120.691026072319</v>
      </c>
      <c r="AM1322" s="9">
        <v>17.189135030009101</v>
      </c>
      <c r="AN1322" s="9">
        <v>0.55448822677448695</v>
      </c>
      <c r="AO1322" s="9">
        <v>0.85651824474776095</v>
      </c>
      <c r="AP1322" s="9">
        <v>120.863209138531</v>
      </c>
      <c r="AQ1322" s="9">
        <v>3.8988131980171401</v>
      </c>
      <c r="AR1322" s="9">
        <v>8.2895487023306895</v>
      </c>
      <c r="AS1322" s="8" t="s">
        <v>169</v>
      </c>
      <c r="AT1322" s="8" t="s">
        <v>169</v>
      </c>
      <c r="AU1322" s="8" t="s">
        <v>169</v>
      </c>
      <c r="AV1322" s="10">
        <v>0</v>
      </c>
      <c r="AW1322" s="8" t="s">
        <v>169</v>
      </c>
      <c r="AX1322" s="8" t="s">
        <v>169</v>
      </c>
      <c r="BF1322" s="12">
        <v>0.45</v>
      </c>
      <c r="BG1322" s="13">
        <v>94.591591684180003</v>
      </c>
      <c r="BH1322" s="96" t="str">
        <f>+VLOOKUP(G1322,Liste!$A$7:$G$50,3,FALSE)</f>
        <v>Pin d'Alep</v>
      </c>
      <c r="BI1322" s="96" t="str">
        <f>+VLOOKUP(H1322,Liste!$B$7:$G$50,5,FALSE)</f>
        <v>Pin d'Alep</v>
      </c>
      <c r="BJ1322" s="135">
        <f t="shared" si="398"/>
        <v>31</v>
      </c>
      <c r="BK1322" s="135" t="str">
        <f t="shared" si="400"/>
        <v>Pin d'Alep_F1_Classique_Pin d'Alep_31_</v>
      </c>
      <c r="BL1322" s="322"/>
      <c r="BM1322" s="13">
        <v>27.381907184541198</v>
      </c>
      <c r="BN1322" s="13">
        <v>121.97349886872099</v>
      </c>
      <c r="BO1322" s="12" t="s">
        <v>169</v>
      </c>
      <c r="BP1322" s="13">
        <v>139.96016108448799</v>
      </c>
      <c r="BQ1322" s="13">
        <v>8.1519759755045396</v>
      </c>
      <c r="BT1322" s="298" t="str">
        <f>+VLOOKUP(G1322,Liste!$A$7:$H$50,8,FALSE)</f>
        <v>Résineux</v>
      </c>
      <c r="BU1322" s="298">
        <f t="shared" si="401"/>
        <v>0</v>
      </c>
      <c r="BV1322" s="300">
        <f t="shared" si="402"/>
        <v>1</v>
      </c>
      <c r="BW1322" s="321">
        <v>0</v>
      </c>
      <c r="BX1322" s="298">
        <f t="shared" si="403"/>
        <v>0.43</v>
      </c>
      <c r="BY1322">
        <f t="shared" si="404"/>
        <v>0</v>
      </c>
      <c r="BZ1322" s="304">
        <f t="shared" si="405"/>
        <v>0</v>
      </c>
      <c r="CB1322" s="299">
        <v>0.6</v>
      </c>
      <c r="CC1322" s="299">
        <v>0.4</v>
      </c>
      <c r="CD1322">
        <f t="shared" si="406"/>
        <v>0</v>
      </c>
      <c r="CE1322">
        <f t="shared" si="407"/>
        <v>0</v>
      </c>
      <c r="CF1322">
        <f t="shared" si="408"/>
        <v>0</v>
      </c>
      <c r="CG1322">
        <f t="shared" si="409"/>
        <v>0</v>
      </c>
      <c r="CH1322">
        <f t="shared" si="410"/>
        <v>0</v>
      </c>
      <c r="CI1322">
        <f t="shared" si="411"/>
        <v>0</v>
      </c>
      <c r="CJ1322">
        <f t="shared" si="412"/>
        <v>0</v>
      </c>
      <c r="CK1322">
        <f t="shared" si="413"/>
        <v>0</v>
      </c>
      <c r="CL1322">
        <f t="shared" si="414"/>
        <v>0</v>
      </c>
      <c r="CM1322">
        <f t="shared" si="416"/>
        <v>0</v>
      </c>
      <c r="CN1322">
        <f t="shared" si="415"/>
        <v>0</v>
      </c>
      <c r="CO1322">
        <f t="shared" si="399"/>
        <v>0</v>
      </c>
    </row>
    <row r="1323" spans="1:93" x14ac:dyDescent="0.25">
      <c r="A1323" s="4">
        <v>2021</v>
      </c>
      <c r="B1323" s="318">
        <v>44320</v>
      </c>
      <c r="C1323" s="4" t="s">
        <v>1524</v>
      </c>
      <c r="D1323" s="4" t="s">
        <v>1525</v>
      </c>
      <c r="F1323" s="4" t="s">
        <v>1526</v>
      </c>
      <c r="G1323" s="5" t="s">
        <v>1514</v>
      </c>
      <c r="H1323" s="5" t="s">
        <v>1527</v>
      </c>
      <c r="I1323" s="5" t="s">
        <v>18</v>
      </c>
      <c r="J1323" s="5" t="s">
        <v>9</v>
      </c>
      <c r="K1323" s="5">
        <v>15.5</v>
      </c>
      <c r="L1323" s="5" t="s">
        <v>1528</v>
      </c>
      <c r="M1323" s="5">
        <v>1100</v>
      </c>
      <c r="N1323" s="5" t="s">
        <v>170</v>
      </c>
      <c r="O1323" s="6" t="s">
        <v>81</v>
      </c>
      <c r="P1323" s="6" t="s">
        <v>1530</v>
      </c>
      <c r="S1323" s="6">
        <v>15</v>
      </c>
      <c r="T1323" s="6">
        <v>4.33</v>
      </c>
      <c r="U1323" s="6">
        <v>1101</v>
      </c>
      <c r="V1323" s="6">
        <v>4.92</v>
      </c>
      <c r="W1323" s="6">
        <v>569</v>
      </c>
      <c r="X1323" s="6">
        <v>532</v>
      </c>
      <c r="Y1323" s="6">
        <v>0</v>
      </c>
      <c r="Z1323" s="6">
        <v>0</v>
      </c>
      <c r="AA1323" s="6">
        <v>0</v>
      </c>
      <c r="AB1323" s="6">
        <v>0</v>
      </c>
      <c r="AC1323" s="7">
        <v>32</v>
      </c>
      <c r="AD1323" s="7" t="s">
        <v>52</v>
      </c>
      <c r="AE1323" s="7">
        <v>10.66</v>
      </c>
      <c r="AF1323" s="7">
        <v>1098</v>
      </c>
      <c r="AG1323" s="7">
        <v>18.02</v>
      </c>
      <c r="AH1323" s="7">
        <v>14.45</v>
      </c>
      <c r="AI1323" s="7">
        <v>17.2</v>
      </c>
      <c r="AJ1323" s="9">
        <v>80.070432850322007</v>
      </c>
      <c r="AK1323" s="9">
        <v>81.642057060812405</v>
      </c>
      <c r="AL1323" s="9">
        <v>128.98057477464999</v>
      </c>
      <c r="AM1323" s="9">
        <v>18.045653274756798</v>
      </c>
      <c r="AN1323" s="9">
        <v>0.56392666483615095</v>
      </c>
      <c r="AO1323" s="9">
        <v>0.85789666564841505</v>
      </c>
      <c r="AP1323" s="9">
        <v>129.15275784086199</v>
      </c>
      <c r="AQ1323" s="9">
        <v>4.03602368252694</v>
      </c>
      <c r="AR1323" s="9">
        <v>8.4791173397268302</v>
      </c>
      <c r="AS1323" s="8" t="s">
        <v>169</v>
      </c>
      <c r="AT1323" s="8" t="s">
        <v>169</v>
      </c>
      <c r="AU1323" s="8" t="s">
        <v>169</v>
      </c>
      <c r="AV1323" s="10">
        <v>0</v>
      </c>
      <c r="AW1323" s="8" t="s">
        <v>169</v>
      </c>
      <c r="AX1323" s="8" t="s">
        <v>169</v>
      </c>
      <c r="BF1323" s="12">
        <v>0.45</v>
      </c>
      <c r="BG1323" s="13">
        <v>101.088525479632</v>
      </c>
      <c r="BH1323" s="96" t="str">
        <f>+VLOOKUP(G1323,Liste!$A$7:$G$50,3,FALSE)</f>
        <v>Pin d'Alep</v>
      </c>
      <c r="BI1323" s="96" t="str">
        <f>+VLOOKUP(H1323,Liste!$B$7:$G$50,5,FALSE)</f>
        <v>Pin d'Alep</v>
      </c>
      <c r="BJ1323" s="135">
        <f t="shared" si="398"/>
        <v>32</v>
      </c>
      <c r="BK1323" s="135" t="str">
        <f t="shared" si="400"/>
        <v>Pin d'Alep_F1_Classique_Pin d'Alep_32_</v>
      </c>
      <c r="BL1323" s="322"/>
      <c r="BM1323" s="13">
        <v>29.037215025014099</v>
      </c>
      <c r="BN1323" s="13">
        <v>130.12574050464599</v>
      </c>
      <c r="BO1323" s="12" t="s">
        <v>169</v>
      </c>
      <c r="BP1323" s="13">
        <v>139.96016108448799</v>
      </c>
      <c r="BQ1323" s="13">
        <v>8.3256514679366393</v>
      </c>
      <c r="BT1323" s="298" t="str">
        <f>+VLOOKUP(G1323,Liste!$A$7:$H$50,8,FALSE)</f>
        <v>Résineux</v>
      </c>
      <c r="BU1323" s="298">
        <f t="shared" si="401"/>
        <v>0</v>
      </c>
      <c r="BV1323" s="300">
        <f t="shared" si="402"/>
        <v>1</v>
      </c>
      <c r="BW1323" s="321">
        <v>0</v>
      </c>
      <c r="BX1323" s="298">
        <f t="shared" si="403"/>
        <v>0.43</v>
      </c>
      <c r="BY1323">
        <f t="shared" si="404"/>
        <v>0</v>
      </c>
      <c r="BZ1323" s="304">
        <f t="shared" si="405"/>
        <v>0</v>
      </c>
      <c r="CB1323" s="299">
        <v>0.6</v>
      </c>
      <c r="CC1323" s="299">
        <v>0.4</v>
      </c>
      <c r="CD1323">
        <f t="shared" si="406"/>
        <v>0</v>
      </c>
      <c r="CE1323">
        <f t="shared" si="407"/>
        <v>0</v>
      </c>
      <c r="CF1323">
        <f t="shared" si="408"/>
        <v>0</v>
      </c>
      <c r="CG1323">
        <f t="shared" si="409"/>
        <v>0</v>
      </c>
      <c r="CH1323">
        <f t="shared" si="410"/>
        <v>0</v>
      </c>
      <c r="CI1323">
        <f t="shared" si="411"/>
        <v>0</v>
      </c>
      <c r="CJ1323">
        <f t="shared" si="412"/>
        <v>0</v>
      </c>
      <c r="CK1323">
        <f t="shared" si="413"/>
        <v>0</v>
      </c>
      <c r="CL1323">
        <f t="shared" si="414"/>
        <v>0</v>
      </c>
      <c r="CM1323">
        <f t="shared" si="416"/>
        <v>0</v>
      </c>
      <c r="CN1323">
        <f t="shared" si="415"/>
        <v>0</v>
      </c>
      <c r="CO1323">
        <f t="shared" si="399"/>
        <v>0</v>
      </c>
    </row>
    <row r="1324" spans="1:93" x14ac:dyDescent="0.25">
      <c r="A1324" s="4">
        <v>2021</v>
      </c>
      <c r="B1324" s="318">
        <v>44320</v>
      </c>
      <c r="C1324" s="4" t="s">
        <v>1524</v>
      </c>
      <c r="D1324" s="4" t="s">
        <v>1525</v>
      </c>
      <c r="F1324" s="4" t="s">
        <v>1526</v>
      </c>
      <c r="G1324" s="5" t="s">
        <v>1514</v>
      </c>
      <c r="H1324" s="5" t="s">
        <v>1527</v>
      </c>
      <c r="I1324" s="5" t="s">
        <v>18</v>
      </c>
      <c r="J1324" s="5" t="s">
        <v>9</v>
      </c>
      <c r="K1324" s="5">
        <v>15.5</v>
      </c>
      <c r="L1324" s="5" t="s">
        <v>1528</v>
      </c>
      <c r="M1324" s="5">
        <v>1100</v>
      </c>
      <c r="N1324" s="5" t="s">
        <v>170</v>
      </c>
      <c r="O1324" s="6" t="s">
        <v>81</v>
      </c>
      <c r="P1324" s="6" t="s">
        <v>1530</v>
      </c>
      <c r="S1324" s="6">
        <v>15</v>
      </c>
      <c r="T1324" s="6">
        <v>4.33</v>
      </c>
      <c r="U1324" s="6">
        <v>1101</v>
      </c>
      <c r="V1324" s="6">
        <v>4.92</v>
      </c>
      <c r="W1324" s="6">
        <v>569</v>
      </c>
      <c r="X1324" s="6">
        <v>532</v>
      </c>
      <c r="Y1324" s="6">
        <v>0</v>
      </c>
      <c r="Z1324" s="6">
        <v>0</v>
      </c>
      <c r="AA1324" s="6">
        <v>0</v>
      </c>
      <c r="AB1324" s="6">
        <v>0</v>
      </c>
      <c r="AC1324" s="7">
        <v>33</v>
      </c>
      <c r="AD1324" s="7" t="s">
        <v>52</v>
      </c>
      <c r="AE1324" s="7">
        <v>10.97</v>
      </c>
      <c r="AF1324" s="7">
        <v>1097</v>
      </c>
      <c r="AG1324" s="7">
        <v>18.86</v>
      </c>
      <c r="AH1324" s="7">
        <v>14.8</v>
      </c>
      <c r="AI1324" s="7">
        <v>17.61</v>
      </c>
      <c r="AJ1324" s="9">
        <v>86.3147118234657</v>
      </c>
      <c r="AK1324" s="9">
        <v>88.001624659710103</v>
      </c>
      <c r="AL1324" s="9">
        <v>137.38487423794399</v>
      </c>
      <c r="AM1324" s="9">
        <v>18.903549940405298</v>
      </c>
      <c r="AN1324" s="9">
        <v>0.57283484667894702</v>
      </c>
      <c r="AO1324" s="9">
        <v>0.85641845205711997</v>
      </c>
      <c r="AP1324" s="9">
        <v>137.63187518058899</v>
      </c>
      <c r="AQ1324" s="9">
        <v>4.1706628842602704</v>
      </c>
      <c r="AR1324" s="9">
        <v>8.6605425813741004</v>
      </c>
      <c r="AS1324" s="8" t="s">
        <v>169</v>
      </c>
      <c r="AT1324" s="8" t="s">
        <v>169</v>
      </c>
      <c r="AU1324" s="8" t="s">
        <v>169</v>
      </c>
      <c r="AV1324" s="10">
        <v>0</v>
      </c>
      <c r="AW1324" s="8" t="s">
        <v>169</v>
      </c>
      <c r="AX1324" s="8" t="s">
        <v>169</v>
      </c>
      <c r="BF1324" s="12">
        <v>0.45</v>
      </c>
      <c r="BG1324" s="13">
        <v>107.675395183988</v>
      </c>
      <c r="BH1324" s="96" t="str">
        <f>+VLOOKUP(G1324,Liste!$A$7:$G$50,3,FALSE)</f>
        <v>Pin d'Alep</v>
      </c>
      <c r="BI1324" s="96" t="str">
        <f>+VLOOKUP(H1324,Liste!$B$7:$G$50,5,FALSE)</f>
        <v>Pin d'Alep</v>
      </c>
      <c r="BJ1324" s="135">
        <f t="shared" si="398"/>
        <v>33</v>
      </c>
      <c r="BK1324" s="135" t="str">
        <f t="shared" si="400"/>
        <v>Pin d'Alep_F1_Classique_Pin d'Alep_33_</v>
      </c>
      <c r="BL1324" s="322"/>
      <c r="BM1324" s="13">
        <v>30.702837375925402</v>
      </c>
      <c r="BN1324" s="13">
        <v>138.37823255991401</v>
      </c>
      <c r="BO1324" s="12" t="s">
        <v>169</v>
      </c>
      <c r="BP1324" s="13">
        <v>139.96016108448799</v>
      </c>
      <c r="BQ1324" s="13">
        <v>8.4913972504277506</v>
      </c>
      <c r="BT1324" s="298" t="str">
        <f>+VLOOKUP(G1324,Liste!$A$7:$H$50,8,FALSE)</f>
        <v>Résineux</v>
      </c>
      <c r="BU1324" s="298">
        <f t="shared" si="401"/>
        <v>0</v>
      </c>
      <c r="BV1324" s="300">
        <f t="shared" si="402"/>
        <v>1</v>
      </c>
      <c r="BW1324" s="321">
        <v>0</v>
      </c>
      <c r="BX1324" s="298">
        <f t="shared" si="403"/>
        <v>0.43</v>
      </c>
      <c r="BY1324">
        <f t="shared" si="404"/>
        <v>0</v>
      </c>
      <c r="BZ1324" s="304">
        <f t="shared" si="405"/>
        <v>0</v>
      </c>
      <c r="CB1324" s="299">
        <v>0.6</v>
      </c>
      <c r="CC1324" s="299">
        <v>0.4</v>
      </c>
      <c r="CD1324">
        <f t="shared" si="406"/>
        <v>0</v>
      </c>
      <c r="CE1324">
        <f t="shared" si="407"/>
        <v>0</v>
      </c>
      <c r="CF1324">
        <f t="shared" si="408"/>
        <v>0</v>
      </c>
      <c r="CG1324">
        <f t="shared" si="409"/>
        <v>0</v>
      </c>
      <c r="CH1324">
        <f t="shared" si="410"/>
        <v>0</v>
      </c>
      <c r="CI1324">
        <f t="shared" si="411"/>
        <v>0</v>
      </c>
      <c r="CJ1324">
        <f t="shared" si="412"/>
        <v>0</v>
      </c>
      <c r="CK1324">
        <f t="shared" si="413"/>
        <v>0</v>
      </c>
      <c r="CL1324">
        <f t="shared" si="414"/>
        <v>0</v>
      </c>
      <c r="CM1324">
        <f t="shared" si="416"/>
        <v>0</v>
      </c>
      <c r="CN1324">
        <f t="shared" si="415"/>
        <v>0</v>
      </c>
      <c r="CO1324">
        <f t="shared" si="399"/>
        <v>0</v>
      </c>
    </row>
    <row r="1325" spans="1:93" x14ac:dyDescent="0.25">
      <c r="A1325" s="4">
        <v>2021</v>
      </c>
      <c r="B1325" s="318">
        <v>44320</v>
      </c>
      <c r="C1325" s="4" t="s">
        <v>1524</v>
      </c>
      <c r="D1325" s="4" t="s">
        <v>1525</v>
      </c>
      <c r="F1325" s="4" t="s">
        <v>1526</v>
      </c>
      <c r="G1325" s="5" t="s">
        <v>1514</v>
      </c>
      <c r="H1325" s="5" t="s">
        <v>1527</v>
      </c>
      <c r="I1325" s="5" t="s">
        <v>18</v>
      </c>
      <c r="J1325" s="5" t="s">
        <v>9</v>
      </c>
      <c r="K1325" s="5">
        <v>15.5</v>
      </c>
      <c r="L1325" s="5" t="s">
        <v>1528</v>
      </c>
      <c r="M1325" s="5">
        <v>1100</v>
      </c>
      <c r="N1325" s="5" t="s">
        <v>170</v>
      </c>
      <c r="O1325" s="6" t="s">
        <v>81</v>
      </c>
      <c r="P1325" s="6" t="s">
        <v>1530</v>
      </c>
      <c r="S1325" s="6">
        <v>15</v>
      </c>
      <c r="T1325" s="6">
        <v>4.33</v>
      </c>
      <c r="U1325" s="6">
        <v>1101</v>
      </c>
      <c r="V1325" s="6">
        <v>4.92</v>
      </c>
      <c r="W1325" s="6">
        <v>569</v>
      </c>
      <c r="X1325" s="6">
        <v>532</v>
      </c>
      <c r="Y1325" s="6">
        <v>0</v>
      </c>
      <c r="Z1325" s="6">
        <v>0</v>
      </c>
      <c r="AA1325" s="6">
        <v>0</v>
      </c>
      <c r="AB1325" s="6">
        <v>0</v>
      </c>
      <c r="AC1325" s="7">
        <v>34</v>
      </c>
      <c r="AD1325" s="7" t="s">
        <v>52</v>
      </c>
      <c r="AE1325" s="7">
        <v>11.29</v>
      </c>
      <c r="AF1325" s="7">
        <v>1096</v>
      </c>
      <c r="AG1325" s="7">
        <v>19.71</v>
      </c>
      <c r="AH1325" s="7">
        <v>15.13</v>
      </c>
      <c r="AI1325" s="7">
        <v>18.010000000000002</v>
      </c>
      <c r="AJ1325" s="9">
        <v>92.6635649033325</v>
      </c>
      <c r="AK1325" s="9">
        <v>94.472560152521993</v>
      </c>
      <c r="AL1325" s="9">
        <v>145.94747916712399</v>
      </c>
      <c r="AM1325" s="9">
        <v>19.759968392462401</v>
      </c>
      <c r="AN1325" s="9">
        <v>0.58117554095477597</v>
      </c>
      <c r="AO1325" s="9">
        <v>0.85525237925790498</v>
      </c>
      <c r="AP1325" s="9">
        <v>146.29241776196301</v>
      </c>
      <c r="AQ1325" s="9">
        <v>4.3027181694695003</v>
      </c>
      <c r="AR1325" s="9">
        <v>8.8342659933806793</v>
      </c>
      <c r="AS1325" s="8" t="s">
        <v>169</v>
      </c>
      <c r="AT1325" s="8" t="s">
        <v>169</v>
      </c>
      <c r="AU1325" s="8" t="s">
        <v>169</v>
      </c>
      <c r="AV1325" s="10">
        <v>0</v>
      </c>
      <c r="AW1325" s="8" t="s">
        <v>169</v>
      </c>
      <c r="AX1325" s="8" t="s">
        <v>169</v>
      </c>
      <c r="BF1325" s="12">
        <v>0.45</v>
      </c>
      <c r="BG1325" s="13">
        <v>114.386336797233</v>
      </c>
      <c r="BH1325" s="96" t="str">
        <f>+VLOOKUP(G1325,Liste!$A$7:$G$50,3,FALSE)</f>
        <v>Pin d'Alep</v>
      </c>
      <c r="BI1325" s="96" t="str">
        <f>+VLOOKUP(H1325,Liste!$B$7:$G$50,5,FALSE)</f>
        <v>Pin d'Alep</v>
      </c>
      <c r="BJ1325" s="135">
        <f t="shared" si="398"/>
        <v>34</v>
      </c>
      <c r="BK1325" s="135" t="str">
        <f t="shared" si="400"/>
        <v>Pin d'Alep_F1_Classique_Pin d'Alep_34_</v>
      </c>
      <c r="BL1325" s="322"/>
      <c r="BM1325" s="13">
        <v>32.3876767621909</v>
      </c>
      <c r="BN1325" s="13">
        <v>146.77401355942399</v>
      </c>
      <c r="BO1325" s="12" t="s">
        <v>169</v>
      </c>
      <c r="BP1325" s="13">
        <v>139.96016108448799</v>
      </c>
      <c r="BQ1325" s="13">
        <v>8.6496714381115698</v>
      </c>
      <c r="BT1325" s="298" t="str">
        <f>+VLOOKUP(G1325,Liste!$A$7:$H$50,8,FALSE)</f>
        <v>Résineux</v>
      </c>
      <c r="BU1325" s="298">
        <f t="shared" si="401"/>
        <v>0</v>
      </c>
      <c r="BV1325" s="300">
        <f t="shared" si="402"/>
        <v>1</v>
      </c>
      <c r="BW1325" s="321">
        <v>0</v>
      </c>
      <c r="BX1325" s="298">
        <f t="shared" si="403"/>
        <v>0.43</v>
      </c>
      <c r="BY1325">
        <f t="shared" si="404"/>
        <v>0</v>
      </c>
      <c r="BZ1325" s="304">
        <f t="shared" si="405"/>
        <v>0</v>
      </c>
      <c r="CB1325" s="299">
        <v>0.6</v>
      </c>
      <c r="CC1325" s="299">
        <v>0.4</v>
      </c>
      <c r="CD1325">
        <f t="shared" si="406"/>
        <v>0</v>
      </c>
      <c r="CE1325">
        <f t="shared" si="407"/>
        <v>0</v>
      </c>
      <c r="CF1325">
        <f t="shared" si="408"/>
        <v>0</v>
      </c>
      <c r="CG1325">
        <f t="shared" si="409"/>
        <v>0</v>
      </c>
      <c r="CH1325">
        <f t="shared" si="410"/>
        <v>0</v>
      </c>
      <c r="CI1325">
        <f t="shared" si="411"/>
        <v>0</v>
      </c>
      <c r="CJ1325">
        <f t="shared" si="412"/>
        <v>0</v>
      </c>
      <c r="CK1325">
        <f t="shared" si="413"/>
        <v>0</v>
      </c>
      <c r="CL1325">
        <f t="shared" si="414"/>
        <v>0</v>
      </c>
      <c r="CM1325">
        <f t="shared" si="416"/>
        <v>0</v>
      </c>
      <c r="CN1325">
        <f t="shared" si="415"/>
        <v>0</v>
      </c>
      <c r="CO1325">
        <f t="shared" si="399"/>
        <v>0</v>
      </c>
    </row>
    <row r="1326" spans="1:93" x14ac:dyDescent="0.25">
      <c r="A1326" s="4">
        <v>2021</v>
      </c>
      <c r="B1326" s="318">
        <v>44320</v>
      </c>
      <c r="C1326" s="4" t="s">
        <v>1524</v>
      </c>
      <c r="D1326" s="4" t="s">
        <v>1525</v>
      </c>
      <c r="F1326" s="4" t="s">
        <v>1526</v>
      </c>
      <c r="G1326" s="5" t="s">
        <v>1514</v>
      </c>
      <c r="H1326" s="5" t="s">
        <v>1527</v>
      </c>
      <c r="I1326" s="5" t="s">
        <v>18</v>
      </c>
      <c r="J1326" s="5" t="s">
        <v>9</v>
      </c>
      <c r="K1326" s="5">
        <v>15.5</v>
      </c>
      <c r="L1326" s="5" t="s">
        <v>1528</v>
      </c>
      <c r="M1326" s="5">
        <v>1100</v>
      </c>
      <c r="N1326" s="5" t="s">
        <v>170</v>
      </c>
      <c r="O1326" s="6" t="s">
        <v>81</v>
      </c>
      <c r="P1326" s="6" t="s">
        <v>1530</v>
      </c>
      <c r="S1326" s="6">
        <v>15</v>
      </c>
      <c r="T1326" s="6">
        <v>4.33</v>
      </c>
      <c r="U1326" s="6">
        <v>1101</v>
      </c>
      <c r="V1326" s="6">
        <v>4.92</v>
      </c>
      <c r="W1326" s="6">
        <v>569</v>
      </c>
      <c r="X1326" s="6">
        <v>532</v>
      </c>
      <c r="Y1326" s="6">
        <v>0</v>
      </c>
      <c r="Z1326" s="6">
        <v>0</v>
      </c>
      <c r="AA1326" s="6">
        <v>0</v>
      </c>
      <c r="AB1326" s="6">
        <v>0</v>
      </c>
      <c r="AC1326" s="7">
        <v>35</v>
      </c>
      <c r="AD1326" s="7" t="s">
        <v>52</v>
      </c>
      <c r="AE1326" s="7">
        <v>11.59</v>
      </c>
      <c r="AF1326" s="7">
        <v>1096</v>
      </c>
      <c r="AG1326" s="7">
        <v>20.56</v>
      </c>
      <c r="AH1326" s="7">
        <v>15.46</v>
      </c>
      <c r="AI1326" s="7">
        <v>18.399999999999999</v>
      </c>
      <c r="AJ1326" s="9">
        <v>99.174741239595704</v>
      </c>
      <c r="AK1326" s="9">
        <v>101.114461221231</v>
      </c>
      <c r="AL1326" s="9">
        <v>154.78174516050399</v>
      </c>
      <c r="AM1326" s="9">
        <v>20.615220771720299</v>
      </c>
      <c r="AN1326" s="9">
        <v>0.58900630776343699</v>
      </c>
      <c r="AO1326" s="9">
        <v>0.85245132739398199</v>
      </c>
      <c r="AP1326" s="9">
        <v>155.126683755344</v>
      </c>
      <c r="AQ1326" s="9">
        <v>4.4321909644383899</v>
      </c>
      <c r="AR1326" s="9">
        <v>8.9710133454687799</v>
      </c>
      <c r="AS1326" s="8" t="s">
        <v>169</v>
      </c>
      <c r="AT1326" s="8" t="s">
        <v>169</v>
      </c>
      <c r="AU1326" s="8" t="s">
        <v>169</v>
      </c>
      <c r="AV1326" s="10">
        <v>0</v>
      </c>
      <c r="AW1326" s="8" t="s">
        <v>169</v>
      </c>
      <c r="AX1326" s="8" t="s">
        <v>169</v>
      </c>
      <c r="BF1326" s="12">
        <v>0.45</v>
      </c>
      <c r="BG1326" s="13">
        <v>121.310192769545</v>
      </c>
      <c r="BH1326" s="96" t="str">
        <f>+VLOOKUP(G1326,Liste!$A$7:$G$50,3,FALSE)</f>
        <v>Pin d'Alep</v>
      </c>
      <c r="BI1326" s="96" t="str">
        <f>+VLOOKUP(H1326,Liste!$B$7:$G$50,5,FALSE)</f>
        <v>Pin d'Alep</v>
      </c>
      <c r="BJ1326" s="135">
        <f t="shared" si="398"/>
        <v>35</v>
      </c>
      <c r="BK1326" s="135" t="str">
        <f t="shared" si="400"/>
        <v>Pin d'Alep_F1_Classique_Pin d'Alep_35_</v>
      </c>
      <c r="BL1326" s="322"/>
      <c r="BM1326" s="13">
        <v>34.113952742124503</v>
      </c>
      <c r="BN1326" s="13">
        <v>155.42414551166999</v>
      </c>
      <c r="BO1326" s="12" t="s">
        <v>169</v>
      </c>
      <c r="BP1326" s="13">
        <v>139.96016108448799</v>
      </c>
      <c r="BQ1326" s="13">
        <v>8.7718900527403907</v>
      </c>
      <c r="BT1326" s="298" t="str">
        <f>+VLOOKUP(G1326,Liste!$A$7:$H$50,8,FALSE)</f>
        <v>Résineux</v>
      </c>
      <c r="BU1326" s="298">
        <f t="shared" si="401"/>
        <v>0</v>
      </c>
      <c r="BV1326" s="300">
        <f t="shared" si="402"/>
        <v>1</v>
      </c>
      <c r="BW1326" s="321">
        <v>0</v>
      </c>
      <c r="BX1326" s="298">
        <f t="shared" si="403"/>
        <v>0.43</v>
      </c>
      <c r="BY1326">
        <f t="shared" si="404"/>
        <v>0</v>
      </c>
      <c r="BZ1326" s="304">
        <f t="shared" si="405"/>
        <v>0</v>
      </c>
      <c r="CB1326" s="299">
        <v>0.6</v>
      </c>
      <c r="CC1326" s="299">
        <v>0.4</v>
      </c>
      <c r="CD1326">
        <f t="shared" si="406"/>
        <v>0</v>
      </c>
      <c r="CE1326">
        <f t="shared" si="407"/>
        <v>0</v>
      </c>
      <c r="CF1326">
        <f t="shared" si="408"/>
        <v>0</v>
      </c>
      <c r="CG1326">
        <f t="shared" si="409"/>
        <v>0</v>
      </c>
      <c r="CH1326">
        <f t="shared" si="410"/>
        <v>0</v>
      </c>
      <c r="CI1326">
        <f t="shared" si="411"/>
        <v>0</v>
      </c>
      <c r="CJ1326">
        <f t="shared" si="412"/>
        <v>0</v>
      </c>
      <c r="CK1326">
        <f t="shared" si="413"/>
        <v>0</v>
      </c>
      <c r="CL1326">
        <f t="shared" si="414"/>
        <v>0</v>
      </c>
      <c r="CM1326">
        <f t="shared" si="416"/>
        <v>0</v>
      </c>
      <c r="CN1326">
        <f t="shared" si="415"/>
        <v>0</v>
      </c>
      <c r="CO1326">
        <f t="shared" si="399"/>
        <v>0</v>
      </c>
    </row>
    <row r="1327" spans="1:93" x14ac:dyDescent="0.25">
      <c r="A1327" s="4">
        <v>2021</v>
      </c>
      <c r="B1327" s="318">
        <v>44320</v>
      </c>
      <c r="C1327" s="4" t="s">
        <v>1524</v>
      </c>
      <c r="D1327" s="4" t="s">
        <v>1525</v>
      </c>
      <c r="F1327" s="4" t="s">
        <v>1526</v>
      </c>
      <c r="G1327" s="5" t="s">
        <v>1514</v>
      </c>
      <c r="H1327" s="5" t="s">
        <v>1527</v>
      </c>
      <c r="I1327" s="5" t="s">
        <v>18</v>
      </c>
      <c r="J1327" s="5" t="s">
        <v>9</v>
      </c>
      <c r="K1327" s="5">
        <v>15.5</v>
      </c>
      <c r="L1327" s="5" t="s">
        <v>1528</v>
      </c>
      <c r="M1327" s="5">
        <v>1100</v>
      </c>
      <c r="N1327" s="5" t="s">
        <v>170</v>
      </c>
      <c r="O1327" s="6" t="s">
        <v>81</v>
      </c>
      <c r="P1327" s="6" t="s">
        <v>1530</v>
      </c>
      <c r="S1327" s="6">
        <v>15</v>
      </c>
      <c r="T1327" s="6">
        <v>4.33</v>
      </c>
      <c r="U1327" s="6">
        <v>1101</v>
      </c>
      <c r="V1327" s="6">
        <v>4.92</v>
      </c>
      <c r="W1327" s="6">
        <v>569</v>
      </c>
      <c r="X1327" s="6">
        <v>532</v>
      </c>
      <c r="Y1327" s="6">
        <v>0</v>
      </c>
      <c r="Z1327" s="6">
        <v>0</v>
      </c>
      <c r="AA1327" s="6">
        <v>0</v>
      </c>
      <c r="AB1327" s="6">
        <v>0</v>
      </c>
      <c r="AC1327" s="7">
        <v>36</v>
      </c>
      <c r="AD1327" s="7" t="s">
        <v>52</v>
      </c>
      <c r="AE1327" s="7">
        <v>11.89</v>
      </c>
      <c r="AF1327" s="7">
        <v>1095</v>
      </c>
      <c r="AG1327" s="7">
        <v>21.4</v>
      </c>
      <c r="AH1327" s="7">
        <v>15.77</v>
      </c>
      <c r="AI1327" s="7">
        <v>18.79</v>
      </c>
      <c r="AJ1327" s="9">
        <v>105.709586859929</v>
      </c>
      <c r="AK1327" s="9">
        <v>107.783859406641</v>
      </c>
      <c r="AL1327" s="9">
        <v>163.62734192958399</v>
      </c>
      <c r="AM1327" s="9">
        <v>21.467672099114299</v>
      </c>
      <c r="AN1327" s="9">
        <v>0.59632422497539594</v>
      </c>
      <c r="AO1327" s="9">
        <v>0.69024776495047002</v>
      </c>
      <c r="AP1327" s="9">
        <v>164.09769710081301</v>
      </c>
      <c r="AQ1327" s="9">
        <v>4.5582693639114602</v>
      </c>
      <c r="AR1327" s="9">
        <v>7.3172549612351396</v>
      </c>
      <c r="AS1327" s="8" t="s">
        <v>169</v>
      </c>
      <c r="AT1327" s="8" t="s">
        <v>169</v>
      </c>
      <c r="AU1327" s="8" t="s">
        <v>169</v>
      </c>
      <c r="AV1327" s="10">
        <v>0</v>
      </c>
      <c r="AW1327" s="8" t="s">
        <v>169</v>
      </c>
      <c r="AX1327" s="8" t="s">
        <v>169</v>
      </c>
      <c r="BF1327" s="12">
        <v>0.45</v>
      </c>
      <c r="BG1327" s="13">
        <v>128.24292923731201</v>
      </c>
      <c r="BH1327" s="96" t="str">
        <f>+VLOOKUP(G1327,Liste!$A$7:$G$50,3,FALSE)</f>
        <v>Pin d'Alep</v>
      </c>
      <c r="BI1327" s="96" t="str">
        <f>+VLOOKUP(H1327,Liste!$B$7:$G$50,5,FALSE)</f>
        <v>Pin d'Alep</v>
      </c>
      <c r="BJ1327" s="135">
        <f t="shared" si="398"/>
        <v>36</v>
      </c>
      <c r="BK1327" s="135" t="str">
        <f t="shared" si="400"/>
        <v>Pin d'Alep_F1_Classique_Pin d'Alep_36_</v>
      </c>
      <c r="BL1327" s="322"/>
      <c r="BM1327" s="13">
        <v>35.830983887559597</v>
      </c>
      <c r="BN1327" s="13">
        <v>164.07391312487101</v>
      </c>
      <c r="BO1327" s="12" t="s">
        <v>169</v>
      </c>
      <c r="BP1327" s="13">
        <v>139.96016108448799</v>
      </c>
      <c r="BQ1327" s="13">
        <v>7.1466278724379597</v>
      </c>
      <c r="BT1327" s="298" t="str">
        <f>+VLOOKUP(G1327,Liste!$A$7:$H$50,8,FALSE)</f>
        <v>Résineux</v>
      </c>
      <c r="BU1327" s="298">
        <f t="shared" si="401"/>
        <v>0</v>
      </c>
      <c r="BV1327" s="300">
        <f t="shared" si="402"/>
        <v>1</v>
      </c>
      <c r="BW1327" s="321">
        <v>0</v>
      </c>
      <c r="BX1327" s="298">
        <f t="shared" si="403"/>
        <v>0.43</v>
      </c>
      <c r="BY1327">
        <f t="shared" si="404"/>
        <v>0</v>
      </c>
      <c r="BZ1327" s="304">
        <f t="shared" si="405"/>
        <v>0</v>
      </c>
      <c r="CB1327" s="299">
        <v>0.6</v>
      </c>
      <c r="CC1327" s="299">
        <v>0.4</v>
      </c>
      <c r="CD1327">
        <f t="shared" si="406"/>
        <v>0</v>
      </c>
      <c r="CE1327">
        <f t="shared" si="407"/>
        <v>0</v>
      </c>
      <c r="CF1327">
        <f t="shared" si="408"/>
        <v>0</v>
      </c>
      <c r="CG1327">
        <f t="shared" si="409"/>
        <v>0</v>
      </c>
      <c r="CH1327">
        <f t="shared" si="410"/>
        <v>0</v>
      </c>
      <c r="CI1327">
        <f t="shared" si="411"/>
        <v>0</v>
      </c>
      <c r="CJ1327">
        <f t="shared" si="412"/>
        <v>0</v>
      </c>
      <c r="CK1327">
        <f t="shared" si="413"/>
        <v>0</v>
      </c>
      <c r="CL1327">
        <f t="shared" si="414"/>
        <v>0</v>
      </c>
      <c r="CM1327">
        <f t="shared" si="416"/>
        <v>0</v>
      </c>
      <c r="CN1327">
        <f t="shared" si="415"/>
        <v>0</v>
      </c>
      <c r="CO1327">
        <f t="shared" si="399"/>
        <v>0</v>
      </c>
    </row>
    <row r="1328" spans="1:93" x14ac:dyDescent="0.25">
      <c r="A1328" s="4">
        <v>2021</v>
      </c>
      <c r="B1328" s="318">
        <v>44320</v>
      </c>
      <c r="C1328" s="4" t="s">
        <v>1524</v>
      </c>
      <c r="D1328" s="4" t="s">
        <v>1525</v>
      </c>
      <c r="F1328" s="4" t="s">
        <v>1526</v>
      </c>
      <c r="G1328" s="5" t="s">
        <v>1514</v>
      </c>
      <c r="H1328" s="5" t="s">
        <v>1527</v>
      </c>
      <c r="I1328" s="5" t="s">
        <v>18</v>
      </c>
      <c r="J1328" s="5" t="s">
        <v>9</v>
      </c>
      <c r="K1328" s="5">
        <v>15.5</v>
      </c>
      <c r="L1328" s="5" t="s">
        <v>1528</v>
      </c>
      <c r="M1328" s="5">
        <v>1100</v>
      </c>
      <c r="N1328" s="5" t="s">
        <v>170</v>
      </c>
      <c r="O1328" s="6" t="s">
        <v>81</v>
      </c>
      <c r="P1328" s="6" t="s">
        <v>1530</v>
      </c>
      <c r="S1328" s="6">
        <v>15</v>
      </c>
      <c r="T1328" s="6">
        <v>4.33</v>
      </c>
      <c r="U1328" s="6">
        <v>1101</v>
      </c>
      <c r="V1328" s="6">
        <v>4.92</v>
      </c>
      <c r="W1328" s="6">
        <v>569</v>
      </c>
      <c r="X1328" s="6">
        <v>532</v>
      </c>
      <c r="Y1328" s="6">
        <v>0</v>
      </c>
      <c r="Z1328" s="6">
        <v>0</v>
      </c>
      <c r="AA1328" s="6">
        <v>0</v>
      </c>
      <c r="AB1328" s="6">
        <v>0</v>
      </c>
      <c r="AC1328" s="7">
        <v>36</v>
      </c>
      <c r="AD1328" s="7" t="s">
        <v>53</v>
      </c>
      <c r="AE1328" s="7">
        <v>11.89</v>
      </c>
      <c r="AF1328" s="7">
        <v>701</v>
      </c>
      <c r="AG1328" s="7">
        <v>15.26</v>
      </c>
      <c r="AH1328" s="7">
        <v>16.649999999999999</v>
      </c>
      <c r="AI1328" s="7">
        <v>18.79</v>
      </c>
      <c r="AJ1328" s="9">
        <v>76.985908104843006</v>
      </c>
      <c r="AK1328" s="9">
        <v>78.615613509343405</v>
      </c>
      <c r="AL1328" s="9">
        <v>118.267563158442</v>
      </c>
      <c r="AM1328" s="9">
        <v>21.467672099114299</v>
      </c>
      <c r="AN1328" s="9">
        <v>0.59632422497539594</v>
      </c>
      <c r="AO1328" s="9">
        <v>0.69024776495047002</v>
      </c>
      <c r="AP1328" s="9">
        <v>164.09769710081301</v>
      </c>
      <c r="AQ1328" s="9">
        <v>4.5582693639114602</v>
      </c>
      <c r="AR1328" s="9">
        <v>7.3172549612351396</v>
      </c>
      <c r="AS1328" s="8">
        <v>394</v>
      </c>
      <c r="AT1328" s="8">
        <v>6.1399999999999988</v>
      </c>
      <c r="AU1328" s="10">
        <v>14.086111895834744</v>
      </c>
      <c r="AV1328" s="10">
        <v>28.723678755085999</v>
      </c>
      <c r="AW1328" s="10">
        <v>0.8</v>
      </c>
      <c r="AX1328" s="10">
        <v>7.2902737957071057E-2</v>
      </c>
      <c r="BF1328" s="12">
        <v>0.45</v>
      </c>
      <c r="BG1328" s="13">
        <v>92.692202625428706</v>
      </c>
      <c r="BH1328" s="96" t="str">
        <f>+VLOOKUP(G1328,Liste!$A$7:$G$50,3,FALSE)</f>
        <v>Pin d'Alep</v>
      </c>
      <c r="BI1328" s="96" t="str">
        <f>+VLOOKUP(H1328,Liste!$B$7:$G$50,5,FALSE)</f>
        <v>Pin d'Alep</v>
      </c>
      <c r="BJ1328" s="135">
        <f t="shared" si="398"/>
        <v>36</v>
      </c>
      <c r="BK1328" s="135" t="str">
        <f t="shared" si="400"/>
        <v>Pin d'Alep_F1_Classique_Pin d'Alep_36_</v>
      </c>
      <c r="BL1328" s="322"/>
      <c r="BM1328" s="13">
        <v>26.895509083791499</v>
      </c>
      <c r="BN1328" s="13">
        <v>119.58771170922</v>
      </c>
      <c r="BO1328" s="13">
        <v>44.48620141565101</v>
      </c>
      <c r="BP1328" s="13">
        <v>139.96016108448799</v>
      </c>
      <c r="BQ1328" s="13">
        <v>7.1466278724379597</v>
      </c>
      <c r="BT1328" s="298" t="str">
        <f>+VLOOKUP(G1328,Liste!$A$7:$H$50,8,FALSE)</f>
        <v>Résineux</v>
      </c>
      <c r="BU1328" s="298">
        <f t="shared" si="401"/>
        <v>0</v>
      </c>
      <c r="BV1328" s="300">
        <f t="shared" si="402"/>
        <v>1</v>
      </c>
      <c r="BW1328" s="321">
        <v>0</v>
      </c>
      <c r="BX1328" s="298">
        <f t="shared" si="403"/>
        <v>0.43</v>
      </c>
      <c r="BY1328">
        <f t="shared" si="404"/>
        <v>0</v>
      </c>
      <c r="BZ1328" s="304">
        <f t="shared" si="405"/>
        <v>0</v>
      </c>
      <c r="CB1328" s="299">
        <v>0.6</v>
      </c>
      <c r="CC1328" s="299">
        <v>0.4</v>
      </c>
      <c r="CD1328">
        <f t="shared" si="406"/>
        <v>0</v>
      </c>
      <c r="CE1328">
        <f t="shared" si="407"/>
        <v>0</v>
      </c>
      <c r="CF1328">
        <f t="shared" si="408"/>
        <v>0</v>
      </c>
      <c r="CG1328">
        <f t="shared" si="409"/>
        <v>0</v>
      </c>
      <c r="CH1328">
        <f t="shared" si="410"/>
        <v>0</v>
      </c>
      <c r="CI1328">
        <f t="shared" si="411"/>
        <v>0</v>
      </c>
      <c r="CJ1328">
        <f t="shared" si="412"/>
        <v>0</v>
      </c>
      <c r="CK1328">
        <f t="shared" si="413"/>
        <v>0</v>
      </c>
      <c r="CL1328">
        <f t="shared" si="414"/>
        <v>0</v>
      </c>
      <c r="CM1328">
        <f t="shared" si="416"/>
        <v>0</v>
      </c>
      <c r="CN1328">
        <f t="shared" si="415"/>
        <v>0</v>
      </c>
      <c r="CO1328">
        <f t="shared" si="399"/>
        <v>0</v>
      </c>
    </row>
    <row r="1329" spans="1:93" x14ac:dyDescent="0.25">
      <c r="A1329" s="4">
        <v>2021</v>
      </c>
      <c r="B1329" s="318">
        <v>44320</v>
      </c>
      <c r="C1329" s="4" t="s">
        <v>1524</v>
      </c>
      <c r="D1329" s="4" t="s">
        <v>1525</v>
      </c>
      <c r="F1329" s="4" t="s">
        <v>1526</v>
      </c>
      <c r="G1329" s="5" t="s">
        <v>1514</v>
      </c>
      <c r="H1329" s="5" t="s">
        <v>1527</v>
      </c>
      <c r="I1329" s="5" t="s">
        <v>18</v>
      </c>
      <c r="J1329" s="5" t="s">
        <v>9</v>
      </c>
      <c r="K1329" s="5">
        <v>15.5</v>
      </c>
      <c r="L1329" s="5" t="s">
        <v>1528</v>
      </c>
      <c r="M1329" s="5">
        <v>1100</v>
      </c>
      <c r="N1329" s="5" t="s">
        <v>170</v>
      </c>
      <c r="O1329" s="6" t="s">
        <v>81</v>
      </c>
      <c r="P1329" s="6" t="s">
        <v>1530</v>
      </c>
      <c r="S1329" s="6">
        <v>15</v>
      </c>
      <c r="T1329" s="6">
        <v>4.33</v>
      </c>
      <c r="U1329" s="6">
        <v>1101</v>
      </c>
      <c r="V1329" s="6">
        <v>4.92</v>
      </c>
      <c r="W1329" s="6">
        <v>569</v>
      </c>
      <c r="X1329" s="6">
        <v>532</v>
      </c>
      <c r="Y1329" s="6">
        <v>0</v>
      </c>
      <c r="Z1329" s="6">
        <v>0</v>
      </c>
      <c r="AA1329" s="6">
        <v>0</v>
      </c>
      <c r="AB1329" s="6">
        <v>0</v>
      </c>
      <c r="AC1329" s="7">
        <v>37</v>
      </c>
      <c r="AD1329" s="7" t="s">
        <v>52</v>
      </c>
      <c r="AE1329" s="7">
        <v>12.18</v>
      </c>
      <c r="AF1329" s="7">
        <v>701</v>
      </c>
      <c r="AG1329" s="7">
        <v>15.95</v>
      </c>
      <c r="AH1329" s="7">
        <v>17.02</v>
      </c>
      <c r="AI1329" s="7">
        <v>19.21</v>
      </c>
      <c r="AJ1329" s="9">
        <v>82.341717490335199</v>
      </c>
      <c r="AK1329" s="9">
        <v>84.097984281835394</v>
      </c>
      <c r="AL1329" s="9">
        <v>125.584818119677</v>
      </c>
      <c r="AM1329" s="9">
        <v>22.157919864064699</v>
      </c>
      <c r="AN1329" s="9">
        <v>0.59886269902877698</v>
      </c>
      <c r="AO1329" s="9">
        <v>0.69175833694609801</v>
      </c>
      <c r="AP1329" s="9">
        <v>171.414952062048</v>
      </c>
      <c r="AQ1329" s="9">
        <v>4.6328365422175004</v>
      </c>
      <c r="AR1329" s="9">
        <v>7.4420569542102202</v>
      </c>
      <c r="AS1329" s="8" t="s">
        <v>169</v>
      </c>
      <c r="AT1329" s="8" t="s">
        <v>169</v>
      </c>
      <c r="AU1329" s="10" t="s">
        <v>169</v>
      </c>
      <c r="AV1329" s="10">
        <v>0</v>
      </c>
      <c r="AX1329" s="10" t="s">
        <v>169</v>
      </c>
      <c r="BF1329" s="12">
        <v>0.45</v>
      </c>
      <c r="BG1329" s="13">
        <v>98.427101201296693</v>
      </c>
      <c r="BH1329" s="96" t="str">
        <f>+VLOOKUP(G1329,Liste!$A$7:$G$50,3,FALSE)</f>
        <v>Pin d'Alep</v>
      </c>
      <c r="BI1329" s="96" t="str">
        <f>+VLOOKUP(H1329,Liste!$B$7:$G$50,5,FALSE)</f>
        <v>Pin d'Alep</v>
      </c>
      <c r="BJ1329" s="135">
        <f t="shared" si="398"/>
        <v>37</v>
      </c>
      <c r="BK1329" s="135" t="str">
        <f t="shared" si="400"/>
        <v>Pin d'Alep_F1_Classique_Pin d'Alep_37_</v>
      </c>
      <c r="BL1329" s="322"/>
      <c r="BM1329" s="13">
        <v>28.360673482508901</v>
      </c>
      <c r="BN1329" s="13">
        <v>126.78777468380601</v>
      </c>
      <c r="BO1329" s="13" t="s">
        <v>169</v>
      </c>
      <c r="BP1329" s="13">
        <v>139.96016108448799</v>
      </c>
      <c r="BQ1329" s="13">
        <v>7.26134202460889</v>
      </c>
      <c r="BT1329" s="298" t="str">
        <f>+VLOOKUP(G1329,Liste!$A$7:$H$50,8,FALSE)</f>
        <v>Résineux</v>
      </c>
      <c r="BU1329" s="298">
        <f t="shared" si="401"/>
        <v>0</v>
      </c>
      <c r="BV1329" s="300">
        <f t="shared" si="402"/>
        <v>1</v>
      </c>
      <c r="BW1329" s="321">
        <v>0</v>
      </c>
      <c r="BX1329" s="298">
        <f t="shared" si="403"/>
        <v>0.43</v>
      </c>
      <c r="BY1329">
        <f t="shared" si="404"/>
        <v>0</v>
      </c>
      <c r="BZ1329" s="304">
        <f t="shared" si="405"/>
        <v>0</v>
      </c>
      <c r="CB1329" s="299">
        <v>0.6</v>
      </c>
      <c r="CC1329" s="299">
        <v>0.4</v>
      </c>
      <c r="CD1329">
        <f t="shared" si="406"/>
        <v>0</v>
      </c>
      <c r="CE1329">
        <f t="shared" si="407"/>
        <v>0</v>
      </c>
      <c r="CF1329">
        <f t="shared" si="408"/>
        <v>0</v>
      </c>
      <c r="CG1329">
        <f t="shared" si="409"/>
        <v>0</v>
      </c>
      <c r="CH1329">
        <f t="shared" si="410"/>
        <v>0</v>
      </c>
      <c r="CI1329">
        <f t="shared" si="411"/>
        <v>0</v>
      </c>
      <c r="CJ1329">
        <f t="shared" si="412"/>
        <v>0</v>
      </c>
      <c r="CK1329">
        <f t="shared" si="413"/>
        <v>0</v>
      </c>
      <c r="CL1329">
        <f t="shared" si="414"/>
        <v>0</v>
      </c>
      <c r="CM1329">
        <f t="shared" si="416"/>
        <v>0</v>
      </c>
      <c r="CN1329">
        <f t="shared" si="415"/>
        <v>0</v>
      </c>
      <c r="CO1329">
        <f t="shared" si="399"/>
        <v>0</v>
      </c>
    </row>
    <row r="1330" spans="1:93" x14ac:dyDescent="0.25">
      <c r="A1330" s="4">
        <v>2021</v>
      </c>
      <c r="B1330" s="318">
        <v>44320</v>
      </c>
      <c r="C1330" s="4" t="s">
        <v>1524</v>
      </c>
      <c r="D1330" s="4" t="s">
        <v>1525</v>
      </c>
      <c r="F1330" s="4" t="s">
        <v>1526</v>
      </c>
      <c r="G1330" s="5" t="s">
        <v>1514</v>
      </c>
      <c r="H1330" s="5" t="s">
        <v>1527</v>
      </c>
      <c r="I1330" s="5" t="s">
        <v>18</v>
      </c>
      <c r="J1330" s="5" t="s">
        <v>9</v>
      </c>
      <c r="K1330" s="5">
        <v>15.5</v>
      </c>
      <c r="L1330" s="5" t="s">
        <v>1528</v>
      </c>
      <c r="M1330" s="5">
        <v>1100</v>
      </c>
      <c r="N1330" s="5" t="s">
        <v>170</v>
      </c>
      <c r="O1330" s="6" t="s">
        <v>81</v>
      </c>
      <c r="P1330" s="6" t="s">
        <v>1530</v>
      </c>
      <c r="S1330" s="6">
        <v>15</v>
      </c>
      <c r="T1330" s="6">
        <v>4.33</v>
      </c>
      <c r="U1330" s="6">
        <v>1101</v>
      </c>
      <c r="V1330" s="6">
        <v>4.92</v>
      </c>
      <c r="W1330" s="6">
        <v>569</v>
      </c>
      <c r="X1330" s="6">
        <v>532</v>
      </c>
      <c r="Y1330" s="6">
        <v>0</v>
      </c>
      <c r="Z1330" s="6">
        <v>0</v>
      </c>
      <c r="AA1330" s="6">
        <v>0</v>
      </c>
      <c r="AB1330" s="6">
        <v>0</v>
      </c>
      <c r="AC1330" s="7">
        <v>38</v>
      </c>
      <c r="AD1330" s="7" t="s">
        <v>52</v>
      </c>
      <c r="AE1330" s="7">
        <v>12.47</v>
      </c>
      <c r="AF1330" s="7">
        <v>700</v>
      </c>
      <c r="AG1330" s="7">
        <v>16.63</v>
      </c>
      <c r="AH1330" s="7">
        <v>17.39</v>
      </c>
      <c r="AI1330" s="7">
        <v>19.63</v>
      </c>
      <c r="AJ1330" s="9">
        <v>87.719510773840994</v>
      </c>
      <c r="AK1330" s="9">
        <v>89.605645418556605</v>
      </c>
      <c r="AL1330" s="9">
        <v>132.90380006655701</v>
      </c>
      <c r="AM1330" s="9">
        <v>22.8496782010108</v>
      </c>
      <c r="AN1330" s="9">
        <v>0.60130732107923202</v>
      </c>
      <c r="AO1330" s="9">
        <v>0.69472993016721696</v>
      </c>
      <c r="AP1330" s="9">
        <v>178.85700901625799</v>
      </c>
      <c r="AQ1330" s="9">
        <v>4.7067633951646801</v>
      </c>
      <c r="AR1330" s="9">
        <v>7.5908911505842998</v>
      </c>
      <c r="AS1330" s="8" t="s">
        <v>169</v>
      </c>
      <c r="AT1330" s="8" t="s">
        <v>169</v>
      </c>
      <c r="AU1330" s="10" t="s">
        <v>169</v>
      </c>
      <c r="AV1330" s="10">
        <v>0</v>
      </c>
      <c r="AX1330" s="10" t="s">
        <v>169</v>
      </c>
      <c r="BF1330" s="12">
        <v>0.45</v>
      </c>
      <c r="BG1330" s="13">
        <v>104.163353302164</v>
      </c>
      <c r="BH1330" s="96" t="str">
        <f>+VLOOKUP(G1330,Liste!$A$7:$G$50,3,FALSE)</f>
        <v>Pin d'Alep</v>
      </c>
      <c r="BI1330" s="96" t="str">
        <f>+VLOOKUP(H1330,Liste!$B$7:$G$50,5,FALSE)</f>
        <v>Pin d'Alep</v>
      </c>
      <c r="BJ1330" s="135">
        <f t="shared" si="398"/>
        <v>38</v>
      </c>
      <c r="BK1330" s="135" t="str">
        <f t="shared" si="400"/>
        <v>Pin d'Alep_F1_Classique_Pin d'Alep_38_</v>
      </c>
      <c r="BL1330" s="322"/>
      <c r="BM1330" s="13">
        <v>29.816271038478</v>
      </c>
      <c r="BN1330" s="13">
        <v>133.979624340642</v>
      </c>
      <c r="BO1330" s="13" t="s">
        <v>169</v>
      </c>
      <c r="BP1330" s="13">
        <v>139.96016108448799</v>
      </c>
      <c r="BQ1330" s="13">
        <v>7.3994510992490898</v>
      </c>
      <c r="BT1330" s="298" t="str">
        <f>+VLOOKUP(G1330,Liste!$A$7:$H$50,8,FALSE)</f>
        <v>Résineux</v>
      </c>
      <c r="BU1330" s="298">
        <f t="shared" si="401"/>
        <v>0</v>
      </c>
      <c r="BV1330" s="300">
        <f t="shared" si="402"/>
        <v>1</v>
      </c>
      <c r="BW1330" s="321">
        <v>0</v>
      </c>
      <c r="BX1330" s="298">
        <f t="shared" si="403"/>
        <v>0.43</v>
      </c>
      <c r="BY1330">
        <f t="shared" si="404"/>
        <v>0</v>
      </c>
      <c r="BZ1330" s="304">
        <f t="shared" si="405"/>
        <v>0</v>
      </c>
      <c r="CB1330" s="299">
        <v>0.6</v>
      </c>
      <c r="CC1330" s="299">
        <v>0.4</v>
      </c>
      <c r="CD1330">
        <f t="shared" si="406"/>
        <v>0</v>
      </c>
      <c r="CE1330">
        <f t="shared" si="407"/>
        <v>0</v>
      </c>
      <c r="CF1330">
        <f t="shared" si="408"/>
        <v>0</v>
      </c>
      <c r="CG1330">
        <f t="shared" si="409"/>
        <v>0</v>
      </c>
      <c r="CH1330">
        <f t="shared" si="410"/>
        <v>0</v>
      </c>
      <c r="CI1330">
        <f t="shared" si="411"/>
        <v>0</v>
      </c>
      <c r="CJ1330">
        <f t="shared" si="412"/>
        <v>0</v>
      </c>
      <c r="CK1330">
        <f t="shared" si="413"/>
        <v>0</v>
      </c>
      <c r="CL1330">
        <f t="shared" si="414"/>
        <v>0</v>
      </c>
      <c r="CM1330">
        <f t="shared" si="416"/>
        <v>0</v>
      </c>
      <c r="CN1330">
        <f t="shared" si="415"/>
        <v>0</v>
      </c>
      <c r="CO1330">
        <f t="shared" si="399"/>
        <v>0</v>
      </c>
    </row>
    <row r="1331" spans="1:93" x14ac:dyDescent="0.25">
      <c r="A1331" s="4">
        <v>2021</v>
      </c>
      <c r="B1331" s="318">
        <v>44320</v>
      </c>
      <c r="C1331" s="4" t="s">
        <v>1524</v>
      </c>
      <c r="D1331" s="4" t="s">
        <v>1525</v>
      </c>
      <c r="F1331" s="4" t="s">
        <v>1526</v>
      </c>
      <c r="G1331" s="5" t="s">
        <v>1514</v>
      </c>
      <c r="H1331" s="5" t="s">
        <v>1527</v>
      </c>
      <c r="I1331" s="5" t="s">
        <v>18</v>
      </c>
      <c r="J1331" s="5" t="s">
        <v>9</v>
      </c>
      <c r="K1331" s="5">
        <v>15.5</v>
      </c>
      <c r="L1331" s="5" t="s">
        <v>1528</v>
      </c>
      <c r="M1331" s="5">
        <v>1100</v>
      </c>
      <c r="N1331" s="5" t="s">
        <v>170</v>
      </c>
      <c r="O1331" s="6" t="s">
        <v>81</v>
      </c>
      <c r="P1331" s="6" t="s">
        <v>1530</v>
      </c>
      <c r="S1331" s="6">
        <v>15</v>
      </c>
      <c r="T1331" s="6">
        <v>4.33</v>
      </c>
      <c r="U1331" s="6">
        <v>1101</v>
      </c>
      <c r="V1331" s="6">
        <v>4.92</v>
      </c>
      <c r="W1331" s="6">
        <v>569</v>
      </c>
      <c r="X1331" s="6">
        <v>532</v>
      </c>
      <c r="Y1331" s="6">
        <v>0</v>
      </c>
      <c r="Z1331" s="6">
        <v>0</v>
      </c>
      <c r="AA1331" s="6">
        <v>0</v>
      </c>
      <c r="AB1331" s="6">
        <v>0</v>
      </c>
      <c r="AC1331" s="7">
        <v>39</v>
      </c>
      <c r="AD1331" s="7" t="s">
        <v>52</v>
      </c>
      <c r="AE1331" s="7">
        <v>12.76</v>
      </c>
      <c r="AF1331" s="7">
        <v>700</v>
      </c>
      <c r="AG1331" s="7">
        <v>17.32</v>
      </c>
      <c r="AH1331" s="7">
        <v>17.75</v>
      </c>
      <c r="AI1331" s="7">
        <v>20.04</v>
      </c>
      <c r="AJ1331" s="9">
        <v>93.297730166650396</v>
      </c>
      <c r="AK1331" s="9">
        <v>95.319430895627093</v>
      </c>
      <c r="AL1331" s="9">
        <v>140.494691217141</v>
      </c>
      <c r="AM1331" s="9">
        <v>23.544408131177999</v>
      </c>
      <c r="AN1331" s="9">
        <v>0.60370277259430905</v>
      </c>
      <c r="AO1331" s="9">
        <v>0.69579434888214597</v>
      </c>
      <c r="AP1331" s="9">
        <v>186.447900166842</v>
      </c>
      <c r="AQ1331" s="9">
        <v>4.7807153888933902</v>
      </c>
      <c r="AR1331" s="9">
        <v>7.74236936939272</v>
      </c>
      <c r="AS1331" s="8" t="s">
        <v>169</v>
      </c>
      <c r="AT1331" s="8" t="s">
        <v>169</v>
      </c>
      <c r="AU1331" s="10" t="s">
        <v>169</v>
      </c>
      <c r="AV1331" s="10">
        <v>0</v>
      </c>
      <c r="AX1331" s="10" t="s">
        <v>169</v>
      </c>
      <c r="BF1331" s="12">
        <v>0.45</v>
      </c>
      <c r="BG1331" s="13">
        <v>110.11271424143401</v>
      </c>
      <c r="BH1331" s="96" t="str">
        <f>+VLOOKUP(G1331,Liste!$A$7:$G$50,3,FALSE)</f>
        <v>Pin d'Alep</v>
      </c>
      <c r="BI1331" s="96" t="str">
        <f>+VLOOKUP(H1331,Liste!$B$7:$G$50,5,FALSE)</f>
        <v>Pin d'Alep</v>
      </c>
      <c r="BJ1331" s="135">
        <f t="shared" si="398"/>
        <v>39</v>
      </c>
      <c r="BK1331" s="135" t="str">
        <f t="shared" si="400"/>
        <v>Pin d'Alep_F1_Classique_Pin d'Alep_39_</v>
      </c>
      <c r="BL1331" s="322"/>
      <c r="BM1331" s="13">
        <v>31.316122428370701</v>
      </c>
      <c r="BN1331" s="13">
        <v>141.42883666980501</v>
      </c>
      <c r="BO1331" s="13" t="s">
        <v>169</v>
      </c>
      <c r="BP1331" s="13">
        <v>139.96016108448799</v>
      </c>
      <c r="BQ1331" s="13">
        <v>7.5400467898302601</v>
      </c>
      <c r="BT1331" s="298" t="str">
        <f>+VLOOKUP(G1331,Liste!$A$7:$H$50,8,FALSE)</f>
        <v>Résineux</v>
      </c>
      <c r="BU1331" s="298">
        <f t="shared" si="401"/>
        <v>0</v>
      </c>
      <c r="BV1331" s="300">
        <f t="shared" si="402"/>
        <v>1</v>
      </c>
      <c r="BW1331" s="321">
        <v>0</v>
      </c>
      <c r="BX1331" s="298">
        <f t="shared" si="403"/>
        <v>0.43</v>
      </c>
      <c r="BY1331">
        <f t="shared" si="404"/>
        <v>0</v>
      </c>
      <c r="BZ1331" s="304">
        <f t="shared" si="405"/>
        <v>0</v>
      </c>
      <c r="CB1331" s="299">
        <v>0.6</v>
      </c>
      <c r="CC1331" s="299">
        <v>0.4</v>
      </c>
      <c r="CD1331">
        <f t="shared" si="406"/>
        <v>0</v>
      </c>
      <c r="CE1331">
        <f t="shared" si="407"/>
        <v>0</v>
      </c>
      <c r="CF1331">
        <f t="shared" si="408"/>
        <v>0</v>
      </c>
      <c r="CG1331">
        <f t="shared" si="409"/>
        <v>0</v>
      </c>
      <c r="CH1331">
        <f t="shared" si="410"/>
        <v>0</v>
      </c>
      <c r="CI1331">
        <f t="shared" si="411"/>
        <v>0</v>
      </c>
      <c r="CJ1331">
        <f t="shared" si="412"/>
        <v>0</v>
      </c>
      <c r="CK1331">
        <f t="shared" si="413"/>
        <v>0</v>
      </c>
      <c r="CL1331">
        <f t="shared" si="414"/>
        <v>0</v>
      </c>
      <c r="CM1331">
        <f t="shared" si="416"/>
        <v>0</v>
      </c>
      <c r="CN1331">
        <f t="shared" si="415"/>
        <v>0</v>
      </c>
      <c r="CO1331">
        <f t="shared" si="399"/>
        <v>0</v>
      </c>
    </row>
    <row r="1332" spans="1:93" x14ac:dyDescent="0.25">
      <c r="A1332" s="4">
        <v>2021</v>
      </c>
      <c r="B1332" s="318">
        <v>44320</v>
      </c>
      <c r="C1332" s="4" t="s">
        <v>1524</v>
      </c>
      <c r="D1332" s="4" t="s">
        <v>1525</v>
      </c>
      <c r="F1332" s="4" t="s">
        <v>1526</v>
      </c>
      <c r="G1332" s="5" t="s">
        <v>1514</v>
      </c>
      <c r="H1332" s="5" t="s">
        <v>1527</v>
      </c>
      <c r="I1332" s="5" t="s">
        <v>18</v>
      </c>
      <c r="J1332" s="5" t="s">
        <v>9</v>
      </c>
      <c r="K1332" s="5">
        <v>15.5</v>
      </c>
      <c r="L1332" s="5" t="s">
        <v>1528</v>
      </c>
      <c r="M1332" s="5">
        <v>1100</v>
      </c>
      <c r="N1332" s="5" t="s">
        <v>170</v>
      </c>
      <c r="O1332" s="6" t="s">
        <v>81</v>
      </c>
      <c r="P1332" s="6" t="s">
        <v>1530</v>
      </c>
      <c r="S1332" s="6">
        <v>15</v>
      </c>
      <c r="T1332" s="6">
        <v>4.33</v>
      </c>
      <c r="U1332" s="6">
        <v>1101</v>
      </c>
      <c r="V1332" s="6">
        <v>4.92</v>
      </c>
      <c r="W1332" s="6">
        <v>569</v>
      </c>
      <c r="X1332" s="6">
        <v>532</v>
      </c>
      <c r="Y1332" s="6">
        <v>0</v>
      </c>
      <c r="Z1332" s="6">
        <v>0</v>
      </c>
      <c r="AA1332" s="6">
        <v>0</v>
      </c>
      <c r="AB1332" s="6">
        <v>0</v>
      </c>
      <c r="AC1332" s="7">
        <v>40</v>
      </c>
      <c r="AD1332" s="7" t="s">
        <v>52</v>
      </c>
      <c r="AE1332" s="7">
        <v>13.03</v>
      </c>
      <c r="AF1332" s="7">
        <v>700</v>
      </c>
      <c r="AG1332" s="7">
        <v>18.02</v>
      </c>
      <c r="AH1332" s="7">
        <v>18.100000000000001</v>
      </c>
      <c r="AI1332" s="7">
        <v>20.45</v>
      </c>
      <c r="AJ1332" s="9">
        <v>99.0046361837273</v>
      </c>
      <c r="AK1332" s="9">
        <v>101.165523532731</v>
      </c>
      <c r="AL1332" s="9">
        <v>148.237060586534</v>
      </c>
      <c r="AM1332" s="9">
        <v>24.240202480060201</v>
      </c>
      <c r="AN1332" s="9">
        <v>0.60600506200150495</v>
      </c>
      <c r="AO1332" s="9">
        <v>0.69652973289049702</v>
      </c>
      <c r="AP1332" s="9">
        <v>194.19026953623501</v>
      </c>
      <c r="AQ1332" s="9">
        <v>4.8547567384058699</v>
      </c>
      <c r="AR1332" s="9">
        <v>7.8673940022118201</v>
      </c>
      <c r="AS1332" s="8" t="s">
        <v>169</v>
      </c>
      <c r="AT1332" s="8" t="s">
        <v>169</v>
      </c>
      <c r="AU1332" s="10" t="s">
        <v>169</v>
      </c>
      <c r="AV1332" s="10">
        <v>0</v>
      </c>
      <c r="AW1332" s="10"/>
      <c r="AX1332" s="10" t="s">
        <v>169</v>
      </c>
      <c r="BF1332" s="12">
        <v>0.45</v>
      </c>
      <c r="BG1332" s="13">
        <v>116.180796234696</v>
      </c>
      <c r="BH1332" s="96" t="str">
        <f>+VLOOKUP(G1332,Liste!$A$7:$G$50,3,FALSE)</f>
        <v>Pin d'Alep</v>
      </c>
      <c r="BI1332" s="96" t="str">
        <f>+VLOOKUP(H1332,Liste!$B$7:$G$50,5,FALSE)</f>
        <v>Pin d'Alep</v>
      </c>
      <c r="BJ1332" s="135">
        <f t="shared" si="398"/>
        <v>40</v>
      </c>
      <c r="BK1332" s="135" t="str">
        <f t="shared" si="400"/>
        <v>Pin d'Alep_F1_Classique_Pin d'Alep_40_</v>
      </c>
      <c r="BL1332" s="322"/>
      <c r="BM1332" s="13">
        <v>32.836216156785298</v>
      </c>
      <c r="BN1332" s="13">
        <v>149.01701239148099</v>
      </c>
      <c r="BO1332" s="13" t="s">
        <v>169</v>
      </c>
      <c r="BP1332" s="13">
        <v>139.96016108448799</v>
      </c>
      <c r="BQ1332" s="13">
        <v>7.65482263780385</v>
      </c>
      <c r="BT1332" s="298" t="str">
        <f>+VLOOKUP(G1332,Liste!$A$7:$H$50,8,FALSE)</f>
        <v>Résineux</v>
      </c>
      <c r="BU1332" s="298">
        <f t="shared" si="401"/>
        <v>0</v>
      </c>
      <c r="BV1332" s="300">
        <f t="shared" si="402"/>
        <v>1</v>
      </c>
      <c r="BW1332" s="321">
        <v>0</v>
      </c>
      <c r="BX1332" s="298">
        <f t="shared" si="403"/>
        <v>0.43</v>
      </c>
      <c r="BY1332">
        <f t="shared" si="404"/>
        <v>0</v>
      </c>
      <c r="BZ1332" s="304">
        <f t="shared" si="405"/>
        <v>0</v>
      </c>
      <c r="CB1332" s="299">
        <v>0.6</v>
      </c>
      <c r="CC1332" s="299">
        <v>0.4</v>
      </c>
      <c r="CD1332">
        <f t="shared" si="406"/>
        <v>0</v>
      </c>
      <c r="CE1332">
        <f t="shared" si="407"/>
        <v>0</v>
      </c>
      <c r="CF1332">
        <f t="shared" si="408"/>
        <v>0</v>
      </c>
      <c r="CG1332">
        <f t="shared" si="409"/>
        <v>0</v>
      </c>
      <c r="CH1332">
        <f t="shared" si="410"/>
        <v>0</v>
      </c>
      <c r="CI1332">
        <f t="shared" si="411"/>
        <v>0</v>
      </c>
      <c r="CJ1332">
        <f t="shared" si="412"/>
        <v>0</v>
      </c>
      <c r="CK1332">
        <f t="shared" si="413"/>
        <v>0</v>
      </c>
      <c r="CL1332">
        <f t="shared" si="414"/>
        <v>0</v>
      </c>
      <c r="CM1332">
        <f t="shared" si="416"/>
        <v>0</v>
      </c>
      <c r="CN1332">
        <f t="shared" si="415"/>
        <v>0</v>
      </c>
      <c r="CO1332">
        <f t="shared" si="399"/>
        <v>0</v>
      </c>
    </row>
    <row r="1333" spans="1:93" x14ac:dyDescent="0.25">
      <c r="A1333" s="4">
        <v>2021</v>
      </c>
      <c r="B1333" s="318">
        <v>44320</v>
      </c>
      <c r="C1333" s="4" t="s">
        <v>1524</v>
      </c>
      <c r="D1333" s="4" t="s">
        <v>1525</v>
      </c>
      <c r="F1333" s="4" t="s">
        <v>1526</v>
      </c>
      <c r="G1333" s="5" t="s">
        <v>1514</v>
      </c>
      <c r="H1333" s="5" t="s">
        <v>1527</v>
      </c>
      <c r="I1333" s="5" t="s">
        <v>18</v>
      </c>
      <c r="J1333" s="5" t="s">
        <v>9</v>
      </c>
      <c r="K1333" s="5">
        <v>15.5</v>
      </c>
      <c r="L1333" s="5" t="s">
        <v>1528</v>
      </c>
      <c r="M1333" s="5">
        <v>1100</v>
      </c>
      <c r="N1333" s="5" t="s">
        <v>170</v>
      </c>
      <c r="O1333" s="6" t="s">
        <v>81</v>
      </c>
      <c r="P1333" s="6" t="s">
        <v>1530</v>
      </c>
      <c r="S1333" s="6">
        <v>15</v>
      </c>
      <c r="T1333" s="6">
        <v>4.33</v>
      </c>
      <c r="U1333" s="6">
        <v>1101</v>
      </c>
      <c r="V1333" s="6">
        <v>4.92</v>
      </c>
      <c r="W1333" s="6">
        <v>569</v>
      </c>
      <c r="X1333" s="6">
        <v>532</v>
      </c>
      <c r="Y1333" s="6">
        <v>0</v>
      </c>
      <c r="Z1333" s="6">
        <v>0</v>
      </c>
      <c r="AA1333" s="6">
        <v>0</v>
      </c>
      <c r="AB1333" s="6">
        <v>0</v>
      </c>
      <c r="AC1333" s="7">
        <v>41</v>
      </c>
      <c r="AD1333" s="7" t="s">
        <v>52</v>
      </c>
      <c r="AE1333" s="7">
        <v>13.31</v>
      </c>
      <c r="AF1333" s="7">
        <v>700</v>
      </c>
      <c r="AG1333" s="7">
        <v>18.72</v>
      </c>
      <c r="AH1333" s="7">
        <v>18.45</v>
      </c>
      <c r="AI1333" s="7">
        <v>20.86</v>
      </c>
      <c r="AJ1333" s="9">
        <v>104.81610788750901</v>
      </c>
      <c r="AK1333" s="9">
        <v>107.12005659778499</v>
      </c>
      <c r="AL1333" s="9">
        <v>156.104454588745</v>
      </c>
      <c r="AM1333" s="9">
        <v>24.936732212950702</v>
      </c>
      <c r="AN1333" s="9">
        <v>0.60821298080367503</v>
      </c>
      <c r="AO1333" s="9">
        <v>0.69631408611677204</v>
      </c>
      <c r="AP1333" s="9">
        <v>202.057663538447</v>
      </c>
      <c r="AQ1333" s="9">
        <v>4.92823569605968</v>
      </c>
      <c r="AR1333" s="9">
        <v>7.9721261909033698</v>
      </c>
      <c r="AS1333" s="8" t="s">
        <v>169</v>
      </c>
      <c r="AT1333" s="8" t="s">
        <v>169</v>
      </c>
      <c r="AU1333" s="10" t="s">
        <v>169</v>
      </c>
      <c r="AV1333" s="10">
        <v>0</v>
      </c>
      <c r="AW1333" s="10"/>
      <c r="AX1333" s="10" t="s">
        <v>169</v>
      </c>
      <c r="BF1333" s="12">
        <v>0.45</v>
      </c>
      <c r="BG1333" s="13">
        <v>122.346866283929</v>
      </c>
      <c r="BH1333" s="96" t="str">
        <f>+VLOOKUP(G1333,Liste!$A$7:$G$50,3,FALSE)</f>
        <v>Pin d'Alep</v>
      </c>
      <c r="BI1333" s="96" t="str">
        <f>+VLOOKUP(H1333,Liste!$B$7:$G$50,5,FALSE)</f>
        <v>Pin d'Alep</v>
      </c>
      <c r="BJ1333" s="135">
        <f t="shared" si="398"/>
        <v>41</v>
      </c>
      <c r="BK1333" s="135" t="str">
        <f t="shared" si="400"/>
        <v>Pin d'Alep_F1_Classique_Pin d'Alep_41_</v>
      </c>
      <c r="BL1333" s="322"/>
      <c r="BM1333" s="13">
        <v>34.3714170859297</v>
      </c>
      <c r="BN1333" s="13">
        <v>156.71828336985899</v>
      </c>
      <c r="BO1333" s="13" t="s">
        <v>169</v>
      </c>
      <c r="BP1333" s="13">
        <v>139.96016108448799</v>
      </c>
      <c r="BQ1333" s="13">
        <v>7.74985742922388</v>
      </c>
      <c r="BT1333" s="298" t="str">
        <f>+VLOOKUP(G1333,Liste!$A$7:$H$50,8,FALSE)</f>
        <v>Résineux</v>
      </c>
      <c r="BU1333" s="298">
        <f t="shared" si="401"/>
        <v>0</v>
      </c>
      <c r="BV1333" s="300">
        <f t="shared" si="402"/>
        <v>1</v>
      </c>
      <c r="BW1333" s="321">
        <v>0</v>
      </c>
      <c r="BX1333" s="298">
        <f t="shared" si="403"/>
        <v>0.43</v>
      </c>
      <c r="BY1333">
        <f t="shared" si="404"/>
        <v>0</v>
      </c>
      <c r="BZ1333" s="304">
        <f t="shared" si="405"/>
        <v>0</v>
      </c>
      <c r="CB1333" s="299">
        <v>0.6</v>
      </c>
      <c r="CC1333" s="299">
        <v>0.4</v>
      </c>
      <c r="CD1333">
        <f t="shared" si="406"/>
        <v>0</v>
      </c>
      <c r="CE1333">
        <f t="shared" si="407"/>
        <v>0</v>
      </c>
      <c r="CF1333">
        <f t="shared" si="408"/>
        <v>0</v>
      </c>
      <c r="CG1333">
        <f t="shared" si="409"/>
        <v>0</v>
      </c>
      <c r="CH1333">
        <f t="shared" si="410"/>
        <v>0</v>
      </c>
      <c r="CI1333">
        <f t="shared" si="411"/>
        <v>0</v>
      </c>
      <c r="CJ1333">
        <f t="shared" si="412"/>
        <v>0</v>
      </c>
      <c r="CK1333">
        <f t="shared" si="413"/>
        <v>0</v>
      </c>
      <c r="CL1333">
        <f t="shared" si="414"/>
        <v>0</v>
      </c>
      <c r="CM1333">
        <f t="shared" si="416"/>
        <v>0</v>
      </c>
      <c r="CN1333">
        <f t="shared" si="415"/>
        <v>0</v>
      </c>
      <c r="CO1333">
        <f t="shared" si="399"/>
        <v>0</v>
      </c>
    </row>
    <row r="1334" spans="1:93" x14ac:dyDescent="0.25">
      <c r="A1334" s="4">
        <v>2021</v>
      </c>
      <c r="B1334" s="318">
        <v>44320</v>
      </c>
      <c r="C1334" s="4" t="s">
        <v>1524</v>
      </c>
      <c r="D1334" s="4" t="s">
        <v>1525</v>
      </c>
      <c r="F1334" s="4" t="s">
        <v>1526</v>
      </c>
      <c r="G1334" s="5" t="s">
        <v>1514</v>
      </c>
      <c r="H1334" s="5" t="s">
        <v>1527</v>
      </c>
      <c r="I1334" s="5" t="s">
        <v>18</v>
      </c>
      <c r="J1334" s="5" t="s">
        <v>9</v>
      </c>
      <c r="K1334" s="5">
        <v>15.5</v>
      </c>
      <c r="L1334" s="5" t="s">
        <v>1528</v>
      </c>
      <c r="M1334" s="5">
        <v>1100</v>
      </c>
      <c r="N1334" s="5" t="s">
        <v>170</v>
      </c>
      <c r="O1334" s="6" t="s">
        <v>81</v>
      </c>
      <c r="P1334" s="6" t="s">
        <v>1530</v>
      </c>
      <c r="S1334" s="6">
        <v>15</v>
      </c>
      <c r="T1334" s="6">
        <v>4.33</v>
      </c>
      <c r="U1334" s="6">
        <v>1101</v>
      </c>
      <c r="V1334" s="6">
        <v>4.92</v>
      </c>
      <c r="W1334" s="6">
        <v>569</v>
      </c>
      <c r="X1334" s="6">
        <v>532</v>
      </c>
      <c r="Y1334" s="6">
        <v>0</v>
      </c>
      <c r="Z1334" s="6">
        <v>0</v>
      </c>
      <c r="AA1334" s="6">
        <v>0</v>
      </c>
      <c r="AB1334" s="6">
        <v>0</v>
      </c>
      <c r="AC1334" s="7">
        <v>42</v>
      </c>
      <c r="AD1334" s="7" t="s">
        <v>52</v>
      </c>
      <c r="AE1334" s="7">
        <v>13.57</v>
      </c>
      <c r="AF1334" s="7">
        <v>700</v>
      </c>
      <c r="AG1334" s="7">
        <v>19.41</v>
      </c>
      <c r="AH1334" s="7">
        <v>18.79</v>
      </c>
      <c r="AI1334" s="7">
        <v>21.26</v>
      </c>
      <c r="AJ1334" s="9">
        <v>110.714670309233</v>
      </c>
      <c r="AK1334" s="9">
        <v>113.165397464267</v>
      </c>
      <c r="AL1334" s="9">
        <v>164.07658077964899</v>
      </c>
      <c r="AM1334" s="9">
        <v>25.633046299067502</v>
      </c>
      <c r="AN1334" s="9">
        <v>0.61031062616827303</v>
      </c>
      <c r="AO1334" s="9">
        <v>0.69610864951917195</v>
      </c>
      <c r="AP1334" s="9">
        <v>210.02978972935</v>
      </c>
      <c r="AQ1334" s="9">
        <v>5.0007092792702403</v>
      </c>
      <c r="AR1334" s="9">
        <v>8.10493736448311</v>
      </c>
      <c r="AS1334" s="8" t="s">
        <v>169</v>
      </c>
      <c r="AT1334" s="8" t="s">
        <v>169</v>
      </c>
      <c r="AU1334" s="10" t="s">
        <v>169</v>
      </c>
      <c r="AV1334" s="10">
        <v>0</v>
      </c>
      <c r="AW1334" s="10"/>
      <c r="AX1334" s="10" t="s">
        <v>169</v>
      </c>
      <c r="BF1334" s="12">
        <v>0.45</v>
      </c>
      <c r="BG1334" s="13">
        <v>128.59502018604999</v>
      </c>
      <c r="BH1334" s="96" t="str">
        <f>+VLOOKUP(G1334,Liste!$A$7:$G$50,3,FALSE)</f>
        <v>Pin d'Alep</v>
      </c>
      <c r="BI1334" s="96" t="str">
        <f>+VLOOKUP(H1334,Liste!$B$7:$G$50,5,FALSE)</f>
        <v>Pin d'Alep</v>
      </c>
      <c r="BJ1334" s="135">
        <f t="shared" si="398"/>
        <v>42</v>
      </c>
      <c r="BK1334" s="135" t="str">
        <f t="shared" si="400"/>
        <v>Pin d'Alep_F1_Classique_Pin d'Alep_42_</v>
      </c>
      <c r="BL1334" s="322"/>
      <c r="BM1334" s="13">
        <v>35.917893245693399</v>
      </c>
      <c r="BN1334" s="13">
        <v>164.51291343174299</v>
      </c>
      <c r="BO1334" s="13" t="s">
        <v>169</v>
      </c>
      <c r="BP1334" s="13">
        <v>139.96016108448799</v>
      </c>
      <c r="BQ1334" s="13">
        <v>7.8721790169622397</v>
      </c>
      <c r="BT1334" s="298" t="str">
        <f>+VLOOKUP(G1334,Liste!$A$7:$H$50,8,FALSE)</f>
        <v>Résineux</v>
      </c>
      <c r="BU1334" s="298">
        <f t="shared" si="401"/>
        <v>0</v>
      </c>
      <c r="BV1334" s="300">
        <f t="shared" si="402"/>
        <v>1</v>
      </c>
      <c r="BW1334" s="321">
        <v>0</v>
      </c>
      <c r="BX1334" s="298">
        <f t="shared" si="403"/>
        <v>0.43</v>
      </c>
      <c r="BY1334">
        <f t="shared" si="404"/>
        <v>0</v>
      </c>
      <c r="BZ1334" s="304">
        <f t="shared" si="405"/>
        <v>0</v>
      </c>
      <c r="CB1334" s="299">
        <v>0.6</v>
      </c>
      <c r="CC1334" s="299">
        <v>0.4</v>
      </c>
      <c r="CD1334">
        <f t="shared" si="406"/>
        <v>0</v>
      </c>
      <c r="CE1334">
        <f t="shared" si="407"/>
        <v>0</v>
      </c>
      <c r="CF1334">
        <f t="shared" si="408"/>
        <v>0</v>
      </c>
      <c r="CG1334">
        <f t="shared" si="409"/>
        <v>0</v>
      </c>
      <c r="CH1334">
        <f t="shared" si="410"/>
        <v>0</v>
      </c>
      <c r="CI1334">
        <f t="shared" si="411"/>
        <v>0</v>
      </c>
      <c r="CJ1334">
        <f t="shared" si="412"/>
        <v>0</v>
      </c>
      <c r="CK1334">
        <f t="shared" si="413"/>
        <v>0</v>
      </c>
      <c r="CL1334">
        <f t="shared" si="414"/>
        <v>0</v>
      </c>
      <c r="CM1334">
        <f t="shared" si="416"/>
        <v>0</v>
      </c>
      <c r="CN1334">
        <f t="shared" si="415"/>
        <v>0</v>
      </c>
      <c r="CO1334">
        <f t="shared" si="399"/>
        <v>0</v>
      </c>
    </row>
    <row r="1335" spans="1:93" x14ac:dyDescent="0.25">
      <c r="A1335" s="4">
        <v>2021</v>
      </c>
      <c r="B1335" s="318">
        <v>44320</v>
      </c>
      <c r="C1335" s="4" t="s">
        <v>1524</v>
      </c>
      <c r="D1335" s="4" t="s">
        <v>1525</v>
      </c>
      <c r="F1335" s="4" t="s">
        <v>1526</v>
      </c>
      <c r="G1335" s="5" t="s">
        <v>1514</v>
      </c>
      <c r="H1335" s="5" t="s">
        <v>1527</v>
      </c>
      <c r="I1335" s="5" t="s">
        <v>18</v>
      </c>
      <c r="J1335" s="5" t="s">
        <v>9</v>
      </c>
      <c r="K1335" s="5">
        <v>15.5</v>
      </c>
      <c r="L1335" s="5" t="s">
        <v>1528</v>
      </c>
      <c r="M1335" s="5">
        <v>1100</v>
      </c>
      <c r="N1335" s="5" t="s">
        <v>170</v>
      </c>
      <c r="O1335" s="6" t="s">
        <v>81</v>
      </c>
      <c r="P1335" s="6" t="s">
        <v>1530</v>
      </c>
      <c r="S1335" s="6">
        <v>15</v>
      </c>
      <c r="T1335" s="6">
        <v>4.33</v>
      </c>
      <c r="U1335" s="6">
        <v>1101</v>
      </c>
      <c r="V1335" s="6">
        <v>4.92</v>
      </c>
      <c r="W1335" s="6">
        <v>569</v>
      </c>
      <c r="X1335" s="6">
        <v>532</v>
      </c>
      <c r="Y1335" s="6">
        <v>0</v>
      </c>
      <c r="Z1335" s="6">
        <v>0</v>
      </c>
      <c r="AA1335" s="6">
        <v>0</v>
      </c>
      <c r="AB1335" s="6">
        <v>0</v>
      </c>
      <c r="AC1335" s="7">
        <v>43</v>
      </c>
      <c r="AD1335" s="7" t="s">
        <v>52</v>
      </c>
      <c r="AE1335" s="7">
        <v>13.83</v>
      </c>
      <c r="AF1335" s="7">
        <v>700</v>
      </c>
      <c r="AG1335" s="7">
        <v>20.11</v>
      </c>
      <c r="AH1335" s="7">
        <v>19.12</v>
      </c>
      <c r="AI1335" s="7">
        <v>21.65</v>
      </c>
      <c r="AJ1335" s="9">
        <v>116.728708658388</v>
      </c>
      <c r="AK1335" s="9">
        <v>119.329354251138</v>
      </c>
      <c r="AL1335" s="9">
        <v>172.18151814413201</v>
      </c>
      <c r="AM1335" s="9">
        <v>26.329154948586599</v>
      </c>
      <c r="AN1335" s="9">
        <v>0.61230592903689895</v>
      </c>
      <c r="AO1335" s="9">
        <v>0.69308137156826199</v>
      </c>
      <c r="AP1335" s="9">
        <v>218.13472709383299</v>
      </c>
      <c r="AQ1335" s="9">
        <v>5.0729006300891504</v>
      </c>
      <c r="AR1335" s="9">
        <v>8.1805597018742997</v>
      </c>
      <c r="AS1335" s="8" t="s">
        <v>169</v>
      </c>
      <c r="AT1335" s="8" t="s">
        <v>169</v>
      </c>
      <c r="AU1335" s="10" t="s">
        <v>169</v>
      </c>
      <c r="AV1335" s="10">
        <v>0</v>
      </c>
      <c r="AW1335" s="10"/>
      <c r="AX1335" s="10" t="s">
        <v>169</v>
      </c>
      <c r="BF1335" s="12">
        <v>0.45</v>
      </c>
      <c r="BG1335" s="13">
        <v>134.947264845463</v>
      </c>
      <c r="BH1335" s="96" t="str">
        <f>+VLOOKUP(G1335,Liste!$A$7:$G$50,3,FALSE)</f>
        <v>Pin d'Alep</v>
      </c>
      <c r="BI1335" s="96" t="str">
        <f>+VLOOKUP(H1335,Liste!$B$7:$G$50,5,FALSE)</f>
        <v>Pin d'Alep</v>
      </c>
      <c r="BJ1335" s="135">
        <f t="shared" si="398"/>
        <v>43</v>
      </c>
      <c r="BK1335" s="135" t="str">
        <f t="shared" si="400"/>
        <v>Pin d'Alep_F1_Classique_Pin d'Alep_43_</v>
      </c>
      <c r="BL1335" s="322"/>
      <c r="BM1335" s="13">
        <v>37.481190988715298</v>
      </c>
      <c r="BN1335" s="13">
        <v>172.428455834179</v>
      </c>
      <c r="BO1335" s="13" t="s">
        <v>169</v>
      </c>
      <c r="BP1335" s="13">
        <v>139.96016108448799</v>
      </c>
      <c r="BQ1335" s="13">
        <v>7.9389773655224198</v>
      </c>
      <c r="BT1335" s="298" t="str">
        <f>+VLOOKUP(G1335,Liste!$A$7:$H$50,8,FALSE)</f>
        <v>Résineux</v>
      </c>
      <c r="BU1335" s="298">
        <f t="shared" si="401"/>
        <v>0</v>
      </c>
      <c r="BV1335" s="300">
        <f t="shared" si="402"/>
        <v>1</v>
      </c>
      <c r="BW1335" s="321">
        <v>0</v>
      </c>
      <c r="BX1335" s="298">
        <f t="shared" si="403"/>
        <v>0.43</v>
      </c>
      <c r="BY1335">
        <f t="shared" si="404"/>
        <v>0</v>
      </c>
      <c r="BZ1335" s="304">
        <f t="shared" si="405"/>
        <v>0</v>
      </c>
      <c r="CB1335" s="299">
        <v>0.6</v>
      </c>
      <c r="CC1335" s="299">
        <v>0.4</v>
      </c>
      <c r="CD1335">
        <f t="shared" si="406"/>
        <v>0</v>
      </c>
      <c r="CE1335">
        <f t="shared" si="407"/>
        <v>0</v>
      </c>
      <c r="CF1335">
        <f t="shared" si="408"/>
        <v>0</v>
      </c>
      <c r="CG1335">
        <f t="shared" si="409"/>
        <v>0</v>
      </c>
      <c r="CH1335">
        <f t="shared" si="410"/>
        <v>0</v>
      </c>
      <c r="CI1335">
        <f t="shared" si="411"/>
        <v>0</v>
      </c>
      <c r="CJ1335">
        <f t="shared" si="412"/>
        <v>0</v>
      </c>
      <c r="CK1335">
        <f t="shared" si="413"/>
        <v>0</v>
      </c>
      <c r="CL1335">
        <f t="shared" si="414"/>
        <v>0</v>
      </c>
      <c r="CM1335">
        <f t="shared" si="416"/>
        <v>0</v>
      </c>
      <c r="CN1335">
        <f t="shared" si="415"/>
        <v>0</v>
      </c>
      <c r="CO1335">
        <f t="shared" si="399"/>
        <v>0</v>
      </c>
    </row>
    <row r="1336" spans="1:93" x14ac:dyDescent="0.25">
      <c r="A1336" s="4">
        <v>2021</v>
      </c>
      <c r="B1336" s="318">
        <v>44320</v>
      </c>
      <c r="C1336" s="4" t="s">
        <v>1524</v>
      </c>
      <c r="D1336" s="4" t="s">
        <v>1525</v>
      </c>
      <c r="F1336" s="4" t="s">
        <v>1526</v>
      </c>
      <c r="G1336" s="5" t="s">
        <v>1514</v>
      </c>
      <c r="H1336" s="5" t="s">
        <v>1527</v>
      </c>
      <c r="I1336" s="5" t="s">
        <v>18</v>
      </c>
      <c r="J1336" s="5" t="s">
        <v>9</v>
      </c>
      <c r="K1336" s="5">
        <v>15.5</v>
      </c>
      <c r="L1336" s="5" t="s">
        <v>1528</v>
      </c>
      <c r="M1336" s="5">
        <v>1100</v>
      </c>
      <c r="N1336" s="5" t="s">
        <v>170</v>
      </c>
      <c r="O1336" s="6" t="s">
        <v>81</v>
      </c>
      <c r="P1336" s="6" t="s">
        <v>1530</v>
      </c>
      <c r="S1336" s="6">
        <v>15</v>
      </c>
      <c r="T1336" s="6">
        <v>4.33</v>
      </c>
      <c r="U1336" s="6">
        <v>1101</v>
      </c>
      <c r="V1336" s="6">
        <v>4.92</v>
      </c>
      <c r="W1336" s="6">
        <v>569</v>
      </c>
      <c r="X1336" s="6">
        <v>532</v>
      </c>
      <c r="Y1336" s="6">
        <v>0</v>
      </c>
      <c r="Z1336" s="6">
        <v>0</v>
      </c>
      <c r="AA1336" s="6">
        <v>0</v>
      </c>
      <c r="AB1336" s="6">
        <v>0</v>
      </c>
      <c r="AC1336" s="7">
        <v>44</v>
      </c>
      <c r="AD1336" s="7" t="s">
        <v>52</v>
      </c>
      <c r="AE1336" s="7">
        <v>14.09</v>
      </c>
      <c r="AF1336" s="7">
        <v>699</v>
      </c>
      <c r="AG1336" s="7">
        <v>20.78</v>
      </c>
      <c r="AH1336" s="7">
        <v>19.46</v>
      </c>
      <c r="AI1336" s="7">
        <v>22.04</v>
      </c>
      <c r="AJ1336" s="9">
        <v>122.708815878308</v>
      </c>
      <c r="AK1336" s="9">
        <v>125.460758623972</v>
      </c>
      <c r="AL1336" s="9">
        <v>180.21004972525</v>
      </c>
      <c r="AM1336" s="9">
        <v>27.022236320154899</v>
      </c>
      <c r="AN1336" s="9">
        <v>0.61414173454897503</v>
      </c>
      <c r="AO1336" s="9">
        <v>0.69178411371381898</v>
      </c>
      <c r="AP1336" s="9">
        <v>226.315286795708</v>
      </c>
      <c r="AQ1336" s="9">
        <v>5.1435292453569899</v>
      </c>
      <c r="AR1336" s="9">
        <v>8.2705864700755605</v>
      </c>
      <c r="AS1336" s="8" t="s">
        <v>169</v>
      </c>
      <c r="AT1336" s="8" t="s">
        <v>169</v>
      </c>
      <c r="AU1336" s="10" t="s">
        <v>169</v>
      </c>
      <c r="AV1336" s="10">
        <v>0</v>
      </c>
      <c r="AW1336" s="10"/>
      <c r="AX1336" s="10" t="s">
        <v>169</v>
      </c>
      <c r="BF1336" s="12">
        <v>0.45</v>
      </c>
      <c r="BG1336" s="13">
        <v>141.23962647216501</v>
      </c>
      <c r="BH1336" s="96" t="str">
        <f>+VLOOKUP(G1336,Liste!$A$7:$G$50,3,FALSE)</f>
        <v>Pin d'Alep</v>
      </c>
      <c r="BI1336" s="96" t="str">
        <f>+VLOOKUP(H1336,Liste!$B$7:$G$50,5,FALSE)</f>
        <v>Pin d'Alep</v>
      </c>
      <c r="BJ1336" s="135">
        <f t="shared" si="398"/>
        <v>44</v>
      </c>
      <c r="BK1336" s="135" t="str">
        <f t="shared" si="400"/>
        <v>Pin d'Alep_F1_Classique_Pin d'Alep_44_</v>
      </c>
      <c r="BL1336" s="322"/>
      <c r="BM1336" s="13">
        <v>39.021325011474602</v>
      </c>
      <c r="BN1336" s="13">
        <v>180.26095148363899</v>
      </c>
      <c r="BO1336" s="13" t="s">
        <v>169</v>
      </c>
      <c r="BP1336" s="13">
        <v>139.96016108448799</v>
      </c>
      <c r="BQ1336" s="13">
        <v>8.0198254484710407</v>
      </c>
      <c r="BT1336" s="298" t="str">
        <f>+VLOOKUP(G1336,Liste!$A$7:$H$50,8,FALSE)</f>
        <v>Résineux</v>
      </c>
      <c r="BU1336" s="298">
        <f t="shared" si="401"/>
        <v>0</v>
      </c>
      <c r="BV1336" s="300">
        <f t="shared" si="402"/>
        <v>1</v>
      </c>
      <c r="BW1336" s="321">
        <v>0</v>
      </c>
      <c r="BX1336" s="298">
        <f t="shared" si="403"/>
        <v>0.43</v>
      </c>
      <c r="BY1336">
        <f t="shared" si="404"/>
        <v>0</v>
      </c>
      <c r="BZ1336" s="304">
        <f t="shared" si="405"/>
        <v>0</v>
      </c>
      <c r="CB1336" s="299">
        <v>0.6</v>
      </c>
      <c r="CC1336" s="299">
        <v>0.4</v>
      </c>
      <c r="CD1336">
        <f t="shared" si="406"/>
        <v>0</v>
      </c>
      <c r="CE1336">
        <f t="shared" si="407"/>
        <v>0</v>
      </c>
      <c r="CF1336">
        <f t="shared" si="408"/>
        <v>0</v>
      </c>
      <c r="CG1336">
        <f t="shared" si="409"/>
        <v>0</v>
      </c>
      <c r="CH1336">
        <f t="shared" si="410"/>
        <v>0</v>
      </c>
      <c r="CI1336">
        <f t="shared" si="411"/>
        <v>0</v>
      </c>
      <c r="CJ1336">
        <f t="shared" si="412"/>
        <v>0</v>
      </c>
      <c r="CK1336">
        <f t="shared" si="413"/>
        <v>0</v>
      </c>
      <c r="CL1336">
        <f t="shared" si="414"/>
        <v>0</v>
      </c>
      <c r="CM1336">
        <f t="shared" si="416"/>
        <v>0</v>
      </c>
      <c r="CN1336">
        <f t="shared" si="415"/>
        <v>0</v>
      </c>
      <c r="CO1336">
        <f t="shared" si="399"/>
        <v>0</v>
      </c>
    </row>
    <row r="1337" spans="1:93" x14ac:dyDescent="0.25">
      <c r="A1337" s="4">
        <v>2021</v>
      </c>
      <c r="B1337" s="318">
        <v>44320</v>
      </c>
      <c r="C1337" s="4" t="s">
        <v>1524</v>
      </c>
      <c r="D1337" s="4" t="s">
        <v>1525</v>
      </c>
      <c r="F1337" s="4" t="s">
        <v>1526</v>
      </c>
      <c r="G1337" s="5" t="s">
        <v>1514</v>
      </c>
      <c r="H1337" s="5" t="s">
        <v>1527</v>
      </c>
      <c r="I1337" s="5" t="s">
        <v>18</v>
      </c>
      <c r="J1337" s="5" t="s">
        <v>9</v>
      </c>
      <c r="K1337" s="5">
        <v>15.5</v>
      </c>
      <c r="L1337" s="5" t="s">
        <v>1528</v>
      </c>
      <c r="M1337" s="5">
        <v>1100</v>
      </c>
      <c r="N1337" s="5" t="s">
        <v>170</v>
      </c>
      <c r="O1337" s="6" t="s">
        <v>81</v>
      </c>
      <c r="P1337" s="6" t="s">
        <v>1530</v>
      </c>
      <c r="S1337" s="6">
        <v>15</v>
      </c>
      <c r="T1337" s="6">
        <v>4.33</v>
      </c>
      <c r="U1337" s="6">
        <v>1101</v>
      </c>
      <c r="V1337" s="6">
        <v>4.92</v>
      </c>
      <c r="W1337" s="6">
        <v>569</v>
      </c>
      <c r="X1337" s="6">
        <v>532</v>
      </c>
      <c r="Y1337" s="6">
        <v>0</v>
      </c>
      <c r="Z1337" s="6">
        <v>0</v>
      </c>
      <c r="AA1337" s="6">
        <v>0</v>
      </c>
      <c r="AB1337" s="6">
        <v>0</v>
      </c>
      <c r="AC1337" s="7">
        <v>45</v>
      </c>
      <c r="AD1337" s="7" t="s">
        <v>52</v>
      </c>
      <c r="AE1337" s="7">
        <v>14.34</v>
      </c>
      <c r="AF1337" s="7">
        <v>698</v>
      </c>
      <c r="AG1337" s="7">
        <v>21.45</v>
      </c>
      <c r="AH1337" s="7">
        <v>19.78</v>
      </c>
      <c r="AI1337" s="7">
        <v>22.43</v>
      </c>
      <c r="AJ1337" s="9">
        <v>128.73527361026299</v>
      </c>
      <c r="AK1337" s="9">
        <v>131.64086492268001</v>
      </c>
      <c r="AL1337" s="9">
        <v>188.28623738285</v>
      </c>
      <c r="AM1337" s="9">
        <v>27.714020433868701</v>
      </c>
      <c r="AN1337" s="9">
        <v>0.61586712075263805</v>
      </c>
      <c r="AO1337" s="9">
        <v>0.68863234230003201</v>
      </c>
      <c r="AP1337" s="9">
        <v>234.58587326578299</v>
      </c>
      <c r="AQ1337" s="9">
        <v>5.21301940590629</v>
      </c>
      <c r="AR1337" s="9">
        <v>8.3558748593583498</v>
      </c>
      <c r="AS1337" s="8" t="s">
        <v>169</v>
      </c>
      <c r="AT1337" s="8" t="s">
        <v>169</v>
      </c>
      <c r="AU1337" s="10" t="s">
        <v>169</v>
      </c>
      <c r="AV1337" s="10">
        <v>0</v>
      </c>
      <c r="AW1337" s="10"/>
      <c r="AX1337" s="10" t="s">
        <v>169</v>
      </c>
      <c r="BF1337" s="12">
        <v>0.45</v>
      </c>
      <c r="BG1337" s="13">
        <v>147.56933854880899</v>
      </c>
      <c r="BH1337" s="96" t="str">
        <f>+VLOOKUP(G1337,Liste!$A$7:$G$50,3,FALSE)</f>
        <v>Pin d'Alep</v>
      </c>
      <c r="BI1337" s="96" t="str">
        <f>+VLOOKUP(H1337,Liste!$B$7:$G$50,5,FALSE)</f>
        <v>Pin d'Alep</v>
      </c>
      <c r="BJ1337" s="135">
        <f t="shared" si="398"/>
        <v>45</v>
      </c>
      <c r="BK1337" s="135" t="str">
        <f t="shared" si="400"/>
        <v>Pin d'Alep_F1_Classique_Pin d'Alep_45_</v>
      </c>
      <c r="BL1337" s="322"/>
      <c r="BM1337" s="13">
        <v>40.562561869490303</v>
      </c>
      <c r="BN1337" s="13">
        <v>188.13190041829901</v>
      </c>
      <c r="BO1337" s="13" t="s">
        <v>169</v>
      </c>
      <c r="BP1337" s="13">
        <v>139.96016108448799</v>
      </c>
      <c r="BQ1337" s="13">
        <v>8.0961319068549606</v>
      </c>
      <c r="BT1337" s="298" t="str">
        <f>+VLOOKUP(G1337,Liste!$A$7:$H$50,8,FALSE)</f>
        <v>Résineux</v>
      </c>
      <c r="BU1337" s="298">
        <f t="shared" si="401"/>
        <v>0</v>
      </c>
      <c r="BV1337" s="300">
        <f t="shared" si="402"/>
        <v>1</v>
      </c>
      <c r="BW1337" s="321">
        <v>0</v>
      </c>
      <c r="BX1337" s="298">
        <f t="shared" si="403"/>
        <v>0.43</v>
      </c>
      <c r="BY1337">
        <f t="shared" si="404"/>
        <v>0</v>
      </c>
      <c r="BZ1337" s="304">
        <f t="shared" si="405"/>
        <v>0</v>
      </c>
      <c r="CB1337" s="299">
        <v>0.6</v>
      </c>
      <c r="CC1337" s="299">
        <v>0.4</v>
      </c>
      <c r="CD1337">
        <f t="shared" si="406"/>
        <v>0</v>
      </c>
      <c r="CE1337">
        <f t="shared" si="407"/>
        <v>0</v>
      </c>
      <c r="CF1337">
        <f t="shared" si="408"/>
        <v>0</v>
      </c>
      <c r="CG1337">
        <f t="shared" si="409"/>
        <v>0</v>
      </c>
      <c r="CH1337">
        <f t="shared" si="410"/>
        <v>0</v>
      </c>
      <c r="CI1337">
        <f t="shared" si="411"/>
        <v>0</v>
      </c>
      <c r="CJ1337">
        <f t="shared" si="412"/>
        <v>0</v>
      </c>
      <c r="CK1337">
        <f t="shared" si="413"/>
        <v>0</v>
      </c>
      <c r="CL1337">
        <f t="shared" si="414"/>
        <v>0</v>
      </c>
      <c r="CM1337">
        <f t="shared" si="416"/>
        <v>0</v>
      </c>
      <c r="CN1337">
        <f t="shared" si="415"/>
        <v>0</v>
      </c>
      <c r="CO1337">
        <f t="shared" si="399"/>
        <v>0</v>
      </c>
    </row>
    <row r="1338" spans="1:93" x14ac:dyDescent="0.25">
      <c r="A1338" s="4">
        <v>2021</v>
      </c>
      <c r="B1338" s="318">
        <v>44320</v>
      </c>
      <c r="C1338" s="4" t="s">
        <v>1524</v>
      </c>
      <c r="D1338" s="4" t="s">
        <v>1525</v>
      </c>
      <c r="F1338" s="4" t="s">
        <v>1526</v>
      </c>
      <c r="G1338" s="5" t="s">
        <v>1514</v>
      </c>
      <c r="H1338" s="5" t="s">
        <v>1527</v>
      </c>
      <c r="I1338" s="5" t="s">
        <v>18</v>
      </c>
      <c r="J1338" s="5" t="s">
        <v>9</v>
      </c>
      <c r="K1338" s="5">
        <v>15.5</v>
      </c>
      <c r="L1338" s="5" t="s">
        <v>1528</v>
      </c>
      <c r="M1338" s="5">
        <v>1100</v>
      </c>
      <c r="N1338" s="5" t="s">
        <v>170</v>
      </c>
      <c r="O1338" s="6" t="s">
        <v>81</v>
      </c>
      <c r="P1338" s="6" t="s">
        <v>1530</v>
      </c>
      <c r="S1338" s="6">
        <v>15</v>
      </c>
      <c r="T1338" s="6">
        <v>4.33</v>
      </c>
      <c r="U1338" s="6">
        <v>1101</v>
      </c>
      <c r="V1338" s="6">
        <v>4.92</v>
      </c>
      <c r="W1338" s="6">
        <v>569</v>
      </c>
      <c r="X1338" s="6">
        <v>532</v>
      </c>
      <c r="Y1338" s="6">
        <v>0</v>
      </c>
      <c r="Z1338" s="6">
        <v>0</v>
      </c>
      <c r="AA1338" s="6">
        <v>0</v>
      </c>
      <c r="AB1338" s="6">
        <v>0</v>
      </c>
      <c r="AC1338" s="7">
        <v>46</v>
      </c>
      <c r="AD1338" s="7" t="s">
        <v>52</v>
      </c>
      <c r="AE1338" s="7">
        <v>14.59</v>
      </c>
      <c r="AF1338" s="7">
        <v>698</v>
      </c>
      <c r="AG1338" s="7">
        <v>22.14</v>
      </c>
      <c r="AH1338" s="7">
        <v>20.100000000000001</v>
      </c>
      <c r="AI1338" s="7">
        <v>22.81</v>
      </c>
      <c r="AJ1338" s="9">
        <v>134.970756259388</v>
      </c>
      <c r="AK1338" s="9">
        <v>138.034732214245</v>
      </c>
      <c r="AL1338" s="9">
        <v>196.64211224220901</v>
      </c>
      <c r="AM1338" s="9">
        <v>28.402652776168701</v>
      </c>
      <c r="AN1338" s="9">
        <v>0.61744897339497296</v>
      </c>
      <c r="AO1338" s="9">
        <v>0.68627718453541298</v>
      </c>
      <c r="AP1338" s="9">
        <v>242.941748125141</v>
      </c>
      <c r="AQ1338" s="9">
        <v>5.2813423505465504</v>
      </c>
      <c r="AR1338" s="9">
        <v>8.4314929659416293</v>
      </c>
      <c r="AS1338" s="8" t="s">
        <v>169</v>
      </c>
      <c r="AT1338" s="8" t="s">
        <v>169</v>
      </c>
      <c r="AU1338" s="10" t="s">
        <v>169</v>
      </c>
      <c r="AV1338" s="10">
        <v>0</v>
      </c>
      <c r="AW1338" s="10"/>
      <c r="AX1338" s="10" t="s">
        <v>169</v>
      </c>
      <c r="BF1338" s="12">
        <v>0.45</v>
      </c>
      <c r="BG1338" s="13">
        <v>154.11825546983101</v>
      </c>
      <c r="BH1338" s="96" t="str">
        <f>+VLOOKUP(G1338,Liste!$A$7:$G$50,3,FALSE)</f>
        <v>Pin d'Alep</v>
      </c>
      <c r="BI1338" s="96" t="str">
        <f>+VLOOKUP(H1338,Liste!$B$7:$G$50,5,FALSE)</f>
        <v>Pin d'Alep</v>
      </c>
      <c r="BJ1338" s="135">
        <f t="shared" si="398"/>
        <v>46</v>
      </c>
      <c r="BK1338" s="135" t="str">
        <f t="shared" si="400"/>
        <v>Pin d'Alep_F1_Classique_Pin d'Alep_46_</v>
      </c>
      <c r="BL1338" s="322"/>
      <c r="BM1338" s="13">
        <v>42.149096005621701</v>
      </c>
      <c r="BN1338" s="13">
        <v>196.26735147545301</v>
      </c>
      <c r="BO1338" s="13" t="s">
        <v>169</v>
      </c>
      <c r="BP1338" s="13">
        <v>139.96016108448799</v>
      </c>
      <c r="BQ1338" s="13">
        <v>8.1631327230517705</v>
      </c>
      <c r="BT1338" s="298" t="str">
        <f>+VLOOKUP(G1338,Liste!$A$7:$H$50,8,FALSE)</f>
        <v>Résineux</v>
      </c>
      <c r="BU1338" s="298">
        <f t="shared" si="401"/>
        <v>0</v>
      </c>
      <c r="BV1338" s="300">
        <f t="shared" si="402"/>
        <v>1</v>
      </c>
      <c r="BW1338" s="321">
        <v>0</v>
      </c>
      <c r="BX1338" s="298">
        <f t="shared" si="403"/>
        <v>0.43</v>
      </c>
      <c r="BY1338">
        <f t="shared" si="404"/>
        <v>0</v>
      </c>
      <c r="BZ1338" s="304">
        <f t="shared" si="405"/>
        <v>0</v>
      </c>
      <c r="CB1338" s="299">
        <v>0.6</v>
      </c>
      <c r="CC1338" s="299">
        <v>0.4</v>
      </c>
      <c r="CD1338">
        <f t="shared" si="406"/>
        <v>0</v>
      </c>
      <c r="CE1338">
        <f t="shared" si="407"/>
        <v>0</v>
      </c>
      <c r="CF1338">
        <f t="shared" si="408"/>
        <v>0</v>
      </c>
      <c r="CG1338">
        <f t="shared" si="409"/>
        <v>0</v>
      </c>
      <c r="CH1338">
        <f t="shared" si="410"/>
        <v>0</v>
      </c>
      <c r="CI1338">
        <f t="shared" si="411"/>
        <v>0</v>
      </c>
      <c r="CJ1338">
        <f t="shared" si="412"/>
        <v>0</v>
      </c>
      <c r="CK1338">
        <f t="shared" si="413"/>
        <v>0</v>
      </c>
      <c r="CL1338">
        <f t="shared" si="414"/>
        <v>0</v>
      </c>
      <c r="CM1338">
        <f t="shared" si="416"/>
        <v>0</v>
      </c>
      <c r="CN1338">
        <f t="shared" si="415"/>
        <v>0</v>
      </c>
      <c r="CO1338">
        <f t="shared" si="399"/>
        <v>0</v>
      </c>
    </row>
    <row r="1339" spans="1:93" x14ac:dyDescent="0.25">
      <c r="A1339" s="4">
        <v>2021</v>
      </c>
      <c r="B1339" s="318">
        <v>44320</v>
      </c>
      <c r="C1339" s="4" t="s">
        <v>1524</v>
      </c>
      <c r="D1339" s="4" t="s">
        <v>1525</v>
      </c>
      <c r="F1339" s="4" t="s">
        <v>1526</v>
      </c>
      <c r="G1339" s="5" t="s">
        <v>1514</v>
      </c>
      <c r="H1339" s="5" t="s">
        <v>1527</v>
      </c>
      <c r="I1339" s="5" t="s">
        <v>18</v>
      </c>
      <c r="J1339" s="5" t="s">
        <v>9</v>
      </c>
      <c r="K1339" s="5">
        <v>15.5</v>
      </c>
      <c r="L1339" s="5" t="s">
        <v>1528</v>
      </c>
      <c r="M1339" s="5">
        <v>1100</v>
      </c>
      <c r="N1339" s="5" t="s">
        <v>170</v>
      </c>
      <c r="O1339" s="6" t="s">
        <v>81</v>
      </c>
      <c r="P1339" s="6" t="s">
        <v>1530</v>
      </c>
      <c r="S1339" s="6">
        <v>15</v>
      </c>
      <c r="T1339" s="6">
        <v>4.33</v>
      </c>
      <c r="U1339" s="6">
        <v>1101</v>
      </c>
      <c r="V1339" s="6">
        <v>4.92</v>
      </c>
      <c r="W1339" s="6">
        <v>569</v>
      </c>
      <c r="X1339" s="6">
        <v>532</v>
      </c>
      <c r="Y1339" s="6">
        <v>0</v>
      </c>
      <c r="Z1339" s="6">
        <v>0</v>
      </c>
      <c r="AA1339" s="6">
        <v>0</v>
      </c>
      <c r="AB1339" s="6">
        <v>0</v>
      </c>
      <c r="AC1339" s="7">
        <v>47</v>
      </c>
      <c r="AD1339" s="7" t="s">
        <v>52</v>
      </c>
      <c r="AE1339" s="7">
        <v>14.83</v>
      </c>
      <c r="AF1339" s="7">
        <v>698</v>
      </c>
      <c r="AG1339" s="7">
        <v>22.83</v>
      </c>
      <c r="AH1339" s="7">
        <v>20.41</v>
      </c>
      <c r="AI1339" s="7">
        <v>23.18</v>
      </c>
      <c r="AJ1339" s="9">
        <v>141.27268085409801</v>
      </c>
      <c r="AK1339" s="9">
        <v>144.49773207153501</v>
      </c>
      <c r="AL1339" s="9">
        <v>205.07360520815001</v>
      </c>
      <c r="AM1339" s="9">
        <v>29.088929960704199</v>
      </c>
      <c r="AN1339" s="9">
        <v>0.61891340341923695</v>
      </c>
      <c r="AO1339" s="9">
        <v>0.68268283340256997</v>
      </c>
      <c r="AP1339" s="9">
        <v>251.373241091083</v>
      </c>
      <c r="AQ1339" s="9">
        <v>5.34836683172517</v>
      </c>
      <c r="AR1339" s="9">
        <v>8.4867239102709409</v>
      </c>
      <c r="AS1339" s="8" t="s">
        <v>169</v>
      </c>
      <c r="AT1339" s="8" t="s">
        <v>169</v>
      </c>
      <c r="AU1339" s="10" t="s">
        <v>169</v>
      </c>
      <c r="AV1339" s="10">
        <v>0</v>
      </c>
      <c r="AW1339" s="10"/>
      <c r="AX1339" s="10" t="s">
        <v>169</v>
      </c>
      <c r="BF1339" s="12">
        <v>0.45</v>
      </c>
      <c r="BG1339" s="13">
        <v>160.72643808188801</v>
      </c>
      <c r="BH1339" s="96" t="str">
        <f>+VLOOKUP(G1339,Liste!$A$7:$G$50,3,FALSE)</f>
        <v>Pin d'Alep</v>
      </c>
      <c r="BI1339" s="96" t="str">
        <f>+VLOOKUP(H1339,Liste!$B$7:$G$50,5,FALSE)</f>
        <v>Pin d'Alep</v>
      </c>
      <c r="BJ1339" s="135">
        <f t="shared" si="398"/>
        <v>47</v>
      </c>
      <c r="BK1339" s="135" t="str">
        <f t="shared" si="400"/>
        <v>Pin d'Alep_F1_Classique_Pin d'Alep_47_</v>
      </c>
      <c r="BL1339" s="322"/>
      <c r="BM1339" s="13">
        <v>43.742051916925199</v>
      </c>
      <c r="BN1339" s="13">
        <v>204.468489998813</v>
      </c>
      <c r="BO1339" s="13" t="s">
        <v>169</v>
      </c>
      <c r="BP1339" s="13">
        <v>139.96016108448799</v>
      </c>
      <c r="BQ1339" s="13">
        <v>8.2104862838230908</v>
      </c>
      <c r="BT1339" s="298" t="str">
        <f>+VLOOKUP(G1339,Liste!$A$7:$H$50,8,FALSE)</f>
        <v>Résineux</v>
      </c>
      <c r="BU1339" s="298">
        <f t="shared" si="401"/>
        <v>0</v>
      </c>
      <c r="BV1339" s="300">
        <f t="shared" si="402"/>
        <v>1</v>
      </c>
      <c r="BW1339" s="321">
        <v>0</v>
      </c>
      <c r="BX1339" s="298">
        <f t="shared" si="403"/>
        <v>0.43</v>
      </c>
      <c r="BY1339">
        <f t="shared" si="404"/>
        <v>0</v>
      </c>
      <c r="BZ1339" s="304">
        <f t="shared" si="405"/>
        <v>0</v>
      </c>
      <c r="CB1339" s="299">
        <v>0.6</v>
      </c>
      <c r="CC1339" s="299">
        <v>0.4</v>
      </c>
      <c r="CD1339">
        <f t="shared" si="406"/>
        <v>0</v>
      </c>
      <c r="CE1339">
        <f t="shared" si="407"/>
        <v>0</v>
      </c>
      <c r="CF1339">
        <f t="shared" si="408"/>
        <v>0</v>
      </c>
      <c r="CG1339">
        <f t="shared" si="409"/>
        <v>0</v>
      </c>
      <c r="CH1339">
        <f t="shared" si="410"/>
        <v>0</v>
      </c>
      <c r="CI1339">
        <f t="shared" si="411"/>
        <v>0</v>
      </c>
      <c r="CJ1339">
        <f t="shared" si="412"/>
        <v>0</v>
      </c>
      <c r="CK1339">
        <f t="shared" si="413"/>
        <v>0</v>
      </c>
      <c r="CL1339">
        <f t="shared" si="414"/>
        <v>0</v>
      </c>
      <c r="CM1339">
        <f t="shared" si="416"/>
        <v>0</v>
      </c>
      <c r="CN1339">
        <f t="shared" si="415"/>
        <v>0</v>
      </c>
      <c r="CO1339">
        <f t="shared" si="399"/>
        <v>0</v>
      </c>
    </row>
    <row r="1340" spans="1:93" x14ac:dyDescent="0.25">
      <c r="A1340" s="4">
        <v>2021</v>
      </c>
      <c r="B1340" s="318">
        <v>44320</v>
      </c>
      <c r="C1340" s="4" t="s">
        <v>1524</v>
      </c>
      <c r="D1340" s="4" t="s">
        <v>1525</v>
      </c>
      <c r="F1340" s="4" t="s">
        <v>1526</v>
      </c>
      <c r="G1340" s="5" t="s">
        <v>1514</v>
      </c>
      <c r="H1340" s="5" t="s">
        <v>1527</v>
      </c>
      <c r="I1340" s="5" t="s">
        <v>18</v>
      </c>
      <c r="J1340" s="5" t="s">
        <v>9</v>
      </c>
      <c r="K1340" s="5">
        <v>15.5</v>
      </c>
      <c r="L1340" s="5" t="s">
        <v>1528</v>
      </c>
      <c r="M1340" s="5">
        <v>1100</v>
      </c>
      <c r="N1340" s="5" t="s">
        <v>170</v>
      </c>
      <c r="O1340" s="6" t="s">
        <v>81</v>
      </c>
      <c r="P1340" s="6" t="s">
        <v>1530</v>
      </c>
      <c r="S1340" s="6">
        <v>15</v>
      </c>
      <c r="T1340" s="6">
        <v>4.33</v>
      </c>
      <c r="U1340" s="6">
        <v>1101</v>
      </c>
      <c r="V1340" s="6">
        <v>4.92</v>
      </c>
      <c r="W1340" s="6">
        <v>569</v>
      </c>
      <c r="X1340" s="6">
        <v>532</v>
      </c>
      <c r="Y1340" s="6">
        <v>0</v>
      </c>
      <c r="Z1340" s="6">
        <v>0</v>
      </c>
      <c r="AA1340" s="6">
        <v>0</v>
      </c>
      <c r="AB1340" s="6">
        <v>0</v>
      </c>
      <c r="AC1340" s="7">
        <v>48</v>
      </c>
      <c r="AD1340" s="7" t="s">
        <v>52</v>
      </c>
      <c r="AE1340" s="7">
        <v>15.07</v>
      </c>
      <c r="AF1340" s="7">
        <v>698</v>
      </c>
      <c r="AG1340" s="7">
        <v>23.51</v>
      </c>
      <c r="AH1340" s="7">
        <v>20.71</v>
      </c>
      <c r="AI1340" s="7">
        <v>23.55</v>
      </c>
      <c r="AJ1340" s="9">
        <v>147.6252216291</v>
      </c>
      <c r="AK1340" s="9">
        <v>151.01373585673699</v>
      </c>
      <c r="AL1340" s="9">
        <v>213.56032911842101</v>
      </c>
      <c r="AM1340" s="9">
        <v>29.771612794106701</v>
      </c>
      <c r="AN1340" s="9">
        <v>0.62024193321055698</v>
      </c>
      <c r="AO1340" s="9">
        <v>0.67813522881084898</v>
      </c>
      <c r="AP1340" s="9">
        <v>259.859965001354</v>
      </c>
      <c r="AQ1340" s="9">
        <v>5.4137492708615396</v>
      </c>
      <c r="AR1340" s="9">
        <v>8.5428990496881703</v>
      </c>
      <c r="AS1340" s="8" t="s">
        <v>169</v>
      </c>
      <c r="AT1340" s="8" t="s">
        <v>169</v>
      </c>
      <c r="AU1340" s="10" t="s">
        <v>169</v>
      </c>
      <c r="AV1340" s="10">
        <v>0</v>
      </c>
      <c r="AW1340" s="10"/>
      <c r="AX1340" s="10" t="s">
        <v>169</v>
      </c>
      <c r="BF1340" s="12">
        <v>0.45</v>
      </c>
      <c r="BG1340" s="13">
        <v>167.377907946563</v>
      </c>
      <c r="BH1340" s="96" t="str">
        <f>+VLOOKUP(G1340,Liste!$A$7:$G$50,3,FALSE)</f>
        <v>Pin d'Alep</v>
      </c>
      <c r="BI1340" s="96" t="str">
        <f>+VLOOKUP(H1340,Liste!$B$7:$G$50,5,FALSE)</f>
        <v>Pin d'Alep</v>
      </c>
      <c r="BJ1340" s="135">
        <f t="shared" si="398"/>
        <v>48</v>
      </c>
      <c r="BK1340" s="135" t="str">
        <f t="shared" si="400"/>
        <v>Pin d'Alep_F1_Classique_Pin d'Alep_48_</v>
      </c>
      <c r="BL1340" s="322"/>
      <c r="BM1340" s="13">
        <v>45.337760912460801</v>
      </c>
      <c r="BN1340" s="13">
        <v>212.71566885902399</v>
      </c>
      <c r="BO1340" s="13" t="s">
        <v>169</v>
      </c>
      <c r="BP1340" s="13">
        <v>139.96016108448799</v>
      </c>
      <c r="BQ1340" s="13">
        <v>8.2588581136459993</v>
      </c>
      <c r="BT1340" s="298" t="str">
        <f>+VLOOKUP(G1340,Liste!$A$7:$H$50,8,FALSE)</f>
        <v>Résineux</v>
      </c>
      <c r="BU1340" s="298">
        <f t="shared" si="401"/>
        <v>0</v>
      </c>
      <c r="BV1340" s="300">
        <f t="shared" si="402"/>
        <v>1</v>
      </c>
      <c r="BW1340" s="321">
        <v>0</v>
      </c>
      <c r="BX1340" s="298">
        <f t="shared" si="403"/>
        <v>0.43</v>
      </c>
      <c r="BY1340">
        <f t="shared" si="404"/>
        <v>0</v>
      </c>
      <c r="BZ1340" s="304">
        <f t="shared" si="405"/>
        <v>0</v>
      </c>
      <c r="CB1340" s="299">
        <v>0.6</v>
      </c>
      <c r="CC1340" s="299">
        <v>0.4</v>
      </c>
      <c r="CD1340">
        <f t="shared" si="406"/>
        <v>0</v>
      </c>
      <c r="CE1340">
        <f t="shared" si="407"/>
        <v>0</v>
      </c>
      <c r="CF1340">
        <f t="shared" si="408"/>
        <v>0</v>
      </c>
      <c r="CG1340">
        <f t="shared" si="409"/>
        <v>0</v>
      </c>
      <c r="CH1340">
        <f t="shared" si="410"/>
        <v>0</v>
      </c>
      <c r="CI1340">
        <f t="shared" si="411"/>
        <v>0</v>
      </c>
      <c r="CJ1340">
        <f t="shared" si="412"/>
        <v>0</v>
      </c>
      <c r="CK1340">
        <f t="shared" si="413"/>
        <v>0</v>
      </c>
      <c r="CL1340">
        <f t="shared" si="414"/>
        <v>0</v>
      </c>
      <c r="CM1340">
        <f t="shared" si="416"/>
        <v>0</v>
      </c>
      <c r="CN1340">
        <f t="shared" si="415"/>
        <v>0</v>
      </c>
      <c r="CO1340">
        <f t="shared" si="399"/>
        <v>0</v>
      </c>
    </row>
    <row r="1341" spans="1:93" x14ac:dyDescent="0.25">
      <c r="A1341" s="4">
        <v>2021</v>
      </c>
      <c r="B1341" s="318">
        <v>44320</v>
      </c>
      <c r="C1341" s="4" t="s">
        <v>1524</v>
      </c>
      <c r="D1341" s="4" t="s">
        <v>1525</v>
      </c>
      <c r="F1341" s="4" t="s">
        <v>1526</v>
      </c>
      <c r="G1341" s="5" t="s">
        <v>1514</v>
      </c>
      <c r="H1341" s="5" t="s">
        <v>1527</v>
      </c>
      <c r="I1341" s="5" t="s">
        <v>18</v>
      </c>
      <c r="J1341" s="5" t="s">
        <v>9</v>
      </c>
      <c r="K1341" s="5">
        <v>15.5</v>
      </c>
      <c r="L1341" s="5" t="s">
        <v>1528</v>
      </c>
      <c r="M1341" s="5">
        <v>1100</v>
      </c>
      <c r="N1341" s="5" t="s">
        <v>170</v>
      </c>
      <c r="O1341" s="6" t="s">
        <v>81</v>
      </c>
      <c r="P1341" s="6" t="s">
        <v>1530</v>
      </c>
      <c r="S1341" s="6">
        <v>15</v>
      </c>
      <c r="T1341" s="6">
        <v>4.33</v>
      </c>
      <c r="U1341" s="6">
        <v>1101</v>
      </c>
      <c r="V1341" s="6">
        <v>4.92</v>
      </c>
      <c r="W1341" s="6">
        <v>569</v>
      </c>
      <c r="X1341" s="6">
        <v>532</v>
      </c>
      <c r="Y1341" s="6">
        <v>0</v>
      </c>
      <c r="Z1341" s="6">
        <v>0</v>
      </c>
      <c r="AA1341" s="6">
        <v>0</v>
      </c>
      <c r="AB1341" s="6">
        <v>0</v>
      </c>
      <c r="AC1341" s="7">
        <v>49</v>
      </c>
      <c r="AD1341" s="7" t="s">
        <v>52</v>
      </c>
      <c r="AE1341" s="7">
        <v>15.31</v>
      </c>
      <c r="AF1341" s="7">
        <v>698</v>
      </c>
      <c r="AG1341" s="7">
        <v>24.19</v>
      </c>
      <c r="AH1341" s="7">
        <v>21</v>
      </c>
      <c r="AI1341" s="7">
        <v>23.92</v>
      </c>
      <c r="AJ1341" s="9">
        <v>154.03223314449701</v>
      </c>
      <c r="AK1341" s="9">
        <v>157.58603893638499</v>
      </c>
      <c r="AL1341" s="9">
        <v>222.10322816811001</v>
      </c>
      <c r="AM1341" s="9">
        <v>30.4497480229176</v>
      </c>
      <c r="AN1341" s="9">
        <v>0.62142342903913395</v>
      </c>
      <c r="AO1341" s="9">
        <v>0.67267913845556404</v>
      </c>
      <c r="AP1341" s="9">
        <v>268.402864051042</v>
      </c>
      <c r="AQ1341" s="9">
        <v>5.4776094704294298</v>
      </c>
      <c r="AR1341" s="9">
        <v>8.5849975630156301</v>
      </c>
      <c r="AS1341" s="8" t="s">
        <v>169</v>
      </c>
      <c r="AT1341" s="8" t="s">
        <v>169</v>
      </c>
      <c r="AU1341" s="10" t="s">
        <v>169</v>
      </c>
      <c r="AV1341" s="10">
        <v>0</v>
      </c>
      <c r="AW1341" s="10"/>
      <c r="AX1341" s="10" t="s">
        <v>169</v>
      </c>
      <c r="BF1341" s="12">
        <v>0.45</v>
      </c>
      <c r="BG1341" s="13">
        <v>174.07340507675599</v>
      </c>
      <c r="BH1341" s="96" t="str">
        <f>+VLOOKUP(G1341,Liste!$A$7:$G$50,3,FALSE)</f>
        <v>Pin d'Alep</v>
      </c>
      <c r="BI1341" s="96" t="str">
        <f>+VLOOKUP(H1341,Liste!$B$7:$G$50,5,FALSE)</f>
        <v>Pin d'Alep</v>
      </c>
      <c r="BJ1341" s="135">
        <f t="shared" si="398"/>
        <v>49</v>
      </c>
      <c r="BK1341" s="135" t="str">
        <f t="shared" si="400"/>
        <v>Pin d'Alep_F1_Classique_Pin d'Alep_49_</v>
      </c>
      <c r="BL1341" s="322"/>
      <c r="BM1341" s="13">
        <v>46.9365934164001</v>
      </c>
      <c r="BN1341" s="13">
        <v>221.00999849315599</v>
      </c>
      <c r="BO1341" s="13" t="s">
        <v>169</v>
      </c>
      <c r="BP1341" s="13">
        <v>139.96016108448799</v>
      </c>
      <c r="BQ1341" s="13">
        <v>8.2937320852403804</v>
      </c>
      <c r="BT1341" s="298" t="str">
        <f>+VLOOKUP(G1341,Liste!$A$7:$H$50,8,FALSE)</f>
        <v>Résineux</v>
      </c>
      <c r="BU1341" s="298">
        <f t="shared" si="401"/>
        <v>0</v>
      </c>
      <c r="BV1341" s="300">
        <f t="shared" si="402"/>
        <v>1</v>
      </c>
      <c r="BW1341" s="321">
        <v>0</v>
      </c>
      <c r="BX1341" s="298">
        <f t="shared" si="403"/>
        <v>0.43</v>
      </c>
      <c r="BY1341">
        <f t="shared" si="404"/>
        <v>0</v>
      </c>
      <c r="BZ1341" s="304">
        <f t="shared" si="405"/>
        <v>0</v>
      </c>
      <c r="CB1341" s="299">
        <v>0.6</v>
      </c>
      <c r="CC1341" s="299">
        <v>0.4</v>
      </c>
      <c r="CD1341">
        <f t="shared" si="406"/>
        <v>0</v>
      </c>
      <c r="CE1341">
        <f t="shared" si="407"/>
        <v>0</v>
      </c>
      <c r="CF1341">
        <f t="shared" si="408"/>
        <v>0</v>
      </c>
      <c r="CG1341">
        <f t="shared" si="409"/>
        <v>0</v>
      </c>
      <c r="CH1341">
        <f t="shared" si="410"/>
        <v>0</v>
      </c>
      <c r="CI1341">
        <f t="shared" si="411"/>
        <v>0</v>
      </c>
      <c r="CJ1341">
        <f t="shared" si="412"/>
        <v>0</v>
      </c>
      <c r="CK1341">
        <f t="shared" si="413"/>
        <v>0</v>
      </c>
      <c r="CL1341">
        <f t="shared" si="414"/>
        <v>0</v>
      </c>
      <c r="CM1341">
        <f t="shared" si="416"/>
        <v>0</v>
      </c>
      <c r="CN1341">
        <f t="shared" si="415"/>
        <v>0</v>
      </c>
      <c r="CO1341">
        <f t="shared" si="399"/>
        <v>0</v>
      </c>
    </row>
    <row r="1342" spans="1:93" x14ac:dyDescent="0.25">
      <c r="A1342" s="4">
        <v>2021</v>
      </c>
      <c r="B1342" s="318">
        <v>44320</v>
      </c>
      <c r="C1342" s="4" t="s">
        <v>1524</v>
      </c>
      <c r="D1342" s="4" t="s">
        <v>1525</v>
      </c>
      <c r="F1342" s="4" t="s">
        <v>1526</v>
      </c>
      <c r="G1342" s="5" t="s">
        <v>1514</v>
      </c>
      <c r="H1342" s="5" t="s">
        <v>1527</v>
      </c>
      <c r="I1342" s="5" t="s">
        <v>18</v>
      </c>
      <c r="J1342" s="5" t="s">
        <v>9</v>
      </c>
      <c r="K1342" s="5">
        <v>15.5</v>
      </c>
      <c r="L1342" s="5" t="s">
        <v>1528</v>
      </c>
      <c r="M1342" s="5">
        <v>1100</v>
      </c>
      <c r="N1342" s="5" t="s">
        <v>170</v>
      </c>
      <c r="O1342" s="6" t="s">
        <v>81</v>
      </c>
      <c r="P1342" s="6" t="s">
        <v>1530</v>
      </c>
      <c r="S1342" s="6">
        <v>15</v>
      </c>
      <c r="T1342" s="6">
        <v>4.33</v>
      </c>
      <c r="U1342" s="6">
        <v>1101</v>
      </c>
      <c r="V1342" s="6">
        <v>4.92</v>
      </c>
      <c r="W1342" s="6">
        <v>569</v>
      </c>
      <c r="X1342" s="6">
        <v>532</v>
      </c>
      <c r="Y1342" s="6">
        <v>0</v>
      </c>
      <c r="Z1342" s="6">
        <v>0</v>
      </c>
      <c r="AA1342" s="6">
        <v>0</v>
      </c>
      <c r="AB1342" s="6">
        <v>0</v>
      </c>
      <c r="AC1342" s="7">
        <v>50</v>
      </c>
      <c r="AD1342" s="7" t="s">
        <v>52</v>
      </c>
      <c r="AE1342" s="7">
        <v>15.53</v>
      </c>
      <c r="AF1342" s="7">
        <v>697</v>
      </c>
      <c r="AG1342" s="7">
        <v>24.82</v>
      </c>
      <c r="AH1342" s="7">
        <v>21.29</v>
      </c>
      <c r="AI1342" s="7">
        <v>24.28</v>
      </c>
      <c r="AJ1342" s="9">
        <v>160.19972371080499</v>
      </c>
      <c r="AK1342" s="9">
        <v>163.912840111599</v>
      </c>
      <c r="AL1342" s="9">
        <v>230.28143454703601</v>
      </c>
      <c r="AM1342" s="9">
        <v>31.1224271613731</v>
      </c>
      <c r="AN1342" s="9">
        <v>0.62244854322746301</v>
      </c>
      <c r="AO1342" s="9">
        <v>0.66887703380053398</v>
      </c>
      <c r="AP1342" s="9">
        <v>276.98786161405798</v>
      </c>
      <c r="AQ1342" s="9">
        <v>5.5397572322811603</v>
      </c>
      <c r="AR1342" s="9">
        <v>8.6226001770302805</v>
      </c>
      <c r="AS1342" s="8" t="s">
        <v>169</v>
      </c>
      <c r="AT1342" s="8" t="s">
        <v>169</v>
      </c>
      <c r="AU1342" s="10" t="s">
        <v>169</v>
      </c>
      <c r="AV1342" s="10">
        <v>0</v>
      </c>
      <c r="AW1342" s="10"/>
      <c r="AX1342" s="10" t="s">
        <v>169</v>
      </c>
      <c r="BF1342" s="12">
        <v>0.45</v>
      </c>
      <c r="BG1342" s="13">
        <v>180.48307432624</v>
      </c>
      <c r="BH1342" s="96" t="str">
        <f>+VLOOKUP(G1342,Liste!$A$7:$G$50,3,FALSE)</f>
        <v>Pin d'Alep</v>
      </c>
      <c r="BI1342" s="96" t="str">
        <f>+VLOOKUP(H1342,Liste!$B$7:$G$50,5,FALSE)</f>
        <v>Pin d'Alep</v>
      </c>
      <c r="BJ1342" s="135">
        <f t="shared" si="398"/>
        <v>50</v>
      </c>
      <c r="BK1342" s="135" t="str">
        <f t="shared" si="400"/>
        <v>Pin d'Alep_F1_Classique_Pin d'Alep_50_</v>
      </c>
      <c r="BL1342" s="322"/>
      <c r="BM1342" s="13">
        <v>48.460475295085203</v>
      </c>
      <c r="BN1342" s="13">
        <v>228.94354962132499</v>
      </c>
      <c r="BO1342" s="13" t="s">
        <v>169</v>
      </c>
      <c r="BP1342" s="13">
        <v>139.96016108448799</v>
      </c>
      <c r="BQ1342" s="13">
        <v>8.3243844104063704</v>
      </c>
      <c r="BT1342" s="298" t="str">
        <f>+VLOOKUP(G1342,Liste!$A$7:$H$50,8,FALSE)</f>
        <v>Résineux</v>
      </c>
      <c r="BU1342" s="298">
        <f t="shared" si="401"/>
        <v>0</v>
      </c>
      <c r="BV1342" s="300">
        <f t="shared" si="402"/>
        <v>1</v>
      </c>
      <c r="BW1342" s="321">
        <v>0</v>
      </c>
      <c r="BX1342" s="298">
        <f t="shared" si="403"/>
        <v>0.43</v>
      </c>
      <c r="BY1342">
        <f t="shared" si="404"/>
        <v>0</v>
      </c>
      <c r="BZ1342" s="304">
        <f t="shared" si="405"/>
        <v>0</v>
      </c>
      <c r="CB1342" s="299">
        <v>0.6</v>
      </c>
      <c r="CC1342" s="299">
        <v>0.4</v>
      </c>
      <c r="CD1342">
        <f t="shared" si="406"/>
        <v>0</v>
      </c>
      <c r="CE1342">
        <f t="shared" si="407"/>
        <v>0</v>
      </c>
      <c r="CF1342">
        <f t="shared" si="408"/>
        <v>0</v>
      </c>
      <c r="CG1342">
        <f t="shared" si="409"/>
        <v>0</v>
      </c>
      <c r="CH1342">
        <f t="shared" si="410"/>
        <v>0</v>
      </c>
      <c r="CI1342">
        <f t="shared" si="411"/>
        <v>0</v>
      </c>
      <c r="CJ1342">
        <f t="shared" si="412"/>
        <v>0</v>
      </c>
      <c r="CK1342">
        <f t="shared" si="413"/>
        <v>0</v>
      </c>
      <c r="CL1342">
        <f t="shared" si="414"/>
        <v>0</v>
      </c>
      <c r="CM1342">
        <f t="shared" si="416"/>
        <v>0</v>
      </c>
      <c r="CN1342">
        <f t="shared" si="415"/>
        <v>0</v>
      </c>
      <c r="CO1342">
        <f t="shared" si="399"/>
        <v>0</v>
      </c>
    </row>
    <row r="1343" spans="1:93" x14ac:dyDescent="0.25">
      <c r="A1343" s="4">
        <v>2021</v>
      </c>
      <c r="B1343" s="318">
        <v>44320</v>
      </c>
      <c r="C1343" s="4" t="s">
        <v>1524</v>
      </c>
      <c r="D1343" s="4" t="s">
        <v>1525</v>
      </c>
      <c r="F1343" s="4" t="s">
        <v>1526</v>
      </c>
      <c r="G1343" s="5" t="s">
        <v>1514</v>
      </c>
      <c r="H1343" s="5" t="s">
        <v>1527</v>
      </c>
      <c r="I1343" s="5" t="s">
        <v>18</v>
      </c>
      <c r="J1343" s="5" t="s">
        <v>9</v>
      </c>
      <c r="K1343" s="5">
        <v>15.5</v>
      </c>
      <c r="L1343" s="5" t="s">
        <v>1528</v>
      </c>
      <c r="M1343" s="5">
        <v>1100</v>
      </c>
      <c r="N1343" s="5" t="s">
        <v>170</v>
      </c>
      <c r="O1343" s="6" t="s">
        <v>81</v>
      </c>
      <c r="P1343" s="6" t="s">
        <v>1530</v>
      </c>
      <c r="S1343" s="6">
        <v>15</v>
      </c>
      <c r="T1343" s="6">
        <v>4.33</v>
      </c>
      <c r="U1343" s="6">
        <v>1101</v>
      </c>
      <c r="V1343" s="6">
        <v>4.92</v>
      </c>
      <c r="W1343" s="6">
        <v>569</v>
      </c>
      <c r="X1343" s="6">
        <v>532</v>
      </c>
      <c r="Y1343" s="6">
        <v>0</v>
      </c>
      <c r="Z1343" s="6">
        <v>0</v>
      </c>
      <c r="AA1343" s="6">
        <v>0</v>
      </c>
      <c r="AB1343" s="6">
        <v>0</v>
      </c>
      <c r="AC1343" s="7">
        <v>51</v>
      </c>
      <c r="AD1343" s="7" t="s">
        <v>52</v>
      </c>
      <c r="AE1343" s="7">
        <v>15.76</v>
      </c>
      <c r="AF1343" s="7">
        <v>697</v>
      </c>
      <c r="AG1343" s="7">
        <v>25.48</v>
      </c>
      <c r="AH1343" s="7">
        <v>21.58</v>
      </c>
      <c r="AI1343" s="7">
        <v>24.64</v>
      </c>
      <c r="AJ1343" s="9">
        <v>166.68542871586101</v>
      </c>
      <c r="AK1343" s="9">
        <v>170.56741122257</v>
      </c>
      <c r="AL1343" s="9">
        <v>238.90403472406601</v>
      </c>
      <c r="AM1343" s="9">
        <v>31.791304195173701</v>
      </c>
      <c r="AN1343" s="9">
        <v>0.62335890578771902</v>
      </c>
      <c r="AO1343" s="9">
        <v>0.66309801128239698</v>
      </c>
      <c r="AP1343" s="9">
        <v>285.61046179108803</v>
      </c>
      <c r="AQ1343" s="9">
        <v>5.6002051331585898</v>
      </c>
      <c r="AR1343" s="9">
        <v>8.6550491022026108</v>
      </c>
      <c r="AS1343" s="8" t="s">
        <v>169</v>
      </c>
      <c r="AT1343" s="8" t="s">
        <v>169</v>
      </c>
      <c r="AU1343" s="10" t="s">
        <v>169</v>
      </c>
      <c r="AV1343" s="10">
        <v>0</v>
      </c>
      <c r="AW1343" s="10"/>
      <c r="AX1343" s="10" t="s">
        <v>169</v>
      </c>
      <c r="BF1343" s="12">
        <v>0.45</v>
      </c>
      <c r="BG1343" s="13">
        <v>187.24103721498699</v>
      </c>
      <c r="BH1343" s="96" t="str">
        <f>+VLOOKUP(G1343,Liste!$A$7:$G$50,3,FALSE)</f>
        <v>Pin d'Alep</v>
      </c>
      <c r="BI1343" s="96" t="str">
        <f>+VLOOKUP(H1343,Liste!$B$7:$G$50,5,FALSE)</f>
        <v>Pin d'Alep</v>
      </c>
      <c r="BJ1343" s="135">
        <f t="shared" si="398"/>
        <v>51</v>
      </c>
      <c r="BK1343" s="135" t="str">
        <f t="shared" si="400"/>
        <v>Pin d'Alep_F1_Classique_Pin d'Alep_51_</v>
      </c>
      <c r="BL1343" s="322"/>
      <c r="BM1343" s="13">
        <v>50.060358210037101</v>
      </c>
      <c r="BN1343" s="13">
        <v>237.301395425024</v>
      </c>
      <c r="BO1343" s="13" t="s">
        <v>169</v>
      </c>
      <c r="BP1343" s="13">
        <v>139.96016108448799</v>
      </c>
      <c r="BQ1343" s="13">
        <v>8.35018442424564</v>
      </c>
      <c r="BT1343" s="298" t="str">
        <f>+VLOOKUP(G1343,Liste!$A$7:$H$50,8,FALSE)</f>
        <v>Résineux</v>
      </c>
      <c r="BU1343" s="298">
        <f t="shared" si="401"/>
        <v>0</v>
      </c>
      <c r="BV1343" s="300">
        <f t="shared" si="402"/>
        <v>1</v>
      </c>
      <c r="BW1343" s="321">
        <v>0</v>
      </c>
      <c r="BX1343" s="298">
        <f t="shared" si="403"/>
        <v>0.43</v>
      </c>
      <c r="BY1343">
        <f t="shared" si="404"/>
        <v>0</v>
      </c>
      <c r="BZ1343" s="304">
        <f t="shared" si="405"/>
        <v>0</v>
      </c>
      <c r="CB1343" s="299">
        <v>0.6</v>
      </c>
      <c r="CC1343" s="299">
        <v>0.4</v>
      </c>
      <c r="CD1343">
        <f t="shared" si="406"/>
        <v>0</v>
      </c>
      <c r="CE1343">
        <f t="shared" si="407"/>
        <v>0</v>
      </c>
      <c r="CF1343">
        <f t="shared" si="408"/>
        <v>0</v>
      </c>
      <c r="CG1343">
        <f t="shared" si="409"/>
        <v>0</v>
      </c>
      <c r="CH1343">
        <f t="shared" si="410"/>
        <v>0</v>
      </c>
      <c r="CI1343">
        <f t="shared" si="411"/>
        <v>0</v>
      </c>
      <c r="CJ1343">
        <f t="shared" si="412"/>
        <v>0</v>
      </c>
      <c r="CK1343">
        <f t="shared" si="413"/>
        <v>0</v>
      </c>
      <c r="CL1343">
        <f t="shared" si="414"/>
        <v>0</v>
      </c>
      <c r="CM1343">
        <f t="shared" si="416"/>
        <v>0</v>
      </c>
      <c r="CN1343">
        <f t="shared" si="415"/>
        <v>0</v>
      </c>
      <c r="CO1343">
        <f t="shared" si="399"/>
        <v>0</v>
      </c>
    </row>
    <row r="1344" spans="1:93" x14ac:dyDescent="0.25">
      <c r="A1344" s="4">
        <v>2021</v>
      </c>
      <c r="B1344" s="318">
        <v>44320</v>
      </c>
      <c r="C1344" s="4" t="s">
        <v>1524</v>
      </c>
      <c r="D1344" s="4" t="s">
        <v>1525</v>
      </c>
      <c r="F1344" s="4" t="s">
        <v>1526</v>
      </c>
      <c r="G1344" s="5" t="s">
        <v>1514</v>
      </c>
      <c r="H1344" s="5" t="s">
        <v>1527</v>
      </c>
      <c r="I1344" s="5" t="s">
        <v>18</v>
      </c>
      <c r="J1344" s="5" t="s">
        <v>9</v>
      </c>
      <c r="K1344" s="5">
        <v>15.5</v>
      </c>
      <c r="L1344" s="5" t="s">
        <v>1528</v>
      </c>
      <c r="M1344" s="5">
        <v>1100</v>
      </c>
      <c r="N1344" s="5" t="s">
        <v>170</v>
      </c>
      <c r="O1344" s="6" t="s">
        <v>81</v>
      </c>
      <c r="P1344" s="6" t="s">
        <v>1530</v>
      </c>
      <c r="S1344" s="6">
        <v>15</v>
      </c>
      <c r="T1344" s="6">
        <v>4.33</v>
      </c>
      <c r="U1344" s="6">
        <v>1101</v>
      </c>
      <c r="V1344" s="6">
        <v>4.92</v>
      </c>
      <c r="W1344" s="6">
        <v>569</v>
      </c>
      <c r="X1344" s="6">
        <v>532</v>
      </c>
      <c r="Y1344" s="6">
        <v>0</v>
      </c>
      <c r="Z1344" s="6">
        <v>0</v>
      </c>
      <c r="AA1344" s="6">
        <v>0</v>
      </c>
      <c r="AB1344" s="6">
        <v>0</v>
      </c>
      <c r="AC1344" s="7">
        <v>52</v>
      </c>
      <c r="AD1344" s="7" t="s">
        <v>52</v>
      </c>
      <c r="AE1344" s="7">
        <v>15.98</v>
      </c>
      <c r="AF1344" s="7">
        <v>697</v>
      </c>
      <c r="AG1344" s="7">
        <v>26.15</v>
      </c>
      <c r="AH1344" s="7">
        <v>21.86</v>
      </c>
      <c r="AI1344" s="7">
        <v>24.99</v>
      </c>
      <c r="AJ1344" s="9">
        <v>173.20744801845899</v>
      </c>
      <c r="AK1344" s="9">
        <v>177.25951226703299</v>
      </c>
      <c r="AL1344" s="9">
        <v>247.55908382626899</v>
      </c>
      <c r="AM1344" s="9">
        <v>32.454402206456102</v>
      </c>
      <c r="AN1344" s="9">
        <v>0.62412311935492404</v>
      </c>
      <c r="AO1344" s="9">
        <v>0.49344634526779901</v>
      </c>
      <c r="AP1344" s="9">
        <v>294.26551089329098</v>
      </c>
      <c r="AQ1344" s="9">
        <v>5.6589521325632797</v>
      </c>
      <c r="AR1344" s="9">
        <v>6.3188404832341103</v>
      </c>
      <c r="AS1344" s="8" t="s">
        <v>169</v>
      </c>
      <c r="AT1344" s="8" t="s">
        <v>169</v>
      </c>
      <c r="AU1344" s="10" t="s">
        <v>169</v>
      </c>
      <c r="AV1344" s="10">
        <v>0</v>
      </c>
      <c r="AW1344" s="10"/>
      <c r="AX1344" s="10" t="s">
        <v>169</v>
      </c>
      <c r="BF1344" s="12">
        <v>0.45</v>
      </c>
      <c r="BG1344" s="13">
        <v>194.02443194883799</v>
      </c>
      <c r="BH1344" s="96" t="str">
        <f>+VLOOKUP(G1344,Liste!$A$7:$G$50,3,FALSE)</f>
        <v>Pin d'Alep</v>
      </c>
      <c r="BI1344" s="96" t="str">
        <f>+VLOOKUP(H1344,Liste!$B$7:$G$50,5,FALSE)</f>
        <v>Pin d'Alep</v>
      </c>
      <c r="BJ1344" s="135">
        <f t="shared" si="398"/>
        <v>52</v>
      </c>
      <c r="BK1344" s="135" t="str">
        <f t="shared" si="400"/>
        <v>Pin d'Alep_F1_Classique_Pin d'Alep_52_</v>
      </c>
      <c r="BL1344" s="322"/>
      <c r="BM1344" s="13">
        <v>51.659515506602602</v>
      </c>
      <c r="BN1344" s="13">
        <v>245.683947455441</v>
      </c>
      <c r="BO1344" s="13" t="s">
        <v>169</v>
      </c>
      <c r="BP1344" s="13">
        <v>139.96016108448799</v>
      </c>
      <c r="BQ1344" s="13">
        <v>6.0928739679542296</v>
      </c>
      <c r="BT1344" s="298" t="str">
        <f>+VLOOKUP(G1344,Liste!$A$7:$H$50,8,FALSE)</f>
        <v>Résineux</v>
      </c>
      <c r="BU1344" s="298">
        <f t="shared" si="401"/>
        <v>0</v>
      </c>
      <c r="BV1344" s="300">
        <f t="shared" si="402"/>
        <v>1</v>
      </c>
      <c r="BW1344" s="321">
        <v>0</v>
      </c>
      <c r="BX1344" s="298">
        <f t="shared" si="403"/>
        <v>0.43</v>
      </c>
      <c r="BY1344">
        <f t="shared" si="404"/>
        <v>0</v>
      </c>
      <c r="BZ1344" s="304">
        <f t="shared" si="405"/>
        <v>0</v>
      </c>
      <c r="CB1344" s="299">
        <v>0.6</v>
      </c>
      <c r="CC1344" s="299">
        <v>0.4</v>
      </c>
      <c r="CD1344">
        <f t="shared" si="406"/>
        <v>0</v>
      </c>
      <c r="CE1344">
        <f t="shared" si="407"/>
        <v>0</v>
      </c>
      <c r="CF1344">
        <f t="shared" si="408"/>
        <v>0</v>
      </c>
      <c r="CG1344">
        <f t="shared" si="409"/>
        <v>0</v>
      </c>
      <c r="CH1344">
        <f t="shared" si="410"/>
        <v>0</v>
      </c>
      <c r="CI1344">
        <f t="shared" si="411"/>
        <v>0</v>
      </c>
      <c r="CJ1344">
        <f t="shared" si="412"/>
        <v>0</v>
      </c>
      <c r="CK1344">
        <f t="shared" si="413"/>
        <v>0</v>
      </c>
      <c r="CL1344">
        <f t="shared" si="414"/>
        <v>0</v>
      </c>
      <c r="CM1344">
        <f t="shared" si="416"/>
        <v>0</v>
      </c>
      <c r="CN1344">
        <f t="shared" si="415"/>
        <v>0</v>
      </c>
      <c r="CO1344">
        <f t="shared" si="399"/>
        <v>0</v>
      </c>
    </row>
    <row r="1345" spans="1:93" x14ac:dyDescent="0.25">
      <c r="A1345" s="4">
        <v>2021</v>
      </c>
      <c r="B1345" s="318">
        <v>44320</v>
      </c>
      <c r="C1345" s="4" t="s">
        <v>1524</v>
      </c>
      <c r="D1345" s="4" t="s">
        <v>1525</v>
      </c>
      <c r="F1345" s="4" t="s">
        <v>1526</v>
      </c>
      <c r="G1345" s="5" t="s">
        <v>1514</v>
      </c>
      <c r="H1345" s="5" t="s">
        <v>1527</v>
      </c>
      <c r="I1345" s="5" t="s">
        <v>18</v>
      </c>
      <c r="J1345" s="5" t="s">
        <v>9</v>
      </c>
      <c r="K1345" s="5">
        <v>15.5</v>
      </c>
      <c r="L1345" s="5" t="s">
        <v>1528</v>
      </c>
      <c r="M1345" s="5">
        <v>1100</v>
      </c>
      <c r="N1345" s="5" t="s">
        <v>170</v>
      </c>
      <c r="O1345" s="6" t="s">
        <v>81</v>
      </c>
      <c r="P1345" s="6" t="s">
        <v>1530</v>
      </c>
      <c r="S1345" s="6">
        <v>15</v>
      </c>
      <c r="T1345" s="6">
        <v>4.33</v>
      </c>
      <c r="U1345" s="6">
        <v>1101</v>
      </c>
      <c r="V1345" s="6">
        <v>4.92</v>
      </c>
      <c r="W1345" s="6">
        <v>569</v>
      </c>
      <c r="X1345" s="6">
        <v>532</v>
      </c>
      <c r="Y1345" s="6">
        <v>0</v>
      </c>
      <c r="Z1345" s="6">
        <v>0</v>
      </c>
      <c r="AA1345" s="6">
        <v>0</v>
      </c>
      <c r="AB1345" s="6">
        <v>0</v>
      </c>
      <c r="AC1345" s="7">
        <v>52</v>
      </c>
      <c r="AD1345" s="7" t="s">
        <v>53</v>
      </c>
      <c r="AE1345" s="7">
        <v>15.98</v>
      </c>
      <c r="AF1345" s="7">
        <v>351</v>
      </c>
      <c r="AG1345" s="7">
        <v>15.29</v>
      </c>
      <c r="AH1345" s="7">
        <v>23.55</v>
      </c>
      <c r="AI1345" s="7">
        <v>24.99</v>
      </c>
      <c r="AJ1345" s="9">
        <v>103.29174678792501</v>
      </c>
      <c r="AK1345" s="9">
        <v>105.925926597642</v>
      </c>
      <c r="AL1345" s="9">
        <v>147.317271336359</v>
      </c>
      <c r="AM1345" s="9">
        <v>32.454402206456102</v>
      </c>
      <c r="AN1345" s="9">
        <v>0.62412311935492404</v>
      </c>
      <c r="AO1345" s="9">
        <v>0.49344634526779901</v>
      </c>
      <c r="AP1345" s="9">
        <v>294.26551089329098</v>
      </c>
      <c r="AQ1345" s="9">
        <v>5.6589521325632797</v>
      </c>
      <c r="AR1345" s="9">
        <v>6.3188404832341103</v>
      </c>
      <c r="AS1345" s="8">
        <v>346</v>
      </c>
      <c r="AT1345" s="8">
        <v>10.86</v>
      </c>
      <c r="AU1345" s="10">
        <v>19.990880475642918</v>
      </c>
      <c r="AV1345" s="10">
        <v>69.915701230533983</v>
      </c>
      <c r="AW1345" s="10">
        <v>0.84</v>
      </c>
      <c r="AX1345" s="10">
        <v>0.20206850066628318</v>
      </c>
      <c r="BF1345" s="12">
        <v>0.45</v>
      </c>
      <c r="BG1345" s="13">
        <v>115.45991140987201</v>
      </c>
      <c r="BH1345" s="96" t="str">
        <f>+VLOOKUP(G1345,Liste!$A$7:$G$50,3,FALSE)</f>
        <v>Pin d'Alep</v>
      </c>
      <c r="BI1345" s="96" t="str">
        <f>+VLOOKUP(H1345,Liste!$B$7:$G$50,5,FALSE)</f>
        <v>Pin d'Alep</v>
      </c>
      <c r="BJ1345" s="135">
        <f t="shared" si="398"/>
        <v>52</v>
      </c>
      <c r="BK1345" s="135" t="str">
        <f t="shared" si="400"/>
        <v>Pin d'Alep_F1_Classique_Pin d'Alep_52_</v>
      </c>
      <c r="BL1345" s="322"/>
      <c r="BM1345" s="13">
        <v>32.656122873270903</v>
      </c>
      <c r="BN1345" s="13">
        <v>148.11603428314299</v>
      </c>
      <c r="BO1345" s="13">
        <v>97.567913172298006</v>
      </c>
      <c r="BP1345" s="13">
        <v>139.96016108448799</v>
      </c>
      <c r="BQ1345" s="13">
        <v>6.0928739679542296</v>
      </c>
      <c r="BT1345" s="298" t="str">
        <f>+VLOOKUP(G1345,Liste!$A$7:$H$50,8,FALSE)</f>
        <v>Résineux</v>
      </c>
      <c r="BU1345" s="298">
        <f t="shared" si="401"/>
        <v>0</v>
      </c>
      <c r="BV1345" s="300">
        <f t="shared" si="402"/>
        <v>1</v>
      </c>
      <c r="BW1345" s="321">
        <v>0</v>
      </c>
      <c r="BX1345" s="298">
        <f t="shared" si="403"/>
        <v>0.43</v>
      </c>
      <c r="BY1345">
        <f t="shared" si="404"/>
        <v>0</v>
      </c>
      <c r="BZ1345" s="304">
        <f t="shared" si="405"/>
        <v>0</v>
      </c>
      <c r="CB1345" s="299">
        <v>0.6</v>
      </c>
      <c r="CC1345" s="299">
        <v>0.4</v>
      </c>
      <c r="CD1345">
        <f t="shared" si="406"/>
        <v>0</v>
      </c>
      <c r="CE1345">
        <f t="shared" si="407"/>
        <v>0</v>
      </c>
      <c r="CF1345">
        <f t="shared" si="408"/>
        <v>0</v>
      </c>
      <c r="CG1345">
        <f t="shared" si="409"/>
        <v>0</v>
      </c>
      <c r="CH1345">
        <f t="shared" si="410"/>
        <v>0</v>
      </c>
      <c r="CI1345">
        <f t="shared" si="411"/>
        <v>0</v>
      </c>
      <c r="CJ1345">
        <f t="shared" si="412"/>
        <v>0</v>
      </c>
      <c r="CK1345">
        <f t="shared" si="413"/>
        <v>0</v>
      </c>
      <c r="CL1345">
        <f t="shared" si="414"/>
        <v>0</v>
      </c>
      <c r="CM1345">
        <f t="shared" si="416"/>
        <v>0</v>
      </c>
      <c r="CN1345">
        <f t="shared" si="415"/>
        <v>0</v>
      </c>
      <c r="CO1345">
        <f t="shared" si="399"/>
        <v>0</v>
      </c>
    </row>
    <row r="1346" spans="1:93" x14ac:dyDescent="0.25">
      <c r="A1346" s="4">
        <v>2021</v>
      </c>
      <c r="B1346" s="318">
        <v>44320</v>
      </c>
      <c r="C1346" s="4" t="s">
        <v>1524</v>
      </c>
      <c r="D1346" s="4" t="s">
        <v>1525</v>
      </c>
      <c r="F1346" s="4" t="s">
        <v>1526</v>
      </c>
      <c r="G1346" s="5" t="s">
        <v>1514</v>
      </c>
      <c r="H1346" s="5" t="s">
        <v>1527</v>
      </c>
      <c r="I1346" s="5" t="s">
        <v>18</v>
      </c>
      <c r="J1346" s="5" t="s">
        <v>9</v>
      </c>
      <c r="K1346" s="5">
        <v>15.5</v>
      </c>
      <c r="L1346" s="5" t="s">
        <v>1528</v>
      </c>
      <c r="M1346" s="5">
        <v>1100</v>
      </c>
      <c r="N1346" s="5" t="s">
        <v>170</v>
      </c>
      <c r="O1346" s="6" t="s">
        <v>81</v>
      </c>
      <c r="P1346" s="6" t="s">
        <v>1530</v>
      </c>
      <c r="S1346" s="6">
        <v>15</v>
      </c>
      <c r="T1346" s="6">
        <v>4.33</v>
      </c>
      <c r="U1346" s="6">
        <v>1101</v>
      </c>
      <c r="V1346" s="6">
        <v>4.92</v>
      </c>
      <c r="W1346" s="6">
        <v>569</v>
      </c>
      <c r="X1346" s="6">
        <v>532</v>
      </c>
      <c r="Y1346" s="6">
        <v>0</v>
      </c>
      <c r="Z1346" s="6">
        <v>0</v>
      </c>
      <c r="AA1346" s="6">
        <v>0</v>
      </c>
      <c r="AB1346" s="6">
        <v>0</v>
      </c>
      <c r="AC1346" s="7">
        <v>53</v>
      </c>
      <c r="AD1346" s="7" t="s">
        <v>52</v>
      </c>
      <c r="AE1346" s="7">
        <v>16.2</v>
      </c>
      <c r="AF1346" s="7">
        <v>350</v>
      </c>
      <c r="AG1346" s="7">
        <v>15.74</v>
      </c>
      <c r="AH1346" s="7">
        <v>23.93</v>
      </c>
      <c r="AI1346" s="7">
        <v>25.41</v>
      </c>
      <c r="AJ1346" s="9">
        <v>107.74371100430901</v>
      </c>
      <c r="AK1346" s="9">
        <v>110.514817456275</v>
      </c>
      <c r="AL1346" s="9">
        <v>153.28739031794601</v>
      </c>
      <c r="AM1346" s="9">
        <v>32.947848551723901</v>
      </c>
      <c r="AN1346" s="9">
        <v>0.62165751984384698</v>
      </c>
      <c r="AO1346" s="9">
        <v>0.49479696307346899</v>
      </c>
      <c r="AP1346" s="9">
        <v>300.58435137652498</v>
      </c>
      <c r="AQ1346" s="9">
        <v>5.6714028561608503</v>
      </c>
      <c r="AR1346" s="9">
        <v>6.3453891101320297</v>
      </c>
      <c r="AS1346" s="8" t="s">
        <v>169</v>
      </c>
      <c r="AT1346" s="8" t="s">
        <v>169</v>
      </c>
      <c r="AU1346" s="10" t="s">
        <v>169</v>
      </c>
      <c r="AV1346" s="10">
        <v>0</v>
      </c>
      <c r="AX1346" s="10" t="s">
        <v>169</v>
      </c>
      <c r="BF1346" s="12">
        <v>0.45</v>
      </c>
      <c r="BG1346" s="13">
        <v>120.13899216169</v>
      </c>
      <c r="BH1346" s="96" t="str">
        <f>+VLOOKUP(G1346,Liste!$A$7:$G$50,3,FALSE)</f>
        <v>Pin d'Alep</v>
      </c>
      <c r="BI1346" s="96" t="str">
        <f>+VLOOKUP(H1346,Liste!$B$7:$G$50,5,FALSE)</f>
        <v>Pin d'Alep</v>
      </c>
      <c r="BJ1346" s="135">
        <f t="shared" si="398"/>
        <v>53</v>
      </c>
      <c r="BK1346" s="135" t="str">
        <f t="shared" si="400"/>
        <v>Pin d'Alep_F1_Classique_Pin d'Alep_53_</v>
      </c>
      <c r="BL1346" s="322"/>
      <c r="BM1346" s="13">
        <v>33.822769358662399</v>
      </c>
      <c r="BN1346" s="13">
        <v>153.96176152035301</v>
      </c>
      <c r="BO1346" s="13" t="s">
        <v>169</v>
      </c>
      <c r="BP1346" s="13">
        <v>139.96016108448799</v>
      </c>
      <c r="BQ1346" s="13">
        <v>6.1156681922137803</v>
      </c>
      <c r="BT1346" s="298" t="str">
        <f>+VLOOKUP(G1346,Liste!$A$7:$H$50,8,FALSE)</f>
        <v>Résineux</v>
      </c>
      <c r="BU1346" s="298">
        <f t="shared" si="401"/>
        <v>0</v>
      </c>
      <c r="BV1346" s="300">
        <f t="shared" si="402"/>
        <v>1</v>
      </c>
      <c r="BW1346" s="321">
        <v>0</v>
      </c>
      <c r="BX1346" s="298">
        <f t="shared" si="403"/>
        <v>0.43</v>
      </c>
      <c r="BY1346">
        <f t="shared" si="404"/>
        <v>0</v>
      </c>
      <c r="BZ1346" s="304">
        <f t="shared" si="405"/>
        <v>0</v>
      </c>
      <c r="CB1346" s="299">
        <v>0.6</v>
      </c>
      <c r="CC1346" s="299">
        <v>0.4</v>
      </c>
      <c r="CD1346">
        <f t="shared" si="406"/>
        <v>0</v>
      </c>
      <c r="CE1346">
        <f t="shared" si="407"/>
        <v>0</v>
      </c>
      <c r="CF1346">
        <f t="shared" si="408"/>
        <v>0</v>
      </c>
      <c r="CG1346">
        <f t="shared" si="409"/>
        <v>0</v>
      </c>
      <c r="CH1346">
        <f t="shared" si="410"/>
        <v>0</v>
      </c>
      <c r="CI1346">
        <f t="shared" si="411"/>
        <v>0</v>
      </c>
      <c r="CJ1346">
        <f t="shared" si="412"/>
        <v>0</v>
      </c>
      <c r="CK1346">
        <f t="shared" si="413"/>
        <v>0</v>
      </c>
      <c r="CL1346">
        <f t="shared" si="414"/>
        <v>0</v>
      </c>
      <c r="CM1346">
        <f t="shared" si="416"/>
        <v>0</v>
      </c>
      <c r="CN1346">
        <f t="shared" si="415"/>
        <v>0</v>
      </c>
      <c r="CO1346">
        <f t="shared" si="399"/>
        <v>0</v>
      </c>
    </row>
    <row r="1347" spans="1:93" x14ac:dyDescent="0.25">
      <c r="A1347" s="4">
        <v>2021</v>
      </c>
      <c r="B1347" s="318">
        <v>44320</v>
      </c>
      <c r="C1347" s="4" t="s">
        <v>1524</v>
      </c>
      <c r="D1347" s="4" t="s">
        <v>1525</v>
      </c>
      <c r="F1347" s="4" t="s">
        <v>1526</v>
      </c>
      <c r="G1347" s="5" t="s">
        <v>1514</v>
      </c>
      <c r="H1347" s="5" t="s">
        <v>1527</v>
      </c>
      <c r="I1347" s="5" t="s">
        <v>18</v>
      </c>
      <c r="J1347" s="5" t="s">
        <v>9</v>
      </c>
      <c r="K1347" s="5">
        <v>15.5</v>
      </c>
      <c r="L1347" s="5" t="s">
        <v>1528</v>
      </c>
      <c r="M1347" s="5">
        <v>1100</v>
      </c>
      <c r="N1347" s="5" t="s">
        <v>170</v>
      </c>
      <c r="O1347" s="6" t="s">
        <v>81</v>
      </c>
      <c r="P1347" s="6" t="s">
        <v>1530</v>
      </c>
      <c r="S1347" s="6">
        <v>15</v>
      </c>
      <c r="T1347" s="6">
        <v>4.33</v>
      </c>
      <c r="U1347" s="6">
        <v>1101</v>
      </c>
      <c r="V1347" s="6">
        <v>4.92</v>
      </c>
      <c r="W1347" s="6">
        <v>569</v>
      </c>
      <c r="X1347" s="6">
        <v>532</v>
      </c>
      <c r="Y1347" s="6">
        <v>0</v>
      </c>
      <c r="Z1347" s="6">
        <v>0</v>
      </c>
      <c r="AA1347" s="6">
        <v>0</v>
      </c>
      <c r="AB1347" s="6">
        <v>0</v>
      </c>
      <c r="AC1347" s="7">
        <v>54</v>
      </c>
      <c r="AD1347" s="7" t="s">
        <v>52</v>
      </c>
      <c r="AE1347" s="7">
        <v>16.41</v>
      </c>
      <c r="AF1347" s="7">
        <v>350</v>
      </c>
      <c r="AG1347" s="7">
        <v>16.239999999999998</v>
      </c>
      <c r="AH1347" s="7">
        <v>24.3</v>
      </c>
      <c r="AI1347" s="7">
        <v>25.82</v>
      </c>
      <c r="AJ1347" s="9">
        <v>112.45210968472099</v>
      </c>
      <c r="AK1347" s="9">
        <v>115.369303578059</v>
      </c>
      <c r="AL1347" s="9">
        <v>159.63277942807801</v>
      </c>
      <c r="AM1347" s="9">
        <v>33.442645514797299</v>
      </c>
      <c r="AN1347" s="9">
        <v>0.61930825027402503</v>
      </c>
      <c r="AO1347" s="9">
        <v>0.496364641369546</v>
      </c>
      <c r="AP1347" s="9">
        <v>306.92974048665701</v>
      </c>
      <c r="AQ1347" s="9">
        <v>5.68388408308624</v>
      </c>
      <c r="AR1347" s="9">
        <v>6.4244117572162596</v>
      </c>
      <c r="AS1347" s="8" t="s">
        <v>169</v>
      </c>
      <c r="AT1347" s="8" t="s">
        <v>169</v>
      </c>
      <c r="AU1347" s="10" t="s">
        <v>169</v>
      </c>
      <c r="AV1347" s="10">
        <v>0</v>
      </c>
      <c r="AX1347" s="10" t="s">
        <v>169</v>
      </c>
      <c r="BF1347" s="12">
        <v>0.45</v>
      </c>
      <c r="BG1347" s="13">
        <v>125.112190876756</v>
      </c>
      <c r="BH1347" s="96" t="str">
        <f>+VLOOKUP(G1347,Liste!$A$7:$G$50,3,FALSE)</f>
        <v>Pin d'Alep</v>
      </c>
      <c r="BI1347" s="96" t="str">
        <f>+VLOOKUP(H1347,Liste!$B$7:$G$50,5,FALSE)</f>
        <v>Pin d'Alep</v>
      </c>
      <c r="BJ1347" s="135">
        <f t="shared" ref="BJ1347:BJ1410" si="417">+AC1347</f>
        <v>54</v>
      </c>
      <c r="BK1347" s="135" t="str">
        <f t="shared" si="400"/>
        <v>Pin d'Alep_F1_Classique_Pin d'Alep_54_</v>
      </c>
      <c r="BL1347" s="322"/>
      <c r="BM1347" s="13">
        <v>35.056967653059601</v>
      </c>
      <c r="BN1347" s="13">
        <v>160.169158529816</v>
      </c>
      <c r="BO1347" s="13" t="s">
        <v>169</v>
      </c>
      <c r="BP1347" s="13">
        <v>139.96016108448799</v>
      </c>
      <c r="BQ1347" s="13">
        <v>6.18903258205955</v>
      </c>
      <c r="BT1347" s="298" t="str">
        <f>+VLOOKUP(G1347,Liste!$A$7:$H$50,8,FALSE)</f>
        <v>Résineux</v>
      </c>
      <c r="BU1347" s="298">
        <f t="shared" si="401"/>
        <v>0</v>
      </c>
      <c r="BV1347" s="300">
        <f t="shared" si="402"/>
        <v>1</v>
      </c>
      <c r="BW1347" s="321">
        <v>0</v>
      </c>
      <c r="BX1347" s="298">
        <f t="shared" si="403"/>
        <v>0.43</v>
      </c>
      <c r="BY1347">
        <f t="shared" si="404"/>
        <v>0</v>
      </c>
      <c r="BZ1347" s="304">
        <f t="shared" si="405"/>
        <v>0</v>
      </c>
      <c r="CB1347" s="299">
        <v>0.6</v>
      </c>
      <c r="CC1347" s="299">
        <v>0.4</v>
      </c>
      <c r="CD1347">
        <f t="shared" si="406"/>
        <v>0</v>
      </c>
      <c r="CE1347">
        <f t="shared" si="407"/>
        <v>0</v>
      </c>
      <c r="CF1347">
        <f t="shared" si="408"/>
        <v>0</v>
      </c>
      <c r="CG1347">
        <f t="shared" si="409"/>
        <v>0</v>
      </c>
      <c r="CH1347">
        <f t="shared" si="410"/>
        <v>0</v>
      </c>
      <c r="CI1347">
        <f t="shared" si="411"/>
        <v>0</v>
      </c>
      <c r="CJ1347">
        <f t="shared" si="412"/>
        <v>0</v>
      </c>
      <c r="CK1347">
        <f t="shared" si="413"/>
        <v>0</v>
      </c>
      <c r="CL1347">
        <f t="shared" si="414"/>
        <v>0</v>
      </c>
      <c r="CM1347">
        <f t="shared" si="416"/>
        <v>0</v>
      </c>
      <c r="CN1347">
        <f t="shared" si="415"/>
        <v>0</v>
      </c>
      <c r="CO1347">
        <f t="shared" ref="CO1347:CO1410" si="418">+IF(BJ1347=30,CN1347/30,0)</f>
        <v>0</v>
      </c>
    </row>
    <row r="1348" spans="1:93" x14ac:dyDescent="0.25">
      <c r="A1348" s="4">
        <v>2021</v>
      </c>
      <c r="B1348" s="318">
        <v>44320</v>
      </c>
      <c r="C1348" s="4" t="s">
        <v>1524</v>
      </c>
      <c r="D1348" s="4" t="s">
        <v>1525</v>
      </c>
      <c r="F1348" s="4" t="s">
        <v>1526</v>
      </c>
      <c r="G1348" s="5" t="s">
        <v>1514</v>
      </c>
      <c r="H1348" s="5" t="s">
        <v>1527</v>
      </c>
      <c r="I1348" s="5" t="s">
        <v>18</v>
      </c>
      <c r="J1348" s="5" t="s">
        <v>9</v>
      </c>
      <c r="K1348" s="5">
        <v>15.5</v>
      </c>
      <c r="L1348" s="5" t="s">
        <v>1528</v>
      </c>
      <c r="M1348" s="5">
        <v>1100</v>
      </c>
      <c r="N1348" s="5" t="s">
        <v>170</v>
      </c>
      <c r="O1348" s="6" t="s">
        <v>81</v>
      </c>
      <c r="P1348" s="6" t="s">
        <v>1530</v>
      </c>
      <c r="S1348" s="6">
        <v>15</v>
      </c>
      <c r="T1348" s="6">
        <v>4.33</v>
      </c>
      <c r="U1348" s="6">
        <v>1101</v>
      </c>
      <c r="V1348" s="6">
        <v>4.92</v>
      </c>
      <c r="W1348" s="6">
        <v>569</v>
      </c>
      <c r="X1348" s="6">
        <v>532</v>
      </c>
      <c r="Y1348" s="6">
        <v>0</v>
      </c>
      <c r="Z1348" s="6">
        <v>0</v>
      </c>
      <c r="AA1348" s="6">
        <v>0</v>
      </c>
      <c r="AB1348" s="6">
        <v>0</v>
      </c>
      <c r="AC1348" s="7">
        <v>55</v>
      </c>
      <c r="AD1348" s="7" t="s">
        <v>52</v>
      </c>
      <c r="AE1348" s="7">
        <v>16.62</v>
      </c>
      <c r="AF1348" s="7">
        <v>350</v>
      </c>
      <c r="AG1348" s="7">
        <v>16.73</v>
      </c>
      <c r="AH1348" s="7">
        <v>24.67</v>
      </c>
      <c r="AI1348" s="7">
        <v>26.23</v>
      </c>
      <c r="AJ1348" s="9">
        <v>117.22299747370499</v>
      </c>
      <c r="AK1348" s="9">
        <v>120.28935124895</v>
      </c>
      <c r="AL1348" s="9">
        <v>166.05719118529399</v>
      </c>
      <c r="AM1348" s="9">
        <v>33.939010156166901</v>
      </c>
      <c r="AN1348" s="9">
        <v>0.617072911930307</v>
      </c>
      <c r="AO1348" s="9">
        <v>0.49675752894681602</v>
      </c>
      <c r="AP1348" s="9">
        <v>313.35415224387299</v>
      </c>
      <c r="AQ1348" s="9">
        <v>5.6973482226158803</v>
      </c>
      <c r="AR1348" s="9">
        <v>6.49326478775561</v>
      </c>
      <c r="AS1348" s="8" t="s">
        <v>169</v>
      </c>
      <c r="AT1348" s="8" t="s">
        <v>169</v>
      </c>
      <c r="AU1348" s="10" t="s">
        <v>169</v>
      </c>
      <c r="AV1348" s="10">
        <v>0</v>
      </c>
      <c r="AW1348" s="10"/>
      <c r="AX1348" s="10" t="s">
        <v>169</v>
      </c>
      <c r="BF1348" s="12">
        <v>0.45</v>
      </c>
      <c r="BG1348" s="13">
        <v>130.14732359147399</v>
      </c>
      <c r="BH1348" s="96" t="str">
        <f>+VLOOKUP(G1348,Liste!$A$7:$G$50,3,FALSE)</f>
        <v>Pin d'Alep</v>
      </c>
      <c r="BI1348" s="96" t="str">
        <f>+VLOOKUP(H1348,Liste!$B$7:$G$50,5,FALSE)</f>
        <v>Pin d'Alep</v>
      </c>
      <c r="BJ1348" s="135">
        <f t="shared" si="417"/>
        <v>55</v>
      </c>
      <c r="BK1348" s="135" t="str">
        <f t="shared" ref="BK1348:BK1411" si="419">+_xlfn.CONCAT(BH1348,"_",J1348,"_",I1348,"_",BI1348,"_",BJ1348,"_")</f>
        <v>Pin d'Alep_F1_Classique_Pin d'Alep_55_</v>
      </c>
      <c r="BL1348" s="322"/>
      <c r="BM1348" s="13">
        <v>36.300731357082803</v>
      </c>
      <c r="BN1348" s="13">
        <v>166.448054948557</v>
      </c>
      <c r="BO1348" s="13" t="s">
        <v>169</v>
      </c>
      <c r="BP1348" s="13">
        <v>139.96016108448799</v>
      </c>
      <c r="BQ1348" s="13">
        <v>6.2525681712639898</v>
      </c>
      <c r="BT1348" s="298" t="str">
        <f>+VLOOKUP(G1348,Liste!$A$7:$H$50,8,FALSE)</f>
        <v>Résineux</v>
      </c>
      <c r="BU1348" s="298">
        <f t="shared" ref="BU1348:BU1411" si="420">IF(BT1348="Résineux",0%,100%)</f>
        <v>0</v>
      </c>
      <c r="BV1348" s="300">
        <f t="shared" ref="BV1348:BV1411" si="421">+IF(BT1348="Résineux",100%,0%)</f>
        <v>1</v>
      </c>
      <c r="BW1348" s="321">
        <v>0</v>
      </c>
      <c r="BX1348" s="298">
        <f t="shared" ref="BX1348:BX1411" si="422">+IF(BV1348&lt;&gt;0,0.43,0.25)</f>
        <v>0.43</v>
      </c>
      <c r="BY1348">
        <f t="shared" ref="BY1348:BY1411" si="423">+IF(BJ1348&lt;=30,AV1348*BX1348,0)</f>
        <v>0</v>
      </c>
      <c r="BZ1348" s="304">
        <f t="shared" ref="BZ1348:BZ1411" si="424">+IF(BJ1348&gt;=31,0,BY1348+BZ1347)</f>
        <v>0</v>
      </c>
      <c r="CB1348" s="299">
        <v>0.6</v>
      </c>
      <c r="CC1348" s="299">
        <v>0.4</v>
      </c>
      <c r="CD1348">
        <f t="shared" ref="CD1348:CD1411" si="425">+IF(BJ1348&lt;=31,AV1348*CA1348*0.5,0)</f>
        <v>0</v>
      </c>
      <c r="CE1348">
        <f t="shared" ref="CE1348:CE1411" si="426">IF(BJ1348&lt;=31,AV1348*CB1348,0)</f>
        <v>0</v>
      </c>
      <c r="CF1348">
        <f t="shared" ref="CF1348:CF1411" si="427">IF(BJ1348&lt;=31,AV1348*CC1348,0)</f>
        <v>0</v>
      </c>
      <c r="CG1348">
        <f t="shared" ref="CG1348:CG1411" si="428">CD1348*44/12*0.475*BF1348</f>
        <v>0</v>
      </c>
      <c r="CH1348">
        <f t="shared" ref="CH1348:CH1411" si="429">CE1348*44/12*0.475*BF1348</f>
        <v>0</v>
      </c>
      <c r="CI1348">
        <f t="shared" ref="CI1348:CI1411" si="430">CF1348*44/12*0.475*BF1348</f>
        <v>0</v>
      </c>
      <c r="CJ1348">
        <f t="shared" ref="CJ1348:CJ1411" si="431">+IF(BJ1348&lt;=31,CJ1347*EXP(-$CJ$1)+CG1347*(1-EXP(-$CJ$1))/$CJ$1,0)</f>
        <v>0</v>
      </c>
      <c r="CK1348">
        <f t="shared" ref="CK1348:CK1411" si="432">+IF(BJ1348&lt;=31,CK1347*EXP(-$CK$1)+CH1347*(1-EXP(-$CK$1))/$CK$1,0)</f>
        <v>0</v>
      </c>
      <c r="CL1348">
        <f t="shared" ref="CL1348:CL1411" si="433">+IF(BJ1348&lt;=31,CL1347*EXP(-$CL$1)+CI1347*(1-EXP(-$CL$1))/$CL$1,0)</f>
        <v>0</v>
      </c>
      <c r="CM1348">
        <f t="shared" si="416"/>
        <v>0</v>
      </c>
      <c r="CN1348">
        <f t="shared" ref="CN1348:CN1411" si="434">+IF(BJ1348&lt;=31,CM1348+CN1347,0)</f>
        <v>0</v>
      </c>
      <c r="CO1348">
        <f t="shared" si="418"/>
        <v>0</v>
      </c>
    </row>
    <row r="1349" spans="1:93" x14ac:dyDescent="0.25">
      <c r="A1349" s="4">
        <v>2021</v>
      </c>
      <c r="B1349" s="318">
        <v>44320</v>
      </c>
      <c r="C1349" s="4" t="s">
        <v>1524</v>
      </c>
      <c r="D1349" s="4" t="s">
        <v>1525</v>
      </c>
      <c r="F1349" s="4" t="s">
        <v>1526</v>
      </c>
      <c r="G1349" s="5" t="s">
        <v>1514</v>
      </c>
      <c r="H1349" s="5" t="s">
        <v>1527</v>
      </c>
      <c r="I1349" s="5" t="s">
        <v>18</v>
      </c>
      <c r="J1349" s="5" t="s">
        <v>9</v>
      </c>
      <c r="K1349" s="5">
        <v>15.5</v>
      </c>
      <c r="L1349" s="5" t="s">
        <v>1528</v>
      </c>
      <c r="M1349" s="5">
        <v>1100</v>
      </c>
      <c r="N1349" s="5" t="s">
        <v>170</v>
      </c>
      <c r="O1349" s="6" t="s">
        <v>81</v>
      </c>
      <c r="P1349" s="6" t="s">
        <v>1530</v>
      </c>
      <c r="S1349" s="6">
        <v>15</v>
      </c>
      <c r="T1349" s="6">
        <v>4.33</v>
      </c>
      <c r="U1349" s="6">
        <v>1101</v>
      </c>
      <c r="V1349" s="6">
        <v>4.92</v>
      </c>
      <c r="W1349" s="6">
        <v>569</v>
      </c>
      <c r="X1349" s="6">
        <v>532</v>
      </c>
      <c r="Y1349" s="6">
        <v>0</v>
      </c>
      <c r="Z1349" s="6">
        <v>0</v>
      </c>
      <c r="AA1349" s="6">
        <v>0</v>
      </c>
      <c r="AB1349" s="6">
        <v>0</v>
      </c>
      <c r="AC1349" s="7">
        <v>56</v>
      </c>
      <c r="AD1349" s="7" t="s">
        <v>52</v>
      </c>
      <c r="AE1349" s="7">
        <v>16.829999999999998</v>
      </c>
      <c r="AF1349" s="7">
        <v>350</v>
      </c>
      <c r="AG1349" s="7">
        <v>17.23</v>
      </c>
      <c r="AH1349" s="7">
        <v>25.04</v>
      </c>
      <c r="AI1349" s="7">
        <v>26.63</v>
      </c>
      <c r="AJ1349" s="9">
        <v>122.050148440328</v>
      </c>
      <c r="AK1349" s="9">
        <v>125.268289727498</v>
      </c>
      <c r="AL1349" s="9">
        <v>172.55045597304999</v>
      </c>
      <c r="AM1349" s="9">
        <v>34.435767685113703</v>
      </c>
      <c r="AN1349" s="9">
        <v>0.61492442294845895</v>
      </c>
      <c r="AO1349" s="9">
        <v>0.49730699350192298</v>
      </c>
      <c r="AP1349" s="9">
        <v>319.84741703162899</v>
      </c>
      <c r="AQ1349" s="9">
        <v>5.7115610184219401</v>
      </c>
      <c r="AR1349" s="9">
        <v>6.5596586231209804</v>
      </c>
      <c r="AS1349" s="8" t="s">
        <v>169</v>
      </c>
      <c r="AT1349" s="8" t="s">
        <v>169</v>
      </c>
      <c r="AU1349" s="10" t="s">
        <v>169</v>
      </c>
      <c r="AV1349" s="10">
        <v>0</v>
      </c>
      <c r="AW1349" s="10"/>
      <c r="AX1349" s="10" t="s">
        <v>169</v>
      </c>
      <c r="BF1349" s="12">
        <v>0.45</v>
      </c>
      <c r="BG1349" s="13">
        <v>135.23641986887799</v>
      </c>
      <c r="BH1349" s="96" t="str">
        <f>+VLOOKUP(G1349,Liste!$A$7:$G$50,3,FALSE)</f>
        <v>Pin d'Alep</v>
      </c>
      <c r="BI1349" s="96" t="str">
        <f>+VLOOKUP(H1349,Liste!$B$7:$G$50,5,FALSE)</f>
        <v>Pin d'Alep</v>
      </c>
      <c r="BJ1349" s="135">
        <f t="shared" si="417"/>
        <v>56</v>
      </c>
      <c r="BK1349" s="135" t="str">
        <f t="shared" si="419"/>
        <v>Pin d'Alep_F1_Classique_Pin d'Alep_56_</v>
      </c>
      <c r="BL1349" s="322"/>
      <c r="BM1349" s="13">
        <v>37.552145763351099</v>
      </c>
      <c r="BN1349" s="13">
        <v>172.78856563222899</v>
      </c>
      <c r="BO1349" s="13" t="s">
        <v>169</v>
      </c>
      <c r="BP1349" s="13">
        <v>139.96016108448799</v>
      </c>
      <c r="BQ1349" s="13">
        <v>6.3137125263617104</v>
      </c>
      <c r="BT1349" s="298" t="str">
        <f>+VLOOKUP(G1349,Liste!$A$7:$H$50,8,FALSE)</f>
        <v>Résineux</v>
      </c>
      <c r="BU1349" s="298">
        <f t="shared" si="420"/>
        <v>0</v>
      </c>
      <c r="BV1349" s="300">
        <f t="shared" si="421"/>
        <v>1</v>
      </c>
      <c r="BW1349" s="321">
        <v>0</v>
      </c>
      <c r="BX1349" s="298">
        <f t="shared" si="422"/>
        <v>0.43</v>
      </c>
      <c r="BY1349">
        <f t="shared" si="423"/>
        <v>0</v>
      </c>
      <c r="BZ1349" s="304">
        <f t="shared" si="424"/>
        <v>0</v>
      </c>
      <c r="CB1349" s="299">
        <v>0.6</v>
      </c>
      <c r="CC1349" s="299">
        <v>0.4</v>
      </c>
      <c r="CD1349">
        <f t="shared" si="425"/>
        <v>0</v>
      </c>
      <c r="CE1349">
        <f t="shared" si="426"/>
        <v>0</v>
      </c>
      <c r="CF1349">
        <f t="shared" si="427"/>
        <v>0</v>
      </c>
      <c r="CG1349">
        <f t="shared" si="428"/>
        <v>0</v>
      </c>
      <c r="CH1349">
        <f t="shared" si="429"/>
        <v>0</v>
      </c>
      <c r="CI1349">
        <f t="shared" si="430"/>
        <v>0</v>
      </c>
      <c r="CJ1349">
        <f t="shared" si="431"/>
        <v>0</v>
      </c>
      <c r="CK1349">
        <f t="shared" si="432"/>
        <v>0</v>
      </c>
      <c r="CL1349">
        <f t="shared" si="433"/>
        <v>0</v>
      </c>
      <c r="CM1349">
        <f t="shared" ref="CM1349:CM1412" si="435">+CJ1349+CK1349+CL1349</f>
        <v>0</v>
      </c>
      <c r="CN1349">
        <f t="shared" si="434"/>
        <v>0</v>
      </c>
      <c r="CO1349">
        <f t="shared" si="418"/>
        <v>0</v>
      </c>
    </row>
    <row r="1350" spans="1:93" x14ac:dyDescent="0.25">
      <c r="A1350" s="4">
        <v>2021</v>
      </c>
      <c r="B1350" s="318">
        <v>44320</v>
      </c>
      <c r="C1350" s="4" t="s">
        <v>1524</v>
      </c>
      <c r="D1350" s="4" t="s">
        <v>1525</v>
      </c>
      <c r="F1350" s="4" t="s">
        <v>1526</v>
      </c>
      <c r="G1350" s="5" t="s">
        <v>1514</v>
      </c>
      <c r="H1350" s="5" t="s">
        <v>1527</v>
      </c>
      <c r="I1350" s="5" t="s">
        <v>18</v>
      </c>
      <c r="J1350" s="5" t="s">
        <v>9</v>
      </c>
      <c r="K1350" s="5">
        <v>15.5</v>
      </c>
      <c r="L1350" s="5" t="s">
        <v>1528</v>
      </c>
      <c r="M1350" s="5">
        <v>1100</v>
      </c>
      <c r="N1350" s="5" t="s">
        <v>170</v>
      </c>
      <c r="O1350" s="6" t="s">
        <v>81</v>
      </c>
      <c r="P1350" s="6" t="s">
        <v>1530</v>
      </c>
      <c r="S1350" s="6">
        <v>15</v>
      </c>
      <c r="T1350" s="6">
        <v>4.33</v>
      </c>
      <c r="U1350" s="6">
        <v>1101</v>
      </c>
      <c r="V1350" s="6">
        <v>4.92</v>
      </c>
      <c r="W1350" s="6">
        <v>569</v>
      </c>
      <c r="X1350" s="6">
        <v>532</v>
      </c>
      <c r="Y1350" s="6">
        <v>0</v>
      </c>
      <c r="Z1350" s="6">
        <v>0</v>
      </c>
      <c r="AA1350" s="6">
        <v>0</v>
      </c>
      <c r="AB1350" s="6">
        <v>0</v>
      </c>
      <c r="AC1350" s="7">
        <v>57</v>
      </c>
      <c r="AD1350" s="7" t="s">
        <v>52</v>
      </c>
      <c r="AE1350" s="7">
        <v>17.03</v>
      </c>
      <c r="AF1350" s="7">
        <v>350</v>
      </c>
      <c r="AG1350" s="7">
        <v>17.73</v>
      </c>
      <c r="AH1350" s="7">
        <v>25.4</v>
      </c>
      <c r="AI1350" s="7">
        <v>27.03</v>
      </c>
      <c r="AJ1350" s="9">
        <v>126.930849453699</v>
      </c>
      <c r="AK1350" s="9">
        <v>130.30344937028499</v>
      </c>
      <c r="AL1350" s="9">
        <v>179.110114596171</v>
      </c>
      <c r="AM1350" s="9">
        <v>34.933074678615597</v>
      </c>
      <c r="AN1350" s="9">
        <v>0.61286095927395801</v>
      </c>
      <c r="AO1350" s="9">
        <v>0.49684594907203899</v>
      </c>
      <c r="AP1350" s="9">
        <v>326.40707565474997</v>
      </c>
      <c r="AQ1350" s="9">
        <v>5.7264399237675399</v>
      </c>
      <c r="AR1350" s="9">
        <v>6.6157521040132101</v>
      </c>
      <c r="AS1350" s="8" t="s">
        <v>169</v>
      </c>
      <c r="AT1350" s="8" t="s">
        <v>169</v>
      </c>
      <c r="AU1350" s="10" t="s">
        <v>169</v>
      </c>
      <c r="AV1350" s="10">
        <v>0</v>
      </c>
      <c r="AW1350" s="10"/>
      <c r="AX1350" s="10" t="s">
        <v>169</v>
      </c>
      <c r="BF1350" s="12">
        <v>0.45</v>
      </c>
      <c r="BG1350" s="13">
        <v>140.37755231474901</v>
      </c>
      <c r="BH1350" s="96" t="str">
        <f>+VLOOKUP(G1350,Liste!$A$7:$G$50,3,FALSE)</f>
        <v>Pin d'Alep</v>
      </c>
      <c r="BI1350" s="96" t="str">
        <f>+VLOOKUP(H1350,Liste!$B$7:$G$50,5,FALSE)</f>
        <v>Pin d'Alep</v>
      </c>
      <c r="BJ1350" s="135">
        <f t="shared" si="417"/>
        <v>57</v>
      </c>
      <c r="BK1350" s="135" t="str">
        <f t="shared" si="419"/>
        <v>Pin d'Alep_F1_Classique_Pin d'Alep_57_</v>
      </c>
      <c r="BL1350" s="322"/>
      <c r="BM1350" s="13">
        <v>38.810801607080997</v>
      </c>
      <c r="BN1350" s="13">
        <v>179.18835392182999</v>
      </c>
      <c r="BO1350" s="13" t="s">
        <v>169</v>
      </c>
      <c r="BP1350" s="13">
        <v>139.96016108448799</v>
      </c>
      <c r="BQ1350" s="13">
        <v>6.3649278490204297</v>
      </c>
      <c r="BT1350" s="298" t="str">
        <f>+VLOOKUP(G1350,Liste!$A$7:$H$50,8,FALSE)</f>
        <v>Résineux</v>
      </c>
      <c r="BU1350" s="298">
        <f t="shared" si="420"/>
        <v>0</v>
      </c>
      <c r="BV1350" s="300">
        <f t="shared" si="421"/>
        <v>1</v>
      </c>
      <c r="BW1350" s="321">
        <v>0</v>
      </c>
      <c r="BX1350" s="298">
        <f t="shared" si="422"/>
        <v>0.43</v>
      </c>
      <c r="BY1350">
        <f t="shared" si="423"/>
        <v>0</v>
      </c>
      <c r="BZ1350" s="304">
        <f t="shared" si="424"/>
        <v>0</v>
      </c>
      <c r="CB1350" s="299">
        <v>0.6</v>
      </c>
      <c r="CC1350" s="299">
        <v>0.4</v>
      </c>
      <c r="CD1350">
        <f t="shared" si="425"/>
        <v>0</v>
      </c>
      <c r="CE1350">
        <f t="shared" si="426"/>
        <v>0</v>
      </c>
      <c r="CF1350">
        <f t="shared" si="427"/>
        <v>0</v>
      </c>
      <c r="CG1350">
        <f t="shared" si="428"/>
        <v>0</v>
      </c>
      <c r="CH1350">
        <f t="shared" si="429"/>
        <v>0</v>
      </c>
      <c r="CI1350">
        <f t="shared" si="430"/>
        <v>0</v>
      </c>
      <c r="CJ1350">
        <f t="shared" si="431"/>
        <v>0</v>
      </c>
      <c r="CK1350">
        <f t="shared" si="432"/>
        <v>0</v>
      </c>
      <c r="CL1350">
        <f t="shared" si="433"/>
        <v>0</v>
      </c>
      <c r="CM1350">
        <f t="shared" si="435"/>
        <v>0</v>
      </c>
      <c r="CN1350">
        <f t="shared" si="434"/>
        <v>0</v>
      </c>
      <c r="CO1350">
        <f t="shared" si="418"/>
        <v>0</v>
      </c>
    </row>
    <row r="1351" spans="1:93" x14ac:dyDescent="0.25">
      <c r="A1351" s="4">
        <v>2021</v>
      </c>
      <c r="B1351" s="318">
        <v>44320</v>
      </c>
      <c r="C1351" s="4" t="s">
        <v>1524</v>
      </c>
      <c r="D1351" s="4" t="s">
        <v>1525</v>
      </c>
      <c r="F1351" s="4" t="s">
        <v>1526</v>
      </c>
      <c r="G1351" s="5" t="s">
        <v>1514</v>
      </c>
      <c r="H1351" s="5" t="s">
        <v>1527</v>
      </c>
      <c r="I1351" s="5" t="s">
        <v>18</v>
      </c>
      <c r="J1351" s="5" t="s">
        <v>9</v>
      </c>
      <c r="K1351" s="5">
        <v>15.5</v>
      </c>
      <c r="L1351" s="5" t="s">
        <v>1528</v>
      </c>
      <c r="M1351" s="5">
        <v>1100</v>
      </c>
      <c r="N1351" s="5" t="s">
        <v>170</v>
      </c>
      <c r="O1351" s="6" t="s">
        <v>81</v>
      </c>
      <c r="P1351" s="6" t="s">
        <v>1530</v>
      </c>
      <c r="S1351" s="6">
        <v>15</v>
      </c>
      <c r="T1351" s="6">
        <v>4.33</v>
      </c>
      <c r="U1351" s="6">
        <v>1101</v>
      </c>
      <c r="V1351" s="6">
        <v>4.92</v>
      </c>
      <c r="W1351" s="6">
        <v>569</v>
      </c>
      <c r="X1351" s="6">
        <v>532</v>
      </c>
      <c r="Y1351" s="6">
        <v>0</v>
      </c>
      <c r="Z1351" s="6">
        <v>0</v>
      </c>
      <c r="AA1351" s="6">
        <v>0</v>
      </c>
      <c r="AB1351" s="6">
        <v>0</v>
      </c>
      <c r="AC1351" s="7">
        <v>58</v>
      </c>
      <c r="AD1351" s="7" t="s">
        <v>52</v>
      </c>
      <c r="AE1351" s="7">
        <v>17.22</v>
      </c>
      <c r="AF1351" s="7">
        <v>350</v>
      </c>
      <c r="AG1351" s="7">
        <v>18.23</v>
      </c>
      <c r="AH1351" s="7">
        <v>25.75</v>
      </c>
      <c r="AI1351" s="7">
        <v>27.43</v>
      </c>
      <c r="AJ1351" s="9">
        <v>131.85827888406101</v>
      </c>
      <c r="AK1351" s="9">
        <v>135.38761480268801</v>
      </c>
      <c r="AL1351" s="9">
        <v>185.72586670018401</v>
      </c>
      <c r="AM1351" s="9">
        <v>35.4299206276877</v>
      </c>
      <c r="AN1351" s="9">
        <v>0.61086070047737395</v>
      </c>
      <c r="AO1351" s="9">
        <v>0.49747815532367701</v>
      </c>
      <c r="AP1351" s="9">
        <v>333.02282775876301</v>
      </c>
      <c r="AQ1351" s="9">
        <v>5.7417728923924596</v>
      </c>
      <c r="AR1351" s="9">
        <v>6.6883502348182997</v>
      </c>
      <c r="AS1351" s="8" t="s">
        <v>169</v>
      </c>
      <c r="AT1351" s="8" t="s">
        <v>169</v>
      </c>
      <c r="AU1351" s="10" t="s">
        <v>169</v>
      </c>
      <c r="AV1351" s="10">
        <v>0</v>
      </c>
      <c r="AW1351" s="10"/>
      <c r="AX1351" s="10" t="s">
        <v>169</v>
      </c>
      <c r="BF1351" s="12">
        <v>0.45</v>
      </c>
      <c r="BG1351" s="13">
        <v>145.56264802626899</v>
      </c>
      <c r="BH1351" s="96" t="str">
        <f>+VLOOKUP(G1351,Liste!$A$7:$G$50,3,FALSE)</f>
        <v>Pin d'Alep</v>
      </c>
      <c r="BI1351" s="96" t="str">
        <f>+VLOOKUP(H1351,Liste!$B$7:$G$50,5,FALSE)</f>
        <v>Pin d'Alep</v>
      </c>
      <c r="BJ1351" s="135">
        <f t="shared" si="417"/>
        <v>58</v>
      </c>
      <c r="BK1351" s="135" t="str">
        <f t="shared" si="419"/>
        <v>Pin d'Alep_F1_Classique_Pin d'Alep_58_</v>
      </c>
      <c r="BL1351" s="322"/>
      <c r="BM1351" s="13">
        <v>40.074796821355697</v>
      </c>
      <c r="BN1351" s="13">
        <v>185.63744484762501</v>
      </c>
      <c r="BO1351" s="13" t="s">
        <v>169</v>
      </c>
      <c r="BP1351" s="13">
        <v>139.96016108448799</v>
      </c>
      <c r="BQ1351" s="13">
        <v>6.43200350158543</v>
      </c>
      <c r="BT1351" s="298" t="str">
        <f>+VLOOKUP(G1351,Liste!$A$7:$H$50,8,FALSE)</f>
        <v>Résineux</v>
      </c>
      <c r="BU1351" s="298">
        <f t="shared" si="420"/>
        <v>0</v>
      </c>
      <c r="BV1351" s="300">
        <f t="shared" si="421"/>
        <v>1</v>
      </c>
      <c r="BW1351" s="321">
        <v>0</v>
      </c>
      <c r="BX1351" s="298">
        <f t="shared" si="422"/>
        <v>0.43</v>
      </c>
      <c r="BY1351">
        <f t="shared" si="423"/>
        <v>0</v>
      </c>
      <c r="BZ1351" s="304">
        <f t="shared" si="424"/>
        <v>0</v>
      </c>
      <c r="CB1351" s="299">
        <v>0.6</v>
      </c>
      <c r="CC1351" s="299">
        <v>0.4</v>
      </c>
      <c r="CD1351">
        <f t="shared" si="425"/>
        <v>0</v>
      </c>
      <c r="CE1351">
        <f t="shared" si="426"/>
        <v>0</v>
      </c>
      <c r="CF1351">
        <f t="shared" si="427"/>
        <v>0</v>
      </c>
      <c r="CG1351">
        <f t="shared" si="428"/>
        <v>0</v>
      </c>
      <c r="CH1351">
        <f t="shared" si="429"/>
        <v>0</v>
      </c>
      <c r="CI1351">
        <f t="shared" si="430"/>
        <v>0</v>
      </c>
      <c r="CJ1351">
        <f t="shared" si="431"/>
        <v>0</v>
      </c>
      <c r="CK1351">
        <f t="shared" si="432"/>
        <v>0</v>
      </c>
      <c r="CL1351">
        <f t="shared" si="433"/>
        <v>0</v>
      </c>
      <c r="CM1351">
        <f t="shared" si="435"/>
        <v>0</v>
      </c>
      <c r="CN1351">
        <f t="shared" si="434"/>
        <v>0</v>
      </c>
      <c r="CO1351">
        <f t="shared" si="418"/>
        <v>0</v>
      </c>
    </row>
    <row r="1352" spans="1:93" x14ac:dyDescent="0.25">
      <c r="A1352" s="4">
        <v>2021</v>
      </c>
      <c r="B1352" s="318">
        <v>44320</v>
      </c>
      <c r="C1352" s="4" t="s">
        <v>1524</v>
      </c>
      <c r="D1352" s="4" t="s">
        <v>1525</v>
      </c>
      <c r="F1352" s="4" t="s">
        <v>1526</v>
      </c>
      <c r="G1352" s="5" t="s">
        <v>1514</v>
      </c>
      <c r="H1352" s="5" t="s">
        <v>1527</v>
      </c>
      <c r="I1352" s="5" t="s">
        <v>18</v>
      </c>
      <c r="J1352" s="5" t="s">
        <v>9</v>
      </c>
      <c r="K1352" s="5">
        <v>15.5</v>
      </c>
      <c r="L1352" s="5" t="s">
        <v>1528</v>
      </c>
      <c r="M1352" s="5">
        <v>1100</v>
      </c>
      <c r="N1352" s="5" t="s">
        <v>170</v>
      </c>
      <c r="O1352" s="6" t="s">
        <v>81</v>
      </c>
      <c r="P1352" s="6" t="s">
        <v>1530</v>
      </c>
      <c r="S1352" s="6">
        <v>15</v>
      </c>
      <c r="T1352" s="6">
        <v>4.33</v>
      </c>
      <c r="U1352" s="6">
        <v>1101</v>
      </c>
      <c r="V1352" s="6">
        <v>4.92</v>
      </c>
      <c r="W1352" s="6">
        <v>569</v>
      </c>
      <c r="X1352" s="6">
        <v>532</v>
      </c>
      <c r="Y1352" s="6">
        <v>0</v>
      </c>
      <c r="Z1352" s="6">
        <v>0</v>
      </c>
      <c r="AA1352" s="6">
        <v>0</v>
      </c>
      <c r="AB1352" s="6">
        <v>0</v>
      </c>
      <c r="AC1352" s="7">
        <v>59</v>
      </c>
      <c r="AD1352" s="7" t="s">
        <v>52</v>
      </c>
      <c r="AE1352" s="7">
        <v>17.420000000000002</v>
      </c>
      <c r="AF1352" s="7">
        <v>350</v>
      </c>
      <c r="AG1352" s="7">
        <v>18.72</v>
      </c>
      <c r="AH1352" s="7">
        <v>26.1</v>
      </c>
      <c r="AI1352" s="7">
        <v>27.82</v>
      </c>
      <c r="AJ1352" s="9">
        <v>136.84526523275599</v>
      </c>
      <c r="AK1352" s="9">
        <v>140.53391290728001</v>
      </c>
      <c r="AL1352" s="9">
        <v>192.414216935002</v>
      </c>
      <c r="AM1352" s="9">
        <v>35.927398783011299</v>
      </c>
      <c r="AN1352" s="9">
        <v>0.60893896242392098</v>
      </c>
      <c r="AO1352" s="9">
        <v>0.49684153513436502</v>
      </c>
      <c r="AP1352" s="9">
        <v>339.71117799358097</v>
      </c>
      <c r="AQ1352" s="9">
        <v>5.7578165761623898</v>
      </c>
      <c r="AR1352" s="9">
        <v>6.7267973750192001</v>
      </c>
      <c r="AS1352" s="8" t="s">
        <v>169</v>
      </c>
      <c r="AT1352" s="8" t="s">
        <v>169</v>
      </c>
      <c r="AU1352" s="10" t="s">
        <v>169</v>
      </c>
      <c r="AV1352" s="10">
        <v>0</v>
      </c>
      <c r="AW1352" s="10"/>
      <c r="AX1352" s="10" t="s">
        <v>169</v>
      </c>
      <c r="BF1352" s="12">
        <v>0.45</v>
      </c>
      <c r="BG1352" s="13">
        <v>150.804642522808</v>
      </c>
      <c r="BH1352" s="96" t="str">
        <f>+VLOOKUP(G1352,Liste!$A$7:$G$50,3,FALSE)</f>
        <v>Pin d'Alep</v>
      </c>
      <c r="BI1352" s="96" t="str">
        <f>+VLOOKUP(H1352,Liste!$B$7:$G$50,5,FALSE)</f>
        <v>Pin d'Alep</v>
      </c>
      <c r="BJ1352" s="135">
        <f t="shared" si="417"/>
        <v>59</v>
      </c>
      <c r="BK1352" s="135" t="str">
        <f t="shared" si="419"/>
        <v>Pin d'Alep_F1_Classique_Pin d'Alep_59_</v>
      </c>
      <c r="BL1352" s="322"/>
      <c r="BM1352" s="13">
        <v>41.347345646758399</v>
      </c>
      <c r="BN1352" s="13">
        <v>192.15198816956701</v>
      </c>
      <c r="BO1352" s="13" t="s">
        <v>169</v>
      </c>
      <c r="BP1352" s="13">
        <v>139.96016108448799</v>
      </c>
      <c r="BQ1352" s="13">
        <v>6.4662294098280899</v>
      </c>
      <c r="BT1352" s="298" t="str">
        <f>+VLOOKUP(G1352,Liste!$A$7:$H$50,8,FALSE)</f>
        <v>Résineux</v>
      </c>
      <c r="BU1352" s="298">
        <f t="shared" si="420"/>
        <v>0</v>
      </c>
      <c r="BV1352" s="300">
        <f t="shared" si="421"/>
        <v>1</v>
      </c>
      <c r="BW1352" s="321">
        <v>0</v>
      </c>
      <c r="BX1352" s="298">
        <f t="shared" si="422"/>
        <v>0.43</v>
      </c>
      <c r="BY1352">
        <f t="shared" si="423"/>
        <v>0</v>
      </c>
      <c r="BZ1352" s="304">
        <f t="shared" si="424"/>
        <v>0</v>
      </c>
      <c r="CB1352" s="299">
        <v>0.6</v>
      </c>
      <c r="CC1352" s="299">
        <v>0.4</v>
      </c>
      <c r="CD1352">
        <f t="shared" si="425"/>
        <v>0</v>
      </c>
      <c r="CE1352">
        <f t="shared" si="426"/>
        <v>0</v>
      </c>
      <c r="CF1352">
        <f t="shared" si="427"/>
        <v>0</v>
      </c>
      <c r="CG1352">
        <f t="shared" si="428"/>
        <v>0</v>
      </c>
      <c r="CH1352">
        <f t="shared" si="429"/>
        <v>0</v>
      </c>
      <c r="CI1352">
        <f t="shared" si="430"/>
        <v>0</v>
      </c>
      <c r="CJ1352">
        <f t="shared" si="431"/>
        <v>0</v>
      </c>
      <c r="CK1352">
        <f t="shared" si="432"/>
        <v>0</v>
      </c>
      <c r="CL1352">
        <f t="shared" si="433"/>
        <v>0</v>
      </c>
      <c r="CM1352">
        <f t="shared" si="435"/>
        <v>0</v>
      </c>
      <c r="CN1352">
        <f t="shared" si="434"/>
        <v>0</v>
      </c>
      <c r="CO1352">
        <f t="shared" si="418"/>
        <v>0</v>
      </c>
    </row>
    <row r="1353" spans="1:93" x14ac:dyDescent="0.25">
      <c r="A1353" s="4">
        <v>2021</v>
      </c>
      <c r="B1353" s="318">
        <v>44320</v>
      </c>
      <c r="C1353" s="4" t="s">
        <v>1524</v>
      </c>
      <c r="D1353" s="4" t="s">
        <v>1525</v>
      </c>
      <c r="F1353" s="4" t="s">
        <v>1526</v>
      </c>
      <c r="G1353" s="5" t="s">
        <v>1514</v>
      </c>
      <c r="H1353" s="5" t="s">
        <v>1527</v>
      </c>
      <c r="I1353" s="5" t="s">
        <v>18</v>
      </c>
      <c r="J1353" s="5" t="s">
        <v>9</v>
      </c>
      <c r="K1353" s="5">
        <v>15.5</v>
      </c>
      <c r="L1353" s="5" t="s">
        <v>1528</v>
      </c>
      <c r="M1353" s="5">
        <v>1100</v>
      </c>
      <c r="N1353" s="5" t="s">
        <v>170</v>
      </c>
      <c r="O1353" s="6" t="s">
        <v>81</v>
      </c>
      <c r="P1353" s="6" t="s">
        <v>1530</v>
      </c>
      <c r="S1353" s="6">
        <v>15</v>
      </c>
      <c r="T1353" s="6">
        <v>4.33</v>
      </c>
      <c r="U1353" s="6">
        <v>1101</v>
      </c>
      <c r="V1353" s="6">
        <v>4.92</v>
      </c>
      <c r="W1353" s="6">
        <v>569</v>
      </c>
      <c r="X1353" s="6">
        <v>532</v>
      </c>
      <c r="Y1353" s="6">
        <v>0</v>
      </c>
      <c r="Z1353" s="6">
        <v>0</v>
      </c>
      <c r="AA1353" s="6">
        <v>0</v>
      </c>
      <c r="AB1353" s="6">
        <v>0</v>
      </c>
      <c r="AC1353" s="7">
        <v>60</v>
      </c>
      <c r="AD1353" s="7" t="s">
        <v>52</v>
      </c>
      <c r="AE1353" s="7">
        <v>17.61</v>
      </c>
      <c r="AF1353" s="7">
        <v>350</v>
      </c>
      <c r="AG1353" s="7">
        <v>19.22</v>
      </c>
      <c r="AH1353" s="7">
        <v>26.44</v>
      </c>
      <c r="AI1353" s="7">
        <v>28.21</v>
      </c>
      <c r="AJ1353" s="9">
        <v>141.86290677231901</v>
      </c>
      <c r="AK1353" s="9">
        <v>145.713114101098</v>
      </c>
      <c r="AL1353" s="9">
        <v>199.141014310022</v>
      </c>
      <c r="AM1353" s="9">
        <v>36.424240318145699</v>
      </c>
      <c r="AN1353" s="9">
        <v>0.60707067196909503</v>
      </c>
      <c r="AO1353" s="9">
        <v>0.49487765488077401</v>
      </c>
      <c r="AP1353" s="9">
        <v>346.43797536860001</v>
      </c>
      <c r="AQ1353" s="9">
        <v>5.77396625614334</v>
      </c>
      <c r="AR1353" s="9">
        <v>6.7405199956216402</v>
      </c>
      <c r="AS1353" s="8" t="s">
        <v>169</v>
      </c>
      <c r="AT1353" s="8" t="s">
        <v>169</v>
      </c>
      <c r="AU1353" s="10" t="s">
        <v>169</v>
      </c>
      <c r="AV1353" s="10">
        <v>0</v>
      </c>
      <c r="AW1353" s="10"/>
      <c r="AX1353" s="10" t="s">
        <v>169</v>
      </c>
      <c r="BF1353" s="12">
        <v>0.45</v>
      </c>
      <c r="BG1353" s="13">
        <v>156.076769965479</v>
      </c>
      <c r="BH1353" s="96" t="str">
        <f>+VLOOKUP(G1353,Liste!$A$7:$G$50,3,FALSE)</f>
        <v>Pin d'Alep</v>
      </c>
      <c r="BI1353" s="96" t="str">
        <f>+VLOOKUP(H1353,Liste!$B$7:$G$50,5,FALSE)</f>
        <v>Pin d'Alep</v>
      </c>
      <c r="BJ1353" s="135">
        <f t="shared" si="417"/>
        <v>60</v>
      </c>
      <c r="BK1353" s="135" t="str">
        <f t="shared" si="419"/>
        <v>Pin d'Alep_F1_Classique_Pin d'Alep_60_</v>
      </c>
      <c r="BL1353" s="322"/>
      <c r="BM1353" s="13">
        <v>42.622026007052703</v>
      </c>
      <c r="BN1353" s="13">
        <v>198.698795972532</v>
      </c>
      <c r="BO1353" s="13" t="s">
        <v>169</v>
      </c>
      <c r="BP1353" s="13">
        <v>139.96016108448799</v>
      </c>
      <c r="BQ1353" s="13">
        <v>6.4767162855887399</v>
      </c>
      <c r="BT1353" s="298" t="str">
        <f>+VLOOKUP(G1353,Liste!$A$7:$H$50,8,FALSE)</f>
        <v>Résineux</v>
      </c>
      <c r="BU1353" s="298">
        <f t="shared" si="420"/>
        <v>0</v>
      </c>
      <c r="BV1353" s="300">
        <f t="shared" si="421"/>
        <v>1</v>
      </c>
      <c r="BW1353" s="321">
        <v>0</v>
      </c>
      <c r="BX1353" s="298">
        <f t="shared" si="422"/>
        <v>0.43</v>
      </c>
      <c r="BY1353">
        <f t="shared" si="423"/>
        <v>0</v>
      </c>
      <c r="BZ1353" s="304">
        <f t="shared" si="424"/>
        <v>0</v>
      </c>
      <c r="CB1353" s="299">
        <v>0.6</v>
      </c>
      <c r="CC1353" s="299">
        <v>0.4</v>
      </c>
      <c r="CD1353">
        <f t="shared" si="425"/>
        <v>0</v>
      </c>
      <c r="CE1353">
        <f t="shared" si="426"/>
        <v>0</v>
      </c>
      <c r="CF1353">
        <f t="shared" si="427"/>
        <v>0</v>
      </c>
      <c r="CG1353">
        <f t="shared" si="428"/>
        <v>0</v>
      </c>
      <c r="CH1353">
        <f t="shared" si="429"/>
        <v>0</v>
      </c>
      <c r="CI1353">
        <f t="shared" si="430"/>
        <v>0</v>
      </c>
      <c r="CJ1353">
        <f t="shared" si="431"/>
        <v>0</v>
      </c>
      <c r="CK1353">
        <f t="shared" si="432"/>
        <v>0</v>
      </c>
      <c r="CL1353">
        <f t="shared" si="433"/>
        <v>0</v>
      </c>
      <c r="CM1353">
        <f t="shared" si="435"/>
        <v>0</v>
      </c>
      <c r="CN1353">
        <f t="shared" si="434"/>
        <v>0</v>
      </c>
      <c r="CO1353">
        <f t="shared" si="418"/>
        <v>0</v>
      </c>
    </row>
    <row r="1354" spans="1:93" x14ac:dyDescent="0.25">
      <c r="A1354" s="4">
        <v>2021</v>
      </c>
      <c r="B1354" s="318">
        <v>44320</v>
      </c>
      <c r="C1354" s="4" t="s">
        <v>1524</v>
      </c>
      <c r="D1354" s="4" t="s">
        <v>1525</v>
      </c>
      <c r="F1354" s="4" t="s">
        <v>1526</v>
      </c>
      <c r="G1354" s="5" t="s">
        <v>1514</v>
      </c>
      <c r="H1354" s="5" t="s">
        <v>1527</v>
      </c>
      <c r="I1354" s="5" t="s">
        <v>18</v>
      </c>
      <c r="J1354" s="5" t="s">
        <v>9</v>
      </c>
      <c r="K1354" s="5">
        <v>15.5</v>
      </c>
      <c r="L1354" s="5" t="s">
        <v>1528</v>
      </c>
      <c r="M1354" s="5">
        <v>1100</v>
      </c>
      <c r="N1354" s="5" t="s">
        <v>170</v>
      </c>
      <c r="O1354" s="6" t="s">
        <v>81</v>
      </c>
      <c r="P1354" s="6" t="s">
        <v>1530</v>
      </c>
      <c r="S1354" s="6">
        <v>15</v>
      </c>
      <c r="T1354" s="6">
        <v>4.33</v>
      </c>
      <c r="U1354" s="6">
        <v>1101</v>
      </c>
      <c r="V1354" s="6">
        <v>4.92</v>
      </c>
      <c r="W1354" s="6">
        <v>569</v>
      </c>
      <c r="X1354" s="6">
        <v>532</v>
      </c>
      <c r="Y1354" s="6">
        <v>0</v>
      </c>
      <c r="Z1354" s="6">
        <v>0</v>
      </c>
      <c r="AA1354" s="6">
        <v>0</v>
      </c>
      <c r="AB1354" s="6">
        <v>0</v>
      </c>
      <c r="AC1354" s="7">
        <v>61</v>
      </c>
      <c r="AD1354" s="7" t="s">
        <v>52</v>
      </c>
      <c r="AE1354" s="7">
        <v>17.8</v>
      </c>
      <c r="AF1354" s="7">
        <v>349</v>
      </c>
      <c r="AG1354" s="7">
        <v>19.66</v>
      </c>
      <c r="AH1354" s="7">
        <v>26.78</v>
      </c>
      <c r="AI1354" s="7">
        <v>28.6</v>
      </c>
      <c r="AJ1354" s="9">
        <v>146.48495330454301</v>
      </c>
      <c r="AK1354" s="9">
        <v>150.48760577234199</v>
      </c>
      <c r="AL1354" s="9">
        <v>205.311178116104</v>
      </c>
      <c r="AM1354" s="9">
        <v>36.919117973026502</v>
      </c>
      <c r="AN1354" s="9">
        <v>0.60523144218076197</v>
      </c>
      <c r="AO1354" s="9">
        <v>0.49481161074921698</v>
      </c>
      <c r="AP1354" s="9">
        <v>353.17849536422199</v>
      </c>
      <c r="AQ1354" s="9">
        <v>5.7898113994134803</v>
      </c>
      <c r="AR1354" s="9">
        <v>6.8052498363939504</v>
      </c>
      <c r="AS1354" s="8" t="s">
        <v>169</v>
      </c>
      <c r="AT1354" s="8" t="s">
        <v>169</v>
      </c>
      <c r="AU1354" s="10" t="s">
        <v>169</v>
      </c>
      <c r="AV1354" s="10">
        <v>0</v>
      </c>
      <c r="AW1354" s="10"/>
      <c r="AX1354" s="10" t="s">
        <v>169</v>
      </c>
      <c r="BF1354" s="12">
        <v>0.45</v>
      </c>
      <c r="BG1354" s="13">
        <v>160.912635848496</v>
      </c>
      <c r="BH1354" s="96" t="str">
        <f>+VLOOKUP(G1354,Liste!$A$7:$G$50,3,FALSE)</f>
        <v>Pin d'Alep</v>
      </c>
      <c r="BI1354" s="96" t="str">
        <f>+VLOOKUP(H1354,Liste!$B$7:$G$50,5,FALSE)</f>
        <v>Pin d'Alep</v>
      </c>
      <c r="BJ1354" s="135">
        <f t="shared" si="417"/>
        <v>61</v>
      </c>
      <c r="BK1354" s="135" t="str">
        <f t="shared" si="419"/>
        <v>Pin d'Alep_F1_Classique_Pin d'Alep_61_</v>
      </c>
      <c r="BL1354" s="322"/>
      <c r="BM1354" s="13">
        <v>43.786824560328299</v>
      </c>
      <c r="BN1354" s="13">
        <v>204.69946040882499</v>
      </c>
      <c r="BO1354" s="13" t="s">
        <v>169</v>
      </c>
      <c r="BP1354" s="13">
        <v>139.96016108448799</v>
      </c>
      <c r="BQ1354" s="13">
        <v>6.5362253275195599</v>
      </c>
      <c r="BT1354" s="298" t="str">
        <f>+VLOOKUP(G1354,Liste!$A$7:$H$50,8,FALSE)</f>
        <v>Résineux</v>
      </c>
      <c r="BU1354" s="298">
        <f t="shared" si="420"/>
        <v>0</v>
      </c>
      <c r="BV1354" s="300">
        <f t="shared" si="421"/>
        <v>1</v>
      </c>
      <c r="BW1354" s="321">
        <v>0</v>
      </c>
      <c r="BX1354" s="298">
        <f t="shared" si="422"/>
        <v>0.43</v>
      </c>
      <c r="BY1354">
        <f t="shared" si="423"/>
        <v>0</v>
      </c>
      <c r="BZ1354" s="304">
        <f t="shared" si="424"/>
        <v>0</v>
      </c>
      <c r="CB1354" s="299">
        <v>0.6</v>
      </c>
      <c r="CC1354" s="299">
        <v>0.4</v>
      </c>
      <c r="CD1354">
        <f t="shared" si="425"/>
        <v>0</v>
      </c>
      <c r="CE1354">
        <f t="shared" si="426"/>
        <v>0</v>
      </c>
      <c r="CF1354">
        <f t="shared" si="427"/>
        <v>0</v>
      </c>
      <c r="CG1354">
        <f t="shared" si="428"/>
        <v>0</v>
      </c>
      <c r="CH1354">
        <f t="shared" si="429"/>
        <v>0</v>
      </c>
      <c r="CI1354">
        <f t="shared" si="430"/>
        <v>0</v>
      </c>
      <c r="CJ1354">
        <f t="shared" si="431"/>
        <v>0</v>
      </c>
      <c r="CK1354">
        <f t="shared" si="432"/>
        <v>0</v>
      </c>
      <c r="CL1354">
        <f t="shared" si="433"/>
        <v>0</v>
      </c>
      <c r="CM1354">
        <f t="shared" si="435"/>
        <v>0</v>
      </c>
      <c r="CN1354">
        <f t="shared" si="434"/>
        <v>0</v>
      </c>
      <c r="CO1354">
        <f t="shared" si="418"/>
        <v>0</v>
      </c>
    </row>
    <row r="1355" spans="1:93" x14ac:dyDescent="0.25">
      <c r="A1355" s="4">
        <v>2021</v>
      </c>
      <c r="B1355" s="318">
        <v>44320</v>
      </c>
      <c r="C1355" s="4" t="s">
        <v>1524</v>
      </c>
      <c r="D1355" s="4" t="s">
        <v>1525</v>
      </c>
      <c r="F1355" s="4" t="s">
        <v>1526</v>
      </c>
      <c r="G1355" s="5" t="s">
        <v>1514</v>
      </c>
      <c r="H1355" s="5" t="s">
        <v>1527</v>
      </c>
      <c r="I1355" s="5" t="s">
        <v>18</v>
      </c>
      <c r="J1355" s="5" t="s">
        <v>9</v>
      </c>
      <c r="K1355" s="5">
        <v>15.5</v>
      </c>
      <c r="L1355" s="5" t="s">
        <v>1528</v>
      </c>
      <c r="M1355" s="5">
        <v>1100</v>
      </c>
      <c r="N1355" s="5" t="s">
        <v>170</v>
      </c>
      <c r="O1355" s="6" t="s">
        <v>81</v>
      </c>
      <c r="P1355" s="6" t="s">
        <v>1530</v>
      </c>
      <c r="S1355" s="6">
        <v>15</v>
      </c>
      <c r="T1355" s="6">
        <v>4.33</v>
      </c>
      <c r="U1355" s="6">
        <v>1101</v>
      </c>
      <c r="V1355" s="6">
        <v>4.92</v>
      </c>
      <c r="W1355" s="6">
        <v>569</v>
      </c>
      <c r="X1355" s="6">
        <v>532</v>
      </c>
      <c r="Y1355" s="6">
        <v>0</v>
      </c>
      <c r="Z1355" s="6">
        <v>0</v>
      </c>
      <c r="AA1355" s="6">
        <v>0</v>
      </c>
      <c r="AB1355" s="6">
        <v>0</v>
      </c>
      <c r="AC1355" s="7">
        <v>62</v>
      </c>
      <c r="AD1355" s="7" t="s">
        <v>52</v>
      </c>
      <c r="AE1355" s="7">
        <v>17.98</v>
      </c>
      <c r="AF1355" s="7">
        <v>349</v>
      </c>
      <c r="AG1355" s="7">
        <v>20.149999999999999</v>
      </c>
      <c r="AH1355" s="7">
        <v>27.12</v>
      </c>
      <c r="AI1355" s="7">
        <v>28.98</v>
      </c>
      <c r="AJ1355" s="9">
        <v>151.56804649297001</v>
      </c>
      <c r="AK1355" s="9">
        <v>155.73627877784099</v>
      </c>
      <c r="AL1355" s="9">
        <v>212.11642795249799</v>
      </c>
      <c r="AM1355" s="9">
        <v>37.413929583775698</v>
      </c>
      <c r="AN1355" s="9">
        <v>0.60345047715767297</v>
      </c>
      <c r="AO1355" s="9">
        <v>0.49388443250935399</v>
      </c>
      <c r="AP1355" s="9">
        <v>359.983745200616</v>
      </c>
      <c r="AQ1355" s="9">
        <v>5.8061894387196098</v>
      </c>
      <c r="AR1355" s="9">
        <v>6.8550355826744198</v>
      </c>
      <c r="AS1355" s="8" t="s">
        <v>169</v>
      </c>
      <c r="AT1355" s="8" t="s">
        <v>169</v>
      </c>
      <c r="AU1355" s="10" t="s">
        <v>169</v>
      </c>
      <c r="AV1355" s="10">
        <v>0</v>
      </c>
      <c r="AW1355" s="10"/>
      <c r="AX1355" s="10" t="s">
        <v>169</v>
      </c>
      <c r="BF1355" s="12">
        <v>0.45</v>
      </c>
      <c r="BG1355" s="13">
        <v>166.24625040776999</v>
      </c>
      <c r="BH1355" s="96" t="str">
        <f>+VLOOKUP(G1355,Liste!$A$7:$G$50,3,FALSE)</f>
        <v>Pin d'Alep</v>
      </c>
      <c r="BI1355" s="96" t="str">
        <f>+VLOOKUP(H1355,Liste!$B$7:$G$50,5,FALSE)</f>
        <v>Pin d'Alep</v>
      </c>
      <c r="BJ1355" s="135">
        <f t="shared" si="417"/>
        <v>62</v>
      </c>
      <c r="BK1355" s="135" t="str">
        <f t="shared" si="419"/>
        <v>Pin d'Alep_F1_Classique_Pin d'Alep_62_</v>
      </c>
      <c r="BL1355" s="322"/>
      <c r="BM1355" s="13">
        <v>45.066801681263797</v>
      </c>
      <c r="BN1355" s="13">
        <v>211.31305208903399</v>
      </c>
      <c r="BO1355" s="13" t="s">
        <v>169</v>
      </c>
      <c r="BP1355" s="13">
        <v>139.96016108448799</v>
      </c>
      <c r="BQ1355" s="13">
        <v>6.5813704460540503</v>
      </c>
      <c r="BT1355" s="298" t="str">
        <f>+VLOOKUP(G1355,Liste!$A$7:$H$50,8,FALSE)</f>
        <v>Résineux</v>
      </c>
      <c r="BU1355" s="298">
        <f t="shared" si="420"/>
        <v>0</v>
      </c>
      <c r="BV1355" s="300">
        <f t="shared" si="421"/>
        <v>1</v>
      </c>
      <c r="BW1355" s="321">
        <v>0</v>
      </c>
      <c r="BX1355" s="298">
        <f t="shared" si="422"/>
        <v>0.43</v>
      </c>
      <c r="BY1355">
        <f t="shared" si="423"/>
        <v>0</v>
      </c>
      <c r="BZ1355" s="304">
        <f t="shared" si="424"/>
        <v>0</v>
      </c>
      <c r="CB1355" s="299">
        <v>0.6</v>
      </c>
      <c r="CC1355" s="299">
        <v>0.4</v>
      </c>
      <c r="CD1355">
        <f t="shared" si="425"/>
        <v>0</v>
      </c>
      <c r="CE1355">
        <f t="shared" si="426"/>
        <v>0</v>
      </c>
      <c r="CF1355">
        <f t="shared" si="427"/>
        <v>0</v>
      </c>
      <c r="CG1355">
        <f t="shared" si="428"/>
        <v>0</v>
      </c>
      <c r="CH1355">
        <f t="shared" si="429"/>
        <v>0</v>
      </c>
      <c r="CI1355">
        <f t="shared" si="430"/>
        <v>0</v>
      </c>
      <c r="CJ1355">
        <f t="shared" si="431"/>
        <v>0</v>
      </c>
      <c r="CK1355">
        <f t="shared" si="432"/>
        <v>0</v>
      </c>
      <c r="CL1355">
        <f t="shared" si="433"/>
        <v>0</v>
      </c>
      <c r="CM1355">
        <f t="shared" si="435"/>
        <v>0</v>
      </c>
      <c r="CN1355">
        <f t="shared" si="434"/>
        <v>0</v>
      </c>
      <c r="CO1355">
        <f t="shared" si="418"/>
        <v>0</v>
      </c>
    </row>
    <row r="1356" spans="1:93" x14ac:dyDescent="0.25">
      <c r="A1356" s="4">
        <v>2021</v>
      </c>
      <c r="B1356" s="318">
        <v>44320</v>
      </c>
      <c r="C1356" s="4" t="s">
        <v>1524</v>
      </c>
      <c r="D1356" s="4" t="s">
        <v>1525</v>
      </c>
      <c r="F1356" s="4" t="s">
        <v>1526</v>
      </c>
      <c r="G1356" s="5" t="s">
        <v>1514</v>
      </c>
      <c r="H1356" s="5" t="s">
        <v>1527</v>
      </c>
      <c r="I1356" s="5" t="s">
        <v>18</v>
      </c>
      <c r="J1356" s="5" t="s">
        <v>9</v>
      </c>
      <c r="K1356" s="5">
        <v>15.5</v>
      </c>
      <c r="L1356" s="5" t="s">
        <v>1528</v>
      </c>
      <c r="M1356" s="5">
        <v>1100</v>
      </c>
      <c r="N1356" s="5" t="s">
        <v>170</v>
      </c>
      <c r="O1356" s="6" t="s">
        <v>81</v>
      </c>
      <c r="P1356" s="6" t="s">
        <v>1530</v>
      </c>
      <c r="S1356" s="6">
        <v>15</v>
      </c>
      <c r="T1356" s="6">
        <v>4.33</v>
      </c>
      <c r="U1356" s="6">
        <v>1101</v>
      </c>
      <c r="V1356" s="6">
        <v>4.92</v>
      </c>
      <c r="W1356" s="6">
        <v>569</v>
      </c>
      <c r="X1356" s="6">
        <v>532</v>
      </c>
      <c r="Y1356" s="6">
        <v>0</v>
      </c>
      <c r="Z1356" s="6">
        <v>0</v>
      </c>
      <c r="AA1356" s="6">
        <v>0</v>
      </c>
      <c r="AB1356" s="6">
        <v>0</v>
      </c>
      <c r="AC1356" s="7">
        <v>63</v>
      </c>
      <c r="AD1356" s="7" t="s">
        <v>52</v>
      </c>
      <c r="AE1356" s="7">
        <v>18.16</v>
      </c>
      <c r="AF1356" s="7">
        <v>349</v>
      </c>
      <c r="AG1356" s="7">
        <v>20.65</v>
      </c>
      <c r="AH1356" s="7">
        <v>27.45</v>
      </c>
      <c r="AI1356" s="7">
        <v>29.35</v>
      </c>
      <c r="AJ1356" s="9">
        <v>156.69388777924601</v>
      </c>
      <c r="AK1356" s="9">
        <v>161.02956615026099</v>
      </c>
      <c r="AL1356" s="9">
        <v>218.97146353517201</v>
      </c>
      <c r="AM1356" s="9">
        <v>37.907814016285101</v>
      </c>
      <c r="AN1356" s="9">
        <v>0.60171133359182605</v>
      </c>
      <c r="AO1356" s="9">
        <v>0.49160160206160702</v>
      </c>
      <c r="AP1356" s="9">
        <v>366.83878078329002</v>
      </c>
      <c r="AQ1356" s="9">
        <v>5.8228377902109596</v>
      </c>
      <c r="AR1356" s="9">
        <v>6.87577459781357</v>
      </c>
      <c r="AS1356" s="8" t="s">
        <v>169</v>
      </c>
      <c r="AT1356" s="8" t="s">
        <v>169</v>
      </c>
      <c r="AU1356" s="10" t="s">
        <v>169</v>
      </c>
      <c r="AV1356" s="10">
        <v>0</v>
      </c>
      <c r="AW1356" s="10"/>
      <c r="AX1356" s="10" t="s">
        <v>169</v>
      </c>
      <c r="BF1356" s="12">
        <v>0.45</v>
      </c>
      <c r="BG1356" s="13">
        <v>171.618884545691</v>
      </c>
      <c r="BH1356" s="96" t="str">
        <f>+VLOOKUP(G1356,Liste!$A$7:$G$50,3,FALSE)</f>
        <v>Pin d'Alep</v>
      </c>
      <c r="BI1356" s="96" t="str">
        <f>+VLOOKUP(H1356,Liste!$B$7:$G$50,5,FALSE)</f>
        <v>Pin d'Alep</v>
      </c>
      <c r="BJ1356" s="135">
        <f t="shared" si="417"/>
        <v>63</v>
      </c>
      <c r="BK1356" s="135" t="str">
        <f t="shared" si="419"/>
        <v>Pin d'Alep_F1_Classique_Pin d'Alep_63_</v>
      </c>
      <c r="BL1356" s="322"/>
      <c r="BM1356" s="13">
        <v>46.351318842701502</v>
      </c>
      <c r="BN1356" s="13">
        <v>217.970203388393</v>
      </c>
      <c r="BO1356" s="13" t="s">
        <v>169</v>
      </c>
      <c r="BP1356" s="13">
        <v>139.96016108448799</v>
      </c>
      <c r="BQ1356" s="13">
        <v>6.5986431705216004</v>
      </c>
      <c r="BT1356" s="298" t="str">
        <f>+VLOOKUP(G1356,Liste!$A$7:$H$50,8,FALSE)</f>
        <v>Résineux</v>
      </c>
      <c r="BU1356" s="298">
        <f t="shared" si="420"/>
        <v>0</v>
      </c>
      <c r="BV1356" s="300">
        <f t="shared" si="421"/>
        <v>1</v>
      </c>
      <c r="BW1356" s="321">
        <v>0</v>
      </c>
      <c r="BX1356" s="298">
        <f t="shared" si="422"/>
        <v>0.43</v>
      </c>
      <c r="BY1356">
        <f t="shared" si="423"/>
        <v>0</v>
      </c>
      <c r="BZ1356" s="304">
        <f t="shared" si="424"/>
        <v>0</v>
      </c>
      <c r="CB1356" s="299">
        <v>0.6</v>
      </c>
      <c r="CC1356" s="299">
        <v>0.4</v>
      </c>
      <c r="CD1356">
        <f t="shared" si="425"/>
        <v>0</v>
      </c>
      <c r="CE1356">
        <f t="shared" si="426"/>
        <v>0</v>
      </c>
      <c r="CF1356">
        <f t="shared" si="427"/>
        <v>0</v>
      </c>
      <c r="CG1356">
        <f t="shared" si="428"/>
        <v>0</v>
      </c>
      <c r="CH1356">
        <f t="shared" si="429"/>
        <v>0</v>
      </c>
      <c r="CI1356">
        <f t="shared" si="430"/>
        <v>0</v>
      </c>
      <c r="CJ1356">
        <f t="shared" si="431"/>
        <v>0</v>
      </c>
      <c r="CK1356">
        <f t="shared" si="432"/>
        <v>0</v>
      </c>
      <c r="CL1356">
        <f t="shared" si="433"/>
        <v>0</v>
      </c>
      <c r="CM1356">
        <f t="shared" si="435"/>
        <v>0</v>
      </c>
      <c r="CN1356">
        <f t="shared" si="434"/>
        <v>0</v>
      </c>
      <c r="CO1356">
        <f t="shared" si="418"/>
        <v>0</v>
      </c>
    </row>
    <row r="1357" spans="1:93" x14ac:dyDescent="0.25">
      <c r="A1357" s="4">
        <v>2021</v>
      </c>
      <c r="B1357" s="318">
        <v>44320</v>
      </c>
      <c r="C1357" s="4" t="s">
        <v>1524</v>
      </c>
      <c r="D1357" s="4" t="s">
        <v>1525</v>
      </c>
      <c r="F1357" s="4" t="s">
        <v>1526</v>
      </c>
      <c r="G1357" s="5" t="s">
        <v>1514</v>
      </c>
      <c r="H1357" s="5" t="s">
        <v>1527</v>
      </c>
      <c r="I1357" s="5" t="s">
        <v>18</v>
      </c>
      <c r="J1357" s="5" t="s">
        <v>9</v>
      </c>
      <c r="K1357" s="5">
        <v>15.5</v>
      </c>
      <c r="L1357" s="5" t="s">
        <v>1528</v>
      </c>
      <c r="M1357" s="5">
        <v>1100</v>
      </c>
      <c r="N1357" s="5" t="s">
        <v>170</v>
      </c>
      <c r="O1357" s="6" t="s">
        <v>81</v>
      </c>
      <c r="P1357" s="6" t="s">
        <v>1530</v>
      </c>
      <c r="S1357" s="6">
        <v>15</v>
      </c>
      <c r="T1357" s="6">
        <v>4.33</v>
      </c>
      <c r="U1357" s="6">
        <v>1101</v>
      </c>
      <c r="V1357" s="6">
        <v>4.92</v>
      </c>
      <c r="W1357" s="6">
        <v>569</v>
      </c>
      <c r="X1357" s="6">
        <v>532</v>
      </c>
      <c r="Y1357" s="6">
        <v>0</v>
      </c>
      <c r="Z1357" s="6">
        <v>0</v>
      </c>
      <c r="AA1357" s="6">
        <v>0</v>
      </c>
      <c r="AB1357" s="6">
        <v>0</v>
      </c>
      <c r="AC1357" s="7">
        <v>64</v>
      </c>
      <c r="AD1357" s="7" t="s">
        <v>52</v>
      </c>
      <c r="AE1357" s="7">
        <v>18.34</v>
      </c>
      <c r="AF1357" s="7">
        <v>349</v>
      </c>
      <c r="AG1357" s="7">
        <v>21.14</v>
      </c>
      <c r="AH1357" s="7">
        <v>27.77</v>
      </c>
      <c r="AI1357" s="7">
        <v>29.73</v>
      </c>
      <c r="AJ1357" s="9">
        <v>161.83908800269401</v>
      </c>
      <c r="AK1357" s="9">
        <v>166.34364502321901</v>
      </c>
      <c r="AL1357" s="9">
        <v>225.84723813298601</v>
      </c>
      <c r="AM1357" s="9">
        <v>38.399415618346701</v>
      </c>
      <c r="AN1357" s="9">
        <v>0.59999086903666699</v>
      </c>
      <c r="AO1357" s="9">
        <v>0.49069653278005598</v>
      </c>
      <c r="AP1357" s="9">
        <v>373.71455538110399</v>
      </c>
      <c r="AQ1357" s="9">
        <v>5.8392899278297499</v>
      </c>
      <c r="AR1357" s="9">
        <v>6.9093895707355797</v>
      </c>
      <c r="AS1357" s="8" t="s">
        <v>169</v>
      </c>
      <c r="AT1357" s="8" t="s">
        <v>169</v>
      </c>
      <c r="AU1357" s="10" t="s">
        <v>169</v>
      </c>
      <c r="AV1357" s="10">
        <v>0</v>
      </c>
      <c r="AW1357" s="10"/>
      <c r="AX1357" s="10" t="s">
        <v>169</v>
      </c>
      <c r="BF1357" s="12">
        <v>0.45</v>
      </c>
      <c r="BG1357" s="13">
        <v>177.00777288672799</v>
      </c>
      <c r="BH1357" s="96" t="str">
        <f>+VLOOKUP(G1357,Liste!$A$7:$G$50,3,FALSE)</f>
        <v>Pin d'Alep</v>
      </c>
      <c r="BI1357" s="96" t="str">
        <f>+VLOOKUP(H1357,Liste!$B$7:$G$50,5,FALSE)</f>
        <v>Pin d'Alep</v>
      </c>
      <c r="BJ1357" s="135">
        <f t="shared" si="417"/>
        <v>64</v>
      </c>
      <c r="BK1357" s="135" t="str">
        <f t="shared" si="419"/>
        <v>Pin d'Alep_F1_Classique_Pin d'Alep_64_</v>
      </c>
      <c r="BL1357" s="322"/>
      <c r="BM1357" s="13">
        <v>47.635028043378703</v>
      </c>
      <c r="BN1357" s="13">
        <v>224.64280093010601</v>
      </c>
      <c r="BO1357" s="13" t="s">
        <v>169</v>
      </c>
      <c r="BP1357" s="13">
        <v>139.96016108448799</v>
      </c>
      <c r="BQ1357" s="13">
        <v>6.62829618054388</v>
      </c>
      <c r="BT1357" s="298" t="str">
        <f>+VLOOKUP(G1357,Liste!$A$7:$H$50,8,FALSE)</f>
        <v>Résineux</v>
      </c>
      <c r="BU1357" s="298">
        <f t="shared" si="420"/>
        <v>0</v>
      </c>
      <c r="BV1357" s="300">
        <f t="shared" si="421"/>
        <v>1</v>
      </c>
      <c r="BW1357" s="321">
        <v>0</v>
      </c>
      <c r="BX1357" s="298">
        <f t="shared" si="422"/>
        <v>0.43</v>
      </c>
      <c r="BY1357">
        <f t="shared" si="423"/>
        <v>0</v>
      </c>
      <c r="BZ1357" s="304">
        <f t="shared" si="424"/>
        <v>0</v>
      </c>
      <c r="CB1357" s="299">
        <v>0.6</v>
      </c>
      <c r="CC1357" s="299">
        <v>0.4</v>
      </c>
      <c r="CD1357">
        <f t="shared" si="425"/>
        <v>0</v>
      </c>
      <c r="CE1357">
        <f t="shared" si="426"/>
        <v>0</v>
      </c>
      <c r="CF1357">
        <f t="shared" si="427"/>
        <v>0</v>
      </c>
      <c r="CG1357">
        <f t="shared" si="428"/>
        <v>0</v>
      </c>
      <c r="CH1357">
        <f t="shared" si="429"/>
        <v>0</v>
      </c>
      <c r="CI1357">
        <f t="shared" si="430"/>
        <v>0</v>
      </c>
      <c r="CJ1357">
        <f t="shared" si="431"/>
        <v>0</v>
      </c>
      <c r="CK1357">
        <f t="shared" si="432"/>
        <v>0</v>
      </c>
      <c r="CL1357">
        <f t="shared" si="433"/>
        <v>0</v>
      </c>
      <c r="CM1357">
        <f t="shared" si="435"/>
        <v>0</v>
      </c>
      <c r="CN1357">
        <f t="shared" si="434"/>
        <v>0</v>
      </c>
      <c r="CO1357">
        <f t="shared" si="418"/>
        <v>0</v>
      </c>
    </row>
    <row r="1358" spans="1:93" x14ac:dyDescent="0.25">
      <c r="A1358" s="4">
        <v>2021</v>
      </c>
      <c r="B1358" s="318">
        <v>44320</v>
      </c>
      <c r="C1358" s="4" t="s">
        <v>1524</v>
      </c>
      <c r="D1358" s="4" t="s">
        <v>1525</v>
      </c>
      <c r="F1358" s="4" t="s">
        <v>1526</v>
      </c>
      <c r="G1358" s="5" t="s">
        <v>1514</v>
      </c>
      <c r="H1358" s="5" t="s">
        <v>1527</v>
      </c>
      <c r="I1358" s="5" t="s">
        <v>18</v>
      </c>
      <c r="J1358" s="5" t="s">
        <v>9</v>
      </c>
      <c r="K1358" s="5">
        <v>15.5</v>
      </c>
      <c r="L1358" s="5" t="s">
        <v>1528</v>
      </c>
      <c r="M1358" s="5">
        <v>1100</v>
      </c>
      <c r="N1358" s="5" t="s">
        <v>170</v>
      </c>
      <c r="O1358" s="6" t="s">
        <v>81</v>
      </c>
      <c r="P1358" s="6" t="s">
        <v>1530</v>
      </c>
      <c r="S1358" s="6">
        <v>15</v>
      </c>
      <c r="T1358" s="6">
        <v>4.33</v>
      </c>
      <c r="U1358" s="6">
        <v>1101</v>
      </c>
      <c r="V1358" s="6">
        <v>4.92</v>
      </c>
      <c r="W1358" s="6">
        <v>569</v>
      </c>
      <c r="X1358" s="6">
        <v>532</v>
      </c>
      <c r="Y1358" s="6">
        <v>0</v>
      </c>
      <c r="Z1358" s="6">
        <v>0</v>
      </c>
      <c r="AA1358" s="6">
        <v>0</v>
      </c>
      <c r="AB1358" s="6">
        <v>0</v>
      </c>
      <c r="AC1358" s="7">
        <v>65</v>
      </c>
      <c r="AD1358" s="7" t="s">
        <v>52</v>
      </c>
      <c r="AE1358" s="7">
        <v>18.52</v>
      </c>
      <c r="AF1358" s="7">
        <v>349</v>
      </c>
      <c r="AG1358" s="7">
        <v>21.63</v>
      </c>
      <c r="AH1358" s="7">
        <v>28.09</v>
      </c>
      <c r="AI1358" s="7">
        <v>30.1</v>
      </c>
      <c r="AJ1358" s="9">
        <v>167.011877313946</v>
      </c>
      <c r="AK1358" s="9">
        <v>171.687241706614</v>
      </c>
      <c r="AL1358" s="9">
        <v>232.75662770372099</v>
      </c>
      <c r="AM1358" s="9">
        <v>38.890112151126701</v>
      </c>
      <c r="AN1358" s="9">
        <v>0.59830941770964197</v>
      </c>
      <c r="AO1358" s="9">
        <v>0.48886361767020498</v>
      </c>
      <c r="AP1358" s="9">
        <v>380.62394495183997</v>
      </c>
      <c r="AQ1358" s="9">
        <v>5.85575299925907</v>
      </c>
      <c r="AR1358" s="9">
        <v>6.9595895211960501</v>
      </c>
      <c r="AS1358" s="8" t="s">
        <v>169</v>
      </c>
      <c r="AT1358" s="8" t="s">
        <v>169</v>
      </c>
      <c r="AU1358" s="10" t="s">
        <v>169</v>
      </c>
      <c r="AV1358" s="10">
        <v>0</v>
      </c>
      <c r="AW1358" s="10"/>
      <c r="AX1358" s="10" t="s">
        <v>169</v>
      </c>
      <c r="BF1358" s="12">
        <v>0.45</v>
      </c>
      <c r="BG1358" s="13">
        <v>182.42300696279199</v>
      </c>
      <c r="BH1358" s="96" t="str">
        <f>+VLOOKUP(G1358,Liste!$A$7:$G$50,3,FALSE)</f>
        <v>Pin d'Alep</v>
      </c>
      <c r="BI1358" s="96" t="str">
        <f>+VLOOKUP(H1358,Liste!$B$7:$G$50,5,FALSE)</f>
        <v>Pin d'Alep</v>
      </c>
      <c r="BJ1358" s="135">
        <f t="shared" si="417"/>
        <v>65</v>
      </c>
      <c r="BK1358" s="135" t="str">
        <f t="shared" si="419"/>
        <v>Pin d'Alep_F1_Classique_Pin d'Alep_65_</v>
      </c>
      <c r="BL1358" s="322"/>
      <c r="BM1358" s="13">
        <v>48.920438257353702</v>
      </c>
      <c r="BN1358" s="13">
        <v>231.34344522014499</v>
      </c>
      <c r="BO1358" s="13" t="s">
        <v>169</v>
      </c>
      <c r="BP1358" s="13">
        <v>139.96016108448799</v>
      </c>
      <c r="BQ1358" s="13">
        <v>6.6738653824959897</v>
      </c>
      <c r="BT1358" s="298" t="str">
        <f>+VLOOKUP(G1358,Liste!$A$7:$H$50,8,FALSE)</f>
        <v>Résineux</v>
      </c>
      <c r="BU1358" s="298">
        <f t="shared" si="420"/>
        <v>0</v>
      </c>
      <c r="BV1358" s="300">
        <f t="shared" si="421"/>
        <v>1</v>
      </c>
      <c r="BW1358" s="321">
        <v>0</v>
      </c>
      <c r="BX1358" s="298">
        <f t="shared" si="422"/>
        <v>0.43</v>
      </c>
      <c r="BY1358">
        <f t="shared" si="423"/>
        <v>0</v>
      </c>
      <c r="BZ1358" s="304">
        <f t="shared" si="424"/>
        <v>0</v>
      </c>
      <c r="CB1358" s="299">
        <v>0.6</v>
      </c>
      <c r="CC1358" s="299">
        <v>0.4</v>
      </c>
      <c r="CD1358">
        <f t="shared" si="425"/>
        <v>0</v>
      </c>
      <c r="CE1358">
        <f t="shared" si="426"/>
        <v>0</v>
      </c>
      <c r="CF1358">
        <f t="shared" si="427"/>
        <v>0</v>
      </c>
      <c r="CG1358">
        <f t="shared" si="428"/>
        <v>0</v>
      </c>
      <c r="CH1358">
        <f t="shared" si="429"/>
        <v>0</v>
      </c>
      <c r="CI1358">
        <f t="shared" si="430"/>
        <v>0</v>
      </c>
      <c r="CJ1358">
        <f t="shared" si="431"/>
        <v>0</v>
      </c>
      <c r="CK1358">
        <f t="shared" si="432"/>
        <v>0</v>
      </c>
      <c r="CL1358">
        <f t="shared" si="433"/>
        <v>0</v>
      </c>
      <c r="CM1358">
        <f t="shared" si="435"/>
        <v>0</v>
      </c>
      <c r="CN1358">
        <f t="shared" si="434"/>
        <v>0</v>
      </c>
      <c r="CO1358">
        <f t="shared" si="418"/>
        <v>0</v>
      </c>
    </row>
    <row r="1359" spans="1:93" x14ac:dyDescent="0.25">
      <c r="A1359" s="4">
        <v>2021</v>
      </c>
      <c r="B1359" s="318">
        <v>44320</v>
      </c>
      <c r="C1359" s="4" t="s">
        <v>1524</v>
      </c>
      <c r="D1359" s="4" t="s">
        <v>1525</v>
      </c>
      <c r="F1359" s="4" t="s">
        <v>1526</v>
      </c>
      <c r="G1359" s="5" t="s">
        <v>1514</v>
      </c>
      <c r="H1359" s="5" t="s">
        <v>1527</v>
      </c>
      <c r="I1359" s="5" t="s">
        <v>18</v>
      </c>
      <c r="J1359" s="5" t="s">
        <v>9</v>
      </c>
      <c r="K1359" s="5">
        <v>15.5</v>
      </c>
      <c r="L1359" s="5" t="s">
        <v>1528</v>
      </c>
      <c r="M1359" s="5">
        <v>1100</v>
      </c>
      <c r="N1359" s="5" t="s">
        <v>170</v>
      </c>
      <c r="O1359" s="6" t="s">
        <v>81</v>
      </c>
      <c r="P1359" s="6" t="s">
        <v>1530</v>
      </c>
      <c r="S1359" s="6">
        <v>15</v>
      </c>
      <c r="T1359" s="6">
        <v>4.33</v>
      </c>
      <c r="U1359" s="6">
        <v>1101</v>
      </c>
      <c r="V1359" s="6">
        <v>4.92</v>
      </c>
      <c r="W1359" s="6">
        <v>569</v>
      </c>
      <c r="X1359" s="6">
        <v>532</v>
      </c>
      <c r="Y1359" s="6">
        <v>0</v>
      </c>
      <c r="Z1359" s="6">
        <v>0</v>
      </c>
      <c r="AA1359" s="6">
        <v>0</v>
      </c>
      <c r="AB1359" s="6">
        <v>0</v>
      </c>
      <c r="AC1359" s="7">
        <v>66</v>
      </c>
      <c r="AD1359" s="7" t="s">
        <v>52</v>
      </c>
      <c r="AE1359" s="7">
        <v>18.690000000000001</v>
      </c>
      <c r="AF1359" s="7">
        <v>349</v>
      </c>
      <c r="AG1359" s="7">
        <v>22.12</v>
      </c>
      <c r="AH1359" s="7">
        <v>28.41</v>
      </c>
      <c r="AI1359" s="7">
        <v>30.46</v>
      </c>
      <c r="AJ1359" s="9">
        <v>172.231121545267</v>
      </c>
      <c r="AK1359" s="9">
        <v>177.078551388172</v>
      </c>
      <c r="AL1359" s="9">
        <v>239.71621722491699</v>
      </c>
      <c r="AM1359" s="9">
        <v>39.378975768796899</v>
      </c>
      <c r="AN1359" s="9">
        <v>0.59665114801207497</v>
      </c>
      <c r="AO1359" s="9">
        <v>0.486354781046963</v>
      </c>
      <c r="AP1359" s="9">
        <v>387.58353447303602</v>
      </c>
      <c r="AQ1359" s="9">
        <v>5.8724777950459996</v>
      </c>
      <c r="AR1359" s="9">
        <v>6.9122272377574596</v>
      </c>
      <c r="AS1359" s="8" t="s">
        <v>169</v>
      </c>
      <c r="AT1359" s="8" t="s">
        <v>169</v>
      </c>
      <c r="AU1359" s="10" t="s">
        <v>169</v>
      </c>
      <c r="AV1359" s="10">
        <v>0</v>
      </c>
      <c r="AW1359" s="10"/>
      <c r="AX1359" s="10" t="s">
        <v>169</v>
      </c>
      <c r="BF1359" s="12">
        <v>0.45</v>
      </c>
      <c r="BG1359" s="13">
        <v>187.877585250029</v>
      </c>
      <c r="BH1359" s="96" t="str">
        <f>+VLOOKUP(G1359,Liste!$A$7:$G$50,3,FALSE)</f>
        <v>Pin d'Alep</v>
      </c>
      <c r="BI1359" s="96" t="str">
        <f>+VLOOKUP(H1359,Liste!$B$7:$G$50,5,FALSE)</f>
        <v>Pin d'Alep</v>
      </c>
      <c r="BJ1359" s="135">
        <f t="shared" si="417"/>
        <v>66</v>
      </c>
      <c r="BK1359" s="135" t="str">
        <f t="shared" si="419"/>
        <v>Pin d'Alep_F1_Classique_Pin d'Alep_66_</v>
      </c>
      <c r="BL1359" s="322"/>
      <c r="BM1359" s="13">
        <v>50.2107049360486</v>
      </c>
      <c r="BN1359" s="13">
        <v>238.08829018607801</v>
      </c>
      <c r="BO1359" s="13" t="s">
        <v>169</v>
      </c>
      <c r="BP1359" s="13">
        <v>139.96016108448799</v>
      </c>
      <c r="BQ1359" s="13">
        <v>6.6259274218055602</v>
      </c>
      <c r="BT1359" s="298" t="str">
        <f>+VLOOKUP(G1359,Liste!$A$7:$H$50,8,FALSE)</f>
        <v>Résineux</v>
      </c>
      <c r="BU1359" s="298">
        <f t="shared" si="420"/>
        <v>0</v>
      </c>
      <c r="BV1359" s="300">
        <f t="shared" si="421"/>
        <v>1</v>
      </c>
      <c r="BW1359" s="321">
        <v>0</v>
      </c>
      <c r="BX1359" s="298">
        <f t="shared" si="422"/>
        <v>0.43</v>
      </c>
      <c r="BY1359">
        <f t="shared" si="423"/>
        <v>0</v>
      </c>
      <c r="BZ1359" s="304">
        <f t="shared" si="424"/>
        <v>0</v>
      </c>
      <c r="CB1359" s="299">
        <v>0.6</v>
      </c>
      <c r="CC1359" s="299">
        <v>0.4</v>
      </c>
      <c r="CD1359">
        <f t="shared" si="425"/>
        <v>0</v>
      </c>
      <c r="CE1359">
        <f t="shared" si="426"/>
        <v>0</v>
      </c>
      <c r="CF1359">
        <f t="shared" si="427"/>
        <v>0</v>
      </c>
      <c r="CG1359">
        <f t="shared" si="428"/>
        <v>0</v>
      </c>
      <c r="CH1359">
        <f t="shared" si="429"/>
        <v>0</v>
      </c>
      <c r="CI1359">
        <f t="shared" si="430"/>
        <v>0</v>
      </c>
      <c r="CJ1359">
        <f t="shared" si="431"/>
        <v>0</v>
      </c>
      <c r="CK1359">
        <f t="shared" si="432"/>
        <v>0</v>
      </c>
      <c r="CL1359">
        <f t="shared" si="433"/>
        <v>0</v>
      </c>
      <c r="CM1359">
        <f t="shared" si="435"/>
        <v>0</v>
      </c>
      <c r="CN1359">
        <f t="shared" si="434"/>
        <v>0</v>
      </c>
      <c r="CO1359">
        <f t="shared" si="418"/>
        <v>0</v>
      </c>
    </row>
    <row r="1360" spans="1:93" x14ac:dyDescent="0.25">
      <c r="A1360" s="4">
        <v>2021</v>
      </c>
      <c r="B1360" s="318">
        <v>44320</v>
      </c>
      <c r="C1360" s="4" t="s">
        <v>1524</v>
      </c>
      <c r="D1360" s="4" t="s">
        <v>1525</v>
      </c>
      <c r="F1360" s="4" t="s">
        <v>1526</v>
      </c>
      <c r="G1360" s="5" t="s">
        <v>1514</v>
      </c>
      <c r="H1360" s="5" t="s">
        <v>1527</v>
      </c>
      <c r="I1360" s="5" t="s">
        <v>18</v>
      </c>
      <c r="J1360" s="5" t="s">
        <v>9</v>
      </c>
      <c r="K1360" s="5">
        <v>15.5</v>
      </c>
      <c r="L1360" s="5" t="s">
        <v>1528</v>
      </c>
      <c r="M1360" s="5">
        <v>1100</v>
      </c>
      <c r="N1360" s="5" t="s">
        <v>170</v>
      </c>
      <c r="O1360" s="6" t="s">
        <v>81</v>
      </c>
      <c r="P1360" s="6" t="s">
        <v>1530</v>
      </c>
      <c r="S1360" s="6">
        <v>15</v>
      </c>
      <c r="T1360" s="6">
        <v>4.33</v>
      </c>
      <c r="U1360" s="6">
        <v>1101</v>
      </c>
      <c r="V1360" s="6">
        <v>4.92</v>
      </c>
      <c r="W1360" s="6">
        <v>569</v>
      </c>
      <c r="X1360" s="6">
        <v>532</v>
      </c>
      <c r="Y1360" s="6">
        <v>0</v>
      </c>
      <c r="Z1360" s="6">
        <v>0</v>
      </c>
      <c r="AA1360" s="6">
        <v>0</v>
      </c>
      <c r="AB1360" s="6">
        <v>0</v>
      </c>
      <c r="AC1360" s="7">
        <v>67</v>
      </c>
      <c r="AD1360" s="7" t="s">
        <v>52</v>
      </c>
      <c r="AE1360" s="7">
        <v>18.86</v>
      </c>
      <c r="AF1360" s="7">
        <v>349</v>
      </c>
      <c r="AG1360" s="7">
        <v>22.61</v>
      </c>
      <c r="AH1360" s="7">
        <v>28.72</v>
      </c>
      <c r="AI1360" s="7">
        <v>30.82</v>
      </c>
      <c r="AJ1360" s="9">
        <v>177.405408269991</v>
      </c>
      <c r="AK1360" s="9">
        <v>182.426606571142</v>
      </c>
      <c r="AL1360" s="9">
        <v>246.62844446267499</v>
      </c>
      <c r="AM1360" s="9">
        <v>39.865330549843897</v>
      </c>
      <c r="AN1360" s="9">
        <v>0.59500493357975903</v>
      </c>
      <c r="AO1360" s="9">
        <v>0.485204769640184</v>
      </c>
      <c r="AP1360" s="9">
        <v>394.49576171079298</v>
      </c>
      <c r="AQ1360" s="9">
        <v>5.8879964434446697</v>
      </c>
      <c r="AR1360" s="9">
        <v>7.0126783454017003</v>
      </c>
      <c r="AS1360" s="8" t="s">
        <v>169</v>
      </c>
      <c r="AT1360" s="8" t="s">
        <v>169</v>
      </c>
      <c r="AU1360" s="10" t="s">
        <v>169</v>
      </c>
      <c r="AV1360" s="10">
        <v>0</v>
      </c>
      <c r="AW1360" s="10"/>
      <c r="AX1360" s="10" t="s">
        <v>169</v>
      </c>
      <c r="BF1360" s="12">
        <v>0.45</v>
      </c>
      <c r="BG1360" s="13">
        <v>193.295043347621</v>
      </c>
      <c r="BH1360" s="96" t="str">
        <f>+VLOOKUP(G1360,Liste!$A$7:$G$50,3,FALSE)</f>
        <v>Pin d'Alep</v>
      </c>
      <c r="BI1360" s="96" t="str">
        <f>+VLOOKUP(H1360,Liste!$B$7:$G$50,5,FALSE)</f>
        <v>Pin d'Alep</v>
      </c>
      <c r="BJ1360" s="135">
        <f t="shared" si="417"/>
        <v>67</v>
      </c>
      <c r="BK1360" s="135" t="str">
        <f t="shared" si="419"/>
        <v>Pin d'Alep_F1_Classique_Pin d'Alep_67_</v>
      </c>
      <c r="BL1360" s="322"/>
      <c r="BM1360" s="13">
        <v>51.487881346571797</v>
      </c>
      <c r="BN1360" s="13">
        <v>244.78292469419301</v>
      </c>
      <c r="BO1360" s="13" t="s">
        <v>169</v>
      </c>
      <c r="BP1360" s="13">
        <v>139.96016108448799</v>
      </c>
      <c r="BQ1360" s="13">
        <v>6.7197018903524404</v>
      </c>
      <c r="BT1360" s="298" t="str">
        <f>+VLOOKUP(G1360,Liste!$A$7:$H$50,8,FALSE)</f>
        <v>Résineux</v>
      </c>
      <c r="BU1360" s="298">
        <f t="shared" si="420"/>
        <v>0</v>
      </c>
      <c r="BV1360" s="300">
        <f t="shared" si="421"/>
        <v>1</v>
      </c>
      <c r="BW1360" s="321">
        <v>0</v>
      </c>
      <c r="BX1360" s="298">
        <f t="shared" si="422"/>
        <v>0.43</v>
      </c>
      <c r="BY1360">
        <f t="shared" si="423"/>
        <v>0</v>
      </c>
      <c r="BZ1360" s="304">
        <f t="shared" si="424"/>
        <v>0</v>
      </c>
      <c r="CB1360" s="299">
        <v>0.6</v>
      </c>
      <c r="CC1360" s="299">
        <v>0.4</v>
      </c>
      <c r="CD1360">
        <f t="shared" si="425"/>
        <v>0</v>
      </c>
      <c r="CE1360">
        <f t="shared" si="426"/>
        <v>0</v>
      </c>
      <c r="CF1360">
        <f t="shared" si="427"/>
        <v>0</v>
      </c>
      <c r="CG1360">
        <f t="shared" si="428"/>
        <v>0</v>
      </c>
      <c r="CH1360">
        <f t="shared" si="429"/>
        <v>0</v>
      </c>
      <c r="CI1360">
        <f t="shared" si="430"/>
        <v>0</v>
      </c>
      <c r="CJ1360">
        <f t="shared" si="431"/>
        <v>0</v>
      </c>
      <c r="CK1360">
        <f t="shared" si="432"/>
        <v>0</v>
      </c>
      <c r="CL1360">
        <f t="shared" si="433"/>
        <v>0</v>
      </c>
      <c r="CM1360">
        <f t="shared" si="435"/>
        <v>0</v>
      </c>
      <c r="CN1360">
        <f t="shared" si="434"/>
        <v>0</v>
      </c>
      <c r="CO1360">
        <f t="shared" si="418"/>
        <v>0</v>
      </c>
    </row>
    <row r="1361" spans="1:93" x14ac:dyDescent="0.25">
      <c r="A1361" s="4">
        <v>2021</v>
      </c>
      <c r="B1361" s="318">
        <v>44320</v>
      </c>
      <c r="C1361" s="4" t="s">
        <v>1524</v>
      </c>
      <c r="D1361" s="4" t="s">
        <v>1525</v>
      </c>
      <c r="F1361" s="4" t="s">
        <v>1526</v>
      </c>
      <c r="G1361" s="5" t="s">
        <v>1514</v>
      </c>
      <c r="H1361" s="5" t="s">
        <v>1527</v>
      </c>
      <c r="I1361" s="5" t="s">
        <v>18</v>
      </c>
      <c r="J1361" s="5" t="s">
        <v>9</v>
      </c>
      <c r="K1361" s="5">
        <v>15.5</v>
      </c>
      <c r="L1361" s="5" t="s">
        <v>1528</v>
      </c>
      <c r="M1361" s="5">
        <v>1100</v>
      </c>
      <c r="N1361" s="5" t="s">
        <v>170</v>
      </c>
      <c r="O1361" s="6" t="s">
        <v>81</v>
      </c>
      <c r="P1361" s="6" t="s">
        <v>1530</v>
      </c>
      <c r="S1361" s="6">
        <v>15</v>
      </c>
      <c r="T1361" s="6">
        <v>4.33</v>
      </c>
      <c r="U1361" s="6">
        <v>1101</v>
      </c>
      <c r="V1361" s="6">
        <v>4.92</v>
      </c>
      <c r="W1361" s="6">
        <v>569</v>
      </c>
      <c r="X1361" s="6">
        <v>532</v>
      </c>
      <c r="Y1361" s="6">
        <v>0</v>
      </c>
      <c r="Z1361" s="6">
        <v>0</v>
      </c>
      <c r="AA1361" s="6">
        <v>0</v>
      </c>
      <c r="AB1361" s="6">
        <v>0</v>
      </c>
      <c r="AC1361" s="7">
        <v>68</v>
      </c>
      <c r="AD1361" s="7" t="s">
        <v>52</v>
      </c>
      <c r="AE1361" s="7">
        <v>19.02</v>
      </c>
      <c r="AF1361" s="7">
        <v>349</v>
      </c>
      <c r="AG1361" s="7">
        <v>23.09</v>
      </c>
      <c r="AH1361" s="7">
        <v>29.02</v>
      </c>
      <c r="AI1361" s="7">
        <v>31.18</v>
      </c>
      <c r="AJ1361" s="9">
        <v>182.672725295177</v>
      </c>
      <c r="AK1361" s="9">
        <v>187.868786711799</v>
      </c>
      <c r="AL1361" s="9">
        <v>253.641122808077</v>
      </c>
      <c r="AM1361" s="9">
        <v>40.350535319484102</v>
      </c>
      <c r="AN1361" s="9">
        <v>0.59339022528652996</v>
      </c>
      <c r="AO1361" s="9">
        <v>0.48233665262709702</v>
      </c>
      <c r="AP1361" s="9">
        <v>401.50844005619501</v>
      </c>
      <c r="AQ1361" s="9">
        <v>5.9045358831793404</v>
      </c>
      <c r="AR1361" s="9">
        <v>6.9786544958515204</v>
      </c>
      <c r="AS1361" s="8" t="s">
        <v>169</v>
      </c>
      <c r="AT1361" s="8" t="s">
        <v>169</v>
      </c>
      <c r="AU1361" s="10" t="s">
        <v>169</v>
      </c>
      <c r="AV1361" s="10">
        <v>0</v>
      </c>
      <c r="AW1361" s="10"/>
      <c r="AX1361" s="10" t="s">
        <v>169</v>
      </c>
      <c r="BF1361" s="12">
        <v>0.45</v>
      </c>
      <c r="BG1361" s="13">
        <v>198.79123000083001</v>
      </c>
      <c r="BH1361" s="96" t="str">
        <f>+VLOOKUP(G1361,Liste!$A$7:$G$50,3,FALSE)</f>
        <v>Pin d'Alep</v>
      </c>
      <c r="BI1361" s="96" t="str">
        <f>+VLOOKUP(H1361,Liste!$B$7:$G$50,5,FALSE)</f>
        <v>Pin d'Alep</v>
      </c>
      <c r="BJ1361" s="135">
        <f t="shared" si="417"/>
        <v>68</v>
      </c>
      <c r="BK1361" s="135" t="str">
        <f t="shared" si="419"/>
        <v>Pin d'Alep_F1_Classique_Pin d'Alep_68_</v>
      </c>
      <c r="BL1361" s="322"/>
      <c r="BM1361" s="13">
        <v>52.779367318010003</v>
      </c>
      <c r="BN1361" s="13">
        <v>251.57059731883999</v>
      </c>
      <c r="BO1361" s="13" t="s">
        <v>169</v>
      </c>
      <c r="BP1361" s="13">
        <v>139.96016108448799</v>
      </c>
      <c r="BQ1361" s="13">
        <v>6.6846324308820604</v>
      </c>
      <c r="BT1361" s="298" t="str">
        <f>+VLOOKUP(G1361,Liste!$A$7:$H$50,8,FALSE)</f>
        <v>Résineux</v>
      </c>
      <c r="BU1361" s="298">
        <f t="shared" si="420"/>
        <v>0</v>
      </c>
      <c r="BV1361" s="300">
        <f t="shared" si="421"/>
        <v>1</v>
      </c>
      <c r="BW1361" s="321">
        <v>0</v>
      </c>
      <c r="BX1361" s="298">
        <f t="shared" si="422"/>
        <v>0.43</v>
      </c>
      <c r="BY1361">
        <f t="shared" si="423"/>
        <v>0</v>
      </c>
      <c r="BZ1361" s="304">
        <f t="shared" si="424"/>
        <v>0</v>
      </c>
      <c r="CB1361" s="299">
        <v>0.6</v>
      </c>
      <c r="CC1361" s="299">
        <v>0.4</v>
      </c>
      <c r="CD1361">
        <f t="shared" si="425"/>
        <v>0</v>
      </c>
      <c r="CE1361">
        <f t="shared" si="426"/>
        <v>0</v>
      </c>
      <c r="CF1361">
        <f t="shared" si="427"/>
        <v>0</v>
      </c>
      <c r="CG1361">
        <f t="shared" si="428"/>
        <v>0</v>
      </c>
      <c r="CH1361">
        <f t="shared" si="429"/>
        <v>0</v>
      </c>
      <c r="CI1361">
        <f t="shared" si="430"/>
        <v>0</v>
      </c>
      <c r="CJ1361">
        <f t="shared" si="431"/>
        <v>0</v>
      </c>
      <c r="CK1361">
        <f t="shared" si="432"/>
        <v>0</v>
      </c>
      <c r="CL1361">
        <f t="shared" si="433"/>
        <v>0</v>
      </c>
      <c r="CM1361">
        <f t="shared" si="435"/>
        <v>0</v>
      </c>
      <c r="CN1361">
        <f t="shared" si="434"/>
        <v>0</v>
      </c>
      <c r="CO1361">
        <f t="shared" si="418"/>
        <v>0</v>
      </c>
    </row>
    <row r="1362" spans="1:93" x14ac:dyDescent="0.25">
      <c r="A1362" s="4">
        <v>2021</v>
      </c>
      <c r="B1362" s="318">
        <v>44320</v>
      </c>
      <c r="C1362" s="4" t="s">
        <v>1524</v>
      </c>
      <c r="D1362" s="4" t="s">
        <v>1525</v>
      </c>
      <c r="F1362" s="4" t="s">
        <v>1526</v>
      </c>
      <c r="G1362" s="5" t="s">
        <v>1514</v>
      </c>
      <c r="H1362" s="5" t="s">
        <v>1527</v>
      </c>
      <c r="I1362" s="5" t="s">
        <v>18</v>
      </c>
      <c r="J1362" s="5" t="s">
        <v>9</v>
      </c>
      <c r="K1362" s="5">
        <v>15.5</v>
      </c>
      <c r="L1362" s="5" t="s">
        <v>1528</v>
      </c>
      <c r="M1362" s="5">
        <v>1100</v>
      </c>
      <c r="N1362" s="5" t="s">
        <v>170</v>
      </c>
      <c r="O1362" s="6" t="s">
        <v>81</v>
      </c>
      <c r="P1362" s="6" t="s">
        <v>1530</v>
      </c>
      <c r="S1362" s="6">
        <v>15</v>
      </c>
      <c r="T1362" s="6">
        <v>4.33</v>
      </c>
      <c r="U1362" s="6">
        <v>1101</v>
      </c>
      <c r="V1362" s="6">
        <v>4.92</v>
      </c>
      <c r="W1362" s="6">
        <v>569</v>
      </c>
      <c r="X1362" s="6">
        <v>532</v>
      </c>
      <c r="Y1362" s="6">
        <v>0</v>
      </c>
      <c r="Z1362" s="6">
        <v>0</v>
      </c>
      <c r="AA1362" s="6">
        <v>0</v>
      </c>
      <c r="AB1362" s="6">
        <v>0</v>
      </c>
      <c r="AC1362" s="7">
        <v>69</v>
      </c>
      <c r="AD1362" s="7" t="s">
        <v>52</v>
      </c>
      <c r="AE1362" s="7">
        <v>19.190000000000001</v>
      </c>
      <c r="AF1362" s="7">
        <v>349</v>
      </c>
      <c r="AG1362" s="7">
        <v>23.57</v>
      </c>
      <c r="AH1362" s="7">
        <v>29.33</v>
      </c>
      <c r="AI1362" s="7">
        <v>31.53</v>
      </c>
      <c r="AJ1362" s="9">
        <v>187.909429676386</v>
      </c>
      <c r="AK1362" s="9">
        <v>193.28163992613699</v>
      </c>
      <c r="AL1362" s="9">
        <v>260.619777303928</v>
      </c>
      <c r="AM1362" s="9">
        <v>40.832871972111199</v>
      </c>
      <c r="AN1362" s="9">
        <v>0.59178075321900203</v>
      </c>
      <c r="AO1362" s="9">
        <v>0.47972415915423</v>
      </c>
      <c r="AP1362" s="9">
        <v>408.48709455204602</v>
      </c>
      <c r="AQ1362" s="9">
        <v>5.9201028195948702</v>
      </c>
      <c r="AR1362" s="9">
        <v>6.9951381029997002</v>
      </c>
      <c r="AS1362" s="8" t="s">
        <v>169</v>
      </c>
      <c r="AT1362" s="8" t="s">
        <v>169</v>
      </c>
      <c r="AU1362" s="10" t="s">
        <v>169</v>
      </c>
      <c r="AV1362" s="10">
        <v>0</v>
      </c>
      <c r="AW1362" s="10"/>
      <c r="AX1362" s="10" t="s">
        <v>169</v>
      </c>
      <c r="BF1362" s="12">
        <v>0.45</v>
      </c>
      <c r="BG1362" s="13">
        <v>204.26075046195399</v>
      </c>
      <c r="BH1362" s="96" t="str">
        <f>+VLOOKUP(G1362,Liste!$A$7:$G$50,3,FALSE)</f>
        <v>Pin d'Alep</v>
      </c>
      <c r="BI1362" s="96" t="str">
        <f>+VLOOKUP(H1362,Liste!$B$7:$G$50,5,FALSE)</f>
        <v>Pin d'Alep</v>
      </c>
      <c r="BJ1362" s="135">
        <f t="shared" si="417"/>
        <v>69</v>
      </c>
      <c r="BK1362" s="135" t="str">
        <f t="shared" si="419"/>
        <v>Pin d'Alep_F1_Classique_Pin d'Alep_69_</v>
      </c>
      <c r="BL1362" s="322"/>
      <c r="BM1362" s="13">
        <v>54.060467079934199</v>
      </c>
      <c r="BN1362" s="13">
        <v>258.32121754188802</v>
      </c>
      <c r="BO1362" s="13" t="s">
        <v>169</v>
      </c>
      <c r="BP1362" s="13">
        <v>139.96016108448799</v>
      </c>
      <c r="BQ1362" s="13">
        <v>6.6979989443270798</v>
      </c>
      <c r="BT1362" s="298" t="str">
        <f>+VLOOKUP(G1362,Liste!$A$7:$H$50,8,FALSE)</f>
        <v>Résineux</v>
      </c>
      <c r="BU1362" s="298">
        <f t="shared" si="420"/>
        <v>0</v>
      </c>
      <c r="BV1362" s="300">
        <f t="shared" si="421"/>
        <v>1</v>
      </c>
      <c r="BW1362" s="321">
        <v>0</v>
      </c>
      <c r="BX1362" s="298">
        <f t="shared" si="422"/>
        <v>0.43</v>
      </c>
      <c r="BY1362">
        <f t="shared" si="423"/>
        <v>0</v>
      </c>
      <c r="BZ1362" s="304">
        <f t="shared" si="424"/>
        <v>0</v>
      </c>
      <c r="CB1362" s="299">
        <v>0.6</v>
      </c>
      <c r="CC1362" s="299">
        <v>0.4</v>
      </c>
      <c r="CD1362">
        <f t="shared" si="425"/>
        <v>0</v>
      </c>
      <c r="CE1362">
        <f t="shared" si="426"/>
        <v>0</v>
      </c>
      <c r="CF1362">
        <f t="shared" si="427"/>
        <v>0</v>
      </c>
      <c r="CG1362">
        <f t="shared" si="428"/>
        <v>0</v>
      </c>
      <c r="CH1362">
        <f t="shared" si="429"/>
        <v>0</v>
      </c>
      <c r="CI1362">
        <f t="shared" si="430"/>
        <v>0</v>
      </c>
      <c r="CJ1362">
        <f t="shared" si="431"/>
        <v>0</v>
      </c>
      <c r="CK1362">
        <f t="shared" si="432"/>
        <v>0</v>
      </c>
      <c r="CL1362">
        <f t="shared" si="433"/>
        <v>0</v>
      </c>
      <c r="CM1362">
        <f t="shared" si="435"/>
        <v>0</v>
      </c>
      <c r="CN1362">
        <f t="shared" si="434"/>
        <v>0</v>
      </c>
      <c r="CO1362">
        <f t="shared" si="418"/>
        <v>0</v>
      </c>
    </row>
    <row r="1363" spans="1:93" x14ac:dyDescent="0.25">
      <c r="A1363" s="4">
        <v>2021</v>
      </c>
      <c r="B1363" s="318">
        <v>44320</v>
      </c>
      <c r="C1363" s="4" t="s">
        <v>1524</v>
      </c>
      <c r="D1363" s="4" t="s">
        <v>1525</v>
      </c>
      <c r="F1363" s="4" t="s">
        <v>1526</v>
      </c>
      <c r="G1363" s="5" t="s">
        <v>1514</v>
      </c>
      <c r="H1363" s="5" t="s">
        <v>1527</v>
      </c>
      <c r="I1363" s="5" t="s">
        <v>18</v>
      </c>
      <c r="J1363" s="5" t="s">
        <v>9</v>
      </c>
      <c r="K1363" s="5">
        <v>15.5</v>
      </c>
      <c r="L1363" s="5" t="s">
        <v>1528</v>
      </c>
      <c r="M1363" s="5">
        <v>1100</v>
      </c>
      <c r="N1363" s="5" t="s">
        <v>170</v>
      </c>
      <c r="O1363" s="6" t="s">
        <v>81</v>
      </c>
      <c r="P1363" s="6" t="s">
        <v>1530</v>
      </c>
      <c r="S1363" s="6">
        <v>15</v>
      </c>
      <c r="T1363" s="6">
        <v>4.33</v>
      </c>
      <c r="U1363" s="6">
        <v>1101</v>
      </c>
      <c r="V1363" s="6">
        <v>4.92</v>
      </c>
      <c r="W1363" s="6">
        <v>569</v>
      </c>
      <c r="X1363" s="6">
        <v>532</v>
      </c>
      <c r="Y1363" s="6">
        <v>0</v>
      </c>
      <c r="Z1363" s="6">
        <v>0</v>
      </c>
      <c r="AA1363" s="6">
        <v>0</v>
      </c>
      <c r="AB1363" s="6">
        <v>0</v>
      </c>
      <c r="AC1363" s="7">
        <v>70</v>
      </c>
      <c r="AD1363" s="7" t="s">
        <v>52</v>
      </c>
      <c r="AE1363" s="7">
        <v>19.350000000000001</v>
      </c>
      <c r="AF1363" s="7">
        <v>349</v>
      </c>
      <c r="AG1363" s="7">
        <v>24.05</v>
      </c>
      <c r="AH1363" s="7">
        <v>29.62</v>
      </c>
      <c r="AI1363" s="7">
        <v>31.88</v>
      </c>
      <c r="AJ1363" s="9">
        <v>193.16327718347301</v>
      </c>
      <c r="AK1363" s="9">
        <v>198.712570792333</v>
      </c>
      <c r="AL1363" s="9">
        <v>267.61491540692799</v>
      </c>
      <c r="AM1363" s="9">
        <v>41.312596131265401</v>
      </c>
      <c r="AN1363" s="9">
        <v>0.59017994473236302</v>
      </c>
      <c r="AO1363" s="9">
        <v>0.47650123066684802</v>
      </c>
      <c r="AP1363" s="9">
        <v>415.482232655046</v>
      </c>
      <c r="AQ1363" s="9">
        <v>5.9354604665006603</v>
      </c>
      <c r="AR1363" s="9">
        <v>7.0118780421878499</v>
      </c>
      <c r="AS1363" s="8" t="s">
        <v>169</v>
      </c>
      <c r="AT1363" s="8" t="s">
        <v>169</v>
      </c>
      <c r="AU1363" s="10" t="s">
        <v>169</v>
      </c>
      <c r="AV1363" s="10">
        <v>0</v>
      </c>
      <c r="AW1363" s="10"/>
      <c r="AX1363" s="10" t="s">
        <v>169</v>
      </c>
      <c r="BF1363" s="12">
        <v>0.45</v>
      </c>
      <c r="BG1363" s="13">
        <v>209.74318995018001</v>
      </c>
      <c r="BH1363" s="96" t="str">
        <f>+VLOOKUP(G1363,Liste!$A$7:$G$50,3,FALSE)</f>
        <v>Pin d'Alep</v>
      </c>
      <c r="BI1363" s="96" t="str">
        <f>+VLOOKUP(H1363,Liste!$B$7:$G$50,5,FALSE)</f>
        <v>Pin d'Alep</v>
      </c>
      <c r="BJ1363" s="135">
        <f t="shared" si="417"/>
        <v>70</v>
      </c>
      <c r="BK1363" s="135" t="str">
        <f t="shared" si="419"/>
        <v>Pin d'Alep_F1_Classique_Pin d'Alep_70_</v>
      </c>
      <c r="BL1363" s="322"/>
      <c r="BM1363" s="13">
        <v>55.340591462982204</v>
      </c>
      <c r="BN1363" s="13">
        <v>265.083781413162</v>
      </c>
      <c r="BO1363" s="13" t="s">
        <v>169</v>
      </c>
      <c r="BP1363" s="13">
        <v>139.96016108448799</v>
      </c>
      <c r="BQ1363" s="13">
        <v>6.7116393329928297</v>
      </c>
      <c r="BT1363" s="298" t="str">
        <f>+VLOOKUP(G1363,Liste!$A$7:$H$50,8,FALSE)</f>
        <v>Résineux</v>
      </c>
      <c r="BU1363" s="298">
        <f t="shared" si="420"/>
        <v>0</v>
      </c>
      <c r="BV1363" s="300">
        <f t="shared" si="421"/>
        <v>1</v>
      </c>
      <c r="BW1363" s="321">
        <v>0</v>
      </c>
      <c r="BX1363" s="298">
        <f t="shared" si="422"/>
        <v>0.43</v>
      </c>
      <c r="BY1363">
        <f t="shared" si="423"/>
        <v>0</v>
      </c>
      <c r="BZ1363" s="304">
        <f t="shared" si="424"/>
        <v>0</v>
      </c>
      <c r="CB1363" s="299">
        <v>0.6</v>
      </c>
      <c r="CC1363" s="299">
        <v>0.4</v>
      </c>
      <c r="CD1363">
        <f t="shared" si="425"/>
        <v>0</v>
      </c>
      <c r="CE1363">
        <f t="shared" si="426"/>
        <v>0</v>
      </c>
      <c r="CF1363">
        <f t="shared" si="427"/>
        <v>0</v>
      </c>
      <c r="CG1363">
        <f t="shared" si="428"/>
        <v>0</v>
      </c>
      <c r="CH1363">
        <f t="shared" si="429"/>
        <v>0</v>
      </c>
      <c r="CI1363">
        <f t="shared" si="430"/>
        <v>0</v>
      </c>
      <c r="CJ1363">
        <f t="shared" si="431"/>
        <v>0</v>
      </c>
      <c r="CK1363">
        <f t="shared" si="432"/>
        <v>0</v>
      </c>
      <c r="CL1363">
        <f t="shared" si="433"/>
        <v>0</v>
      </c>
      <c r="CM1363">
        <f t="shared" si="435"/>
        <v>0</v>
      </c>
      <c r="CN1363">
        <f t="shared" si="434"/>
        <v>0</v>
      </c>
      <c r="CO1363">
        <f t="shared" si="418"/>
        <v>0</v>
      </c>
    </row>
    <row r="1364" spans="1:93" x14ac:dyDescent="0.25">
      <c r="A1364" s="4">
        <v>2021</v>
      </c>
      <c r="B1364" s="318">
        <v>44320</v>
      </c>
      <c r="C1364" s="4" t="s">
        <v>1524</v>
      </c>
      <c r="D1364" s="4" t="s">
        <v>1525</v>
      </c>
      <c r="F1364" s="4" t="s">
        <v>1526</v>
      </c>
      <c r="G1364" s="5" t="s">
        <v>1514</v>
      </c>
      <c r="H1364" s="5" t="s">
        <v>1527</v>
      </c>
      <c r="I1364" s="5" t="s">
        <v>18</v>
      </c>
      <c r="J1364" s="5" t="s">
        <v>9</v>
      </c>
      <c r="K1364" s="5">
        <v>15.5</v>
      </c>
      <c r="L1364" s="5" t="s">
        <v>1528</v>
      </c>
      <c r="M1364" s="5">
        <v>1100</v>
      </c>
      <c r="N1364" s="5" t="s">
        <v>170</v>
      </c>
      <c r="O1364" s="6" t="s">
        <v>81</v>
      </c>
      <c r="P1364" s="6" t="s">
        <v>1530</v>
      </c>
      <c r="S1364" s="6">
        <v>15</v>
      </c>
      <c r="T1364" s="6">
        <v>4.33</v>
      </c>
      <c r="U1364" s="6">
        <v>1101</v>
      </c>
      <c r="V1364" s="6">
        <v>4.92</v>
      </c>
      <c r="W1364" s="6">
        <v>569</v>
      </c>
      <c r="X1364" s="6">
        <v>532</v>
      </c>
      <c r="Y1364" s="6">
        <v>0</v>
      </c>
      <c r="Z1364" s="6">
        <v>0</v>
      </c>
      <c r="AA1364" s="6">
        <v>0</v>
      </c>
      <c r="AB1364" s="6">
        <v>0</v>
      </c>
      <c r="AC1364" s="7">
        <v>71</v>
      </c>
      <c r="AD1364" s="7" t="s">
        <v>52</v>
      </c>
      <c r="AE1364" s="7">
        <v>19.5</v>
      </c>
      <c r="AF1364" s="7">
        <v>349</v>
      </c>
      <c r="AG1364" s="7">
        <v>24.53</v>
      </c>
      <c r="AH1364" s="7">
        <v>29.92</v>
      </c>
      <c r="AI1364" s="7">
        <v>32.229999999999997</v>
      </c>
      <c r="AJ1364" s="9">
        <v>198.436718375352</v>
      </c>
      <c r="AK1364" s="9">
        <v>204.163692172944</v>
      </c>
      <c r="AL1364" s="9">
        <v>274.62679344911601</v>
      </c>
      <c r="AM1364" s="9">
        <v>41.7890973619322</v>
      </c>
      <c r="AN1364" s="9">
        <v>0.58857883608355299</v>
      </c>
      <c r="AO1364" s="9">
        <v>0.47444309477966601</v>
      </c>
      <c r="AP1364" s="9">
        <v>422.49411069723402</v>
      </c>
      <c r="AQ1364" s="9">
        <v>5.9506212774258298</v>
      </c>
      <c r="AR1364" s="9">
        <v>6.9994085541803797</v>
      </c>
      <c r="AS1364" s="8" t="s">
        <v>169</v>
      </c>
      <c r="AT1364" s="8" t="s">
        <v>169</v>
      </c>
      <c r="AU1364" s="10" t="s">
        <v>169</v>
      </c>
      <c r="AV1364" s="10">
        <v>0</v>
      </c>
      <c r="AW1364" s="10"/>
      <c r="AX1364" s="10" t="s">
        <v>169</v>
      </c>
      <c r="BF1364" s="12">
        <v>0.45</v>
      </c>
      <c r="BG1364" s="13">
        <v>215.23874936574401</v>
      </c>
      <c r="BH1364" s="96" t="str">
        <f>+VLOOKUP(G1364,Liste!$A$7:$G$50,3,FALSE)</f>
        <v>Pin d'Alep</v>
      </c>
      <c r="BI1364" s="96" t="str">
        <f>+VLOOKUP(H1364,Liste!$B$7:$G$50,5,FALSE)</f>
        <v>Pin d'Alep</v>
      </c>
      <c r="BJ1364" s="135">
        <f t="shared" si="417"/>
        <v>71</v>
      </c>
      <c r="BK1364" s="135" t="str">
        <f t="shared" si="419"/>
        <v>Pin d'Alep_F1_Classique_Pin d'Alep_71_</v>
      </c>
      <c r="BL1364" s="322"/>
      <c r="BM1364" s="13">
        <v>56.619876003277902</v>
      </c>
      <c r="BN1364" s="13">
        <v>271.85862536902198</v>
      </c>
      <c r="BO1364" s="13" t="s">
        <v>169</v>
      </c>
      <c r="BP1364" s="13">
        <v>139.96016108448799</v>
      </c>
      <c r="BQ1364" s="13">
        <v>6.6973629087206099</v>
      </c>
      <c r="BT1364" s="298" t="str">
        <f>+VLOOKUP(G1364,Liste!$A$7:$H$50,8,FALSE)</f>
        <v>Résineux</v>
      </c>
      <c r="BU1364" s="298">
        <f t="shared" si="420"/>
        <v>0</v>
      </c>
      <c r="BV1364" s="300">
        <f t="shared" si="421"/>
        <v>1</v>
      </c>
      <c r="BW1364" s="321">
        <v>0</v>
      </c>
      <c r="BX1364" s="298">
        <f t="shared" si="422"/>
        <v>0.43</v>
      </c>
      <c r="BY1364">
        <f t="shared" si="423"/>
        <v>0</v>
      </c>
      <c r="BZ1364" s="304">
        <f t="shared" si="424"/>
        <v>0</v>
      </c>
      <c r="CB1364" s="299">
        <v>0.6</v>
      </c>
      <c r="CC1364" s="299">
        <v>0.4</v>
      </c>
      <c r="CD1364">
        <f t="shared" si="425"/>
        <v>0</v>
      </c>
      <c r="CE1364">
        <f t="shared" si="426"/>
        <v>0</v>
      </c>
      <c r="CF1364">
        <f t="shared" si="427"/>
        <v>0</v>
      </c>
      <c r="CG1364">
        <f t="shared" si="428"/>
        <v>0</v>
      </c>
      <c r="CH1364">
        <f t="shared" si="429"/>
        <v>0</v>
      </c>
      <c r="CI1364">
        <f t="shared" si="430"/>
        <v>0</v>
      </c>
      <c r="CJ1364">
        <f t="shared" si="431"/>
        <v>0</v>
      </c>
      <c r="CK1364">
        <f t="shared" si="432"/>
        <v>0</v>
      </c>
      <c r="CL1364">
        <f t="shared" si="433"/>
        <v>0</v>
      </c>
      <c r="CM1364">
        <f t="shared" si="435"/>
        <v>0</v>
      </c>
      <c r="CN1364">
        <f t="shared" si="434"/>
        <v>0</v>
      </c>
      <c r="CO1364">
        <f t="shared" si="418"/>
        <v>0</v>
      </c>
    </row>
    <row r="1365" spans="1:93" x14ac:dyDescent="0.25">
      <c r="A1365" s="4">
        <v>2021</v>
      </c>
      <c r="B1365" s="318">
        <v>44320</v>
      </c>
      <c r="C1365" s="4" t="s">
        <v>1524</v>
      </c>
      <c r="D1365" s="4" t="s">
        <v>1525</v>
      </c>
      <c r="F1365" s="4" t="s">
        <v>1526</v>
      </c>
      <c r="G1365" s="5" t="s">
        <v>1514</v>
      </c>
      <c r="H1365" s="5" t="s">
        <v>1527</v>
      </c>
      <c r="I1365" s="5" t="s">
        <v>18</v>
      </c>
      <c r="J1365" s="5" t="s">
        <v>9</v>
      </c>
      <c r="K1365" s="5">
        <v>15.5</v>
      </c>
      <c r="L1365" s="5" t="s">
        <v>1528</v>
      </c>
      <c r="M1365" s="5">
        <v>1100</v>
      </c>
      <c r="N1365" s="5" t="s">
        <v>170</v>
      </c>
      <c r="O1365" s="6" t="s">
        <v>81</v>
      </c>
      <c r="P1365" s="6" t="s">
        <v>1530</v>
      </c>
      <c r="S1365" s="6">
        <v>15</v>
      </c>
      <c r="T1365" s="6">
        <v>4.33</v>
      </c>
      <c r="U1365" s="6">
        <v>1101</v>
      </c>
      <c r="V1365" s="6">
        <v>4.92</v>
      </c>
      <c r="W1365" s="6">
        <v>569</v>
      </c>
      <c r="X1365" s="6">
        <v>532</v>
      </c>
      <c r="Y1365" s="6">
        <v>0</v>
      </c>
      <c r="Z1365" s="6">
        <v>0</v>
      </c>
      <c r="AA1365" s="6">
        <v>0</v>
      </c>
      <c r="AB1365" s="6">
        <v>0</v>
      </c>
      <c r="AC1365" s="7">
        <v>72</v>
      </c>
      <c r="AD1365" s="7" t="s">
        <v>52</v>
      </c>
      <c r="AE1365" s="7">
        <v>19.66</v>
      </c>
      <c r="AF1365" s="7">
        <v>349</v>
      </c>
      <c r="AG1365" s="7">
        <v>25</v>
      </c>
      <c r="AH1365" s="7">
        <v>30.2</v>
      </c>
      <c r="AI1365" s="7">
        <v>32.57</v>
      </c>
      <c r="AJ1365" s="9">
        <v>203.69818385448599</v>
      </c>
      <c r="AK1365" s="9">
        <v>209.60414163341699</v>
      </c>
      <c r="AL1365" s="9">
        <v>281.62620200329599</v>
      </c>
      <c r="AM1365" s="9">
        <v>42.263540456711901</v>
      </c>
      <c r="AN1365" s="9">
        <v>0.58699361745433198</v>
      </c>
      <c r="AO1365" s="9">
        <v>0.47039862410539302</v>
      </c>
      <c r="AP1365" s="9">
        <v>429.493519251414</v>
      </c>
      <c r="AQ1365" s="9">
        <v>5.9651877673807503</v>
      </c>
      <c r="AR1365" s="9">
        <v>7.01737182622412</v>
      </c>
      <c r="AS1365" s="8" t="s">
        <v>169</v>
      </c>
      <c r="AT1365" s="8" t="s">
        <v>169</v>
      </c>
      <c r="AU1365" s="10" t="s">
        <v>169</v>
      </c>
      <c r="AV1365" s="10">
        <v>0</v>
      </c>
      <c r="AW1365" s="10"/>
      <c r="AX1365" s="10" t="s">
        <v>169</v>
      </c>
      <c r="BF1365" s="12">
        <v>0.45</v>
      </c>
      <c r="BG1365" s="13">
        <v>220.72453582008299</v>
      </c>
      <c r="BH1365" s="96" t="str">
        <f>+VLOOKUP(G1365,Liste!$A$7:$G$50,3,FALSE)</f>
        <v>Pin d'Alep</v>
      </c>
      <c r="BI1365" s="96" t="str">
        <f>+VLOOKUP(H1365,Liste!$B$7:$G$50,5,FALSE)</f>
        <v>Pin d'Alep</v>
      </c>
      <c r="BJ1365" s="135">
        <f t="shared" si="417"/>
        <v>72</v>
      </c>
      <c r="BK1365" s="135" t="str">
        <f t="shared" si="419"/>
        <v>Pin d'Alep_F1_Classique_Pin d'Alep_72_</v>
      </c>
      <c r="BL1365" s="322"/>
      <c r="BM1365" s="13">
        <v>57.893098815117199</v>
      </c>
      <c r="BN1365" s="13">
        <v>278.61763463519998</v>
      </c>
      <c r="BO1365" s="13" t="s">
        <v>169</v>
      </c>
      <c r="BP1365" s="13">
        <v>139.96016108448799</v>
      </c>
      <c r="BQ1365" s="13">
        <v>6.7122459611109697</v>
      </c>
      <c r="BT1365" s="298" t="str">
        <f>+VLOOKUP(G1365,Liste!$A$7:$H$50,8,FALSE)</f>
        <v>Résineux</v>
      </c>
      <c r="BU1365" s="298">
        <f t="shared" si="420"/>
        <v>0</v>
      </c>
      <c r="BV1365" s="300">
        <f t="shared" si="421"/>
        <v>1</v>
      </c>
      <c r="BW1365" s="321">
        <v>0</v>
      </c>
      <c r="BX1365" s="298">
        <f t="shared" si="422"/>
        <v>0.43</v>
      </c>
      <c r="BY1365">
        <f t="shared" si="423"/>
        <v>0</v>
      </c>
      <c r="BZ1365" s="304">
        <f t="shared" si="424"/>
        <v>0</v>
      </c>
      <c r="CB1365" s="299">
        <v>0.6</v>
      </c>
      <c r="CC1365" s="299">
        <v>0.4</v>
      </c>
      <c r="CD1365">
        <f t="shared" si="425"/>
        <v>0</v>
      </c>
      <c r="CE1365">
        <f t="shared" si="426"/>
        <v>0</v>
      </c>
      <c r="CF1365">
        <f t="shared" si="427"/>
        <v>0</v>
      </c>
      <c r="CG1365">
        <f t="shared" si="428"/>
        <v>0</v>
      </c>
      <c r="CH1365">
        <f t="shared" si="429"/>
        <v>0</v>
      </c>
      <c r="CI1365">
        <f t="shared" si="430"/>
        <v>0</v>
      </c>
      <c r="CJ1365">
        <f t="shared" si="431"/>
        <v>0</v>
      </c>
      <c r="CK1365">
        <f t="shared" si="432"/>
        <v>0</v>
      </c>
      <c r="CL1365">
        <f t="shared" si="433"/>
        <v>0</v>
      </c>
      <c r="CM1365">
        <f t="shared" si="435"/>
        <v>0</v>
      </c>
      <c r="CN1365">
        <f t="shared" si="434"/>
        <v>0</v>
      </c>
      <c r="CO1365">
        <f t="shared" si="418"/>
        <v>0</v>
      </c>
    </row>
    <row r="1366" spans="1:93" x14ac:dyDescent="0.25">
      <c r="A1366" s="4">
        <v>2021</v>
      </c>
      <c r="B1366" s="318">
        <v>44320</v>
      </c>
      <c r="C1366" s="4" t="s">
        <v>1524</v>
      </c>
      <c r="D1366" s="4" t="s">
        <v>1525</v>
      </c>
      <c r="F1366" s="4" t="s">
        <v>1526</v>
      </c>
      <c r="G1366" s="5" t="s">
        <v>1514</v>
      </c>
      <c r="H1366" s="5" t="s">
        <v>1527</v>
      </c>
      <c r="I1366" s="5" t="s">
        <v>18</v>
      </c>
      <c r="J1366" s="5" t="s">
        <v>9</v>
      </c>
      <c r="K1366" s="5">
        <v>15.5</v>
      </c>
      <c r="L1366" s="5" t="s">
        <v>1528</v>
      </c>
      <c r="M1366" s="5">
        <v>1100</v>
      </c>
      <c r="N1366" s="5" t="s">
        <v>170</v>
      </c>
      <c r="O1366" s="6" t="s">
        <v>81</v>
      </c>
      <c r="P1366" s="6" t="s">
        <v>1530</v>
      </c>
      <c r="S1366" s="6">
        <v>15</v>
      </c>
      <c r="T1366" s="6">
        <v>4.33</v>
      </c>
      <c r="U1366" s="6">
        <v>1101</v>
      </c>
      <c r="V1366" s="6">
        <v>4.92</v>
      </c>
      <c r="W1366" s="6">
        <v>569</v>
      </c>
      <c r="X1366" s="6">
        <v>532</v>
      </c>
      <c r="Y1366" s="6">
        <v>0</v>
      </c>
      <c r="Z1366" s="6">
        <v>0</v>
      </c>
      <c r="AA1366" s="6">
        <v>0</v>
      </c>
      <c r="AB1366" s="6">
        <v>0</v>
      </c>
      <c r="AC1366" s="7">
        <v>73</v>
      </c>
      <c r="AD1366" s="7" t="s">
        <v>52</v>
      </c>
      <c r="AE1366" s="7">
        <v>19.809999999999999</v>
      </c>
      <c r="AF1366" s="7">
        <v>349</v>
      </c>
      <c r="AG1366" s="7">
        <v>25.47</v>
      </c>
      <c r="AH1366" s="7">
        <v>30.49</v>
      </c>
      <c r="AI1366" s="7">
        <v>32.909999999999997</v>
      </c>
      <c r="AJ1366" s="9">
        <v>208.98326812733501</v>
      </c>
      <c r="AK1366" s="9">
        <v>215.06827904558199</v>
      </c>
      <c r="AL1366" s="9">
        <v>288.64357382951999</v>
      </c>
      <c r="AM1366" s="9">
        <v>42.733939080817301</v>
      </c>
      <c r="AN1366" s="9">
        <v>0.58539642576462103</v>
      </c>
      <c r="AO1366" s="9">
        <v>0.46805377861865999</v>
      </c>
      <c r="AP1366" s="9">
        <v>436.51089107763801</v>
      </c>
      <c r="AQ1366" s="9">
        <v>5.9796012476388798</v>
      </c>
      <c r="AR1366" s="9">
        <v>7.0074290142301798</v>
      </c>
      <c r="AS1366" s="8" t="s">
        <v>169</v>
      </c>
      <c r="AT1366" s="8" t="s">
        <v>169</v>
      </c>
      <c r="AU1366" s="10" t="s">
        <v>169</v>
      </c>
      <c r="AV1366" s="10">
        <v>0</v>
      </c>
      <c r="AW1366" s="10"/>
      <c r="AX1366" s="10" t="s">
        <v>169</v>
      </c>
      <c r="BF1366" s="12">
        <v>0.45</v>
      </c>
      <c r="BG1366" s="13">
        <v>226.224400988886</v>
      </c>
      <c r="BH1366" s="96" t="str">
        <f>+VLOOKUP(G1366,Liste!$A$7:$G$50,3,FALSE)</f>
        <v>Pin d'Alep</v>
      </c>
      <c r="BI1366" s="96" t="str">
        <f>+VLOOKUP(H1366,Liste!$B$7:$G$50,5,FALSE)</f>
        <v>Pin d'Alep</v>
      </c>
      <c r="BJ1366" s="135">
        <f t="shared" si="417"/>
        <v>73</v>
      </c>
      <c r="BK1366" s="135" t="str">
        <f t="shared" si="419"/>
        <v>Pin d'Alep_F1_Classique_Pin d'Alep_73_</v>
      </c>
      <c r="BL1366" s="322"/>
      <c r="BM1366" s="13">
        <v>59.165896687757098</v>
      </c>
      <c r="BN1366" s="13">
        <v>285.390297676643</v>
      </c>
      <c r="BO1366" s="13" t="s">
        <v>169</v>
      </c>
      <c r="BP1366" s="13">
        <v>139.96016108448799</v>
      </c>
      <c r="BQ1366" s="13">
        <v>6.7004736211421196</v>
      </c>
      <c r="BT1366" s="298" t="str">
        <f>+VLOOKUP(G1366,Liste!$A$7:$H$50,8,FALSE)</f>
        <v>Résineux</v>
      </c>
      <c r="BU1366" s="298">
        <f t="shared" si="420"/>
        <v>0</v>
      </c>
      <c r="BV1366" s="300">
        <f t="shared" si="421"/>
        <v>1</v>
      </c>
      <c r="BW1366" s="321">
        <v>0</v>
      </c>
      <c r="BX1366" s="298">
        <f t="shared" si="422"/>
        <v>0.43</v>
      </c>
      <c r="BY1366">
        <f t="shared" si="423"/>
        <v>0</v>
      </c>
      <c r="BZ1366" s="304">
        <f t="shared" si="424"/>
        <v>0</v>
      </c>
      <c r="CB1366" s="299">
        <v>0.6</v>
      </c>
      <c r="CC1366" s="299">
        <v>0.4</v>
      </c>
      <c r="CD1366">
        <f t="shared" si="425"/>
        <v>0</v>
      </c>
      <c r="CE1366">
        <f t="shared" si="426"/>
        <v>0</v>
      </c>
      <c r="CF1366">
        <f t="shared" si="427"/>
        <v>0</v>
      </c>
      <c r="CG1366">
        <f t="shared" si="428"/>
        <v>0</v>
      </c>
      <c r="CH1366">
        <f t="shared" si="429"/>
        <v>0</v>
      </c>
      <c r="CI1366">
        <f t="shared" si="430"/>
        <v>0</v>
      </c>
      <c r="CJ1366">
        <f t="shared" si="431"/>
        <v>0</v>
      </c>
      <c r="CK1366">
        <f t="shared" si="432"/>
        <v>0</v>
      </c>
      <c r="CL1366">
        <f t="shared" si="433"/>
        <v>0</v>
      </c>
      <c r="CM1366">
        <f t="shared" si="435"/>
        <v>0</v>
      </c>
      <c r="CN1366">
        <f t="shared" si="434"/>
        <v>0</v>
      </c>
      <c r="CO1366">
        <f t="shared" si="418"/>
        <v>0</v>
      </c>
    </row>
    <row r="1367" spans="1:93" x14ac:dyDescent="0.25">
      <c r="A1367" s="4">
        <v>2021</v>
      </c>
      <c r="B1367" s="318">
        <v>44320</v>
      </c>
      <c r="C1367" s="4" t="s">
        <v>1524</v>
      </c>
      <c r="D1367" s="4" t="s">
        <v>1525</v>
      </c>
      <c r="F1367" s="4" t="s">
        <v>1526</v>
      </c>
      <c r="G1367" s="5" t="s">
        <v>1514</v>
      </c>
      <c r="H1367" s="5" t="s">
        <v>1527</v>
      </c>
      <c r="I1367" s="5" t="s">
        <v>18</v>
      </c>
      <c r="J1367" s="5" t="s">
        <v>9</v>
      </c>
      <c r="K1367" s="5">
        <v>15.5</v>
      </c>
      <c r="L1367" s="5" t="s">
        <v>1528</v>
      </c>
      <c r="M1367" s="5">
        <v>1100</v>
      </c>
      <c r="N1367" s="5" t="s">
        <v>170</v>
      </c>
      <c r="O1367" s="6" t="s">
        <v>81</v>
      </c>
      <c r="P1367" s="6" t="s">
        <v>1530</v>
      </c>
      <c r="S1367" s="6">
        <v>15</v>
      </c>
      <c r="T1367" s="6">
        <v>4.33</v>
      </c>
      <c r="U1367" s="6">
        <v>1101</v>
      </c>
      <c r="V1367" s="6">
        <v>4.92</v>
      </c>
      <c r="W1367" s="6">
        <v>569</v>
      </c>
      <c r="X1367" s="6">
        <v>532</v>
      </c>
      <c r="Y1367" s="6">
        <v>0</v>
      </c>
      <c r="Z1367" s="6">
        <v>0</v>
      </c>
      <c r="AA1367" s="6">
        <v>0</v>
      </c>
      <c r="AB1367" s="6">
        <v>0</v>
      </c>
      <c r="AC1367" s="7">
        <v>74</v>
      </c>
      <c r="AD1367" s="7" t="s">
        <v>52</v>
      </c>
      <c r="AE1367" s="7">
        <v>19.96</v>
      </c>
      <c r="AF1367" s="7">
        <v>349</v>
      </c>
      <c r="AG1367" s="7">
        <v>25.94</v>
      </c>
      <c r="AH1367" s="7">
        <v>30.76</v>
      </c>
      <c r="AI1367" s="7">
        <v>33.24</v>
      </c>
      <c r="AJ1367" s="9">
        <v>214.26016940229201</v>
      </c>
      <c r="AK1367" s="9">
        <v>220.525251053733</v>
      </c>
      <c r="AL1367" s="9">
        <v>295.65100284375001</v>
      </c>
      <c r="AM1367" s="9">
        <v>43.201992859435997</v>
      </c>
      <c r="AN1367" s="9">
        <v>0.58381071431670195</v>
      </c>
      <c r="AO1367" s="9">
        <v>0.31154567232869801</v>
      </c>
      <c r="AP1367" s="9">
        <v>443.51832009186899</v>
      </c>
      <c r="AQ1367" s="9">
        <v>5.9934908120522801</v>
      </c>
      <c r="AR1367" s="9">
        <v>4.5582321459567696</v>
      </c>
      <c r="AS1367" s="8" t="s">
        <v>169</v>
      </c>
      <c r="AT1367" s="8" t="s">
        <v>169</v>
      </c>
      <c r="AU1367" s="10" t="s">
        <v>169</v>
      </c>
      <c r="AV1367" s="10">
        <v>0</v>
      </c>
      <c r="AW1367" s="10"/>
      <c r="AX1367" s="10" t="s">
        <v>169</v>
      </c>
      <c r="BF1367" s="12">
        <v>0.45</v>
      </c>
      <c r="BG1367" s="13">
        <v>231.716473478789</v>
      </c>
      <c r="BH1367" s="96" t="str">
        <f>+VLOOKUP(G1367,Liste!$A$7:$G$50,3,FALSE)</f>
        <v>Pin d'Alep</v>
      </c>
      <c r="BI1367" s="96" t="str">
        <f>+VLOOKUP(H1367,Liste!$B$7:$G$50,5,FALSE)</f>
        <v>Pin d'Alep</v>
      </c>
      <c r="BJ1367" s="135">
        <f t="shared" si="417"/>
        <v>74</v>
      </c>
      <c r="BK1367" s="135" t="str">
        <f t="shared" si="419"/>
        <v>Pin d'Alep_F1_Classique_Pin d'Alep_74_</v>
      </c>
      <c r="BL1367" s="322"/>
      <c r="BM1367" s="13">
        <v>60.433301619741599</v>
      </c>
      <c r="BN1367" s="13">
        <v>292.14977509853099</v>
      </c>
      <c r="BO1367" s="13" t="s">
        <v>169</v>
      </c>
      <c r="BP1367" s="13">
        <v>139.96016108448799</v>
      </c>
      <c r="BQ1367" s="13">
        <v>4.3573676962003001</v>
      </c>
      <c r="BT1367" s="298" t="str">
        <f>+VLOOKUP(G1367,Liste!$A$7:$H$50,8,FALSE)</f>
        <v>Résineux</v>
      </c>
      <c r="BU1367" s="298">
        <f t="shared" si="420"/>
        <v>0</v>
      </c>
      <c r="BV1367" s="300">
        <f t="shared" si="421"/>
        <v>1</v>
      </c>
      <c r="BW1367" s="321">
        <v>0</v>
      </c>
      <c r="BX1367" s="298">
        <f t="shared" si="422"/>
        <v>0.43</v>
      </c>
      <c r="BY1367">
        <f t="shared" si="423"/>
        <v>0</v>
      </c>
      <c r="BZ1367" s="304">
        <f t="shared" si="424"/>
        <v>0</v>
      </c>
      <c r="CB1367" s="299">
        <v>0.6</v>
      </c>
      <c r="CC1367" s="299">
        <v>0.4</v>
      </c>
      <c r="CD1367">
        <f t="shared" si="425"/>
        <v>0</v>
      </c>
      <c r="CE1367">
        <f t="shared" si="426"/>
        <v>0</v>
      </c>
      <c r="CF1367">
        <f t="shared" si="427"/>
        <v>0</v>
      </c>
      <c r="CG1367">
        <f t="shared" si="428"/>
        <v>0</v>
      </c>
      <c r="CH1367">
        <f t="shared" si="429"/>
        <v>0</v>
      </c>
      <c r="CI1367">
        <f t="shared" si="430"/>
        <v>0</v>
      </c>
      <c r="CJ1367">
        <f t="shared" si="431"/>
        <v>0</v>
      </c>
      <c r="CK1367">
        <f t="shared" si="432"/>
        <v>0</v>
      </c>
      <c r="CL1367">
        <f t="shared" si="433"/>
        <v>0</v>
      </c>
      <c r="CM1367">
        <f t="shared" si="435"/>
        <v>0</v>
      </c>
      <c r="CN1367">
        <f t="shared" si="434"/>
        <v>0</v>
      </c>
      <c r="CO1367">
        <f t="shared" si="418"/>
        <v>0</v>
      </c>
    </row>
    <row r="1368" spans="1:93" x14ac:dyDescent="0.25">
      <c r="A1368" s="4">
        <v>2021</v>
      </c>
      <c r="B1368" s="318">
        <v>44320</v>
      </c>
      <c r="C1368" s="4" t="s">
        <v>1524</v>
      </c>
      <c r="D1368" s="4" t="s">
        <v>1525</v>
      </c>
      <c r="F1368" s="4" t="s">
        <v>1526</v>
      </c>
      <c r="G1368" s="5" t="s">
        <v>1514</v>
      </c>
      <c r="H1368" s="5" t="s">
        <v>1527</v>
      </c>
      <c r="I1368" s="5" t="s">
        <v>18</v>
      </c>
      <c r="J1368" s="5" t="s">
        <v>9</v>
      </c>
      <c r="K1368" s="5">
        <v>15.5</v>
      </c>
      <c r="L1368" s="5" t="s">
        <v>1528</v>
      </c>
      <c r="M1368" s="5">
        <v>1100</v>
      </c>
      <c r="N1368" s="5" t="s">
        <v>170</v>
      </c>
      <c r="O1368" s="6" t="s">
        <v>81</v>
      </c>
      <c r="P1368" s="6" t="s">
        <v>1530</v>
      </c>
      <c r="S1368" s="6">
        <v>15</v>
      </c>
      <c r="T1368" s="6">
        <v>4.33</v>
      </c>
      <c r="U1368" s="6">
        <v>1101</v>
      </c>
      <c r="V1368" s="6">
        <v>4.92</v>
      </c>
      <c r="W1368" s="6">
        <v>569</v>
      </c>
      <c r="X1368" s="6">
        <v>532</v>
      </c>
      <c r="Y1368" s="6">
        <v>0</v>
      </c>
      <c r="Z1368" s="6">
        <v>0</v>
      </c>
      <c r="AA1368" s="6">
        <v>0</v>
      </c>
      <c r="AB1368" s="6">
        <v>0</v>
      </c>
      <c r="AC1368" s="7">
        <v>74</v>
      </c>
      <c r="AD1368" s="7" t="s">
        <v>53</v>
      </c>
      <c r="AE1368" s="7">
        <v>19.96</v>
      </c>
      <c r="AF1368" s="7">
        <v>151</v>
      </c>
      <c r="AG1368" s="7">
        <v>12.67</v>
      </c>
      <c r="AH1368" s="7">
        <v>32.68</v>
      </c>
      <c r="AI1368" s="7">
        <v>33.24</v>
      </c>
      <c r="AJ1368" s="9">
        <v>105.85294560856001</v>
      </c>
      <c r="AK1368" s="9">
        <v>109.14198528393401</v>
      </c>
      <c r="AL1368" s="9">
        <v>146.26334590780101</v>
      </c>
      <c r="AM1368" s="9">
        <v>43.201992859435997</v>
      </c>
      <c r="AN1368" s="9">
        <v>0.58381071431670195</v>
      </c>
      <c r="AO1368" s="9">
        <v>0.31154567232869801</v>
      </c>
      <c r="AP1368" s="9">
        <v>443.51832009186899</v>
      </c>
      <c r="AQ1368" s="9">
        <v>5.9934908120522801</v>
      </c>
      <c r="AR1368" s="9">
        <v>4.5582321459567696</v>
      </c>
      <c r="AS1368" s="8">
        <v>198</v>
      </c>
      <c r="AT1368" s="8">
        <v>13.270000000000001</v>
      </c>
      <c r="AU1368" s="10">
        <v>29.211773569617549</v>
      </c>
      <c r="AV1368" s="10">
        <v>108.407223793732</v>
      </c>
      <c r="AW1368" s="10">
        <v>0.9</v>
      </c>
      <c r="AX1368" s="10">
        <v>0.54751123128147472</v>
      </c>
      <c r="BF1368" s="12">
        <v>0.45</v>
      </c>
      <c r="BG1368" s="13">
        <v>114.633897355239</v>
      </c>
      <c r="BH1368" s="96" t="str">
        <f>+VLOOKUP(G1368,Liste!$A$7:$G$50,3,FALSE)</f>
        <v>Pin d'Alep</v>
      </c>
      <c r="BI1368" s="96" t="str">
        <f>+VLOOKUP(H1368,Liste!$B$7:$G$50,5,FALSE)</f>
        <v>Pin d'Alep</v>
      </c>
      <c r="BJ1368" s="135">
        <f t="shared" si="417"/>
        <v>74</v>
      </c>
      <c r="BK1368" s="135" t="str">
        <f t="shared" si="419"/>
        <v>Pin d'Alep_F1_Classique_Pin d'Alep_74_</v>
      </c>
      <c r="BL1368" s="322"/>
      <c r="BM1368" s="13">
        <v>32.449604917198599</v>
      </c>
      <c r="BN1368" s="13">
        <v>147.08350227243699</v>
      </c>
      <c r="BO1368" s="13">
        <v>145.06627282609401</v>
      </c>
      <c r="BP1368" s="13">
        <v>139.96016108448799</v>
      </c>
      <c r="BQ1368" s="13">
        <v>4.3573676962003001</v>
      </c>
      <c r="BT1368" s="298" t="str">
        <f>+VLOOKUP(G1368,Liste!$A$7:$H$50,8,FALSE)</f>
        <v>Résineux</v>
      </c>
      <c r="BU1368" s="298">
        <f t="shared" si="420"/>
        <v>0</v>
      </c>
      <c r="BV1368" s="300">
        <f t="shared" si="421"/>
        <v>1</v>
      </c>
      <c r="BW1368" s="321">
        <v>0</v>
      </c>
      <c r="BX1368" s="298">
        <f t="shared" si="422"/>
        <v>0.43</v>
      </c>
      <c r="BY1368">
        <f t="shared" si="423"/>
        <v>0</v>
      </c>
      <c r="BZ1368" s="304">
        <f t="shared" si="424"/>
        <v>0</v>
      </c>
      <c r="CB1368" s="299">
        <v>0.6</v>
      </c>
      <c r="CC1368" s="299">
        <v>0.4</v>
      </c>
      <c r="CD1368">
        <f t="shared" si="425"/>
        <v>0</v>
      </c>
      <c r="CE1368">
        <f t="shared" si="426"/>
        <v>0</v>
      </c>
      <c r="CF1368">
        <f t="shared" si="427"/>
        <v>0</v>
      </c>
      <c r="CG1368">
        <f t="shared" si="428"/>
        <v>0</v>
      </c>
      <c r="CH1368">
        <f t="shared" si="429"/>
        <v>0</v>
      </c>
      <c r="CI1368">
        <f t="shared" si="430"/>
        <v>0</v>
      </c>
      <c r="CJ1368">
        <f t="shared" si="431"/>
        <v>0</v>
      </c>
      <c r="CK1368">
        <f t="shared" si="432"/>
        <v>0</v>
      </c>
      <c r="CL1368">
        <f t="shared" si="433"/>
        <v>0</v>
      </c>
      <c r="CM1368">
        <f t="shared" si="435"/>
        <v>0</v>
      </c>
      <c r="CN1368">
        <f t="shared" si="434"/>
        <v>0</v>
      </c>
      <c r="CO1368">
        <f t="shared" si="418"/>
        <v>0</v>
      </c>
    </row>
    <row r="1369" spans="1:93" x14ac:dyDescent="0.25">
      <c r="A1369" s="4">
        <v>2021</v>
      </c>
      <c r="B1369" s="318">
        <v>44320</v>
      </c>
      <c r="C1369" s="4" t="s">
        <v>1524</v>
      </c>
      <c r="D1369" s="4" t="s">
        <v>1525</v>
      </c>
      <c r="F1369" s="4" t="s">
        <v>1526</v>
      </c>
      <c r="G1369" s="5" t="s">
        <v>1514</v>
      </c>
      <c r="H1369" s="5" t="s">
        <v>1527</v>
      </c>
      <c r="I1369" s="5" t="s">
        <v>18</v>
      </c>
      <c r="J1369" s="5" t="s">
        <v>9</v>
      </c>
      <c r="K1369" s="5">
        <v>15.5</v>
      </c>
      <c r="L1369" s="5" t="s">
        <v>1528</v>
      </c>
      <c r="M1369" s="5">
        <v>1100</v>
      </c>
      <c r="N1369" s="5" t="s">
        <v>170</v>
      </c>
      <c r="O1369" s="6" t="s">
        <v>81</v>
      </c>
      <c r="P1369" s="6" t="s">
        <v>1530</v>
      </c>
      <c r="S1369" s="6">
        <v>15</v>
      </c>
      <c r="T1369" s="6">
        <v>4.33</v>
      </c>
      <c r="U1369" s="6">
        <v>1101</v>
      </c>
      <c r="V1369" s="6">
        <v>4.92</v>
      </c>
      <c r="W1369" s="6">
        <v>569</v>
      </c>
      <c r="X1369" s="6">
        <v>532</v>
      </c>
      <c r="Y1369" s="6">
        <v>0</v>
      </c>
      <c r="Z1369" s="6">
        <v>0</v>
      </c>
      <c r="AA1369" s="6">
        <v>0</v>
      </c>
      <c r="AB1369" s="6">
        <v>0</v>
      </c>
      <c r="AC1369" s="7">
        <v>75</v>
      </c>
      <c r="AD1369" s="7" t="s">
        <v>52</v>
      </c>
      <c r="AE1369" s="7">
        <v>20.11</v>
      </c>
      <c r="AF1369" s="7">
        <v>151</v>
      </c>
      <c r="AG1369" s="7">
        <v>12.98</v>
      </c>
      <c r="AH1369" s="7">
        <v>33.08</v>
      </c>
      <c r="AI1369" s="7">
        <v>33.65</v>
      </c>
      <c r="AJ1369" s="9">
        <v>109.239813992284</v>
      </c>
      <c r="AK1369" s="9">
        <v>112.658012642849</v>
      </c>
      <c r="AL1369" s="9">
        <v>150.821578053758</v>
      </c>
      <c r="AM1369" s="9">
        <v>43.513538531764702</v>
      </c>
      <c r="AN1369" s="9">
        <v>0.58018051375686197</v>
      </c>
      <c r="AO1369" s="9">
        <v>0.31207924042497798</v>
      </c>
      <c r="AP1369" s="9">
        <v>448.07655223782501</v>
      </c>
      <c r="AQ1369" s="9">
        <v>5.9743540298376701</v>
      </c>
      <c r="AR1369" s="9">
        <v>4.5310394717363902</v>
      </c>
      <c r="AS1369" s="8" t="s">
        <v>169</v>
      </c>
      <c r="AT1369" s="8" t="s">
        <v>169</v>
      </c>
      <c r="AU1369" s="10" t="s">
        <v>169</v>
      </c>
      <c r="AV1369" s="10">
        <v>0</v>
      </c>
      <c r="AX1369" s="10" t="s">
        <v>169</v>
      </c>
      <c r="BF1369" s="12">
        <v>0.45</v>
      </c>
      <c r="BG1369" s="13">
        <v>118.20641179963199</v>
      </c>
      <c r="BH1369" s="96" t="str">
        <f>+VLOOKUP(G1369,Liste!$A$7:$G$50,3,FALSE)</f>
        <v>Pin d'Alep</v>
      </c>
      <c r="BI1369" s="96" t="str">
        <f>+VLOOKUP(H1369,Liste!$B$7:$G$50,5,FALSE)</f>
        <v>Pin d'Alep</v>
      </c>
      <c r="BJ1369" s="135">
        <f t="shared" si="417"/>
        <v>75</v>
      </c>
      <c r="BK1369" s="135" t="str">
        <f t="shared" si="419"/>
        <v>Pin d'Alep_F1_Classique_Pin d'Alep_75_</v>
      </c>
      <c r="BL1369" s="322"/>
      <c r="BM1369" s="13">
        <v>33.341567489783301</v>
      </c>
      <c r="BN1369" s="13">
        <v>151.54797928941599</v>
      </c>
      <c r="BO1369" s="13" t="s">
        <v>169</v>
      </c>
      <c r="BP1369" s="13">
        <v>139.96016108448799</v>
      </c>
      <c r="BQ1369" s="13">
        <v>4.33045274650169</v>
      </c>
      <c r="BT1369" s="298" t="str">
        <f>+VLOOKUP(G1369,Liste!$A$7:$H$50,8,FALSE)</f>
        <v>Résineux</v>
      </c>
      <c r="BU1369" s="298">
        <f t="shared" si="420"/>
        <v>0</v>
      </c>
      <c r="BV1369" s="300">
        <f t="shared" si="421"/>
        <v>1</v>
      </c>
      <c r="BW1369" s="321">
        <v>0</v>
      </c>
      <c r="BX1369" s="298">
        <f t="shared" si="422"/>
        <v>0.43</v>
      </c>
      <c r="BY1369">
        <f t="shared" si="423"/>
        <v>0</v>
      </c>
      <c r="BZ1369" s="304">
        <f t="shared" si="424"/>
        <v>0</v>
      </c>
      <c r="CB1369" s="299">
        <v>0.6</v>
      </c>
      <c r="CC1369" s="299">
        <v>0.4</v>
      </c>
      <c r="CD1369">
        <f t="shared" si="425"/>
        <v>0</v>
      </c>
      <c r="CE1369">
        <f t="shared" si="426"/>
        <v>0</v>
      </c>
      <c r="CF1369">
        <f t="shared" si="427"/>
        <v>0</v>
      </c>
      <c r="CG1369">
        <f t="shared" si="428"/>
        <v>0</v>
      </c>
      <c r="CH1369">
        <f t="shared" si="429"/>
        <v>0</v>
      </c>
      <c r="CI1369">
        <f t="shared" si="430"/>
        <v>0</v>
      </c>
      <c r="CJ1369">
        <f t="shared" si="431"/>
        <v>0</v>
      </c>
      <c r="CK1369">
        <f t="shared" si="432"/>
        <v>0</v>
      </c>
      <c r="CL1369">
        <f t="shared" si="433"/>
        <v>0</v>
      </c>
      <c r="CM1369">
        <f t="shared" si="435"/>
        <v>0</v>
      </c>
      <c r="CN1369">
        <f t="shared" si="434"/>
        <v>0</v>
      </c>
      <c r="CO1369">
        <f t="shared" si="418"/>
        <v>0</v>
      </c>
    </row>
    <row r="1370" spans="1:93" x14ac:dyDescent="0.25">
      <c r="A1370" s="4">
        <v>2021</v>
      </c>
      <c r="B1370" s="318">
        <v>44320</v>
      </c>
      <c r="C1370" s="4" t="s">
        <v>1524</v>
      </c>
      <c r="D1370" s="4" t="s">
        <v>1525</v>
      </c>
      <c r="F1370" s="4" t="s">
        <v>1526</v>
      </c>
      <c r="G1370" s="5" t="s">
        <v>1514</v>
      </c>
      <c r="H1370" s="5" t="s">
        <v>1527</v>
      </c>
      <c r="I1370" s="5" t="s">
        <v>18</v>
      </c>
      <c r="J1370" s="5" t="s">
        <v>9</v>
      </c>
      <c r="K1370" s="5">
        <v>15.5</v>
      </c>
      <c r="L1370" s="5" t="s">
        <v>1528</v>
      </c>
      <c r="M1370" s="5">
        <v>1100</v>
      </c>
      <c r="N1370" s="5" t="s">
        <v>170</v>
      </c>
      <c r="O1370" s="6" t="s">
        <v>81</v>
      </c>
      <c r="P1370" s="6" t="s">
        <v>1530</v>
      </c>
      <c r="S1370" s="6">
        <v>15</v>
      </c>
      <c r="T1370" s="6">
        <v>4.33</v>
      </c>
      <c r="U1370" s="6">
        <v>1101</v>
      </c>
      <c r="V1370" s="6">
        <v>4.92</v>
      </c>
      <c r="W1370" s="6">
        <v>569</v>
      </c>
      <c r="X1370" s="6">
        <v>532</v>
      </c>
      <c r="Y1370" s="6">
        <v>0</v>
      </c>
      <c r="Z1370" s="6">
        <v>0</v>
      </c>
      <c r="AA1370" s="6">
        <v>0</v>
      </c>
      <c r="AB1370" s="6">
        <v>0</v>
      </c>
      <c r="AC1370" s="7">
        <v>76</v>
      </c>
      <c r="AD1370" s="7" t="s">
        <v>52</v>
      </c>
      <c r="AE1370" s="7">
        <v>20.25</v>
      </c>
      <c r="AF1370" s="7">
        <v>151</v>
      </c>
      <c r="AG1370" s="7">
        <v>13.29</v>
      </c>
      <c r="AH1370" s="7">
        <v>33.479999999999997</v>
      </c>
      <c r="AI1370" s="7">
        <v>34.06</v>
      </c>
      <c r="AJ1370" s="9">
        <v>112.59396561251501</v>
      </c>
      <c r="AK1370" s="9">
        <v>116.14353905059799</v>
      </c>
      <c r="AL1370" s="9">
        <v>155.352617525494</v>
      </c>
      <c r="AM1370" s="9">
        <v>43.825617772189602</v>
      </c>
      <c r="AN1370" s="9">
        <v>0.57665286542354799</v>
      </c>
      <c r="AO1370" s="9">
        <v>0.31244188231897102</v>
      </c>
      <c r="AP1370" s="9">
        <v>452.60759170956197</v>
      </c>
      <c r="AQ1370" s="9">
        <v>5.9553630488100202</v>
      </c>
      <c r="AR1370" s="9">
        <v>4.5358362502551</v>
      </c>
      <c r="AS1370" s="8" t="s">
        <v>169</v>
      </c>
      <c r="AT1370" s="8" t="s">
        <v>169</v>
      </c>
      <c r="AU1370" s="10" t="s">
        <v>169</v>
      </c>
      <c r="AV1370" s="10">
        <v>0</v>
      </c>
      <c r="AW1370" s="10"/>
      <c r="AX1370" s="10" t="s">
        <v>169</v>
      </c>
      <c r="BF1370" s="12">
        <v>0.45</v>
      </c>
      <c r="BG1370" s="13">
        <v>121.757613985606</v>
      </c>
      <c r="BH1370" s="96" t="str">
        <f>+VLOOKUP(G1370,Liste!$A$7:$G$50,3,FALSE)</f>
        <v>Pin d'Alep</v>
      </c>
      <c r="BI1370" s="96" t="str">
        <f>+VLOOKUP(H1370,Liste!$B$7:$G$50,5,FALSE)</f>
        <v>Pin d'Alep</v>
      </c>
      <c r="BJ1370" s="135">
        <f t="shared" si="417"/>
        <v>76</v>
      </c>
      <c r="BK1370" s="135" t="str">
        <f t="shared" si="419"/>
        <v>Pin d'Alep_F1_Classique_Pin d'Alep_76_</v>
      </c>
      <c r="BL1370" s="322"/>
      <c r="BM1370" s="13">
        <v>34.225103883240202</v>
      </c>
      <c r="BN1370" s="13">
        <v>155.98271786884601</v>
      </c>
      <c r="BO1370" s="13" t="s">
        <v>169</v>
      </c>
      <c r="BP1370" s="13">
        <v>139.96016108448799</v>
      </c>
      <c r="BQ1370" s="13">
        <v>4.3341282065428599</v>
      </c>
      <c r="BT1370" s="298" t="str">
        <f>+VLOOKUP(G1370,Liste!$A$7:$H$50,8,FALSE)</f>
        <v>Résineux</v>
      </c>
      <c r="BU1370" s="298">
        <f t="shared" si="420"/>
        <v>0</v>
      </c>
      <c r="BV1370" s="300">
        <f t="shared" si="421"/>
        <v>1</v>
      </c>
      <c r="BW1370" s="321">
        <v>0</v>
      </c>
      <c r="BX1370" s="298">
        <f t="shared" si="422"/>
        <v>0.43</v>
      </c>
      <c r="BY1370">
        <f t="shared" si="423"/>
        <v>0</v>
      </c>
      <c r="BZ1370" s="304">
        <f t="shared" si="424"/>
        <v>0</v>
      </c>
      <c r="CB1370" s="299">
        <v>0.6</v>
      </c>
      <c r="CC1370" s="299">
        <v>0.4</v>
      </c>
      <c r="CD1370">
        <f t="shared" si="425"/>
        <v>0</v>
      </c>
      <c r="CE1370">
        <f t="shared" si="426"/>
        <v>0</v>
      </c>
      <c r="CF1370">
        <f t="shared" si="427"/>
        <v>0</v>
      </c>
      <c r="CG1370">
        <f t="shared" si="428"/>
        <v>0</v>
      </c>
      <c r="CH1370">
        <f t="shared" si="429"/>
        <v>0</v>
      </c>
      <c r="CI1370">
        <f t="shared" si="430"/>
        <v>0</v>
      </c>
      <c r="CJ1370">
        <f t="shared" si="431"/>
        <v>0</v>
      </c>
      <c r="CK1370">
        <f t="shared" si="432"/>
        <v>0</v>
      </c>
      <c r="CL1370">
        <f t="shared" si="433"/>
        <v>0</v>
      </c>
      <c r="CM1370">
        <f t="shared" si="435"/>
        <v>0</v>
      </c>
      <c r="CN1370">
        <f t="shared" si="434"/>
        <v>0</v>
      </c>
      <c r="CO1370">
        <f t="shared" si="418"/>
        <v>0</v>
      </c>
    </row>
    <row r="1371" spans="1:93" x14ac:dyDescent="0.25">
      <c r="A1371" s="4">
        <v>2021</v>
      </c>
      <c r="B1371" s="318">
        <v>44320</v>
      </c>
      <c r="C1371" s="4" t="s">
        <v>1524</v>
      </c>
      <c r="D1371" s="4" t="s">
        <v>1525</v>
      </c>
      <c r="F1371" s="4" t="s">
        <v>1526</v>
      </c>
      <c r="G1371" s="5" t="s">
        <v>1514</v>
      </c>
      <c r="H1371" s="5" t="s">
        <v>1527</v>
      </c>
      <c r="I1371" s="5" t="s">
        <v>18</v>
      </c>
      <c r="J1371" s="5" t="s">
        <v>9</v>
      </c>
      <c r="K1371" s="5">
        <v>15.5</v>
      </c>
      <c r="L1371" s="5" t="s">
        <v>1528</v>
      </c>
      <c r="M1371" s="5">
        <v>1100</v>
      </c>
      <c r="N1371" s="5" t="s">
        <v>170</v>
      </c>
      <c r="O1371" s="6" t="s">
        <v>81</v>
      </c>
      <c r="P1371" s="6" t="s">
        <v>1530</v>
      </c>
      <c r="S1371" s="6">
        <v>15</v>
      </c>
      <c r="T1371" s="6">
        <v>4.33</v>
      </c>
      <c r="U1371" s="6">
        <v>1101</v>
      </c>
      <c r="V1371" s="6">
        <v>4.92</v>
      </c>
      <c r="W1371" s="6">
        <v>569</v>
      </c>
      <c r="X1371" s="6">
        <v>532</v>
      </c>
      <c r="Y1371" s="6">
        <v>0</v>
      </c>
      <c r="Z1371" s="6">
        <v>0</v>
      </c>
      <c r="AA1371" s="6">
        <v>0</v>
      </c>
      <c r="AB1371" s="6">
        <v>0</v>
      </c>
      <c r="AC1371" s="7">
        <v>77</v>
      </c>
      <c r="AD1371" s="7" t="s">
        <v>52</v>
      </c>
      <c r="AE1371" s="7">
        <v>20.399999999999999</v>
      </c>
      <c r="AF1371" s="7">
        <v>151</v>
      </c>
      <c r="AG1371" s="7">
        <v>13.6</v>
      </c>
      <c r="AH1371" s="7">
        <v>33.869999999999997</v>
      </c>
      <c r="AI1371" s="7">
        <v>34.47</v>
      </c>
      <c r="AJ1371" s="9">
        <v>115.946769914321</v>
      </c>
      <c r="AK1371" s="9">
        <v>119.62958918731</v>
      </c>
      <c r="AL1371" s="9">
        <v>159.88845377574901</v>
      </c>
      <c r="AM1371" s="9">
        <v>44.138059654508602</v>
      </c>
      <c r="AN1371" s="9">
        <v>0.57322155395465701</v>
      </c>
      <c r="AO1371" s="9">
        <v>0.31339413046819697</v>
      </c>
      <c r="AP1371" s="9">
        <v>457.14342795981702</v>
      </c>
      <c r="AQ1371" s="9">
        <v>5.93692763584178</v>
      </c>
      <c r="AR1371" s="9">
        <v>4.5906646872036303</v>
      </c>
      <c r="AS1371" s="8" t="s">
        <v>169</v>
      </c>
      <c r="AT1371" s="8" t="s">
        <v>169</v>
      </c>
      <c r="AU1371" s="10" t="s">
        <v>169</v>
      </c>
      <c r="AV1371" s="10">
        <v>0</v>
      </c>
      <c r="AW1371" s="10"/>
      <c r="AX1371" s="10" t="s">
        <v>169</v>
      </c>
      <c r="BF1371" s="12">
        <v>0.45</v>
      </c>
      <c r="BG1371" s="13">
        <v>125.312575646743</v>
      </c>
      <c r="BH1371" s="96" t="str">
        <f>+VLOOKUP(G1371,Liste!$A$7:$G$50,3,FALSE)</f>
        <v>Pin d'Alep</v>
      </c>
      <c r="BI1371" s="96" t="str">
        <f>+VLOOKUP(H1371,Liste!$B$7:$G$50,5,FALSE)</f>
        <v>Pin d'Alep</v>
      </c>
      <c r="BJ1371" s="135">
        <f t="shared" si="417"/>
        <v>77</v>
      </c>
      <c r="BK1371" s="135" t="str">
        <f t="shared" si="419"/>
        <v>Pin d'Alep_F1_Classique_Pin d'Alep_77_</v>
      </c>
      <c r="BL1371" s="322"/>
      <c r="BM1371" s="13">
        <v>35.106575990852299</v>
      </c>
      <c r="BN1371" s="13">
        <v>160.419151637596</v>
      </c>
      <c r="BO1371" s="13" t="s">
        <v>169</v>
      </c>
      <c r="BP1371" s="13">
        <v>139.96016108448799</v>
      </c>
      <c r="BQ1371" s="13">
        <v>4.3856027140981801</v>
      </c>
      <c r="BT1371" s="298" t="str">
        <f>+VLOOKUP(G1371,Liste!$A$7:$H$50,8,FALSE)</f>
        <v>Résineux</v>
      </c>
      <c r="BU1371" s="298">
        <f t="shared" si="420"/>
        <v>0</v>
      </c>
      <c r="BV1371" s="300">
        <f t="shared" si="421"/>
        <v>1</v>
      </c>
      <c r="BW1371" s="321">
        <v>0</v>
      </c>
      <c r="BX1371" s="298">
        <f t="shared" si="422"/>
        <v>0.43</v>
      </c>
      <c r="BY1371">
        <f t="shared" si="423"/>
        <v>0</v>
      </c>
      <c r="BZ1371" s="304">
        <f t="shared" si="424"/>
        <v>0</v>
      </c>
      <c r="CB1371" s="299">
        <v>0.6</v>
      </c>
      <c r="CC1371" s="299">
        <v>0.4</v>
      </c>
      <c r="CD1371">
        <f t="shared" si="425"/>
        <v>0</v>
      </c>
      <c r="CE1371">
        <f t="shared" si="426"/>
        <v>0</v>
      </c>
      <c r="CF1371">
        <f t="shared" si="427"/>
        <v>0</v>
      </c>
      <c r="CG1371">
        <f t="shared" si="428"/>
        <v>0</v>
      </c>
      <c r="CH1371">
        <f t="shared" si="429"/>
        <v>0</v>
      </c>
      <c r="CI1371">
        <f t="shared" si="430"/>
        <v>0</v>
      </c>
      <c r="CJ1371">
        <f t="shared" si="431"/>
        <v>0</v>
      </c>
      <c r="CK1371">
        <f t="shared" si="432"/>
        <v>0</v>
      </c>
      <c r="CL1371">
        <f t="shared" si="433"/>
        <v>0</v>
      </c>
      <c r="CM1371">
        <f t="shared" si="435"/>
        <v>0</v>
      </c>
      <c r="CN1371">
        <f t="shared" si="434"/>
        <v>0</v>
      </c>
      <c r="CO1371">
        <f t="shared" si="418"/>
        <v>0</v>
      </c>
    </row>
    <row r="1372" spans="1:93" x14ac:dyDescent="0.25">
      <c r="A1372" s="4">
        <v>2021</v>
      </c>
      <c r="B1372" s="318">
        <v>44320</v>
      </c>
      <c r="C1372" s="4" t="s">
        <v>1524</v>
      </c>
      <c r="D1372" s="4" t="s">
        <v>1525</v>
      </c>
      <c r="F1372" s="4" t="s">
        <v>1526</v>
      </c>
      <c r="G1372" s="5" t="s">
        <v>1514</v>
      </c>
      <c r="H1372" s="5" t="s">
        <v>1527</v>
      </c>
      <c r="I1372" s="5" t="s">
        <v>18</v>
      </c>
      <c r="J1372" s="5" t="s">
        <v>9</v>
      </c>
      <c r="K1372" s="5">
        <v>15.5</v>
      </c>
      <c r="L1372" s="5" t="s">
        <v>1528</v>
      </c>
      <c r="M1372" s="5">
        <v>1100</v>
      </c>
      <c r="N1372" s="5" t="s">
        <v>170</v>
      </c>
      <c r="O1372" s="6" t="s">
        <v>81</v>
      </c>
      <c r="P1372" s="6" t="s">
        <v>1530</v>
      </c>
      <c r="S1372" s="6">
        <v>15</v>
      </c>
      <c r="T1372" s="6">
        <v>4.33</v>
      </c>
      <c r="U1372" s="6">
        <v>1101</v>
      </c>
      <c r="V1372" s="6">
        <v>4.92</v>
      </c>
      <c r="W1372" s="6">
        <v>569</v>
      </c>
      <c r="X1372" s="6">
        <v>532</v>
      </c>
      <c r="Y1372" s="6">
        <v>0</v>
      </c>
      <c r="Z1372" s="6">
        <v>0</v>
      </c>
      <c r="AA1372" s="6">
        <v>0</v>
      </c>
      <c r="AB1372" s="6">
        <v>0</v>
      </c>
      <c r="AC1372" s="7">
        <v>78</v>
      </c>
      <c r="AD1372" s="7" t="s">
        <v>52</v>
      </c>
      <c r="AE1372" s="7">
        <v>20.54</v>
      </c>
      <c r="AF1372" s="7">
        <v>151</v>
      </c>
      <c r="AG1372" s="7">
        <v>13.92</v>
      </c>
      <c r="AH1372" s="7">
        <v>34.26</v>
      </c>
      <c r="AI1372" s="7">
        <v>34.869999999999997</v>
      </c>
      <c r="AJ1372" s="9">
        <v>119.344285323544</v>
      </c>
      <c r="AK1372" s="9">
        <v>123.162182575835</v>
      </c>
      <c r="AL1372" s="9">
        <v>164.47911846295301</v>
      </c>
      <c r="AM1372" s="9">
        <v>44.451453784976799</v>
      </c>
      <c r="AN1372" s="9">
        <v>0.56989043314072796</v>
      </c>
      <c r="AO1372" s="9">
        <v>0.313669938741235</v>
      </c>
      <c r="AP1372" s="9">
        <v>461.73409264702002</v>
      </c>
      <c r="AQ1372" s="9">
        <v>5.9196678544489796</v>
      </c>
      <c r="AR1372" s="9">
        <v>4.6311924700968898</v>
      </c>
      <c r="AS1372" s="8" t="s">
        <v>169</v>
      </c>
      <c r="AT1372" s="8" t="s">
        <v>169</v>
      </c>
      <c r="AU1372" s="10" t="s">
        <v>169</v>
      </c>
      <c r="AV1372" s="10">
        <v>0</v>
      </c>
      <c r="AW1372" s="10"/>
      <c r="AX1372" s="10" t="s">
        <v>169</v>
      </c>
      <c r="BF1372" s="12">
        <v>0.45</v>
      </c>
      <c r="BG1372" s="13">
        <v>128.91050909533899</v>
      </c>
      <c r="BH1372" s="96" t="str">
        <f>+VLOOKUP(G1372,Liste!$A$7:$G$50,3,FALSE)</f>
        <v>Pin d'Alep</v>
      </c>
      <c r="BI1372" s="96" t="str">
        <f>+VLOOKUP(H1372,Liste!$B$7:$G$50,5,FALSE)</f>
        <v>Pin d'Alep</v>
      </c>
      <c r="BJ1372" s="135">
        <f t="shared" si="417"/>
        <v>78</v>
      </c>
      <c r="BK1372" s="135" t="str">
        <f t="shared" si="419"/>
        <v>Pin d'Alep_F1_Classique_Pin d'Alep_78_</v>
      </c>
      <c r="BL1372" s="322"/>
      <c r="BM1372" s="13">
        <v>35.995744309162298</v>
      </c>
      <c r="BN1372" s="13">
        <v>164.906253404501</v>
      </c>
      <c r="BO1372" s="13" t="s">
        <v>169</v>
      </c>
      <c r="BP1372" s="13">
        <v>139.96016108448799</v>
      </c>
      <c r="BQ1372" s="13">
        <v>4.4233970390294504</v>
      </c>
      <c r="BT1372" s="298" t="str">
        <f>+VLOOKUP(G1372,Liste!$A$7:$H$50,8,FALSE)</f>
        <v>Résineux</v>
      </c>
      <c r="BU1372" s="298">
        <f t="shared" si="420"/>
        <v>0</v>
      </c>
      <c r="BV1372" s="300">
        <f t="shared" si="421"/>
        <v>1</v>
      </c>
      <c r="BW1372" s="321">
        <v>0</v>
      </c>
      <c r="BX1372" s="298">
        <f t="shared" si="422"/>
        <v>0.43</v>
      </c>
      <c r="BY1372">
        <f t="shared" si="423"/>
        <v>0</v>
      </c>
      <c r="BZ1372" s="304">
        <f t="shared" si="424"/>
        <v>0</v>
      </c>
      <c r="CB1372" s="299">
        <v>0.6</v>
      </c>
      <c r="CC1372" s="299">
        <v>0.4</v>
      </c>
      <c r="CD1372">
        <f t="shared" si="425"/>
        <v>0</v>
      </c>
      <c r="CE1372">
        <f t="shared" si="426"/>
        <v>0</v>
      </c>
      <c r="CF1372">
        <f t="shared" si="427"/>
        <v>0</v>
      </c>
      <c r="CG1372">
        <f t="shared" si="428"/>
        <v>0</v>
      </c>
      <c r="CH1372">
        <f t="shared" si="429"/>
        <v>0</v>
      </c>
      <c r="CI1372">
        <f t="shared" si="430"/>
        <v>0</v>
      </c>
      <c r="CJ1372">
        <f t="shared" si="431"/>
        <v>0</v>
      </c>
      <c r="CK1372">
        <f t="shared" si="432"/>
        <v>0</v>
      </c>
      <c r="CL1372">
        <f t="shared" si="433"/>
        <v>0</v>
      </c>
      <c r="CM1372">
        <f t="shared" si="435"/>
        <v>0</v>
      </c>
      <c r="CN1372">
        <f t="shared" si="434"/>
        <v>0</v>
      </c>
      <c r="CO1372">
        <f t="shared" si="418"/>
        <v>0</v>
      </c>
    </row>
    <row r="1373" spans="1:93" x14ac:dyDescent="0.25">
      <c r="A1373" s="4">
        <v>2021</v>
      </c>
      <c r="B1373" s="318">
        <v>44320</v>
      </c>
      <c r="C1373" s="4" t="s">
        <v>1524</v>
      </c>
      <c r="D1373" s="4" t="s">
        <v>1525</v>
      </c>
      <c r="F1373" s="4" t="s">
        <v>1526</v>
      </c>
      <c r="G1373" s="5" t="s">
        <v>1514</v>
      </c>
      <c r="H1373" s="5" t="s">
        <v>1527</v>
      </c>
      <c r="I1373" s="5" t="s">
        <v>18</v>
      </c>
      <c r="J1373" s="5" t="s">
        <v>9</v>
      </c>
      <c r="K1373" s="5">
        <v>15.5</v>
      </c>
      <c r="L1373" s="5" t="s">
        <v>1528</v>
      </c>
      <c r="M1373" s="5">
        <v>1100</v>
      </c>
      <c r="N1373" s="5" t="s">
        <v>170</v>
      </c>
      <c r="O1373" s="6" t="s">
        <v>81</v>
      </c>
      <c r="P1373" s="6" t="s">
        <v>1530</v>
      </c>
      <c r="S1373" s="6">
        <v>15</v>
      </c>
      <c r="T1373" s="6">
        <v>4.33</v>
      </c>
      <c r="U1373" s="6">
        <v>1101</v>
      </c>
      <c r="V1373" s="6">
        <v>4.92</v>
      </c>
      <c r="W1373" s="6">
        <v>569</v>
      </c>
      <c r="X1373" s="6">
        <v>532</v>
      </c>
      <c r="Y1373" s="6">
        <v>0</v>
      </c>
      <c r="Z1373" s="6">
        <v>0</v>
      </c>
      <c r="AA1373" s="6">
        <v>0</v>
      </c>
      <c r="AB1373" s="6">
        <v>0</v>
      </c>
      <c r="AC1373" s="7">
        <v>79</v>
      </c>
      <c r="AD1373" s="7" t="s">
        <v>52</v>
      </c>
      <c r="AE1373" s="7">
        <v>20.67</v>
      </c>
      <c r="AF1373" s="7">
        <v>151</v>
      </c>
      <c r="AG1373" s="7">
        <v>14.23</v>
      </c>
      <c r="AH1373" s="7">
        <v>34.64</v>
      </c>
      <c r="AI1373" s="7">
        <v>35.270000000000003</v>
      </c>
      <c r="AJ1373" s="9">
        <v>122.775201721005</v>
      </c>
      <c r="AK1373" s="9">
        <v>126.729737240162</v>
      </c>
      <c r="AL1373" s="9">
        <v>169.11031093304999</v>
      </c>
      <c r="AM1373" s="9">
        <v>44.765123723717998</v>
      </c>
      <c r="AN1373" s="9">
        <v>0.56664713574326597</v>
      </c>
      <c r="AO1373" s="9">
        <v>0.31472591442590703</v>
      </c>
      <c r="AP1373" s="9">
        <v>466.36528511711703</v>
      </c>
      <c r="AQ1373" s="9">
        <v>5.9033580394571796</v>
      </c>
      <c r="AR1373" s="9">
        <v>4.6520875607481598</v>
      </c>
      <c r="AS1373" s="8" t="s">
        <v>169</v>
      </c>
      <c r="AT1373" s="8" t="s">
        <v>169</v>
      </c>
      <c r="AU1373" s="10" t="s">
        <v>169</v>
      </c>
      <c r="AV1373" s="10">
        <v>0</v>
      </c>
      <c r="AW1373" s="10"/>
      <c r="AX1373" s="10" t="s">
        <v>169</v>
      </c>
      <c r="BF1373" s="12">
        <v>0.45</v>
      </c>
      <c r="BG1373" s="13">
        <v>132.540206193778</v>
      </c>
      <c r="BH1373" s="96" t="str">
        <f>+VLOOKUP(G1373,Liste!$A$7:$G$50,3,FALSE)</f>
        <v>Pin d'Alep</v>
      </c>
      <c r="BI1373" s="96" t="str">
        <f>+VLOOKUP(H1373,Liste!$B$7:$G$50,5,FALSE)</f>
        <v>Pin d'Alep</v>
      </c>
      <c r="BJ1373" s="135">
        <f t="shared" si="417"/>
        <v>79</v>
      </c>
      <c r="BK1373" s="135" t="str">
        <f t="shared" si="419"/>
        <v>Pin d'Alep_F1_Classique_Pin d'Alep_79_</v>
      </c>
      <c r="BL1373" s="322"/>
      <c r="BM1373" s="13">
        <v>36.889840026760503</v>
      </c>
      <c r="BN1373" s="13">
        <v>169.430046220538</v>
      </c>
      <c r="BO1373" s="13" t="s">
        <v>169</v>
      </c>
      <c r="BP1373" s="13">
        <v>139.96016108448799</v>
      </c>
      <c r="BQ1373" s="13">
        <v>4.44243147306429</v>
      </c>
      <c r="BT1373" s="298" t="str">
        <f>+VLOOKUP(G1373,Liste!$A$7:$H$50,8,FALSE)</f>
        <v>Résineux</v>
      </c>
      <c r="BU1373" s="298">
        <f t="shared" si="420"/>
        <v>0</v>
      </c>
      <c r="BV1373" s="300">
        <f t="shared" si="421"/>
        <v>1</v>
      </c>
      <c r="BW1373" s="321">
        <v>0</v>
      </c>
      <c r="BX1373" s="298">
        <f t="shared" si="422"/>
        <v>0.43</v>
      </c>
      <c r="BY1373">
        <f t="shared" si="423"/>
        <v>0</v>
      </c>
      <c r="BZ1373" s="304">
        <f t="shared" si="424"/>
        <v>0</v>
      </c>
      <c r="CB1373" s="299">
        <v>0.6</v>
      </c>
      <c r="CC1373" s="299">
        <v>0.4</v>
      </c>
      <c r="CD1373">
        <f t="shared" si="425"/>
        <v>0</v>
      </c>
      <c r="CE1373">
        <f t="shared" si="426"/>
        <v>0</v>
      </c>
      <c r="CF1373">
        <f t="shared" si="427"/>
        <v>0</v>
      </c>
      <c r="CG1373">
        <f t="shared" si="428"/>
        <v>0</v>
      </c>
      <c r="CH1373">
        <f t="shared" si="429"/>
        <v>0</v>
      </c>
      <c r="CI1373">
        <f t="shared" si="430"/>
        <v>0</v>
      </c>
      <c r="CJ1373">
        <f t="shared" si="431"/>
        <v>0</v>
      </c>
      <c r="CK1373">
        <f t="shared" si="432"/>
        <v>0</v>
      </c>
      <c r="CL1373">
        <f t="shared" si="433"/>
        <v>0</v>
      </c>
      <c r="CM1373">
        <f t="shared" si="435"/>
        <v>0</v>
      </c>
      <c r="CN1373">
        <f t="shared" si="434"/>
        <v>0</v>
      </c>
      <c r="CO1373">
        <f t="shared" si="418"/>
        <v>0</v>
      </c>
    </row>
    <row r="1374" spans="1:93" x14ac:dyDescent="0.25">
      <c r="A1374" s="4">
        <v>2021</v>
      </c>
      <c r="B1374" s="318">
        <v>44320</v>
      </c>
      <c r="C1374" s="4" t="s">
        <v>1524</v>
      </c>
      <c r="D1374" s="4" t="s">
        <v>1525</v>
      </c>
      <c r="F1374" s="4" t="s">
        <v>1526</v>
      </c>
      <c r="G1374" s="5" t="s">
        <v>1514</v>
      </c>
      <c r="H1374" s="5" t="s">
        <v>1527</v>
      </c>
      <c r="I1374" s="5" t="s">
        <v>18</v>
      </c>
      <c r="J1374" s="5" t="s">
        <v>9</v>
      </c>
      <c r="K1374" s="5">
        <v>15.5</v>
      </c>
      <c r="L1374" s="5" t="s">
        <v>1528</v>
      </c>
      <c r="M1374" s="5">
        <v>1100</v>
      </c>
      <c r="N1374" s="5" t="s">
        <v>170</v>
      </c>
      <c r="O1374" s="6" t="s">
        <v>81</v>
      </c>
      <c r="P1374" s="6" t="s">
        <v>1530</v>
      </c>
      <c r="S1374" s="6">
        <v>15</v>
      </c>
      <c r="T1374" s="6">
        <v>4.33</v>
      </c>
      <c r="U1374" s="6">
        <v>1101</v>
      </c>
      <c r="V1374" s="6">
        <v>4.92</v>
      </c>
      <c r="W1374" s="6">
        <v>569</v>
      </c>
      <c r="X1374" s="6">
        <v>532</v>
      </c>
      <c r="Y1374" s="6">
        <v>0</v>
      </c>
      <c r="Z1374" s="6">
        <v>0</v>
      </c>
      <c r="AA1374" s="6">
        <v>0</v>
      </c>
      <c r="AB1374" s="6">
        <v>0</v>
      </c>
      <c r="AC1374" s="7">
        <v>80</v>
      </c>
      <c r="AD1374" s="7" t="s">
        <v>52</v>
      </c>
      <c r="AE1374" s="7">
        <v>20.81</v>
      </c>
      <c r="AF1374" s="7">
        <v>151</v>
      </c>
      <c r="AG1374" s="7">
        <v>14.55</v>
      </c>
      <c r="AH1374" s="7">
        <v>35.020000000000003</v>
      </c>
      <c r="AI1374" s="7">
        <v>35.67</v>
      </c>
      <c r="AJ1374" s="9">
        <v>126.21802628891</v>
      </c>
      <c r="AK1374" s="9">
        <v>130.31129389507501</v>
      </c>
      <c r="AL1374" s="9">
        <v>173.762398493798</v>
      </c>
      <c r="AM1374" s="9">
        <v>45.079849638143997</v>
      </c>
      <c r="AN1374" s="9">
        <v>0.56349812047679904</v>
      </c>
      <c r="AO1374" s="9">
        <v>0.31482580136432903</v>
      </c>
      <c r="AP1374" s="9">
        <v>471.01737267786598</v>
      </c>
      <c r="AQ1374" s="9">
        <v>5.8877171584733201</v>
      </c>
      <c r="AR1374" s="9">
        <v>4.6894094268322402</v>
      </c>
      <c r="AS1374" s="8" t="s">
        <v>169</v>
      </c>
      <c r="AT1374" s="8" t="s">
        <v>169</v>
      </c>
      <c r="AU1374" s="10" t="s">
        <v>169</v>
      </c>
      <c r="AV1374" s="10">
        <v>0</v>
      </c>
      <c r="AW1374" s="10"/>
      <c r="AX1374" s="10" t="s">
        <v>169</v>
      </c>
      <c r="BF1374" s="12">
        <v>0.45</v>
      </c>
      <c r="BG1374" s="13">
        <v>136.186279819514</v>
      </c>
      <c r="BH1374" s="96" t="str">
        <f>+VLOOKUP(G1374,Liste!$A$7:$G$50,3,FALSE)</f>
        <v>Pin d'Alep</v>
      </c>
      <c r="BI1374" s="96" t="str">
        <f>+VLOOKUP(H1374,Liste!$B$7:$G$50,5,FALSE)</f>
        <v>Pin d'Alep</v>
      </c>
      <c r="BJ1374" s="135">
        <f t="shared" si="417"/>
        <v>80</v>
      </c>
      <c r="BK1374" s="135" t="str">
        <f t="shared" si="419"/>
        <v>Pin d'Alep_F1_Classique_Pin d'Alep_80_</v>
      </c>
      <c r="BL1374" s="322"/>
      <c r="BM1374" s="13">
        <v>37.785104644827797</v>
      </c>
      <c r="BN1374" s="13">
        <v>173.97138446434201</v>
      </c>
      <c r="BO1374" s="13" t="s">
        <v>169</v>
      </c>
      <c r="BP1374" s="13">
        <v>139.96016108448799</v>
      </c>
      <c r="BQ1374" s="13">
        <v>4.4771453185365404</v>
      </c>
      <c r="BT1374" s="298" t="str">
        <f>+VLOOKUP(G1374,Liste!$A$7:$H$50,8,FALSE)</f>
        <v>Résineux</v>
      </c>
      <c r="BU1374" s="298">
        <f t="shared" si="420"/>
        <v>0</v>
      </c>
      <c r="BV1374" s="300">
        <f t="shared" si="421"/>
        <v>1</v>
      </c>
      <c r="BW1374" s="321">
        <v>0</v>
      </c>
      <c r="BX1374" s="298">
        <f t="shared" si="422"/>
        <v>0.43</v>
      </c>
      <c r="BY1374">
        <f t="shared" si="423"/>
        <v>0</v>
      </c>
      <c r="BZ1374" s="304">
        <f t="shared" si="424"/>
        <v>0</v>
      </c>
      <c r="CB1374" s="299">
        <v>0.6</v>
      </c>
      <c r="CC1374" s="299">
        <v>0.4</v>
      </c>
      <c r="CD1374">
        <f t="shared" si="425"/>
        <v>0</v>
      </c>
      <c r="CE1374">
        <f t="shared" si="426"/>
        <v>0</v>
      </c>
      <c r="CF1374">
        <f t="shared" si="427"/>
        <v>0</v>
      </c>
      <c r="CG1374">
        <f t="shared" si="428"/>
        <v>0</v>
      </c>
      <c r="CH1374">
        <f t="shared" si="429"/>
        <v>0</v>
      </c>
      <c r="CI1374">
        <f t="shared" si="430"/>
        <v>0</v>
      </c>
      <c r="CJ1374">
        <f t="shared" si="431"/>
        <v>0</v>
      </c>
      <c r="CK1374">
        <f t="shared" si="432"/>
        <v>0</v>
      </c>
      <c r="CL1374">
        <f t="shared" si="433"/>
        <v>0</v>
      </c>
      <c r="CM1374">
        <f t="shared" si="435"/>
        <v>0</v>
      </c>
      <c r="CN1374">
        <f t="shared" si="434"/>
        <v>0</v>
      </c>
      <c r="CO1374">
        <f t="shared" si="418"/>
        <v>0</v>
      </c>
    </row>
    <row r="1375" spans="1:93" x14ac:dyDescent="0.25">
      <c r="A1375" s="4">
        <v>2021</v>
      </c>
      <c r="B1375" s="318">
        <v>44320</v>
      </c>
      <c r="C1375" s="4" t="s">
        <v>1524</v>
      </c>
      <c r="D1375" s="4" t="s">
        <v>1525</v>
      </c>
      <c r="F1375" s="4" t="s">
        <v>1526</v>
      </c>
      <c r="G1375" s="5" t="s">
        <v>1514</v>
      </c>
      <c r="H1375" s="5" t="s">
        <v>1527</v>
      </c>
      <c r="I1375" s="5" t="s">
        <v>18</v>
      </c>
      <c r="J1375" s="5" t="s">
        <v>9</v>
      </c>
      <c r="K1375" s="5">
        <v>15.5</v>
      </c>
      <c r="L1375" s="5" t="s">
        <v>1528</v>
      </c>
      <c r="M1375" s="5">
        <v>1100</v>
      </c>
      <c r="N1375" s="5" t="s">
        <v>170</v>
      </c>
      <c r="O1375" s="6" t="s">
        <v>81</v>
      </c>
      <c r="P1375" s="6" t="s">
        <v>1530</v>
      </c>
      <c r="S1375" s="6">
        <v>15</v>
      </c>
      <c r="T1375" s="6">
        <v>4.33</v>
      </c>
      <c r="U1375" s="6">
        <v>1101</v>
      </c>
      <c r="V1375" s="6">
        <v>4.92</v>
      </c>
      <c r="W1375" s="6">
        <v>569</v>
      </c>
      <c r="X1375" s="6">
        <v>532</v>
      </c>
      <c r="Y1375" s="6">
        <v>0</v>
      </c>
      <c r="Z1375" s="6">
        <v>0</v>
      </c>
      <c r="AA1375" s="6">
        <v>0</v>
      </c>
      <c r="AB1375" s="6">
        <v>0</v>
      </c>
      <c r="AC1375" s="7">
        <v>81</v>
      </c>
      <c r="AD1375" s="7" t="s">
        <v>52</v>
      </c>
      <c r="AE1375" s="7">
        <v>20.94</v>
      </c>
      <c r="AF1375" s="7">
        <v>151</v>
      </c>
      <c r="AG1375" s="7">
        <v>14.86</v>
      </c>
      <c r="AH1375" s="7">
        <v>35.4</v>
      </c>
      <c r="AI1375" s="7">
        <v>36.06</v>
      </c>
      <c r="AJ1375" s="9">
        <v>129.69174599885301</v>
      </c>
      <c r="AK1375" s="9">
        <v>133.92518745665501</v>
      </c>
      <c r="AL1375" s="9">
        <v>178.45180792062999</v>
      </c>
      <c r="AM1375" s="9">
        <v>45.394675439508298</v>
      </c>
      <c r="AN1375" s="9">
        <v>0.56042809184578102</v>
      </c>
      <c r="AO1375" s="9">
        <v>0.31384527888121699</v>
      </c>
      <c r="AP1375" s="9">
        <v>475.70678210469799</v>
      </c>
      <c r="AQ1375" s="9">
        <v>5.8729232358604699</v>
      </c>
      <c r="AR1375" s="9">
        <v>4.7024474210287499</v>
      </c>
      <c r="AS1375" s="8" t="s">
        <v>169</v>
      </c>
      <c r="AT1375" s="8" t="s">
        <v>169</v>
      </c>
      <c r="AU1375" s="10" t="s">
        <v>169</v>
      </c>
      <c r="AV1375" s="10">
        <v>0</v>
      </c>
      <c r="AW1375" s="10"/>
      <c r="AX1375" s="10" t="s">
        <v>169</v>
      </c>
      <c r="BF1375" s="12">
        <v>0.45</v>
      </c>
      <c r="BG1375" s="13">
        <v>139.86160445779399</v>
      </c>
      <c r="BH1375" s="96" t="str">
        <f>+VLOOKUP(G1375,Liste!$A$7:$G$50,3,FALSE)</f>
        <v>Pin d'Alep</v>
      </c>
      <c r="BI1375" s="96" t="str">
        <f>+VLOOKUP(H1375,Liste!$B$7:$G$50,5,FALSE)</f>
        <v>Pin d'Alep</v>
      </c>
      <c r="BJ1375" s="135">
        <f t="shared" si="417"/>
        <v>81</v>
      </c>
      <c r="BK1375" s="135" t="str">
        <f t="shared" si="419"/>
        <v>Pin d'Alep_F1_Classique_Pin d'Alep_81_</v>
      </c>
      <c r="BL1375" s="322"/>
      <c r="BM1375" s="13">
        <v>38.684732265502198</v>
      </c>
      <c r="BN1375" s="13">
        <v>178.54633672329601</v>
      </c>
      <c r="BO1375" s="13" t="s">
        <v>169</v>
      </c>
      <c r="BP1375" s="13">
        <v>139.96016108448799</v>
      </c>
      <c r="BQ1375" s="13">
        <v>4.4886697914072302</v>
      </c>
      <c r="BT1375" s="298" t="str">
        <f>+VLOOKUP(G1375,Liste!$A$7:$H$50,8,FALSE)</f>
        <v>Résineux</v>
      </c>
      <c r="BU1375" s="298">
        <f t="shared" si="420"/>
        <v>0</v>
      </c>
      <c r="BV1375" s="300">
        <f t="shared" si="421"/>
        <v>1</v>
      </c>
      <c r="BW1375" s="321">
        <v>0</v>
      </c>
      <c r="BX1375" s="298">
        <f t="shared" si="422"/>
        <v>0.43</v>
      </c>
      <c r="BY1375">
        <f t="shared" si="423"/>
        <v>0</v>
      </c>
      <c r="BZ1375" s="304">
        <f t="shared" si="424"/>
        <v>0</v>
      </c>
      <c r="CB1375" s="299">
        <v>0.6</v>
      </c>
      <c r="CC1375" s="299">
        <v>0.4</v>
      </c>
      <c r="CD1375">
        <f t="shared" si="425"/>
        <v>0</v>
      </c>
      <c r="CE1375">
        <f t="shared" si="426"/>
        <v>0</v>
      </c>
      <c r="CF1375">
        <f t="shared" si="427"/>
        <v>0</v>
      </c>
      <c r="CG1375">
        <f t="shared" si="428"/>
        <v>0</v>
      </c>
      <c r="CH1375">
        <f t="shared" si="429"/>
        <v>0</v>
      </c>
      <c r="CI1375">
        <f t="shared" si="430"/>
        <v>0</v>
      </c>
      <c r="CJ1375">
        <f t="shared" si="431"/>
        <v>0</v>
      </c>
      <c r="CK1375">
        <f t="shared" si="432"/>
        <v>0</v>
      </c>
      <c r="CL1375">
        <f t="shared" si="433"/>
        <v>0</v>
      </c>
      <c r="CM1375">
        <f t="shared" si="435"/>
        <v>0</v>
      </c>
      <c r="CN1375">
        <f t="shared" si="434"/>
        <v>0</v>
      </c>
      <c r="CO1375">
        <f t="shared" si="418"/>
        <v>0</v>
      </c>
    </row>
    <row r="1376" spans="1:93" x14ac:dyDescent="0.25">
      <c r="A1376" s="4">
        <v>2021</v>
      </c>
      <c r="B1376" s="318">
        <v>44320</v>
      </c>
      <c r="C1376" s="4" t="s">
        <v>1524</v>
      </c>
      <c r="D1376" s="4" t="s">
        <v>1525</v>
      </c>
      <c r="F1376" s="4" t="s">
        <v>1526</v>
      </c>
      <c r="G1376" s="5" t="s">
        <v>1514</v>
      </c>
      <c r="H1376" s="5" t="s">
        <v>1527</v>
      </c>
      <c r="I1376" s="5" t="s">
        <v>18</v>
      </c>
      <c r="J1376" s="5" t="s">
        <v>9</v>
      </c>
      <c r="K1376" s="5">
        <v>15.5</v>
      </c>
      <c r="L1376" s="5" t="s">
        <v>1528</v>
      </c>
      <c r="M1376" s="5">
        <v>1100</v>
      </c>
      <c r="N1376" s="5" t="s">
        <v>170</v>
      </c>
      <c r="O1376" s="6" t="s">
        <v>81</v>
      </c>
      <c r="P1376" s="6" t="s">
        <v>1530</v>
      </c>
      <c r="S1376" s="6">
        <v>15</v>
      </c>
      <c r="T1376" s="6">
        <v>4.33</v>
      </c>
      <c r="U1376" s="6">
        <v>1101</v>
      </c>
      <c r="V1376" s="6">
        <v>4.92</v>
      </c>
      <c r="W1376" s="6">
        <v>569</v>
      </c>
      <c r="X1376" s="6">
        <v>532</v>
      </c>
      <c r="Y1376" s="6">
        <v>0</v>
      </c>
      <c r="Z1376" s="6">
        <v>0</v>
      </c>
      <c r="AA1376" s="6">
        <v>0</v>
      </c>
      <c r="AB1376" s="6">
        <v>0</v>
      </c>
      <c r="AC1376" s="7">
        <v>82</v>
      </c>
      <c r="AD1376" s="7" t="s">
        <v>52</v>
      </c>
      <c r="AE1376" s="7">
        <v>21.07</v>
      </c>
      <c r="AF1376" s="7">
        <v>151</v>
      </c>
      <c r="AG1376" s="7">
        <v>15.17</v>
      </c>
      <c r="AH1376" s="7">
        <v>35.770000000000003</v>
      </c>
      <c r="AI1376" s="7">
        <v>36.450000000000003</v>
      </c>
      <c r="AJ1376" s="9">
        <v>133.176748505148</v>
      </c>
      <c r="AK1376" s="9">
        <v>137.55136400422001</v>
      </c>
      <c r="AL1376" s="9">
        <v>183.154255341659</v>
      </c>
      <c r="AM1376" s="9">
        <v>45.708520718389501</v>
      </c>
      <c r="AN1376" s="9">
        <v>0.55742098437060394</v>
      </c>
      <c r="AO1376" s="9">
        <v>0.31518890664322902</v>
      </c>
      <c r="AP1376" s="9">
        <v>480.40922952572703</v>
      </c>
      <c r="AQ1376" s="9">
        <v>5.85864914055764</v>
      </c>
      <c r="AR1376" s="9">
        <v>4.7248073870404701</v>
      </c>
      <c r="AS1376" s="8" t="s">
        <v>169</v>
      </c>
      <c r="AT1376" s="8" t="s">
        <v>169</v>
      </c>
      <c r="AU1376" s="10" t="s">
        <v>169</v>
      </c>
      <c r="AV1376" s="10">
        <v>0</v>
      </c>
      <c r="AW1376" s="10"/>
      <c r="AX1376" s="10" t="s">
        <v>169</v>
      </c>
      <c r="BF1376" s="12">
        <v>0.45</v>
      </c>
      <c r="BG1376" s="13">
        <v>143.547147624025</v>
      </c>
      <c r="BH1376" s="96" t="str">
        <f>+VLOOKUP(G1376,Liste!$A$7:$G$50,3,FALSE)</f>
        <v>Pin d'Alep</v>
      </c>
      <c r="BI1376" s="96" t="str">
        <f>+VLOOKUP(H1376,Liste!$B$7:$G$50,5,FALSE)</f>
        <v>Pin d'Alep</v>
      </c>
      <c r="BJ1376" s="135">
        <f t="shared" si="417"/>
        <v>82</v>
      </c>
      <c r="BK1376" s="135" t="str">
        <f t="shared" si="419"/>
        <v>Pin d'Alep_F1_Classique_Pin d'Alep_82_</v>
      </c>
      <c r="BL1376" s="322"/>
      <c r="BM1376" s="13">
        <v>39.584101824601603</v>
      </c>
      <c r="BN1376" s="13">
        <v>183.13124944862699</v>
      </c>
      <c r="BO1376" s="13" t="s">
        <v>169</v>
      </c>
      <c r="BP1376" s="13">
        <v>139.96016108448799</v>
      </c>
      <c r="BQ1376" s="13">
        <v>4.5090921806802298</v>
      </c>
      <c r="BT1376" s="298" t="str">
        <f>+VLOOKUP(G1376,Liste!$A$7:$H$50,8,FALSE)</f>
        <v>Résineux</v>
      </c>
      <c r="BU1376" s="298">
        <f t="shared" si="420"/>
        <v>0</v>
      </c>
      <c r="BV1376" s="300">
        <f t="shared" si="421"/>
        <v>1</v>
      </c>
      <c r="BW1376" s="321">
        <v>0</v>
      </c>
      <c r="BX1376" s="298">
        <f t="shared" si="422"/>
        <v>0.43</v>
      </c>
      <c r="BY1376">
        <f t="shared" si="423"/>
        <v>0</v>
      </c>
      <c r="BZ1376" s="304">
        <f t="shared" si="424"/>
        <v>0</v>
      </c>
      <c r="CB1376" s="299">
        <v>0.6</v>
      </c>
      <c r="CC1376" s="299">
        <v>0.4</v>
      </c>
      <c r="CD1376">
        <f t="shared" si="425"/>
        <v>0</v>
      </c>
      <c r="CE1376">
        <f t="shared" si="426"/>
        <v>0</v>
      </c>
      <c r="CF1376">
        <f t="shared" si="427"/>
        <v>0</v>
      </c>
      <c r="CG1376">
        <f t="shared" si="428"/>
        <v>0</v>
      </c>
      <c r="CH1376">
        <f t="shared" si="429"/>
        <v>0</v>
      </c>
      <c r="CI1376">
        <f t="shared" si="430"/>
        <v>0</v>
      </c>
      <c r="CJ1376">
        <f t="shared" si="431"/>
        <v>0</v>
      </c>
      <c r="CK1376">
        <f t="shared" si="432"/>
        <v>0</v>
      </c>
      <c r="CL1376">
        <f t="shared" si="433"/>
        <v>0</v>
      </c>
      <c r="CM1376">
        <f t="shared" si="435"/>
        <v>0</v>
      </c>
      <c r="CN1376">
        <f t="shared" si="434"/>
        <v>0</v>
      </c>
      <c r="CO1376">
        <f t="shared" si="418"/>
        <v>0</v>
      </c>
    </row>
    <row r="1377" spans="1:93" x14ac:dyDescent="0.25">
      <c r="A1377" s="4">
        <v>2021</v>
      </c>
      <c r="B1377" s="318">
        <v>44320</v>
      </c>
      <c r="C1377" s="4" t="s">
        <v>1524</v>
      </c>
      <c r="D1377" s="4" t="s">
        <v>1525</v>
      </c>
      <c r="F1377" s="4" t="s">
        <v>1526</v>
      </c>
      <c r="G1377" s="5" t="s">
        <v>1514</v>
      </c>
      <c r="H1377" s="5" t="s">
        <v>1527</v>
      </c>
      <c r="I1377" s="5" t="s">
        <v>18</v>
      </c>
      <c r="J1377" s="5" t="s">
        <v>9</v>
      </c>
      <c r="K1377" s="5">
        <v>15.5</v>
      </c>
      <c r="L1377" s="5" t="s">
        <v>1528</v>
      </c>
      <c r="M1377" s="5">
        <v>1100</v>
      </c>
      <c r="N1377" s="5" t="s">
        <v>170</v>
      </c>
      <c r="O1377" s="6" t="s">
        <v>81</v>
      </c>
      <c r="P1377" s="6" t="s">
        <v>1530</v>
      </c>
      <c r="S1377" s="6">
        <v>15</v>
      </c>
      <c r="T1377" s="6">
        <v>4.33</v>
      </c>
      <c r="U1377" s="6">
        <v>1101</v>
      </c>
      <c r="V1377" s="6">
        <v>4.92</v>
      </c>
      <c r="W1377" s="6">
        <v>569</v>
      </c>
      <c r="X1377" s="6">
        <v>532</v>
      </c>
      <c r="Y1377" s="6">
        <v>0</v>
      </c>
      <c r="Z1377" s="6">
        <v>0</v>
      </c>
      <c r="AA1377" s="6">
        <v>0</v>
      </c>
      <c r="AB1377" s="6">
        <v>0</v>
      </c>
      <c r="AC1377" s="7">
        <v>83</v>
      </c>
      <c r="AD1377" s="7" t="s">
        <v>52</v>
      </c>
      <c r="AE1377" s="7">
        <v>21.2</v>
      </c>
      <c r="AF1377" s="7">
        <v>151</v>
      </c>
      <c r="AG1377" s="7">
        <v>15.49</v>
      </c>
      <c r="AH1377" s="7">
        <v>36.14</v>
      </c>
      <c r="AI1377" s="7">
        <v>36.83</v>
      </c>
      <c r="AJ1377" s="9">
        <v>136.674402666558</v>
      </c>
      <c r="AK1377" s="9">
        <v>141.192356057361</v>
      </c>
      <c r="AL1377" s="9">
        <v>187.87906272869901</v>
      </c>
      <c r="AM1377" s="9">
        <v>46.023709625032701</v>
      </c>
      <c r="AN1377" s="9">
        <v>0.554502525602804</v>
      </c>
      <c r="AO1377" s="9">
        <v>0.31444127042352898</v>
      </c>
      <c r="AP1377" s="9">
        <v>485.13403691276699</v>
      </c>
      <c r="AQ1377" s="9">
        <v>5.8449883965393603</v>
      </c>
      <c r="AR1377" s="9">
        <v>4.7498132877110502</v>
      </c>
      <c r="AS1377" s="8" t="s">
        <v>169</v>
      </c>
      <c r="AT1377" s="8" t="s">
        <v>169</v>
      </c>
      <c r="AU1377" s="10" t="s">
        <v>169</v>
      </c>
      <c r="AV1377" s="10">
        <v>0</v>
      </c>
      <c r="AW1377" s="10"/>
      <c r="AX1377" s="10" t="s">
        <v>169</v>
      </c>
      <c r="BF1377" s="12">
        <v>0.45</v>
      </c>
      <c r="BG1377" s="13">
        <v>147.25021541361801</v>
      </c>
      <c r="BH1377" s="96" t="str">
        <f>+VLOOKUP(G1377,Liste!$A$7:$G$50,3,FALSE)</f>
        <v>Pin d'Alep</v>
      </c>
      <c r="BI1377" s="96" t="str">
        <f>+VLOOKUP(H1377,Liste!$B$7:$G$50,5,FALSE)</f>
        <v>Pin d'Alep</v>
      </c>
      <c r="BJ1377" s="135">
        <f t="shared" si="417"/>
        <v>83</v>
      </c>
      <c r="BK1377" s="135" t="str">
        <f t="shared" si="419"/>
        <v>Pin d'Alep_F1_Classique_Pin d'Alep_83_</v>
      </c>
      <c r="BL1377" s="322"/>
      <c r="BM1377" s="13">
        <v>40.4850446933131</v>
      </c>
      <c r="BN1377" s="13">
        <v>187.73526010693101</v>
      </c>
      <c r="BO1377" s="13" t="s">
        <v>169</v>
      </c>
      <c r="BP1377" s="13">
        <v>139.96016108448799</v>
      </c>
      <c r="BQ1377" s="13">
        <v>4.5320359305508804</v>
      </c>
      <c r="BT1377" s="298" t="str">
        <f>+VLOOKUP(G1377,Liste!$A$7:$H$50,8,FALSE)</f>
        <v>Résineux</v>
      </c>
      <c r="BU1377" s="298">
        <f t="shared" si="420"/>
        <v>0</v>
      </c>
      <c r="BV1377" s="300">
        <f t="shared" si="421"/>
        <v>1</v>
      </c>
      <c r="BW1377" s="321">
        <v>0</v>
      </c>
      <c r="BX1377" s="298">
        <f t="shared" si="422"/>
        <v>0.43</v>
      </c>
      <c r="BY1377">
        <f t="shared" si="423"/>
        <v>0</v>
      </c>
      <c r="BZ1377" s="304">
        <f t="shared" si="424"/>
        <v>0</v>
      </c>
      <c r="CB1377" s="299">
        <v>0.6</v>
      </c>
      <c r="CC1377" s="299">
        <v>0.4</v>
      </c>
      <c r="CD1377">
        <f t="shared" si="425"/>
        <v>0</v>
      </c>
      <c r="CE1377">
        <f t="shared" si="426"/>
        <v>0</v>
      </c>
      <c r="CF1377">
        <f t="shared" si="427"/>
        <v>0</v>
      </c>
      <c r="CG1377">
        <f t="shared" si="428"/>
        <v>0</v>
      </c>
      <c r="CH1377">
        <f t="shared" si="429"/>
        <v>0</v>
      </c>
      <c r="CI1377">
        <f t="shared" si="430"/>
        <v>0</v>
      </c>
      <c r="CJ1377">
        <f t="shared" si="431"/>
        <v>0</v>
      </c>
      <c r="CK1377">
        <f t="shared" si="432"/>
        <v>0</v>
      </c>
      <c r="CL1377">
        <f t="shared" si="433"/>
        <v>0</v>
      </c>
      <c r="CM1377">
        <f t="shared" si="435"/>
        <v>0</v>
      </c>
      <c r="CN1377">
        <f t="shared" si="434"/>
        <v>0</v>
      </c>
      <c r="CO1377">
        <f t="shared" si="418"/>
        <v>0</v>
      </c>
    </row>
    <row r="1378" spans="1:93" x14ac:dyDescent="0.25">
      <c r="A1378" s="4">
        <v>2021</v>
      </c>
      <c r="B1378" s="318">
        <v>44320</v>
      </c>
      <c r="C1378" s="4" t="s">
        <v>1524</v>
      </c>
      <c r="D1378" s="4" t="s">
        <v>1525</v>
      </c>
      <c r="F1378" s="4" t="s">
        <v>1526</v>
      </c>
      <c r="G1378" s="5" t="s">
        <v>1514</v>
      </c>
      <c r="H1378" s="5" t="s">
        <v>1527</v>
      </c>
      <c r="I1378" s="5" t="s">
        <v>18</v>
      </c>
      <c r="J1378" s="5" t="s">
        <v>9</v>
      </c>
      <c r="K1378" s="5">
        <v>15.5</v>
      </c>
      <c r="L1378" s="5" t="s">
        <v>1528</v>
      </c>
      <c r="M1378" s="5">
        <v>1100</v>
      </c>
      <c r="N1378" s="5" t="s">
        <v>170</v>
      </c>
      <c r="O1378" s="6" t="s">
        <v>81</v>
      </c>
      <c r="P1378" s="6" t="s">
        <v>1530</v>
      </c>
      <c r="S1378" s="6">
        <v>15</v>
      </c>
      <c r="T1378" s="6">
        <v>4.33</v>
      </c>
      <c r="U1378" s="6">
        <v>1101</v>
      </c>
      <c r="V1378" s="6">
        <v>4.92</v>
      </c>
      <c r="W1378" s="6">
        <v>569</v>
      </c>
      <c r="X1378" s="6">
        <v>532</v>
      </c>
      <c r="Y1378" s="6">
        <v>0</v>
      </c>
      <c r="Z1378" s="6">
        <v>0</v>
      </c>
      <c r="AA1378" s="6">
        <v>0</v>
      </c>
      <c r="AB1378" s="6">
        <v>0</v>
      </c>
      <c r="AC1378" s="7">
        <v>84</v>
      </c>
      <c r="AD1378" s="7" t="s">
        <v>52</v>
      </c>
      <c r="AE1378" s="7">
        <v>21.33</v>
      </c>
      <c r="AF1378" s="7">
        <v>151</v>
      </c>
      <c r="AG1378" s="7">
        <v>15.8</v>
      </c>
      <c r="AH1378" s="7">
        <v>36.51</v>
      </c>
      <c r="AI1378" s="7">
        <v>37.21</v>
      </c>
      <c r="AJ1378" s="9">
        <v>140.19409138265101</v>
      </c>
      <c r="AK1378" s="9">
        <v>144.85638740770599</v>
      </c>
      <c r="AL1378" s="9">
        <v>192.62887601641</v>
      </c>
      <c r="AM1378" s="9">
        <v>46.338150895456302</v>
      </c>
      <c r="AN1378" s="9">
        <v>0.55164465351733605</v>
      </c>
      <c r="AO1378" s="9">
        <v>0.313992124775829</v>
      </c>
      <c r="AP1378" s="9">
        <v>489.88385020047798</v>
      </c>
      <c r="AQ1378" s="9">
        <v>5.8319505976247399</v>
      </c>
      <c r="AR1378" s="9">
        <v>4.7827466197180097</v>
      </c>
      <c r="AS1378" s="8" t="s">
        <v>169</v>
      </c>
      <c r="AT1378" s="8" t="s">
        <v>169</v>
      </c>
      <c r="AU1378" s="10" t="s">
        <v>169</v>
      </c>
      <c r="AV1378" s="10">
        <v>0</v>
      </c>
      <c r="AW1378" s="10"/>
      <c r="AX1378" s="10" t="s">
        <v>169</v>
      </c>
      <c r="BF1378" s="12">
        <v>0.45</v>
      </c>
      <c r="BG1378" s="13">
        <v>150.97288157786201</v>
      </c>
      <c r="BH1378" s="96" t="str">
        <f>+VLOOKUP(G1378,Liste!$A$7:$G$50,3,FALSE)</f>
        <v>Pin d'Alep</v>
      </c>
      <c r="BI1378" s="96" t="str">
        <f>+VLOOKUP(H1378,Liste!$B$7:$G$50,5,FALSE)</f>
        <v>Pin d'Alep</v>
      </c>
      <c r="BJ1378" s="135">
        <f t="shared" si="417"/>
        <v>84</v>
      </c>
      <c r="BK1378" s="135" t="str">
        <f t="shared" si="419"/>
        <v>Pin d'Alep_F1_Classique_Pin d'Alep_84_</v>
      </c>
      <c r="BL1378" s="322"/>
      <c r="BM1378" s="13">
        <v>41.388101244154598</v>
      </c>
      <c r="BN1378" s="13">
        <v>192.36098282201601</v>
      </c>
      <c r="BO1378" s="13" t="s">
        <v>169</v>
      </c>
      <c r="BP1378" s="13">
        <v>139.96016108448799</v>
      </c>
      <c r="BQ1378" s="13">
        <v>4.5625368393389198</v>
      </c>
      <c r="BT1378" s="298" t="str">
        <f>+VLOOKUP(G1378,Liste!$A$7:$H$50,8,FALSE)</f>
        <v>Résineux</v>
      </c>
      <c r="BU1378" s="298">
        <f t="shared" si="420"/>
        <v>0</v>
      </c>
      <c r="BV1378" s="300">
        <f t="shared" si="421"/>
        <v>1</v>
      </c>
      <c r="BW1378" s="321">
        <v>0</v>
      </c>
      <c r="BX1378" s="298">
        <f t="shared" si="422"/>
        <v>0.43</v>
      </c>
      <c r="BY1378">
        <f t="shared" si="423"/>
        <v>0</v>
      </c>
      <c r="BZ1378" s="304">
        <f t="shared" si="424"/>
        <v>0</v>
      </c>
      <c r="CB1378" s="299">
        <v>0.6</v>
      </c>
      <c r="CC1378" s="299">
        <v>0.4</v>
      </c>
      <c r="CD1378">
        <f t="shared" si="425"/>
        <v>0</v>
      </c>
      <c r="CE1378">
        <f t="shared" si="426"/>
        <v>0</v>
      </c>
      <c r="CF1378">
        <f t="shared" si="427"/>
        <v>0</v>
      </c>
      <c r="CG1378">
        <f t="shared" si="428"/>
        <v>0</v>
      </c>
      <c r="CH1378">
        <f t="shared" si="429"/>
        <v>0</v>
      </c>
      <c r="CI1378">
        <f t="shared" si="430"/>
        <v>0</v>
      </c>
      <c r="CJ1378">
        <f t="shared" si="431"/>
        <v>0</v>
      </c>
      <c r="CK1378">
        <f t="shared" si="432"/>
        <v>0</v>
      </c>
      <c r="CL1378">
        <f t="shared" si="433"/>
        <v>0</v>
      </c>
      <c r="CM1378">
        <f t="shared" si="435"/>
        <v>0</v>
      </c>
      <c r="CN1378">
        <f t="shared" si="434"/>
        <v>0</v>
      </c>
      <c r="CO1378">
        <f t="shared" si="418"/>
        <v>0</v>
      </c>
    </row>
    <row r="1379" spans="1:93" x14ac:dyDescent="0.25">
      <c r="A1379" s="4">
        <v>2021</v>
      </c>
      <c r="B1379" s="318">
        <v>44320</v>
      </c>
      <c r="C1379" s="4" t="s">
        <v>1524</v>
      </c>
      <c r="D1379" s="4" t="s">
        <v>1525</v>
      </c>
      <c r="F1379" s="4" t="s">
        <v>1526</v>
      </c>
      <c r="G1379" s="5" t="s">
        <v>1514</v>
      </c>
      <c r="H1379" s="5" t="s">
        <v>1527</v>
      </c>
      <c r="I1379" s="5" t="s">
        <v>18</v>
      </c>
      <c r="J1379" s="5" t="s">
        <v>9</v>
      </c>
      <c r="K1379" s="5">
        <v>15.5</v>
      </c>
      <c r="L1379" s="5" t="s">
        <v>1528</v>
      </c>
      <c r="M1379" s="5">
        <v>1100</v>
      </c>
      <c r="N1379" s="5" t="s">
        <v>170</v>
      </c>
      <c r="O1379" s="6" t="s">
        <v>81</v>
      </c>
      <c r="P1379" s="6" t="s">
        <v>1530</v>
      </c>
      <c r="S1379" s="6">
        <v>15</v>
      </c>
      <c r="T1379" s="6">
        <v>4.33</v>
      </c>
      <c r="U1379" s="6">
        <v>1101</v>
      </c>
      <c r="V1379" s="6">
        <v>4.92</v>
      </c>
      <c r="W1379" s="6">
        <v>569</v>
      </c>
      <c r="X1379" s="6">
        <v>532</v>
      </c>
      <c r="Y1379" s="6">
        <v>0</v>
      </c>
      <c r="Z1379" s="6">
        <v>0</v>
      </c>
      <c r="AA1379" s="6">
        <v>0</v>
      </c>
      <c r="AB1379" s="6">
        <v>0</v>
      </c>
      <c r="AC1379" s="7">
        <v>85</v>
      </c>
      <c r="AD1379" s="7" t="s">
        <v>52</v>
      </c>
      <c r="AE1379" s="7">
        <v>21.46</v>
      </c>
      <c r="AF1379" s="7">
        <v>151</v>
      </c>
      <c r="AG1379" s="7">
        <v>16.12</v>
      </c>
      <c r="AH1379" s="7">
        <v>36.869999999999997</v>
      </c>
      <c r="AI1379" s="7">
        <v>37.590000000000003</v>
      </c>
      <c r="AJ1379" s="9">
        <v>143.742594223239</v>
      </c>
      <c r="AK1379" s="9">
        <v>148.55033203155199</v>
      </c>
      <c r="AL1379" s="9">
        <v>197.41162263612799</v>
      </c>
      <c r="AM1379" s="9">
        <v>46.652143020232103</v>
      </c>
      <c r="AN1379" s="9">
        <v>0.54884874141449502</v>
      </c>
      <c r="AO1379" s="9">
        <v>0.31500078022114802</v>
      </c>
      <c r="AP1379" s="9">
        <v>494.66659682019599</v>
      </c>
      <c r="AQ1379" s="9">
        <v>5.81960702141407</v>
      </c>
      <c r="AR1379" s="9">
        <v>4.8156777850924799</v>
      </c>
      <c r="AS1379" s="8" t="s">
        <v>169</v>
      </c>
      <c r="AT1379" s="8" t="s">
        <v>169</v>
      </c>
      <c r="AU1379" s="10" t="s">
        <v>169</v>
      </c>
      <c r="AV1379" s="10">
        <v>0</v>
      </c>
      <c r="AW1379" s="10"/>
      <c r="AX1379" s="10" t="s">
        <v>169</v>
      </c>
      <c r="BF1379" s="12">
        <v>0.45</v>
      </c>
      <c r="BG1379" s="13">
        <v>154.72135924106499</v>
      </c>
      <c r="BH1379" s="96" t="str">
        <f>+VLOOKUP(G1379,Liste!$A$7:$G$50,3,FALSE)</f>
        <v>Pin d'Alep</v>
      </c>
      <c r="BI1379" s="96" t="str">
        <f>+VLOOKUP(H1379,Liste!$B$7:$G$50,5,FALSE)</f>
        <v>Pin d'Alep</v>
      </c>
      <c r="BJ1379" s="135">
        <f t="shared" si="417"/>
        <v>85</v>
      </c>
      <c r="BK1379" s="135" t="str">
        <f t="shared" si="419"/>
        <v>Pin d'Alep_F1_Classique_Pin d'Alep_85_</v>
      </c>
      <c r="BL1379" s="322"/>
      <c r="BM1379" s="13">
        <v>42.294803923669903</v>
      </c>
      <c r="BN1379" s="13">
        <v>197.01616316473499</v>
      </c>
      <c r="BO1379" s="13" t="s">
        <v>169</v>
      </c>
      <c r="BP1379" s="13">
        <v>139.96016108448799</v>
      </c>
      <c r="BQ1379" s="13">
        <v>4.5930266495290697</v>
      </c>
      <c r="BT1379" s="298" t="str">
        <f>+VLOOKUP(G1379,Liste!$A$7:$H$50,8,FALSE)</f>
        <v>Résineux</v>
      </c>
      <c r="BU1379" s="298">
        <f t="shared" si="420"/>
        <v>0</v>
      </c>
      <c r="BV1379" s="300">
        <f t="shared" si="421"/>
        <v>1</v>
      </c>
      <c r="BW1379" s="321">
        <v>0</v>
      </c>
      <c r="BX1379" s="298">
        <f t="shared" si="422"/>
        <v>0.43</v>
      </c>
      <c r="BY1379">
        <f t="shared" si="423"/>
        <v>0</v>
      </c>
      <c r="BZ1379" s="304">
        <f t="shared" si="424"/>
        <v>0</v>
      </c>
      <c r="CB1379" s="299">
        <v>0.6</v>
      </c>
      <c r="CC1379" s="299">
        <v>0.4</v>
      </c>
      <c r="CD1379">
        <f t="shared" si="425"/>
        <v>0</v>
      </c>
      <c r="CE1379">
        <f t="shared" si="426"/>
        <v>0</v>
      </c>
      <c r="CF1379">
        <f t="shared" si="427"/>
        <v>0</v>
      </c>
      <c r="CG1379">
        <f t="shared" si="428"/>
        <v>0</v>
      </c>
      <c r="CH1379">
        <f t="shared" si="429"/>
        <v>0</v>
      </c>
      <c r="CI1379">
        <f t="shared" si="430"/>
        <v>0</v>
      </c>
      <c r="CJ1379">
        <f t="shared" si="431"/>
        <v>0</v>
      </c>
      <c r="CK1379">
        <f t="shared" si="432"/>
        <v>0</v>
      </c>
      <c r="CL1379">
        <f t="shared" si="433"/>
        <v>0</v>
      </c>
      <c r="CM1379">
        <f t="shared" si="435"/>
        <v>0</v>
      </c>
      <c r="CN1379">
        <f t="shared" si="434"/>
        <v>0</v>
      </c>
      <c r="CO1379">
        <f t="shared" si="418"/>
        <v>0</v>
      </c>
    </row>
    <row r="1380" spans="1:93" x14ac:dyDescent="0.25">
      <c r="A1380" s="4">
        <v>2021</v>
      </c>
      <c r="B1380" s="318">
        <v>44320</v>
      </c>
      <c r="C1380" s="4" t="s">
        <v>1524</v>
      </c>
      <c r="D1380" s="4" t="s">
        <v>1525</v>
      </c>
      <c r="F1380" s="4" t="s">
        <v>1526</v>
      </c>
      <c r="G1380" s="5" t="s">
        <v>1514</v>
      </c>
      <c r="H1380" s="5" t="s">
        <v>1527</v>
      </c>
      <c r="I1380" s="5" t="s">
        <v>18</v>
      </c>
      <c r="J1380" s="5" t="s">
        <v>9</v>
      </c>
      <c r="K1380" s="5">
        <v>15.5</v>
      </c>
      <c r="L1380" s="5" t="s">
        <v>1528</v>
      </c>
      <c r="M1380" s="5">
        <v>1100</v>
      </c>
      <c r="N1380" s="5" t="s">
        <v>170</v>
      </c>
      <c r="O1380" s="6" t="s">
        <v>81</v>
      </c>
      <c r="P1380" s="6" t="s">
        <v>1530</v>
      </c>
      <c r="S1380" s="6">
        <v>15</v>
      </c>
      <c r="T1380" s="6">
        <v>4.33</v>
      </c>
      <c r="U1380" s="6">
        <v>1101</v>
      </c>
      <c r="V1380" s="6">
        <v>4.92</v>
      </c>
      <c r="W1380" s="6">
        <v>569</v>
      </c>
      <c r="X1380" s="6">
        <v>532</v>
      </c>
      <c r="Y1380" s="6">
        <v>0</v>
      </c>
      <c r="Z1380" s="6">
        <v>0</v>
      </c>
      <c r="AA1380" s="6">
        <v>0</v>
      </c>
      <c r="AB1380" s="6">
        <v>0</v>
      </c>
      <c r="AC1380" s="7">
        <v>86</v>
      </c>
      <c r="AD1380" s="7" t="s">
        <v>52</v>
      </c>
      <c r="AE1380" s="7">
        <v>21.58</v>
      </c>
      <c r="AF1380" s="7">
        <v>151</v>
      </c>
      <c r="AG1380" s="7">
        <v>16.43</v>
      </c>
      <c r="AH1380" s="7">
        <v>37.22</v>
      </c>
      <c r="AI1380" s="7">
        <v>37.96</v>
      </c>
      <c r="AJ1380" s="9">
        <v>147.31508321147501</v>
      </c>
      <c r="AK1380" s="9">
        <v>152.270147970301</v>
      </c>
      <c r="AL1380" s="9">
        <v>202.227300421221</v>
      </c>
      <c r="AM1380" s="9">
        <v>46.967143800453201</v>
      </c>
      <c r="AN1380" s="9">
        <v>0.54612957907503801</v>
      </c>
      <c r="AO1380" s="9">
        <v>0.31392718805567899</v>
      </c>
      <c r="AP1380" s="9">
        <v>499.48227460528898</v>
      </c>
      <c r="AQ1380" s="9">
        <v>5.8079334256428901</v>
      </c>
      <c r="AR1380" s="9">
        <v>4.7920215412431197</v>
      </c>
      <c r="AS1380" s="8" t="s">
        <v>169</v>
      </c>
      <c r="AT1380" s="8" t="s">
        <v>169</v>
      </c>
      <c r="AU1380" s="10" t="s">
        <v>169</v>
      </c>
      <c r="AV1380" s="10">
        <v>0</v>
      </c>
      <c r="AW1380" s="10"/>
      <c r="AX1380" s="10" t="s">
        <v>169</v>
      </c>
      <c r="BF1380" s="12">
        <v>0.45</v>
      </c>
      <c r="BG1380" s="13">
        <v>158.495646705132</v>
      </c>
      <c r="BH1380" s="96" t="str">
        <f>+VLOOKUP(G1380,Liste!$A$7:$G$50,3,FALSE)</f>
        <v>Pin d'Alep</v>
      </c>
      <c r="BI1380" s="96" t="str">
        <f>+VLOOKUP(H1380,Liste!$B$7:$G$50,5,FALSE)</f>
        <v>Pin d'Alep</v>
      </c>
      <c r="BJ1380" s="135">
        <f t="shared" si="417"/>
        <v>86</v>
      </c>
      <c r="BK1380" s="135" t="str">
        <f t="shared" si="419"/>
        <v>Pin d'Alep_F1_Classique_Pin d'Alep_86_</v>
      </c>
      <c r="BL1380" s="322"/>
      <c r="BM1380" s="13">
        <v>43.205169731543002</v>
      </c>
      <c r="BN1380" s="13">
        <v>201.70081643667501</v>
      </c>
      <c r="BO1380" s="13" t="s">
        <v>169</v>
      </c>
      <c r="BP1380" s="13">
        <v>139.96016108448799</v>
      </c>
      <c r="BQ1380" s="13">
        <v>4.5695525520925502</v>
      </c>
      <c r="BT1380" s="298" t="str">
        <f>+VLOOKUP(G1380,Liste!$A$7:$H$50,8,FALSE)</f>
        <v>Résineux</v>
      </c>
      <c r="BU1380" s="298">
        <f t="shared" si="420"/>
        <v>0</v>
      </c>
      <c r="BV1380" s="300">
        <f t="shared" si="421"/>
        <v>1</v>
      </c>
      <c r="BW1380" s="321">
        <v>0</v>
      </c>
      <c r="BX1380" s="298">
        <f t="shared" si="422"/>
        <v>0.43</v>
      </c>
      <c r="BY1380">
        <f t="shared" si="423"/>
        <v>0</v>
      </c>
      <c r="BZ1380" s="304">
        <f t="shared" si="424"/>
        <v>0</v>
      </c>
      <c r="CB1380" s="299">
        <v>0.6</v>
      </c>
      <c r="CC1380" s="299">
        <v>0.4</v>
      </c>
      <c r="CD1380">
        <f t="shared" si="425"/>
        <v>0</v>
      </c>
      <c r="CE1380">
        <f t="shared" si="426"/>
        <v>0</v>
      </c>
      <c r="CF1380">
        <f t="shared" si="427"/>
        <v>0</v>
      </c>
      <c r="CG1380">
        <f t="shared" si="428"/>
        <v>0</v>
      </c>
      <c r="CH1380">
        <f t="shared" si="429"/>
        <v>0</v>
      </c>
      <c r="CI1380">
        <f t="shared" si="430"/>
        <v>0</v>
      </c>
      <c r="CJ1380">
        <f t="shared" si="431"/>
        <v>0</v>
      </c>
      <c r="CK1380">
        <f t="shared" si="432"/>
        <v>0</v>
      </c>
      <c r="CL1380">
        <f t="shared" si="433"/>
        <v>0</v>
      </c>
      <c r="CM1380">
        <f t="shared" si="435"/>
        <v>0</v>
      </c>
      <c r="CN1380">
        <f t="shared" si="434"/>
        <v>0</v>
      </c>
      <c r="CO1380">
        <f t="shared" si="418"/>
        <v>0</v>
      </c>
    </row>
    <row r="1381" spans="1:93" x14ac:dyDescent="0.25">
      <c r="A1381" s="4">
        <v>2021</v>
      </c>
      <c r="B1381" s="318">
        <v>44320</v>
      </c>
      <c r="C1381" s="4" t="s">
        <v>1524</v>
      </c>
      <c r="D1381" s="4" t="s">
        <v>1525</v>
      </c>
      <c r="F1381" s="4" t="s">
        <v>1526</v>
      </c>
      <c r="G1381" s="5" t="s">
        <v>1514</v>
      </c>
      <c r="H1381" s="5" t="s">
        <v>1527</v>
      </c>
      <c r="I1381" s="5" t="s">
        <v>18</v>
      </c>
      <c r="J1381" s="5" t="s">
        <v>9</v>
      </c>
      <c r="K1381" s="5">
        <v>15.5</v>
      </c>
      <c r="L1381" s="5" t="s">
        <v>1528</v>
      </c>
      <c r="M1381" s="5">
        <v>1100</v>
      </c>
      <c r="N1381" s="5" t="s">
        <v>170</v>
      </c>
      <c r="O1381" s="6" t="s">
        <v>81</v>
      </c>
      <c r="P1381" s="6" t="s">
        <v>1530</v>
      </c>
      <c r="S1381" s="6">
        <v>15</v>
      </c>
      <c r="T1381" s="6">
        <v>4.33</v>
      </c>
      <c r="U1381" s="6">
        <v>1101</v>
      </c>
      <c r="V1381" s="6">
        <v>4.92</v>
      </c>
      <c r="W1381" s="6">
        <v>569</v>
      </c>
      <c r="X1381" s="6">
        <v>532</v>
      </c>
      <c r="Y1381" s="6">
        <v>0</v>
      </c>
      <c r="Z1381" s="6">
        <v>0</v>
      </c>
      <c r="AA1381" s="6">
        <v>0</v>
      </c>
      <c r="AB1381" s="6">
        <v>0</v>
      </c>
      <c r="AC1381" s="7">
        <v>87</v>
      </c>
      <c r="AD1381" s="7" t="s">
        <v>52</v>
      </c>
      <c r="AE1381" s="7">
        <v>21.7</v>
      </c>
      <c r="AF1381" s="7">
        <v>151</v>
      </c>
      <c r="AG1381" s="7">
        <v>16.75</v>
      </c>
      <c r="AH1381" s="7">
        <v>37.58</v>
      </c>
      <c r="AI1381" s="7">
        <v>38.33</v>
      </c>
      <c r="AJ1381" s="9">
        <v>150.864367185303</v>
      </c>
      <c r="AK1381" s="9">
        <v>155.96778375094601</v>
      </c>
      <c r="AL1381" s="9">
        <v>207.01932196246401</v>
      </c>
      <c r="AM1381" s="9">
        <v>47.281070988508901</v>
      </c>
      <c r="AN1381" s="9">
        <v>0.54346058607481496</v>
      </c>
      <c r="AO1381" s="9">
        <v>0.31371005687942199</v>
      </c>
      <c r="AP1381" s="9">
        <v>504.27429614653198</v>
      </c>
      <c r="AQ1381" s="9">
        <v>5.7962562775463402</v>
      </c>
      <c r="AR1381" s="9">
        <v>4.8167848335104999</v>
      </c>
      <c r="AS1381" s="8" t="s">
        <v>169</v>
      </c>
      <c r="AT1381" s="8" t="s">
        <v>169</v>
      </c>
      <c r="AU1381" s="10" t="s">
        <v>169</v>
      </c>
      <c r="AV1381" s="10">
        <v>0</v>
      </c>
      <c r="AW1381" s="10"/>
      <c r="AX1381" s="10" t="s">
        <v>169</v>
      </c>
      <c r="BF1381" s="12">
        <v>0.45</v>
      </c>
      <c r="BG1381" s="13">
        <v>162.25139358808099</v>
      </c>
      <c r="BH1381" s="96" t="str">
        <f>+VLOOKUP(G1381,Liste!$A$7:$G$50,3,FALSE)</f>
        <v>Pin d'Alep</v>
      </c>
      <c r="BI1381" s="96" t="str">
        <f>+VLOOKUP(H1381,Liste!$B$7:$G$50,5,FALSE)</f>
        <v>Pin d'Alep</v>
      </c>
      <c r="BJ1381" s="135">
        <f t="shared" si="417"/>
        <v>87</v>
      </c>
      <c r="BK1381" s="135" t="str">
        <f t="shared" si="419"/>
        <v>Pin d'Alep_F1_Classique_Pin d'Alep_87_</v>
      </c>
      <c r="BL1381" s="322"/>
      <c r="BM1381" s="13">
        <v>44.108561785065902</v>
      </c>
      <c r="BN1381" s="13">
        <v>206.35995537314699</v>
      </c>
      <c r="BO1381" s="13" t="s">
        <v>169</v>
      </c>
      <c r="BP1381" s="13">
        <v>139.96016108448799</v>
      </c>
      <c r="BQ1381" s="13">
        <v>4.5922595533827497</v>
      </c>
      <c r="BT1381" s="298" t="str">
        <f>+VLOOKUP(G1381,Liste!$A$7:$H$50,8,FALSE)</f>
        <v>Résineux</v>
      </c>
      <c r="BU1381" s="298">
        <f t="shared" si="420"/>
        <v>0</v>
      </c>
      <c r="BV1381" s="300">
        <f t="shared" si="421"/>
        <v>1</v>
      </c>
      <c r="BW1381" s="321">
        <v>0</v>
      </c>
      <c r="BX1381" s="298">
        <f t="shared" si="422"/>
        <v>0.43</v>
      </c>
      <c r="BY1381">
        <f t="shared" si="423"/>
        <v>0</v>
      </c>
      <c r="BZ1381" s="304">
        <f t="shared" si="424"/>
        <v>0</v>
      </c>
      <c r="CB1381" s="299">
        <v>0.6</v>
      </c>
      <c r="CC1381" s="299">
        <v>0.4</v>
      </c>
      <c r="CD1381">
        <f t="shared" si="425"/>
        <v>0</v>
      </c>
      <c r="CE1381">
        <f t="shared" si="426"/>
        <v>0</v>
      </c>
      <c r="CF1381">
        <f t="shared" si="427"/>
        <v>0</v>
      </c>
      <c r="CG1381">
        <f t="shared" si="428"/>
        <v>0</v>
      </c>
      <c r="CH1381">
        <f t="shared" si="429"/>
        <v>0</v>
      </c>
      <c r="CI1381">
        <f t="shared" si="430"/>
        <v>0</v>
      </c>
      <c r="CJ1381">
        <f t="shared" si="431"/>
        <v>0</v>
      </c>
      <c r="CK1381">
        <f t="shared" si="432"/>
        <v>0</v>
      </c>
      <c r="CL1381">
        <f t="shared" si="433"/>
        <v>0</v>
      </c>
      <c r="CM1381">
        <f t="shared" si="435"/>
        <v>0</v>
      </c>
      <c r="CN1381">
        <f t="shared" si="434"/>
        <v>0</v>
      </c>
      <c r="CO1381">
        <f t="shared" si="418"/>
        <v>0</v>
      </c>
    </row>
    <row r="1382" spans="1:93" x14ac:dyDescent="0.25">
      <c r="A1382" s="4">
        <v>2021</v>
      </c>
      <c r="B1382" s="318">
        <v>44320</v>
      </c>
      <c r="C1382" s="4" t="s">
        <v>1524</v>
      </c>
      <c r="D1382" s="4" t="s">
        <v>1525</v>
      </c>
      <c r="F1382" s="4" t="s">
        <v>1526</v>
      </c>
      <c r="G1382" s="5" t="s">
        <v>1514</v>
      </c>
      <c r="H1382" s="5" t="s">
        <v>1527</v>
      </c>
      <c r="I1382" s="5" t="s">
        <v>18</v>
      </c>
      <c r="J1382" s="5" t="s">
        <v>9</v>
      </c>
      <c r="K1382" s="5">
        <v>15.5</v>
      </c>
      <c r="L1382" s="5" t="s">
        <v>1528</v>
      </c>
      <c r="M1382" s="5">
        <v>1100</v>
      </c>
      <c r="N1382" s="5" t="s">
        <v>170</v>
      </c>
      <c r="O1382" s="6" t="s">
        <v>81</v>
      </c>
      <c r="P1382" s="6" t="s">
        <v>1530</v>
      </c>
      <c r="S1382" s="6">
        <v>15</v>
      </c>
      <c r="T1382" s="6">
        <v>4.33</v>
      </c>
      <c r="U1382" s="6">
        <v>1101</v>
      </c>
      <c r="V1382" s="6">
        <v>4.92</v>
      </c>
      <c r="W1382" s="6">
        <v>569</v>
      </c>
      <c r="X1382" s="6">
        <v>532</v>
      </c>
      <c r="Y1382" s="6">
        <v>0</v>
      </c>
      <c r="Z1382" s="6">
        <v>0</v>
      </c>
      <c r="AA1382" s="6">
        <v>0</v>
      </c>
      <c r="AB1382" s="6">
        <v>0</v>
      </c>
      <c r="AC1382" s="7">
        <v>88</v>
      </c>
      <c r="AD1382" s="7" t="s">
        <v>52</v>
      </c>
      <c r="AE1382" s="7">
        <v>21.82</v>
      </c>
      <c r="AF1382" s="7">
        <v>151</v>
      </c>
      <c r="AG1382" s="7">
        <v>17.059999999999999</v>
      </c>
      <c r="AH1382" s="7">
        <v>37.93</v>
      </c>
      <c r="AI1382" s="7">
        <v>38.700000000000003</v>
      </c>
      <c r="AJ1382" s="9">
        <v>154.434011941748</v>
      </c>
      <c r="AK1382" s="9">
        <v>159.686986420089</v>
      </c>
      <c r="AL1382" s="9">
        <v>211.83610679597399</v>
      </c>
      <c r="AM1382" s="9">
        <v>47.594781045388302</v>
      </c>
      <c r="AN1382" s="9">
        <v>0.54084978460668598</v>
      </c>
      <c r="AO1382" s="9">
        <v>0.31308744819334999</v>
      </c>
      <c r="AP1382" s="9">
        <v>509.09108098004202</v>
      </c>
      <c r="AQ1382" s="9">
        <v>5.7851259202277499</v>
      </c>
      <c r="AR1382" s="9">
        <v>4.8347726048312403</v>
      </c>
      <c r="AS1382" s="8" t="s">
        <v>169</v>
      </c>
      <c r="AT1382" s="8" t="s">
        <v>169</v>
      </c>
      <c r="AU1382" s="10" t="s">
        <v>169</v>
      </c>
      <c r="AV1382" s="10">
        <v>0</v>
      </c>
      <c r="AW1382" s="10"/>
      <c r="AX1382" s="10" t="s">
        <v>169</v>
      </c>
      <c r="BF1382" s="12">
        <v>0.45</v>
      </c>
      <c r="BG1382" s="13">
        <v>166.02654870134501</v>
      </c>
      <c r="BH1382" s="96" t="str">
        <f>+VLOOKUP(G1382,Liste!$A$7:$G$50,3,FALSE)</f>
        <v>Pin d'Alep</v>
      </c>
      <c r="BI1382" s="96" t="str">
        <f>+VLOOKUP(H1382,Liste!$B$7:$G$50,5,FALSE)</f>
        <v>Pin d'Alep</v>
      </c>
      <c r="BJ1382" s="135">
        <f t="shared" si="417"/>
        <v>88</v>
      </c>
      <c r="BK1382" s="135" t="str">
        <f t="shared" si="419"/>
        <v>Pin d'Alep_F1_Classique_Pin d'Alep_88_</v>
      </c>
      <c r="BL1382" s="322"/>
      <c r="BM1382" s="13">
        <v>45.0141724005084</v>
      </c>
      <c r="BN1382" s="13">
        <v>211.04072110185299</v>
      </c>
      <c r="BO1382" s="13" t="s">
        <v>169</v>
      </c>
      <c r="BP1382" s="13">
        <v>139.96016108448799</v>
      </c>
      <c r="BQ1382" s="13">
        <v>4.6085044114911398</v>
      </c>
      <c r="BT1382" s="298" t="str">
        <f>+VLOOKUP(G1382,Liste!$A$7:$H$50,8,FALSE)</f>
        <v>Résineux</v>
      </c>
      <c r="BU1382" s="298">
        <f t="shared" si="420"/>
        <v>0</v>
      </c>
      <c r="BV1382" s="300">
        <f t="shared" si="421"/>
        <v>1</v>
      </c>
      <c r="BW1382" s="321">
        <v>0</v>
      </c>
      <c r="BX1382" s="298">
        <f t="shared" si="422"/>
        <v>0.43</v>
      </c>
      <c r="BY1382">
        <f t="shared" si="423"/>
        <v>0</v>
      </c>
      <c r="BZ1382" s="304">
        <f t="shared" si="424"/>
        <v>0</v>
      </c>
      <c r="CB1382" s="299">
        <v>0.6</v>
      </c>
      <c r="CC1382" s="299">
        <v>0.4</v>
      </c>
      <c r="CD1382">
        <f t="shared" si="425"/>
        <v>0</v>
      </c>
      <c r="CE1382">
        <f t="shared" si="426"/>
        <v>0</v>
      </c>
      <c r="CF1382">
        <f t="shared" si="427"/>
        <v>0</v>
      </c>
      <c r="CG1382">
        <f t="shared" si="428"/>
        <v>0</v>
      </c>
      <c r="CH1382">
        <f t="shared" si="429"/>
        <v>0</v>
      </c>
      <c r="CI1382">
        <f t="shared" si="430"/>
        <v>0</v>
      </c>
      <c r="CJ1382">
        <f t="shared" si="431"/>
        <v>0</v>
      </c>
      <c r="CK1382">
        <f t="shared" si="432"/>
        <v>0</v>
      </c>
      <c r="CL1382">
        <f t="shared" si="433"/>
        <v>0</v>
      </c>
      <c r="CM1382">
        <f t="shared" si="435"/>
        <v>0</v>
      </c>
      <c r="CN1382">
        <f t="shared" si="434"/>
        <v>0</v>
      </c>
      <c r="CO1382">
        <f t="shared" si="418"/>
        <v>0</v>
      </c>
    </row>
    <row r="1383" spans="1:93" x14ac:dyDescent="0.25">
      <c r="A1383" s="4">
        <v>2021</v>
      </c>
      <c r="B1383" s="318">
        <v>44320</v>
      </c>
      <c r="C1383" s="4" t="s">
        <v>1524</v>
      </c>
      <c r="D1383" s="4" t="s">
        <v>1525</v>
      </c>
      <c r="F1383" s="4" t="s">
        <v>1526</v>
      </c>
      <c r="G1383" s="5" t="s">
        <v>1514</v>
      </c>
      <c r="H1383" s="5" t="s">
        <v>1527</v>
      </c>
      <c r="I1383" s="5" t="s">
        <v>18</v>
      </c>
      <c r="J1383" s="5" t="s">
        <v>9</v>
      </c>
      <c r="K1383" s="5">
        <v>15.5</v>
      </c>
      <c r="L1383" s="5" t="s">
        <v>1528</v>
      </c>
      <c r="M1383" s="5">
        <v>1100</v>
      </c>
      <c r="N1383" s="5" t="s">
        <v>170</v>
      </c>
      <c r="O1383" s="6" t="s">
        <v>81</v>
      </c>
      <c r="P1383" s="6" t="s">
        <v>1530</v>
      </c>
      <c r="S1383" s="6">
        <v>15</v>
      </c>
      <c r="T1383" s="6">
        <v>4.33</v>
      </c>
      <c r="U1383" s="6">
        <v>1101</v>
      </c>
      <c r="V1383" s="6">
        <v>4.92</v>
      </c>
      <c r="W1383" s="6">
        <v>569</v>
      </c>
      <c r="X1383" s="6">
        <v>532</v>
      </c>
      <c r="Y1383" s="6">
        <v>0</v>
      </c>
      <c r="Z1383" s="6">
        <v>0</v>
      </c>
      <c r="AA1383" s="6">
        <v>0</v>
      </c>
      <c r="AB1383" s="6">
        <v>0</v>
      </c>
      <c r="AC1383" s="7">
        <v>89</v>
      </c>
      <c r="AD1383" s="7" t="s">
        <v>52</v>
      </c>
      <c r="AE1383" s="7">
        <v>21.94</v>
      </c>
      <c r="AF1383" s="7">
        <v>151</v>
      </c>
      <c r="AG1383" s="7">
        <v>17.37</v>
      </c>
      <c r="AH1383" s="7">
        <v>38.28</v>
      </c>
      <c r="AI1383" s="7">
        <v>39.06</v>
      </c>
      <c r="AJ1383" s="9">
        <v>158.01904603103301</v>
      </c>
      <c r="AK1383" s="9">
        <v>163.422562484617</v>
      </c>
      <c r="AL1383" s="9">
        <v>216.670879400806</v>
      </c>
      <c r="AM1383" s="9">
        <v>47.907868493581702</v>
      </c>
      <c r="AN1383" s="9">
        <v>0.53829065723125502</v>
      </c>
      <c r="AP1383" s="9">
        <v>513.92585358487304</v>
      </c>
      <c r="AQ1383" s="9">
        <v>5.7744477930884601</v>
      </c>
      <c r="AS1383" s="8" t="s">
        <v>169</v>
      </c>
      <c r="AT1383" s="8" t="s">
        <v>169</v>
      </c>
      <c r="AU1383" s="10" t="s">
        <v>169</v>
      </c>
      <c r="AV1383" s="10">
        <v>0</v>
      </c>
      <c r="AW1383" s="10"/>
      <c r="AX1383" s="10" t="s">
        <v>169</v>
      </c>
      <c r="BF1383" s="12">
        <v>0.45</v>
      </c>
      <c r="BG1383" s="13">
        <v>169.815801730381</v>
      </c>
      <c r="BH1383" s="96" t="str">
        <f>+VLOOKUP(G1383,Liste!$A$7:$G$50,3,FALSE)</f>
        <v>Pin d'Alep</v>
      </c>
      <c r="BI1383" s="96" t="str">
        <f>+VLOOKUP(H1383,Liste!$B$7:$G$50,5,FALSE)</f>
        <v>Pin d'Alep</v>
      </c>
      <c r="BJ1383" s="135">
        <f t="shared" si="417"/>
        <v>89</v>
      </c>
      <c r="BK1383" s="135" t="str">
        <f t="shared" si="419"/>
        <v>Pin d'Alep_F1_Classique_Pin d'Alep_89_</v>
      </c>
      <c r="BL1383" s="322"/>
      <c r="BM1383" s="13">
        <v>45.920757612158901</v>
      </c>
      <c r="BN1383" s="13">
        <v>215.73655934254</v>
      </c>
      <c r="BO1383" s="13" t="s">
        <v>169</v>
      </c>
      <c r="BP1383" s="13">
        <v>139.96016108448799</v>
      </c>
      <c r="BT1383" s="298" t="str">
        <f>+VLOOKUP(G1383,Liste!$A$7:$H$50,8,FALSE)</f>
        <v>Résineux</v>
      </c>
      <c r="BU1383" s="298">
        <f t="shared" si="420"/>
        <v>0</v>
      </c>
      <c r="BV1383" s="300">
        <f t="shared" si="421"/>
        <v>1</v>
      </c>
      <c r="BW1383" s="321">
        <v>0</v>
      </c>
      <c r="BX1383" s="298">
        <f t="shared" si="422"/>
        <v>0.43</v>
      </c>
      <c r="BY1383">
        <f t="shared" si="423"/>
        <v>0</v>
      </c>
      <c r="BZ1383" s="304">
        <f t="shared" si="424"/>
        <v>0</v>
      </c>
      <c r="CB1383" s="299">
        <v>0.6</v>
      </c>
      <c r="CC1383" s="299">
        <v>0.4</v>
      </c>
      <c r="CD1383">
        <f t="shared" si="425"/>
        <v>0</v>
      </c>
      <c r="CE1383">
        <f t="shared" si="426"/>
        <v>0</v>
      </c>
      <c r="CF1383">
        <f t="shared" si="427"/>
        <v>0</v>
      </c>
      <c r="CG1383">
        <f t="shared" si="428"/>
        <v>0</v>
      </c>
      <c r="CH1383">
        <f t="shared" si="429"/>
        <v>0</v>
      </c>
      <c r="CI1383">
        <f t="shared" si="430"/>
        <v>0</v>
      </c>
      <c r="CJ1383">
        <f t="shared" si="431"/>
        <v>0</v>
      </c>
      <c r="CK1383">
        <f t="shared" si="432"/>
        <v>0</v>
      </c>
      <c r="CL1383">
        <f t="shared" si="433"/>
        <v>0</v>
      </c>
      <c r="CM1383">
        <f t="shared" si="435"/>
        <v>0</v>
      </c>
      <c r="CN1383">
        <f t="shared" si="434"/>
        <v>0</v>
      </c>
      <c r="CO1383">
        <f t="shared" si="418"/>
        <v>0</v>
      </c>
    </row>
    <row r="1384" spans="1:93" x14ac:dyDescent="0.25">
      <c r="A1384" s="4">
        <v>2021</v>
      </c>
      <c r="B1384" s="318">
        <v>44320</v>
      </c>
      <c r="C1384" s="4" t="s">
        <v>1524</v>
      </c>
      <c r="D1384" s="4" t="s">
        <v>1525</v>
      </c>
      <c r="F1384" s="4" t="s">
        <v>1526</v>
      </c>
      <c r="G1384" s="5" t="s">
        <v>1514</v>
      </c>
      <c r="H1384" s="5" t="s">
        <v>1527</v>
      </c>
      <c r="I1384" s="5" t="s">
        <v>18</v>
      </c>
      <c r="J1384" s="5" t="s">
        <v>9</v>
      </c>
      <c r="K1384" s="5">
        <v>15.5</v>
      </c>
      <c r="L1384" s="5" t="s">
        <v>1528</v>
      </c>
      <c r="M1384" s="5">
        <v>1100</v>
      </c>
      <c r="N1384" s="5" t="s">
        <v>170</v>
      </c>
      <c r="O1384" s="6" t="s">
        <v>81</v>
      </c>
      <c r="P1384" s="6" t="s">
        <v>1530</v>
      </c>
      <c r="S1384" s="6">
        <v>15</v>
      </c>
      <c r="T1384" s="6">
        <v>4.33</v>
      </c>
      <c r="U1384" s="6">
        <v>1101</v>
      </c>
      <c r="V1384" s="6">
        <v>4.92</v>
      </c>
      <c r="W1384" s="6">
        <v>569</v>
      </c>
      <c r="X1384" s="6">
        <v>532</v>
      </c>
      <c r="Y1384" s="6">
        <v>0</v>
      </c>
      <c r="Z1384" s="6">
        <v>0</v>
      </c>
      <c r="AA1384" s="6">
        <v>0</v>
      </c>
      <c r="AB1384" s="6">
        <v>0</v>
      </c>
      <c r="AC1384" s="7">
        <v>89</v>
      </c>
      <c r="AD1384" s="7" t="s">
        <v>53</v>
      </c>
      <c r="AE1384" s="7">
        <v>21.94</v>
      </c>
      <c r="AF1384" s="7">
        <v>0</v>
      </c>
      <c r="AG1384" s="7">
        <v>0</v>
      </c>
      <c r="AH1384" s="7">
        <v>0</v>
      </c>
      <c r="AI1384" s="7">
        <v>0</v>
      </c>
      <c r="AJ1384" s="9">
        <v>0</v>
      </c>
      <c r="AK1384" s="9">
        <v>0</v>
      </c>
      <c r="AL1384" s="9">
        <v>0</v>
      </c>
      <c r="AM1384" s="9">
        <v>47.907868493581702</v>
      </c>
      <c r="AN1384" s="9">
        <v>0.53829065723125502</v>
      </c>
      <c r="AP1384" s="9">
        <v>513.92585358487304</v>
      </c>
      <c r="AQ1384" s="9">
        <v>5.7744477930884601</v>
      </c>
      <c r="AS1384" s="8">
        <v>151</v>
      </c>
      <c r="AT1384" s="8">
        <v>17.37</v>
      </c>
      <c r="AU1384" s="10">
        <v>38.270707844821658</v>
      </c>
      <c r="AV1384" s="10">
        <v>158.01904603103301</v>
      </c>
      <c r="AW1384" s="10">
        <v>1</v>
      </c>
      <c r="AX1384" s="10">
        <v>1.0464837485498875</v>
      </c>
      <c r="BF1384" s="12">
        <v>0.45</v>
      </c>
      <c r="BG1384" s="13">
        <v>0</v>
      </c>
      <c r="BH1384" s="96" t="str">
        <f>+VLOOKUP(G1384,Liste!$A$7:$G$50,3,FALSE)</f>
        <v>Pin d'Alep</v>
      </c>
      <c r="BI1384" s="96" t="str">
        <f>+VLOOKUP(H1384,Liste!$B$7:$G$50,5,FALSE)</f>
        <v>Pin d'Alep</v>
      </c>
      <c r="BJ1384" s="135">
        <f t="shared" si="417"/>
        <v>89</v>
      </c>
      <c r="BK1384" s="135" t="str">
        <f t="shared" si="419"/>
        <v>Pin d'Alep_F1_Classique_Pin d'Alep_89_</v>
      </c>
      <c r="BL1384" s="322"/>
      <c r="BM1384" s="13">
        <v>0</v>
      </c>
      <c r="BN1384" s="13">
        <v>0</v>
      </c>
      <c r="BO1384" s="13">
        <v>215.73655934254</v>
      </c>
      <c r="BP1384" s="13">
        <v>139.96016108448799</v>
      </c>
      <c r="BT1384" s="298" t="str">
        <f>+VLOOKUP(G1384,Liste!$A$7:$H$50,8,FALSE)</f>
        <v>Résineux</v>
      </c>
      <c r="BU1384" s="298">
        <f t="shared" si="420"/>
        <v>0</v>
      </c>
      <c r="BV1384" s="300">
        <f t="shared" si="421"/>
        <v>1</v>
      </c>
      <c r="BW1384" s="321">
        <v>0</v>
      </c>
      <c r="BX1384" s="298">
        <f t="shared" si="422"/>
        <v>0.43</v>
      </c>
      <c r="BY1384">
        <f t="shared" si="423"/>
        <v>0</v>
      </c>
      <c r="BZ1384" s="304">
        <f t="shared" si="424"/>
        <v>0</v>
      </c>
      <c r="CB1384" s="299">
        <v>0.6</v>
      </c>
      <c r="CC1384" s="299">
        <v>0.4</v>
      </c>
      <c r="CD1384">
        <f t="shared" si="425"/>
        <v>0</v>
      </c>
      <c r="CE1384">
        <f t="shared" si="426"/>
        <v>0</v>
      </c>
      <c r="CF1384">
        <f t="shared" si="427"/>
        <v>0</v>
      </c>
      <c r="CG1384">
        <f t="shared" si="428"/>
        <v>0</v>
      </c>
      <c r="CH1384">
        <f t="shared" si="429"/>
        <v>0</v>
      </c>
      <c r="CI1384">
        <f t="shared" si="430"/>
        <v>0</v>
      </c>
      <c r="CJ1384">
        <f t="shared" si="431"/>
        <v>0</v>
      </c>
      <c r="CK1384">
        <f t="shared" si="432"/>
        <v>0</v>
      </c>
      <c r="CL1384">
        <f t="shared" si="433"/>
        <v>0</v>
      </c>
      <c r="CM1384">
        <f t="shared" si="435"/>
        <v>0</v>
      </c>
      <c r="CN1384">
        <f t="shared" si="434"/>
        <v>0</v>
      </c>
      <c r="CO1384">
        <f t="shared" si="418"/>
        <v>0</v>
      </c>
    </row>
    <row r="1385" spans="1:93" x14ac:dyDescent="0.25">
      <c r="A1385" s="4">
        <v>2021</v>
      </c>
      <c r="B1385" s="318">
        <v>44320</v>
      </c>
      <c r="C1385" s="4" t="s">
        <v>1524</v>
      </c>
      <c r="D1385" s="4" t="s">
        <v>1525</v>
      </c>
      <c r="F1385" s="4" t="s">
        <v>1526</v>
      </c>
      <c r="G1385" s="5" t="s">
        <v>1514</v>
      </c>
      <c r="H1385" s="5" t="s">
        <v>1527</v>
      </c>
      <c r="I1385" s="5" t="s">
        <v>146</v>
      </c>
      <c r="J1385" s="5" t="s">
        <v>9</v>
      </c>
      <c r="K1385" s="5">
        <v>15.5</v>
      </c>
      <c r="L1385" s="5" t="s">
        <v>1528</v>
      </c>
      <c r="M1385" s="5">
        <v>1100</v>
      </c>
      <c r="N1385" s="5" t="s">
        <v>170</v>
      </c>
      <c r="O1385" s="6" t="s">
        <v>81</v>
      </c>
      <c r="P1385" s="6" t="s">
        <v>1530</v>
      </c>
      <c r="S1385" s="6">
        <v>15</v>
      </c>
      <c r="T1385" s="6">
        <v>4.33</v>
      </c>
      <c r="U1385" s="6">
        <v>1101</v>
      </c>
      <c r="V1385" s="6">
        <v>4.92</v>
      </c>
      <c r="W1385" s="6">
        <v>569</v>
      </c>
      <c r="X1385" s="6">
        <v>532</v>
      </c>
      <c r="Y1385" s="6">
        <v>0</v>
      </c>
      <c r="Z1385" s="6">
        <v>0</v>
      </c>
      <c r="AA1385" s="6">
        <v>0</v>
      </c>
      <c r="AB1385" s="6">
        <v>0</v>
      </c>
      <c r="AC1385" s="7">
        <v>15</v>
      </c>
      <c r="AD1385" s="7" t="s">
        <v>52</v>
      </c>
      <c r="AE1385" s="7">
        <v>4.33</v>
      </c>
      <c r="AF1385" s="7">
        <v>1101</v>
      </c>
      <c r="AG1385" s="7">
        <v>4.92</v>
      </c>
      <c r="AH1385" s="7">
        <v>7.55</v>
      </c>
      <c r="AI1385" s="7">
        <v>9.52</v>
      </c>
      <c r="AJ1385" s="9">
        <v>8.0854195737831507</v>
      </c>
      <c r="AK1385" s="9">
        <v>8.4607043740300192</v>
      </c>
      <c r="AL1385" s="9">
        <v>27.354306631070202</v>
      </c>
      <c r="AM1385" s="9">
        <v>4.9238636797948496</v>
      </c>
      <c r="AN1385" s="9">
        <v>0.32825757865298999</v>
      </c>
      <c r="AO1385" s="9">
        <v>0.61504894600402005</v>
      </c>
      <c r="AP1385" s="9">
        <v>27.354306631070202</v>
      </c>
      <c r="AQ1385" s="9">
        <v>1.82362044207135</v>
      </c>
      <c r="AR1385" s="9">
        <v>2.99496428927542</v>
      </c>
      <c r="AV1385" s="10">
        <v>0</v>
      </c>
      <c r="BF1385" s="12">
        <v>0.45</v>
      </c>
      <c r="BG1385" s="13">
        <v>21.438937822101298</v>
      </c>
      <c r="BH1385" s="96" t="str">
        <f>+VLOOKUP(G1385,Liste!$A$7:$G$50,3,FALSE)</f>
        <v>Pin d'Alep</v>
      </c>
      <c r="BI1385" s="96" t="str">
        <f>+VLOOKUP(H1385,Liste!$B$7:$G$50,5,FALSE)</f>
        <v>Pin d'Alep</v>
      </c>
      <c r="BJ1385" s="135">
        <f t="shared" si="417"/>
        <v>15</v>
      </c>
      <c r="BK1385" s="135" t="str">
        <f t="shared" si="419"/>
        <v>Pin d'Alep_F1_Dynamique_Pin d'Alep_15_</v>
      </c>
      <c r="BL1385" s="322"/>
      <c r="BM1385" s="13">
        <v>7.3765212906220299</v>
      </c>
      <c r="BN1385" s="13">
        <v>28.8154591127233</v>
      </c>
      <c r="BP1385" s="13">
        <v>133.34843814247799</v>
      </c>
      <c r="BQ1385" s="13">
        <v>3.0565613396073799</v>
      </c>
      <c r="BT1385" s="298" t="str">
        <f>+VLOOKUP(G1385,Liste!$A$7:$H$50,8,FALSE)</f>
        <v>Résineux</v>
      </c>
      <c r="BU1385" s="298">
        <f t="shared" si="420"/>
        <v>0</v>
      </c>
      <c r="BV1385" s="300">
        <f t="shared" si="421"/>
        <v>1</v>
      </c>
      <c r="BW1385" s="321">
        <v>0</v>
      </c>
      <c r="BX1385" s="298">
        <f t="shared" si="422"/>
        <v>0.43</v>
      </c>
      <c r="BY1385">
        <f t="shared" si="423"/>
        <v>0</v>
      </c>
      <c r="BZ1385" s="304">
        <f t="shared" si="424"/>
        <v>0</v>
      </c>
      <c r="CB1385" s="299">
        <v>0.6</v>
      </c>
      <c r="CC1385" s="299">
        <v>0.4</v>
      </c>
      <c r="CD1385">
        <f t="shared" si="425"/>
        <v>0</v>
      </c>
      <c r="CE1385">
        <f t="shared" si="426"/>
        <v>0</v>
      </c>
      <c r="CF1385">
        <f t="shared" si="427"/>
        <v>0</v>
      </c>
      <c r="CG1385">
        <f t="shared" si="428"/>
        <v>0</v>
      </c>
      <c r="CH1385">
        <f t="shared" si="429"/>
        <v>0</v>
      </c>
      <c r="CI1385">
        <f t="shared" si="430"/>
        <v>0</v>
      </c>
      <c r="CJ1385">
        <f t="shared" si="431"/>
        <v>0</v>
      </c>
      <c r="CK1385">
        <f t="shared" si="432"/>
        <v>0</v>
      </c>
      <c r="CL1385">
        <f t="shared" si="433"/>
        <v>0</v>
      </c>
      <c r="CM1385">
        <f t="shared" si="435"/>
        <v>0</v>
      </c>
      <c r="CN1385">
        <f t="shared" si="434"/>
        <v>0</v>
      </c>
      <c r="CO1385">
        <f t="shared" si="418"/>
        <v>0</v>
      </c>
    </row>
    <row r="1386" spans="1:93" x14ac:dyDescent="0.25">
      <c r="A1386" s="4">
        <v>2021</v>
      </c>
      <c r="B1386" s="318">
        <v>44320</v>
      </c>
      <c r="C1386" s="4" t="s">
        <v>1524</v>
      </c>
      <c r="D1386" s="4" t="s">
        <v>1525</v>
      </c>
      <c r="F1386" s="4" t="s">
        <v>1526</v>
      </c>
      <c r="G1386" s="5" t="s">
        <v>1514</v>
      </c>
      <c r="H1386" s="5" t="s">
        <v>1527</v>
      </c>
      <c r="I1386" s="5" t="s">
        <v>146</v>
      </c>
      <c r="J1386" s="5" t="s">
        <v>9</v>
      </c>
      <c r="K1386" s="5">
        <v>15.5</v>
      </c>
      <c r="L1386" s="5" t="s">
        <v>1528</v>
      </c>
      <c r="M1386" s="5">
        <v>1100</v>
      </c>
      <c r="N1386" s="5" t="s">
        <v>170</v>
      </c>
      <c r="O1386" s="6" t="s">
        <v>81</v>
      </c>
      <c r="P1386" s="6" t="s">
        <v>1530</v>
      </c>
      <c r="S1386" s="6">
        <v>15</v>
      </c>
      <c r="T1386" s="6">
        <v>4.33</v>
      </c>
      <c r="U1386" s="6">
        <v>1101</v>
      </c>
      <c r="V1386" s="6">
        <v>4.92</v>
      </c>
      <c r="W1386" s="6">
        <v>569</v>
      </c>
      <c r="X1386" s="6">
        <v>532</v>
      </c>
      <c r="Y1386" s="6">
        <v>0</v>
      </c>
      <c r="Z1386" s="6">
        <v>0</v>
      </c>
      <c r="AA1386" s="6">
        <v>0</v>
      </c>
      <c r="AB1386" s="6">
        <v>0</v>
      </c>
      <c r="AC1386" s="7">
        <v>16</v>
      </c>
      <c r="AD1386" s="7" t="s">
        <v>52</v>
      </c>
      <c r="AE1386" s="7">
        <v>4.75</v>
      </c>
      <c r="AF1386" s="7">
        <v>1101</v>
      </c>
      <c r="AG1386" s="7">
        <v>5.54</v>
      </c>
      <c r="AH1386" s="7">
        <v>8</v>
      </c>
      <c r="AI1386" s="7">
        <v>10.01</v>
      </c>
      <c r="AJ1386" s="9">
        <v>10.7556469641432</v>
      </c>
      <c r="AK1386" s="9">
        <v>11.112371222653101</v>
      </c>
      <c r="AL1386" s="9">
        <v>30.349270920345599</v>
      </c>
      <c r="AM1386" s="9">
        <v>5.5389126257988703</v>
      </c>
      <c r="AN1386" s="9">
        <v>0.34618203911242901</v>
      </c>
      <c r="AO1386" s="9">
        <v>0.643965499964539</v>
      </c>
      <c r="AP1386" s="9">
        <v>30.349270920345599</v>
      </c>
      <c r="AQ1386" s="9">
        <v>1.8968294325216</v>
      </c>
      <c r="AR1386" s="9">
        <v>3.56428585116968</v>
      </c>
      <c r="AS1386" s="8" t="s">
        <v>169</v>
      </c>
      <c r="AT1386" s="8" t="s">
        <v>169</v>
      </c>
      <c r="AU1386" s="8" t="s">
        <v>169</v>
      </c>
      <c r="AV1386" s="10">
        <v>0</v>
      </c>
      <c r="AW1386" s="8" t="s">
        <v>169</v>
      </c>
      <c r="AX1386" s="8" t="s">
        <v>169</v>
      </c>
      <c r="AY1386" s="8" t="str">
        <f t="shared" ref="AY1386:BA1386" si="436">IF($AD1386="ap",AL1385-AL1386,"")</f>
        <v/>
      </c>
      <c r="AZ1386" s="8" t="str">
        <f t="shared" si="436"/>
        <v/>
      </c>
      <c r="BA1386" s="8" t="str">
        <f t="shared" si="436"/>
        <v/>
      </c>
      <c r="BF1386" s="12">
        <v>0.45</v>
      </c>
      <c r="BG1386" s="13">
        <v>23.786241083820901</v>
      </c>
      <c r="BH1386" s="96" t="str">
        <f>+VLOOKUP(G1386,Liste!$A$7:$G$50,3,FALSE)</f>
        <v>Pin d'Alep</v>
      </c>
      <c r="BI1386" s="96" t="str">
        <f>+VLOOKUP(H1386,Liste!$B$7:$G$50,5,FALSE)</f>
        <v>Pin d'Alep</v>
      </c>
      <c r="BJ1386" s="135">
        <f t="shared" si="417"/>
        <v>16</v>
      </c>
      <c r="BK1386" s="135" t="str">
        <f t="shared" si="419"/>
        <v>Pin d'Alep_F1_Dynamique_Pin d'Alep_16_</v>
      </c>
      <c r="BL1386" s="322"/>
      <c r="BM1386" s="13">
        <v>8.0857793685097992</v>
      </c>
      <c r="BN1386" s="13">
        <v>31.872020452330698</v>
      </c>
      <c r="BO1386" s="12" t="s">
        <v>169</v>
      </c>
      <c r="BP1386" s="13">
        <v>133.34843814247799</v>
      </c>
      <c r="BQ1386" s="13">
        <v>3.6270870414140202</v>
      </c>
      <c r="BT1386" s="298" t="str">
        <f>+VLOOKUP(G1386,Liste!$A$7:$H$50,8,FALSE)</f>
        <v>Résineux</v>
      </c>
      <c r="BU1386" s="298">
        <f t="shared" si="420"/>
        <v>0</v>
      </c>
      <c r="BV1386" s="300">
        <f t="shared" si="421"/>
        <v>1</v>
      </c>
      <c r="BW1386" s="321">
        <v>0</v>
      </c>
      <c r="BX1386" s="298">
        <f t="shared" si="422"/>
        <v>0.43</v>
      </c>
      <c r="BY1386">
        <f t="shared" si="423"/>
        <v>0</v>
      </c>
      <c r="BZ1386" s="304">
        <f t="shared" si="424"/>
        <v>0</v>
      </c>
      <c r="CB1386" s="299">
        <v>0.6</v>
      </c>
      <c r="CC1386" s="299">
        <v>0.4</v>
      </c>
      <c r="CD1386">
        <f t="shared" si="425"/>
        <v>0</v>
      </c>
      <c r="CE1386">
        <f t="shared" si="426"/>
        <v>0</v>
      </c>
      <c r="CF1386">
        <f t="shared" si="427"/>
        <v>0</v>
      </c>
      <c r="CG1386">
        <f t="shared" si="428"/>
        <v>0</v>
      </c>
      <c r="CH1386">
        <f t="shared" si="429"/>
        <v>0</v>
      </c>
      <c r="CI1386">
        <f t="shared" si="430"/>
        <v>0</v>
      </c>
      <c r="CJ1386">
        <f t="shared" si="431"/>
        <v>0</v>
      </c>
      <c r="CK1386">
        <f t="shared" si="432"/>
        <v>0</v>
      </c>
      <c r="CL1386">
        <f t="shared" si="433"/>
        <v>0</v>
      </c>
      <c r="CM1386">
        <f t="shared" si="435"/>
        <v>0</v>
      </c>
      <c r="CN1386">
        <f t="shared" si="434"/>
        <v>0</v>
      </c>
      <c r="CO1386">
        <f t="shared" si="418"/>
        <v>0</v>
      </c>
    </row>
    <row r="1387" spans="1:93" x14ac:dyDescent="0.25">
      <c r="A1387" s="4">
        <v>2021</v>
      </c>
      <c r="B1387" s="318">
        <v>44320</v>
      </c>
      <c r="C1387" s="4" t="s">
        <v>1524</v>
      </c>
      <c r="D1387" s="4" t="s">
        <v>1525</v>
      </c>
      <c r="F1387" s="4" t="s">
        <v>1526</v>
      </c>
      <c r="G1387" s="5" t="s">
        <v>1514</v>
      </c>
      <c r="H1387" s="5" t="s">
        <v>1527</v>
      </c>
      <c r="I1387" s="5" t="s">
        <v>146</v>
      </c>
      <c r="J1387" s="5" t="s">
        <v>9</v>
      </c>
      <c r="K1387" s="5">
        <v>15.5</v>
      </c>
      <c r="L1387" s="5" t="s">
        <v>1528</v>
      </c>
      <c r="M1387" s="5">
        <v>1100</v>
      </c>
      <c r="N1387" s="5" t="s">
        <v>170</v>
      </c>
      <c r="O1387" s="6" t="s">
        <v>81</v>
      </c>
      <c r="P1387" s="6" t="s">
        <v>1530</v>
      </c>
      <c r="S1387" s="6">
        <v>15</v>
      </c>
      <c r="T1387" s="6">
        <v>4.33</v>
      </c>
      <c r="U1387" s="6">
        <v>1101</v>
      </c>
      <c r="V1387" s="6">
        <v>4.92</v>
      </c>
      <c r="W1387" s="6">
        <v>569</v>
      </c>
      <c r="X1387" s="6">
        <v>532</v>
      </c>
      <c r="Y1387" s="6">
        <v>0</v>
      </c>
      <c r="Z1387" s="6">
        <v>0</v>
      </c>
      <c r="AA1387" s="6">
        <v>0</v>
      </c>
      <c r="AB1387" s="6">
        <v>0</v>
      </c>
      <c r="AC1387" s="7">
        <v>17</v>
      </c>
      <c r="AD1387" s="7" t="s">
        <v>52</v>
      </c>
      <c r="AE1387" s="7">
        <v>5.16</v>
      </c>
      <c r="AF1387" s="7">
        <v>1101</v>
      </c>
      <c r="AG1387" s="7">
        <v>6.18</v>
      </c>
      <c r="AH1387" s="7">
        <v>8.4600000000000009</v>
      </c>
      <c r="AI1387" s="7">
        <v>10.5</v>
      </c>
      <c r="AJ1387" s="9">
        <v>13.5627946801992</v>
      </c>
      <c r="AK1387" s="9">
        <v>13.938178934344799</v>
      </c>
      <c r="AL1387" s="9">
        <v>33.913556771515303</v>
      </c>
      <c r="AM1387" s="9">
        <v>6.18287812576341</v>
      </c>
      <c r="AN1387" s="9">
        <v>0.36369871328020098</v>
      </c>
      <c r="AO1387" s="9">
        <v>0.67111949478268595</v>
      </c>
      <c r="AP1387" s="9">
        <v>33.913556771515303</v>
      </c>
      <c r="AQ1387" s="9">
        <v>1.9949151042067801</v>
      </c>
      <c r="AR1387" s="9">
        <v>3.9811518584063799</v>
      </c>
      <c r="AS1387" s="8" t="s">
        <v>169</v>
      </c>
      <c r="AT1387" s="8" t="s">
        <v>169</v>
      </c>
      <c r="AU1387" s="8" t="s">
        <v>169</v>
      </c>
      <c r="AV1387" s="10">
        <v>0</v>
      </c>
      <c r="AW1387" s="8" t="s">
        <v>169</v>
      </c>
      <c r="AX1387" s="8" t="s">
        <v>169</v>
      </c>
      <c r="BF1387" s="12">
        <v>0.45</v>
      </c>
      <c r="BG1387" s="13">
        <v>26.579750119675101</v>
      </c>
      <c r="BH1387" s="96" t="str">
        <f>+VLOOKUP(G1387,Liste!$A$7:$G$50,3,FALSE)</f>
        <v>Pin d'Alep</v>
      </c>
      <c r="BI1387" s="96" t="str">
        <f>+VLOOKUP(H1387,Liste!$B$7:$G$50,5,FALSE)</f>
        <v>Pin d'Alep</v>
      </c>
      <c r="BJ1387" s="135">
        <f t="shared" si="417"/>
        <v>17</v>
      </c>
      <c r="BK1387" s="135" t="str">
        <f t="shared" si="419"/>
        <v>Pin d'Alep_F1_Dynamique_Pin d'Alep_17_</v>
      </c>
      <c r="BL1387" s="322"/>
      <c r="BM1387" s="13">
        <v>8.9193573740695893</v>
      </c>
      <c r="BN1387" s="13">
        <v>35.499107493744702</v>
      </c>
      <c r="BO1387" s="12" t="s">
        <v>169</v>
      </c>
      <c r="BP1387" s="13">
        <v>133.34843814247799</v>
      </c>
      <c r="BQ1387" s="13">
        <v>4.0393436293106699</v>
      </c>
      <c r="BT1387" s="298" t="str">
        <f>+VLOOKUP(G1387,Liste!$A$7:$H$50,8,FALSE)</f>
        <v>Résineux</v>
      </c>
      <c r="BU1387" s="298">
        <f t="shared" si="420"/>
        <v>0</v>
      </c>
      <c r="BV1387" s="300">
        <f t="shared" si="421"/>
        <v>1</v>
      </c>
      <c r="BW1387" s="321">
        <v>0</v>
      </c>
      <c r="BX1387" s="298">
        <f t="shared" si="422"/>
        <v>0.43</v>
      </c>
      <c r="BY1387">
        <f t="shared" si="423"/>
        <v>0</v>
      </c>
      <c r="BZ1387" s="304">
        <f t="shared" si="424"/>
        <v>0</v>
      </c>
      <c r="CB1387" s="299">
        <v>0.6</v>
      </c>
      <c r="CC1387" s="299">
        <v>0.4</v>
      </c>
      <c r="CD1387">
        <f t="shared" si="425"/>
        <v>0</v>
      </c>
      <c r="CE1387">
        <f t="shared" si="426"/>
        <v>0</v>
      </c>
      <c r="CF1387">
        <f t="shared" si="427"/>
        <v>0</v>
      </c>
      <c r="CG1387">
        <f t="shared" si="428"/>
        <v>0</v>
      </c>
      <c r="CH1387">
        <f t="shared" si="429"/>
        <v>0</v>
      </c>
      <c r="CI1387">
        <f t="shared" si="430"/>
        <v>0</v>
      </c>
      <c r="CJ1387">
        <f t="shared" si="431"/>
        <v>0</v>
      </c>
      <c r="CK1387">
        <f t="shared" si="432"/>
        <v>0</v>
      </c>
      <c r="CL1387">
        <f t="shared" si="433"/>
        <v>0</v>
      </c>
      <c r="CM1387">
        <f t="shared" si="435"/>
        <v>0</v>
      </c>
      <c r="CN1387">
        <f t="shared" si="434"/>
        <v>0</v>
      </c>
      <c r="CO1387">
        <f t="shared" si="418"/>
        <v>0</v>
      </c>
    </row>
    <row r="1388" spans="1:93" x14ac:dyDescent="0.25">
      <c r="A1388" s="4">
        <v>2021</v>
      </c>
      <c r="B1388" s="318">
        <v>44320</v>
      </c>
      <c r="C1388" s="4" t="s">
        <v>1524</v>
      </c>
      <c r="D1388" s="4" t="s">
        <v>1525</v>
      </c>
      <c r="F1388" s="4" t="s">
        <v>1526</v>
      </c>
      <c r="G1388" s="5" t="s">
        <v>1514</v>
      </c>
      <c r="H1388" s="5" t="s">
        <v>1527</v>
      </c>
      <c r="I1388" s="5" t="s">
        <v>146</v>
      </c>
      <c r="J1388" s="5" t="s">
        <v>9</v>
      </c>
      <c r="K1388" s="5">
        <v>15.5</v>
      </c>
      <c r="L1388" s="5" t="s">
        <v>1528</v>
      </c>
      <c r="M1388" s="5">
        <v>1100</v>
      </c>
      <c r="N1388" s="5" t="s">
        <v>170</v>
      </c>
      <c r="O1388" s="6" t="s">
        <v>81</v>
      </c>
      <c r="P1388" s="6" t="s">
        <v>1530</v>
      </c>
      <c r="S1388" s="6">
        <v>15</v>
      </c>
      <c r="T1388" s="6">
        <v>4.33</v>
      </c>
      <c r="U1388" s="6">
        <v>1101</v>
      </c>
      <c r="V1388" s="6">
        <v>4.92</v>
      </c>
      <c r="W1388" s="6">
        <v>569</v>
      </c>
      <c r="X1388" s="6">
        <v>532</v>
      </c>
      <c r="Y1388" s="6">
        <v>0</v>
      </c>
      <c r="Z1388" s="6">
        <v>0</v>
      </c>
      <c r="AA1388" s="6">
        <v>0</v>
      </c>
      <c r="AB1388" s="6">
        <v>0</v>
      </c>
      <c r="AC1388" s="7">
        <v>18</v>
      </c>
      <c r="AD1388" s="7" t="s">
        <v>52</v>
      </c>
      <c r="AE1388" s="7">
        <v>5.56</v>
      </c>
      <c r="AF1388" s="7">
        <v>1101</v>
      </c>
      <c r="AG1388" s="7">
        <v>6.85</v>
      </c>
      <c r="AH1388" s="7">
        <v>8.9</v>
      </c>
      <c r="AI1388" s="7">
        <v>10.98</v>
      </c>
      <c r="AJ1388" s="9">
        <v>16.360400759653199</v>
      </c>
      <c r="AK1388" s="9">
        <v>16.764760395855401</v>
      </c>
      <c r="AL1388" s="9">
        <v>37.894708629921702</v>
      </c>
      <c r="AM1388" s="9">
        <v>6.8539976205461004</v>
      </c>
      <c r="AN1388" s="9">
        <v>0.380777645585894</v>
      </c>
      <c r="AO1388" s="9">
        <v>0.69574232410780101</v>
      </c>
      <c r="AP1388" s="9">
        <v>37.894708629921702</v>
      </c>
      <c r="AQ1388" s="9">
        <v>2.1052615905512</v>
      </c>
      <c r="AR1388" s="9">
        <v>4.3751266018100798</v>
      </c>
      <c r="AS1388" s="8" t="s">
        <v>169</v>
      </c>
      <c r="AT1388" s="8" t="s">
        <v>169</v>
      </c>
      <c r="AU1388" s="8" t="s">
        <v>169</v>
      </c>
      <c r="AV1388" s="10">
        <v>0</v>
      </c>
      <c r="AW1388" s="8" t="s">
        <v>169</v>
      </c>
      <c r="AX1388" s="8" t="s">
        <v>169</v>
      </c>
      <c r="BF1388" s="12">
        <v>0.45</v>
      </c>
      <c r="BG1388" s="13">
        <v>29.699977888701099</v>
      </c>
      <c r="BH1388" s="96" t="str">
        <f>+VLOOKUP(G1388,Liste!$A$7:$G$50,3,FALSE)</f>
        <v>Pin d'Alep</v>
      </c>
      <c r="BI1388" s="96" t="str">
        <f>+VLOOKUP(H1388,Liste!$B$7:$G$50,5,FALSE)</f>
        <v>Pin d'Alep</v>
      </c>
      <c r="BJ1388" s="135">
        <f t="shared" si="417"/>
        <v>18</v>
      </c>
      <c r="BK1388" s="135" t="str">
        <f t="shared" si="419"/>
        <v>Pin d'Alep_F1_Dynamique_Pin d'Alep_18_</v>
      </c>
      <c r="BL1388" s="322"/>
      <c r="BM1388" s="13">
        <v>9.8384732343542591</v>
      </c>
      <c r="BN1388" s="13">
        <v>39.538451123055403</v>
      </c>
      <c r="BO1388" s="12" t="s">
        <v>169</v>
      </c>
      <c r="BP1388" s="13">
        <v>133.34843814247799</v>
      </c>
      <c r="BQ1388" s="13">
        <v>4.4262149723186299</v>
      </c>
      <c r="BT1388" s="298" t="str">
        <f>+VLOOKUP(G1388,Liste!$A$7:$H$50,8,FALSE)</f>
        <v>Résineux</v>
      </c>
      <c r="BU1388" s="298">
        <f t="shared" si="420"/>
        <v>0</v>
      </c>
      <c r="BV1388" s="300">
        <f t="shared" si="421"/>
        <v>1</v>
      </c>
      <c r="BW1388" s="321">
        <v>0</v>
      </c>
      <c r="BX1388" s="298">
        <f t="shared" si="422"/>
        <v>0.43</v>
      </c>
      <c r="BY1388">
        <f t="shared" si="423"/>
        <v>0</v>
      </c>
      <c r="BZ1388" s="304">
        <f t="shared" si="424"/>
        <v>0</v>
      </c>
      <c r="CB1388" s="299">
        <v>0.6</v>
      </c>
      <c r="CC1388" s="299">
        <v>0.4</v>
      </c>
      <c r="CD1388">
        <f t="shared" si="425"/>
        <v>0</v>
      </c>
      <c r="CE1388">
        <f t="shared" si="426"/>
        <v>0</v>
      </c>
      <c r="CF1388">
        <f t="shared" si="427"/>
        <v>0</v>
      </c>
      <c r="CG1388">
        <f t="shared" si="428"/>
        <v>0</v>
      </c>
      <c r="CH1388">
        <f t="shared" si="429"/>
        <v>0</v>
      </c>
      <c r="CI1388">
        <f t="shared" si="430"/>
        <v>0</v>
      </c>
      <c r="CJ1388">
        <f t="shared" si="431"/>
        <v>0</v>
      </c>
      <c r="CK1388">
        <f t="shared" si="432"/>
        <v>0</v>
      </c>
      <c r="CL1388">
        <f t="shared" si="433"/>
        <v>0</v>
      </c>
      <c r="CM1388">
        <f t="shared" si="435"/>
        <v>0</v>
      </c>
      <c r="CN1388">
        <f t="shared" si="434"/>
        <v>0</v>
      </c>
      <c r="CO1388">
        <f t="shared" si="418"/>
        <v>0</v>
      </c>
    </row>
    <row r="1389" spans="1:93" x14ac:dyDescent="0.25">
      <c r="A1389" s="4">
        <v>2021</v>
      </c>
      <c r="B1389" s="318">
        <v>44320</v>
      </c>
      <c r="C1389" s="4" t="s">
        <v>1524</v>
      </c>
      <c r="D1389" s="4" t="s">
        <v>1525</v>
      </c>
      <c r="F1389" s="4" t="s">
        <v>1526</v>
      </c>
      <c r="G1389" s="5" t="s">
        <v>1514</v>
      </c>
      <c r="H1389" s="5" t="s">
        <v>1527</v>
      </c>
      <c r="I1389" s="5" t="s">
        <v>146</v>
      </c>
      <c r="J1389" s="5" t="s">
        <v>9</v>
      </c>
      <c r="K1389" s="5">
        <v>15.5</v>
      </c>
      <c r="L1389" s="5" t="s">
        <v>1528</v>
      </c>
      <c r="M1389" s="5">
        <v>1100</v>
      </c>
      <c r="N1389" s="5" t="s">
        <v>170</v>
      </c>
      <c r="O1389" s="6" t="s">
        <v>81</v>
      </c>
      <c r="P1389" s="6" t="s">
        <v>1530</v>
      </c>
      <c r="S1389" s="6">
        <v>15</v>
      </c>
      <c r="T1389" s="6">
        <v>4.33</v>
      </c>
      <c r="U1389" s="6">
        <v>1101</v>
      </c>
      <c r="V1389" s="6">
        <v>4.92</v>
      </c>
      <c r="W1389" s="6">
        <v>569</v>
      </c>
      <c r="X1389" s="6">
        <v>532</v>
      </c>
      <c r="Y1389" s="6">
        <v>0</v>
      </c>
      <c r="Z1389" s="6">
        <v>0</v>
      </c>
      <c r="AA1389" s="6">
        <v>0</v>
      </c>
      <c r="AB1389" s="6">
        <v>0</v>
      </c>
      <c r="AC1389" s="7">
        <v>19</v>
      </c>
      <c r="AD1389" s="7" t="s">
        <v>52</v>
      </c>
      <c r="AE1389" s="7">
        <v>5.96</v>
      </c>
      <c r="AF1389" s="7">
        <v>1100</v>
      </c>
      <c r="AG1389" s="7">
        <v>7.54</v>
      </c>
      <c r="AH1389" s="7">
        <v>9.34</v>
      </c>
      <c r="AI1389" s="7">
        <v>11.45</v>
      </c>
      <c r="AJ1389" s="9">
        <v>19.3469188824436</v>
      </c>
      <c r="AK1389" s="9">
        <v>19.789269798922302</v>
      </c>
      <c r="AL1389" s="9">
        <v>42.237476788916602</v>
      </c>
      <c r="AM1389" s="9">
        <v>7.5497399446538997</v>
      </c>
      <c r="AN1389" s="9">
        <v>0.39735473392915199</v>
      </c>
      <c r="AO1389" s="9">
        <v>0.71937641568501198</v>
      </c>
      <c r="AP1389" s="9">
        <v>42.269835231731797</v>
      </c>
      <c r="AQ1389" s="9">
        <v>2.2247281700911499</v>
      </c>
      <c r="AR1389" s="9">
        <v>4.75688247829041</v>
      </c>
      <c r="AS1389" s="8" t="s">
        <v>169</v>
      </c>
      <c r="AT1389" s="8" t="s">
        <v>169</v>
      </c>
      <c r="AU1389" s="8" t="s">
        <v>169</v>
      </c>
      <c r="AV1389" s="10">
        <v>0</v>
      </c>
      <c r="AW1389" s="8" t="s">
        <v>169</v>
      </c>
      <c r="AX1389" s="8" t="s">
        <v>169</v>
      </c>
      <c r="BF1389" s="12">
        <v>0.45</v>
      </c>
      <c r="BG1389" s="13">
        <v>33.103622433313397</v>
      </c>
      <c r="BH1389" s="96" t="str">
        <f>+VLOOKUP(G1389,Liste!$A$7:$G$50,3,FALSE)</f>
        <v>Pin d'Alep</v>
      </c>
      <c r="BI1389" s="96" t="str">
        <f>+VLOOKUP(H1389,Liste!$B$7:$G$50,5,FALSE)</f>
        <v>Pin d'Alep</v>
      </c>
      <c r="BJ1389" s="135">
        <f t="shared" si="417"/>
        <v>19</v>
      </c>
      <c r="BK1389" s="135" t="str">
        <f t="shared" si="419"/>
        <v>Pin d'Alep_F1_Dynamique_Pin d'Alep_19_</v>
      </c>
      <c r="BL1389" s="322"/>
      <c r="BM1389" s="13">
        <v>10.8283529953515</v>
      </c>
      <c r="BN1389" s="13">
        <v>43.931975428664899</v>
      </c>
      <c r="BO1389" s="12" t="s">
        <v>169</v>
      </c>
      <c r="BP1389" s="13">
        <v>133.34843814247799</v>
      </c>
      <c r="BQ1389" s="13">
        <v>4.7988954445239802</v>
      </c>
      <c r="BT1389" s="298" t="str">
        <f>+VLOOKUP(G1389,Liste!$A$7:$H$50,8,FALSE)</f>
        <v>Résineux</v>
      </c>
      <c r="BU1389" s="298">
        <f t="shared" si="420"/>
        <v>0</v>
      </c>
      <c r="BV1389" s="300">
        <f t="shared" si="421"/>
        <v>1</v>
      </c>
      <c r="BW1389" s="321">
        <v>0</v>
      </c>
      <c r="BX1389" s="298">
        <f t="shared" si="422"/>
        <v>0.43</v>
      </c>
      <c r="BY1389">
        <f t="shared" si="423"/>
        <v>0</v>
      </c>
      <c r="BZ1389" s="304">
        <f t="shared" si="424"/>
        <v>0</v>
      </c>
      <c r="CB1389" s="299">
        <v>0.6</v>
      </c>
      <c r="CC1389" s="299">
        <v>0.4</v>
      </c>
      <c r="CD1389">
        <f t="shared" si="425"/>
        <v>0</v>
      </c>
      <c r="CE1389">
        <f t="shared" si="426"/>
        <v>0</v>
      </c>
      <c r="CF1389">
        <f t="shared" si="427"/>
        <v>0</v>
      </c>
      <c r="CG1389">
        <f t="shared" si="428"/>
        <v>0</v>
      </c>
      <c r="CH1389">
        <f t="shared" si="429"/>
        <v>0</v>
      </c>
      <c r="CI1389">
        <f t="shared" si="430"/>
        <v>0</v>
      </c>
      <c r="CJ1389">
        <f t="shared" si="431"/>
        <v>0</v>
      </c>
      <c r="CK1389">
        <f t="shared" si="432"/>
        <v>0</v>
      </c>
      <c r="CL1389">
        <f t="shared" si="433"/>
        <v>0</v>
      </c>
      <c r="CM1389">
        <f t="shared" si="435"/>
        <v>0</v>
      </c>
      <c r="CN1389">
        <f t="shared" si="434"/>
        <v>0</v>
      </c>
      <c r="CO1389">
        <f t="shared" si="418"/>
        <v>0</v>
      </c>
    </row>
    <row r="1390" spans="1:93" x14ac:dyDescent="0.25">
      <c r="A1390" s="4">
        <v>2021</v>
      </c>
      <c r="B1390" s="318">
        <v>44320</v>
      </c>
      <c r="C1390" s="4" t="s">
        <v>1524</v>
      </c>
      <c r="D1390" s="4" t="s">
        <v>1525</v>
      </c>
      <c r="F1390" s="4" t="s">
        <v>1526</v>
      </c>
      <c r="G1390" s="5" t="s">
        <v>1514</v>
      </c>
      <c r="H1390" s="5" t="s">
        <v>1527</v>
      </c>
      <c r="I1390" s="5" t="s">
        <v>146</v>
      </c>
      <c r="J1390" s="5" t="s">
        <v>9</v>
      </c>
      <c r="K1390" s="5">
        <v>15.5</v>
      </c>
      <c r="L1390" s="5" t="s">
        <v>1528</v>
      </c>
      <c r="M1390" s="5">
        <v>1100</v>
      </c>
      <c r="N1390" s="5" t="s">
        <v>170</v>
      </c>
      <c r="O1390" s="6" t="s">
        <v>81</v>
      </c>
      <c r="P1390" s="6" t="s">
        <v>1530</v>
      </c>
      <c r="S1390" s="6">
        <v>15</v>
      </c>
      <c r="T1390" s="6">
        <v>4.33</v>
      </c>
      <c r="U1390" s="6">
        <v>1101</v>
      </c>
      <c r="V1390" s="6">
        <v>4.92</v>
      </c>
      <c r="W1390" s="6">
        <v>569</v>
      </c>
      <c r="X1390" s="6">
        <v>532</v>
      </c>
      <c r="Y1390" s="6">
        <v>0</v>
      </c>
      <c r="Z1390" s="6">
        <v>0</v>
      </c>
      <c r="AA1390" s="6">
        <v>0</v>
      </c>
      <c r="AB1390" s="6">
        <v>0</v>
      </c>
      <c r="AC1390" s="7">
        <v>20</v>
      </c>
      <c r="AD1390" s="7" t="s">
        <v>52</v>
      </c>
      <c r="AE1390" s="7">
        <v>6.36</v>
      </c>
      <c r="AF1390" s="7">
        <v>1100</v>
      </c>
      <c r="AG1390" s="7">
        <v>8.26</v>
      </c>
      <c r="AH1390" s="7">
        <v>9.7799999999999994</v>
      </c>
      <c r="AI1390" s="7">
        <v>11.92</v>
      </c>
      <c r="AJ1390" s="9">
        <v>22.549660060108302</v>
      </c>
      <c r="AK1390" s="9">
        <v>23.039220507963002</v>
      </c>
      <c r="AL1390" s="9">
        <v>46.994359267207003</v>
      </c>
      <c r="AM1390" s="9">
        <v>8.2691163603389093</v>
      </c>
      <c r="AN1390" s="9">
        <v>0.41345581801694498</v>
      </c>
      <c r="AO1390" s="9">
        <v>0.74028340063539</v>
      </c>
      <c r="AP1390" s="9">
        <v>47.026717710022197</v>
      </c>
      <c r="AQ1390" s="9">
        <v>2.3513358855011099</v>
      </c>
      <c r="AR1390" s="9">
        <v>5.1250514180300701</v>
      </c>
      <c r="AS1390" s="8" t="s">
        <v>169</v>
      </c>
      <c r="AT1390" s="8" t="s">
        <v>169</v>
      </c>
      <c r="AU1390" s="8" t="s">
        <v>169</v>
      </c>
      <c r="AV1390" s="10">
        <v>0</v>
      </c>
      <c r="AW1390" s="8" t="s">
        <v>169</v>
      </c>
      <c r="AX1390" s="8" t="s">
        <v>169</v>
      </c>
      <c r="BF1390" s="12">
        <v>0.45</v>
      </c>
      <c r="BG1390" s="13">
        <v>36.831829075673497</v>
      </c>
      <c r="BH1390" s="96" t="str">
        <f>+VLOOKUP(G1390,Liste!$A$7:$G$50,3,FALSE)</f>
        <v>Pin d'Alep</v>
      </c>
      <c r="BI1390" s="96" t="str">
        <f>+VLOOKUP(H1390,Liste!$B$7:$G$50,5,FALSE)</f>
        <v>Pin d'Alep</v>
      </c>
      <c r="BJ1390" s="135">
        <f t="shared" si="417"/>
        <v>20</v>
      </c>
      <c r="BK1390" s="135" t="str">
        <f t="shared" si="419"/>
        <v>Pin d'Alep_F1_Dynamique_Pin d'Alep_20_</v>
      </c>
      <c r="BL1390" s="322"/>
      <c r="BM1390" s="13">
        <v>11.899132252909901</v>
      </c>
      <c r="BN1390" s="13">
        <v>48.730961328583398</v>
      </c>
      <c r="BO1390" s="12" t="s">
        <v>169</v>
      </c>
      <c r="BP1390" s="13">
        <v>133.34843814247799</v>
      </c>
      <c r="BQ1390" s="13">
        <v>5.1563044995222898</v>
      </c>
      <c r="BT1390" s="298" t="str">
        <f>+VLOOKUP(G1390,Liste!$A$7:$H$50,8,FALSE)</f>
        <v>Résineux</v>
      </c>
      <c r="BU1390" s="298">
        <f t="shared" si="420"/>
        <v>0</v>
      </c>
      <c r="BV1390" s="300">
        <f t="shared" si="421"/>
        <v>1</v>
      </c>
      <c r="BW1390" s="321">
        <v>0</v>
      </c>
      <c r="BX1390" s="298">
        <f t="shared" si="422"/>
        <v>0.43</v>
      </c>
      <c r="BY1390">
        <f t="shared" si="423"/>
        <v>0</v>
      </c>
      <c r="BZ1390" s="304">
        <f t="shared" si="424"/>
        <v>0</v>
      </c>
      <c r="CB1390" s="299">
        <v>0.6</v>
      </c>
      <c r="CC1390" s="299">
        <v>0.4</v>
      </c>
      <c r="CD1390">
        <f t="shared" si="425"/>
        <v>0</v>
      </c>
      <c r="CE1390">
        <f t="shared" si="426"/>
        <v>0</v>
      </c>
      <c r="CF1390">
        <f t="shared" si="427"/>
        <v>0</v>
      </c>
      <c r="CG1390">
        <f t="shared" si="428"/>
        <v>0</v>
      </c>
      <c r="CH1390">
        <f t="shared" si="429"/>
        <v>0</v>
      </c>
      <c r="CI1390">
        <f t="shared" si="430"/>
        <v>0</v>
      </c>
      <c r="CJ1390">
        <f t="shared" si="431"/>
        <v>0</v>
      </c>
      <c r="CK1390">
        <f t="shared" si="432"/>
        <v>0</v>
      </c>
      <c r="CL1390">
        <f t="shared" si="433"/>
        <v>0</v>
      </c>
      <c r="CM1390">
        <f t="shared" si="435"/>
        <v>0</v>
      </c>
      <c r="CN1390">
        <f t="shared" si="434"/>
        <v>0</v>
      </c>
      <c r="CO1390">
        <f t="shared" si="418"/>
        <v>0</v>
      </c>
    </row>
    <row r="1391" spans="1:93" x14ac:dyDescent="0.25">
      <c r="A1391" s="4">
        <v>2021</v>
      </c>
      <c r="B1391" s="318">
        <v>44320</v>
      </c>
      <c r="C1391" s="4" t="s">
        <v>1524</v>
      </c>
      <c r="D1391" s="4" t="s">
        <v>1525</v>
      </c>
      <c r="F1391" s="4" t="s">
        <v>1526</v>
      </c>
      <c r="G1391" s="5" t="s">
        <v>1514</v>
      </c>
      <c r="H1391" s="5" t="s">
        <v>1527</v>
      </c>
      <c r="I1391" s="5" t="s">
        <v>146</v>
      </c>
      <c r="J1391" s="5" t="s">
        <v>9</v>
      </c>
      <c r="K1391" s="5">
        <v>15.5</v>
      </c>
      <c r="L1391" s="5" t="s">
        <v>1528</v>
      </c>
      <c r="M1391" s="5">
        <v>1100</v>
      </c>
      <c r="N1391" s="5" t="s">
        <v>170</v>
      </c>
      <c r="O1391" s="6" t="s">
        <v>81</v>
      </c>
      <c r="P1391" s="6" t="s">
        <v>1530</v>
      </c>
      <c r="S1391" s="6">
        <v>15</v>
      </c>
      <c r="T1391" s="6">
        <v>4.33</v>
      </c>
      <c r="U1391" s="6">
        <v>1101</v>
      </c>
      <c r="V1391" s="6">
        <v>4.92</v>
      </c>
      <c r="W1391" s="6">
        <v>569</v>
      </c>
      <c r="X1391" s="6">
        <v>532</v>
      </c>
      <c r="Y1391" s="6">
        <v>0</v>
      </c>
      <c r="Z1391" s="6">
        <v>0</v>
      </c>
      <c r="AA1391" s="6">
        <v>0</v>
      </c>
      <c r="AB1391" s="6">
        <v>0</v>
      </c>
      <c r="AC1391" s="7">
        <v>21</v>
      </c>
      <c r="AD1391" s="7" t="s">
        <v>52</v>
      </c>
      <c r="AE1391" s="7">
        <v>6.75</v>
      </c>
      <c r="AF1391" s="7">
        <v>1100</v>
      </c>
      <c r="AG1391" s="7">
        <v>9</v>
      </c>
      <c r="AH1391" s="7">
        <v>10.210000000000001</v>
      </c>
      <c r="AI1391" s="7">
        <v>12.39</v>
      </c>
      <c r="AJ1391" s="9">
        <v>26.043261685416201</v>
      </c>
      <c r="AK1391" s="9">
        <v>26.5876800681277</v>
      </c>
      <c r="AL1391" s="9">
        <v>52.119410685237099</v>
      </c>
      <c r="AM1391" s="9">
        <v>9.0093997609743006</v>
      </c>
      <c r="AN1391" s="9">
        <v>0.42901903623687099</v>
      </c>
      <c r="AO1391" s="9">
        <v>0.76026117316466502</v>
      </c>
      <c r="AP1391" s="9">
        <v>52.151769128052202</v>
      </c>
      <c r="AQ1391" s="9">
        <v>2.4834175775262999</v>
      </c>
      <c r="AR1391" s="9">
        <v>5.4828222324654803</v>
      </c>
      <c r="AS1391" s="8" t="s">
        <v>169</v>
      </c>
      <c r="AT1391" s="8" t="s">
        <v>169</v>
      </c>
      <c r="AU1391" s="8" t="s">
        <v>169</v>
      </c>
      <c r="AV1391" s="10">
        <v>0</v>
      </c>
      <c r="AW1391" s="8" t="s">
        <v>169</v>
      </c>
      <c r="AX1391" s="8" t="s">
        <v>169</v>
      </c>
      <c r="BF1391" s="12">
        <v>0.45</v>
      </c>
      <c r="BG1391" s="13">
        <v>40.848588124554603</v>
      </c>
      <c r="BH1391" s="96" t="str">
        <f>+VLOOKUP(G1391,Liste!$A$7:$G$50,3,FALSE)</f>
        <v>Pin d'Alep</v>
      </c>
      <c r="BI1391" s="96" t="str">
        <f>+VLOOKUP(H1391,Liste!$B$7:$G$50,5,FALSE)</f>
        <v>Pin d'Alep</v>
      </c>
      <c r="BJ1391" s="135">
        <f t="shared" si="417"/>
        <v>21</v>
      </c>
      <c r="BK1391" s="135" t="str">
        <f t="shared" si="419"/>
        <v>Pin d'Alep_F1_Dynamique_Pin d'Alep_21_</v>
      </c>
      <c r="BL1391" s="322"/>
      <c r="BM1391" s="13">
        <v>13.0387643748649</v>
      </c>
      <c r="BN1391" s="13">
        <v>53.887352499419499</v>
      </c>
      <c r="BO1391" s="12" t="s">
        <v>169</v>
      </c>
      <c r="BP1391" s="13">
        <v>133.34843814247799</v>
      </c>
      <c r="BQ1391" s="13">
        <v>5.5019179074997</v>
      </c>
      <c r="BT1391" s="298" t="str">
        <f>+VLOOKUP(G1391,Liste!$A$7:$H$50,8,FALSE)</f>
        <v>Résineux</v>
      </c>
      <c r="BU1391" s="298">
        <f t="shared" si="420"/>
        <v>0</v>
      </c>
      <c r="BV1391" s="300">
        <f t="shared" si="421"/>
        <v>1</v>
      </c>
      <c r="BW1391" s="321">
        <v>0</v>
      </c>
      <c r="BX1391" s="298">
        <f t="shared" si="422"/>
        <v>0.43</v>
      </c>
      <c r="BY1391">
        <f t="shared" si="423"/>
        <v>0</v>
      </c>
      <c r="BZ1391" s="304">
        <f t="shared" si="424"/>
        <v>0</v>
      </c>
      <c r="CB1391" s="299">
        <v>0.6</v>
      </c>
      <c r="CC1391" s="299">
        <v>0.4</v>
      </c>
      <c r="CD1391">
        <f t="shared" si="425"/>
        <v>0</v>
      </c>
      <c r="CE1391">
        <f t="shared" si="426"/>
        <v>0</v>
      </c>
      <c r="CF1391">
        <f t="shared" si="427"/>
        <v>0</v>
      </c>
      <c r="CG1391">
        <f t="shared" si="428"/>
        <v>0</v>
      </c>
      <c r="CH1391">
        <f t="shared" si="429"/>
        <v>0</v>
      </c>
      <c r="CI1391">
        <f t="shared" si="430"/>
        <v>0</v>
      </c>
      <c r="CJ1391">
        <f t="shared" si="431"/>
        <v>0</v>
      </c>
      <c r="CK1391">
        <f t="shared" si="432"/>
        <v>0</v>
      </c>
      <c r="CL1391">
        <f t="shared" si="433"/>
        <v>0</v>
      </c>
      <c r="CM1391">
        <f t="shared" si="435"/>
        <v>0</v>
      </c>
      <c r="CN1391">
        <f t="shared" si="434"/>
        <v>0</v>
      </c>
      <c r="CO1391">
        <f t="shared" si="418"/>
        <v>0</v>
      </c>
    </row>
    <row r="1392" spans="1:93" x14ac:dyDescent="0.25">
      <c r="A1392" s="4">
        <v>2021</v>
      </c>
      <c r="B1392" s="318">
        <v>44320</v>
      </c>
      <c r="C1392" s="4" t="s">
        <v>1524</v>
      </c>
      <c r="D1392" s="4" t="s">
        <v>1525</v>
      </c>
      <c r="F1392" s="4" t="s">
        <v>1526</v>
      </c>
      <c r="G1392" s="5" t="s">
        <v>1514</v>
      </c>
      <c r="H1392" s="5" t="s">
        <v>1527</v>
      </c>
      <c r="I1392" s="5" t="s">
        <v>146</v>
      </c>
      <c r="J1392" s="5" t="s">
        <v>9</v>
      </c>
      <c r="K1392" s="5">
        <v>15.5</v>
      </c>
      <c r="L1392" s="5" t="s">
        <v>1528</v>
      </c>
      <c r="M1392" s="5">
        <v>1100</v>
      </c>
      <c r="N1392" s="5" t="s">
        <v>170</v>
      </c>
      <c r="O1392" s="6" t="s">
        <v>81</v>
      </c>
      <c r="P1392" s="6" t="s">
        <v>1530</v>
      </c>
      <c r="S1392" s="6">
        <v>15</v>
      </c>
      <c r="T1392" s="6">
        <v>4.33</v>
      </c>
      <c r="U1392" s="6">
        <v>1101</v>
      </c>
      <c r="V1392" s="6">
        <v>4.92</v>
      </c>
      <c r="W1392" s="6">
        <v>569</v>
      </c>
      <c r="X1392" s="6">
        <v>532</v>
      </c>
      <c r="Y1392" s="6">
        <v>0</v>
      </c>
      <c r="Z1392" s="6">
        <v>0</v>
      </c>
      <c r="AA1392" s="6">
        <v>0</v>
      </c>
      <c r="AB1392" s="6">
        <v>0</v>
      </c>
      <c r="AC1392" s="7">
        <v>22</v>
      </c>
      <c r="AD1392" s="7" t="s">
        <v>52</v>
      </c>
      <c r="AE1392" s="7">
        <v>7.14</v>
      </c>
      <c r="AF1392" s="7">
        <v>1100</v>
      </c>
      <c r="AG1392" s="7">
        <v>9.76</v>
      </c>
      <c r="AH1392" s="7">
        <v>10.63</v>
      </c>
      <c r="AI1392" s="7">
        <v>12.85</v>
      </c>
      <c r="AJ1392" s="9">
        <v>29.7621832680382</v>
      </c>
      <c r="AK1392" s="9">
        <v>30.369561135657399</v>
      </c>
      <c r="AL1392" s="9">
        <v>57.602232917702601</v>
      </c>
      <c r="AM1392" s="9">
        <v>9.76966093413896</v>
      </c>
      <c r="AN1392" s="9">
        <v>0.44407549700631699</v>
      </c>
      <c r="AO1392" s="9">
        <v>0.77759277434784302</v>
      </c>
      <c r="AP1392" s="9">
        <v>57.634591360517703</v>
      </c>
      <c r="AQ1392" s="9">
        <v>2.6197541527508101</v>
      </c>
      <c r="AR1392" s="9">
        <v>5.82603346840268</v>
      </c>
      <c r="AS1392" s="8" t="s">
        <v>169</v>
      </c>
      <c r="AT1392" s="8" t="s">
        <v>169</v>
      </c>
      <c r="AU1392" s="8" t="s">
        <v>169</v>
      </c>
      <c r="AV1392" s="10">
        <v>0</v>
      </c>
      <c r="AW1392" s="8" t="s">
        <v>169</v>
      </c>
      <c r="AX1392" s="8" t="s">
        <v>169</v>
      </c>
      <c r="BF1392" s="12">
        <v>0.45</v>
      </c>
      <c r="BG1392" s="13">
        <v>45.145750049249401</v>
      </c>
      <c r="BH1392" s="96" t="str">
        <f>+VLOOKUP(G1392,Liste!$A$7:$G$50,3,FALSE)</f>
        <v>Pin d'Alep</v>
      </c>
      <c r="BI1392" s="96" t="str">
        <f>+VLOOKUP(H1392,Liste!$B$7:$G$50,5,FALSE)</f>
        <v>Pin d'Alep</v>
      </c>
      <c r="BJ1392" s="135">
        <f t="shared" si="417"/>
        <v>22</v>
      </c>
      <c r="BK1392" s="135" t="str">
        <f t="shared" si="419"/>
        <v>Pin d'Alep_F1_Dynamique_Pin d'Alep_22_</v>
      </c>
      <c r="BL1392" s="322"/>
      <c r="BM1392" s="13">
        <v>14.2436031267298</v>
      </c>
      <c r="BN1392" s="13">
        <v>59.389353175979203</v>
      </c>
      <c r="BO1392" s="12" t="s">
        <v>169</v>
      </c>
      <c r="BP1392" s="13">
        <v>133.34843814247799</v>
      </c>
      <c r="BQ1392" s="13">
        <v>5.8317933540380604</v>
      </c>
      <c r="BT1392" s="298" t="str">
        <f>+VLOOKUP(G1392,Liste!$A$7:$H$50,8,FALSE)</f>
        <v>Résineux</v>
      </c>
      <c r="BU1392" s="298">
        <f t="shared" si="420"/>
        <v>0</v>
      </c>
      <c r="BV1392" s="300">
        <f t="shared" si="421"/>
        <v>1</v>
      </c>
      <c r="BW1392" s="321">
        <v>0</v>
      </c>
      <c r="BX1392" s="298">
        <f t="shared" si="422"/>
        <v>0.43</v>
      </c>
      <c r="BY1392">
        <f t="shared" si="423"/>
        <v>0</v>
      </c>
      <c r="BZ1392" s="304">
        <f t="shared" si="424"/>
        <v>0</v>
      </c>
      <c r="CB1392" s="299">
        <v>0.6</v>
      </c>
      <c r="CC1392" s="299">
        <v>0.4</v>
      </c>
      <c r="CD1392">
        <f t="shared" si="425"/>
        <v>0</v>
      </c>
      <c r="CE1392">
        <f t="shared" si="426"/>
        <v>0</v>
      </c>
      <c r="CF1392">
        <f t="shared" si="427"/>
        <v>0</v>
      </c>
      <c r="CG1392">
        <f t="shared" si="428"/>
        <v>0</v>
      </c>
      <c r="CH1392">
        <f t="shared" si="429"/>
        <v>0</v>
      </c>
      <c r="CI1392">
        <f t="shared" si="430"/>
        <v>0</v>
      </c>
      <c r="CJ1392">
        <f t="shared" si="431"/>
        <v>0</v>
      </c>
      <c r="CK1392">
        <f t="shared" si="432"/>
        <v>0</v>
      </c>
      <c r="CL1392">
        <f t="shared" si="433"/>
        <v>0</v>
      </c>
      <c r="CM1392">
        <f t="shared" si="435"/>
        <v>0</v>
      </c>
      <c r="CN1392">
        <f t="shared" si="434"/>
        <v>0</v>
      </c>
      <c r="CO1392">
        <f t="shared" si="418"/>
        <v>0</v>
      </c>
    </row>
    <row r="1393" spans="1:93" x14ac:dyDescent="0.25">
      <c r="A1393" s="4">
        <v>2021</v>
      </c>
      <c r="B1393" s="318">
        <v>44320</v>
      </c>
      <c r="C1393" s="4" t="s">
        <v>1524</v>
      </c>
      <c r="D1393" s="4" t="s">
        <v>1525</v>
      </c>
      <c r="F1393" s="4" t="s">
        <v>1526</v>
      </c>
      <c r="G1393" s="5" t="s">
        <v>1514</v>
      </c>
      <c r="H1393" s="5" t="s">
        <v>1527</v>
      </c>
      <c r="I1393" s="5" t="s">
        <v>146</v>
      </c>
      <c r="J1393" s="5" t="s">
        <v>9</v>
      </c>
      <c r="K1393" s="5">
        <v>15.5</v>
      </c>
      <c r="L1393" s="5" t="s">
        <v>1528</v>
      </c>
      <c r="M1393" s="5">
        <v>1100</v>
      </c>
      <c r="N1393" s="5" t="s">
        <v>170</v>
      </c>
      <c r="O1393" s="6" t="s">
        <v>81</v>
      </c>
      <c r="P1393" s="6" t="s">
        <v>1530</v>
      </c>
      <c r="S1393" s="6">
        <v>15</v>
      </c>
      <c r="T1393" s="6">
        <v>4.33</v>
      </c>
      <c r="U1393" s="6">
        <v>1101</v>
      </c>
      <c r="V1393" s="6">
        <v>4.92</v>
      </c>
      <c r="W1393" s="6">
        <v>569</v>
      </c>
      <c r="X1393" s="6">
        <v>532</v>
      </c>
      <c r="Y1393" s="6">
        <v>0</v>
      </c>
      <c r="Z1393" s="6">
        <v>0</v>
      </c>
      <c r="AA1393" s="6">
        <v>0</v>
      </c>
      <c r="AB1393" s="6">
        <v>0</v>
      </c>
      <c r="AC1393" s="7">
        <v>23</v>
      </c>
      <c r="AD1393" s="7" t="s">
        <v>52</v>
      </c>
      <c r="AE1393" s="7">
        <v>7.52</v>
      </c>
      <c r="AF1393" s="7">
        <v>1100</v>
      </c>
      <c r="AG1393" s="7">
        <v>10.54</v>
      </c>
      <c r="AH1393" s="7">
        <v>11.05</v>
      </c>
      <c r="AI1393" s="7">
        <v>13.31</v>
      </c>
      <c r="AJ1393" s="9">
        <v>33.7283690416876</v>
      </c>
      <c r="AK1393" s="9">
        <v>34.4061658105405</v>
      </c>
      <c r="AL1393" s="9">
        <v>63.4282663861053</v>
      </c>
      <c r="AM1393" s="9">
        <v>10.547253708486799</v>
      </c>
      <c r="AN1393" s="9">
        <v>0.45857624819507897</v>
      </c>
      <c r="AO1393" s="9">
        <v>0.79385390925023602</v>
      </c>
      <c r="AP1393" s="9">
        <v>63.460624828920402</v>
      </c>
      <c r="AQ1393" s="9">
        <v>2.7591576012574102</v>
      </c>
      <c r="AR1393" s="9">
        <v>6.1623332090447196</v>
      </c>
      <c r="AS1393" s="8" t="s">
        <v>169</v>
      </c>
      <c r="AT1393" s="8" t="s">
        <v>169</v>
      </c>
      <c r="AU1393" s="8" t="s">
        <v>169</v>
      </c>
      <c r="AV1393" s="10">
        <v>0</v>
      </c>
      <c r="AW1393" s="8" t="s">
        <v>169</v>
      </c>
      <c r="AX1393" s="8" t="s">
        <v>169</v>
      </c>
      <c r="BF1393" s="12">
        <v>0.45</v>
      </c>
      <c r="BG1393" s="13">
        <v>49.711903780109999</v>
      </c>
      <c r="BH1393" s="96" t="str">
        <f>+VLOOKUP(G1393,Liste!$A$7:$G$50,3,FALSE)</f>
        <v>Pin d'Alep</v>
      </c>
      <c r="BI1393" s="96" t="str">
        <f>+VLOOKUP(H1393,Liste!$B$7:$G$50,5,FALSE)</f>
        <v>Pin d'Alep</v>
      </c>
      <c r="BJ1393" s="135">
        <f t="shared" si="417"/>
        <v>23</v>
      </c>
      <c r="BK1393" s="135" t="str">
        <f t="shared" si="419"/>
        <v>Pin d'Alep_F1_Dynamique_Pin d'Alep_23_</v>
      </c>
      <c r="BL1393" s="322"/>
      <c r="BM1393" s="13">
        <v>15.509321573812199</v>
      </c>
      <c r="BN1393" s="13">
        <v>65.221225353922193</v>
      </c>
      <c r="BO1393" s="12" t="s">
        <v>169</v>
      </c>
      <c r="BP1393" s="13">
        <v>133.34843814247799</v>
      </c>
      <c r="BQ1393" s="13">
        <v>6.1537913475858099</v>
      </c>
      <c r="BT1393" s="298" t="str">
        <f>+VLOOKUP(G1393,Liste!$A$7:$H$50,8,FALSE)</f>
        <v>Résineux</v>
      </c>
      <c r="BU1393" s="298">
        <f t="shared" si="420"/>
        <v>0</v>
      </c>
      <c r="BV1393" s="300">
        <f t="shared" si="421"/>
        <v>1</v>
      </c>
      <c r="BW1393" s="321">
        <v>0</v>
      </c>
      <c r="BX1393" s="298">
        <f t="shared" si="422"/>
        <v>0.43</v>
      </c>
      <c r="BY1393">
        <f t="shared" si="423"/>
        <v>0</v>
      </c>
      <c r="BZ1393" s="304">
        <f t="shared" si="424"/>
        <v>0</v>
      </c>
      <c r="CB1393" s="299">
        <v>0.6</v>
      </c>
      <c r="CC1393" s="299">
        <v>0.4</v>
      </c>
      <c r="CD1393">
        <f t="shared" si="425"/>
        <v>0</v>
      </c>
      <c r="CE1393">
        <f t="shared" si="426"/>
        <v>0</v>
      </c>
      <c r="CF1393">
        <f t="shared" si="427"/>
        <v>0</v>
      </c>
      <c r="CG1393">
        <f t="shared" si="428"/>
        <v>0</v>
      </c>
      <c r="CH1393">
        <f t="shared" si="429"/>
        <v>0</v>
      </c>
      <c r="CI1393">
        <f t="shared" si="430"/>
        <v>0</v>
      </c>
      <c r="CJ1393">
        <f t="shared" si="431"/>
        <v>0</v>
      </c>
      <c r="CK1393">
        <f t="shared" si="432"/>
        <v>0</v>
      </c>
      <c r="CL1393">
        <f t="shared" si="433"/>
        <v>0</v>
      </c>
      <c r="CM1393">
        <f t="shared" si="435"/>
        <v>0</v>
      </c>
      <c r="CN1393">
        <f t="shared" si="434"/>
        <v>0</v>
      </c>
      <c r="CO1393">
        <f t="shared" si="418"/>
        <v>0</v>
      </c>
    </row>
    <row r="1394" spans="1:93" x14ac:dyDescent="0.25">
      <c r="A1394" s="4">
        <v>2021</v>
      </c>
      <c r="B1394" s="318">
        <v>44320</v>
      </c>
      <c r="C1394" s="4" t="s">
        <v>1524</v>
      </c>
      <c r="D1394" s="4" t="s">
        <v>1525</v>
      </c>
      <c r="F1394" s="4" t="s">
        <v>1526</v>
      </c>
      <c r="G1394" s="5" t="s">
        <v>1514</v>
      </c>
      <c r="H1394" s="5" t="s">
        <v>1527</v>
      </c>
      <c r="I1394" s="5" t="s">
        <v>146</v>
      </c>
      <c r="J1394" s="5" t="s">
        <v>9</v>
      </c>
      <c r="K1394" s="5">
        <v>15.5</v>
      </c>
      <c r="L1394" s="5" t="s">
        <v>1528</v>
      </c>
      <c r="M1394" s="5">
        <v>1100</v>
      </c>
      <c r="N1394" s="5" t="s">
        <v>170</v>
      </c>
      <c r="O1394" s="6" t="s">
        <v>81</v>
      </c>
      <c r="P1394" s="6" t="s">
        <v>1530</v>
      </c>
      <c r="S1394" s="6">
        <v>15</v>
      </c>
      <c r="T1394" s="6">
        <v>4.33</v>
      </c>
      <c r="U1394" s="6">
        <v>1101</v>
      </c>
      <c r="V1394" s="6">
        <v>4.92</v>
      </c>
      <c r="W1394" s="6">
        <v>569</v>
      </c>
      <c r="X1394" s="6">
        <v>532</v>
      </c>
      <c r="Y1394" s="6">
        <v>0</v>
      </c>
      <c r="Z1394" s="6">
        <v>0</v>
      </c>
      <c r="AA1394" s="6">
        <v>0</v>
      </c>
      <c r="AB1394" s="6">
        <v>0</v>
      </c>
      <c r="AC1394" s="7">
        <v>24</v>
      </c>
      <c r="AD1394" s="7" t="s">
        <v>52</v>
      </c>
      <c r="AE1394" s="7">
        <v>7.89</v>
      </c>
      <c r="AF1394" s="7">
        <v>1100</v>
      </c>
      <c r="AG1394" s="7">
        <v>11.34</v>
      </c>
      <c r="AH1394" s="7">
        <v>11.45</v>
      </c>
      <c r="AI1394" s="7">
        <v>13.77</v>
      </c>
      <c r="AJ1394" s="9">
        <v>37.918683063452598</v>
      </c>
      <c r="AK1394" s="9">
        <v>38.674262665670398</v>
      </c>
      <c r="AL1394" s="9">
        <v>69.590599595149996</v>
      </c>
      <c r="AM1394" s="9">
        <v>11.341107617737</v>
      </c>
      <c r="AN1394" s="9">
        <v>0.47254615073904299</v>
      </c>
      <c r="AO1394" s="9">
        <v>0.80728671541049302</v>
      </c>
      <c r="AP1394" s="9">
        <v>69.622958037965105</v>
      </c>
      <c r="AQ1394" s="9">
        <v>2.9009565849152099</v>
      </c>
      <c r="AR1394" s="9">
        <v>6.4765998984706004</v>
      </c>
      <c r="AS1394" s="8" t="s">
        <v>169</v>
      </c>
      <c r="AT1394" s="8" t="s">
        <v>169</v>
      </c>
      <c r="AU1394" s="8" t="s">
        <v>169</v>
      </c>
      <c r="AV1394" s="10">
        <v>0</v>
      </c>
      <c r="AW1394" s="8" t="s">
        <v>169</v>
      </c>
      <c r="AX1394" s="8" t="s">
        <v>169</v>
      </c>
      <c r="BF1394" s="12">
        <v>0.45</v>
      </c>
      <c r="BG1394" s="13">
        <v>54.541632432698798</v>
      </c>
      <c r="BH1394" s="96" t="str">
        <f>+VLOOKUP(G1394,Liste!$A$7:$G$50,3,FALSE)</f>
        <v>Pin d'Alep</v>
      </c>
      <c r="BI1394" s="96" t="str">
        <f>+VLOOKUP(H1394,Liste!$B$7:$G$50,5,FALSE)</f>
        <v>Pin d'Alep</v>
      </c>
      <c r="BJ1394" s="135">
        <f t="shared" si="417"/>
        <v>24</v>
      </c>
      <c r="BK1394" s="135" t="str">
        <f t="shared" si="419"/>
        <v>Pin d'Alep_F1_Dynamique_Pin d'Alep_24_</v>
      </c>
      <c r="BL1394" s="322"/>
      <c r="BM1394" s="13">
        <v>16.833459296157699</v>
      </c>
      <c r="BN1394" s="13">
        <v>71.375091728856503</v>
      </c>
      <c r="BO1394" s="12" t="s">
        <v>169</v>
      </c>
      <c r="BP1394" s="13">
        <v>133.34843814247799</v>
      </c>
      <c r="BQ1394" s="13">
        <v>6.4529987009229801</v>
      </c>
      <c r="BT1394" s="298" t="str">
        <f>+VLOOKUP(G1394,Liste!$A$7:$H$50,8,FALSE)</f>
        <v>Résineux</v>
      </c>
      <c r="BU1394" s="298">
        <f t="shared" si="420"/>
        <v>0</v>
      </c>
      <c r="BV1394" s="300">
        <f t="shared" si="421"/>
        <v>1</v>
      </c>
      <c r="BW1394" s="321">
        <v>0</v>
      </c>
      <c r="BX1394" s="298">
        <f t="shared" si="422"/>
        <v>0.43</v>
      </c>
      <c r="BY1394">
        <f t="shared" si="423"/>
        <v>0</v>
      </c>
      <c r="BZ1394" s="304">
        <f t="shared" si="424"/>
        <v>0</v>
      </c>
      <c r="CB1394" s="299">
        <v>0.6</v>
      </c>
      <c r="CC1394" s="299">
        <v>0.4</v>
      </c>
      <c r="CD1394">
        <f t="shared" si="425"/>
        <v>0</v>
      </c>
      <c r="CE1394">
        <f t="shared" si="426"/>
        <v>0</v>
      </c>
      <c r="CF1394">
        <f t="shared" si="427"/>
        <v>0</v>
      </c>
      <c r="CG1394">
        <f t="shared" si="428"/>
        <v>0</v>
      </c>
      <c r="CH1394">
        <f t="shared" si="429"/>
        <v>0</v>
      </c>
      <c r="CI1394">
        <f t="shared" si="430"/>
        <v>0</v>
      </c>
      <c r="CJ1394">
        <f t="shared" si="431"/>
        <v>0</v>
      </c>
      <c r="CK1394">
        <f t="shared" si="432"/>
        <v>0</v>
      </c>
      <c r="CL1394">
        <f t="shared" si="433"/>
        <v>0</v>
      </c>
      <c r="CM1394">
        <f t="shared" si="435"/>
        <v>0</v>
      </c>
      <c r="CN1394">
        <f t="shared" si="434"/>
        <v>0</v>
      </c>
      <c r="CO1394">
        <f t="shared" si="418"/>
        <v>0</v>
      </c>
    </row>
    <row r="1395" spans="1:93" x14ac:dyDescent="0.25">
      <c r="A1395" s="4">
        <v>2021</v>
      </c>
      <c r="B1395" s="318">
        <v>44320</v>
      </c>
      <c r="C1395" s="4" t="s">
        <v>1524</v>
      </c>
      <c r="D1395" s="4" t="s">
        <v>1525</v>
      </c>
      <c r="F1395" s="4" t="s">
        <v>1526</v>
      </c>
      <c r="G1395" s="5" t="s">
        <v>1514</v>
      </c>
      <c r="H1395" s="5" t="s">
        <v>1527</v>
      </c>
      <c r="I1395" s="5" t="s">
        <v>146</v>
      </c>
      <c r="J1395" s="5" t="s">
        <v>9</v>
      </c>
      <c r="K1395" s="5">
        <v>15.5</v>
      </c>
      <c r="L1395" s="5" t="s">
        <v>1528</v>
      </c>
      <c r="M1395" s="5">
        <v>1100</v>
      </c>
      <c r="N1395" s="5" t="s">
        <v>170</v>
      </c>
      <c r="O1395" s="6" t="s">
        <v>81</v>
      </c>
      <c r="P1395" s="6" t="s">
        <v>1530</v>
      </c>
      <c r="S1395" s="6">
        <v>15</v>
      </c>
      <c r="T1395" s="6">
        <v>4.33</v>
      </c>
      <c r="U1395" s="6">
        <v>1101</v>
      </c>
      <c r="V1395" s="6">
        <v>4.92</v>
      </c>
      <c r="W1395" s="6">
        <v>569</v>
      </c>
      <c r="X1395" s="6">
        <v>532</v>
      </c>
      <c r="Y1395" s="6">
        <v>0</v>
      </c>
      <c r="Z1395" s="6">
        <v>0</v>
      </c>
      <c r="AA1395" s="6">
        <v>0</v>
      </c>
      <c r="AB1395" s="6">
        <v>0</v>
      </c>
      <c r="AC1395" s="7">
        <v>25</v>
      </c>
      <c r="AD1395" s="7" t="s">
        <v>52</v>
      </c>
      <c r="AE1395" s="7">
        <v>8.26</v>
      </c>
      <c r="AF1395" s="7">
        <v>1100</v>
      </c>
      <c r="AG1395" s="7">
        <v>12.14</v>
      </c>
      <c r="AH1395" s="7">
        <v>11.86</v>
      </c>
      <c r="AI1395" s="7">
        <v>14.21</v>
      </c>
      <c r="AJ1395" s="9">
        <v>42.357185865080602</v>
      </c>
      <c r="AK1395" s="9">
        <v>43.197731980294499</v>
      </c>
      <c r="AL1395" s="9">
        <v>76.067199493620606</v>
      </c>
      <c r="AM1395" s="9">
        <v>12.1483943331475</v>
      </c>
      <c r="AN1395" s="9">
        <v>0.48593577332590099</v>
      </c>
      <c r="AO1395" s="9">
        <v>0.820218940197325</v>
      </c>
      <c r="AP1395" s="9">
        <v>76.099557936435701</v>
      </c>
      <c r="AQ1395" s="9">
        <v>3.0439823174574299</v>
      </c>
      <c r="AR1395" s="9">
        <v>6.7887242146693296</v>
      </c>
      <c r="AS1395" s="8" t="s">
        <v>169</v>
      </c>
      <c r="AT1395" s="8" t="s">
        <v>169</v>
      </c>
      <c r="AU1395" s="8" t="s">
        <v>169</v>
      </c>
      <c r="AV1395" s="10">
        <v>0</v>
      </c>
      <c r="AW1395" s="8" t="s">
        <v>169</v>
      </c>
      <c r="AX1395" s="8" t="s">
        <v>169</v>
      </c>
      <c r="BF1395" s="12">
        <v>0.45</v>
      </c>
      <c r="BG1395" s="13">
        <v>59.617667603125099</v>
      </c>
      <c r="BH1395" s="96" t="str">
        <f>+VLOOKUP(G1395,Liste!$A$7:$G$50,3,FALSE)</f>
        <v>Pin d'Alep</v>
      </c>
      <c r="BI1395" s="96" t="str">
        <f>+VLOOKUP(H1395,Liste!$B$7:$G$50,5,FALSE)</f>
        <v>Pin d'Alep</v>
      </c>
      <c r="BJ1395" s="135">
        <f t="shared" si="417"/>
        <v>25</v>
      </c>
      <c r="BK1395" s="135" t="str">
        <f t="shared" si="419"/>
        <v>Pin d'Alep_F1_Dynamique_Pin d'Alep_25_</v>
      </c>
      <c r="BL1395" s="322"/>
      <c r="BM1395" s="13">
        <v>18.210494078108201</v>
      </c>
      <c r="BN1395" s="13">
        <v>77.828161681233397</v>
      </c>
      <c r="BO1395" s="12" t="s">
        <v>169</v>
      </c>
      <c r="BP1395" s="13">
        <v>133.34843814247799</v>
      </c>
      <c r="BQ1395" s="13">
        <v>6.7494178807491396</v>
      </c>
      <c r="BT1395" s="298" t="str">
        <f>+VLOOKUP(G1395,Liste!$A$7:$H$50,8,FALSE)</f>
        <v>Résineux</v>
      </c>
      <c r="BU1395" s="298">
        <f t="shared" si="420"/>
        <v>0</v>
      </c>
      <c r="BV1395" s="300">
        <f t="shared" si="421"/>
        <v>1</v>
      </c>
      <c r="BW1395" s="321">
        <v>0</v>
      </c>
      <c r="BX1395" s="298">
        <f t="shared" si="422"/>
        <v>0.43</v>
      </c>
      <c r="BY1395">
        <f t="shared" si="423"/>
        <v>0</v>
      </c>
      <c r="BZ1395" s="304">
        <f t="shared" si="424"/>
        <v>0</v>
      </c>
      <c r="CB1395" s="299">
        <v>0.6</v>
      </c>
      <c r="CC1395" s="299">
        <v>0.4</v>
      </c>
      <c r="CD1395">
        <f t="shared" si="425"/>
        <v>0</v>
      </c>
      <c r="CE1395">
        <f t="shared" si="426"/>
        <v>0</v>
      </c>
      <c r="CF1395">
        <f t="shared" si="427"/>
        <v>0</v>
      </c>
      <c r="CG1395">
        <f t="shared" si="428"/>
        <v>0</v>
      </c>
      <c r="CH1395">
        <f t="shared" si="429"/>
        <v>0</v>
      </c>
      <c r="CI1395">
        <f t="shared" si="430"/>
        <v>0</v>
      </c>
      <c r="CJ1395">
        <f t="shared" si="431"/>
        <v>0</v>
      </c>
      <c r="CK1395">
        <f t="shared" si="432"/>
        <v>0</v>
      </c>
      <c r="CL1395">
        <f t="shared" si="433"/>
        <v>0</v>
      </c>
      <c r="CM1395">
        <f t="shared" si="435"/>
        <v>0</v>
      </c>
      <c r="CN1395">
        <f t="shared" si="434"/>
        <v>0</v>
      </c>
      <c r="CO1395">
        <f t="shared" si="418"/>
        <v>0</v>
      </c>
    </row>
    <row r="1396" spans="1:93" x14ac:dyDescent="0.25">
      <c r="A1396" s="4">
        <v>2021</v>
      </c>
      <c r="B1396" s="318">
        <v>44320</v>
      </c>
      <c r="C1396" s="4" t="s">
        <v>1524</v>
      </c>
      <c r="D1396" s="4" t="s">
        <v>1525</v>
      </c>
      <c r="F1396" s="4" t="s">
        <v>1526</v>
      </c>
      <c r="G1396" s="5" t="s">
        <v>1514</v>
      </c>
      <c r="H1396" s="5" t="s">
        <v>1527</v>
      </c>
      <c r="I1396" s="5" t="s">
        <v>146</v>
      </c>
      <c r="J1396" s="5" t="s">
        <v>9</v>
      </c>
      <c r="K1396" s="5">
        <v>15.5</v>
      </c>
      <c r="L1396" s="5" t="s">
        <v>1528</v>
      </c>
      <c r="M1396" s="5">
        <v>1100</v>
      </c>
      <c r="N1396" s="5" t="s">
        <v>170</v>
      </c>
      <c r="O1396" s="6" t="s">
        <v>81</v>
      </c>
      <c r="P1396" s="6" t="s">
        <v>1530</v>
      </c>
      <c r="S1396" s="6">
        <v>15</v>
      </c>
      <c r="T1396" s="6">
        <v>4.33</v>
      </c>
      <c r="U1396" s="6">
        <v>1101</v>
      </c>
      <c r="V1396" s="6">
        <v>4.92</v>
      </c>
      <c r="W1396" s="6">
        <v>569</v>
      </c>
      <c r="X1396" s="6">
        <v>532</v>
      </c>
      <c r="Y1396" s="6">
        <v>0</v>
      </c>
      <c r="Z1396" s="6">
        <v>0</v>
      </c>
      <c r="AA1396" s="6">
        <v>0</v>
      </c>
      <c r="AB1396" s="6">
        <v>0</v>
      </c>
      <c r="AC1396" s="7">
        <v>26</v>
      </c>
      <c r="AD1396" s="7" t="s">
        <v>52</v>
      </c>
      <c r="AE1396" s="7">
        <v>8.6199999999999992</v>
      </c>
      <c r="AF1396" s="7">
        <v>1100</v>
      </c>
      <c r="AG1396" s="7">
        <v>12.96</v>
      </c>
      <c r="AH1396" s="7">
        <v>12.25</v>
      </c>
      <c r="AI1396" s="7">
        <v>14.66</v>
      </c>
      <c r="AJ1396" s="9">
        <v>47.043833345226297</v>
      </c>
      <c r="AK1396" s="9">
        <v>47.976377929311397</v>
      </c>
      <c r="AL1396" s="9">
        <v>82.855923708289893</v>
      </c>
      <c r="AM1396" s="9">
        <v>12.9686132733449</v>
      </c>
      <c r="AN1396" s="9">
        <v>0.49879281820557198</v>
      </c>
      <c r="AO1396" s="9">
        <v>0.82965191771492097</v>
      </c>
      <c r="AP1396" s="9">
        <v>82.888282151105003</v>
      </c>
      <c r="AQ1396" s="9">
        <v>3.1880108519655801</v>
      </c>
      <c r="AR1396" s="9">
        <v>7.0653873832835599</v>
      </c>
      <c r="AS1396" s="8" t="s">
        <v>169</v>
      </c>
      <c r="AT1396" s="8" t="s">
        <v>169</v>
      </c>
      <c r="AU1396" s="8" t="s">
        <v>169</v>
      </c>
      <c r="AV1396" s="10">
        <v>0</v>
      </c>
      <c r="AW1396" s="8" t="s">
        <v>169</v>
      </c>
      <c r="AX1396" s="8" t="s">
        <v>169</v>
      </c>
      <c r="BF1396" s="12">
        <v>0.45</v>
      </c>
      <c r="BG1396" s="13">
        <v>64.9383302063722</v>
      </c>
      <c r="BH1396" s="96" t="str">
        <f>+VLOOKUP(G1396,Liste!$A$7:$G$50,3,FALSE)</f>
        <v>Pin d'Alep</v>
      </c>
      <c r="BI1396" s="96" t="str">
        <f>+VLOOKUP(H1396,Liste!$B$7:$G$50,5,FALSE)</f>
        <v>Pin d'Alep</v>
      </c>
      <c r="BJ1396" s="135">
        <f t="shared" si="417"/>
        <v>26</v>
      </c>
      <c r="BK1396" s="135" t="str">
        <f t="shared" si="419"/>
        <v>Pin d'Alep_F1_Dynamique_Pin d'Alep_26_</v>
      </c>
      <c r="BL1396" s="322"/>
      <c r="BM1396" s="13">
        <v>19.6393171132489</v>
      </c>
      <c r="BN1396" s="13">
        <v>84.577647319621093</v>
      </c>
      <c r="BO1396" s="12" t="s">
        <v>169</v>
      </c>
      <c r="BP1396" s="13">
        <v>133.34843814247799</v>
      </c>
      <c r="BQ1396" s="13">
        <v>7.0100832101325397</v>
      </c>
      <c r="BT1396" s="298" t="str">
        <f>+VLOOKUP(G1396,Liste!$A$7:$H$50,8,FALSE)</f>
        <v>Résineux</v>
      </c>
      <c r="BU1396" s="298">
        <f t="shared" si="420"/>
        <v>0</v>
      </c>
      <c r="BV1396" s="300">
        <f t="shared" si="421"/>
        <v>1</v>
      </c>
      <c r="BW1396" s="321">
        <v>0</v>
      </c>
      <c r="BX1396" s="298">
        <f t="shared" si="422"/>
        <v>0.43</v>
      </c>
      <c r="BY1396">
        <f t="shared" si="423"/>
        <v>0</v>
      </c>
      <c r="BZ1396" s="304">
        <f t="shared" si="424"/>
        <v>0</v>
      </c>
      <c r="CB1396" s="299">
        <v>0.6</v>
      </c>
      <c r="CC1396" s="299">
        <v>0.4</v>
      </c>
      <c r="CD1396">
        <f t="shared" si="425"/>
        <v>0</v>
      </c>
      <c r="CE1396">
        <f t="shared" si="426"/>
        <v>0</v>
      </c>
      <c r="CF1396">
        <f t="shared" si="427"/>
        <v>0</v>
      </c>
      <c r="CG1396">
        <f t="shared" si="428"/>
        <v>0</v>
      </c>
      <c r="CH1396">
        <f t="shared" si="429"/>
        <v>0</v>
      </c>
      <c r="CI1396">
        <f t="shared" si="430"/>
        <v>0</v>
      </c>
      <c r="CJ1396">
        <f t="shared" si="431"/>
        <v>0</v>
      </c>
      <c r="CK1396">
        <f t="shared" si="432"/>
        <v>0</v>
      </c>
      <c r="CL1396">
        <f t="shared" si="433"/>
        <v>0</v>
      </c>
      <c r="CM1396">
        <f t="shared" si="435"/>
        <v>0</v>
      </c>
      <c r="CN1396">
        <f t="shared" si="434"/>
        <v>0</v>
      </c>
      <c r="CO1396">
        <f t="shared" si="418"/>
        <v>0</v>
      </c>
    </row>
    <row r="1397" spans="1:93" x14ac:dyDescent="0.25">
      <c r="A1397" s="4">
        <v>2021</v>
      </c>
      <c r="B1397" s="318">
        <v>44320</v>
      </c>
      <c r="C1397" s="4" t="s">
        <v>1524</v>
      </c>
      <c r="D1397" s="4" t="s">
        <v>1525</v>
      </c>
      <c r="F1397" s="4" t="s">
        <v>1526</v>
      </c>
      <c r="G1397" s="5" t="s">
        <v>1514</v>
      </c>
      <c r="H1397" s="5" t="s">
        <v>1527</v>
      </c>
      <c r="I1397" s="5" t="s">
        <v>146</v>
      </c>
      <c r="J1397" s="5" t="s">
        <v>9</v>
      </c>
      <c r="K1397" s="5">
        <v>15.5</v>
      </c>
      <c r="L1397" s="5" t="s">
        <v>1528</v>
      </c>
      <c r="M1397" s="5">
        <v>1100</v>
      </c>
      <c r="N1397" s="5" t="s">
        <v>170</v>
      </c>
      <c r="O1397" s="6" t="s">
        <v>81</v>
      </c>
      <c r="P1397" s="6" t="s">
        <v>1530</v>
      </c>
      <c r="S1397" s="6">
        <v>15</v>
      </c>
      <c r="T1397" s="6">
        <v>4.33</v>
      </c>
      <c r="U1397" s="6">
        <v>1101</v>
      </c>
      <c r="V1397" s="6">
        <v>4.92</v>
      </c>
      <c r="W1397" s="6">
        <v>569</v>
      </c>
      <c r="X1397" s="6">
        <v>532</v>
      </c>
      <c r="Y1397" s="6">
        <v>0</v>
      </c>
      <c r="Z1397" s="6">
        <v>0</v>
      </c>
      <c r="AA1397" s="6">
        <v>0</v>
      </c>
      <c r="AB1397" s="6">
        <v>0</v>
      </c>
      <c r="AC1397" s="7">
        <v>27</v>
      </c>
      <c r="AD1397" s="7" t="s">
        <v>52</v>
      </c>
      <c r="AE1397" s="7">
        <v>8.98</v>
      </c>
      <c r="AF1397" s="7">
        <v>1100</v>
      </c>
      <c r="AG1397" s="7">
        <v>13.79</v>
      </c>
      <c r="AH1397" s="7">
        <v>12.64</v>
      </c>
      <c r="AI1397" s="7">
        <v>15.09</v>
      </c>
      <c r="AJ1397" s="9">
        <v>51.9507820291401</v>
      </c>
      <c r="AK1397" s="9">
        <v>52.982192966066499</v>
      </c>
      <c r="AL1397" s="9">
        <v>89.9213110915735</v>
      </c>
      <c r="AM1397" s="9">
        <v>13.7982651910598</v>
      </c>
      <c r="AN1397" s="9">
        <v>0.51104685892813995</v>
      </c>
      <c r="AO1397" s="9">
        <v>0.64369370507611201</v>
      </c>
      <c r="AP1397" s="9">
        <v>89.953669534388595</v>
      </c>
      <c r="AQ1397" s="9">
        <v>3.3316173901625401</v>
      </c>
      <c r="AR1397" s="9">
        <v>5.6314709769438904</v>
      </c>
      <c r="AS1397" s="8" t="s">
        <v>169</v>
      </c>
      <c r="AT1397" s="8" t="s">
        <v>169</v>
      </c>
      <c r="AU1397" s="8" t="s">
        <v>169</v>
      </c>
      <c r="AV1397" s="10">
        <v>0</v>
      </c>
      <c r="AW1397" s="8" t="s">
        <v>169</v>
      </c>
      <c r="AX1397" s="8" t="s">
        <v>169</v>
      </c>
      <c r="BF1397" s="12">
        <v>0.45</v>
      </c>
      <c r="BG1397" s="13">
        <v>70.475827568020705</v>
      </c>
      <c r="BH1397" s="96" t="str">
        <f>+VLOOKUP(G1397,Liste!$A$7:$G$50,3,FALSE)</f>
        <v>Pin d'Alep</v>
      </c>
      <c r="BI1397" s="96" t="str">
        <f>+VLOOKUP(H1397,Liste!$B$7:$G$50,5,FALSE)</f>
        <v>Pin d'Alep</v>
      </c>
      <c r="BJ1397" s="135">
        <f t="shared" si="417"/>
        <v>27</v>
      </c>
      <c r="BK1397" s="135" t="str">
        <f t="shared" si="419"/>
        <v>Pin d'Alep_F1_Dynamique_Pin d'Alep_27_</v>
      </c>
      <c r="BL1397" s="322"/>
      <c r="BM1397" s="13">
        <v>21.1119671954722</v>
      </c>
      <c r="BN1397" s="13">
        <v>91.587794763492894</v>
      </c>
      <c r="BO1397" s="12" t="s">
        <v>169</v>
      </c>
      <c r="BP1397" s="13">
        <v>133.34843814247799</v>
      </c>
      <c r="BQ1397" s="13">
        <v>5.57772705574651</v>
      </c>
      <c r="BT1397" s="298" t="str">
        <f>+VLOOKUP(G1397,Liste!$A$7:$H$50,8,FALSE)</f>
        <v>Résineux</v>
      </c>
      <c r="BU1397" s="298">
        <f t="shared" si="420"/>
        <v>0</v>
      </c>
      <c r="BV1397" s="300">
        <f t="shared" si="421"/>
        <v>1</v>
      </c>
      <c r="BW1397" s="321">
        <v>0</v>
      </c>
      <c r="BX1397" s="298">
        <f t="shared" si="422"/>
        <v>0.43</v>
      </c>
      <c r="BY1397">
        <f t="shared" si="423"/>
        <v>0</v>
      </c>
      <c r="BZ1397" s="304">
        <f t="shared" si="424"/>
        <v>0</v>
      </c>
      <c r="CB1397" s="299">
        <v>0.6</v>
      </c>
      <c r="CC1397" s="299">
        <v>0.4</v>
      </c>
      <c r="CD1397">
        <f t="shared" si="425"/>
        <v>0</v>
      </c>
      <c r="CE1397">
        <f t="shared" si="426"/>
        <v>0</v>
      </c>
      <c r="CF1397">
        <f t="shared" si="427"/>
        <v>0</v>
      </c>
      <c r="CG1397">
        <f t="shared" si="428"/>
        <v>0</v>
      </c>
      <c r="CH1397">
        <f t="shared" si="429"/>
        <v>0</v>
      </c>
      <c r="CI1397">
        <f t="shared" si="430"/>
        <v>0</v>
      </c>
      <c r="CJ1397">
        <f t="shared" si="431"/>
        <v>0</v>
      </c>
      <c r="CK1397">
        <f t="shared" si="432"/>
        <v>0</v>
      </c>
      <c r="CL1397">
        <f t="shared" si="433"/>
        <v>0</v>
      </c>
      <c r="CM1397">
        <f t="shared" si="435"/>
        <v>0</v>
      </c>
      <c r="CN1397">
        <f t="shared" si="434"/>
        <v>0</v>
      </c>
      <c r="CO1397">
        <f t="shared" si="418"/>
        <v>0</v>
      </c>
    </row>
    <row r="1398" spans="1:93" x14ac:dyDescent="0.25">
      <c r="A1398" s="4">
        <v>2021</v>
      </c>
      <c r="B1398" s="318">
        <v>44320</v>
      </c>
      <c r="C1398" s="4" t="s">
        <v>1524</v>
      </c>
      <c r="D1398" s="4" t="s">
        <v>1525</v>
      </c>
      <c r="F1398" s="4" t="s">
        <v>1526</v>
      </c>
      <c r="G1398" s="5" t="s">
        <v>1514</v>
      </c>
      <c r="H1398" s="5" t="s">
        <v>1527</v>
      </c>
      <c r="I1398" s="5" t="s">
        <v>146</v>
      </c>
      <c r="J1398" s="5" t="s">
        <v>9</v>
      </c>
      <c r="K1398" s="5">
        <v>15.5</v>
      </c>
      <c r="L1398" s="5" t="s">
        <v>1528</v>
      </c>
      <c r="M1398" s="5">
        <v>1100</v>
      </c>
      <c r="N1398" s="5" t="s">
        <v>170</v>
      </c>
      <c r="O1398" s="6" t="s">
        <v>81</v>
      </c>
      <c r="P1398" s="6" t="s">
        <v>1530</v>
      </c>
      <c r="S1398" s="6">
        <v>15</v>
      </c>
      <c r="T1398" s="6">
        <v>4.33</v>
      </c>
      <c r="U1398" s="6">
        <v>1101</v>
      </c>
      <c r="V1398" s="6">
        <v>4.92</v>
      </c>
      <c r="W1398" s="6">
        <v>569</v>
      </c>
      <c r="X1398" s="6">
        <v>532</v>
      </c>
      <c r="Y1398" s="6">
        <v>0</v>
      </c>
      <c r="Z1398" s="6">
        <v>0</v>
      </c>
      <c r="AA1398" s="6">
        <v>0</v>
      </c>
      <c r="AB1398" s="6">
        <v>0</v>
      </c>
      <c r="AC1398" s="7">
        <v>27</v>
      </c>
      <c r="AD1398" s="7" t="s">
        <v>53</v>
      </c>
      <c r="AE1398" s="7">
        <v>8.98</v>
      </c>
      <c r="AF1398" s="7">
        <v>751</v>
      </c>
      <c r="AG1398" s="7">
        <v>9.41</v>
      </c>
      <c r="AH1398" s="7">
        <v>12.63</v>
      </c>
      <c r="AI1398" s="7">
        <v>14.96</v>
      </c>
      <c r="AJ1398" s="9">
        <v>35.412682876370802</v>
      </c>
      <c r="AK1398" s="9">
        <v>36.112829160637901</v>
      </c>
      <c r="AL1398" s="9">
        <v>61.296865746125803</v>
      </c>
      <c r="AM1398" s="9">
        <v>13.7982651910598</v>
      </c>
      <c r="AN1398" s="9">
        <v>0.51104685892813995</v>
      </c>
      <c r="AO1398" s="9">
        <v>0.64369370507611201</v>
      </c>
      <c r="AP1398" s="9">
        <v>89.953669534388595</v>
      </c>
      <c r="AQ1398" s="9">
        <v>3.3316173901625401</v>
      </c>
      <c r="AR1398" s="9">
        <v>5.6314709769438904</v>
      </c>
      <c r="AS1398" s="8">
        <v>349</v>
      </c>
      <c r="AT1398" s="8">
        <v>4.379999999999999</v>
      </c>
      <c r="AU1398" s="10">
        <v>12.64094090602773</v>
      </c>
      <c r="AV1398" s="10">
        <v>16.538099152769298</v>
      </c>
      <c r="AW1398" s="10">
        <v>1</v>
      </c>
      <c r="AX1398" s="10">
        <v>4.7387103589596843E-2</v>
      </c>
      <c r="BF1398" s="12">
        <v>0.45</v>
      </c>
      <c r="BG1398" s="13">
        <v>48.041418528526101</v>
      </c>
      <c r="BH1398" s="96" t="str">
        <f>+VLOOKUP(G1398,Liste!$A$7:$G$50,3,FALSE)</f>
        <v>Pin d'Alep</v>
      </c>
      <c r="BI1398" s="96" t="str">
        <f>+VLOOKUP(H1398,Liste!$B$7:$G$50,5,FALSE)</f>
        <v>Pin d'Alep</v>
      </c>
      <c r="BJ1398" s="135">
        <f t="shared" si="417"/>
        <v>27</v>
      </c>
      <c r="BK1398" s="135" t="str">
        <f t="shared" si="419"/>
        <v>Pin d'Alep_F1_Dynamique_Pin d'Alep_27_</v>
      </c>
      <c r="BL1398" s="322"/>
      <c r="BM1398" s="13">
        <v>15.0479083071682</v>
      </c>
      <c r="BN1398" s="13">
        <v>63.089326835694301</v>
      </c>
      <c r="BO1398" s="13">
        <v>28.498467927798593</v>
      </c>
      <c r="BP1398" s="13">
        <v>133.34843814247799</v>
      </c>
      <c r="BQ1398" s="13">
        <v>5.57772705574651</v>
      </c>
      <c r="BT1398" s="298" t="str">
        <f>+VLOOKUP(G1398,Liste!$A$7:$H$50,8,FALSE)</f>
        <v>Résineux</v>
      </c>
      <c r="BU1398" s="298">
        <f t="shared" si="420"/>
        <v>0</v>
      </c>
      <c r="BV1398" s="300">
        <f t="shared" si="421"/>
        <v>1</v>
      </c>
      <c r="BW1398" s="321">
        <v>0</v>
      </c>
      <c r="BX1398" s="298">
        <f t="shared" si="422"/>
        <v>0.43</v>
      </c>
      <c r="BY1398">
        <f t="shared" si="423"/>
        <v>7.1113826356907985</v>
      </c>
      <c r="BZ1398" s="304">
        <f t="shared" si="424"/>
        <v>7.1113826356907985</v>
      </c>
      <c r="CB1398" s="299">
        <v>0.6</v>
      </c>
      <c r="CC1398" s="299">
        <v>0.4</v>
      </c>
      <c r="CD1398">
        <f t="shared" si="425"/>
        <v>0</v>
      </c>
      <c r="CE1398">
        <f t="shared" si="426"/>
        <v>9.922859491661578</v>
      </c>
      <c r="CF1398">
        <f t="shared" si="427"/>
        <v>6.6152396611077195</v>
      </c>
      <c r="CG1398">
        <f t="shared" si="428"/>
        <v>0</v>
      </c>
      <c r="CH1398">
        <f t="shared" si="429"/>
        <v>7.7770411265897614</v>
      </c>
      <c r="CI1398">
        <f t="shared" si="430"/>
        <v>5.1846940843931746</v>
      </c>
      <c r="CJ1398">
        <f t="shared" si="431"/>
        <v>0</v>
      </c>
      <c r="CK1398">
        <f t="shared" si="432"/>
        <v>0</v>
      </c>
      <c r="CL1398">
        <f t="shared" si="433"/>
        <v>0</v>
      </c>
      <c r="CM1398">
        <f t="shared" si="435"/>
        <v>0</v>
      </c>
      <c r="CN1398">
        <f t="shared" si="434"/>
        <v>0</v>
      </c>
      <c r="CO1398">
        <f t="shared" si="418"/>
        <v>0</v>
      </c>
    </row>
    <row r="1399" spans="1:93" x14ac:dyDescent="0.25">
      <c r="A1399" s="4">
        <v>2021</v>
      </c>
      <c r="B1399" s="318">
        <v>44320</v>
      </c>
      <c r="C1399" s="4" t="s">
        <v>1524</v>
      </c>
      <c r="D1399" s="4" t="s">
        <v>1525</v>
      </c>
      <c r="F1399" s="4" t="s">
        <v>1526</v>
      </c>
      <c r="G1399" s="5" t="s">
        <v>1514</v>
      </c>
      <c r="H1399" s="5" t="s">
        <v>1527</v>
      </c>
      <c r="I1399" s="5" t="s">
        <v>146</v>
      </c>
      <c r="J1399" s="5" t="s">
        <v>9</v>
      </c>
      <c r="K1399" s="5">
        <v>15.5</v>
      </c>
      <c r="L1399" s="5" t="s">
        <v>1528</v>
      </c>
      <c r="M1399" s="5">
        <v>1100</v>
      </c>
      <c r="N1399" s="5" t="s">
        <v>170</v>
      </c>
      <c r="O1399" s="6" t="s">
        <v>81</v>
      </c>
      <c r="P1399" s="6" t="s">
        <v>1530</v>
      </c>
      <c r="S1399" s="6">
        <v>15</v>
      </c>
      <c r="T1399" s="6">
        <v>4.33</v>
      </c>
      <c r="U1399" s="6">
        <v>1101</v>
      </c>
      <c r="V1399" s="6">
        <v>4.92</v>
      </c>
      <c r="W1399" s="6">
        <v>569</v>
      </c>
      <c r="X1399" s="6">
        <v>532</v>
      </c>
      <c r="Y1399" s="6">
        <v>0</v>
      </c>
      <c r="Z1399" s="6">
        <v>0</v>
      </c>
      <c r="AA1399" s="6">
        <v>0</v>
      </c>
      <c r="AB1399" s="6">
        <v>0</v>
      </c>
      <c r="AC1399" s="7">
        <v>28</v>
      </c>
      <c r="AD1399" s="7" t="s">
        <v>52</v>
      </c>
      <c r="AE1399" s="7">
        <v>9.33</v>
      </c>
      <c r="AF1399" s="7">
        <v>751</v>
      </c>
      <c r="AG1399" s="7">
        <v>10.050000000000001</v>
      </c>
      <c r="AH1399" s="7">
        <v>13.05</v>
      </c>
      <c r="AI1399" s="7">
        <v>15.42</v>
      </c>
      <c r="AJ1399" s="9">
        <v>39.347832034782002</v>
      </c>
      <c r="AK1399" s="9">
        <v>40.128687363574599</v>
      </c>
      <c r="AL1399" s="9">
        <v>66.928336723069705</v>
      </c>
      <c r="AM1399" s="9">
        <v>14.441958896135899</v>
      </c>
      <c r="AN1399" s="9">
        <v>0.51578424629056796</v>
      </c>
      <c r="AO1399" s="9">
        <v>0.65508910200671799</v>
      </c>
      <c r="AP1399" s="9">
        <v>95.585140511332497</v>
      </c>
      <c r="AQ1399" s="9">
        <v>3.4137550182618699</v>
      </c>
      <c r="AR1399" s="9">
        <v>5.7852201050834999</v>
      </c>
      <c r="AS1399" s="8" t="s">
        <v>169</v>
      </c>
      <c r="AT1399" s="8" t="s">
        <v>169</v>
      </c>
      <c r="AU1399" s="10" t="s">
        <v>169</v>
      </c>
      <c r="AV1399" s="10">
        <v>0</v>
      </c>
      <c r="AW1399" s="10" t="s">
        <v>169</v>
      </c>
      <c r="AX1399" s="10" t="s">
        <v>169</v>
      </c>
      <c r="BF1399" s="12">
        <v>0.45</v>
      </c>
      <c r="BG1399" s="13">
        <v>52.455083906705902</v>
      </c>
      <c r="BH1399" s="96" t="str">
        <f>+VLOOKUP(G1399,Liste!$A$7:$G$50,3,FALSE)</f>
        <v>Pin d'Alep</v>
      </c>
      <c r="BI1399" s="96" t="str">
        <f>+VLOOKUP(H1399,Liste!$B$7:$G$50,5,FALSE)</f>
        <v>Pin d'Alep</v>
      </c>
      <c r="BJ1399" s="135">
        <f t="shared" si="417"/>
        <v>28</v>
      </c>
      <c r="BK1399" s="135" t="str">
        <f t="shared" si="419"/>
        <v>Pin d'Alep_F1_Dynamique_Pin d'Alep_28_</v>
      </c>
      <c r="BL1399" s="322"/>
      <c r="BM1399" s="13">
        <v>16.263151457654001</v>
      </c>
      <c r="BN1399" s="13">
        <v>68.718235364359899</v>
      </c>
      <c r="BO1399" s="13" t="s">
        <v>169</v>
      </c>
      <c r="BP1399" s="13">
        <v>133.34843814247799</v>
      </c>
      <c r="BQ1399" s="13">
        <v>5.7217242763842204</v>
      </c>
      <c r="BT1399" s="298" t="str">
        <f>+VLOOKUP(G1399,Liste!$A$7:$H$50,8,FALSE)</f>
        <v>Résineux</v>
      </c>
      <c r="BU1399" s="298">
        <f t="shared" si="420"/>
        <v>0</v>
      </c>
      <c r="BV1399" s="300">
        <f t="shared" si="421"/>
        <v>1</v>
      </c>
      <c r="BW1399" s="321">
        <v>0</v>
      </c>
      <c r="BX1399" s="298">
        <f t="shared" si="422"/>
        <v>0.43</v>
      </c>
      <c r="BY1399">
        <f t="shared" si="423"/>
        <v>0</v>
      </c>
      <c r="BZ1399" s="304">
        <f t="shared" si="424"/>
        <v>7.1113826356907985</v>
      </c>
      <c r="CB1399" s="299">
        <v>0.6</v>
      </c>
      <c r="CC1399" s="299">
        <v>0.4</v>
      </c>
      <c r="CD1399">
        <f t="shared" si="425"/>
        <v>0</v>
      </c>
      <c r="CE1399">
        <f t="shared" si="426"/>
        <v>0</v>
      </c>
      <c r="CF1399">
        <f t="shared" si="427"/>
        <v>0</v>
      </c>
      <c r="CG1399">
        <f t="shared" si="428"/>
        <v>0</v>
      </c>
      <c r="CH1399">
        <f t="shared" si="429"/>
        <v>0</v>
      </c>
      <c r="CI1399">
        <f t="shared" si="430"/>
        <v>0</v>
      </c>
      <c r="CJ1399">
        <f t="shared" si="431"/>
        <v>0</v>
      </c>
      <c r="CK1399">
        <f t="shared" si="432"/>
        <v>7.6702179763473577</v>
      </c>
      <c r="CL1399">
        <f t="shared" si="433"/>
        <v>4.3816429801077525</v>
      </c>
      <c r="CM1399">
        <f t="shared" si="435"/>
        <v>12.05186095645511</v>
      </c>
      <c r="CN1399">
        <f t="shared" si="434"/>
        <v>12.05186095645511</v>
      </c>
      <c r="CO1399">
        <f t="shared" si="418"/>
        <v>0</v>
      </c>
    </row>
    <row r="1400" spans="1:93" x14ac:dyDescent="0.25">
      <c r="A1400" s="4">
        <v>2021</v>
      </c>
      <c r="B1400" s="318">
        <v>44320</v>
      </c>
      <c r="C1400" s="4" t="s">
        <v>1524</v>
      </c>
      <c r="D1400" s="4" t="s">
        <v>1525</v>
      </c>
      <c r="F1400" s="4" t="s">
        <v>1526</v>
      </c>
      <c r="G1400" s="5" t="s">
        <v>1514</v>
      </c>
      <c r="H1400" s="5" t="s">
        <v>1527</v>
      </c>
      <c r="I1400" s="5" t="s">
        <v>146</v>
      </c>
      <c r="J1400" s="5" t="s">
        <v>9</v>
      </c>
      <c r="K1400" s="5">
        <v>15.5</v>
      </c>
      <c r="L1400" s="5" t="s">
        <v>1528</v>
      </c>
      <c r="M1400" s="5">
        <v>1100</v>
      </c>
      <c r="N1400" s="5" t="s">
        <v>170</v>
      </c>
      <c r="O1400" s="6" t="s">
        <v>81</v>
      </c>
      <c r="P1400" s="6" t="s">
        <v>1530</v>
      </c>
      <c r="S1400" s="6">
        <v>15</v>
      </c>
      <c r="T1400" s="6">
        <v>4.33</v>
      </c>
      <c r="U1400" s="6">
        <v>1101</v>
      </c>
      <c r="V1400" s="6">
        <v>4.92</v>
      </c>
      <c r="W1400" s="6">
        <v>569</v>
      </c>
      <c r="X1400" s="6">
        <v>532</v>
      </c>
      <c r="Y1400" s="6">
        <v>0</v>
      </c>
      <c r="Z1400" s="6">
        <v>0</v>
      </c>
      <c r="AA1400" s="6">
        <v>0</v>
      </c>
      <c r="AB1400" s="6">
        <v>0</v>
      </c>
      <c r="AC1400" s="7">
        <v>29</v>
      </c>
      <c r="AD1400" s="7" t="s">
        <v>52</v>
      </c>
      <c r="AE1400" s="7">
        <v>9.67</v>
      </c>
      <c r="AF1400" s="7">
        <v>751</v>
      </c>
      <c r="AG1400" s="7">
        <v>10.71</v>
      </c>
      <c r="AH1400" s="7">
        <v>13.47</v>
      </c>
      <c r="AI1400" s="7">
        <v>15.88</v>
      </c>
      <c r="AJ1400" s="9">
        <v>43.383455207206502</v>
      </c>
      <c r="AK1400" s="9">
        <v>44.254683646800999</v>
      </c>
      <c r="AL1400" s="9">
        <v>72.713556828153202</v>
      </c>
      <c r="AM1400" s="9">
        <v>15.0970479981426</v>
      </c>
      <c r="AN1400" s="9">
        <v>0.52058786200491802</v>
      </c>
      <c r="AO1400" s="9">
        <v>0.66659943410455502</v>
      </c>
      <c r="AP1400" s="9">
        <v>101.37036061641599</v>
      </c>
      <c r="AQ1400" s="9">
        <v>3.4955296764281401</v>
      </c>
      <c r="AR1400" s="9">
        <v>6.0326229517918497</v>
      </c>
      <c r="AS1400" s="8" t="s">
        <v>169</v>
      </c>
      <c r="AT1400" s="8" t="s">
        <v>169</v>
      </c>
      <c r="AU1400" s="10" t="s">
        <v>169</v>
      </c>
      <c r="AV1400" s="10">
        <v>0</v>
      </c>
      <c r="AW1400" s="10" t="s">
        <v>169</v>
      </c>
      <c r="AX1400" s="10" t="s">
        <v>169</v>
      </c>
      <c r="BF1400" s="12">
        <v>0.45</v>
      </c>
      <c r="BG1400" s="13">
        <v>56.989250164065098</v>
      </c>
      <c r="BH1400" s="96" t="str">
        <f>+VLOOKUP(G1400,Liste!$A$7:$G$50,3,FALSE)</f>
        <v>Pin d'Alep</v>
      </c>
      <c r="BI1400" s="96" t="str">
        <f>+VLOOKUP(H1400,Liste!$B$7:$G$50,5,FALSE)</f>
        <v>Pin d'Alep</v>
      </c>
      <c r="BJ1400" s="135">
        <f t="shared" si="417"/>
        <v>29</v>
      </c>
      <c r="BK1400" s="135" t="str">
        <f t="shared" si="419"/>
        <v>Pin d'Alep_F1_Dynamique_Pin d'Alep_29_</v>
      </c>
      <c r="BL1400" s="322"/>
      <c r="BM1400" s="13">
        <v>17.499234048166802</v>
      </c>
      <c r="BN1400" s="13">
        <v>74.488484212231896</v>
      </c>
      <c r="BO1400" s="13" t="s">
        <v>169</v>
      </c>
      <c r="BP1400" s="13">
        <v>133.34843814247799</v>
      </c>
      <c r="BQ1400" s="13">
        <v>5.9580400063666996</v>
      </c>
      <c r="BT1400" s="298" t="str">
        <f>+VLOOKUP(G1400,Liste!$A$7:$H$50,8,FALSE)</f>
        <v>Résineux</v>
      </c>
      <c r="BU1400" s="298">
        <f t="shared" si="420"/>
        <v>0</v>
      </c>
      <c r="BV1400" s="300">
        <f t="shared" si="421"/>
        <v>1</v>
      </c>
      <c r="BW1400" s="321">
        <v>0</v>
      </c>
      <c r="BX1400" s="298">
        <f t="shared" si="422"/>
        <v>0.43</v>
      </c>
      <c r="BY1400">
        <f t="shared" si="423"/>
        <v>0</v>
      </c>
      <c r="BZ1400" s="304">
        <f t="shared" si="424"/>
        <v>7.1113826356907985</v>
      </c>
      <c r="CB1400" s="299">
        <v>0.6</v>
      </c>
      <c r="CC1400" s="299">
        <v>0.4</v>
      </c>
      <c r="CD1400">
        <f t="shared" si="425"/>
        <v>0</v>
      </c>
      <c r="CE1400">
        <f t="shared" si="426"/>
        <v>0</v>
      </c>
      <c r="CF1400">
        <f t="shared" si="427"/>
        <v>0</v>
      </c>
      <c r="CG1400">
        <f t="shared" si="428"/>
        <v>0</v>
      </c>
      <c r="CH1400">
        <f t="shared" si="429"/>
        <v>0</v>
      </c>
      <c r="CI1400">
        <f t="shared" si="430"/>
        <v>0</v>
      </c>
      <c r="CJ1400">
        <f t="shared" si="431"/>
        <v>0</v>
      </c>
      <c r="CK1400">
        <f t="shared" si="432"/>
        <v>7.4604754624249061</v>
      </c>
      <c r="CL1400">
        <f t="shared" si="433"/>
        <v>3.0982894639726246</v>
      </c>
      <c r="CM1400">
        <f t="shared" si="435"/>
        <v>10.558764926397531</v>
      </c>
      <c r="CN1400">
        <f t="shared" si="434"/>
        <v>22.610625882852641</v>
      </c>
      <c r="CO1400">
        <f t="shared" si="418"/>
        <v>0</v>
      </c>
    </row>
    <row r="1401" spans="1:93" x14ac:dyDescent="0.25">
      <c r="A1401" s="4">
        <v>2021</v>
      </c>
      <c r="B1401" s="318">
        <v>44320</v>
      </c>
      <c r="C1401" s="4" t="s">
        <v>1524</v>
      </c>
      <c r="D1401" s="4" t="s">
        <v>1525</v>
      </c>
      <c r="F1401" s="4" t="s">
        <v>1526</v>
      </c>
      <c r="G1401" s="5" t="s">
        <v>1514</v>
      </c>
      <c r="H1401" s="5" t="s">
        <v>1527</v>
      </c>
      <c r="I1401" s="5" t="s">
        <v>146</v>
      </c>
      <c r="J1401" s="5" t="s">
        <v>9</v>
      </c>
      <c r="K1401" s="5">
        <v>15.5</v>
      </c>
      <c r="L1401" s="5" t="s">
        <v>1528</v>
      </c>
      <c r="M1401" s="5">
        <v>1100</v>
      </c>
      <c r="N1401" s="5" t="s">
        <v>170</v>
      </c>
      <c r="O1401" s="6" t="s">
        <v>81</v>
      </c>
      <c r="P1401" s="6" t="s">
        <v>1530</v>
      </c>
      <c r="S1401" s="6">
        <v>15</v>
      </c>
      <c r="T1401" s="6">
        <v>4.33</v>
      </c>
      <c r="U1401" s="6">
        <v>1101</v>
      </c>
      <c r="V1401" s="6">
        <v>4.92</v>
      </c>
      <c r="W1401" s="6">
        <v>569</v>
      </c>
      <c r="X1401" s="6">
        <v>532</v>
      </c>
      <c r="Y1401" s="6">
        <v>0</v>
      </c>
      <c r="Z1401" s="6">
        <v>0</v>
      </c>
      <c r="AA1401" s="6">
        <v>0</v>
      </c>
      <c r="AB1401" s="6">
        <v>0</v>
      </c>
      <c r="AC1401" s="7">
        <v>30</v>
      </c>
      <c r="AD1401" s="7" t="s">
        <v>52</v>
      </c>
      <c r="AE1401" s="7">
        <v>10</v>
      </c>
      <c r="AF1401" s="7">
        <v>751</v>
      </c>
      <c r="AG1401" s="7">
        <v>11.37</v>
      </c>
      <c r="AH1401" s="7">
        <v>13.88</v>
      </c>
      <c r="AI1401" s="7">
        <v>16.329999999999998</v>
      </c>
      <c r="AJ1401" s="9">
        <v>47.678734007338598</v>
      </c>
      <c r="AK1401" s="9">
        <v>48.640560232507397</v>
      </c>
      <c r="AL1401" s="9">
        <v>78.746179779945095</v>
      </c>
      <c r="AM1401" s="9">
        <v>15.7636474322472</v>
      </c>
      <c r="AN1401" s="9">
        <v>0.52545491440823899</v>
      </c>
      <c r="AO1401" s="9">
        <v>0.67566534793650701</v>
      </c>
      <c r="AP1401" s="9">
        <v>107.402983568208</v>
      </c>
      <c r="AQ1401" s="9">
        <v>3.5800994522735898</v>
      </c>
      <c r="AR1401" s="9">
        <v>6.2499769430231602</v>
      </c>
      <c r="AS1401" s="8" t="s">
        <v>169</v>
      </c>
      <c r="AT1401" s="8" t="s">
        <v>169</v>
      </c>
      <c r="AU1401" s="10" t="s">
        <v>169</v>
      </c>
      <c r="AV1401" s="10">
        <v>0</v>
      </c>
      <c r="AW1401" s="10" t="s">
        <v>169</v>
      </c>
      <c r="AX1401" s="10" t="s">
        <v>169</v>
      </c>
      <c r="BF1401" s="12">
        <v>0.45</v>
      </c>
      <c r="BG1401" s="13">
        <v>61.717318402532001</v>
      </c>
      <c r="BH1401" s="96" t="str">
        <f>+VLOOKUP(G1401,Liste!$A$7:$G$50,3,FALSE)</f>
        <v>Pin d'Alep</v>
      </c>
      <c r="BI1401" s="96" t="str">
        <f>+VLOOKUP(H1401,Liste!$B$7:$G$50,5,FALSE)</f>
        <v>Pin d'Alep</v>
      </c>
      <c r="BJ1401" s="135">
        <f t="shared" si="417"/>
        <v>30</v>
      </c>
      <c r="BK1401" s="135" t="str">
        <f t="shared" si="419"/>
        <v>Pin d'Alep_F1_Dynamique_Pin d'Alep_30_</v>
      </c>
      <c r="BL1401" s="322"/>
      <c r="BM1401" s="13">
        <v>18.776042646264699</v>
      </c>
      <c r="BN1401" s="13">
        <v>80.4933610487967</v>
      </c>
      <c r="BO1401" s="13" t="s">
        <v>169</v>
      </c>
      <c r="BP1401" s="13">
        <v>133.34843814247799</v>
      </c>
      <c r="BQ1401" s="13">
        <v>6.1642546082371998</v>
      </c>
      <c r="BT1401" s="298" t="str">
        <f>+VLOOKUP(G1401,Liste!$A$7:$H$50,8,FALSE)</f>
        <v>Résineux</v>
      </c>
      <c r="BU1401" s="298">
        <f t="shared" si="420"/>
        <v>0</v>
      </c>
      <c r="BV1401" s="300">
        <f t="shared" si="421"/>
        <v>1</v>
      </c>
      <c r="BW1401" s="321">
        <v>0</v>
      </c>
      <c r="BX1401" s="298">
        <f t="shared" si="422"/>
        <v>0.43</v>
      </c>
      <c r="BY1401">
        <f t="shared" si="423"/>
        <v>0</v>
      </c>
      <c r="BZ1401" s="304">
        <f t="shared" si="424"/>
        <v>7.1113826356907985</v>
      </c>
      <c r="CB1401" s="299">
        <v>0.6</v>
      </c>
      <c r="CC1401" s="299">
        <v>0.4</v>
      </c>
      <c r="CD1401">
        <f t="shared" si="425"/>
        <v>0</v>
      </c>
      <c r="CE1401">
        <f t="shared" si="426"/>
        <v>0</v>
      </c>
      <c r="CF1401">
        <f t="shared" si="427"/>
        <v>0</v>
      </c>
      <c r="CG1401">
        <f t="shared" si="428"/>
        <v>0</v>
      </c>
      <c r="CH1401">
        <f t="shared" si="429"/>
        <v>0</v>
      </c>
      <c r="CI1401">
        <f t="shared" si="430"/>
        <v>0</v>
      </c>
      <c r="CJ1401">
        <f t="shared" si="431"/>
        <v>0</v>
      </c>
      <c r="CK1401">
        <f t="shared" si="432"/>
        <v>7.2564683685755433</v>
      </c>
      <c r="CL1401">
        <f t="shared" si="433"/>
        <v>2.1908214900538763</v>
      </c>
      <c r="CM1401">
        <f t="shared" si="435"/>
        <v>9.4472898586294196</v>
      </c>
      <c r="CN1401">
        <f t="shared" si="434"/>
        <v>32.057915741482063</v>
      </c>
      <c r="CO1401">
        <f t="shared" si="418"/>
        <v>1.0685971913827355</v>
      </c>
    </row>
    <row r="1402" spans="1:93" x14ac:dyDescent="0.25">
      <c r="A1402" s="4">
        <v>2021</v>
      </c>
      <c r="B1402" s="318">
        <v>44320</v>
      </c>
      <c r="C1402" s="4" t="s">
        <v>1524</v>
      </c>
      <c r="D1402" s="4" t="s">
        <v>1525</v>
      </c>
      <c r="F1402" s="4" t="s">
        <v>1526</v>
      </c>
      <c r="G1402" s="5" t="s">
        <v>1514</v>
      </c>
      <c r="H1402" s="5" t="s">
        <v>1527</v>
      </c>
      <c r="I1402" s="5" t="s">
        <v>146</v>
      </c>
      <c r="J1402" s="5" t="s">
        <v>9</v>
      </c>
      <c r="K1402" s="5">
        <v>15.5</v>
      </c>
      <c r="L1402" s="5" t="s">
        <v>1528</v>
      </c>
      <c r="M1402" s="5">
        <v>1100</v>
      </c>
      <c r="N1402" s="5" t="s">
        <v>170</v>
      </c>
      <c r="O1402" s="6" t="s">
        <v>81</v>
      </c>
      <c r="P1402" s="6" t="s">
        <v>1530</v>
      </c>
      <c r="S1402" s="6">
        <v>15</v>
      </c>
      <c r="T1402" s="6">
        <v>4.33</v>
      </c>
      <c r="U1402" s="6">
        <v>1101</v>
      </c>
      <c r="V1402" s="6">
        <v>4.92</v>
      </c>
      <c r="W1402" s="6">
        <v>569</v>
      </c>
      <c r="X1402" s="6">
        <v>532</v>
      </c>
      <c r="Y1402" s="6">
        <v>0</v>
      </c>
      <c r="Z1402" s="6">
        <v>0</v>
      </c>
      <c r="AA1402" s="6">
        <v>0</v>
      </c>
      <c r="AB1402" s="6">
        <v>0</v>
      </c>
      <c r="AC1402" s="7">
        <v>31</v>
      </c>
      <c r="AD1402" s="7" t="s">
        <v>52</v>
      </c>
      <c r="AE1402" s="7">
        <v>10.33</v>
      </c>
      <c r="AF1402" s="7">
        <v>751</v>
      </c>
      <c r="AG1402" s="7">
        <v>12.05</v>
      </c>
      <c r="AH1402" s="7">
        <v>14.29</v>
      </c>
      <c r="AI1402" s="7">
        <v>16.78</v>
      </c>
      <c r="AJ1402" s="9">
        <v>52.224546360593799</v>
      </c>
      <c r="AK1402" s="9">
        <v>53.276339868275997</v>
      </c>
      <c r="AL1402" s="9">
        <v>84.996156722968195</v>
      </c>
      <c r="AM1402" s="9">
        <v>16.439312780183698</v>
      </c>
      <c r="AN1402" s="9">
        <v>0.53030041226398905</v>
      </c>
      <c r="AO1402" s="9">
        <v>0.68467315015833896</v>
      </c>
      <c r="AP1402" s="9">
        <v>113.652960511231</v>
      </c>
      <c r="AQ1402" s="9">
        <v>3.66622453262036</v>
      </c>
      <c r="AR1402" s="9">
        <v>6.4868091071622</v>
      </c>
      <c r="AS1402" s="8" t="s">
        <v>169</v>
      </c>
      <c r="AT1402" s="8" t="s">
        <v>169</v>
      </c>
      <c r="AU1402" s="10" t="s">
        <v>169</v>
      </c>
      <c r="AV1402" s="10">
        <v>0</v>
      </c>
      <c r="AW1402" s="10" t="s">
        <v>169</v>
      </c>
      <c r="AX1402" s="10" t="s">
        <v>169</v>
      </c>
      <c r="BF1402" s="12">
        <v>0.45</v>
      </c>
      <c r="BG1402" s="13">
        <v>66.615737831626305</v>
      </c>
      <c r="BH1402" s="96" t="str">
        <f>+VLOOKUP(G1402,Liste!$A$7:$G$50,3,FALSE)</f>
        <v>Pin d'Alep</v>
      </c>
      <c r="BI1402" s="96" t="str">
        <f>+VLOOKUP(H1402,Liste!$B$7:$G$50,5,FALSE)</f>
        <v>Pin d'Alep</v>
      </c>
      <c r="BJ1402" s="135">
        <f t="shared" si="417"/>
        <v>31</v>
      </c>
      <c r="BK1402" s="135" t="str">
        <f t="shared" si="419"/>
        <v>Pin d'Alep_F1_Dynamique_Pin d'Alep_31_</v>
      </c>
      <c r="BL1402" s="322"/>
      <c r="BM1402" s="13">
        <v>20.086898892115201</v>
      </c>
      <c r="BN1402" s="13">
        <v>86.702636723741506</v>
      </c>
      <c r="BO1402" s="13" t="s">
        <v>169</v>
      </c>
      <c r="BP1402" s="13">
        <v>133.34843814247799</v>
      </c>
      <c r="BQ1402" s="13">
        <v>6.3892986923424901</v>
      </c>
      <c r="BT1402" s="298" t="str">
        <f>+VLOOKUP(G1402,Liste!$A$7:$H$50,8,FALSE)</f>
        <v>Résineux</v>
      </c>
      <c r="BU1402" s="298">
        <f t="shared" si="420"/>
        <v>0</v>
      </c>
      <c r="BV1402" s="300">
        <f t="shared" si="421"/>
        <v>1</v>
      </c>
      <c r="BW1402" s="321">
        <v>0</v>
      </c>
      <c r="BX1402" s="298">
        <f t="shared" si="422"/>
        <v>0.43</v>
      </c>
      <c r="BY1402">
        <f t="shared" si="423"/>
        <v>0</v>
      </c>
      <c r="BZ1402" s="304">
        <f t="shared" si="424"/>
        <v>0</v>
      </c>
      <c r="CB1402" s="299">
        <v>0.6</v>
      </c>
      <c r="CC1402" s="299">
        <v>0.4</v>
      </c>
      <c r="CD1402">
        <f t="shared" si="425"/>
        <v>0</v>
      </c>
      <c r="CE1402">
        <f t="shared" si="426"/>
        <v>0</v>
      </c>
      <c r="CF1402">
        <f t="shared" si="427"/>
        <v>0</v>
      </c>
      <c r="CG1402">
        <f t="shared" si="428"/>
        <v>0</v>
      </c>
      <c r="CH1402">
        <f t="shared" si="429"/>
        <v>0</v>
      </c>
      <c r="CI1402">
        <f t="shared" si="430"/>
        <v>0</v>
      </c>
      <c r="CJ1402">
        <f t="shared" si="431"/>
        <v>0</v>
      </c>
      <c r="CK1402">
        <f t="shared" si="432"/>
        <v>7.0580398594357581</v>
      </c>
      <c r="CL1402">
        <f t="shared" si="433"/>
        <v>1.5491447319863123</v>
      </c>
      <c r="CM1402">
        <f t="shared" si="435"/>
        <v>8.6071845914220706</v>
      </c>
      <c r="CN1402">
        <f t="shared" si="434"/>
        <v>40.665100332904132</v>
      </c>
      <c r="CO1402">
        <f t="shared" si="418"/>
        <v>0</v>
      </c>
    </row>
    <row r="1403" spans="1:93" x14ac:dyDescent="0.25">
      <c r="A1403" s="4">
        <v>2021</v>
      </c>
      <c r="B1403" s="318">
        <v>44320</v>
      </c>
      <c r="C1403" s="4" t="s">
        <v>1524</v>
      </c>
      <c r="D1403" s="4" t="s">
        <v>1525</v>
      </c>
      <c r="F1403" s="4" t="s">
        <v>1526</v>
      </c>
      <c r="G1403" s="5" t="s">
        <v>1514</v>
      </c>
      <c r="H1403" s="5" t="s">
        <v>1527</v>
      </c>
      <c r="I1403" s="5" t="s">
        <v>146</v>
      </c>
      <c r="J1403" s="5" t="s">
        <v>9</v>
      </c>
      <c r="K1403" s="5">
        <v>15.5</v>
      </c>
      <c r="L1403" s="5" t="s">
        <v>1528</v>
      </c>
      <c r="M1403" s="5">
        <v>1100</v>
      </c>
      <c r="N1403" s="5" t="s">
        <v>170</v>
      </c>
      <c r="O1403" s="6" t="s">
        <v>81</v>
      </c>
      <c r="P1403" s="6" t="s">
        <v>1530</v>
      </c>
      <c r="S1403" s="6">
        <v>15</v>
      </c>
      <c r="T1403" s="6">
        <v>4.33</v>
      </c>
      <c r="U1403" s="6">
        <v>1101</v>
      </c>
      <c r="V1403" s="6">
        <v>4.92</v>
      </c>
      <c r="W1403" s="6">
        <v>569</v>
      </c>
      <c r="X1403" s="6">
        <v>532</v>
      </c>
      <c r="Y1403" s="6">
        <v>0</v>
      </c>
      <c r="Z1403" s="6">
        <v>0</v>
      </c>
      <c r="AA1403" s="6">
        <v>0</v>
      </c>
      <c r="AB1403" s="6">
        <v>0</v>
      </c>
      <c r="AC1403" s="7">
        <v>32</v>
      </c>
      <c r="AD1403" s="7" t="s">
        <v>52</v>
      </c>
      <c r="AE1403" s="7">
        <v>10.66</v>
      </c>
      <c r="AF1403" s="7">
        <v>751</v>
      </c>
      <c r="AG1403" s="7">
        <v>12.73</v>
      </c>
      <c r="AH1403" s="7">
        <v>14.69</v>
      </c>
      <c r="AI1403" s="7">
        <v>17.23</v>
      </c>
      <c r="AJ1403" s="9">
        <v>56.966254226058297</v>
      </c>
      <c r="AK1403" s="9">
        <v>58.113499474569402</v>
      </c>
      <c r="AL1403" s="9">
        <v>91.482965830130397</v>
      </c>
      <c r="AM1403" s="9">
        <v>17.123985930341998</v>
      </c>
      <c r="AN1403" s="9">
        <v>0.535124560323188</v>
      </c>
      <c r="AO1403" s="9">
        <v>0.69255422017497603</v>
      </c>
      <c r="AP1403" s="9">
        <v>120.139769618393</v>
      </c>
      <c r="AQ1403" s="9">
        <v>3.7543678005747898</v>
      </c>
      <c r="AR1403" s="9">
        <v>6.7129890675363599</v>
      </c>
      <c r="AS1403" s="8" t="s">
        <v>169</v>
      </c>
      <c r="AT1403" s="8" t="s">
        <v>169</v>
      </c>
      <c r="AU1403" s="10" t="s">
        <v>169</v>
      </c>
      <c r="AV1403" s="10">
        <v>0</v>
      </c>
      <c r="AW1403" s="10" t="s">
        <v>169</v>
      </c>
      <c r="AX1403" s="10" t="s">
        <v>169</v>
      </c>
      <c r="BF1403" s="12">
        <v>0.45</v>
      </c>
      <c r="BG1403" s="13">
        <v>71.699774469364698</v>
      </c>
      <c r="BH1403" s="96" t="str">
        <f>+VLOOKUP(G1403,Liste!$A$7:$G$50,3,FALSE)</f>
        <v>Pin d'Alep</v>
      </c>
      <c r="BI1403" s="96" t="str">
        <f>+VLOOKUP(H1403,Liste!$B$7:$G$50,5,FALSE)</f>
        <v>Pin d'Alep</v>
      </c>
      <c r="BJ1403" s="135">
        <f t="shared" si="417"/>
        <v>32</v>
      </c>
      <c r="BK1403" s="135" t="str">
        <f t="shared" si="419"/>
        <v>Pin d'Alep_F1_Dynamique_Pin d'Alep_32_</v>
      </c>
      <c r="BL1403" s="322"/>
      <c r="BM1403" s="13">
        <v>21.435613333920902</v>
      </c>
      <c r="BN1403" s="13">
        <v>93.135387803285695</v>
      </c>
      <c r="BO1403" s="13" t="s">
        <v>169</v>
      </c>
      <c r="BP1403" s="13">
        <v>133.34843814247799</v>
      </c>
      <c r="BQ1403" s="13">
        <v>6.6034697643146201</v>
      </c>
      <c r="BT1403" s="298" t="str">
        <f>+VLOOKUP(G1403,Liste!$A$7:$H$50,8,FALSE)</f>
        <v>Résineux</v>
      </c>
      <c r="BU1403" s="298">
        <f t="shared" si="420"/>
        <v>0</v>
      </c>
      <c r="BV1403" s="300">
        <f t="shared" si="421"/>
        <v>1</v>
      </c>
      <c r="BW1403" s="321">
        <v>0</v>
      </c>
      <c r="BX1403" s="298">
        <f t="shared" si="422"/>
        <v>0.43</v>
      </c>
      <c r="BY1403">
        <f t="shared" si="423"/>
        <v>0</v>
      </c>
      <c r="BZ1403" s="304">
        <f t="shared" si="424"/>
        <v>0</v>
      </c>
      <c r="CB1403" s="299">
        <v>0.6</v>
      </c>
      <c r="CC1403" s="299">
        <v>0.4</v>
      </c>
      <c r="CD1403">
        <f t="shared" si="425"/>
        <v>0</v>
      </c>
      <c r="CE1403">
        <f t="shared" si="426"/>
        <v>0</v>
      </c>
      <c r="CF1403">
        <f t="shared" si="427"/>
        <v>0</v>
      </c>
      <c r="CG1403">
        <f t="shared" si="428"/>
        <v>0</v>
      </c>
      <c r="CH1403">
        <f t="shared" si="429"/>
        <v>0</v>
      </c>
      <c r="CI1403">
        <f t="shared" si="430"/>
        <v>0</v>
      </c>
      <c r="CJ1403">
        <f t="shared" si="431"/>
        <v>0</v>
      </c>
      <c r="CK1403">
        <f t="shared" si="432"/>
        <v>0</v>
      </c>
      <c r="CL1403">
        <f t="shared" si="433"/>
        <v>0</v>
      </c>
      <c r="CM1403">
        <f t="shared" si="435"/>
        <v>0</v>
      </c>
      <c r="CN1403">
        <f t="shared" si="434"/>
        <v>0</v>
      </c>
      <c r="CO1403">
        <f t="shared" si="418"/>
        <v>0</v>
      </c>
    </row>
    <row r="1404" spans="1:93" x14ac:dyDescent="0.25">
      <c r="A1404" s="4">
        <v>2021</v>
      </c>
      <c r="B1404" s="318">
        <v>44320</v>
      </c>
      <c r="C1404" s="4" t="s">
        <v>1524</v>
      </c>
      <c r="D1404" s="4" t="s">
        <v>1525</v>
      </c>
      <c r="F1404" s="4" t="s">
        <v>1526</v>
      </c>
      <c r="G1404" s="5" t="s">
        <v>1514</v>
      </c>
      <c r="H1404" s="5" t="s">
        <v>1527</v>
      </c>
      <c r="I1404" s="5" t="s">
        <v>146</v>
      </c>
      <c r="J1404" s="5" t="s">
        <v>9</v>
      </c>
      <c r="K1404" s="5">
        <v>15.5</v>
      </c>
      <c r="L1404" s="5" t="s">
        <v>1528</v>
      </c>
      <c r="M1404" s="5">
        <v>1100</v>
      </c>
      <c r="N1404" s="5" t="s">
        <v>170</v>
      </c>
      <c r="O1404" s="6" t="s">
        <v>81</v>
      </c>
      <c r="P1404" s="6" t="s">
        <v>1530</v>
      </c>
      <c r="S1404" s="6">
        <v>15</v>
      </c>
      <c r="T1404" s="6">
        <v>4.33</v>
      </c>
      <c r="U1404" s="6">
        <v>1101</v>
      </c>
      <c r="V1404" s="6">
        <v>4.92</v>
      </c>
      <c r="W1404" s="6">
        <v>569</v>
      </c>
      <c r="X1404" s="6">
        <v>532</v>
      </c>
      <c r="Y1404" s="6">
        <v>0</v>
      </c>
      <c r="Z1404" s="6">
        <v>0</v>
      </c>
      <c r="AA1404" s="6">
        <v>0</v>
      </c>
      <c r="AB1404" s="6">
        <v>0</v>
      </c>
      <c r="AC1404" s="7">
        <v>33</v>
      </c>
      <c r="AD1404" s="7" t="s">
        <v>52</v>
      </c>
      <c r="AE1404" s="7">
        <v>10.97</v>
      </c>
      <c r="AF1404" s="7">
        <v>751</v>
      </c>
      <c r="AG1404" s="7">
        <v>13.42</v>
      </c>
      <c r="AH1404" s="7">
        <v>15.09</v>
      </c>
      <c r="AI1404" s="7">
        <v>17.670000000000002</v>
      </c>
      <c r="AJ1404" s="9">
        <v>61.916752040357601</v>
      </c>
      <c r="AK1404" s="9">
        <v>63.163093118634499</v>
      </c>
      <c r="AL1404" s="9">
        <v>98.195954897666795</v>
      </c>
      <c r="AM1404" s="9">
        <v>17.816540150517</v>
      </c>
      <c r="AN1404" s="9">
        <v>0.53989515607627203</v>
      </c>
      <c r="AO1404" s="9">
        <v>0.69875068181695399</v>
      </c>
      <c r="AP1404" s="9">
        <v>126.85275868593</v>
      </c>
      <c r="AQ1404" s="9">
        <v>3.8440229904827099</v>
      </c>
      <c r="AR1404" s="9">
        <v>6.9025906675303803</v>
      </c>
      <c r="AS1404" s="8" t="s">
        <v>169</v>
      </c>
      <c r="AT1404" s="8" t="s">
        <v>169</v>
      </c>
      <c r="AU1404" s="10" t="s">
        <v>169</v>
      </c>
      <c r="AV1404" s="10">
        <v>0</v>
      </c>
      <c r="AW1404" s="10" t="s">
        <v>169</v>
      </c>
      <c r="AX1404" s="10" t="s">
        <v>169</v>
      </c>
      <c r="BF1404" s="12">
        <v>0.45</v>
      </c>
      <c r="BG1404" s="13">
        <v>76.961079651046305</v>
      </c>
      <c r="BH1404" s="96" t="str">
        <f>+VLOOKUP(G1404,Liste!$A$7:$G$50,3,FALSE)</f>
        <v>Pin d'Alep</v>
      </c>
      <c r="BI1404" s="96" t="str">
        <f>+VLOOKUP(H1404,Liste!$B$7:$G$50,5,FALSE)</f>
        <v>Pin d'Alep</v>
      </c>
      <c r="BJ1404" s="135">
        <f t="shared" si="417"/>
        <v>33</v>
      </c>
      <c r="BK1404" s="135" t="str">
        <f t="shared" si="419"/>
        <v>Pin d'Alep_F1_Dynamique_Pin d'Alep_33_</v>
      </c>
      <c r="BL1404" s="322"/>
      <c r="BM1404" s="13">
        <v>22.8196818419237</v>
      </c>
      <c r="BN1404" s="13">
        <v>99.780761492970001</v>
      </c>
      <c r="BO1404" s="13" t="s">
        <v>169</v>
      </c>
      <c r="BP1404" s="13">
        <v>133.34843814247799</v>
      </c>
      <c r="BQ1404" s="13">
        <v>6.7813839445095399</v>
      </c>
      <c r="BT1404" s="298" t="str">
        <f>+VLOOKUP(G1404,Liste!$A$7:$H$50,8,FALSE)</f>
        <v>Résineux</v>
      </c>
      <c r="BU1404" s="298">
        <f t="shared" si="420"/>
        <v>0</v>
      </c>
      <c r="BV1404" s="300">
        <f t="shared" si="421"/>
        <v>1</v>
      </c>
      <c r="BW1404" s="321">
        <v>0</v>
      </c>
      <c r="BX1404" s="298">
        <f t="shared" si="422"/>
        <v>0.43</v>
      </c>
      <c r="BY1404">
        <f t="shared" si="423"/>
        <v>0</v>
      </c>
      <c r="BZ1404" s="304">
        <f t="shared" si="424"/>
        <v>0</v>
      </c>
      <c r="CB1404" s="299">
        <v>0.6</v>
      </c>
      <c r="CC1404" s="299">
        <v>0.4</v>
      </c>
      <c r="CD1404">
        <f t="shared" si="425"/>
        <v>0</v>
      </c>
      <c r="CE1404">
        <f t="shared" si="426"/>
        <v>0</v>
      </c>
      <c r="CF1404">
        <f t="shared" si="427"/>
        <v>0</v>
      </c>
      <c r="CG1404">
        <f t="shared" si="428"/>
        <v>0</v>
      </c>
      <c r="CH1404">
        <f t="shared" si="429"/>
        <v>0</v>
      </c>
      <c r="CI1404">
        <f t="shared" si="430"/>
        <v>0</v>
      </c>
      <c r="CJ1404">
        <f t="shared" si="431"/>
        <v>0</v>
      </c>
      <c r="CK1404">
        <f t="shared" si="432"/>
        <v>0</v>
      </c>
      <c r="CL1404">
        <f t="shared" si="433"/>
        <v>0</v>
      </c>
      <c r="CM1404">
        <f t="shared" si="435"/>
        <v>0</v>
      </c>
      <c r="CN1404">
        <f t="shared" si="434"/>
        <v>0</v>
      </c>
      <c r="CO1404">
        <f t="shared" si="418"/>
        <v>0</v>
      </c>
    </row>
    <row r="1405" spans="1:93" x14ac:dyDescent="0.25">
      <c r="A1405" s="4">
        <v>2021</v>
      </c>
      <c r="B1405" s="318">
        <v>44320</v>
      </c>
      <c r="C1405" s="4" t="s">
        <v>1524</v>
      </c>
      <c r="D1405" s="4" t="s">
        <v>1525</v>
      </c>
      <c r="F1405" s="4" t="s">
        <v>1526</v>
      </c>
      <c r="G1405" s="5" t="s">
        <v>1514</v>
      </c>
      <c r="H1405" s="5" t="s">
        <v>1527</v>
      </c>
      <c r="I1405" s="5" t="s">
        <v>146</v>
      </c>
      <c r="J1405" s="5" t="s">
        <v>9</v>
      </c>
      <c r="K1405" s="5">
        <v>15.5</v>
      </c>
      <c r="L1405" s="5" t="s">
        <v>1528</v>
      </c>
      <c r="M1405" s="5">
        <v>1100</v>
      </c>
      <c r="N1405" s="5" t="s">
        <v>170</v>
      </c>
      <c r="O1405" s="6" t="s">
        <v>81</v>
      </c>
      <c r="P1405" s="6" t="s">
        <v>1530</v>
      </c>
      <c r="S1405" s="6">
        <v>15</v>
      </c>
      <c r="T1405" s="6">
        <v>4.33</v>
      </c>
      <c r="U1405" s="6">
        <v>1101</v>
      </c>
      <c r="V1405" s="6">
        <v>4.92</v>
      </c>
      <c r="W1405" s="6">
        <v>569</v>
      </c>
      <c r="X1405" s="6">
        <v>532</v>
      </c>
      <c r="Y1405" s="6">
        <v>0</v>
      </c>
      <c r="Z1405" s="6">
        <v>0</v>
      </c>
      <c r="AA1405" s="6">
        <v>0</v>
      </c>
      <c r="AB1405" s="6">
        <v>0</v>
      </c>
      <c r="AC1405" s="7">
        <v>34</v>
      </c>
      <c r="AD1405" s="7" t="s">
        <v>52</v>
      </c>
      <c r="AE1405" s="7">
        <v>11.29</v>
      </c>
      <c r="AF1405" s="7">
        <v>751</v>
      </c>
      <c r="AG1405" s="7">
        <v>14.12</v>
      </c>
      <c r="AH1405" s="7">
        <v>15.47</v>
      </c>
      <c r="AI1405" s="7">
        <v>18.11</v>
      </c>
      <c r="AJ1405" s="9">
        <v>66.970197778786101</v>
      </c>
      <c r="AK1405" s="9">
        <v>68.324936738626903</v>
      </c>
      <c r="AL1405" s="9">
        <v>105.098545565197</v>
      </c>
      <c r="AM1405" s="9">
        <v>18.5152908323339</v>
      </c>
      <c r="AN1405" s="9">
        <v>0.54456737742158701</v>
      </c>
      <c r="AO1405" s="9">
        <v>0.70416727449860195</v>
      </c>
      <c r="AP1405" s="9">
        <v>133.75534935345999</v>
      </c>
      <c r="AQ1405" s="9">
        <v>3.9339808633370601</v>
      </c>
      <c r="AR1405" s="9">
        <v>7.0974370284932302</v>
      </c>
      <c r="AS1405" s="8" t="s">
        <v>169</v>
      </c>
      <c r="AT1405" s="8" t="s">
        <v>169</v>
      </c>
      <c r="AU1405" s="10" t="s">
        <v>169</v>
      </c>
      <c r="AV1405" s="10">
        <v>0</v>
      </c>
      <c r="AW1405" s="10" t="s">
        <v>169</v>
      </c>
      <c r="AX1405" s="10" t="s">
        <v>169</v>
      </c>
      <c r="BF1405" s="12">
        <v>0.45</v>
      </c>
      <c r="BG1405" s="13">
        <v>82.370985086723294</v>
      </c>
      <c r="BH1405" s="96" t="str">
        <f>+VLOOKUP(G1405,Liste!$A$7:$G$50,3,FALSE)</f>
        <v>Pin d'Alep</v>
      </c>
      <c r="BI1405" s="96" t="str">
        <f>+VLOOKUP(H1405,Liste!$B$7:$G$50,5,FALSE)</f>
        <v>Pin d'Alep</v>
      </c>
      <c r="BJ1405" s="135">
        <f t="shared" si="417"/>
        <v>34</v>
      </c>
      <c r="BK1405" s="135" t="str">
        <f t="shared" si="419"/>
        <v>Pin d'Alep_F1_Dynamique_Pin d'Alep_34_</v>
      </c>
      <c r="BL1405" s="322"/>
      <c r="BM1405" s="13">
        <v>24.2314013791664</v>
      </c>
      <c r="BN1405" s="13">
        <v>106.60238646589001</v>
      </c>
      <c r="BO1405" s="13" t="s">
        <v>169</v>
      </c>
      <c r="BP1405" s="13">
        <v>133.34843814247799</v>
      </c>
      <c r="BQ1405" s="13">
        <v>6.9642446224646104</v>
      </c>
      <c r="BT1405" s="298" t="str">
        <f>+VLOOKUP(G1405,Liste!$A$7:$H$50,8,FALSE)</f>
        <v>Résineux</v>
      </c>
      <c r="BU1405" s="298">
        <f t="shared" si="420"/>
        <v>0</v>
      </c>
      <c r="BV1405" s="300">
        <f t="shared" si="421"/>
        <v>1</v>
      </c>
      <c r="BW1405" s="321">
        <v>0</v>
      </c>
      <c r="BX1405" s="298">
        <f t="shared" si="422"/>
        <v>0.43</v>
      </c>
      <c r="BY1405">
        <f t="shared" si="423"/>
        <v>0</v>
      </c>
      <c r="BZ1405" s="304">
        <f t="shared" si="424"/>
        <v>0</v>
      </c>
      <c r="CB1405" s="299">
        <v>0.6</v>
      </c>
      <c r="CC1405" s="299">
        <v>0.4</v>
      </c>
      <c r="CD1405">
        <f t="shared" si="425"/>
        <v>0</v>
      </c>
      <c r="CE1405">
        <f t="shared" si="426"/>
        <v>0</v>
      </c>
      <c r="CF1405">
        <f t="shared" si="427"/>
        <v>0</v>
      </c>
      <c r="CG1405">
        <f t="shared" si="428"/>
        <v>0</v>
      </c>
      <c r="CH1405">
        <f t="shared" si="429"/>
        <v>0</v>
      </c>
      <c r="CI1405">
        <f t="shared" si="430"/>
        <v>0</v>
      </c>
      <c r="CJ1405">
        <f t="shared" si="431"/>
        <v>0</v>
      </c>
      <c r="CK1405">
        <f t="shared" si="432"/>
        <v>0</v>
      </c>
      <c r="CL1405">
        <f t="shared" si="433"/>
        <v>0</v>
      </c>
      <c r="CM1405">
        <f t="shared" si="435"/>
        <v>0</v>
      </c>
      <c r="CN1405">
        <f t="shared" si="434"/>
        <v>0</v>
      </c>
      <c r="CO1405">
        <f t="shared" si="418"/>
        <v>0</v>
      </c>
    </row>
    <row r="1406" spans="1:93" x14ac:dyDescent="0.25">
      <c r="A1406" s="4">
        <v>2021</v>
      </c>
      <c r="B1406" s="318">
        <v>44320</v>
      </c>
      <c r="C1406" s="4" t="s">
        <v>1524</v>
      </c>
      <c r="D1406" s="4" t="s">
        <v>1525</v>
      </c>
      <c r="F1406" s="4" t="s">
        <v>1526</v>
      </c>
      <c r="G1406" s="5" t="s">
        <v>1514</v>
      </c>
      <c r="H1406" s="5" t="s">
        <v>1527</v>
      </c>
      <c r="I1406" s="5" t="s">
        <v>146</v>
      </c>
      <c r="J1406" s="5" t="s">
        <v>9</v>
      </c>
      <c r="K1406" s="5">
        <v>15.5</v>
      </c>
      <c r="L1406" s="5" t="s">
        <v>1528</v>
      </c>
      <c r="M1406" s="5">
        <v>1100</v>
      </c>
      <c r="N1406" s="5" t="s">
        <v>170</v>
      </c>
      <c r="O1406" s="6" t="s">
        <v>81</v>
      </c>
      <c r="P1406" s="6" t="s">
        <v>1530</v>
      </c>
      <c r="S1406" s="6">
        <v>15</v>
      </c>
      <c r="T1406" s="6">
        <v>4.33</v>
      </c>
      <c r="U1406" s="6">
        <v>1101</v>
      </c>
      <c r="V1406" s="6">
        <v>4.92</v>
      </c>
      <c r="W1406" s="6">
        <v>569</v>
      </c>
      <c r="X1406" s="6">
        <v>532</v>
      </c>
      <c r="Y1406" s="6">
        <v>0</v>
      </c>
      <c r="Z1406" s="6">
        <v>0</v>
      </c>
      <c r="AA1406" s="6">
        <v>0</v>
      </c>
      <c r="AB1406" s="6">
        <v>0</v>
      </c>
      <c r="AC1406" s="7">
        <v>35</v>
      </c>
      <c r="AD1406" s="7" t="s">
        <v>52</v>
      </c>
      <c r="AE1406" s="7">
        <v>11.59</v>
      </c>
      <c r="AF1406" s="7">
        <v>751</v>
      </c>
      <c r="AG1406" s="7">
        <v>14.83</v>
      </c>
      <c r="AH1406" s="7">
        <v>15.86</v>
      </c>
      <c r="AI1406" s="7">
        <v>18.54</v>
      </c>
      <c r="AJ1406" s="9">
        <v>72.139524905570696</v>
      </c>
      <c r="AK1406" s="9">
        <v>73.610771117866193</v>
      </c>
      <c r="AL1406" s="9">
        <v>112.19598259369</v>
      </c>
      <c r="AM1406" s="9">
        <v>19.219458106832501</v>
      </c>
      <c r="AN1406" s="9">
        <v>0.54912737448092996</v>
      </c>
      <c r="AO1406" s="9">
        <v>0.70920744154849702</v>
      </c>
      <c r="AP1406" s="9">
        <v>140.852786381953</v>
      </c>
      <c r="AQ1406" s="9">
        <v>4.0243653251986604</v>
      </c>
      <c r="AR1406" s="9">
        <v>7.2822127830563099</v>
      </c>
      <c r="AS1406" s="8" t="s">
        <v>169</v>
      </c>
      <c r="AT1406" s="8" t="s">
        <v>169</v>
      </c>
      <c r="AU1406" s="10" t="s">
        <v>169</v>
      </c>
      <c r="AV1406" s="10">
        <v>0</v>
      </c>
      <c r="AW1406" s="10" t="s">
        <v>169</v>
      </c>
      <c r="AX1406" s="10" t="s">
        <v>169</v>
      </c>
      <c r="BF1406" s="12">
        <v>0.45</v>
      </c>
      <c r="BG1406" s="13">
        <v>87.933601357804804</v>
      </c>
      <c r="BH1406" s="96" t="str">
        <f>+VLOOKUP(G1406,Liste!$A$7:$G$50,3,FALSE)</f>
        <v>Pin d'Alep</v>
      </c>
      <c r="BI1406" s="96" t="str">
        <f>+VLOOKUP(H1406,Liste!$B$7:$G$50,5,FALSE)</f>
        <v>Pin d'Alep</v>
      </c>
      <c r="BJ1406" s="135">
        <f t="shared" si="417"/>
        <v>35</v>
      </c>
      <c r="BK1406" s="135" t="str">
        <f t="shared" si="419"/>
        <v>Pin d'Alep_F1_Dynamique_Pin d'Alep_35_</v>
      </c>
      <c r="BL1406" s="322"/>
      <c r="BM1406" s="13">
        <v>25.671759176051399</v>
      </c>
      <c r="BN1406" s="13">
        <v>113.605360533856</v>
      </c>
      <c r="BO1406" s="13" t="s">
        <v>169</v>
      </c>
      <c r="BP1406" s="13">
        <v>133.34843814247799</v>
      </c>
      <c r="BQ1406" s="13">
        <v>7.1370333063032101</v>
      </c>
      <c r="BT1406" s="298" t="str">
        <f>+VLOOKUP(G1406,Liste!$A$7:$H$50,8,FALSE)</f>
        <v>Résineux</v>
      </c>
      <c r="BU1406" s="298">
        <f t="shared" si="420"/>
        <v>0</v>
      </c>
      <c r="BV1406" s="300">
        <f t="shared" si="421"/>
        <v>1</v>
      </c>
      <c r="BW1406" s="321">
        <v>0</v>
      </c>
      <c r="BX1406" s="298">
        <f t="shared" si="422"/>
        <v>0.43</v>
      </c>
      <c r="BY1406">
        <f t="shared" si="423"/>
        <v>0</v>
      </c>
      <c r="BZ1406" s="304">
        <f t="shared" si="424"/>
        <v>0</v>
      </c>
      <c r="CB1406" s="299">
        <v>0.6</v>
      </c>
      <c r="CC1406" s="299">
        <v>0.4</v>
      </c>
      <c r="CD1406">
        <f t="shared" si="425"/>
        <v>0</v>
      </c>
      <c r="CE1406">
        <f t="shared" si="426"/>
        <v>0</v>
      </c>
      <c r="CF1406">
        <f t="shared" si="427"/>
        <v>0</v>
      </c>
      <c r="CG1406">
        <f t="shared" si="428"/>
        <v>0</v>
      </c>
      <c r="CH1406">
        <f t="shared" si="429"/>
        <v>0</v>
      </c>
      <c r="CI1406">
        <f t="shared" si="430"/>
        <v>0</v>
      </c>
      <c r="CJ1406">
        <f t="shared" si="431"/>
        <v>0</v>
      </c>
      <c r="CK1406">
        <f t="shared" si="432"/>
        <v>0</v>
      </c>
      <c r="CL1406">
        <f t="shared" si="433"/>
        <v>0</v>
      </c>
      <c r="CM1406">
        <f t="shared" si="435"/>
        <v>0</v>
      </c>
      <c r="CN1406">
        <f t="shared" si="434"/>
        <v>0</v>
      </c>
      <c r="CO1406">
        <f t="shared" si="418"/>
        <v>0</v>
      </c>
    </row>
    <row r="1407" spans="1:93" x14ac:dyDescent="0.25">
      <c r="A1407" s="4">
        <v>2021</v>
      </c>
      <c r="B1407" s="318">
        <v>44320</v>
      </c>
      <c r="C1407" s="4" t="s">
        <v>1524</v>
      </c>
      <c r="D1407" s="4" t="s">
        <v>1525</v>
      </c>
      <c r="F1407" s="4" t="s">
        <v>1526</v>
      </c>
      <c r="G1407" s="5" t="s">
        <v>1514</v>
      </c>
      <c r="H1407" s="5" t="s">
        <v>1527</v>
      </c>
      <c r="I1407" s="5" t="s">
        <v>146</v>
      </c>
      <c r="J1407" s="5" t="s">
        <v>9</v>
      </c>
      <c r="K1407" s="5">
        <v>15.5</v>
      </c>
      <c r="L1407" s="5" t="s">
        <v>1528</v>
      </c>
      <c r="M1407" s="5">
        <v>1100</v>
      </c>
      <c r="N1407" s="5" t="s">
        <v>170</v>
      </c>
      <c r="O1407" s="6" t="s">
        <v>81</v>
      </c>
      <c r="P1407" s="6" t="s">
        <v>1530</v>
      </c>
      <c r="S1407" s="6">
        <v>15</v>
      </c>
      <c r="T1407" s="6">
        <v>4.33</v>
      </c>
      <c r="U1407" s="6">
        <v>1101</v>
      </c>
      <c r="V1407" s="6">
        <v>4.92</v>
      </c>
      <c r="W1407" s="6">
        <v>569</v>
      </c>
      <c r="X1407" s="6">
        <v>532</v>
      </c>
      <c r="Y1407" s="6">
        <v>0</v>
      </c>
      <c r="Z1407" s="6">
        <v>0</v>
      </c>
      <c r="AA1407" s="6">
        <v>0</v>
      </c>
      <c r="AB1407" s="6">
        <v>0</v>
      </c>
      <c r="AC1407" s="7">
        <v>36</v>
      </c>
      <c r="AD1407" s="7" t="s">
        <v>52</v>
      </c>
      <c r="AE1407" s="7">
        <v>11.89</v>
      </c>
      <c r="AF1407" s="7">
        <v>751</v>
      </c>
      <c r="AG1407" s="7">
        <v>15.54</v>
      </c>
      <c r="AH1407" s="7">
        <v>16.23</v>
      </c>
      <c r="AI1407" s="7">
        <v>18.96</v>
      </c>
      <c r="AJ1407" s="9">
        <v>77.446789827727002</v>
      </c>
      <c r="AK1407" s="9">
        <v>79.040333592916596</v>
      </c>
      <c r="AL1407" s="9">
        <v>119.478195376747</v>
      </c>
      <c r="AM1407" s="9">
        <v>19.928665548381002</v>
      </c>
      <c r="AN1407" s="9">
        <v>0.55357404301058399</v>
      </c>
      <c r="AO1407" s="9">
        <v>0.71306903226041696</v>
      </c>
      <c r="AP1407" s="9">
        <v>148.13499916500899</v>
      </c>
      <c r="AQ1407" s="9">
        <v>4.1148610879169301</v>
      </c>
      <c r="AR1407" s="9">
        <v>7.4603856989800201</v>
      </c>
      <c r="AS1407" s="8" t="s">
        <v>169</v>
      </c>
      <c r="AT1407" s="8" t="s">
        <v>169</v>
      </c>
      <c r="AU1407" s="10" t="s">
        <v>169</v>
      </c>
      <c r="AV1407" s="10">
        <v>0</v>
      </c>
      <c r="AW1407" s="10" t="s">
        <v>169</v>
      </c>
      <c r="AX1407" s="10" t="s">
        <v>169</v>
      </c>
      <c r="BF1407" s="12">
        <v>0.45</v>
      </c>
      <c r="BG1407" s="13">
        <v>93.641035626525195</v>
      </c>
      <c r="BH1407" s="96" t="str">
        <f>+VLOOKUP(G1407,Liste!$A$7:$G$50,3,FALSE)</f>
        <v>Pin d'Alep</v>
      </c>
      <c r="BI1407" s="96" t="str">
        <f>+VLOOKUP(H1407,Liste!$B$7:$G$50,5,FALSE)</f>
        <v>Pin d'Alep</v>
      </c>
      <c r="BJ1407" s="135">
        <f t="shared" si="417"/>
        <v>36</v>
      </c>
      <c r="BK1407" s="135" t="str">
        <f t="shared" si="419"/>
        <v>Pin d'Alep_F1_Dynamique_Pin d'Alep_36_</v>
      </c>
      <c r="BL1407" s="322"/>
      <c r="BM1407" s="13">
        <v>27.1386310642865</v>
      </c>
      <c r="BN1407" s="13">
        <v>120.77966669081199</v>
      </c>
      <c r="BO1407" s="13" t="s">
        <v>169</v>
      </c>
      <c r="BP1407" s="13">
        <v>133.34843814247799</v>
      </c>
      <c r="BQ1407" s="13">
        <v>7.3031954125208598</v>
      </c>
      <c r="BT1407" s="298" t="str">
        <f>+VLOOKUP(G1407,Liste!$A$7:$H$50,8,FALSE)</f>
        <v>Résineux</v>
      </c>
      <c r="BU1407" s="298">
        <f t="shared" si="420"/>
        <v>0</v>
      </c>
      <c r="BV1407" s="300">
        <f t="shared" si="421"/>
        <v>1</v>
      </c>
      <c r="BW1407" s="321">
        <v>0</v>
      </c>
      <c r="BX1407" s="298">
        <f t="shared" si="422"/>
        <v>0.43</v>
      </c>
      <c r="BY1407">
        <f t="shared" si="423"/>
        <v>0</v>
      </c>
      <c r="BZ1407" s="304">
        <f t="shared" si="424"/>
        <v>0</v>
      </c>
      <c r="CB1407" s="299">
        <v>0.6</v>
      </c>
      <c r="CC1407" s="299">
        <v>0.4</v>
      </c>
      <c r="CD1407">
        <f t="shared" si="425"/>
        <v>0</v>
      </c>
      <c r="CE1407">
        <f t="shared" si="426"/>
        <v>0</v>
      </c>
      <c r="CF1407">
        <f t="shared" si="427"/>
        <v>0</v>
      </c>
      <c r="CG1407">
        <f t="shared" si="428"/>
        <v>0</v>
      </c>
      <c r="CH1407">
        <f t="shared" si="429"/>
        <v>0</v>
      </c>
      <c r="CI1407">
        <f t="shared" si="430"/>
        <v>0</v>
      </c>
      <c r="CJ1407">
        <f t="shared" si="431"/>
        <v>0</v>
      </c>
      <c r="CK1407">
        <f t="shared" si="432"/>
        <v>0</v>
      </c>
      <c r="CL1407">
        <f t="shared" si="433"/>
        <v>0</v>
      </c>
      <c r="CM1407">
        <f t="shared" si="435"/>
        <v>0</v>
      </c>
      <c r="CN1407">
        <f t="shared" si="434"/>
        <v>0</v>
      </c>
      <c r="CO1407">
        <f t="shared" si="418"/>
        <v>0</v>
      </c>
    </row>
    <row r="1408" spans="1:93" x14ac:dyDescent="0.25">
      <c r="A1408" s="4">
        <v>2021</v>
      </c>
      <c r="B1408" s="318">
        <v>44320</v>
      </c>
      <c r="C1408" s="4" t="s">
        <v>1524</v>
      </c>
      <c r="D1408" s="4" t="s">
        <v>1525</v>
      </c>
      <c r="F1408" s="4" t="s">
        <v>1526</v>
      </c>
      <c r="G1408" s="5" t="s">
        <v>1514</v>
      </c>
      <c r="H1408" s="5" t="s">
        <v>1527</v>
      </c>
      <c r="I1408" s="5" t="s">
        <v>146</v>
      </c>
      <c r="J1408" s="5" t="s">
        <v>9</v>
      </c>
      <c r="K1408" s="5">
        <v>15.5</v>
      </c>
      <c r="L1408" s="5" t="s">
        <v>1528</v>
      </c>
      <c r="M1408" s="5">
        <v>1100</v>
      </c>
      <c r="N1408" s="5" t="s">
        <v>170</v>
      </c>
      <c r="O1408" s="6" t="s">
        <v>81</v>
      </c>
      <c r="P1408" s="6" t="s">
        <v>1530</v>
      </c>
      <c r="S1408" s="6">
        <v>15</v>
      </c>
      <c r="T1408" s="6">
        <v>4.33</v>
      </c>
      <c r="U1408" s="6">
        <v>1101</v>
      </c>
      <c r="V1408" s="6">
        <v>4.92</v>
      </c>
      <c r="W1408" s="6">
        <v>569</v>
      </c>
      <c r="X1408" s="6">
        <v>532</v>
      </c>
      <c r="Y1408" s="6">
        <v>0</v>
      </c>
      <c r="Z1408" s="6">
        <v>0</v>
      </c>
      <c r="AA1408" s="6">
        <v>0</v>
      </c>
      <c r="AB1408" s="6">
        <v>0</v>
      </c>
      <c r="AC1408" s="7">
        <v>37</v>
      </c>
      <c r="AD1408" s="7" t="s">
        <v>52</v>
      </c>
      <c r="AE1408" s="7">
        <v>12.18</v>
      </c>
      <c r="AF1408" s="7">
        <v>751</v>
      </c>
      <c r="AG1408" s="7">
        <v>16.25</v>
      </c>
      <c r="AH1408" s="7">
        <v>16.600000000000001</v>
      </c>
      <c r="AI1408" s="7">
        <v>19.38</v>
      </c>
      <c r="AJ1408" s="9">
        <v>82.897695071232107</v>
      </c>
      <c r="AK1408" s="9">
        <v>84.618354908216105</v>
      </c>
      <c r="AL1408" s="9">
        <v>126.938581075727</v>
      </c>
      <c r="AM1408" s="9">
        <v>20.641734580641501</v>
      </c>
      <c r="AN1408" s="9">
        <v>0.55788471839571496</v>
      </c>
      <c r="AO1408" s="9">
        <v>0.71548655849319698</v>
      </c>
      <c r="AP1408" s="9">
        <v>155.59538486398901</v>
      </c>
      <c r="AQ1408" s="9">
        <v>4.20528067199972</v>
      </c>
      <c r="AR1408" s="9">
        <v>7.6298254118766202</v>
      </c>
      <c r="AS1408" s="8" t="s">
        <v>169</v>
      </c>
      <c r="AT1408" s="8" t="s">
        <v>169</v>
      </c>
      <c r="AU1408" s="10" t="s">
        <v>169</v>
      </c>
      <c r="AV1408" s="10">
        <v>0</v>
      </c>
      <c r="AW1408" s="10" t="s">
        <v>169</v>
      </c>
      <c r="AX1408" s="10" t="s">
        <v>169</v>
      </c>
      <c r="BF1408" s="12">
        <v>0.45</v>
      </c>
      <c r="BG1408" s="13">
        <v>99.488112918100796</v>
      </c>
      <c r="BH1408" s="96" t="str">
        <f>+VLOOKUP(G1408,Liste!$A$7:$G$50,3,FALSE)</f>
        <v>Pin d'Alep</v>
      </c>
      <c r="BI1408" s="96" t="str">
        <f>+VLOOKUP(H1408,Liste!$B$7:$G$50,5,FALSE)</f>
        <v>Pin d'Alep</v>
      </c>
      <c r="BJ1408" s="135">
        <f t="shared" si="417"/>
        <v>37</v>
      </c>
      <c r="BK1408" s="135" t="str">
        <f t="shared" si="419"/>
        <v>Pin d'Alep_F1_Dynamique_Pin d'Alep_37_</v>
      </c>
      <c r="BL1408" s="322"/>
      <c r="BM1408" s="13">
        <v>28.630637739508099</v>
      </c>
      <c r="BN1408" s="13">
        <v>128.11875065760901</v>
      </c>
      <c r="BO1408" s="13" t="s">
        <v>169</v>
      </c>
      <c r="BP1408" s="13">
        <v>133.34843814247799</v>
      </c>
      <c r="BQ1408" s="13">
        <v>7.4606827113999303</v>
      </c>
      <c r="BT1408" s="298" t="str">
        <f>+VLOOKUP(G1408,Liste!$A$7:$H$50,8,FALSE)</f>
        <v>Résineux</v>
      </c>
      <c r="BU1408" s="298">
        <f t="shared" si="420"/>
        <v>0</v>
      </c>
      <c r="BV1408" s="300">
        <f t="shared" si="421"/>
        <v>1</v>
      </c>
      <c r="BW1408" s="321">
        <v>0</v>
      </c>
      <c r="BX1408" s="298">
        <f t="shared" si="422"/>
        <v>0.43</v>
      </c>
      <c r="BY1408">
        <f t="shared" si="423"/>
        <v>0</v>
      </c>
      <c r="BZ1408" s="304">
        <f t="shared" si="424"/>
        <v>0</v>
      </c>
      <c r="CB1408" s="299">
        <v>0.6</v>
      </c>
      <c r="CC1408" s="299">
        <v>0.4</v>
      </c>
      <c r="CD1408">
        <f t="shared" si="425"/>
        <v>0</v>
      </c>
      <c r="CE1408">
        <f t="shared" si="426"/>
        <v>0</v>
      </c>
      <c r="CF1408">
        <f t="shared" si="427"/>
        <v>0</v>
      </c>
      <c r="CG1408">
        <f t="shared" si="428"/>
        <v>0</v>
      </c>
      <c r="CH1408">
        <f t="shared" si="429"/>
        <v>0</v>
      </c>
      <c r="CI1408">
        <f t="shared" si="430"/>
        <v>0</v>
      </c>
      <c r="CJ1408">
        <f t="shared" si="431"/>
        <v>0</v>
      </c>
      <c r="CK1408">
        <f t="shared" si="432"/>
        <v>0</v>
      </c>
      <c r="CL1408">
        <f t="shared" si="433"/>
        <v>0</v>
      </c>
      <c r="CM1408">
        <f t="shared" si="435"/>
        <v>0</v>
      </c>
      <c r="CN1408">
        <f t="shared" si="434"/>
        <v>0</v>
      </c>
      <c r="CO1408">
        <f t="shared" si="418"/>
        <v>0</v>
      </c>
    </row>
    <row r="1409" spans="1:93" x14ac:dyDescent="0.25">
      <c r="A1409" s="4">
        <v>2021</v>
      </c>
      <c r="B1409" s="318">
        <v>44320</v>
      </c>
      <c r="C1409" s="4" t="s">
        <v>1524</v>
      </c>
      <c r="D1409" s="4" t="s">
        <v>1525</v>
      </c>
      <c r="F1409" s="4" t="s">
        <v>1526</v>
      </c>
      <c r="G1409" s="5" t="s">
        <v>1514</v>
      </c>
      <c r="H1409" s="5" t="s">
        <v>1527</v>
      </c>
      <c r="I1409" s="5" t="s">
        <v>146</v>
      </c>
      <c r="J1409" s="5" t="s">
        <v>9</v>
      </c>
      <c r="K1409" s="5">
        <v>15.5</v>
      </c>
      <c r="L1409" s="5" t="s">
        <v>1528</v>
      </c>
      <c r="M1409" s="5">
        <v>1100</v>
      </c>
      <c r="N1409" s="5" t="s">
        <v>170</v>
      </c>
      <c r="O1409" s="6" t="s">
        <v>81</v>
      </c>
      <c r="P1409" s="6" t="s">
        <v>1530</v>
      </c>
      <c r="S1409" s="6">
        <v>15</v>
      </c>
      <c r="T1409" s="6">
        <v>4.33</v>
      </c>
      <c r="U1409" s="6">
        <v>1101</v>
      </c>
      <c r="V1409" s="6">
        <v>4.92</v>
      </c>
      <c r="W1409" s="6">
        <v>569</v>
      </c>
      <c r="X1409" s="6">
        <v>532</v>
      </c>
      <c r="Y1409" s="6">
        <v>0</v>
      </c>
      <c r="Z1409" s="6">
        <v>0</v>
      </c>
      <c r="AA1409" s="6">
        <v>0</v>
      </c>
      <c r="AB1409" s="6">
        <v>0</v>
      </c>
      <c r="AC1409" s="7">
        <v>38</v>
      </c>
      <c r="AD1409" s="7" t="s">
        <v>52</v>
      </c>
      <c r="AE1409" s="7">
        <v>12.47</v>
      </c>
      <c r="AF1409" s="7">
        <v>751</v>
      </c>
      <c r="AG1409" s="7">
        <v>16.96</v>
      </c>
      <c r="AH1409" s="7">
        <v>16.96</v>
      </c>
      <c r="AI1409" s="7">
        <v>19.8</v>
      </c>
      <c r="AJ1409" s="9">
        <v>88.490661044028897</v>
      </c>
      <c r="AK1409" s="9">
        <v>90.342590568379194</v>
      </c>
      <c r="AL1409" s="9">
        <v>134.568406487603</v>
      </c>
      <c r="AM1409" s="9">
        <v>21.357221139134701</v>
      </c>
      <c r="AN1409" s="9">
        <v>0.56203213524038598</v>
      </c>
      <c r="AO1409" s="9">
        <v>0.71758134105867599</v>
      </c>
      <c r="AP1409" s="9">
        <v>163.225210275866</v>
      </c>
      <c r="AQ1409" s="9">
        <v>4.29540027041753</v>
      </c>
      <c r="AR1409" s="9">
        <v>7.7779623743471999</v>
      </c>
      <c r="AS1409" s="8" t="s">
        <v>169</v>
      </c>
      <c r="AT1409" s="8" t="s">
        <v>169</v>
      </c>
      <c r="AU1409" s="10" t="s">
        <v>169</v>
      </c>
      <c r="AV1409" s="10">
        <v>0</v>
      </c>
      <c r="AW1409" s="10" t="s">
        <v>169</v>
      </c>
      <c r="AX1409" s="10" t="s">
        <v>169</v>
      </c>
      <c r="BF1409" s="12">
        <v>0.45</v>
      </c>
      <c r="BG1409" s="13">
        <v>105.467988584659</v>
      </c>
      <c r="BH1409" s="96" t="str">
        <f>+VLOOKUP(G1409,Liste!$A$7:$G$50,3,FALSE)</f>
        <v>Pin d'Alep</v>
      </c>
      <c r="BI1409" s="96" t="str">
        <f>+VLOOKUP(H1409,Liste!$B$7:$G$50,5,FALSE)</f>
        <v>Pin d'Alep</v>
      </c>
      <c r="BJ1409" s="135">
        <f t="shared" si="417"/>
        <v>38</v>
      </c>
      <c r="BK1409" s="135" t="str">
        <f t="shared" si="419"/>
        <v>Pin d'Alep_F1_Dynamique_Pin d'Alep_38_</v>
      </c>
      <c r="BL1409" s="322"/>
      <c r="BM1409" s="13">
        <v>30.1460082603598</v>
      </c>
      <c r="BN1409" s="13">
        <v>135.61399684501899</v>
      </c>
      <c r="BO1409" s="13" t="s">
        <v>169</v>
      </c>
      <c r="BP1409" s="13">
        <v>133.34843814247799</v>
      </c>
      <c r="BQ1409" s="13">
        <v>7.5972644792683202</v>
      </c>
      <c r="BT1409" s="298" t="str">
        <f>+VLOOKUP(G1409,Liste!$A$7:$H$50,8,FALSE)</f>
        <v>Résineux</v>
      </c>
      <c r="BU1409" s="298">
        <f t="shared" si="420"/>
        <v>0</v>
      </c>
      <c r="BV1409" s="300">
        <f t="shared" si="421"/>
        <v>1</v>
      </c>
      <c r="BW1409" s="321">
        <v>0</v>
      </c>
      <c r="BX1409" s="298">
        <f t="shared" si="422"/>
        <v>0.43</v>
      </c>
      <c r="BY1409">
        <f t="shared" si="423"/>
        <v>0</v>
      </c>
      <c r="BZ1409" s="304">
        <f t="shared" si="424"/>
        <v>0</v>
      </c>
      <c r="CB1409" s="299">
        <v>0.6</v>
      </c>
      <c r="CC1409" s="299">
        <v>0.4</v>
      </c>
      <c r="CD1409">
        <f t="shared" si="425"/>
        <v>0</v>
      </c>
      <c r="CE1409">
        <f t="shared" si="426"/>
        <v>0</v>
      </c>
      <c r="CF1409">
        <f t="shared" si="427"/>
        <v>0</v>
      </c>
      <c r="CG1409">
        <f t="shared" si="428"/>
        <v>0</v>
      </c>
      <c r="CH1409">
        <f t="shared" si="429"/>
        <v>0</v>
      </c>
      <c r="CI1409">
        <f t="shared" si="430"/>
        <v>0</v>
      </c>
      <c r="CJ1409">
        <f t="shared" si="431"/>
        <v>0</v>
      </c>
      <c r="CK1409">
        <f t="shared" si="432"/>
        <v>0</v>
      </c>
      <c r="CL1409">
        <f t="shared" si="433"/>
        <v>0</v>
      </c>
      <c r="CM1409">
        <f t="shared" si="435"/>
        <v>0</v>
      </c>
      <c r="CN1409">
        <f t="shared" si="434"/>
        <v>0</v>
      </c>
      <c r="CO1409">
        <f t="shared" si="418"/>
        <v>0</v>
      </c>
    </row>
    <row r="1410" spans="1:93" x14ac:dyDescent="0.25">
      <c r="A1410" s="4">
        <v>2021</v>
      </c>
      <c r="B1410" s="318">
        <v>44320</v>
      </c>
      <c r="C1410" s="4" t="s">
        <v>1524</v>
      </c>
      <c r="D1410" s="4" t="s">
        <v>1525</v>
      </c>
      <c r="F1410" s="4" t="s">
        <v>1526</v>
      </c>
      <c r="G1410" s="5" t="s">
        <v>1514</v>
      </c>
      <c r="H1410" s="5" t="s">
        <v>1527</v>
      </c>
      <c r="I1410" s="5" t="s">
        <v>146</v>
      </c>
      <c r="J1410" s="5" t="s">
        <v>9</v>
      </c>
      <c r="K1410" s="5">
        <v>15.5</v>
      </c>
      <c r="L1410" s="5" t="s">
        <v>1528</v>
      </c>
      <c r="M1410" s="5">
        <v>1100</v>
      </c>
      <c r="N1410" s="5" t="s">
        <v>170</v>
      </c>
      <c r="O1410" s="6" t="s">
        <v>81</v>
      </c>
      <c r="P1410" s="6" t="s">
        <v>1530</v>
      </c>
      <c r="S1410" s="6">
        <v>15</v>
      </c>
      <c r="T1410" s="6">
        <v>4.33</v>
      </c>
      <c r="U1410" s="6">
        <v>1101</v>
      </c>
      <c r="V1410" s="6">
        <v>4.92</v>
      </c>
      <c r="W1410" s="6">
        <v>569</v>
      </c>
      <c r="X1410" s="6">
        <v>532</v>
      </c>
      <c r="Y1410" s="6">
        <v>0</v>
      </c>
      <c r="Z1410" s="6">
        <v>0</v>
      </c>
      <c r="AA1410" s="6">
        <v>0</v>
      </c>
      <c r="AB1410" s="6">
        <v>0</v>
      </c>
      <c r="AC1410" s="7">
        <v>39</v>
      </c>
      <c r="AD1410" s="7" t="s">
        <v>52</v>
      </c>
      <c r="AE1410" s="7">
        <v>12.76</v>
      </c>
      <c r="AF1410" s="7">
        <v>751</v>
      </c>
      <c r="AG1410" s="7">
        <v>17.68</v>
      </c>
      <c r="AH1410" s="7">
        <v>17.309999999999999</v>
      </c>
      <c r="AI1410" s="7">
        <v>20.21</v>
      </c>
      <c r="AJ1410" s="9">
        <v>94.205958070209107</v>
      </c>
      <c r="AK1410" s="9">
        <v>96.193505305072406</v>
      </c>
      <c r="AL1410" s="9">
        <v>142.34636886195099</v>
      </c>
      <c r="AM1410" s="9">
        <v>22.074802480193298</v>
      </c>
      <c r="AN1410" s="9">
        <v>0.56602057641521397</v>
      </c>
      <c r="AO1410" s="9">
        <v>0.71782891426774897</v>
      </c>
      <c r="AP1410" s="9">
        <v>171.003172650213</v>
      </c>
      <c r="AQ1410" s="9">
        <v>4.3846967346208503</v>
      </c>
      <c r="AR1410" s="9">
        <v>7.9117500752622298</v>
      </c>
      <c r="AS1410" s="8" t="s">
        <v>169</v>
      </c>
      <c r="AT1410" s="8" t="s">
        <v>169</v>
      </c>
      <c r="AU1410" s="10" t="s">
        <v>169</v>
      </c>
      <c r="AV1410" s="10">
        <v>0</v>
      </c>
      <c r="AW1410" s="10" t="s">
        <v>169</v>
      </c>
      <c r="AX1410" s="10" t="s">
        <v>169</v>
      </c>
      <c r="BF1410" s="12">
        <v>0.45</v>
      </c>
      <c r="BG1410" s="13">
        <v>111.56396659555401</v>
      </c>
      <c r="BH1410" s="96" t="str">
        <f>+VLOOKUP(G1410,Liste!$A$7:$G$50,3,FALSE)</f>
        <v>Pin d'Alep</v>
      </c>
      <c r="BI1410" s="96" t="str">
        <f>+VLOOKUP(H1410,Liste!$B$7:$G$50,5,FALSE)</f>
        <v>Pin d'Alep</v>
      </c>
      <c r="BJ1410" s="135">
        <f t="shared" si="417"/>
        <v>39</v>
      </c>
      <c r="BK1410" s="135" t="str">
        <f t="shared" si="419"/>
        <v>Pin d'Alep_F1_Dynamique_Pin d'Alep_39_</v>
      </c>
      <c r="BL1410" s="322"/>
      <c r="BM1410" s="13">
        <v>31.680538502734901</v>
      </c>
      <c r="BN1410" s="13">
        <v>143.24450509828901</v>
      </c>
      <c r="BO1410" s="13" t="s">
        <v>169</v>
      </c>
      <c r="BP1410" s="13">
        <v>133.34843814247799</v>
      </c>
      <c r="BQ1410" s="13">
        <v>7.7198102923323697</v>
      </c>
      <c r="BT1410" s="298" t="str">
        <f>+VLOOKUP(G1410,Liste!$A$7:$H$50,8,FALSE)</f>
        <v>Résineux</v>
      </c>
      <c r="BU1410" s="298">
        <f t="shared" si="420"/>
        <v>0</v>
      </c>
      <c r="BV1410" s="300">
        <f t="shared" si="421"/>
        <v>1</v>
      </c>
      <c r="BW1410" s="321">
        <v>0</v>
      </c>
      <c r="BX1410" s="298">
        <f t="shared" si="422"/>
        <v>0.43</v>
      </c>
      <c r="BY1410">
        <f t="shared" si="423"/>
        <v>0</v>
      </c>
      <c r="BZ1410" s="304">
        <f t="shared" si="424"/>
        <v>0</v>
      </c>
      <c r="CB1410" s="299">
        <v>0.6</v>
      </c>
      <c r="CC1410" s="299">
        <v>0.4</v>
      </c>
      <c r="CD1410">
        <f t="shared" si="425"/>
        <v>0</v>
      </c>
      <c r="CE1410">
        <f t="shared" si="426"/>
        <v>0</v>
      </c>
      <c r="CF1410">
        <f t="shared" si="427"/>
        <v>0</v>
      </c>
      <c r="CG1410">
        <f t="shared" si="428"/>
        <v>0</v>
      </c>
      <c r="CH1410">
        <f t="shared" si="429"/>
        <v>0</v>
      </c>
      <c r="CI1410">
        <f t="shared" si="430"/>
        <v>0</v>
      </c>
      <c r="CJ1410">
        <f t="shared" si="431"/>
        <v>0</v>
      </c>
      <c r="CK1410">
        <f t="shared" si="432"/>
        <v>0</v>
      </c>
      <c r="CL1410">
        <f t="shared" si="433"/>
        <v>0</v>
      </c>
      <c r="CM1410">
        <f t="shared" si="435"/>
        <v>0</v>
      </c>
      <c r="CN1410">
        <f t="shared" si="434"/>
        <v>0</v>
      </c>
      <c r="CO1410">
        <f t="shared" si="418"/>
        <v>0</v>
      </c>
    </row>
    <row r="1411" spans="1:93" x14ac:dyDescent="0.25">
      <c r="A1411" s="4">
        <v>2021</v>
      </c>
      <c r="B1411" s="318">
        <v>44320</v>
      </c>
      <c r="C1411" s="4" t="s">
        <v>1524</v>
      </c>
      <c r="D1411" s="4" t="s">
        <v>1525</v>
      </c>
      <c r="F1411" s="4" t="s">
        <v>1526</v>
      </c>
      <c r="G1411" s="5" t="s">
        <v>1514</v>
      </c>
      <c r="H1411" s="5" t="s">
        <v>1527</v>
      </c>
      <c r="I1411" s="5" t="s">
        <v>146</v>
      </c>
      <c r="J1411" s="5" t="s">
        <v>9</v>
      </c>
      <c r="K1411" s="5">
        <v>15.5</v>
      </c>
      <c r="L1411" s="5" t="s">
        <v>1528</v>
      </c>
      <c r="M1411" s="5">
        <v>1100</v>
      </c>
      <c r="N1411" s="5" t="s">
        <v>170</v>
      </c>
      <c r="O1411" s="6" t="s">
        <v>81</v>
      </c>
      <c r="P1411" s="6" t="s">
        <v>1530</v>
      </c>
      <c r="S1411" s="6">
        <v>15</v>
      </c>
      <c r="T1411" s="6">
        <v>4.33</v>
      </c>
      <c r="U1411" s="6">
        <v>1101</v>
      </c>
      <c r="V1411" s="6">
        <v>4.92</v>
      </c>
      <c r="W1411" s="6">
        <v>569</v>
      </c>
      <c r="X1411" s="6">
        <v>532</v>
      </c>
      <c r="Y1411" s="6">
        <v>0</v>
      </c>
      <c r="Z1411" s="6">
        <v>0</v>
      </c>
      <c r="AA1411" s="6">
        <v>0</v>
      </c>
      <c r="AB1411" s="6">
        <v>0</v>
      </c>
      <c r="AC1411" s="7">
        <v>40</v>
      </c>
      <c r="AD1411" s="7" t="s">
        <v>52</v>
      </c>
      <c r="AE1411" s="7">
        <v>13.03</v>
      </c>
      <c r="AF1411" s="7">
        <v>751</v>
      </c>
      <c r="AG1411" s="7">
        <v>18.399999999999999</v>
      </c>
      <c r="AH1411" s="7">
        <v>17.66</v>
      </c>
      <c r="AI1411" s="7">
        <v>20.62</v>
      </c>
      <c r="AJ1411" s="9">
        <v>100.034722140417</v>
      </c>
      <c r="AK1411" s="9">
        <v>102.1616856104</v>
      </c>
      <c r="AL1411" s="9">
        <v>150.258118937213</v>
      </c>
      <c r="AM1411" s="9">
        <v>22.7926313944611</v>
      </c>
      <c r="AN1411" s="9">
        <v>0.56981578486152695</v>
      </c>
      <c r="AO1411" s="9">
        <v>0.71904346969558497</v>
      </c>
      <c r="AP1411" s="9">
        <v>178.914922725476</v>
      </c>
      <c r="AQ1411" s="9">
        <v>4.4728730681368898</v>
      </c>
      <c r="AR1411" s="9">
        <v>8.0482313896376905</v>
      </c>
      <c r="AS1411" s="8" t="s">
        <v>169</v>
      </c>
      <c r="AT1411" s="8" t="s">
        <v>169</v>
      </c>
      <c r="AU1411" s="10" t="s">
        <v>169</v>
      </c>
      <c r="AV1411" s="10">
        <v>0</v>
      </c>
      <c r="AW1411" s="10" t="s">
        <v>169</v>
      </c>
      <c r="AX1411" s="10" t="s">
        <v>169</v>
      </c>
      <c r="BF1411" s="12">
        <v>0.45</v>
      </c>
      <c r="BG1411" s="13">
        <v>117.764800717041</v>
      </c>
      <c r="BH1411" s="96" t="str">
        <f>+VLOOKUP(G1411,Liste!$A$7:$G$50,3,FALSE)</f>
        <v>Pin d'Alep</v>
      </c>
      <c r="BI1411" s="96" t="str">
        <f>+VLOOKUP(H1411,Liste!$B$7:$G$50,5,FALSE)</f>
        <v>Pin d'Alep</v>
      </c>
      <c r="BJ1411" s="135">
        <f t="shared" ref="BJ1411:BJ1474" si="437">+AC1411</f>
        <v>40</v>
      </c>
      <c r="BK1411" s="135" t="str">
        <f t="shared" si="419"/>
        <v>Pin d'Alep_F1_Dynamique_Pin d'Alep_40_</v>
      </c>
      <c r="BL1411" s="322"/>
      <c r="BM1411" s="13">
        <v>33.231480701760397</v>
      </c>
      <c r="BN1411" s="13">
        <v>150.996281418801</v>
      </c>
      <c r="BO1411" s="13" t="s">
        <v>169</v>
      </c>
      <c r="BP1411" s="13">
        <v>133.34843814247799</v>
      </c>
      <c r="BQ1411" s="13">
        <v>7.8449785412423996</v>
      </c>
      <c r="BT1411" s="298" t="str">
        <f>+VLOOKUP(G1411,Liste!$A$7:$H$50,8,FALSE)</f>
        <v>Résineux</v>
      </c>
      <c r="BU1411" s="298">
        <f t="shared" si="420"/>
        <v>0</v>
      </c>
      <c r="BV1411" s="300">
        <f t="shared" si="421"/>
        <v>1</v>
      </c>
      <c r="BW1411" s="321">
        <v>0</v>
      </c>
      <c r="BX1411" s="298">
        <f t="shared" si="422"/>
        <v>0.43</v>
      </c>
      <c r="BY1411">
        <f t="shared" si="423"/>
        <v>0</v>
      </c>
      <c r="BZ1411" s="304">
        <f t="shared" si="424"/>
        <v>0</v>
      </c>
      <c r="CB1411" s="299">
        <v>0.6</v>
      </c>
      <c r="CC1411" s="299">
        <v>0.4</v>
      </c>
      <c r="CD1411">
        <f t="shared" si="425"/>
        <v>0</v>
      </c>
      <c r="CE1411">
        <f t="shared" si="426"/>
        <v>0</v>
      </c>
      <c r="CF1411">
        <f t="shared" si="427"/>
        <v>0</v>
      </c>
      <c r="CG1411">
        <f t="shared" si="428"/>
        <v>0</v>
      </c>
      <c r="CH1411">
        <f t="shared" si="429"/>
        <v>0</v>
      </c>
      <c r="CI1411">
        <f t="shared" si="430"/>
        <v>0</v>
      </c>
      <c r="CJ1411">
        <f t="shared" si="431"/>
        <v>0</v>
      </c>
      <c r="CK1411">
        <f t="shared" si="432"/>
        <v>0</v>
      </c>
      <c r="CL1411">
        <f t="shared" si="433"/>
        <v>0</v>
      </c>
      <c r="CM1411">
        <f t="shared" si="435"/>
        <v>0</v>
      </c>
      <c r="CN1411">
        <f t="shared" si="434"/>
        <v>0</v>
      </c>
      <c r="CO1411">
        <f t="shared" ref="CO1411:CO1474" si="438">+IF(BJ1411=30,CN1411/30,0)</f>
        <v>0</v>
      </c>
    </row>
    <row r="1412" spans="1:93" x14ac:dyDescent="0.25">
      <c r="A1412" s="4">
        <v>2021</v>
      </c>
      <c r="B1412" s="318">
        <v>44320</v>
      </c>
      <c r="C1412" s="4" t="s">
        <v>1524</v>
      </c>
      <c r="D1412" s="4" t="s">
        <v>1525</v>
      </c>
      <c r="F1412" s="4" t="s">
        <v>1526</v>
      </c>
      <c r="G1412" s="5" t="s">
        <v>1514</v>
      </c>
      <c r="H1412" s="5" t="s">
        <v>1527</v>
      </c>
      <c r="I1412" s="5" t="s">
        <v>146</v>
      </c>
      <c r="J1412" s="5" t="s">
        <v>9</v>
      </c>
      <c r="K1412" s="5">
        <v>15.5</v>
      </c>
      <c r="L1412" s="5" t="s">
        <v>1528</v>
      </c>
      <c r="M1412" s="5">
        <v>1100</v>
      </c>
      <c r="N1412" s="5" t="s">
        <v>170</v>
      </c>
      <c r="O1412" s="6" t="s">
        <v>81</v>
      </c>
      <c r="P1412" s="6" t="s">
        <v>1530</v>
      </c>
      <c r="S1412" s="6">
        <v>15</v>
      </c>
      <c r="T1412" s="6">
        <v>4.33</v>
      </c>
      <c r="U1412" s="6">
        <v>1101</v>
      </c>
      <c r="V1412" s="6">
        <v>4.92</v>
      </c>
      <c r="W1412" s="6">
        <v>569</v>
      </c>
      <c r="X1412" s="6">
        <v>532</v>
      </c>
      <c r="Y1412" s="6">
        <v>0</v>
      </c>
      <c r="Z1412" s="6">
        <v>0</v>
      </c>
      <c r="AA1412" s="6">
        <v>0</v>
      </c>
      <c r="AB1412" s="6">
        <v>0</v>
      </c>
      <c r="AC1412" s="7">
        <v>41</v>
      </c>
      <c r="AD1412" s="7" t="s">
        <v>52</v>
      </c>
      <c r="AE1412" s="7">
        <v>13.31</v>
      </c>
      <c r="AF1412" s="7">
        <v>751</v>
      </c>
      <c r="AG1412" s="7">
        <v>19.12</v>
      </c>
      <c r="AH1412" s="7">
        <v>18</v>
      </c>
      <c r="AI1412" s="7">
        <v>21.02</v>
      </c>
      <c r="AJ1412" s="9">
        <v>105.977188815373</v>
      </c>
      <c r="AK1412" s="9">
        <v>108.247633877552</v>
      </c>
      <c r="AL1412" s="9">
        <v>158.30635032685001</v>
      </c>
      <c r="AM1412" s="9">
        <v>23.511674864156699</v>
      </c>
      <c r="AN1412" s="9">
        <v>0.57345548449162598</v>
      </c>
      <c r="AO1412" s="9">
        <v>0.71911962190150502</v>
      </c>
      <c r="AP1412" s="9">
        <v>186.96315411511301</v>
      </c>
      <c r="AQ1412" s="9">
        <v>4.5600769296369101</v>
      </c>
      <c r="AR1412" s="9">
        <v>8.1897576279009208</v>
      </c>
      <c r="AS1412" s="8" t="s">
        <v>169</v>
      </c>
      <c r="AT1412" s="8" t="s">
        <v>169</v>
      </c>
      <c r="AU1412" s="10" t="s">
        <v>169</v>
      </c>
      <c r="AV1412" s="10">
        <v>0</v>
      </c>
      <c r="AW1412" s="10" t="s">
        <v>169</v>
      </c>
      <c r="AX1412" s="10" t="s">
        <v>169</v>
      </c>
      <c r="BF1412" s="12">
        <v>0.45</v>
      </c>
      <c r="BG1412" s="13">
        <v>124.072602068669</v>
      </c>
      <c r="BH1412" s="96" t="str">
        <f>+VLOOKUP(G1412,Liste!$A$7:$G$50,3,FALSE)</f>
        <v>Pin d'Alep</v>
      </c>
      <c r="BI1412" s="96" t="str">
        <f>+VLOOKUP(H1412,Liste!$B$7:$G$50,5,FALSE)</f>
        <v>Pin d'Alep</v>
      </c>
      <c r="BJ1412" s="135">
        <f t="shared" si="437"/>
        <v>41</v>
      </c>
      <c r="BK1412" s="135" t="str">
        <f t="shared" ref="BK1412:BK1475" si="439">+_xlfn.CONCAT(BH1412,"_",J1412,"_",I1412,"_",BI1412,"_",BJ1412,"_")</f>
        <v>Pin d'Alep_F1_Dynamique_Pin d'Alep_41_</v>
      </c>
      <c r="BL1412" s="322"/>
      <c r="BM1412" s="13">
        <v>34.799452584701797</v>
      </c>
      <c r="BN1412" s="13">
        <v>158.87205465337101</v>
      </c>
      <c r="BO1412" s="13" t="s">
        <v>169</v>
      </c>
      <c r="BP1412" s="13">
        <v>133.34843814247799</v>
      </c>
      <c r="BQ1412" s="13">
        <v>7.9750433299035697</v>
      </c>
      <c r="BT1412" s="298" t="str">
        <f>+VLOOKUP(G1412,Liste!$A$7:$H$50,8,FALSE)</f>
        <v>Résineux</v>
      </c>
      <c r="BU1412" s="298">
        <f t="shared" ref="BU1412:BU1475" si="440">IF(BT1412="Résineux",0%,100%)</f>
        <v>0</v>
      </c>
      <c r="BV1412" s="300">
        <f t="shared" ref="BV1412:BV1475" si="441">+IF(BT1412="Résineux",100%,0%)</f>
        <v>1</v>
      </c>
      <c r="BW1412" s="321">
        <v>0</v>
      </c>
      <c r="BX1412" s="298">
        <f t="shared" ref="BX1412:BX1475" si="442">+IF(BV1412&lt;&gt;0,0.43,0.25)</f>
        <v>0.43</v>
      </c>
      <c r="BY1412">
        <f t="shared" ref="BY1412:BY1475" si="443">+IF(BJ1412&lt;=30,AV1412*BX1412,0)</f>
        <v>0</v>
      </c>
      <c r="BZ1412" s="304">
        <f t="shared" ref="BZ1412:BZ1475" si="444">+IF(BJ1412&gt;=31,0,BY1412+BZ1411)</f>
        <v>0</v>
      </c>
      <c r="CB1412" s="299">
        <v>0.6</v>
      </c>
      <c r="CC1412" s="299">
        <v>0.4</v>
      </c>
      <c r="CD1412">
        <f t="shared" ref="CD1412:CD1475" si="445">+IF(BJ1412&lt;=31,AV1412*CA1412*0.5,0)</f>
        <v>0</v>
      </c>
      <c r="CE1412">
        <f t="shared" ref="CE1412:CE1475" si="446">IF(BJ1412&lt;=31,AV1412*CB1412,0)</f>
        <v>0</v>
      </c>
      <c r="CF1412">
        <f t="shared" ref="CF1412:CF1475" si="447">IF(BJ1412&lt;=31,AV1412*CC1412,0)</f>
        <v>0</v>
      </c>
      <c r="CG1412">
        <f t="shared" ref="CG1412:CG1475" si="448">CD1412*44/12*0.475*BF1412</f>
        <v>0</v>
      </c>
      <c r="CH1412">
        <f t="shared" ref="CH1412:CH1475" si="449">CE1412*44/12*0.475*BF1412</f>
        <v>0</v>
      </c>
      <c r="CI1412">
        <f t="shared" ref="CI1412:CI1475" si="450">CF1412*44/12*0.475*BF1412</f>
        <v>0</v>
      </c>
      <c r="CJ1412">
        <f t="shared" ref="CJ1412:CJ1475" si="451">+IF(BJ1412&lt;=31,CJ1411*EXP(-$CJ$1)+CG1411*(1-EXP(-$CJ$1))/$CJ$1,0)</f>
        <v>0</v>
      </c>
      <c r="CK1412">
        <f t="shared" ref="CK1412:CK1475" si="452">+IF(BJ1412&lt;=31,CK1411*EXP(-$CK$1)+CH1411*(1-EXP(-$CK$1))/$CK$1,0)</f>
        <v>0</v>
      </c>
      <c r="CL1412">
        <f t="shared" ref="CL1412:CL1475" si="453">+IF(BJ1412&lt;=31,CL1411*EXP(-$CL$1)+CI1411*(1-EXP(-$CL$1))/$CL$1,0)</f>
        <v>0</v>
      </c>
      <c r="CM1412">
        <f t="shared" si="435"/>
        <v>0</v>
      </c>
      <c r="CN1412">
        <f t="shared" ref="CN1412:CN1475" si="454">+IF(BJ1412&lt;=31,CM1412+CN1411,0)</f>
        <v>0</v>
      </c>
      <c r="CO1412">
        <f t="shared" si="438"/>
        <v>0</v>
      </c>
    </row>
    <row r="1413" spans="1:93" x14ac:dyDescent="0.25">
      <c r="A1413" s="4">
        <v>2021</v>
      </c>
      <c r="B1413" s="318">
        <v>44320</v>
      </c>
      <c r="C1413" s="4" t="s">
        <v>1524</v>
      </c>
      <c r="D1413" s="4" t="s">
        <v>1525</v>
      </c>
      <c r="F1413" s="4" t="s">
        <v>1526</v>
      </c>
      <c r="G1413" s="5" t="s">
        <v>1514</v>
      </c>
      <c r="H1413" s="5" t="s">
        <v>1527</v>
      </c>
      <c r="I1413" s="5" t="s">
        <v>146</v>
      </c>
      <c r="J1413" s="5" t="s">
        <v>9</v>
      </c>
      <c r="K1413" s="5">
        <v>15.5</v>
      </c>
      <c r="L1413" s="5" t="s">
        <v>1528</v>
      </c>
      <c r="M1413" s="5">
        <v>1100</v>
      </c>
      <c r="N1413" s="5" t="s">
        <v>170</v>
      </c>
      <c r="O1413" s="6" t="s">
        <v>81</v>
      </c>
      <c r="P1413" s="6" t="s">
        <v>1530</v>
      </c>
      <c r="S1413" s="6">
        <v>15</v>
      </c>
      <c r="T1413" s="6">
        <v>4.33</v>
      </c>
      <c r="U1413" s="6">
        <v>1101</v>
      </c>
      <c r="V1413" s="6">
        <v>4.92</v>
      </c>
      <c r="W1413" s="6">
        <v>569</v>
      </c>
      <c r="X1413" s="6">
        <v>532</v>
      </c>
      <c r="Y1413" s="6">
        <v>0</v>
      </c>
      <c r="Z1413" s="6">
        <v>0</v>
      </c>
      <c r="AA1413" s="6">
        <v>0</v>
      </c>
      <c r="AB1413" s="6">
        <v>0</v>
      </c>
      <c r="AC1413" s="7">
        <v>42</v>
      </c>
      <c r="AD1413" s="7" t="s">
        <v>52</v>
      </c>
      <c r="AE1413" s="7">
        <v>13.57</v>
      </c>
      <c r="AF1413" s="7">
        <v>751</v>
      </c>
      <c r="AG1413" s="7">
        <v>19.84</v>
      </c>
      <c r="AH1413" s="7">
        <v>18.34</v>
      </c>
      <c r="AI1413" s="7">
        <v>21.42</v>
      </c>
      <c r="AJ1413" s="9">
        <v>112.0417957272</v>
      </c>
      <c r="AK1413" s="9">
        <v>114.459085377834</v>
      </c>
      <c r="AL1413" s="9">
        <v>166.49610795475101</v>
      </c>
      <c r="AM1413" s="9">
        <v>24.230794486058201</v>
      </c>
      <c r="AN1413" s="9">
        <v>0.57692367823947999</v>
      </c>
      <c r="AO1413" s="9">
        <v>0.71596576132861101</v>
      </c>
      <c r="AP1413" s="9">
        <v>195.15291174301399</v>
      </c>
      <c r="AQ1413" s="9">
        <v>4.6464978986431902</v>
      </c>
      <c r="AR1413" s="9">
        <v>8.2601746365720601</v>
      </c>
      <c r="AS1413" s="8" t="s">
        <v>169</v>
      </c>
      <c r="AT1413" s="8" t="s">
        <v>169</v>
      </c>
      <c r="AU1413" s="10" t="s">
        <v>169</v>
      </c>
      <c r="AV1413" s="10">
        <v>0</v>
      </c>
      <c r="AW1413" s="10" t="s">
        <v>169</v>
      </c>
      <c r="AX1413" s="10" t="s">
        <v>169</v>
      </c>
      <c r="BF1413" s="12">
        <v>0.45</v>
      </c>
      <c r="BG1413" s="13">
        <v>130.49132460953601</v>
      </c>
      <c r="BH1413" s="96" t="str">
        <f>+VLOOKUP(G1413,Liste!$A$7:$G$50,3,FALSE)</f>
        <v>Pin d'Alep</v>
      </c>
      <c r="BI1413" s="96" t="str">
        <f>+VLOOKUP(H1413,Liste!$B$7:$G$50,5,FALSE)</f>
        <v>Pin d'Alep</v>
      </c>
      <c r="BJ1413" s="135">
        <f t="shared" si="437"/>
        <v>42</v>
      </c>
      <c r="BK1413" s="135" t="str">
        <f t="shared" si="439"/>
        <v>Pin d'Alep_F1_Dynamique_Pin d'Alep_42_</v>
      </c>
      <c r="BL1413" s="322"/>
      <c r="BM1413" s="13">
        <v>36.3854987488563</v>
      </c>
      <c r="BN1413" s="13">
        <v>166.87682335839301</v>
      </c>
      <c r="BO1413" s="13" t="s">
        <v>169</v>
      </c>
      <c r="BP1413" s="13">
        <v>133.34843814247799</v>
      </c>
      <c r="BQ1413" s="13">
        <v>8.0359309066049907</v>
      </c>
      <c r="BT1413" s="298" t="str">
        <f>+VLOOKUP(G1413,Liste!$A$7:$H$50,8,FALSE)</f>
        <v>Résineux</v>
      </c>
      <c r="BU1413" s="298">
        <f t="shared" si="440"/>
        <v>0</v>
      </c>
      <c r="BV1413" s="300">
        <f t="shared" si="441"/>
        <v>1</v>
      </c>
      <c r="BW1413" s="321">
        <v>0</v>
      </c>
      <c r="BX1413" s="298">
        <f t="shared" si="442"/>
        <v>0.43</v>
      </c>
      <c r="BY1413">
        <f t="shared" si="443"/>
        <v>0</v>
      </c>
      <c r="BZ1413" s="304">
        <f t="shared" si="444"/>
        <v>0</v>
      </c>
      <c r="CB1413" s="299">
        <v>0.6</v>
      </c>
      <c r="CC1413" s="299">
        <v>0.4</v>
      </c>
      <c r="CD1413">
        <f t="shared" si="445"/>
        <v>0</v>
      </c>
      <c r="CE1413">
        <f t="shared" si="446"/>
        <v>0</v>
      </c>
      <c r="CF1413">
        <f t="shared" si="447"/>
        <v>0</v>
      </c>
      <c r="CG1413">
        <f t="shared" si="448"/>
        <v>0</v>
      </c>
      <c r="CH1413">
        <f t="shared" si="449"/>
        <v>0</v>
      </c>
      <c r="CI1413">
        <f t="shared" si="450"/>
        <v>0</v>
      </c>
      <c r="CJ1413">
        <f t="shared" si="451"/>
        <v>0</v>
      </c>
      <c r="CK1413">
        <f t="shared" si="452"/>
        <v>0</v>
      </c>
      <c r="CL1413">
        <f t="shared" si="453"/>
        <v>0</v>
      </c>
      <c r="CM1413">
        <f t="shared" ref="CM1413:CM1476" si="455">+CJ1413+CK1413+CL1413</f>
        <v>0</v>
      </c>
      <c r="CN1413">
        <f t="shared" si="454"/>
        <v>0</v>
      </c>
      <c r="CO1413">
        <f t="shared" si="438"/>
        <v>0</v>
      </c>
    </row>
    <row r="1414" spans="1:93" x14ac:dyDescent="0.25">
      <c r="A1414" s="4">
        <v>2021</v>
      </c>
      <c r="B1414" s="318">
        <v>44320</v>
      </c>
      <c r="C1414" s="4" t="s">
        <v>1524</v>
      </c>
      <c r="D1414" s="4" t="s">
        <v>1525</v>
      </c>
      <c r="F1414" s="4" t="s">
        <v>1526</v>
      </c>
      <c r="G1414" s="5" t="s">
        <v>1514</v>
      </c>
      <c r="H1414" s="5" t="s">
        <v>1527</v>
      </c>
      <c r="I1414" s="5" t="s">
        <v>146</v>
      </c>
      <c r="J1414" s="5" t="s">
        <v>9</v>
      </c>
      <c r="K1414" s="5">
        <v>15.5</v>
      </c>
      <c r="L1414" s="5" t="s">
        <v>1528</v>
      </c>
      <c r="M1414" s="5">
        <v>1100</v>
      </c>
      <c r="N1414" s="5" t="s">
        <v>170</v>
      </c>
      <c r="O1414" s="6" t="s">
        <v>81</v>
      </c>
      <c r="P1414" s="6" t="s">
        <v>1530</v>
      </c>
      <c r="S1414" s="6">
        <v>15</v>
      </c>
      <c r="T1414" s="6">
        <v>4.33</v>
      </c>
      <c r="U1414" s="6">
        <v>1101</v>
      </c>
      <c r="V1414" s="6">
        <v>4.92</v>
      </c>
      <c r="W1414" s="6">
        <v>569</v>
      </c>
      <c r="X1414" s="6">
        <v>532</v>
      </c>
      <c r="Y1414" s="6">
        <v>0</v>
      </c>
      <c r="Z1414" s="6">
        <v>0</v>
      </c>
      <c r="AA1414" s="6">
        <v>0</v>
      </c>
      <c r="AB1414" s="6">
        <v>0</v>
      </c>
      <c r="AC1414" s="7">
        <v>43</v>
      </c>
      <c r="AD1414" s="7" t="s">
        <v>52</v>
      </c>
      <c r="AE1414" s="7">
        <v>13.83</v>
      </c>
      <c r="AF1414" s="7">
        <v>751</v>
      </c>
      <c r="AG1414" s="7">
        <v>20.56</v>
      </c>
      <c r="AH1414" s="7">
        <v>18.670000000000002</v>
      </c>
      <c r="AI1414" s="7">
        <v>21.81</v>
      </c>
      <c r="AJ1414" s="9">
        <v>118.167858494577</v>
      </c>
      <c r="AK1414" s="9">
        <v>120.73518638845501</v>
      </c>
      <c r="AL1414" s="9">
        <v>174.75628259132299</v>
      </c>
      <c r="AM1414" s="9">
        <v>24.946760247386798</v>
      </c>
      <c r="AN1414" s="9">
        <v>0.58015721505550699</v>
      </c>
      <c r="AO1414" s="9">
        <v>0.71604203919823595</v>
      </c>
      <c r="AP1414" s="9">
        <v>203.41308637958599</v>
      </c>
      <c r="AQ1414" s="9">
        <v>4.7305368925485203</v>
      </c>
      <c r="AR1414" s="9">
        <v>8.3930925467193394</v>
      </c>
      <c r="AS1414" s="8" t="s">
        <v>169</v>
      </c>
      <c r="AT1414" s="8" t="s">
        <v>169</v>
      </c>
      <c r="AU1414" s="10" t="s">
        <v>169</v>
      </c>
      <c r="AV1414" s="10">
        <v>0</v>
      </c>
      <c r="AW1414" s="10" t="s">
        <v>169</v>
      </c>
      <c r="AX1414" s="10" t="s">
        <v>169</v>
      </c>
      <c r="BF1414" s="12">
        <v>0.45</v>
      </c>
      <c r="BG1414" s="13">
        <v>136.96523648095001</v>
      </c>
      <c r="BH1414" s="96" t="str">
        <f>+VLOOKUP(G1414,Liste!$A$7:$G$50,3,FALSE)</f>
        <v>Pin d'Alep</v>
      </c>
      <c r="BI1414" s="96" t="str">
        <f>+VLOOKUP(H1414,Liste!$B$7:$G$50,5,FALSE)</f>
        <v>Pin d'Alep</v>
      </c>
      <c r="BJ1414" s="135">
        <f t="shared" si="437"/>
        <v>43</v>
      </c>
      <c r="BK1414" s="135" t="str">
        <f t="shared" si="439"/>
        <v>Pin d'Alep_F1_Dynamique_Pin d'Alep_43_</v>
      </c>
      <c r="BL1414" s="322"/>
      <c r="BM1414" s="13">
        <v>37.976007307327698</v>
      </c>
      <c r="BN1414" s="13">
        <v>174.94124378827701</v>
      </c>
      <c r="BO1414" s="13" t="s">
        <v>169</v>
      </c>
      <c r="BP1414" s="13">
        <v>133.34843814247799</v>
      </c>
      <c r="BQ1414" s="13">
        <v>8.1576954159258204</v>
      </c>
      <c r="BT1414" s="298" t="str">
        <f>+VLOOKUP(G1414,Liste!$A$7:$H$50,8,FALSE)</f>
        <v>Résineux</v>
      </c>
      <c r="BU1414" s="298">
        <f t="shared" si="440"/>
        <v>0</v>
      </c>
      <c r="BV1414" s="300">
        <f t="shared" si="441"/>
        <v>1</v>
      </c>
      <c r="BW1414" s="321">
        <v>0</v>
      </c>
      <c r="BX1414" s="298">
        <f t="shared" si="442"/>
        <v>0.43</v>
      </c>
      <c r="BY1414">
        <f t="shared" si="443"/>
        <v>0</v>
      </c>
      <c r="BZ1414" s="304">
        <f t="shared" si="444"/>
        <v>0</v>
      </c>
      <c r="CB1414" s="299">
        <v>0.6</v>
      </c>
      <c r="CC1414" s="299">
        <v>0.4</v>
      </c>
      <c r="CD1414">
        <f t="shared" si="445"/>
        <v>0</v>
      </c>
      <c r="CE1414">
        <f t="shared" si="446"/>
        <v>0</v>
      </c>
      <c r="CF1414">
        <f t="shared" si="447"/>
        <v>0</v>
      </c>
      <c r="CG1414">
        <f t="shared" si="448"/>
        <v>0</v>
      </c>
      <c r="CH1414">
        <f t="shared" si="449"/>
        <v>0</v>
      </c>
      <c r="CI1414">
        <f t="shared" si="450"/>
        <v>0</v>
      </c>
      <c r="CJ1414">
        <f t="shared" si="451"/>
        <v>0</v>
      </c>
      <c r="CK1414">
        <f t="shared" si="452"/>
        <v>0</v>
      </c>
      <c r="CL1414">
        <f t="shared" si="453"/>
        <v>0</v>
      </c>
      <c r="CM1414">
        <f t="shared" si="455"/>
        <v>0</v>
      </c>
      <c r="CN1414">
        <f t="shared" si="454"/>
        <v>0</v>
      </c>
      <c r="CO1414">
        <f t="shared" si="438"/>
        <v>0</v>
      </c>
    </row>
    <row r="1415" spans="1:93" x14ac:dyDescent="0.25">
      <c r="A1415" s="4">
        <v>2021</v>
      </c>
      <c r="B1415" s="318">
        <v>44320</v>
      </c>
      <c r="C1415" s="4" t="s">
        <v>1524</v>
      </c>
      <c r="D1415" s="4" t="s">
        <v>1525</v>
      </c>
      <c r="F1415" s="4" t="s">
        <v>1526</v>
      </c>
      <c r="G1415" s="5" t="s">
        <v>1514</v>
      </c>
      <c r="H1415" s="5" t="s">
        <v>1527</v>
      </c>
      <c r="I1415" s="5" t="s">
        <v>146</v>
      </c>
      <c r="J1415" s="5" t="s">
        <v>9</v>
      </c>
      <c r="K1415" s="5">
        <v>15.5</v>
      </c>
      <c r="L1415" s="5" t="s">
        <v>1528</v>
      </c>
      <c r="M1415" s="5">
        <v>1100</v>
      </c>
      <c r="N1415" s="5" t="s">
        <v>170</v>
      </c>
      <c r="O1415" s="6" t="s">
        <v>81</v>
      </c>
      <c r="P1415" s="6" t="s">
        <v>1530</v>
      </c>
      <c r="S1415" s="6">
        <v>15</v>
      </c>
      <c r="T1415" s="6">
        <v>4.33</v>
      </c>
      <c r="U1415" s="6">
        <v>1101</v>
      </c>
      <c r="V1415" s="6">
        <v>4.92</v>
      </c>
      <c r="W1415" s="6">
        <v>569</v>
      </c>
      <c r="X1415" s="6">
        <v>532</v>
      </c>
      <c r="Y1415" s="6">
        <v>0</v>
      </c>
      <c r="Z1415" s="6">
        <v>0</v>
      </c>
      <c r="AA1415" s="6">
        <v>0</v>
      </c>
      <c r="AB1415" s="6">
        <v>0</v>
      </c>
      <c r="AC1415" s="7">
        <v>44</v>
      </c>
      <c r="AD1415" s="7" t="s">
        <v>52</v>
      </c>
      <c r="AE1415" s="7">
        <v>14.09</v>
      </c>
      <c r="AF1415" s="7">
        <v>751</v>
      </c>
      <c r="AG1415" s="7">
        <v>21.27</v>
      </c>
      <c r="AH1415" s="7">
        <v>18.989999999999998</v>
      </c>
      <c r="AI1415" s="7">
        <v>22.2</v>
      </c>
      <c r="AJ1415" s="9">
        <v>124.40817226601099</v>
      </c>
      <c r="AK1415" s="9">
        <v>127.12888401072701</v>
      </c>
      <c r="AL1415" s="9">
        <v>183.14937513804301</v>
      </c>
      <c r="AM1415" s="9">
        <v>25.662802286584999</v>
      </c>
      <c r="AN1415" s="9">
        <v>0.58324550651329599</v>
      </c>
      <c r="AO1415" s="9">
        <v>0.712387879995248</v>
      </c>
      <c r="AP1415" s="9">
        <v>211.80617892630599</v>
      </c>
      <c r="AQ1415" s="9">
        <v>4.8137767937796703</v>
      </c>
      <c r="AR1415" s="9">
        <v>8.4520397523520501</v>
      </c>
      <c r="AS1415" s="8" t="s">
        <v>169</v>
      </c>
      <c r="AT1415" s="8" t="s">
        <v>169</v>
      </c>
      <c r="AU1415" s="10" t="s">
        <v>169</v>
      </c>
      <c r="AV1415" s="10">
        <v>0</v>
      </c>
      <c r="AW1415" s="10" t="s">
        <v>169</v>
      </c>
      <c r="AX1415" s="10" t="s">
        <v>169</v>
      </c>
      <c r="BF1415" s="12">
        <v>0.45</v>
      </c>
      <c r="BG1415" s="13">
        <v>143.543322764441</v>
      </c>
      <c r="BH1415" s="96" t="str">
        <f>+VLOOKUP(G1415,Liste!$A$7:$G$50,3,FALSE)</f>
        <v>Pin d'Alep</v>
      </c>
      <c r="BI1415" s="96" t="str">
        <f>+VLOOKUP(H1415,Liste!$B$7:$G$50,5,FALSE)</f>
        <v>Pin d'Alep</v>
      </c>
      <c r="BJ1415" s="135">
        <f t="shared" si="437"/>
        <v>44</v>
      </c>
      <c r="BK1415" s="135" t="str">
        <f t="shared" si="439"/>
        <v>Pin d'Alep_F1_Dynamique_Pin d'Alep_44_</v>
      </c>
      <c r="BL1415" s="322"/>
      <c r="BM1415" s="13">
        <v>39.5831698628159</v>
      </c>
      <c r="BN1415" s="13">
        <v>183.12649262725699</v>
      </c>
      <c r="BO1415" s="13" t="s">
        <v>169</v>
      </c>
      <c r="BP1415" s="13">
        <v>133.34843814247799</v>
      </c>
      <c r="BQ1415" s="13">
        <v>8.2076421422681793</v>
      </c>
      <c r="BT1415" s="298" t="str">
        <f>+VLOOKUP(G1415,Liste!$A$7:$H$50,8,FALSE)</f>
        <v>Résineux</v>
      </c>
      <c r="BU1415" s="298">
        <f t="shared" si="440"/>
        <v>0</v>
      </c>
      <c r="BV1415" s="300">
        <f t="shared" si="441"/>
        <v>1</v>
      </c>
      <c r="BW1415" s="321">
        <v>0</v>
      </c>
      <c r="BX1415" s="298">
        <f t="shared" si="442"/>
        <v>0.43</v>
      </c>
      <c r="BY1415">
        <f t="shared" si="443"/>
        <v>0</v>
      </c>
      <c r="BZ1415" s="304">
        <f t="shared" si="444"/>
        <v>0</v>
      </c>
      <c r="CB1415" s="299">
        <v>0.6</v>
      </c>
      <c r="CC1415" s="299">
        <v>0.4</v>
      </c>
      <c r="CD1415">
        <f t="shared" si="445"/>
        <v>0</v>
      </c>
      <c r="CE1415">
        <f t="shared" si="446"/>
        <v>0</v>
      </c>
      <c r="CF1415">
        <f t="shared" si="447"/>
        <v>0</v>
      </c>
      <c r="CG1415">
        <f t="shared" si="448"/>
        <v>0</v>
      </c>
      <c r="CH1415">
        <f t="shared" si="449"/>
        <v>0</v>
      </c>
      <c r="CI1415">
        <f t="shared" si="450"/>
        <v>0</v>
      </c>
      <c r="CJ1415">
        <f t="shared" si="451"/>
        <v>0</v>
      </c>
      <c r="CK1415">
        <f t="shared" si="452"/>
        <v>0</v>
      </c>
      <c r="CL1415">
        <f t="shared" si="453"/>
        <v>0</v>
      </c>
      <c r="CM1415">
        <f t="shared" si="455"/>
        <v>0</v>
      </c>
      <c r="CN1415">
        <f t="shared" si="454"/>
        <v>0</v>
      </c>
      <c r="CO1415">
        <f t="shared" si="438"/>
        <v>0</v>
      </c>
    </row>
    <row r="1416" spans="1:93" x14ac:dyDescent="0.25">
      <c r="A1416" s="4">
        <v>2021</v>
      </c>
      <c r="B1416" s="318">
        <v>44320</v>
      </c>
      <c r="C1416" s="4" t="s">
        <v>1524</v>
      </c>
      <c r="D1416" s="4" t="s">
        <v>1525</v>
      </c>
      <c r="F1416" s="4" t="s">
        <v>1526</v>
      </c>
      <c r="G1416" s="5" t="s">
        <v>1514</v>
      </c>
      <c r="H1416" s="5" t="s">
        <v>1527</v>
      </c>
      <c r="I1416" s="5" t="s">
        <v>146</v>
      </c>
      <c r="J1416" s="5" t="s">
        <v>9</v>
      </c>
      <c r="K1416" s="5">
        <v>15.5</v>
      </c>
      <c r="L1416" s="5" t="s">
        <v>1528</v>
      </c>
      <c r="M1416" s="5">
        <v>1100</v>
      </c>
      <c r="N1416" s="5" t="s">
        <v>170</v>
      </c>
      <c r="O1416" s="6" t="s">
        <v>81</v>
      </c>
      <c r="P1416" s="6" t="s">
        <v>1530</v>
      </c>
      <c r="S1416" s="6">
        <v>15</v>
      </c>
      <c r="T1416" s="6">
        <v>4.33</v>
      </c>
      <c r="U1416" s="6">
        <v>1101</v>
      </c>
      <c r="V1416" s="6">
        <v>4.92</v>
      </c>
      <c r="W1416" s="6">
        <v>569</v>
      </c>
      <c r="X1416" s="6">
        <v>532</v>
      </c>
      <c r="Y1416" s="6">
        <v>0</v>
      </c>
      <c r="Z1416" s="6">
        <v>0</v>
      </c>
      <c r="AA1416" s="6">
        <v>0</v>
      </c>
      <c r="AB1416" s="6">
        <v>0</v>
      </c>
      <c r="AC1416" s="7">
        <v>45</v>
      </c>
      <c r="AD1416" s="7" t="s">
        <v>52</v>
      </c>
      <c r="AE1416" s="7">
        <v>14.34</v>
      </c>
      <c r="AF1416" s="7">
        <v>751</v>
      </c>
      <c r="AG1416" s="7">
        <v>21.98</v>
      </c>
      <c r="AH1416" s="7">
        <v>19.309999999999999</v>
      </c>
      <c r="AI1416" s="7">
        <v>22.58</v>
      </c>
      <c r="AJ1416" s="9">
        <v>130.70093225656601</v>
      </c>
      <c r="AK1416" s="9">
        <v>133.57787852076501</v>
      </c>
      <c r="AL1416" s="9">
        <v>191.60141489039501</v>
      </c>
      <c r="AM1416" s="9">
        <v>26.3751901665803</v>
      </c>
      <c r="AN1416" s="9">
        <v>0.58611533703511698</v>
      </c>
      <c r="AO1416" s="9">
        <v>0.709692385644487</v>
      </c>
      <c r="AP1416" s="9">
        <v>220.25821867865801</v>
      </c>
      <c r="AQ1416" s="9">
        <v>4.8946270817479496</v>
      </c>
      <c r="AR1416" s="9">
        <v>8.5648214073723405</v>
      </c>
      <c r="AS1416" s="8" t="s">
        <v>169</v>
      </c>
      <c r="AT1416" s="8" t="s">
        <v>169</v>
      </c>
      <c r="AU1416" s="10" t="s">
        <v>169</v>
      </c>
      <c r="AV1416" s="10">
        <v>0</v>
      </c>
      <c r="AW1416" s="10" t="s">
        <v>169</v>
      </c>
      <c r="AX1416" s="10" t="s">
        <v>169</v>
      </c>
      <c r="BF1416" s="12">
        <v>0.45</v>
      </c>
      <c r="BG1416" s="13">
        <v>150.16760892034699</v>
      </c>
      <c r="BH1416" s="96" t="str">
        <f>+VLOOKUP(G1416,Liste!$A$7:$G$50,3,FALSE)</f>
        <v>Pin d'Alep</v>
      </c>
      <c r="BI1416" s="96" t="str">
        <f>+VLOOKUP(H1416,Liste!$B$7:$G$50,5,FALSE)</f>
        <v>Pin d'Alep</v>
      </c>
      <c r="BJ1416" s="135">
        <f t="shared" si="437"/>
        <v>45</v>
      </c>
      <c r="BK1416" s="135" t="str">
        <f t="shared" si="439"/>
        <v>Pin d'Alep_F1_Dynamique_Pin d'Alep_45_</v>
      </c>
      <c r="BL1416" s="322"/>
      <c r="BM1416" s="13">
        <v>41.192977426181997</v>
      </c>
      <c r="BN1416" s="13">
        <v>191.360586346529</v>
      </c>
      <c r="BO1416" s="13" t="s">
        <v>169</v>
      </c>
      <c r="BP1416" s="13">
        <v>133.34843814247799</v>
      </c>
      <c r="BQ1416" s="13">
        <v>8.3099637000455306</v>
      </c>
      <c r="BT1416" s="298" t="str">
        <f>+VLOOKUP(G1416,Liste!$A$7:$H$50,8,FALSE)</f>
        <v>Résineux</v>
      </c>
      <c r="BU1416" s="298">
        <f t="shared" si="440"/>
        <v>0</v>
      </c>
      <c r="BV1416" s="300">
        <f t="shared" si="441"/>
        <v>1</v>
      </c>
      <c r="BW1416" s="321">
        <v>0</v>
      </c>
      <c r="BX1416" s="298">
        <f t="shared" si="442"/>
        <v>0.43</v>
      </c>
      <c r="BY1416">
        <f t="shared" si="443"/>
        <v>0</v>
      </c>
      <c r="BZ1416" s="304">
        <f t="shared" si="444"/>
        <v>0</v>
      </c>
      <c r="CB1416" s="299">
        <v>0.6</v>
      </c>
      <c r="CC1416" s="299">
        <v>0.4</v>
      </c>
      <c r="CD1416">
        <f t="shared" si="445"/>
        <v>0</v>
      </c>
      <c r="CE1416">
        <f t="shared" si="446"/>
        <v>0</v>
      </c>
      <c r="CF1416">
        <f t="shared" si="447"/>
        <v>0</v>
      </c>
      <c r="CG1416">
        <f t="shared" si="448"/>
        <v>0</v>
      </c>
      <c r="CH1416">
        <f t="shared" si="449"/>
        <v>0</v>
      </c>
      <c r="CI1416">
        <f t="shared" si="450"/>
        <v>0</v>
      </c>
      <c r="CJ1416">
        <f t="shared" si="451"/>
        <v>0</v>
      </c>
      <c r="CK1416">
        <f t="shared" si="452"/>
        <v>0</v>
      </c>
      <c r="CL1416">
        <f t="shared" si="453"/>
        <v>0</v>
      </c>
      <c r="CM1416">
        <f t="shared" si="455"/>
        <v>0</v>
      </c>
      <c r="CN1416">
        <f t="shared" si="454"/>
        <v>0</v>
      </c>
      <c r="CO1416">
        <f t="shared" si="438"/>
        <v>0</v>
      </c>
    </row>
    <row r="1417" spans="1:93" x14ac:dyDescent="0.25">
      <c r="A1417" s="4">
        <v>2021</v>
      </c>
      <c r="B1417" s="318">
        <v>44320</v>
      </c>
      <c r="C1417" s="4" t="s">
        <v>1524</v>
      </c>
      <c r="D1417" s="4" t="s">
        <v>1525</v>
      </c>
      <c r="F1417" s="4" t="s">
        <v>1526</v>
      </c>
      <c r="G1417" s="5" t="s">
        <v>1514</v>
      </c>
      <c r="H1417" s="5" t="s">
        <v>1527</v>
      </c>
      <c r="I1417" s="5" t="s">
        <v>146</v>
      </c>
      <c r="J1417" s="5" t="s">
        <v>9</v>
      </c>
      <c r="K1417" s="5">
        <v>15.5</v>
      </c>
      <c r="L1417" s="5" t="s">
        <v>1528</v>
      </c>
      <c r="M1417" s="5">
        <v>1100</v>
      </c>
      <c r="N1417" s="5" t="s">
        <v>170</v>
      </c>
      <c r="O1417" s="6" t="s">
        <v>81</v>
      </c>
      <c r="P1417" s="6" t="s">
        <v>1530</v>
      </c>
      <c r="S1417" s="6">
        <v>15</v>
      </c>
      <c r="T1417" s="6">
        <v>4.33</v>
      </c>
      <c r="U1417" s="6">
        <v>1101</v>
      </c>
      <c r="V1417" s="6">
        <v>4.92</v>
      </c>
      <c r="W1417" s="6">
        <v>569</v>
      </c>
      <c r="X1417" s="6">
        <v>532</v>
      </c>
      <c r="Y1417" s="6">
        <v>0</v>
      </c>
      <c r="Z1417" s="6">
        <v>0</v>
      </c>
      <c r="AA1417" s="6">
        <v>0</v>
      </c>
      <c r="AB1417" s="6">
        <v>0</v>
      </c>
      <c r="AC1417" s="7">
        <v>46</v>
      </c>
      <c r="AD1417" s="7" t="s">
        <v>52</v>
      </c>
      <c r="AE1417" s="7">
        <v>14.59</v>
      </c>
      <c r="AF1417" s="7">
        <v>751</v>
      </c>
      <c r="AG1417" s="7">
        <v>22.69</v>
      </c>
      <c r="AH1417" s="7">
        <v>19.61</v>
      </c>
      <c r="AI1417" s="7">
        <v>22.96</v>
      </c>
      <c r="AJ1417" s="9">
        <v>137.09659703068499</v>
      </c>
      <c r="AK1417" s="9">
        <v>140.13210045447701</v>
      </c>
      <c r="AL1417" s="9">
        <v>200.166236297767</v>
      </c>
      <c r="AM1417" s="9">
        <v>27.084882552224801</v>
      </c>
      <c r="AN1417" s="9">
        <v>0.58880179461358195</v>
      </c>
      <c r="AO1417" s="9">
        <v>0.70426723997684304</v>
      </c>
      <c r="AP1417" s="9">
        <v>228.82304008603001</v>
      </c>
      <c r="AQ1417" s="9">
        <v>4.9744139149136899</v>
      </c>
      <c r="AR1417" s="9">
        <v>8.5909652045362996</v>
      </c>
      <c r="AS1417" s="8" t="s">
        <v>169</v>
      </c>
      <c r="AT1417" s="8" t="s">
        <v>169</v>
      </c>
      <c r="AU1417" s="10" t="s">
        <v>169</v>
      </c>
      <c r="AV1417" s="10">
        <v>0</v>
      </c>
      <c r="AW1417" s="10" t="s">
        <v>169</v>
      </c>
      <c r="AX1417" s="10" t="s">
        <v>169</v>
      </c>
      <c r="BF1417" s="12">
        <v>0.45</v>
      </c>
      <c r="BG1417" s="13">
        <v>156.88028769837501</v>
      </c>
      <c r="BH1417" s="96" t="str">
        <f>+VLOOKUP(G1417,Liste!$A$7:$G$50,3,FALSE)</f>
        <v>Pin d'Alep</v>
      </c>
      <c r="BI1417" s="96" t="str">
        <f>+VLOOKUP(H1417,Liste!$B$7:$G$50,5,FALSE)</f>
        <v>Pin d'Alep</v>
      </c>
      <c r="BJ1417" s="135">
        <f t="shared" si="437"/>
        <v>46</v>
      </c>
      <c r="BK1417" s="135" t="str">
        <f t="shared" si="439"/>
        <v>Pin d'Alep_F1_Dynamique_Pin d'Alep_46_</v>
      </c>
      <c r="BL1417" s="322"/>
      <c r="BM1417" s="13">
        <v>42.815854267011701</v>
      </c>
      <c r="BN1417" s="13">
        <v>199.696141965387</v>
      </c>
      <c r="BO1417" s="13" t="s">
        <v>169</v>
      </c>
      <c r="BP1417" s="13">
        <v>133.34843814247799</v>
      </c>
      <c r="BQ1417" s="13">
        <v>8.32835232112458</v>
      </c>
      <c r="BT1417" s="298" t="str">
        <f>+VLOOKUP(G1417,Liste!$A$7:$H$50,8,FALSE)</f>
        <v>Résineux</v>
      </c>
      <c r="BU1417" s="298">
        <f t="shared" si="440"/>
        <v>0</v>
      </c>
      <c r="BV1417" s="300">
        <f t="shared" si="441"/>
        <v>1</v>
      </c>
      <c r="BW1417" s="321">
        <v>0</v>
      </c>
      <c r="BX1417" s="298">
        <f t="shared" si="442"/>
        <v>0.43</v>
      </c>
      <c r="BY1417">
        <f t="shared" si="443"/>
        <v>0</v>
      </c>
      <c r="BZ1417" s="304">
        <f t="shared" si="444"/>
        <v>0</v>
      </c>
      <c r="CB1417" s="299">
        <v>0.6</v>
      </c>
      <c r="CC1417" s="299">
        <v>0.4</v>
      </c>
      <c r="CD1417">
        <f t="shared" si="445"/>
        <v>0</v>
      </c>
      <c r="CE1417">
        <f t="shared" si="446"/>
        <v>0</v>
      </c>
      <c r="CF1417">
        <f t="shared" si="447"/>
        <v>0</v>
      </c>
      <c r="CG1417">
        <f t="shared" si="448"/>
        <v>0</v>
      </c>
      <c r="CH1417">
        <f t="shared" si="449"/>
        <v>0</v>
      </c>
      <c r="CI1417">
        <f t="shared" si="450"/>
        <v>0</v>
      </c>
      <c r="CJ1417">
        <f t="shared" si="451"/>
        <v>0</v>
      </c>
      <c r="CK1417">
        <f t="shared" si="452"/>
        <v>0</v>
      </c>
      <c r="CL1417">
        <f t="shared" si="453"/>
        <v>0</v>
      </c>
      <c r="CM1417">
        <f t="shared" si="455"/>
        <v>0</v>
      </c>
      <c r="CN1417">
        <f t="shared" si="454"/>
        <v>0</v>
      </c>
      <c r="CO1417">
        <f t="shared" si="438"/>
        <v>0</v>
      </c>
    </row>
    <row r="1418" spans="1:93" x14ac:dyDescent="0.25">
      <c r="A1418" s="4">
        <v>2021</v>
      </c>
      <c r="B1418" s="318">
        <v>44320</v>
      </c>
      <c r="C1418" s="4" t="s">
        <v>1524</v>
      </c>
      <c r="D1418" s="4" t="s">
        <v>1525</v>
      </c>
      <c r="F1418" s="4" t="s">
        <v>1526</v>
      </c>
      <c r="G1418" s="5" t="s">
        <v>1514</v>
      </c>
      <c r="H1418" s="5" t="s">
        <v>1527</v>
      </c>
      <c r="I1418" s="5" t="s">
        <v>146</v>
      </c>
      <c r="J1418" s="5" t="s">
        <v>9</v>
      </c>
      <c r="K1418" s="5">
        <v>15.5</v>
      </c>
      <c r="L1418" s="5" t="s">
        <v>1528</v>
      </c>
      <c r="M1418" s="5">
        <v>1100</v>
      </c>
      <c r="N1418" s="5" t="s">
        <v>170</v>
      </c>
      <c r="O1418" s="6" t="s">
        <v>81</v>
      </c>
      <c r="P1418" s="6" t="s">
        <v>1530</v>
      </c>
      <c r="S1418" s="6">
        <v>15</v>
      </c>
      <c r="T1418" s="6">
        <v>4.33</v>
      </c>
      <c r="U1418" s="6">
        <v>1101</v>
      </c>
      <c r="V1418" s="6">
        <v>4.92</v>
      </c>
      <c r="W1418" s="6">
        <v>569</v>
      </c>
      <c r="X1418" s="6">
        <v>532</v>
      </c>
      <c r="Y1418" s="6">
        <v>0</v>
      </c>
      <c r="Z1418" s="6">
        <v>0</v>
      </c>
      <c r="AA1418" s="6">
        <v>0</v>
      </c>
      <c r="AB1418" s="6">
        <v>0</v>
      </c>
      <c r="AC1418" s="7">
        <v>47</v>
      </c>
      <c r="AD1418" s="7" t="s">
        <v>52</v>
      </c>
      <c r="AE1418" s="7">
        <v>14.83</v>
      </c>
      <c r="AF1418" s="7">
        <v>749</v>
      </c>
      <c r="AG1418" s="7">
        <v>23.35</v>
      </c>
      <c r="AH1418" s="7">
        <v>19.920000000000002</v>
      </c>
      <c r="AI1418" s="7">
        <v>23.33</v>
      </c>
      <c r="AJ1418" s="9">
        <v>143.22093200508499</v>
      </c>
      <c r="AK1418" s="9">
        <v>146.41176196100801</v>
      </c>
      <c r="AL1418" s="9">
        <v>208.32038569097301</v>
      </c>
      <c r="AM1418" s="9">
        <v>27.789149792201599</v>
      </c>
      <c r="AN1418" s="9">
        <v>0.591258506217055</v>
      </c>
      <c r="AO1418" s="9">
        <v>0.70051020146843301</v>
      </c>
      <c r="AP1418" s="9">
        <v>237.414005290566</v>
      </c>
      <c r="AQ1418" s="9">
        <v>5.0513618146928998</v>
      </c>
      <c r="AR1418" s="9">
        <v>8.6694841804547007</v>
      </c>
      <c r="AS1418" s="8" t="s">
        <v>169</v>
      </c>
      <c r="AT1418" s="8" t="s">
        <v>169</v>
      </c>
      <c r="AU1418" s="10" t="s">
        <v>169</v>
      </c>
      <c r="AV1418" s="10">
        <v>0</v>
      </c>
      <c r="AW1418" s="10" t="s">
        <v>169</v>
      </c>
      <c r="AX1418" s="10" t="s">
        <v>169</v>
      </c>
      <c r="BF1418" s="12">
        <v>0.45</v>
      </c>
      <c r="BG1418" s="13">
        <v>163.2711022853</v>
      </c>
      <c r="BH1418" s="96" t="str">
        <f>+VLOOKUP(G1418,Liste!$A$7:$G$50,3,FALSE)</f>
        <v>Pin d'Alep</v>
      </c>
      <c r="BI1418" s="96" t="str">
        <f>+VLOOKUP(H1418,Liste!$B$7:$G$50,5,FALSE)</f>
        <v>Pin d'Alep</v>
      </c>
      <c r="BJ1418" s="135">
        <f t="shared" si="437"/>
        <v>47</v>
      </c>
      <c r="BK1418" s="135" t="str">
        <f t="shared" si="439"/>
        <v>Pin d'Alep_F1_Dynamique_Pin d'Alep_47_</v>
      </c>
      <c r="BL1418" s="322"/>
      <c r="BM1418" s="13">
        <v>44.353416110744298</v>
      </c>
      <c r="BN1418" s="13">
        <v>207.62451839604401</v>
      </c>
      <c r="BO1418" s="13" t="s">
        <v>169</v>
      </c>
      <c r="BP1418" s="13">
        <v>133.34843814247799</v>
      </c>
      <c r="BQ1418" s="13">
        <v>8.3976733583236296</v>
      </c>
      <c r="BT1418" s="298" t="str">
        <f>+VLOOKUP(G1418,Liste!$A$7:$H$50,8,FALSE)</f>
        <v>Résineux</v>
      </c>
      <c r="BU1418" s="298">
        <f t="shared" si="440"/>
        <v>0</v>
      </c>
      <c r="BV1418" s="300">
        <f t="shared" si="441"/>
        <v>1</v>
      </c>
      <c r="BW1418" s="321">
        <v>0</v>
      </c>
      <c r="BX1418" s="298">
        <f t="shared" si="442"/>
        <v>0.43</v>
      </c>
      <c r="BY1418">
        <f t="shared" si="443"/>
        <v>0</v>
      </c>
      <c r="BZ1418" s="304">
        <f t="shared" si="444"/>
        <v>0</v>
      </c>
      <c r="CB1418" s="299">
        <v>0.6</v>
      </c>
      <c r="CC1418" s="299">
        <v>0.4</v>
      </c>
      <c r="CD1418">
        <f t="shared" si="445"/>
        <v>0</v>
      </c>
      <c r="CE1418">
        <f t="shared" si="446"/>
        <v>0</v>
      </c>
      <c r="CF1418">
        <f t="shared" si="447"/>
        <v>0</v>
      </c>
      <c r="CG1418">
        <f t="shared" si="448"/>
        <v>0</v>
      </c>
      <c r="CH1418">
        <f t="shared" si="449"/>
        <v>0</v>
      </c>
      <c r="CI1418">
        <f t="shared" si="450"/>
        <v>0</v>
      </c>
      <c r="CJ1418">
        <f t="shared" si="451"/>
        <v>0</v>
      </c>
      <c r="CK1418">
        <f t="shared" si="452"/>
        <v>0</v>
      </c>
      <c r="CL1418">
        <f t="shared" si="453"/>
        <v>0</v>
      </c>
      <c r="CM1418">
        <f t="shared" si="455"/>
        <v>0</v>
      </c>
      <c r="CN1418">
        <f t="shared" si="454"/>
        <v>0</v>
      </c>
      <c r="CO1418">
        <f t="shared" si="438"/>
        <v>0</v>
      </c>
    </row>
    <row r="1419" spans="1:93" x14ac:dyDescent="0.25">
      <c r="A1419" s="4">
        <v>2021</v>
      </c>
      <c r="B1419" s="318">
        <v>44320</v>
      </c>
      <c r="C1419" s="4" t="s">
        <v>1524</v>
      </c>
      <c r="D1419" s="4" t="s">
        <v>1525</v>
      </c>
      <c r="F1419" s="4" t="s">
        <v>1526</v>
      </c>
      <c r="G1419" s="5" t="s">
        <v>1514</v>
      </c>
      <c r="H1419" s="5" t="s">
        <v>1527</v>
      </c>
      <c r="I1419" s="5" t="s">
        <v>146</v>
      </c>
      <c r="J1419" s="5" t="s">
        <v>9</v>
      </c>
      <c r="K1419" s="5">
        <v>15.5</v>
      </c>
      <c r="L1419" s="5" t="s">
        <v>1528</v>
      </c>
      <c r="M1419" s="5">
        <v>1100</v>
      </c>
      <c r="N1419" s="5" t="s">
        <v>170</v>
      </c>
      <c r="O1419" s="6" t="s">
        <v>81</v>
      </c>
      <c r="P1419" s="6" t="s">
        <v>1530</v>
      </c>
      <c r="S1419" s="6">
        <v>15</v>
      </c>
      <c r="T1419" s="6">
        <v>4.33</v>
      </c>
      <c r="U1419" s="6">
        <v>1101</v>
      </c>
      <c r="V1419" s="6">
        <v>4.92</v>
      </c>
      <c r="W1419" s="6">
        <v>569</v>
      </c>
      <c r="X1419" s="6">
        <v>532</v>
      </c>
      <c r="Y1419" s="6">
        <v>0</v>
      </c>
      <c r="Z1419" s="6">
        <v>0</v>
      </c>
      <c r="AA1419" s="6">
        <v>0</v>
      </c>
      <c r="AB1419" s="6">
        <v>0</v>
      </c>
      <c r="AC1419" s="7">
        <v>48</v>
      </c>
      <c r="AD1419" s="7" t="s">
        <v>52</v>
      </c>
      <c r="AE1419" s="7">
        <v>15.07</v>
      </c>
      <c r="AF1419" s="7">
        <v>749</v>
      </c>
      <c r="AG1419" s="7">
        <v>24.05</v>
      </c>
      <c r="AH1419" s="7">
        <v>20.22</v>
      </c>
      <c r="AI1419" s="7">
        <v>23.7</v>
      </c>
      <c r="AJ1419" s="9">
        <v>149.71570412325701</v>
      </c>
      <c r="AK1419" s="9">
        <v>153.06960271918501</v>
      </c>
      <c r="AL1419" s="9">
        <v>216.989869871427</v>
      </c>
      <c r="AM1419" s="9">
        <v>28.489659993669999</v>
      </c>
      <c r="AN1419" s="9">
        <v>0.59353458320145902</v>
      </c>
      <c r="AO1419" s="9">
        <v>0.696489496942583</v>
      </c>
      <c r="AP1419" s="9">
        <v>246.08348947102101</v>
      </c>
      <c r="AQ1419" s="9">
        <v>5.1267393639796</v>
      </c>
      <c r="AR1419" s="9">
        <v>8.7232210723549901</v>
      </c>
      <c r="AS1419" s="8" t="s">
        <v>169</v>
      </c>
      <c r="AT1419" s="8" t="s">
        <v>169</v>
      </c>
      <c r="AU1419" s="10" t="s">
        <v>169</v>
      </c>
      <c r="AV1419" s="10">
        <v>0</v>
      </c>
      <c r="AW1419" s="10" t="s">
        <v>169</v>
      </c>
      <c r="AX1419" s="10" t="s">
        <v>169</v>
      </c>
      <c r="BF1419" s="12">
        <v>0.45</v>
      </c>
      <c r="BG1419" s="13">
        <v>170.065810511731</v>
      </c>
      <c r="BH1419" s="96" t="str">
        <f>+VLOOKUP(G1419,Liste!$A$7:$G$50,3,FALSE)</f>
        <v>Pin d'Alep</v>
      </c>
      <c r="BI1419" s="96" t="str">
        <f>+VLOOKUP(H1419,Liste!$B$7:$G$50,5,FALSE)</f>
        <v>Pin d'Alep</v>
      </c>
      <c r="BJ1419" s="135">
        <f t="shared" si="437"/>
        <v>48</v>
      </c>
      <c r="BK1419" s="135" t="str">
        <f t="shared" si="439"/>
        <v>Pin d'Alep_F1_Dynamique_Pin d'Alep_48_</v>
      </c>
      <c r="BL1419" s="322"/>
      <c r="BM1419" s="13">
        <v>45.980489291051597</v>
      </c>
      <c r="BN1419" s="13">
        <v>216.04629980278301</v>
      </c>
      <c r="BO1419" s="13" t="s">
        <v>169</v>
      </c>
      <c r="BP1419" s="13">
        <v>133.34843814247799</v>
      </c>
      <c r="BQ1419" s="13">
        <v>8.4431035162650403</v>
      </c>
      <c r="BT1419" s="298" t="str">
        <f>+VLOOKUP(G1419,Liste!$A$7:$H$50,8,FALSE)</f>
        <v>Résineux</v>
      </c>
      <c r="BU1419" s="298">
        <f t="shared" si="440"/>
        <v>0</v>
      </c>
      <c r="BV1419" s="300">
        <f t="shared" si="441"/>
        <v>1</v>
      </c>
      <c r="BW1419" s="321">
        <v>0</v>
      </c>
      <c r="BX1419" s="298">
        <f t="shared" si="442"/>
        <v>0.43</v>
      </c>
      <c r="BY1419">
        <f t="shared" si="443"/>
        <v>0</v>
      </c>
      <c r="BZ1419" s="304">
        <f t="shared" si="444"/>
        <v>0</v>
      </c>
      <c r="CB1419" s="299">
        <v>0.6</v>
      </c>
      <c r="CC1419" s="299">
        <v>0.4</v>
      </c>
      <c r="CD1419">
        <f t="shared" si="445"/>
        <v>0</v>
      </c>
      <c r="CE1419">
        <f t="shared" si="446"/>
        <v>0</v>
      </c>
      <c r="CF1419">
        <f t="shared" si="447"/>
        <v>0</v>
      </c>
      <c r="CG1419">
        <f t="shared" si="448"/>
        <v>0</v>
      </c>
      <c r="CH1419">
        <f t="shared" si="449"/>
        <v>0</v>
      </c>
      <c r="CI1419">
        <f t="shared" si="450"/>
        <v>0</v>
      </c>
      <c r="CJ1419">
        <f t="shared" si="451"/>
        <v>0</v>
      </c>
      <c r="CK1419">
        <f t="shared" si="452"/>
        <v>0</v>
      </c>
      <c r="CL1419">
        <f t="shared" si="453"/>
        <v>0</v>
      </c>
      <c r="CM1419">
        <f t="shared" si="455"/>
        <v>0</v>
      </c>
      <c r="CN1419">
        <f t="shared" si="454"/>
        <v>0</v>
      </c>
      <c r="CO1419">
        <f t="shared" si="438"/>
        <v>0</v>
      </c>
    </row>
    <row r="1420" spans="1:93" x14ac:dyDescent="0.25">
      <c r="A1420" s="4">
        <v>2021</v>
      </c>
      <c r="B1420" s="318">
        <v>44320</v>
      </c>
      <c r="C1420" s="4" t="s">
        <v>1524</v>
      </c>
      <c r="D1420" s="4" t="s">
        <v>1525</v>
      </c>
      <c r="F1420" s="4" t="s">
        <v>1526</v>
      </c>
      <c r="G1420" s="5" t="s">
        <v>1514</v>
      </c>
      <c r="H1420" s="5" t="s">
        <v>1527</v>
      </c>
      <c r="I1420" s="5" t="s">
        <v>146</v>
      </c>
      <c r="J1420" s="5" t="s">
        <v>9</v>
      </c>
      <c r="K1420" s="5">
        <v>15.5</v>
      </c>
      <c r="L1420" s="5" t="s">
        <v>1528</v>
      </c>
      <c r="M1420" s="5">
        <v>1100</v>
      </c>
      <c r="N1420" s="5" t="s">
        <v>170</v>
      </c>
      <c r="O1420" s="6" t="s">
        <v>81</v>
      </c>
      <c r="P1420" s="6" t="s">
        <v>1530</v>
      </c>
      <c r="S1420" s="6">
        <v>15</v>
      </c>
      <c r="T1420" s="6">
        <v>4.33</v>
      </c>
      <c r="U1420" s="6">
        <v>1101</v>
      </c>
      <c r="V1420" s="6">
        <v>4.92</v>
      </c>
      <c r="W1420" s="6">
        <v>569</v>
      </c>
      <c r="X1420" s="6">
        <v>532</v>
      </c>
      <c r="Y1420" s="6">
        <v>0</v>
      </c>
      <c r="Z1420" s="6">
        <v>0</v>
      </c>
      <c r="AA1420" s="6">
        <v>0</v>
      </c>
      <c r="AB1420" s="6">
        <v>0</v>
      </c>
      <c r="AC1420" s="7">
        <v>49</v>
      </c>
      <c r="AD1420" s="7" t="s">
        <v>52</v>
      </c>
      <c r="AE1420" s="7">
        <v>15.31</v>
      </c>
      <c r="AF1420" s="7">
        <v>749</v>
      </c>
      <c r="AG1420" s="7">
        <v>24.74</v>
      </c>
      <c r="AH1420" s="7">
        <v>20.51</v>
      </c>
      <c r="AI1420" s="7">
        <v>24.06</v>
      </c>
      <c r="AJ1420" s="9">
        <v>156.26093649655201</v>
      </c>
      <c r="AK1420" s="9">
        <v>159.780118209232</v>
      </c>
      <c r="AL1420" s="9">
        <v>225.71309094378199</v>
      </c>
      <c r="AM1420" s="9">
        <v>29.1861494906126</v>
      </c>
      <c r="AN1420" s="9">
        <v>0.59563570389005305</v>
      </c>
      <c r="AO1420" s="9">
        <v>0.60754092440704</v>
      </c>
      <c r="AP1420" s="9">
        <v>254.806710543376</v>
      </c>
      <c r="AQ1420" s="9">
        <v>5.2001369498648096</v>
      </c>
      <c r="AR1420" s="9">
        <v>7.4711114350433299</v>
      </c>
      <c r="AS1420" s="8" t="s">
        <v>169</v>
      </c>
      <c r="AT1420" s="8" t="s">
        <v>169</v>
      </c>
      <c r="AU1420" s="10" t="s">
        <v>169</v>
      </c>
      <c r="AV1420" s="10">
        <v>0</v>
      </c>
      <c r="AW1420" s="10" t="s">
        <v>169</v>
      </c>
      <c r="AX1420" s="10" t="s">
        <v>169</v>
      </c>
      <c r="BF1420" s="12">
        <v>0.45</v>
      </c>
      <c r="BG1420" s="13">
        <v>176.90263502718901</v>
      </c>
      <c r="BH1420" s="96" t="str">
        <f>+VLOOKUP(G1420,Liste!$A$7:$G$50,3,FALSE)</f>
        <v>Pin d'Alep</v>
      </c>
      <c r="BI1420" s="96" t="str">
        <f>+VLOOKUP(H1420,Liste!$B$7:$G$50,5,FALSE)</f>
        <v>Pin d'Alep</v>
      </c>
      <c r="BJ1420" s="135">
        <f t="shared" si="437"/>
        <v>49</v>
      </c>
      <c r="BK1420" s="135" t="str">
        <f t="shared" si="439"/>
        <v>Pin d'Alep_F1_Dynamique_Pin d'Alep_49_</v>
      </c>
      <c r="BL1420" s="322"/>
      <c r="BM1420" s="13">
        <v>47.610026665625703</v>
      </c>
      <c r="BN1420" s="13">
        <v>224.51266169281499</v>
      </c>
      <c r="BO1420" s="13" t="s">
        <v>169</v>
      </c>
      <c r="BP1420" s="13">
        <v>133.34843814247799</v>
      </c>
      <c r="BQ1420" s="13">
        <v>7.2261125183098596</v>
      </c>
      <c r="BT1420" s="298" t="str">
        <f>+VLOOKUP(G1420,Liste!$A$7:$H$50,8,FALSE)</f>
        <v>Résineux</v>
      </c>
      <c r="BU1420" s="298">
        <f t="shared" si="440"/>
        <v>0</v>
      </c>
      <c r="BV1420" s="300">
        <f t="shared" si="441"/>
        <v>1</v>
      </c>
      <c r="BW1420" s="321">
        <v>0</v>
      </c>
      <c r="BX1420" s="298">
        <f t="shared" si="442"/>
        <v>0.43</v>
      </c>
      <c r="BY1420">
        <f t="shared" si="443"/>
        <v>0</v>
      </c>
      <c r="BZ1420" s="304">
        <f t="shared" si="444"/>
        <v>0</v>
      </c>
      <c r="CB1420" s="299">
        <v>0.6</v>
      </c>
      <c r="CC1420" s="299">
        <v>0.4</v>
      </c>
      <c r="CD1420">
        <f t="shared" si="445"/>
        <v>0</v>
      </c>
      <c r="CE1420">
        <f t="shared" si="446"/>
        <v>0</v>
      </c>
      <c r="CF1420">
        <f t="shared" si="447"/>
        <v>0</v>
      </c>
      <c r="CG1420">
        <f t="shared" si="448"/>
        <v>0</v>
      </c>
      <c r="CH1420">
        <f t="shared" si="449"/>
        <v>0</v>
      </c>
      <c r="CI1420">
        <f t="shared" si="450"/>
        <v>0</v>
      </c>
      <c r="CJ1420">
        <f t="shared" si="451"/>
        <v>0</v>
      </c>
      <c r="CK1420">
        <f t="shared" si="452"/>
        <v>0</v>
      </c>
      <c r="CL1420">
        <f t="shared" si="453"/>
        <v>0</v>
      </c>
      <c r="CM1420">
        <f t="shared" si="455"/>
        <v>0</v>
      </c>
      <c r="CN1420">
        <f t="shared" si="454"/>
        <v>0</v>
      </c>
      <c r="CO1420">
        <f t="shared" si="438"/>
        <v>0</v>
      </c>
    </row>
    <row r="1421" spans="1:93" x14ac:dyDescent="0.25">
      <c r="A1421" s="4">
        <v>2021</v>
      </c>
      <c r="B1421" s="318">
        <v>44320</v>
      </c>
      <c r="C1421" s="4" t="s">
        <v>1524</v>
      </c>
      <c r="D1421" s="4" t="s">
        <v>1525</v>
      </c>
      <c r="F1421" s="4" t="s">
        <v>1526</v>
      </c>
      <c r="G1421" s="5" t="s">
        <v>1514</v>
      </c>
      <c r="H1421" s="5" t="s">
        <v>1527</v>
      </c>
      <c r="I1421" s="5" t="s">
        <v>146</v>
      </c>
      <c r="J1421" s="5" t="s">
        <v>9</v>
      </c>
      <c r="K1421" s="5">
        <v>15.5</v>
      </c>
      <c r="L1421" s="5" t="s">
        <v>1528</v>
      </c>
      <c r="M1421" s="5">
        <v>1100</v>
      </c>
      <c r="N1421" s="5" t="s">
        <v>170</v>
      </c>
      <c r="O1421" s="6" t="s">
        <v>81</v>
      </c>
      <c r="P1421" s="6" t="s">
        <v>1530</v>
      </c>
      <c r="S1421" s="6">
        <v>15</v>
      </c>
      <c r="T1421" s="6">
        <v>4.33</v>
      </c>
      <c r="U1421" s="6">
        <v>1101</v>
      </c>
      <c r="V1421" s="6">
        <v>4.92</v>
      </c>
      <c r="W1421" s="6">
        <v>569</v>
      </c>
      <c r="X1421" s="6">
        <v>532</v>
      </c>
      <c r="Y1421" s="6">
        <v>0</v>
      </c>
      <c r="Z1421" s="6">
        <v>0</v>
      </c>
      <c r="AA1421" s="6">
        <v>0</v>
      </c>
      <c r="AB1421" s="6">
        <v>0</v>
      </c>
      <c r="AC1421" s="7">
        <v>49</v>
      </c>
      <c r="AD1421" s="7" t="s">
        <v>53</v>
      </c>
      <c r="AE1421" s="7">
        <v>15.31</v>
      </c>
      <c r="AF1421" s="7">
        <v>531</v>
      </c>
      <c r="AG1421" s="7">
        <v>17.57</v>
      </c>
      <c r="AH1421" s="7">
        <v>20.53</v>
      </c>
      <c r="AI1421" s="7">
        <v>23.99</v>
      </c>
      <c r="AJ1421" s="9">
        <v>111.02234696836</v>
      </c>
      <c r="AK1421" s="9">
        <v>113.535559705287</v>
      </c>
      <c r="AL1421" s="9">
        <v>160.39019982833901</v>
      </c>
      <c r="AM1421" s="9">
        <v>29.1861494906126</v>
      </c>
      <c r="AN1421" s="9">
        <v>0.59563570389005305</v>
      </c>
      <c r="AO1421" s="9">
        <v>0.60754092440704</v>
      </c>
      <c r="AP1421" s="9">
        <v>254.806710543376</v>
      </c>
      <c r="AQ1421" s="9">
        <v>5.2001369498648096</v>
      </c>
      <c r="AR1421" s="9">
        <v>7.4711114350433299</v>
      </c>
      <c r="AS1421" s="8">
        <v>218</v>
      </c>
      <c r="AT1421" s="8">
        <v>7.1699999999999982</v>
      </c>
      <c r="AU1421" s="10">
        <v>20.463805075149658</v>
      </c>
      <c r="AV1421" s="10">
        <v>45.238589528192009</v>
      </c>
      <c r="AW1421" s="10">
        <v>1</v>
      </c>
      <c r="AX1421" s="10">
        <v>0.20751646572565141</v>
      </c>
      <c r="BF1421" s="12">
        <v>0.45</v>
      </c>
      <c r="BG1421" s="13">
        <v>125.70581911546</v>
      </c>
      <c r="BH1421" s="96" t="str">
        <f>+VLOOKUP(G1421,Liste!$A$7:$G$50,3,FALSE)</f>
        <v>Pin d'Alep</v>
      </c>
      <c r="BI1421" s="96" t="str">
        <f>+VLOOKUP(H1421,Liste!$B$7:$G$50,5,FALSE)</f>
        <v>Pin d'Alep</v>
      </c>
      <c r="BJ1421" s="135">
        <f t="shared" si="437"/>
        <v>49</v>
      </c>
      <c r="BK1421" s="135" t="str">
        <f t="shared" si="439"/>
        <v>Pin d'Alep_F1_Dynamique_Pin d'Alep_49_</v>
      </c>
      <c r="BL1421" s="322"/>
      <c r="BM1421" s="13">
        <v>35.203902648617799</v>
      </c>
      <c r="BN1421" s="13">
        <v>160.909721764078</v>
      </c>
      <c r="BO1421" s="13">
        <v>63.602939928736987</v>
      </c>
      <c r="BP1421" s="13">
        <v>133.34843814247799</v>
      </c>
      <c r="BQ1421" s="13">
        <v>7.2261125183098596</v>
      </c>
      <c r="BT1421" s="298" t="str">
        <f>+VLOOKUP(G1421,Liste!$A$7:$H$50,8,FALSE)</f>
        <v>Résineux</v>
      </c>
      <c r="BU1421" s="298">
        <f t="shared" si="440"/>
        <v>0</v>
      </c>
      <c r="BV1421" s="300">
        <f t="shared" si="441"/>
        <v>1</v>
      </c>
      <c r="BW1421" s="321">
        <v>0</v>
      </c>
      <c r="BX1421" s="298">
        <f t="shared" si="442"/>
        <v>0.43</v>
      </c>
      <c r="BY1421">
        <f t="shared" si="443"/>
        <v>0</v>
      </c>
      <c r="BZ1421" s="304">
        <f t="shared" si="444"/>
        <v>0</v>
      </c>
      <c r="CB1421" s="299">
        <v>0.6</v>
      </c>
      <c r="CC1421" s="299">
        <v>0.4</v>
      </c>
      <c r="CD1421">
        <f t="shared" si="445"/>
        <v>0</v>
      </c>
      <c r="CE1421">
        <f t="shared" si="446"/>
        <v>0</v>
      </c>
      <c r="CF1421">
        <f t="shared" si="447"/>
        <v>0</v>
      </c>
      <c r="CG1421">
        <f t="shared" si="448"/>
        <v>0</v>
      </c>
      <c r="CH1421">
        <f t="shared" si="449"/>
        <v>0</v>
      </c>
      <c r="CI1421">
        <f t="shared" si="450"/>
        <v>0</v>
      </c>
      <c r="CJ1421">
        <f t="shared" si="451"/>
        <v>0</v>
      </c>
      <c r="CK1421">
        <f t="shared" si="452"/>
        <v>0</v>
      </c>
      <c r="CL1421">
        <f t="shared" si="453"/>
        <v>0</v>
      </c>
      <c r="CM1421">
        <f t="shared" si="455"/>
        <v>0</v>
      </c>
      <c r="CN1421">
        <f t="shared" si="454"/>
        <v>0</v>
      </c>
      <c r="CO1421">
        <f t="shared" si="438"/>
        <v>0</v>
      </c>
    </row>
    <row r="1422" spans="1:93" x14ac:dyDescent="0.25">
      <c r="A1422" s="4">
        <v>2021</v>
      </c>
      <c r="B1422" s="318">
        <v>44320</v>
      </c>
      <c r="C1422" s="4" t="s">
        <v>1524</v>
      </c>
      <c r="D1422" s="4" t="s">
        <v>1525</v>
      </c>
      <c r="F1422" s="4" t="s">
        <v>1526</v>
      </c>
      <c r="G1422" s="5" t="s">
        <v>1514</v>
      </c>
      <c r="H1422" s="5" t="s">
        <v>1527</v>
      </c>
      <c r="I1422" s="5" t="s">
        <v>146</v>
      </c>
      <c r="J1422" s="5" t="s">
        <v>9</v>
      </c>
      <c r="K1422" s="5">
        <v>15.5</v>
      </c>
      <c r="L1422" s="5" t="s">
        <v>1528</v>
      </c>
      <c r="M1422" s="5">
        <v>1100</v>
      </c>
      <c r="N1422" s="5" t="s">
        <v>170</v>
      </c>
      <c r="O1422" s="6" t="s">
        <v>81</v>
      </c>
      <c r="P1422" s="6" t="s">
        <v>1530</v>
      </c>
      <c r="S1422" s="6">
        <v>15</v>
      </c>
      <c r="T1422" s="6">
        <v>4.33</v>
      </c>
      <c r="U1422" s="6">
        <v>1101</v>
      </c>
      <c r="V1422" s="6">
        <v>4.92</v>
      </c>
      <c r="W1422" s="6">
        <v>569</v>
      </c>
      <c r="X1422" s="6">
        <v>532</v>
      </c>
      <c r="Y1422" s="6">
        <v>0</v>
      </c>
      <c r="Z1422" s="6">
        <v>0</v>
      </c>
      <c r="AA1422" s="6">
        <v>0</v>
      </c>
      <c r="AB1422" s="6">
        <v>0</v>
      </c>
      <c r="AC1422" s="7">
        <v>50</v>
      </c>
      <c r="AD1422" s="7" t="s">
        <v>52</v>
      </c>
      <c r="AE1422" s="7">
        <v>15.53</v>
      </c>
      <c r="AF1422" s="7">
        <v>531</v>
      </c>
      <c r="AG1422" s="7">
        <v>18.18</v>
      </c>
      <c r="AH1422" s="7">
        <v>20.88</v>
      </c>
      <c r="AI1422" s="7">
        <v>24.39</v>
      </c>
      <c r="AJ1422" s="9">
        <v>116.59223877093901</v>
      </c>
      <c r="AK1422" s="9">
        <v>119.254531174707</v>
      </c>
      <c r="AL1422" s="9">
        <v>167.86131126338199</v>
      </c>
      <c r="AM1422" s="9">
        <v>29.7936904150197</v>
      </c>
      <c r="AN1422" s="9">
        <v>0.59587380830039305</v>
      </c>
      <c r="AO1422" s="9">
        <v>0.60687620267145104</v>
      </c>
      <c r="AP1422" s="9">
        <v>262.27782197841901</v>
      </c>
      <c r="AQ1422" s="9">
        <v>5.2455564395683796</v>
      </c>
      <c r="AR1422" s="9">
        <v>7.4649499069797098</v>
      </c>
      <c r="AS1422" s="8" t="s">
        <v>169</v>
      </c>
      <c r="AT1422" s="8" t="s">
        <v>169</v>
      </c>
      <c r="AU1422" s="10" t="s">
        <v>169</v>
      </c>
      <c r="AV1422" s="10">
        <v>0</v>
      </c>
      <c r="AW1422" s="10" t="s">
        <v>169</v>
      </c>
      <c r="AX1422" s="10" t="s">
        <v>169</v>
      </c>
      <c r="BF1422" s="12">
        <v>0.45</v>
      </c>
      <c r="BG1422" s="13">
        <v>131.56130270267599</v>
      </c>
      <c r="BH1422" s="96" t="str">
        <f>+VLOOKUP(G1422,Liste!$A$7:$G$50,3,FALSE)</f>
        <v>Pin d'Alep</v>
      </c>
      <c r="BI1422" s="96" t="str">
        <f>+VLOOKUP(H1422,Liste!$B$7:$G$50,5,FALSE)</f>
        <v>Pin d'Alep</v>
      </c>
      <c r="BJ1422" s="135">
        <f t="shared" si="437"/>
        <v>50</v>
      </c>
      <c r="BK1422" s="135" t="str">
        <f t="shared" si="439"/>
        <v>Pin d'Alep_F1_Dynamique_Pin d'Alep_50_</v>
      </c>
      <c r="BL1422" s="322"/>
      <c r="BM1422" s="13">
        <v>36.648992677941202</v>
      </c>
      <c r="BN1422" s="13">
        <v>168.210295380617</v>
      </c>
      <c r="BO1422" s="13" t="s">
        <v>169</v>
      </c>
      <c r="BP1422" s="13">
        <v>133.34843814247799</v>
      </c>
      <c r="BQ1422" s="13">
        <v>7.2156208857094803</v>
      </c>
      <c r="BT1422" s="298" t="str">
        <f>+VLOOKUP(G1422,Liste!$A$7:$H$50,8,FALSE)</f>
        <v>Résineux</v>
      </c>
      <c r="BU1422" s="298">
        <f t="shared" si="440"/>
        <v>0</v>
      </c>
      <c r="BV1422" s="300">
        <f t="shared" si="441"/>
        <v>1</v>
      </c>
      <c r="BW1422" s="321">
        <v>0</v>
      </c>
      <c r="BX1422" s="298">
        <f t="shared" si="442"/>
        <v>0.43</v>
      </c>
      <c r="BY1422">
        <f t="shared" si="443"/>
        <v>0</v>
      </c>
      <c r="BZ1422" s="304">
        <f t="shared" si="444"/>
        <v>0</v>
      </c>
      <c r="CB1422" s="299">
        <v>0.6</v>
      </c>
      <c r="CC1422" s="299">
        <v>0.4</v>
      </c>
      <c r="CD1422">
        <f t="shared" si="445"/>
        <v>0</v>
      </c>
      <c r="CE1422">
        <f t="shared" si="446"/>
        <v>0</v>
      </c>
      <c r="CF1422">
        <f t="shared" si="447"/>
        <v>0</v>
      </c>
      <c r="CG1422">
        <f t="shared" si="448"/>
        <v>0</v>
      </c>
      <c r="CH1422">
        <f t="shared" si="449"/>
        <v>0</v>
      </c>
      <c r="CI1422">
        <f t="shared" si="450"/>
        <v>0</v>
      </c>
      <c r="CJ1422">
        <f t="shared" si="451"/>
        <v>0</v>
      </c>
      <c r="CK1422">
        <f t="shared" si="452"/>
        <v>0</v>
      </c>
      <c r="CL1422">
        <f t="shared" si="453"/>
        <v>0</v>
      </c>
      <c r="CM1422">
        <f t="shared" si="455"/>
        <v>0</v>
      </c>
      <c r="CN1422">
        <f t="shared" si="454"/>
        <v>0</v>
      </c>
      <c r="CO1422">
        <f t="shared" si="438"/>
        <v>0</v>
      </c>
    </row>
    <row r="1423" spans="1:93" x14ac:dyDescent="0.25">
      <c r="A1423" s="4">
        <v>2021</v>
      </c>
      <c r="B1423" s="318">
        <v>44320</v>
      </c>
      <c r="C1423" s="4" t="s">
        <v>1524</v>
      </c>
      <c r="D1423" s="4" t="s">
        <v>1525</v>
      </c>
      <c r="F1423" s="4" t="s">
        <v>1526</v>
      </c>
      <c r="G1423" s="5" t="s">
        <v>1514</v>
      </c>
      <c r="H1423" s="5" t="s">
        <v>1527</v>
      </c>
      <c r="I1423" s="5" t="s">
        <v>146</v>
      </c>
      <c r="J1423" s="5" t="s">
        <v>9</v>
      </c>
      <c r="K1423" s="5">
        <v>15.5</v>
      </c>
      <c r="L1423" s="5" t="s">
        <v>1528</v>
      </c>
      <c r="M1423" s="5">
        <v>1100</v>
      </c>
      <c r="N1423" s="5" t="s">
        <v>170</v>
      </c>
      <c r="O1423" s="6" t="s">
        <v>81</v>
      </c>
      <c r="P1423" s="6" t="s">
        <v>1530</v>
      </c>
      <c r="S1423" s="6">
        <v>15</v>
      </c>
      <c r="T1423" s="6">
        <v>4.33</v>
      </c>
      <c r="U1423" s="6">
        <v>1101</v>
      </c>
      <c r="V1423" s="6">
        <v>4.92</v>
      </c>
      <c r="W1423" s="6">
        <v>569</v>
      </c>
      <c r="X1423" s="6">
        <v>532</v>
      </c>
      <c r="Y1423" s="6">
        <v>0</v>
      </c>
      <c r="Z1423" s="6">
        <v>0</v>
      </c>
      <c r="AA1423" s="6">
        <v>0</v>
      </c>
      <c r="AB1423" s="6">
        <v>0</v>
      </c>
      <c r="AC1423" s="7">
        <v>51</v>
      </c>
      <c r="AD1423" s="7" t="s">
        <v>52</v>
      </c>
      <c r="AE1423" s="7">
        <v>15.76</v>
      </c>
      <c r="AF1423" s="7">
        <v>531</v>
      </c>
      <c r="AG1423" s="7">
        <v>18.79</v>
      </c>
      <c r="AH1423" s="7">
        <v>21.22</v>
      </c>
      <c r="AI1423" s="7">
        <v>24.79</v>
      </c>
      <c r="AJ1423" s="9">
        <v>122.146379601278</v>
      </c>
      <c r="AK1423" s="9">
        <v>124.96180831770501</v>
      </c>
      <c r="AL1423" s="9">
        <v>175.32626117036199</v>
      </c>
      <c r="AM1423" s="9">
        <v>30.400566617691101</v>
      </c>
      <c r="AN1423" s="9">
        <v>0.59608954152335503</v>
      </c>
      <c r="AO1423" s="9">
        <v>0.60482411435011896</v>
      </c>
      <c r="AP1423" s="9">
        <v>269.74277188539901</v>
      </c>
      <c r="AQ1423" s="9">
        <v>5.2890739585372302</v>
      </c>
      <c r="AR1423" s="9">
        <v>7.5331285431241799</v>
      </c>
      <c r="AS1423" s="8" t="s">
        <v>169</v>
      </c>
      <c r="AT1423" s="8" t="s">
        <v>169</v>
      </c>
      <c r="AU1423" s="10" t="s">
        <v>169</v>
      </c>
      <c r="AV1423" s="10">
        <v>0</v>
      </c>
      <c r="AW1423" s="10" t="s">
        <v>169</v>
      </c>
      <c r="AX1423" s="10" t="s">
        <v>169</v>
      </c>
      <c r="BF1423" s="12">
        <v>0.45</v>
      </c>
      <c r="BG1423" s="13">
        <v>137.41195719227099</v>
      </c>
      <c r="BH1423" s="96" t="str">
        <f>+VLOOKUP(G1423,Liste!$A$7:$G$50,3,FALSE)</f>
        <v>Pin d'Alep</v>
      </c>
      <c r="BI1423" s="96" t="str">
        <f>+VLOOKUP(H1423,Liste!$B$7:$G$50,5,FALSE)</f>
        <v>Pin d'Alep</v>
      </c>
      <c r="BJ1423" s="135">
        <f t="shared" si="437"/>
        <v>51</v>
      </c>
      <c r="BK1423" s="135" t="str">
        <f t="shared" si="439"/>
        <v>Pin d'Alep_F1_Dynamique_Pin d'Alep_51_</v>
      </c>
      <c r="BL1423" s="322"/>
      <c r="BM1423" s="13">
        <v>38.085430252276197</v>
      </c>
      <c r="BN1423" s="13">
        <v>175.497387444547</v>
      </c>
      <c r="BO1423" s="13" t="s">
        <v>169</v>
      </c>
      <c r="BP1423" s="13">
        <v>133.34843814247799</v>
      </c>
      <c r="BQ1423" s="13">
        <v>7.27707196643314</v>
      </c>
      <c r="BT1423" s="298" t="str">
        <f>+VLOOKUP(G1423,Liste!$A$7:$H$50,8,FALSE)</f>
        <v>Résineux</v>
      </c>
      <c r="BU1423" s="298">
        <f t="shared" si="440"/>
        <v>0</v>
      </c>
      <c r="BV1423" s="300">
        <f t="shared" si="441"/>
        <v>1</v>
      </c>
      <c r="BW1423" s="321">
        <v>0</v>
      </c>
      <c r="BX1423" s="298">
        <f t="shared" si="442"/>
        <v>0.43</v>
      </c>
      <c r="BY1423">
        <f t="shared" si="443"/>
        <v>0</v>
      </c>
      <c r="BZ1423" s="304">
        <f t="shared" si="444"/>
        <v>0</v>
      </c>
      <c r="CB1423" s="299">
        <v>0.6</v>
      </c>
      <c r="CC1423" s="299">
        <v>0.4</v>
      </c>
      <c r="CD1423">
        <f t="shared" si="445"/>
        <v>0</v>
      </c>
      <c r="CE1423">
        <f t="shared" si="446"/>
        <v>0</v>
      </c>
      <c r="CF1423">
        <f t="shared" si="447"/>
        <v>0</v>
      </c>
      <c r="CG1423">
        <f t="shared" si="448"/>
        <v>0</v>
      </c>
      <c r="CH1423">
        <f t="shared" si="449"/>
        <v>0</v>
      </c>
      <c r="CI1423">
        <f t="shared" si="450"/>
        <v>0</v>
      </c>
      <c r="CJ1423">
        <f t="shared" si="451"/>
        <v>0</v>
      </c>
      <c r="CK1423">
        <f t="shared" si="452"/>
        <v>0</v>
      </c>
      <c r="CL1423">
        <f t="shared" si="453"/>
        <v>0</v>
      </c>
      <c r="CM1423">
        <f t="shared" si="455"/>
        <v>0</v>
      </c>
      <c r="CN1423">
        <f t="shared" si="454"/>
        <v>0</v>
      </c>
      <c r="CO1423">
        <f t="shared" si="438"/>
        <v>0</v>
      </c>
    </row>
    <row r="1424" spans="1:93" x14ac:dyDescent="0.25">
      <c r="A1424" s="4">
        <v>2021</v>
      </c>
      <c r="B1424" s="318">
        <v>44320</v>
      </c>
      <c r="C1424" s="4" t="s">
        <v>1524</v>
      </c>
      <c r="D1424" s="4" t="s">
        <v>1525</v>
      </c>
      <c r="F1424" s="4" t="s">
        <v>1526</v>
      </c>
      <c r="G1424" s="5" t="s">
        <v>1514</v>
      </c>
      <c r="H1424" s="5" t="s">
        <v>1527</v>
      </c>
      <c r="I1424" s="5" t="s">
        <v>146</v>
      </c>
      <c r="J1424" s="5" t="s">
        <v>9</v>
      </c>
      <c r="K1424" s="5">
        <v>15.5</v>
      </c>
      <c r="L1424" s="5" t="s">
        <v>1528</v>
      </c>
      <c r="M1424" s="5">
        <v>1100</v>
      </c>
      <c r="N1424" s="5" t="s">
        <v>170</v>
      </c>
      <c r="O1424" s="6" t="s">
        <v>81</v>
      </c>
      <c r="P1424" s="6" t="s">
        <v>1530</v>
      </c>
      <c r="S1424" s="6">
        <v>15</v>
      </c>
      <c r="T1424" s="6">
        <v>4.33</v>
      </c>
      <c r="U1424" s="6">
        <v>1101</v>
      </c>
      <c r="V1424" s="6">
        <v>4.92</v>
      </c>
      <c r="W1424" s="6">
        <v>569</v>
      </c>
      <c r="X1424" s="6">
        <v>532</v>
      </c>
      <c r="Y1424" s="6">
        <v>0</v>
      </c>
      <c r="Z1424" s="6">
        <v>0</v>
      </c>
      <c r="AA1424" s="6">
        <v>0</v>
      </c>
      <c r="AB1424" s="6">
        <v>0</v>
      </c>
      <c r="AC1424" s="7">
        <v>52</v>
      </c>
      <c r="AD1424" s="7" t="s">
        <v>52</v>
      </c>
      <c r="AE1424" s="7">
        <v>15.98</v>
      </c>
      <c r="AF1424" s="7">
        <v>528</v>
      </c>
      <c r="AG1424" s="7">
        <v>19.27</v>
      </c>
      <c r="AH1424" s="7">
        <v>21.56</v>
      </c>
      <c r="AI1424" s="7">
        <v>25.19</v>
      </c>
      <c r="AJ1424" s="9">
        <v>126.983472323294</v>
      </c>
      <c r="AK1424" s="9">
        <v>129.935424307902</v>
      </c>
      <c r="AL1424" s="9">
        <v>181.746769321366</v>
      </c>
      <c r="AM1424" s="9">
        <v>31.005390732041199</v>
      </c>
      <c r="AN1424" s="9">
        <v>0.59625751407771599</v>
      </c>
      <c r="AO1424" s="9">
        <v>0.60440440542559104</v>
      </c>
      <c r="AP1424" s="9">
        <v>277.27590042852302</v>
      </c>
      <c r="AQ1424" s="9">
        <v>5.3322288543946801</v>
      </c>
      <c r="AR1424" s="9">
        <v>7.60779091579127</v>
      </c>
      <c r="AS1424" s="8" t="s">
        <v>169</v>
      </c>
      <c r="AT1424" s="8" t="s">
        <v>169</v>
      </c>
      <c r="AU1424" s="10" t="s">
        <v>169</v>
      </c>
      <c r="AV1424" s="10">
        <v>0</v>
      </c>
      <c r="AW1424" s="10" t="s">
        <v>169</v>
      </c>
      <c r="AX1424" s="10" t="s">
        <v>169</v>
      </c>
      <c r="BF1424" s="12">
        <v>0.45</v>
      </c>
      <c r="BG1424" s="13">
        <v>142.44403045562001</v>
      </c>
      <c r="BH1424" s="96" t="str">
        <f>+VLOOKUP(G1424,Liste!$A$7:$G$50,3,FALSE)</f>
        <v>Pin d'Alep</v>
      </c>
      <c r="BI1424" s="96" t="str">
        <f>+VLOOKUP(H1424,Liste!$B$7:$G$50,5,FALSE)</f>
        <v>Pin d'Alep</v>
      </c>
      <c r="BJ1424" s="135">
        <f t="shared" si="437"/>
        <v>52</v>
      </c>
      <c r="BK1424" s="135" t="str">
        <f t="shared" si="439"/>
        <v>Pin d'Alep_F1_Dynamique_Pin d'Alep_52_</v>
      </c>
      <c r="BL1424" s="322"/>
      <c r="BM1424" s="13">
        <v>39.315197162972296</v>
      </c>
      <c r="BN1424" s="13">
        <v>181.759227618593</v>
      </c>
      <c r="BO1424" s="13" t="s">
        <v>169</v>
      </c>
      <c r="BP1424" s="13">
        <v>133.34843814247799</v>
      </c>
      <c r="BQ1424" s="13">
        <v>7.3447966555673903</v>
      </c>
      <c r="BT1424" s="298" t="str">
        <f>+VLOOKUP(G1424,Liste!$A$7:$H$50,8,FALSE)</f>
        <v>Résineux</v>
      </c>
      <c r="BU1424" s="298">
        <f t="shared" si="440"/>
        <v>0</v>
      </c>
      <c r="BV1424" s="300">
        <f t="shared" si="441"/>
        <v>1</v>
      </c>
      <c r="BW1424" s="321">
        <v>0</v>
      </c>
      <c r="BX1424" s="298">
        <f t="shared" si="442"/>
        <v>0.43</v>
      </c>
      <c r="BY1424">
        <f t="shared" si="443"/>
        <v>0</v>
      </c>
      <c r="BZ1424" s="304">
        <f t="shared" si="444"/>
        <v>0</v>
      </c>
      <c r="CB1424" s="299">
        <v>0.6</v>
      </c>
      <c r="CC1424" s="299">
        <v>0.4</v>
      </c>
      <c r="CD1424">
        <f t="shared" si="445"/>
        <v>0</v>
      </c>
      <c r="CE1424">
        <f t="shared" si="446"/>
        <v>0</v>
      </c>
      <c r="CF1424">
        <f t="shared" si="447"/>
        <v>0</v>
      </c>
      <c r="CG1424">
        <f t="shared" si="448"/>
        <v>0</v>
      </c>
      <c r="CH1424">
        <f t="shared" si="449"/>
        <v>0</v>
      </c>
      <c r="CI1424">
        <f t="shared" si="450"/>
        <v>0</v>
      </c>
      <c r="CJ1424">
        <f t="shared" si="451"/>
        <v>0</v>
      </c>
      <c r="CK1424">
        <f t="shared" si="452"/>
        <v>0</v>
      </c>
      <c r="CL1424">
        <f t="shared" si="453"/>
        <v>0</v>
      </c>
      <c r="CM1424">
        <f t="shared" si="455"/>
        <v>0</v>
      </c>
      <c r="CN1424">
        <f t="shared" si="454"/>
        <v>0</v>
      </c>
      <c r="CO1424">
        <f t="shared" si="438"/>
        <v>0</v>
      </c>
    </row>
    <row r="1425" spans="1:93" x14ac:dyDescent="0.25">
      <c r="A1425" s="4">
        <v>2021</v>
      </c>
      <c r="B1425" s="318">
        <v>44320</v>
      </c>
      <c r="C1425" s="4" t="s">
        <v>1524</v>
      </c>
      <c r="D1425" s="4" t="s">
        <v>1525</v>
      </c>
      <c r="F1425" s="4" t="s">
        <v>1526</v>
      </c>
      <c r="G1425" s="5" t="s">
        <v>1514</v>
      </c>
      <c r="H1425" s="5" t="s">
        <v>1527</v>
      </c>
      <c r="I1425" s="5" t="s">
        <v>146</v>
      </c>
      <c r="J1425" s="5" t="s">
        <v>9</v>
      </c>
      <c r="K1425" s="5">
        <v>15.5</v>
      </c>
      <c r="L1425" s="5" t="s">
        <v>1528</v>
      </c>
      <c r="M1425" s="5">
        <v>1100</v>
      </c>
      <c r="N1425" s="5" t="s">
        <v>170</v>
      </c>
      <c r="O1425" s="6" t="s">
        <v>81</v>
      </c>
      <c r="P1425" s="6" t="s">
        <v>1530</v>
      </c>
      <c r="S1425" s="6">
        <v>15</v>
      </c>
      <c r="T1425" s="6">
        <v>4.33</v>
      </c>
      <c r="U1425" s="6">
        <v>1101</v>
      </c>
      <c r="V1425" s="6">
        <v>4.92</v>
      </c>
      <c r="W1425" s="6">
        <v>569</v>
      </c>
      <c r="X1425" s="6">
        <v>532</v>
      </c>
      <c r="Y1425" s="6">
        <v>0</v>
      </c>
      <c r="Z1425" s="6">
        <v>0</v>
      </c>
      <c r="AA1425" s="6">
        <v>0</v>
      </c>
      <c r="AB1425" s="6">
        <v>0</v>
      </c>
      <c r="AC1425" s="7">
        <v>53</v>
      </c>
      <c r="AD1425" s="7" t="s">
        <v>52</v>
      </c>
      <c r="AE1425" s="7">
        <v>16.2</v>
      </c>
      <c r="AF1425" s="7">
        <v>528</v>
      </c>
      <c r="AG1425" s="7">
        <v>19.88</v>
      </c>
      <c r="AH1425" s="7">
        <v>21.89</v>
      </c>
      <c r="AI1425" s="7">
        <v>25.58</v>
      </c>
      <c r="AJ1425" s="9">
        <v>132.65925372997501</v>
      </c>
      <c r="AK1425" s="9">
        <v>135.769645676511</v>
      </c>
      <c r="AL1425" s="9">
        <v>189.35456023715699</v>
      </c>
      <c r="AM1425" s="9">
        <v>31.609795137466801</v>
      </c>
      <c r="AN1425" s="9">
        <v>0.59641122900880805</v>
      </c>
      <c r="AO1425" s="9">
        <v>0.603773903487969</v>
      </c>
      <c r="AP1425" s="9">
        <v>284.883691344314</v>
      </c>
      <c r="AQ1425" s="9">
        <v>5.3751639876285697</v>
      </c>
      <c r="AR1425" s="9">
        <v>7.6538191470002097</v>
      </c>
      <c r="AS1425" s="8" t="s">
        <v>169</v>
      </c>
      <c r="AT1425" s="8" t="s">
        <v>169</v>
      </c>
      <c r="AU1425" s="10" t="s">
        <v>169</v>
      </c>
      <c r="AV1425" s="10">
        <v>0</v>
      </c>
      <c r="AW1425" s="10" t="s">
        <v>169</v>
      </c>
      <c r="AX1425" s="10" t="s">
        <v>169</v>
      </c>
      <c r="BF1425" s="12">
        <v>0.45</v>
      </c>
      <c r="BG1425" s="13">
        <v>148.40663658587201</v>
      </c>
      <c r="BH1425" s="96" t="str">
        <f>+VLOOKUP(G1425,Liste!$A$7:$G$50,3,FALSE)</f>
        <v>Pin d'Alep</v>
      </c>
      <c r="BI1425" s="96" t="str">
        <f>+VLOOKUP(H1425,Liste!$B$7:$G$50,5,FALSE)</f>
        <v>Pin d'Alep</v>
      </c>
      <c r="BJ1425" s="135">
        <f t="shared" si="437"/>
        <v>53</v>
      </c>
      <c r="BK1425" s="135" t="str">
        <f t="shared" si="439"/>
        <v>Pin d'Alep_F1_Dynamique_Pin d'Alep_53_</v>
      </c>
      <c r="BL1425" s="322"/>
      <c r="BM1425" s="13">
        <v>40.765854619433803</v>
      </c>
      <c r="BN1425" s="13">
        <v>189.17249120530599</v>
      </c>
      <c r="BO1425" s="13" t="s">
        <v>169</v>
      </c>
      <c r="BP1425" s="13">
        <v>133.34843814247799</v>
      </c>
      <c r="BQ1425" s="13">
        <v>7.3849046370351603</v>
      </c>
      <c r="BT1425" s="298" t="str">
        <f>+VLOOKUP(G1425,Liste!$A$7:$H$50,8,FALSE)</f>
        <v>Résineux</v>
      </c>
      <c r="BU1425" s="298">
        <f t="shared" si="440"/>
        <v>0</v>
      </c>
      <c r="BV1425" s="300">
        <f t="shared" si="441"/>
        <v>1</v>
      </c>
      <c r="BW1425" s="321">
        <v>0</v>
      </c>
      <c r="BX1425" s="298">
        <f t="shared" si="442"/>
        <v>0.43</v>
      </c>
      <c r="BY1425">
        <f t="shared" si="443"/>
        <v>0</v>
      </c>
      <c r="BZ1425" s="304">
        <f t="shared" si="444"/>
        <v>0</v>
      </c>
      <c r="CB1425" s="299">
        <v>0.6</v>
      </c>
      <c r="CC1425" s="299">
        <v>0.4</v>
      </c>
      <c r="CD1425">
        <f t="shared" si="445"/>
        <v>0</v>
      </c>
      <c r="CE1425">
        <f t="shared" si="446"/>
        <v>0</v>
      </c>
      <c r="CF1425">
        <f t="shared" si="447"/>
        <v>0</v>
      </c>
      <c r="CG1425">
        <f t="shared" si="448"/>
        <v>0</v>
      </c>
      <c r="CH1425">
        <f t="shared" si="449"/>
        <v>0</v>
      </c>
      <c r="CI1425">
        <f t="shared" si="450"/>
        <v>0</v>
      </c>
      <c r="CJ1425">
        <f t="shared" si="451"/>
        <v>0</v>
      </c>
      <c r="CK1425">
        <f t="shared" si="452"/>
        <v>0</v>
      </c>
      <c r="CL1425">
        <f t="shared" si="453"/>
        <v>0</v>
      </c>
      <c r="CM1425">
        <f t="shared" si="455"/>
        <v>0</v>
      </c>
      <c r="CN1425">
        <f t="shared" si="454"/>
        <v>0</v>
      </c>
      <c r="CO1425">
        <f t="shared" si="438"/>
        <v>0</v>
      </c>
    </row>
    <row r="1426" spans="1:93" x14ac:dyDescent="0.25">
      <c r="A1426" s="4">
        <v>2021</v>
      </c>
      <c r="B1426" s="318">
        <v>44320</v>
      </c>
      <c r="C1426" s="4" t="s">
        <v>1524</v>
      </c>
      <c r="D1426" s="4" t="s">
        <v>1525</v>
      </c>
      <c r="F1426" s="4" t="s">
        <v>1526</v>
      </c>
      <c r="G1426" s="5" t="s">
        <v>1514</v>
      </c>
      <c r="H1426" s="5" t="s">
        <v>1527</v>
      </c>
      <c r="I1426" s="5" t="s">
        <v>146</v>
      </c>
      <c r="J1426" s="5" t="s">
        <v>9</v>
      </c>
      <c r="K1426" s="5">
        <v>15.5</v>
      </c>
      <c r="L1426" s="5" t="s">
        <v>1528</v>
      </c>
      <c r="M1426" s="5">
        <v>1100</v>
      </c>
      <c r="N1426" s="5" t="s">
        <v>170</v>
      </c>
      <c r="O1426" s="6" t="s">
        <v>81</v>
      </c>
      <c r="P1426" s="6" t="s">
        <v>1530</v>
      </c>
      <c r="S1426" s="6">
        <v>15</v>
      </c>
      <c r="T1426" s="6">
        <v>4.33</v>
      </c>
      <c r="U1426" s="6">
        <v>1101</v>
      </c>
      <c r="V1426" s="6">
        <v>4.92</v>
      </c>
      <c r="W1426" s="6">
        <v>569</v>
      </c>
      <c r="X1426" s="6">
        <v>532</v>
      </c>
      <c r="Y1426" s="6">
        <v>0</v>
      </c>
      <c r="Z1426" s="6">
        <v>0</v>
      </c>
      <c r="AA1426" s="6">
        <v>0</v>
      </c>
      <c r="AB1426" s="6">
        <v>0</v>
      </c>
      <c r="AC1426" s="7">
        <v>54</v>
      </c>
      <c r="AD1426" s="7" t="s">
        <v>52</v>
      </c>
      <c r="AE1426" s="7">
        <v>16.41</v>
      </c>
      <c r="AF1426" s="7">
        <v>528</v>
      </c>
      <c r="AG1426" s="7">
        <v>20.48</v>
      </c>
      <c r="AH1426" s="7">
        <v>22.22</v>
      </c>
      <c r="AI1426" s="7">
        <v>25.97</v>
      </c>
      <c r="AJ1426" s="9">
        <v>138.370576491983</v>
      </c>
      <c r="AK1426" s="9">
        <v>141.64247719360901</v>
      </c>
      <c r="AL1426" s="9">
        <v>197.008379384157</v>
      </c>
      <c r="AM1426" s="9">
        <v>32.213569040954802</v>
      </c>
      <c r="AN1426" s="9">
        <v>0.59654757483249599</v>
      </c>
      <c r="AO1426" s="9">
        <v>0.60254061631393796</v>
      </c>
      <c r="AP1426" s="9">
        <v>292.537510491315</v>
      </c>
      <c r="AQ1426" s="9">
        <v>5.4173613053947101</v>
      </c>
      <c r="AR1426" s="9">
        <v>7.7232402374091302</v>
      </c>
      <c r="AS1426" s="8" t="s">
        <v>169</v>
      </c>
      <c r="AT1426" s="8" t="s">
        <v>169</v>
      </c>
      <c r="AU1426" s="10" t="s">
        <v>169</v>
      </c>
      <c r="AV1426" s="10">
        <v>0</v>
      </c>
      <c r="AW1426" s="10" t="s">
        <v>169</v>
      </c>
      <c r="AX1426" s="10" t="s">
        <v>169</v>
      </c>
      <c r="BF1426" s="12">
        <v>0.45</v>
      </c>
      <c r="BG1426" s="13">
        <v>154.40531734233301</v>
      </c>
      <c r="BH1426" s="96" t="str">
        <f>+VLOOKUP(G1426,Liste!$A$7:$G$50,3,FALSE)</f>
        <v>Pin d'Alep</v>
      </c>
      <c r="BI1426" s="96" t="str">
        <f>+VLOOKUP(H1426,Liste!$B$7:$G$50,5,FALSE)</f>
        <v>Pin d'Alep</v>
      </c>
      <c r="BJ1426" s="135">
        <f t="shared" si="437"/>
        <v>54</v>
      </c>
      <c r="BK1426" s="135" t="str">
        <f t="shared" si="439"/>
        <v>Pin d'Alep_F1_Dynamique_Pin d'Alep_54_</v>
      </c>
      <c r="BL1426" s="322"/>
      <c r="BM1426" s="13">
        <v>42.218457485669497</v>
      </c>
      <c r="BN1426" s="13">
        <v>196.62377482800301</v>
      </c>
      <c r="BO1426" s="13" t="s">
        <v>169</v>
      </c>
      <c r="BP1426" s="13">
        <v>133.34843814247799</v>
      </c>
      <c r="BQ1426" s="13">
        <v>7.4476137384185099</v>
      </c>
      <c r="BT1426" s="298" t="str">
        <f>+VLOOKUP(G1426,Liste!$A$7:$H$50,8,FALSE)</f>
        <v>Résineux</v>
      </c>
      <c r="BU1426" s="298">
        <f t="shared" si="440"/>
        <v>0</v>
      </c>
      <c r="BV1426" s="300">
        <f t="shared" si="441"/>
        <v>1</v>
      </c>
      <c r="BW1426" s="321">
        <v>0</v>
      </c>
      <c r="BX1426" s="298">
        <f t="shared" si="442"/>
        <v>0.43</v>
      </c>
      <c r="BY1426">
        <f t="shared" si="443"/>
        <v>0</v>
      </c>
      <c r="BZ1426" s="304">
        <f t="shared" si="444"/>
        <v>0</v>
      </c>
      <c r="CB1426" s="299">
        <v>0.6</v>
      </c>
      <c r="CC1426" s="299">
        <v>0.4</v>
      </c>
      <c r="CD1426">
        <f t="shared" si="445"/>
        <v>0</v>
      </c>
      <c r="CE1426">
        <f t="shared" si="446"/>
        <v>0</v>
      </c>
      <c r="CF1426">
        <f t="shared" si="447"/>
        <v>0</v>
      </c>
      <c r="CG1426">
        <f t="shared" si="448"/>
        <v>0</v>
      </c>
      <c r="CH1426">
        <f t="shared" si="449"/>
        <v>0</v>
      </c>
      <c r="CI1426">
        <f t="shared" si="450"/>
        <v>0</v>
      </c>
      <c r="CJ1426">
        <f t="shared" si="451"/>
        <v>0</v>
      </c>
      <c r="CK1426">
        <f t="shared" si="452"/>
        <v>0</v>
      </c>
      <c r="CL1426">
        <f t="shared" si="453"/>
        <v>0</v>
      </c>
      <c r="CM1426">
        <f t="shared" si="455"/>
        <v>0</v>
      </c>
      <c r="CN1426">
        <f t="shared" si="454"/>
        <v>0</v>
      </c>
      <c r="CO1426">
        <f t="shared" si="438"/>
        <v>0</v>
      </c>
    </row>
    <row r="1427" spans="1:93" x14ac:dyDescent="0.25">
      <c r="A1427" s="4">
        <v>2021</v>
      </c>
      <c r="B1427" s="318">
        <v>44320</v>
      </c>
      <c r="C1427" s="4" t="s">
        <v>1524</v>
      </c>
      <c r="D1427" s="4" t="s">
        <v>1525</v>
      </c>
      <c r="F1427" s="4" t="s">
        <v>1526</v>
      </c>
      <c r="G1427" s="5" t="s">
        <v>1514</v>
      </c>
      <c r="H1427" s="5" t="s">
        <v>1527</v>
      </c>
      <c r="I1427" s="5" t="s">
        <v>146</v>
      </c>
      <c r="J1427" s="5" t="s">
        <v>9</v>
      </c>
      <c r="K1427" s="5">
        <v>15.5</v>
      </c>
      <c r="L1427" s="5" t="s">
        <v>1528</v>
      </c>
      <c r="M1427" s="5">
        <v>1100</v>
      </c>
      <c r="N1427" s="5" t="s">
        <v>170</v>
      </c>
      <c r="O1427" s="6" t="s">
        <v>81</v>
      </c>
      <c r="P1427" s="6" t="s">
        <v>1530</v>
      </c>
      <c r="S1427" s="6">
        <v>15</v>
      </c>
      <c r="T1427" s="6">
        <v>4.33</v>
      </c>
      <c r="U1427" s="6">
        <v>1101</v>
      </c>
      <c r="V1427" s="6">
        <v>4.92</v>
      </c>
      <c r="W1427" s="6">
        <v>569</v>
      </c>
      <c r="X1427" s="6">
        <v>532</v>
      </c>
      <c r="Y1427" s="6">
        <v>0</v>
      </c>
      <c r="Z1427" s="6">
        <v>0</v>
      </c>
      <c r="AA1427" s="6">
        <v>0</v>
      </c>
      <c r="AB1427" s="6">
        <v>0</v>
      </c>
      <c r="AC1427" s="7">
        <v>55</v>
      </c>
      <c r="AD1427" s="7" t="s">
        <v>52</v>
      </c>
      <c r="AE1427" s="7">
        <v>16.62</v>
      </c>
      <c r="AF1427" s="7">
        <v>528</v>
      </c>
      <c r="AG1427" s="7">
        <v>21.08</v>
      </c>
      <c r="AH1427" s="7">
        <v>22.55</v>
      </c>
      <c r="AI1427" s="7">
        <v>26.35</v>
      </c>
      <c r="AJ1427" s="9">
        <v>144.141212454585</v>
      </c>
      <c r="AK1427" s="9">
        <v>147.577135051532</v>
      </c>
      <c r="AL1427" s="9">
        <v>204.73161962156601</v>
      </c>
      <c r="AM1427" s="9">
        <v>32.816109657268697</v>
      </c>
      <c r="AN1427" s="9">
        <v>0.59665653922306805</v>
      </c>
      <c r="AO1427" s="9">
        <v>0.598985747146763</v>
      </c>
      <c r="AP1427" s="9">
        <v>300.26075072872402</v>
      </c>
      <c r="AQ1427" s="9">
        <v>5.4592863768858901</v>
      </c>
      <c r="AR1427" s="9">
        <v>7.7763719756986198</v>
      </c>
      <c r="AS1427" s="8" t="s">
        <v>169</v>
      </c>
      <c r="AT1427" s="8" t="s">
        <v>169</v>
      </c>
      <c r="AU1427" s="10" t="s">
        <v>169</v>
      </c>
      <c r="AV1427" s="10">
        <v>0</v>
      </c>
      <c r="AW1427" s="10" t="s">
        <v>169</v>
      </c>
      <c r="AX1427" s="10" t="s">
        <v>169</v>
      </c>
      <c r="BF1427" s="12">
        <v>0.45</v>
      </c>
      <c r="BG1427" s="13">
        <v>160.458406878403</v>
      </c>
      <c r="BH1427" s="96" t="str">
        <f>+VLOOKUP(G1427,Liste!$A$7:$G$50,3,FALSE)</f>
        <v>Pin d'Alep</v>
      </c>
      <c r="BI1427" s="96" t="str">
        <f>+VLOOKUP(H1427,Liste!$B$7:$G$50,5,FALSE)</f>
        <v>Pin d'Alep</v>
      </c>
      <c r="BJ1427" s="135">
        <f t="shared" si="437"/>
        <v>55</v>
      </c>
      <c r="BK1427" s="135" t="str">
        <f t="shared" si="439"/>
        <v>Pin d'Alep_F1_Dynamique_Pin d'Alep_55_</v>
      </c>
      <c r="BL1427" s="322"/>
      <c r="BM1427" s="13">
        <v>43.677591209120898</v>
      </c>
      <c r="BN1427" s="13">
        <v>204.13599808752301</v>
      </c>
      <c r="BO1427" s="13" t="s">
        <v>169</v>
      </c>
      <c r="BP1427" s="13">
        <v>133.34843814247799</v>
      </c>
      <c r="BQ1427" s="13">
        <v>7.4946369961270403</v>
      </c>
      <c r="BT1427" s="298" t="str">
        <f>+VLOOKUP(G1427,Liste!$A$7:$H$50,8,FALSE)</f>
        <v>Résineux</v>
      </c>
      <c r="BU1427" s="298">
        <f t="shared" si="440"/>
        <v>0</v>
      </c>
      <c r="BV1427" s="300">
        <f t="shared" si="441"/>
        <v>1</v>
      </c>
      <c r="BW1427" s="321">
        <v>0</v>
      </c>
      <c r="BX1427" s="298">
        <f t="shared" si="442"/>
        <v>0.43</v>
      </c>
      <c r="BY1427">
        <f t="shared" si="443"/>
        <v>0</v>
      </c>
      <c r="BZ1427" s="304">
        <f t="shared" si="444"/>
        <v>0</v>
      </c>
      <c r="CB1427" s="299">
        <v>0.6</v>
      </c>
      <c r="CC1427" s="299">
        <v>0.4</v>
      </c>
      <c r="CD1427">
        <f t="shared" si="445"/>
        <v>0</v>
      </c>
      <c r="CE1427">
        <f t="shared" si="446"/>
        <v>0</v>
      </c>
      <c r="CF1427">
        <f t="shared" si="447"/>
        <v>0</v>
      </c>
      <c r="CG1427">
        <f t="shared" si="448"/>
        <v>0</v>
      </c>
      <c r="CH1427">
        <f t="shared" si="449"/>
        <v>0</v>
      </c>
      <c r="CI1427">
        <f t="shared" si="450"/>
        <v>0</v>
      </c>
      <c r="CJ1427">
        <f t="shared" si="451"/>
        <v>0</v>
      </c>
      <c r="CK1427">
        <f t="shared" si="452"/>
        <v>0</v>
      </c>
      <c r="CL1427">
        <f t="shared" si="453"/>
        <v>0</v>
      </c>
      <c r="CM1427">
        <f t="shared" si="455"/>
        <v>0</v>
      </c>
      <c r="CN1427">
        <f t="shared" si="454"/>
        <v>0</v>
      </c>
      <c r="CO1427">
        <f t="shared" si="438"/>
        <v>0</v>
      </c>
    </row>
    <row r="1428" spans="1:93" x14ac:dyDescent="0.25">
      <c r="A1428" s="4">
        <v>2021</v>
      </c>
      <c r="B1428" s="318">
        <v>44320</v>
      </c>
      <c r="C1428" s="4" t="s">
        <v>1524</v>
      </c>
      <c r="D1428" s="4" t="s">
        <v>1525</v>
      </c>
      <c r="F1428" s="4" t="s">
        <v>1526</v>
      </c>
      <c r="G1428" s="5" t="s">
        <v>1514</v>
      </c>
      <c r="H1428" s="5" t="s">
        <v>1527</v>
      </c>
      <c r="I1428" s="5" t="s">
        <v>146</v>
      </c>
      <c r="J1428" s="5" t="s">
        <v>9</v>
      </c>
      <c r="K1428" s="5">
        <v>15.5</v>
      </c>
      <c r="L1428" s="5" t="s">
        <v>1528</v>
      </c>
      <c r="M1428" s="5">
        <v>1100</v>
      </c>
      <c r="N1428" s="5" t="s">
        <v>170</v>
      </c>
      <c r="O1428" s="6" t="s">
        <v>81</v>
      </c>
      <c r="P1428" s="6" t="s">
        <v>1530</v>
      </c>
      <c r="S1428" s="6">
        <v>15</v>
      </c>
      <c r="T1428" s="6">
        <v>4.33</v>
      </c>
      <c r="U1428" s="6">
        <v>1101</v>
      </c>
      <c r="V1428" s="6">
        <v>4.92</v>
      </c>
      <c r="W1428" s="6">
        <v>569</v>
      </c>
      <c r="X1428" s="6">
        <v>532</v>
      </c>
      <c r="Y1428" s="6">
        <v>0</v>
      </c>
      <c r="Z1428" s="6">
        <v>0</v>
      </c>
      <c r="AA1428" s="6">
        <v>0</v>
      </c>
      <c r="AB1428" s="6">
        <v>0</v>
      </c>
      <c r="AC1428" s="7">
        <v>56</v>
      </c>
      <c r="AD1428" s="7" t="s">
        <v>52</v>
      </c>
      <c r="AE1428" s="7">
        <v>16.829999999999998</v>
      </c>
      <c r="AF1428" s="7">
        <v>527</v>
      </c>
      <c r="AG1428" s="7">
        <v>21.64</v>
      </c>
      <c r="AH1428" s="7">
        <v>22.86</v>
      </c>
      <c r="AI1428" s="7">
        <v>26.73</v>
      </c>
      <c r="AJ1428" s="9">
        <v>149.641498473957</v>
      </c>
      <c r="AK1428" s="9">
        <v>153.23489619784499</v>
      </c>
      <c r="AL1428" s="9">
        <v>212.05332922233299</v>
      </c>
      <c r="AM1428" s="9">
        <v>33.415095404415503</v>
      </c>
      <c r="AN1428" s="9">
        <v>0.59669813222170498</v>
      </c>
      <c r="AO1428" s="9">
        <v>0.59745636486513098</v>
      </c>
      <c r="AP1428" s="9">
        <v>308.03712270442202</v>
      </c>
      <c r="AQ1428" s="9">
        <v>5.5006629054361103</v>
      </c>
      <c r="AR1428" s="9">
        <v>7.8186489206427199</v>
      </c>
      <c r="AS1428" s="8" t="s">
        <v>169</v>
      </c>
      <c r="AT1428" s="8" t="s">
        <v>169</v>
      </c>
      <c r="AU1428" s="10" t="s">
        <v>169</v>
      </c>
      <c r="AV1428" s="10">
        <v>0</v>
      </c>
      <c r="AW1428" s="10" t="s">
        <v>169</v>
      </c>
      <c r="AX1428" s="10" t="s">
        <v>169</v>
      </c>
      <c r="BF1428" s="12">
        <v>0.45</v>
      </c>
      <c r="BG1428" s="13">
        <v>166.19679677800301</v>
      </c>
      <c r="BH1428" s="96" t="str">
        <f>+VLOOKUP(G1428,Liste!$A$7:$G$50,3,FALSE)</f>
        <v>Pin d'Alep</v>
      </c>
      <c r="BI1428" s="96" t="str">
        <f>+VLOOKUP(H1428,Liste!$B$7:$G$50,5,FALSE)</f>
        <v>Pin d'Alep</v>
      </c>
      <c r="BJ1428" s="135">
        <f t="shared" si="437"/>
        <v>56</v>
      </c>
      <c r="BK1428" s="135" t="str">
        <f t="shared" si="439"/>
        <v>Pin d'Alep_F1_Dynamique_Pin d'Alep_56_</v>
      </c>
      <c r="BL1428" s="322"/>
      <c r="BM1428" s="13">
        <v>45.054955829894901</v>
      </c>
      <c r="BN1428" s="13">
        <v>211.251752607898</v>
      </c>
      <c r="BO1428" s="13" t="s">
        <v>169</v>
      </c>
      <c r="BP1428" s="13">
        <v>133.34843814247799</v>
      </c>
      <c r="BQ1428" s="13">
        <v>7.5312408537004698</v>
      </c>
      <c r="BT1428" s="298" t="str">
        <f>+VLOOKUP(G1428,Liste!$A$7:$H$50,8,FALSE)</f>
        <v>Résineux</v>
      </c>
      <c r="BU1428" s="298">
        <f t="shared" si="440"/>
        <v>0</v>
      </c>
      <c r="BV1428" s="300">
        <f t="shared" si="441"/>
        <v>1</v>
      </c>
      <c r="BW1428" s="321">
        <v>0</v>
      </c>
      <c r="BX1428" s="298">
        <f t="shared" si="442"/>
        <v>0.43</v>
      </c>
      <c r="BY1428">
        <f t="shared" si="443"/>
        <v>0</v>
      </c>
      <c r="BZ1428" s="304">
        <f t="shared" si="444"/>
        <v>0</v>
      </c>
      <c r="CB1428" s="299">
        <v>0.6</v>
      </c>
      <c r="CC1428" s="299">
        <v>0.4</v>
      </c>
      <c r="CD1428">
        <f t="shared" si="445"/>
        <v>0</v>
      </c>
      <c r="CE1428">
        <f t="shared" si="446"/>
        <v>0</v>
      </c>
      <c r="CF1428">
        <f t="shared" si="447"/>
        <v>0</v>
      </c>
      <c r="CG1428">
        <f t="shared" si="448"/>
        <v>0</v>
      </c>
      <c r="CH1428">
        <f t="shared" si="449"/>
        <v>0</v>
      </c>
      <c r="CI1428">
        <f t="shared" si="450"/>
        <v>0</v>
      </c>
      <c r="CJ1428">
        <f t="shared" si="451"/>
        <v>0</v>
      </c>
      <c r="CK1428">
        <f t="shared" si="452"/>
        <v>0</v>
      </c>
      <c r="CL1428">
        <f t="shared" si="453"/>
        <v>0</v>
      </c>
      <c r="CM1428">
        <f t="shared" si="455"/>
        <v>0</v>
      </c>
      <c r="CN1428">
        <f t="shared" si="454"/>
        <v>0</v>
      </c>
      <c r="CO1428">
        <f t="shared" si="438"/>
        <v>0</v>
      </c>
    </row>
    <row r="1429" spans="1:93" x14ac:dyDescent="0.25">
      <c r="A1429" s="4">
        <v>2021</v>
      </c>
      <c r="B1429" s="318">
        <v>44320</v>
      </c>
      <c r="C1429" s="4" t="s">
        <v>1524</v>
      </c>
      <c r="D1429" s="4" t="s">
        <v>1525</v>
      </c>
      <c r="F1429" s="4" t="s">
        <v>1526</v>
      </c>
      <c r="G1429" s="5" t="s">
        <v>1514</v>
      </c>
      <c r="H1429" s="5" t="s">
        <v>1527</v>
      </c>
      <c r="I1429" s="5" t="s">
        <v>146</v>
      </c>
      <c r="J1429" s="5" t="s">
        <v>9</v>
      </c>
      <c r="K1429" s="5">
        <v>15.5</v>
      </c>
      <c r="L1429" s="5" t="s">
        <v>1528</v>
      </c>
      <c r="M1429" s="5">
        <v>1100</v>
      </c>
      <c r="N1429" s="5" t="s">
        <v>170</v>
      </c>
      <c r="O1429" s="6" t="s">
        <v>81</v>
      </c>
      <c r="P1429" s="6" t="s">
        <v>1530</v>
      </c>
      <c r="S1429" s="6">
        <v>15</v>
      </c>
      <c r="T1429" s="6">
        <v>4.33</v>
      </c>
      <c r="U1429" s="6">
        <v>1101</v>
      </c>
      <c r="V1429" s="6">
        <v>4.92</v>
      </c>
      <c r="W1429" s="6">
        <v>569</v>
      </c>
      <c r="X1429" s="6">
        <v>532</v>
      </c>
      <c r="Y1429" s="6">
        <v>0</v>
      </c>
      <c r="Z1429" s="6">
        <v>0</v>
      </c>
      <c r="AA1429" s="6">
        <v>0</v>
      </c>
      <c r="AB1429" s="6">
        <v>0</v>
      </c>
      <c r="AC1429" s="7">
        <v>57</v>
      </c>
      <c r="AD1429" s="7" t="s">
        <v>52</v>
      </c>
      <c r="AE1429" s="7">
        <v>17.03</v>
      </c>
      <c r="AF1429" s="7">
        <v>527</v>
      </c>
      <c r="AG1429" s="7">
        <v>22.23</v>
      </c>
      <c r="AH1429" s="7">
        <v>23.18</v>
      </c>
      <c r="AI1429" s="7">
        <v>27.1</v>
      </c>
      <c r="AJ1429" s="9">
        <v>155.49765830849699</v>
      </c>
      <c r="AK1429" s="9">
        <v>159.25918172855299</v>
      </c>
      <c r="AL1429" s="9">
        <v>219.87197814297599</v>
      </c>
      <c r="AM1429" s="9">
        <v>34.012551769280599</v>
      </c>
      <c r="AN1429" s="9">
        <v>0.59671143454878295</v>
      </c>
      <c r="AO1429" s="9">
        <v>0.59497222901411795</v>
      </c>
      <c r="AP1429" s="9">
        <v>315.85577162506502</v>
      </c>
      <c r="AQ1429" s="9">
        <v>5.5413293267555304</v>
      </c>
      <c r="AR1429" s="9">
        <v>7.87899138775248</v>
      </c>
      <c r="AS1429" s="8" t="s">
        <v>169</v>
      </c>
      <c r="AT1429" s="8" t="s">
        <v>169</v>
      </c>
      <c r="AU1429" s="10" t="s">
        <v>169</v>
      </c>
      <c r="AV1429" s="10">
        <v>0</v>
      </c>
      <c r="AW1429" s="10" t="s">
        <v>169</v>
      </c>
      <c r="AX1429" s="10" t="s">
        <v>169</v>
      </c>
      <c r="BF1429" s="12">
        <v>0.45</v>
      </c>
      <c r="BG1429" s="13">
        <v>172.32466286955699</v>
      </c>
      <c r="BH1429" s="96" t="str">
        <f>+VLOOKUP(G1429,Liste!$A$7:$G$50,3,FALSE)</f>
        <v>Pin d'Alep</v>
      </c>
      <c r="BI1429" s="96" t="str">
        <f>+VLOOKUP(H1429,Liste!$B$7:$G$50,5,FALSE)</f>
        <v>Pin d'Alep</v>
      </c>
      <c r="BJ1429" s="135">
        <f t="shared" si="437"/>
        <v>57</v>
      </c>
      <c r="BK1429" s="135" t="str">
        <f t="shared" si="439"/>
        <v>Pin d'Alep_F1_Dynamique_Pin d'Alep_57_</v>
      </c>
      <c r="BL1429" s="322"/>
      <c r="BM1429" s="13">
        <v>46.519709209789397</v>
      </c>
      <c r="BN1429" s="13">
        <v>218.84437207934599</v>
      </c>
      <c r="BO1429" s="13" t="s">
        <v>169</v>
      </c>
      <c r="BP1429" s="13">
        <v>133.34843814247799</v>
      </c>
      <c r="BQ1429" s="13">
        <v>7.5852803627230996</v>
      </c>
      <c r="BT1429" s="298" t="str">
        <f>+VLOOKUP(G1429,Liste!$A$7:$H$50,8,FALSE)</f>
        <v>Résineux</v>
      </c>
      <c r="BU1429" s="298">
        <f t="shared" si="440"/>
        <v>0</v>
      </c>
      <c r="BV1429" s="300">
        <f t="shared" si="441"/>
        <v>1</v>
      </c>
      <c r="BW1429" s="321">
        <v>0</v>
      </c>
      <c r="BX1429" s="298">
        <f t="shared" si="442"/>
        <v>0.43</v>
      </c>
      <c r="BY1429">
        <f t="shared" si="443"/>
        <v>0</v>
      </c>
      <c r="BZ1429" s="304">
        <f t="shared" si="444"/>
        <v>0</v>
      </c>
      <c r="CB1429" s="299">
        <v>0.6</v>
      </c>
      <c r="CC1429" s="299">
        <v>0.4</v>
      </c>
      <c r="CD1429">
        <f t="shared" si="445"/>
        <v>0</v>
      </c>
      <c r="CE1429">
        <f t="shared" si="446"/>
        <v>0</v>
      </c>
      <c r="CF1429">
        <f t="shared" si="447"/>
        <v>0</v>
      </c>
      <c r="CG1429">
        <f t="shared" si="448"/>
        <v>0</v>
      </c>
      <c r="CH1429">
        <f t="shared" si="449"/>
        <v>0</v>
      </c>
      <c r="CI1429">
        <f t="shared" si="450"/>
        <v>0</v>
      </c>
      <c r="CJ1429">
        <f t="shared" si="451"/>
        <v>0</v>
      </c>
      <c r="CK1429">
        <f t="shared" si="452"/>
        <v>0</v>
      </c>
      <c r="CL1429">
        <f t="shared" si="453"/>
        <v>0</v>
      </c>
      <c r="CM1429">
        <f t="shared" si="455"/>
        <v>0</v>
      </c>
      <c r="CN1429">
        <f t="shared" si="454"/>
        <v>0</v>
      </c>
      <c r="CO1429">
        <f t="shared" si="438"/>
        <v>0</v>
      </c>
    </row>
    <row r="1430" spans="1:93" x14ac:dyDescent="0.25">
      <c r="A1430" s="4">
        <v>2021</v>
      </c>
      <c r="B1430" s="318">
        <v>44320</v>
      </c>
      <c r="C1430" s="4" t="s">
        <v>1524</v>
      </c>
      <c r="D1430" s="4" t="s">
        <v>1525</v>
      </c>
      <c r="F1430" s="4" t="s">
        <v>1526</v>
      </c>
      <c r="G1430" s="5" t="s">
        <v>1514</v>
      </c>
      <c r="H1430" s="5" t="s">
        <v>1527</v>
      </c>
      <c r="I1430" s="5" t="s">
        <v>146</v>
      </c>
      <c r="J1430" s="5" t="s">
        <v>9</v>
      </c>
      <c r="K1430" s="5">
        <v>15.5</v>
      </c>
      <c r="L1430" s="5" t="s">
        <v>1528</v>
      </c>
      <c r="M1430" s="5">
        <v>1100</v>
      </c>
      <c r="N1430" s="5" t="s">
        <v>170</v>
      </c>
      <c r="O1430" s="6" t="s">
        <v>81</v>
      </c>
      <c r="P1430" s="6" t="s">
        <v>1530</v>
      </c>
      <c r="S1430" s="6">
        <v>15</v>
      </c>
      <c r="T1430" s="6">
        <v>4.33</v>
      </c>
      <c r="U1430" s="6">
        <v>1101</v>
      </c>
      <c r="V1430" s="6">
        <v>4.92</v>
      </c>
      <c r="W1430" s="6">
        <v>569</v>
      </c>
      <c r="X1430" s="6">
        <v>532</v>
      </c>
      <c r="Y1430" s="6">
        <v>0</v>
      </c>
      <c r="Z1430" s="6">
        <v>0</v>
      </c>
      <c r="AA1430" s="6">
        <v>0</v>
      </c>
      <c r="AB1430" s="6">
        <v>0</v>
      </c>
      <c r="AC1430" s="7">
        <v>58</v>
      </c>
      <c r="AD1430" s="7" t="s">
        <v>52</v>
      </c>
      <c r="AE1430" s="7">
        <v>17.22</v>
      </c>
      <c r="AF1430" s="7">
        <v>527</v>
      </c>
      <c r="AG1430" s="7">
        <v>22.83</v>
      </c>
      <c r="AH1430" s="7">
        <v>23.48</v>
      </c>
      <c r="AI1430" s="7">
        <v>27.47</v>
      </c>
      <c r="AJ1430" s="9">
        <v>161.40879648188599</v>
      </c>
      <c r="AK1430" s="9">
        <v>165.34031075399599</v>
      </c>
      <c r="AL1430" s="9">
        <v>227.75096953072801</v>
      </c>
      <c r="AM1430" s="9">
        <v>34.607523998294702</v>
      </c>
      <c r="AN1430" s="9">
        <v>0.59668144824646097</v>
      </c>
      <c r="AO1430" s="9">
        <v>0.59006346693094303</v>
      </c>
      <c r="AP1430" s="9">
        <v>323.73476301281801</v>
      </c>
      <c r="AQ1430" s="9">
        <v>5.5816338450485796</v>
      </c>
      <c r="AR1430" s="9">
        <v>7.8800242029606098</v>
      </c>
      <c r="AS1430" s="8" t="s">
        <v>169</v>
      </c>
      <c r="AT1430" s="8" t="s">
        <v>169</v>
      </c>
      <c r="AU1430" s="10" t="s">
        <v>169</v>
      </c>
      <c r="AV1430" s="10">
        <v>0</v>
      </c>
      <c r="AW1430" s="10" t="s">
        <v>169</v>
      </c>
      <c r="AX1430" s="10" t="s">
        <v>169</v>
      </c>
      <c r="BF1430" s="12">
        <v>0.45</v>
      </c>
      <c r="BG1430" s="13">
        <v>178.499822369708</v>
      </c>
      <c r="BH1430" s="96" t="str">
        <f>+VLOOKUP(G1430,Liste!$A$7:$G$50,3,FALSE)</f>
        <v>Pin d'Alep</v>
      </c>
      <c r="BI1430" s="96" t="str">
        <f>+VLOOKUP(H1430,Liste!$B$7:$G$50,5,FALSE)</f>
        <v>Pin d'Alep</v>
      </c>
      <c r="BJ1430" s="135">
        <f t="shared" si="437"/>
        <v>58</v>
      </c>
      <c r="BK1430" s="135" t="str">
        <f t="shared" si="439"/>
        <v>Pin d'Alep_F1_Dynamique_Pin d'Alep_58_</v>
      </c>
      <c r="BL1430" s="322"/>
      <c r="BM1430" s="13">
        <v>47.989645880273798</v>
      </c>
      <c r="BN1430" s="13">
        <v>226.489468249982</v>
      </c>
      <c r="BO1430" s="13" t="s">
        <v>169</v>
      </c>
      <c r="BP1430" s="13">
        <v>133.34843814247799</v>
      </c>
      <c r="BQ1430" s="13">
        <v>7.5822843747253001</v>
      </c>
      <c r="BT1430" s="298" t="str">
        <f>+VLOOKUP(G1430,Liste!$A$7:$H$50,8,FALSE)</f>
        <v>Résineux</v>
      </c>
      <c r="BU1430" s="298">
        <f t="shared" si="440"/>
        <v>0</v>
      </c>
      <c r="BV1430" s="300">
        <f t="shared" si="441"/>
        <v>1</v>
      </c>
      <c r="BW1430" s="321">
        <v>0</v>
      </c>
      <c r="BX1430" s="298">
        <f t="shared" si="442"/>
        <v>0.43</v>
      </c>
      <c r="BY1430">
        <f t="shared" si="443"/>
        <v>0</v>
      </c>
      <c r="BZ1430" s="304">
        <f t="shared" si="444"/>
        <v>0</v>
      </c>
      <c r="CB1430" s="299">
        <v>0.6</v>
      </c>
      <c r="CC1430" s="299">
        <v>0.4</v>
      </c>
      <c r="CD1430">
        <f t="shared" si="445"/>
        <v>0</v>
      </c>
      <c r="CE1430">
        <f t="shared" si="446"/>
        <v>0</v>
      </c>
      <c r="CF1430">
        <f t="shared" si="447"/>
        <v>0</v>
      </c>
      <c r="CG1430">
        <f t="shared" si="448"/>
        <v>0</v>
      </c>
      <c r="CH1430">
        <f t="shared" si="449"/>
        <v>0</v>
      </c>
      <c r="CI1430">
        <f t="shared" si="450"/>
        <v>0</v>
      </c>
      <c r="CJ1430">
        <f t="shared" si="451"/>
        <v>0</v>
      </c>
      <c r="CK1430">
        <f t="shared" si="452"/>
        <v>0</v>
      </c>
      <c r="CL1430">
        <f t="shared" si="453"/>
        <v>0</v>
      </c>
      <c r="CM1430">
        <f t="shared" si="455"/>
        <v>0</v>
      </c>
      <c r="CN1430">
        <f t="shared" si="454"/>
        <v>0</v>
      </c>
      <c r="CO1430">
        <f t="shared" si="438"/>
        <v>0</v>
      </c>
    </row>
    <row r="1431" spans="1:93" x14ac:dyDescent="0.25">
      <c r="A1431" s="4">
        <v>2021</v>
      </c>
      <c r="B1431" s="318">
        <v>44320</v>
      </c>
      <c r="C1431" s="4" t="s">
        <v>1524</v>
      </c>
      <c r="D1431" s="4" t="s">
        <v>1525</v>
      </c>
      <c r="F1431" s="4" t="s">
        <v>1526</v>
      </c>
      <c r="G1431" s="5" t="s">
        <v>1514</v>
      </c>
      <c r="H1431" s="5" t="s">
        <v>1527</v>
      </c>
      <c r="I1431" s="5" t="s">
        <v>146</v>
      </c>
      <c r="J1431" s="5" t="s">
        <v>9</v>
      </c>
      <c r="K1431" s="5">
        <v>15.5</v>
      </c>
      <c r="L1431" s="5" t="s">
        <v>1528</v>
      </c>
      <c r="M1431" s="5">
        <v>1100</v>
      </c>
      <c r="N1431" s="5" t="s">
        <v>170</v>
      </c>
      <c r="O1431" s="6" t="s">
        <v>81</v>
      </c>
      <c r="P1431" s="6" t="s">
        <v>1530</v>
      </c>
      <c r="S1431" s="6">
        <v>15</v>
      </c>
      <c r="T1431" s="6">
        <v>4.33</v>
      </c>
      <c r="U1431" s="6">
        <v>1101</v>
      </c>
      <c r="V1431" s="6">
        <v>4.92</v>
      </c>
      <c r="W1431" s="6">
        <v>569</v>
      </c>
      <c r="X1431" s="6">
        <v>532</v>
      </c>
      <c r="Y1431" s="6">
        <v>0</v>
      </c>
      <c r="Z1431" s="6">
        <v>0</v>
      </c>
      <c r="AA1431" s="6">
        <v>0</v>
      </c>
      <c r="AB1431" s="6">
        <v>0</v>
      </c>
      <c r="AC1431" s="7">
        <v>59</v>
      </c>
      <c r="AD1431" s="7" t="s">
        <v>52</v>
      </c>
      <c r="AE1431" s="7">
        <v>17.420000000000002</v>
      </c>
      <c r="AF1431" s="7">
        <v>525</v>
      </c>
      <c r="AG1431" s="7">
        <v>23.34</v>
      </c>
      <c r="AH1431" s="7">
        <v>23.79</v>
      </c>
      <c r="AI1431" s="7">
        <v>27.84</v>
      </c>
      <c r="AJ1431" s="9">
        <v>166.75095993403099</v>
      </c>
      <c r="AK1431" s="9">
        <v>170.84029954109201</v>
      </c>
      <c r="AL1431" s="9">
        <v>234.82025493910399</v>
      </c>
      <c r="AM1431" s="9">
        <v>35.197587465225702</v>
      </c>
      <c r="AN1431" s="9">
        <v>0.59656927907162205</v>
      </c>
      <c r="AO1431" s="9">
        <v>0.58812574043618304</v>
      </c>
      <c r="AP1431" s="9">
        <v>331.61478721577799</v>
      </c>
      <c r="AQ1431" s="9">
        <v>5.6205896138267502</v>
      </c>
      <c r="AR1431" s="9">
        <v>7.9328009768213397</v>
      </c>
      <c r="AS1431" s="8" t="s">
        <v>169</v>
      </c>
      <c r="AT1431" s="8" t="s">
        <v>169</v>
      </c>
      <c r="AU1431" s="10" t="s">
        <v>169</v>
      </c>
      <c r="AV1431" s="10">
        <v>0</v>
      </c>
      <c r="AW1431" s="10" t="s">
        <v>169</v>
      </c>
      <c r="AX1431" s="10" t="s">
        <v>169</v>
      </c>
      <c r="BF1431" s="12">
        <v>0.45</v>
      </c>
      <c r="BG1431" s="13">
        <v>184.04037480852301</v>
      </c>
      <c r="BH1431" s="96" t="str">
        <f>+VLOOKUP(G1431,Liste!$A$7:$G$50,3,FALSE)</f>
        <v>Pin d'Alep</v>
      </c>
      <c r="BI1431" s="96" t="str">
        <f>+VLOOKUP(H1431,Liste!$B$7:$G$50,5,FALSE)</f>
        <v>Pin d'Alep</v>
      </c>
      <c r="BJ1431" s="135">
        <f t="shared" si="437"/>
        <v>59</v>
      </c>
      <c r="BK1431" s="135" t="str">
        <f t="shared" si="439"/>
        <v>Pin d'Alep_F1_Dynamique_Pin d'Alep_59_</v>
      </c>
      <c r="BL1431" s="322"/>
      <c r="BM1431" s="13">
        <v>49.303485042892198</v>
      </c>
      <c r="BN1431" s="13">
        <v>233.343859851415</v>
      </c>
      <c r="BO1431" s="13" t="s">
        <v>169</v>
      </c>
      <c r="BP1431" s="13">
        <v>133.34843814247799</v>
      </c>
      <c r="BQ1431" s="13">
        <v>7.6291433078161504</v>
      </c>
      <c r="BT1431" s="298" t="str">
        <f>+VLOOKUP(G1431,Liste!$A$7:$H$50,8,FALSE)</f>
        <v>Résineux</v>
      </c>
      <c r="BU1431" s="298">
        <f t="shared" si="440"/>
        <v>0</v>
      </c>
      <c r="BV1431" s="300">
        <f t="shared" si="441"/>
        <v>1</v>
      </c>
      <c r="BW1431" s="321">
        <v>0</v>
      </c>
      <c r="BX1431" s="298">
        <f t="shared" si="442"/>
        <v>0.43</v>
      </c>
      <c r="BY1431">
        <f t="shared" si="443"/>
        <v>0</v>
      </c>
      <c r="BZ1431" s="304">
        <f t="shared" si="444"/>
        <v>0</v>
      </c>
      <c r="CB1431" s="299">
        <v>0.6</v>
      </c>
      <c r="CC1431" s="299">
        <v>0.4</v>
      </c>
      <c r="CD1431">
        <f t="shared" si="445"/>
        <v>0</v>
      </c>
      <c r="CE1431">
        <f t="shared" si="446"/>
        <v>0</v>
      </c>
      <c r="CF1431">
        <f t="shared" si="447"/>
        <v>0</v>
      </c>
      <c r="CG1431">
        <f t="shared" si="448"/>
        <v>0</v>
      </c>
      <c r="CH1431">
        <f t="shared" si="449"/>
        <v>0</v>
      </c>
      <c r="CI1431">
        <f t="shared" si="450"/>
        <v>0</v>
      </c>
      <c r="CJ1431">
        <f t="shared" si="451"/>
        <v>0</v>
      </c>
      <c r="CK1431">
        <f t="shared" si="452"/>
        <v>0</v>
      </c>
      <c r="CL1431">
        <f t="shared" si="453"/>
        <v>0</v>
      </c>
      <c r="CM1431">
        <f t="shared" si="455"/>
        <v>0</v>
      </c>
      <c r="CN1431">
        <f t="shared" si="454"/>
        <v>0</v>
      </c>
      <c r="CO1431">
        <f t="shared" si="438"/>
        <v>0</v>
      </c>
    </row>
    <row r="1432" spans="1:93" x14ac:dyDescent="0.25">
      <c r="A1432" s="4">
        <v>2021</v>
      </c>
      <c r="B1432" s="318">
        <v>44320</v>
      </c>
      <c r="C1432" s="4" t="s">
        <v>1524</v>
      </c>
      <c r="D1432" s="4" t="s">
        <v>1525</v>
      </c>
      <c r="F1432" s="4" t="s">
        <v>1526</v>
      </c>
      <c r="G1432" s="5" t="s">
        <v>1514</v>
      </c>
      <c r="H1432" s="5" t="s">
        <v>1527</v>
      </c>
      <c r="I1432" s="5" t="s">
        <v>146</v>
      </c>
      <c r="J1432" s="5" t="s">
        <v>9</v>
      </c>
      <c r="K1432" s="5">
        <v>15.5</v>
      </c>
      <c r="L1432" s="5" t="s">
        <v>1528</v>
      </c>
      <c r="M1432" s="5">
        <v>1100</v>
      </c>
      <c r="N1432" s="5" t="s">
        <v>170</v>
      </c>
      <c r="O1432" s="6" t="s">
        <v>81</v>
      </c>
      <c r="P1432" s="6" t="s">
        <v>1530</v>
      </c>
      <c r="S1432" s="6">
        <v>15</v>
      </c>
      <c r="T1432" s="6">
        <v>4.33</v>
      </c>
      <c r="U1432" s="6">
        <v>1101</v>
      </c>
      <c r="V1432" s="6">
        <v>4.92</v>
      </c>
      <c r="W1432" s="6">
        <v>569</v>
      </c>
      <c r="X1432" s="6">
        <v>532</v>
      </c>
      <c r="Y1432" s="6">
        <v>0</v>
      </c>
      <c r="Z1432" s="6">
        <v>0</v>
      </c>
      <c r="AA1432" s="6">
        <v>0</v>
      </c>
      <c r="AB1432" s="6">
        <v>0</v>
      </c>
      <c r="AC1432" s="7">
        <v>60</v>
      </c>
      <c r="AD1432" s="7" t="s">
        <v>52</v>
      </c>
      <c r="AE1432" s="7">
        <v>17.61</v>
      </c>
      <c r="AF1432" s="7">
        <v>525</v>
      </c>
      <c r="AG1432" s="7">
        <v>23.92</v>
      </c>
      <c r="AH1432" s="7">
        <v>24.09</v>
      </c>
      <c r="AI1432" s="7">
        <v>28.2</v>
      </c>
      <c r="AJ1432" s="9">
        <v>172.71409287945599</v>
      </c>
      <c r="AK1432" s="9">
        <v>176.976728676428</v>
      </c>
      <c r="AL1432" s="9">
        <v>242.75305591592601</v>
      </c>
      <c r="AM1432" s="9">
        <v>35.785713205661899</v>
      </c>
      <c r="AN1432" s="9">
        <v>0.59642855342769796</v>
      </c>
      <c r="AO1432" s="9">
        <v>0.58387553471301601</v>
      </c>
      <c r="AP1432" s="9">
        <v>339.54758819260002</v>
      </c>
      <c r="AQ1432" s="9">
        <v>5.6591264698766599</v>
      </c>
      <c r="AR1432" s="9">
        <v>7.9373502625898</v>
      </c>
      <c r="AS1432" s="8" t="s">
        <v>169</v>
      </c>
      <c r="AT1432" s="8" t="s">
        <v>169</v>
      </c>
      <c r="AU1432" s="10" t="s">
        <v>169</v>
      </c>
      <c r="AV1432" s="10">
        <v>0</v>
      </c>
      <c r="AW1432" s="10" t="s">
        <v>169</v>
      </c>
      <c r="AX1432" s="10" t="s">
        <v>169</v>
      </c>
      <c r="BF1432" s="12">
        <v>0.45</v>
      </c>
      <c r="BG1432" s="13">
        <v>190.257707574107</v>
      </c>
      <c r="BH1432" s="96" t="str">
        <f>+VLOOKUP(G1432,Liste!$A$7:$G$50,3,FALSE)</f>
        <v>Pin d'Alep</v>
      </c>
      <c r="BI1432" s="96" t="str">
        <f>+VLOOKUP(H1432,Liste!$B$7:$G$50,5,FALSE)</f>
        <v>Pin d'Alep</v>
      </c>
      <c r="BJ1432" s="135">
        <f t="shared" si="437"/>
        <v>60</v>
      </c>
      <c r="BK1432" s="135" t="str">
        <f t="shared" si="439"/>
        <v>Pin d'Alep_F1_Dynamique_Pin d'Alep_60_</v>
      </c>
      <c r="BL1432" s="322"/>
      <c r="BM1432" s="13">
        <v>50.7723442614015</v>
      </c>
      <c r="BN1432" s="13">
        <v>241.030051835508</v>
      </c>
      <c r="BO1432" s="13" t="s">
        <v>169</v>
      </c>
      <c r="BP1432" s="13">
        <v>133.34843814247799</v>
      </c>
      <c r="BQ1432" s="13">
        <v>7.6296806905982102</v>
      </c>
      <c r="BT1432" s="298" t="str">
        <f>+VLOOKUP(G1432,Liste!$A$7:$H$50,8,FALSE)</f>
        <v>Résineux</v>
      </c>
      <c r="BU1432" s="298">
        <f t="shared" si="440"/>
        <v>0</v>
      </c>
      <c r="BV1432" s="300">
        <f t="shared" si="441"/>
        <v>1</v>
      </c>
      <c r="BW1432" s="321">
        <v>0</v>
      </c>
      <c r="BX1432" s="298">
        <f t="shared" si="442"/>
        <v>0.43</v>
      </c>
      <c r="BY1432">
        <f t="shared" si="443"/>
        <v>0</v>
      </c>
      <c r="BZ1432" s="304">
        <f t="shared" si="444"/>
        <v>0</v>
      </c>
      <c r="CB1432" s="299">
        <v>0.6</v>
      </c>
      <c r="CC1432" s="299">
        <v>0.4</v>
      </c>
      <c r="CD1432">
        <f t="shared" si="445"/>
        <v>0</v>
      </c>
      <c r="CE1432">
        <f t="shared" si="446"/>
        <v>0</v>
      </c>
      <c r="CF1432">
        <f t="shared" si="447"/>
        <v>0</v>
      </c>
      <c r="CG1432">
        <f t="shared" si="448"/>
        <v>0</v>
      </c>
      <c r="CH1432">
        <f t="shared" si="449"/>
        <v>0</v>
      </c>
      <c r="CI1432">
        <f t="shared" si="450"/>
        <v>0</v>
      </c>
      <c r="CJ1432">
        <f t="shared" si="451"/>
        <v>0</v>
      </c>
      <c r="CK1432">
        <f t="shared" si="452"/>
        <v>0</v>
      </c>
      <c r="CL1432">
        <f t="shared" si="453"/>
        <v>0</v>
      </c>
      <c r="CM1432">
        <f t="shared" si="455"/>
        <v>0</v>
      </c>
      <c r="CN1432">
        <f t="shared" si="454"/>
        <v>0</v>
      </c>
      <c r="CO1432">
        <f t="shared" si="438"/>
        <v>0</v>
      </c>
    </row>
    <row r="1433" spans="1:93" x14ac:dyDescent="0.25">
      <c r="A1433" s="4">
        <v>2021</v>
      </c>
      <c r="B1433" s="318">
        <v>44320</v>
      </c>
      <c r="C1433" s="4" t="s">
        <v>1524</v>
      </c>
      <c r="D1433" s="4" t="s">
        <v>1525</v>
      </c>
      <c r="F1433" s="4" t="s">
        <v>1526</v>
      </c>
      <c r="G1433" s="5" t="s">
        <v>1514</v>
      </c>
      <c r="H1433" s="5" t="s">
        <v>1527</v>
      </c>
      <c r="I1433" s="5" t="s">
        <v>146</v>
      </c>
      <c r="J1433" s="5" t="s">
        <v>9</v>
      </c>
      <c r="K1433" s="5">
        <v>15.5</v>
      </c>
      <c r="L1433" s="5" t="s">
        <v>1528</v>
      </c>
      <c r="M1433" s="5">
        <v>1100</v>
      </c>
      <c r="N1433" s="5" t="s">
        <v>170</v>
      </c>
      <c r="O1433" s="6" t="s">
        <v>81</v>
      </c>
      <c r="P1433" s="6" t="s">
        <v>1530</v>
      </c>
      <c r="S1433" s="6">
        <v>15</v>
      </c>
      <c r="T1433" s="6">
        <v>4.33</v>
      </c>
      <c r="U1433" s="6">
        <v>1101</v>
      </c>
      <c r="V1433" s="6">
        <v>4.92</v>
      </c>
      <c r="W1433" s="6">
        <v>569</v>
      </c>
      <c r="X1433" s="6">
        <v>532</v>
      </c>
      <c r="Y1433" s="6">
        <v>0</v>
      </c>
      <c r="Z1433" s="6">
        <v>0</v>
      </c>
      <c r="AA1433" s="6">
        <v>0</v>
      </c>
      <c r="AB1433" s="6">
        <v>0</v>
      </c>
      <c r="AC1433" s="7">
        <v>61</v>
      </c>
      <c r="AD1433" s="7" t="s">
        <v>52</v>
      </c>
      <c r="AE1433" s="7">
        <v>17.8</v>
      </c>
      <c r="AF1433" s="7">
        <v>525</v>
      </c>
      <c r="AG1433" s="7">
        <v>24.51</v>
      </c>
      <c r="AH1433" s="7">
        <v>24.38</v>
      </c>
      <c r="AI1433" s="7">
        <v>28.55</v>
      </c>
      <c r="AJ1433" s="9">
        <v>178.684551903276</v>
      </c>
      <c r="AK1433" s="9">
        <v>183.12183726061599</v>
      </c>
      <c r="AL1433" s="9">
        <v>250.69040617851499</v>
      </c>
      <c r="AM1433" s="9">
        <v>36.369588740374901</v>
      </c>
      <c r="AN1433" s="9">
        <v>0.59622276623565396</v>
      </c>
      <c r="AO1433" s="9">
        <v>0.45879089478131602</v>
      </c>
      <c r="AP1433" s="9">
        <v>347.48493845518902</v>
      </c>
      <c r="AQ1433" s="9">
        <v>5.6964744009047399</v>
      </c>
      <c r="AR1433" s="9">
        <v>6.4387046878834404</v>
      </c>
      <c r="AS1433" s="8" t="s">
        <v>169</v>
      </c>
      <c r="AT1433" s="8" t="s">
        <v>169</v>
      </c>
      <c r="AU1433" s="10" t="s">
        <v>169</v>
      </c>
      <c r="AV1433" s="10">
        <v>0</v>
      </c>
      <c r="AW1433" s="10" t="s">
        <v>169</v>
      </c>
      <c r="AX1433" s="10" t="s">
        <v>169</v>
      </c>
      <c r="BF1433" s="12">
        <v>0.45</v>
      </c>
      <c r="BG1433" s="13">
        <v>196.47860584241101</v>
      </c>
      <c r="BH1433" s="96" t="str">
        <f>+VLOOKUP(G1433,Liste!$A$7:$G$50,3,FALSE)</f>
        <v>Pin d'Alep</v>
      </c>
      <c r="BI1433" s="96" t="str">
        <f>+VLOOKUP(H1433,Liste!$B$7:$G$50,5,FALSE)</f>
        <v>Pin d'Alep</v>
      </c>
      <c r="BJ1433" s="135">
        <f t="shared" si="437"/>
        <v>61</v>
      </c>
      <c r="BK1433" s="135" t="str">
        <f t="shared" si="439"/>
        <v>Pin d'Alep_F1_Dynamique_Pin d'Alep_61_</v>
      </c>
      <c r="BL1433" s="322"/>
      <c r="BM1433" s="13">
        <v>52.236463431410201</v>
      </c>
      <c r="BN1433" s="13">
        <v>248.715069273822</v>
      </c>
      <c r="BO1433" s="13" t="s">
        <v>169</v>
      </c>
      <c r="BP1433" s="13">
        <v>133.34843814247799</v>
      </c>
      <c r="BQ1433" s="13">
        <v>6.1863733747594596</v>
      </c>
      <c r="BT1433" s="298" t="str">
        <f>+VLOOKUP(G1433,Liste!$A$7:$H$50,8,FALSE)</f>
        <v>Résineux</v>
      </c>
      <c r="BU1433" s="298">
        <f t="shared" si="440"/>
        <v>0</v>
      </c>
      <c r="BV1433" s="300">
        <f t="shared" si="441"/>
        <v>1</v>
      </c>
      <c r="BW1433" s="321">
        <v>0</v>
      </c>
      <c r="BX1433" s="298">
        <f t="shared" si="442"/>
        <v>0.43</v>
      </c>
      <c r="BY1433">
        <f t="shared" si="443"/>
        <v>0</v>
      </c>
      <c r="BZ1433" s="304">
        <f t="shared" si="444"/>
        <v>0</v>
      </c>
      <c r="CB1433" s="299">
        <v>0.6</v>
      </c>
      <c r="CC1433" s="299">
        <v>0.4</v>
      </c>
      <c r="CD1433">
        <f t="shared" si="445"/>
        <v>0</v>
      </c>
      <c r="CE1433">
        <f t="shared" si="446"/>
        <v>0</v>
      </c>
      <c r="CF1433">
        <f t="shared" si="447"/>
        <v>0</v>
      </c>
      <c r="CG1433">
        <f t="shared" si="448"/>
        <v>0</v>
      </c>
      <c r="CH1433">
        <f t="shared" si="449"/>
        <v>0</v>
      </c>
      <c r="CI1433">
        <f t="shared" si="450"/>
        <v>0</v>
      </c>
      <c r="CJ1433">
        <f t="shared" si="451"/>
        <v>0</v>
      </c>
      <c r="CK1433">
        <f t="shared" si="452"/>
        <v>0</v>
      </c>
      <c r="CL1433">
        <f t="shared" si="453"/>
        <v>0</v>
      </c>
      <c r="CM1433">
        <f t="shared" si="455"/>
        <v>0</v>
      </c>
      <c r="CN1433">
        <f t="shared" si="454"/>
        <v>0</v>
      </c>
      <c r="CO1433">
        <f t="shared" si="438"/>
        <v>0</v>
      </c>
    </row>
    <row r="1434" spans="1:93" x14ac:dyDescent="0.25">
      <c r="A1434" s="4">
        <v>2021</v>
      </c>
      <c r="B1434" s="318">
        <v>44320</v>
      </c>
      <c r="C1434" s="4" t="s">
        <v>1524</v>
      </c>
      <c r="D1434" s="4" t="s">
        <v>1525</v>
      </c>
      <c r="F1434" s="4" t="s">
        <v>1526</v>
      </c>
      <c r="G1434" s="5" t="s">
        <v>1514</v>
      </c>
      <c r="H1434" s="5" t="s">
        <v>1527</v>
      </c>
      <c r="I1434" s="5" t="s">
        <v>146</v>
      </c>
      <c r="J1434" s="5" t="s">
        <v>9</v>
      </c>
      <c r="K1434" s="5">
        <v>15.5</v>
      </c>
      <c r="L1434" s="5" t="s">
        <v>1528</v>
      </c>
      <c r="M1434" s="5">
        <v>1100</v>
      </c>
      <c r="N1434" s="5" t="s">
        <v>170</v>
      </c>
      <c r="O1434" s="6" t="s">
        <v>81</v>
      </c>
      <c r="P1434" s="6" t="s">
        <v>1530</v>
      </c>
      <c r="S1434" s="6">
        <v>15</v>
      </c>
      <c r="T1434" s="6">
        <v>4.33</v>
      </c>
      <c r="U1434" s="6">
        <v>1101</v>
      </c>
      <c r="V1434" s="6">
        <v>4.92</v>
      </c>
      <c r="W1434" s="6">
        <v>569</v>
      </c>
      <c r="X1434" s="6">
        <v>532</v>
      </c>
      <c r="Y1434" s="6">
        <v>0</v>
      </c>
      <c r="Z1434" s="6">
        <v>0</v>
      </c>
      <c r="AA1434" s="6">
        <v>0</v>
      </c>
      <c r="AB1434" s="6">
        <v>0</v>
      </c>
      <c r="AC1434" s="7">
        <v>61</v>
      </c>
      <c r="AD1434" s="7" t="s">
        <v>53</v>
      </c>
      <c r="AE1434" s="7">
        <v>17.8</v>
      </c>
      <c r="AF1434" s="7">
        <v>311</v>
      </c>
      <c r="AG1434" s="7">
        <v>14.54</v>
      </c>
      <c r="AH1434" s="7">
        <v>24.4</v>
      </c>
      <c r="AI1434" s="7">
        <v>28.07</v>
      </c>
      <c r="AJ1434" s="9">
        <v>106.042298130497</v>
      </c>
      <c r="AK1434" s="9">
        <v>108.694101760593</v>
      </c>
      <c r="AL1434" s="9">
        <v>148.82180432194599</v>
      </c>
      <c r="AM1434" s="9">
        <v>36.369588740374901</v>
      </c>
      <c r="AN1434" s="9">
        <v>0.59622276623565396</v>
      </c>
      <c r="AO1434" s="9">
        <v>0.45879089478131602</v>
      </c>
      <c r="AP1434" s="9">
        <v>347.48493845518902</v>
      </c>
      <c r="AQ1434" s="9">
        <v>5.6964744009047399</v>
      </c>
      <c r="AR1434" s="9">
        <v>6.4387046878834404</v>
      </c>
      <c r="AS1434" s="8">
        <v>214</v>
      </c>
      <c r="AT1434" s="8">
        <v>9.9700000000000024</v>
      </c>
      <c r="AU1434" s="10">
        <v>24.355427210923967</v>
      </c>
      <c r="AV1434" s="10">
        <v>72.642253772779</v>
      </c>
      <c r="AW1434" s="10">
        <v>1</v>
      </c>
      <c r="AX1434" s="10">
        <v>0.33944978398494857</v>
      </c>
      <c r="BF1434" s="12">
        <v>0.45</v>
      </c>
      <c r="BG1434" s="13">
        <v>116.639089137325</v>
      </c>
      <c r="BH1434" s="96" t="str">
        <f>+VLOOKUP(G1434,Liste!$A$7:$G$50,3,FALSE)</f>
        <v>Pin d'Alep</v>
      </c>
      <c r="BI1434" s="96" t="str">
        <f>+VLOOKUP(H1434,Liste!$B$7:$G$50,5,FALSE)</f>
        <v>Pin d'Alep</v>
      </c>
      <c r="BJ1434" s="135">
        <f t="shared" si="437"/>
        <v>61</v>
      </c>
      <c r="BK1434" s="135" t="str">
        <f t="shared" si="439"/>
        <v>Pin d'Alep_F1_Dynamique_Pin d'Alep_61_</v>
      </c>
      <c r="BL1434" s="322"/>
      <c r="BM1434" s="13">
        <v>32.950640394001098</v>
      </c>
      <c r="BN1434" s="13">
        <v>149.58972953132599</v>
      </c>
      <c r="BO1434" s="13">
        <v>99.12533974249601</v>
      </c>
      <c r="BP1434" s="13">
        <v>133.34843814247799</v>
      </c>
      <c r="BQ1434" s="13">
        <v>6.1863733747594596</v>
      </c>
      <c r="BT1434" s="298" t="str">
        <f>+VLOOKUP(G1434,Liste!$A$7:$H$50,8,FALSE)</f>
        <v>Résineux</v>
      </c>
      <c r="BU1434" s="298">
        <f t="shared" si="440"/>
        <v>0</v>
      </c>
      <c r="BV1434" s="300">
        <f t="shared" si="441"/>
        <v>1</v>
      </c>
      <c r="BW1434" s="321">
        <v>0</v>
      </c>
      <c r="BX1434" s="298">
        <f t="shared" si="442"/>
        <v>0.43</v>
      </c>
      <c r="BY1434">
        <f t="shared" si="443"/>
        <v>0</v>
      </c>
      <c r="BZ1434" s="304">
        <f t="shared" si="444"/>
        <v>0</v>
      </c>
      <c r="CB1434" s="299">
        <v>0.6</v>
      </c>
      <c r="CC1434" s="299">
        <v>0.4</v>
      </c>
      <c r="CD1434">
        <f t="shared" si="445"/>
        <v>0</v>
      </c>
      <c r="CE1434">
        <f t="shared" si="446"/>
        <v>0</v>
      </c>
      <c r="CF1434">
        <f t="shared" si="447"/>
        <v>0</v>
      </c>
      <c r="CG1434">
        <f t="shared" si="448"/>
        <v>0</v>
      </c>
      <c r="CH1434">
        <f t="shared" si="449"/>
        <v>0</v>
      </c>
      <c r="CI1434">
        <f t="shared" si="450"/>
        <v>0</v>
      </c>
      <c r="CJ1434">
        <f t="shared" si="451"/>
        <v>0</v>
      </c>
      <c r="CK1434">
        <f t="shared" si="452"/>
        <v>0</v>
      </c>
      <c r="CL1434">
        <f t="shared" si="453"/>
        <v>0</v>
      </c>
      <c r="CM1434">
        <f t="shared" si="455"/>
        <v>0</v>
      </c>
      <c r="CN1434">
        <f t="shared" si="454"/>
        <v>0</v>
      </c>
      <c r="CO1434">
        <f t="shared" si="438"/>
        <v>0</v>
      </c>
    </row>
    <row r="1435" spans="1:93" x14ac:dyDescent="0.25">
      <c r="A1435" s="4">
        <v>2021</v>
      </c>
      <c r="B1435" s="318">
        <v>44320</v>
      </c>
      <c r="C1435" s="4" t="s">
        <v>1524</v>
      </c>
      <c r="D1435" s="4" t="s">
        <v>1525</v>
      </c>
      <c r="F1435" s="4" t="s">
        <v>1526</v>
      </c>
      <c r="G1435" s="5" t="s">
        <v>1514</v>
      </c>
      <c r="H1435" s="5" t="s">
        <v>1527</v>
      </c>
      <c r="I1435" s="5" t="s">
        <v>146</v>
      </c>
      <c r="J1435" s="5" t="s">
        <v>9</v>
      </c>
      <c r="K1435" s="5">
        <v>15.5</v>
      </c>
      <c r="L1435" s="5" t="s">
        <v>1528</v>
      </c>
      <c r="M1435" s="5">
        <v>1100</v>
      </c>
      <c r="N1435" s="5" t="s">
        <v>170</v>
      </c>
      <c r="O1435" s="6" t="s">
        <v>81</v>
      </c>
      <c r="P1435" s="6" t="s">
        <v>1530</v>
      </c>
      <c r="S1435" s="6">
        <v>15</v>
      </c>
      <c r="T1435" s="6">
        <v>4.33</v>
      </c>
      <c r="U1435" s="6">
        <v>1101</v>
      </c>
      <c r="V1435" s="6">
        <v>4.92</v>
      </c>
      <c r="W1435" s="6">
        <v>569</v>
      </c>
      <c r="X1435" s="6">
        <v>532</v>
      </c>
      <c r="Y1435" s="6">
        <v>0</v>
      </c>
      <c r="Z1435" s="6">
        <v>0</v>
      </c>
      <c r="AA1435" s="6">
        <v>0</v>
      </c>
      <c r="AB1435" s="6">
        <v>0</v>
      </c>
      <c r="AC1435" s="7">
        <v>62</v>
      </c>
      <c r="AD1435" s="7" t="s">
        <v>52</v>
      </c>
      <c r="AE1435" s="7">
        <v>17.98</v>
      </c>
      <c r="AF1435" s="7">
        <v>311</v>
      </c>
      <c r="AG1435" s="7">
        <v>14.99</v>
      </c>
      <c r="AH1435" s="7">
        <v>24.78</v>
      </c>
      <c r="AI1435" s="7">
        <v>28.49</v>
      </c>
      <c r="AJ1435" s="9">
        <v>110.923334490645</v>
      </c>
      <c r="AK1435" s="9">
        <v>113.712155273721</v>
      </c>
      <c r="AL1435" s="9">
        <v>155.26050900983</v>
      </c>
      <c r="AM1435" s="9">
        <v>36.828379635156203</v>
      </c>
      <c r="AN1435" s="9">
        <v>0.59400612314767998</v>
      </c>
      <c r="AO1435" s="9">
        <v>0.45958370710337698</v>
      </c>
      <c r="AP1435" s="9">
        <v>353.92364314307298</v>
      </c>
      <c r="AQ1435" s="9">
        <v>5.7084458571463301</v>
      </c>
      <c r="AR1435" s="9">
        <v>6.0618269150686501</v>
      </c>
      <c r="AS1435" s="8" t="s">
        <v>169</v>
      </c>
      <c r="AT1435" s="8" t="s">
        <v>169</v>
      </c>
      <c r="AU1435" s="10" t="s">
        <v>169</v>
      </c>
      <c r="AV1435" s="10">
        <v>0</v>
      </c>
      <c r="AW1435" s="10" t="s">
        <v>169</v>
      </c>
      <c r="AX1435" s="10" t="s">
        <v>169</v>
      </c>
      <c r="BF1435" s="12">
        <v>0.45</v>
      </c>
      <c r="BG1435" s="13">
        <v>121.685423936454</v>
      </c>
      <c r="BH1435" s="96" t="str">
        <f>+VLOOKUP(G1435,Liste!$A$7:$G$50,3,FALSE)</f>
        <v>Pin d'Alep</v>
      </c>
      <c r="BI1435" s="96" t="str">
        <f>+VLOOKUP(H1435,Liste!$B$7:$G$50,5,FALSE)</f>
        <v>Pin d'Alep</v>
      </c>
      <c r="BJ1435" s="135">
        <f t="shared" si="437"/>
        <v>62</v>
      </c>
      <c r="BK1435" s="135" t="str">
        <f t="shared" si="439"/>
        <v>Pin d'Alep_F1_Dynamique_Pin d'Alep_62_</v>
      </c>
      <c r="BL1435" s="322"/>
      <c r="BM1435" s="13">
        <v>34.207173206543203</v>
      </c>
      <c r="BN1435" s="13">
        <v>155.892597142997</v>
      </c>
      <c r="BO1435" s="13" t="s">
        <v>169</v>
      </c>
      <c r="BP1435" s="13">
        <v>133.34843814247799</v>
      </c>
      <c r="BQ1435" s="13">
        <v>5.8220603832664901</v>
      </c>
      <c r="BT1435" s="298" t="str">
        <f>+VLOOKUP(G1435,Liste!$A$7:$H$50,8,FALSE)</f>
        <v>Résineux</v>
      </c>
      <c r="BU1435" s="298">
        <f t="shared" si="440"/>
        <v>0</v>
      </c>
      <c r="BV1435" s="300">
        <f t="shared" si="441"/>
        <v>1</v>
      </c>
      <c r="BW1435" s="321">
        <v>0</v>
      </c>
      <c r="BX1435" s="298">
        <f t="shared" si="442"/>
        <v>0.43</v>
      </c>
      <c r="BY1435">
        <f t="shared" si="443"/>
        <v>0</v>
      </c>
      <c r="BZ1435" s="304">
        <f t="shared" si="444"/>
        <v>0</v>
      </c>
      <c r="CB1435" s="299">
        <v>0.6</v>
      </c>
      <c r="CC1435" s="299">
        <v>0.4</v>
      </c>
      <c r="CD1435">
        <f t="shared" si="445"/>
        <v>0</v>
      </c>
      <c r="CE1435">
        <f t="shared" si="446"/>
        <v>0</v>
      </c>
      <c r="CF1435">
        <f t="shared" si="447"/>
        <v>0</v>
      </c>
      <c r="CG1435">
        <f t="shared" si="448"/>
        <v>0</v>
      </c>
      <c r="CH1435">
        <f t="shared" si="449"/>
        <v>0</v>
      </c>
      <c r="CI1435">
        <f t="shared" si="450"/>
        <v>0</v>
      </c>
      <c r="CJ1435">
        <f t="shared" si="451"/>
        <v>0</v>
      </c>
      <c r="CK1435">
        <f t="shared" si="452"/>
        <v>0</v>
      </c>
      <c r="CL1435">
        <f t="shared" si="453"/>
        <v>0</v>
      </c>
      <c r="CM1435">
        <f t="shared" si="455"/>
        <v>0</v>
      </c>
      <c r="CN1435">
        <f t="shared" si="454"/>
        <v>0</v>
      </c>
      <c r="CO1435">
        <f t="shared" si="438"/>
        <v>0</v>
      </c>
    </row>
    <row r="1436" spans="1:93" x14ac:dyDescent="0.25">
      <c r="A1436" s="4">
        <v>2021</v>
      </c>
      <c r="B1436" s="318">
        <v>44320</v>
      </c>
      <c r="C1436" s="4" t="s">
        <v>1524</v>
      </c>
      <c r="D1436" s="4" t="s">
        <v>1525</v>
      </c>
      <c r="F1436" s="4" t="s">
        <v>1526</v>
      </c>
      <c r="G1436" s="5" t="s">
        <v>1514</v>
      </c>
      <c r="H1436" s="5" t="s">
        <v>1527</v>
      </c>
      <c r="I1436" s="5" t="s">
        <v>146</v>
      </c>
      <c r="J1436" s="5" t="s">
        <v>9</v>
      </c>
      <c r="K1436" s="5">
        <v>15.5</v>
      </c>
      <c r="L1436" s="5" t="s">
        <v>1528</v>
      </c>
      <c r="M1436" s="5">
        <v>1100</v>
      </c>
      <c r="N1436" s="5" t="s">
        <v>170</v>
      </c>
      <c r="O1436" s="6" t="s">
        <v>81</v>
      </c>
      <c r="P1436" s="6" t="s">
        <v>1530</v>
      </c>
      <c r="S1436" s="6">
        <v>15</v>
      </c>
      <c r="T1436" s="6">
        <v>4.33</v>
      </c>
      <c r="U1436" s="6">
        <v>1101</v>
      </c>
      <c r="V1436" s="6">
        <v>4.92</v>
      </c>
      <c r="W1436" s="6">
        <v>569</v>
      </c>
      <c r="X1436" s="6">
        <v>532</v>
      </c>
      <c r="Y1436" s="6">
        <v>0</v>
      </c>
      <c r="Z1436" s="6">
        <v>0</v>
      </c>
      <c r="AA1436" s="6">
        <v>0</v>
      </c>
      <c r="AB1436" s="6">
        <v>0</v>
      </c>
      <c r="AC1436" s="7">
        <v>63</v>
      </c>
      <c r="AD1436" s="7" t="s">
        <v>52</v>
      </c>
      <c r="AE1436" s="7">
        <v>18.16</v>
      </c>
      <c r="AF1436" s="7">
        <v>311</v>
      </c>
      <c r="AG1436" s="7">
        <v>15.45</v>
      </c>
      <c r="AH1436" s="7">
        <v>25.15</v>
      </c>
      <c r="AI1436" s="7">
        <v>28.9</v>
      </c>
      <c r="AJ1436" s="9">
        <v>115.433738423401</v>
      </c>
      <c r="AK1436" s="9">
        <v>118.36632761991299</v>
      </c>
      <c r="AL1436" s="9">
        <v>161.322335924898</v>
      </c>
      <c r="AM1436" s="9">
        <v>37.287963342259602</v>
      </c>
      <c r="AN1436" s="9">
        <v>0.59187243400412004</v>
      </c>
      <c r="AO1436" s="9">
        <v>0.46169175504384402</v>
      </c>
      <c r="AP1436" s="9">
        <v>359.985470058141</v>
      </c>
      <c r="AQ1436" s="9">
        <v>5.7140550802879604</v>
      </c>
      <c r="AR1436" s="9">
        <v>6.1258204991282801</v>
      </c>
      <c r="AS1436" s="8" t="s">
        <v>169</v>
      </c>
      <c r="AT1436" s="8" t="s">
        <v>169</v>
      </c>
      <c r="AU1436" s="10" t="s">
        <v>169</v>
      </c>
      <c r="AV1436" s="10">
        <v>0</v>
      </c>
      <c r="AW1436" s="10" t="s">
        <v>169</v>
      </c>
      <c r="AX1436" s="10" t="s">
        <v>169</v>
      </c>
      <c r="BF1436" s="12">
        <v>0.45</v>
      </c>
      <c r="BG1436" s="13">
        <v>126.43638078113899</v>
      </c>
      <c r="BH1436" s="96" t="str">
        <f>+VLOOKUP(G1436,Liste!$A$7:$G$50,3,FALSE)</f>
        <v>Pin d'Alep</v>
      </c>
      <c r="BI1436" s="96" t="str">
        <f>+VLOOKUP(H1436,Liste!$B$7:$G$50,5,FALSE)</f>
        <v>Pin d'Alep</v>
      </c>
      <c r="BJ1436" s="135">
        <f t="shared" si="437"/>
        <v>63</v>
      </c>
      <c r="BK1436" s="135" t="str">
        <f t="shared" si="439"/>
        <v>Pin d'Alep_F1_Dynamique_Pin d'Alep_63_</v>
      </c>
      <c r="BL1436" s="322"/>
      <c r="BM1436" s="13">
        <v>35.384620649031199</v>
      </c>
      <c r="BN1436" s="13">
        <v>161.82100143017001</v>
      </c>
      <c r="BO1436" s="13" t="s">
        <v>169</v>
      </c>
      <c r="BP1436" s="13">
        <v>133.34843814247799</v>
      </c>
      <c r="BQ1436" s="13">
        <v>5.8813921187919496</v>
      </c>
      <c r="BT1436" s="298" t="str">
        <f>+VLOOKUP(G1436,Liste!$A$7:$H$50,8,FALSE)</f>
        <v>Résineux</v>
      </c>
      <c r="BU1436" s="298">
        <f t="shared" si="440"/>
        <v>0</v>
      </c>
      <c r="BV1436" s="300">
        <f t="shared" si="441"/>
        <v>1</v>
      </c>
      <c r="BW1436" s="321">
        <v>0</v>
      </c>
      <c r="BX1436" s="298">
        <f t="shared" si="442"/>
        <v>0.43</v>
      </c>
      <c r="BY1436">
        <f t="shared" si="443"/>
        <v>0</v>
      </c>
      <c r="BZ1436" s="304">
        <f t="shared" si="444"/>
        <v>0</v>
      </c>
      <c r="CB1436" s="299">
        <v>0.6</v>
      </c>
      <c r="CC1436" s="299">
        <v>0.4</v>
      </c>
      <c r="CD1436">
        <f t="shared" si="445"/>
        <v>0</v>
      </c>
      <c r="CE1436">
        <f t="shared" si="446"/>
        <v>0</v>
      </c>
      <c r="CF1436">
        <f t="shared" si="447"/>
        <v>0</v>
      </c>
      <c r="CG1436">
        <f t="shared" si="448"/>
        <v>0</v>
      </c>
      <c r="CH1436">
        <f t="shared" si="449"/>
        <v>0</v>
      </c>
      <c r="CI1436">
        <f t="shared" si="450"/>
        <v>0</v>
      </c>
      <c r="CJ1436">
        <f t="shared" si="451"/>
        <v>0</v>
      </c>
      <c r="CK1436">
        <f t="shared" si="452"/>
        <v>0</v>
      </c>
      <c r="CL1436">
        <f t="shared" si="453"/>
        <v>0</v>
      </c>
      <c r="CM1436">
        <f t="shared" si="455"/>
        <v>0</v>
      </c>
      <c r="CN1436">
        <f t="shared" si="454"/>
        <v>0</v>
      </c>
      <c r="CO1436">
        <f t="shared" si="438"/>
        <v>0</v>
      </c>
    </row>
    <row r="1437" spans="1:93" x14ac:dyDescent="0.25">
      <c r="A1437" s="4">
        <v>2021</v>
      </c>
      <c r="B1437" s="318">
        <v>44320</v>
      </c>
      <c r="C1437" s="4" t="s">
        <v>1524</v>
      </c>
      <c r="D1437" s="4" t="s">
        <v>1525</v>
      </c>
      <c r="F1437" s="4" t="s">
        <v>1526</v>
      </c>
      <c r="G1437" s="5" t="s">
        <v>1514</v>
      </c>
      <c r="H1437" s="5" t="s">
        <v>1527</v>
      </c>
      <c r="I1437" s="5" t="s">
        <v>146</v>
      </c>
      <c r="J1437" s="5" t="s">
        <v>9</v>
      </c>
      <c r="K1437" s="5">
        <v>15.5</v>
      </c>
      <c r="L1437" s="5" t="s">
        <v>1528</v>
      </c>
      <c r="M1437" s="5">
        <v>1100</v>
      </c>
      <c r="N1437" s="5" t="s">
        <v>170</v>
      </c>
      <c r="O1437" s="6" t="s">
        <v>81</v>
      </c>
      <c r="P1437" s="6" t="s">
        <v>1530</v>
      </c>
      <c r="S1437" s="6">
        <v>15</v>
      </c>
      <c r="T1437" s="6">
        <v>4.33</v>
      </c>
      <c r="U1437" s="6">
        <v>1101</v>
      </c>
      <c r="V1437" s="6">
        <v>4.92</v>
      </c>
      <c r="W1437" s="6">
        <v>569</v>
      </c>
      <c r="X1437" s="6">
        <v>532</v>
      </c>
      <c r="Y1437" s="6">
        <v>0</v>
      </c>
      <c r="Z1437" s="6">
        <v>0</v>
      </c>
      <c r="AA1437" s="6">
        <v>0</v>
      </c>
      <c r="AB1437" s="6">
        <v>0</v>
      </c>
      <c r="AC1437" s="7">
        <v>64</v>
      </c>
      <c r="AD1437" s="7" t="s">
        <v>52</v>
      </c>
      <c r="AE1437" s="7">
        <v>18.34</v>
      </c>
      <c r="AF1437" s="7">
        <v>311</v>
      </c>
      <c r="AG1437" s="7">
        <v>15.92</v>
      </c>
      <c r="AH1437" s="7">
        <v>25.53</v>
      </c>
      <c r="AI1437" s="7">
        <v>29.31</v>
      </c>
      <c r="AJ1437" s="9">
        <v>119.991408684661</v>
      </c>
      <c r="AK1437" s="9">
        <v>123.070967400694</v>
      </c>
      <c r="AL1437" s="9">
        <v>167.44815642402699</v>
      </c>
      <c r="AM1437" s="9">
        <v>37.749655097303403</v>
      </c>
      <c r="AN1437" s="9">
        <v>0.58983836089536601</v>
      </c>
      <c r="AO1437" s="9">
        <v>0.46174269596871698</v>
      </c>
      <c r="AP1437" s="9">
        <v>366.11129055727002</v>
      </c>
      <c r="AQ1437" s="9">
        <v>5.7204889149573397</v>
      </c>
      <c r="AR1437" s="9">
        <v>6.1911087824514697</v>
      </c>
      <c r="AS1437" s="8" t="s">
        <v>169</v>
      </c>
      <c r="AT1437" s="8" t="s">
        <v>169</v>
      </c>
      <c r="AU1437" s="10" t="s">
        <v>169</v>
      </c>
      <c r="AV1437" s="10">
        <v>0</v>
      </c>
      <c r="AW1437" s="10" t="s">
        <v>169</v>
      </c>
      <c r="AX1437" s="10" t="s">
        <v>169</v>
      </c>
      <c r="BF1437" s="12">
        <v>0.45</v>
      </c>
      <c r="BG1437" s="13">
        <v>131.237492597331</v>
      </c>
      <c r="BH1437" s="96" t="str">
        <f>+VLOOKUP(G1437,Liste!$A$7:$G$50,3,FALSE)</f>
        <v>Pin d'Alep</v>
      </c>
      <c r="BI1437" s="96" t="str">
        <f>+VLOOKUP(H1437,Liste!$B$7:$G$50,5,FALSE)</f>
        <v>Pin d'Alep</v>
      </c>
      <c r="BJ1437" s="135">
        <f t="shared" si="437"/>
        <v>64</v>
      </c>
      <c r="BK1437" s="135" t="str">
        <f t="shared" si="439"/>
        <v>Pin d'Alep_F1_Dynamique_Pin d'Alep_64_</v>
      </c>
      <c r="BL1437" s="322"/>
      <c r="BM1437" s="13">
        <v>36.569277274912501</v>
      </c>
      <c r="BN1437" s="13">
        <v>167.806769872243</v>
      </c>
      <c r="BO1437" s="13" t="s">
        <v>169</v>
      </c>
      <c r="BP1437" s="13">
        <v>133.34843814247799</v>
      </c>
      <c r="BQ1437" s="13">
        <v>5.9419396979325301</v>
      </c>
      <c r="BT1437" s="298" t="str">
        <f>+VLOOKUP(G1437,Liste!$A$7:$H$50,8,FALSE)</f>
        <v>Résineux</v>
      </c>
      <c r="BU1437" s="298">
        <f t="shared" si="440"/>
        <v>0</v>
      </c>
      <c r="BV1437" s="300">
        <f t="shared" si="441"/>
        <v>1</v>
      </c>
      <c r="BW1437" s="321">
        <v>0</v>
      </c>
      <c r="BX1437" s="298">
        <f t="shared" si="442"/>
        <v>0.43</v>
      </c>
      <c r="BY1437">
        <f t="shared" si="443"/>
        <v>0</v>
      </c>
      <c r="BZ1437" s="304">
        <f t="shared" si="444"/>
        <v>0</v>
      </c>
      <c r="CB1437" s="299">
        <v>0.6</v>
      </c>
      <c r="CC1437" s="299">
        <v>0.4</v>
      </c>
      <c r="CD1437">
        <f t="shared" si="445"/>
        <v>0</v>
      </c>
      <c r="CE1437">
        <f t="shared" si="446"/>
        <v>0</v>
      </c>
      <c r="CF1437">
        <f t="shared" si="447"/>
        <v>0</v>
      </c>
      <c r="CG1437">
        <f t="shared" si="448"/>
        <v>0</v>
      </c>
      <c r="CH1437">
        <f t="shared" si="449"/>
        <v>0</v>
      </c>
      <c r="CI1437">
        <f t="shared" si="450"/>
        <v>0</v>
      </c>
      <c r="CJ1437">
        <f t="shared" si="451"/>
        <v>0</v>
      </c>
      <c r="CK1437">
        <f t="shared" si="452"/>
        <v>0</v>
      </c>
      <c r="CL1437">
        <f t="shared" si="453"/>
        <v>0</v>
      </c>
      <c r="CM1437">
        <f t="shared" si="455"/>
        <v>0</v>
      </c>
      <c r="CN1437">
        <f t="shared" si="454"/>
        <v>0</v>
      </c>
      <c r="CO1437">
        <f t="shared" si="438"/>
        <v>0</v>
      </c>
    </row>
    <row r="1438" spans="1:93" x14ac:dyDescent="0.25">
      <c r="A1438" s="4">
        <v>2021</v>
      </c>
      <c r="B1438" s="318">
        <v>44320</v>
      </c>
      <c r="C1438" s="4" t="s">
        <v>1524</v>
      </c>
      <c r="D1438" s="4" t="s">
        <v>1525</v>
      </c>
      <c r="F1438" s="4" t="s">
        <v>1526</v>
      </c>
      <c r="G1438" s="5" t="s">
        <v>1514</v>
      </c>
      <c r="H1438" s="5" t="s">
        <v>1527</v>
      </c>
      <c r="I1438" s="5" t="s">
        <v>146</v>
      </c>
      <c r="J1438" s="5" t="s">
        <v>9</v>
      </c>
      <c r="K1438" s="5">
        <v>15.5</v>
      </c>
      <c r="L1438" s="5" t="s">
        <v>1528</v>
      </c>
      <c r="M1438" s="5">
        <v>1100</v>
      </c>
      <c r="N1438" s="5" t="s">
        <v>170</v>
      </c>
      <c r="O1438" s="6" t="s">
        <v>81</v>
      </c>
      <c r="P1438" s="6" t="s">
        <v>1530</v>
      </c>
      <c r="S1438" s="6">
        <v>15</v>
      </c>
      <c r="T1438" s="6">
        <v>4.33</v>
      </c>
      <c r="U1438" s="6">
        <v>1101</v>
      </c>
      <c r="V1438" s="6">
        <v>4.92</v>
      </c>
      <c r="W1438" s="6">
        <v>569</v>
      </c>
      <c r="X1438" s="6">
        <v>532</v>
      </c>
      <c r="Y1438" s="6">
        <v>0</v>
      </c>
      <c r="Z1438" s="6">
        <v>0</v>
      </c>
      <c r="AA1438" s="6">
        <v>0</v>
      </c>
      <c r="AB1438" s="6">
        <v>0</v>
      </c>
      <c r="AC1438" s="7">
        <v>65</v>
      </c>
      <c r="AD1438" s="7" t="s">
        <v>52</v>
      </c>
      <c r="AE1438" s="7">
        <v>18.52</v>
      </c>
      <c r="AF1438" s="7">
        <v>311</v>
      </c>
      <c r="AG1438" s="7">
        <v>16.38</v>
      </c>
      <c r="AH1438" s="7">
        <v>25.89</v>
      </c>
      <c r="AI1438" s="7">
        <v>29.72</v>
      </c>
      <c r="AJ1438" s="9">
        <v>124.60342059081</v>
      </c>
      <c r="AK1438" s="9">
        <v>127.832239817749</v>
      </c>
      <c r="AL1438" s="9">
        <v>173.639265206478</v>
      </c>
      <c r="AM1438" s="9">
        <v>38.211397793272099</v>
      </c>
      <c r="AN1438" s="9">
        <v>0.58786765835803301</v>
      </c>
      <c r="AO1438" s="9">
        <v>0.46302488203241399</v>
      </c>
      <c r="AP1438" s="9">
        <v>372.30239933972098</v>
      </c>
      <c r="AQ1438" s="9">
        <v>5.7277292206110904</v>
      </c>
      <c r="AR1438" s="9">
        <v>6.2431478814794996</v>
      </c>
      <c r="AS1438" s="8" t="s">
        <v>169</v>
      </c>
      <c r="AT1438" s="8" t="s">
        <v>169</v>
      </c>
      <c r="AU1438" s="10" t="s">
        <v>169</v>
      </c>
      <c r="AV1438" s="10">
        <v>0</v>
      </c>
      <c r="AW1438" s="10" t="s">
        <v>169</v>
      </c>
      <c r="AX1438" s="10" t="s">
        <v>169</v>
      </c>
      <c r="BF1438" s="12">
        <v>0.45</v>
      </c>
      <c r="BG1438" s="13">
        <v>136.08977410557699</v>
      </c>
      <c r="BH1438" s="96" t="str">
        <f>+VLOOKUP(G1438,Liste!$A$7:$G$50,3,FALSE)</f>
        <v>Pin d'Alep</v>
      </c>
      <c r="BI1438" s="96" t="str">
        <f>+VLOOKUP(H1438,Liste!$B$7:$G$50,5,FALSE)</f>
        <v>Pin d'Alep</v>
      </c>
      <c r="BJ1438" s="135">
        <f t="shared" si="437"/>
        <v>65</v>
      </c>
      <c r="BK1438" s="135" t="str">
        <f t="shared" si="439"/>
        <v>Pin d'Alep_F1_Dynamique_Pin d'Alep_65_</v>
      </c>
      <c r="BL1438" s="322"/>
      <c r="BM1438" s="13">
        <v>37.761444689319497</v>
      </c>
      <c r="BN1438" s="13">
        <v>173.85121879489699</v>
      </c>
      <c r="BO1438" s="13" t="s">
        <v>169</v>
      </c>
      <c r="BP1438" s="13">
        <v>133.34843814247799</v>
      </c>
      <c r="BQ1438" s="13">
        <v>5.9897506303906898</v>
      </c>
      <c r="BT1438" s="298" t="str">
        <f>+VLOOKUP(G1438,Liste!$A$7:$H$50,8,FALSE)</f>
        <v>Résineux</v>
      </c>
      <c r="BU1438" s="298">
        <f t="shared" si="440"/>
        <v>0</v>
      </c>
      <c r="BV1438" s="300">
        <f t="shared" si="441"/>
        <v>1</v>
      </c>
      <c r="BW1438" s="321">
        <v>0</v>
      </c>
      <c r="BX1438" s="298">
        <f t="shared" si="442"/>
        <v>0.43</v>
      </c>
      <c r="BY1438">
        <f t="shared" si="443"/>
        <v>0</v>
      </c>
      <c r="BZ1438" s="304">
        <f t="shared" si="444"/>
        <v>0</v>
      </c>
      <c r="CB1438" s="299">
        <v>0.6</v>
      </c>
      <c r="CC1438" s="299">
        <v>0.4</v>
      </c>
      <c r="CD1438">
        <f t="shared" si="445"/>
        <v>0</v>
      </c>
      <c r="CE1438">
        <f t="shared" si="446"/>
        <v>0</v>
      </c>
      <c r="CF1438">
        <f t="shared" si="447"/>
        <v>0</v>
      </c>
      <c r="CG1438">
        <f t="shared" si="448"/>
        <v>0</v>
      </c>
      <c r="CH1438">
        <f t="shared" si="449"/>
        <v>0</v>
      </c>
      <c r="CI1438">
        <f t="shared" si="450"/>
        <v>0</v>
      </c>
      <c r="CJ1438">
        <f t="shared" si="451"/>
        <v>0</v>
      </c>
      <c r="CK1438">
        <f t="shared" si="452"/>
        <v>0</v>
      </c>
      <c r="CL1438">
        <f t="shared" si="453"/>
        <v>0</v>
      </c>
      <c r="CM1438">
        <f t="shared" si="455"/>
        <v>0</v>
      </c>
      <c r="CN1438">
        <f t="shared" si="454"/>
        <v>0</v>
      </c>
      <c r="CO1438">
        <f t="shared" si="438"/>
        <v>0</v>
      </c>
    </row>
    <row r="1439" spans="1:93" x14ac:dyDescent="0.25">
      <c r="A1439" s="4">
        <v>2021</v>
      </c>
      <c r="B1439" s="318">
        <v>44320</v>
      </c>
      <c r="C1439" s="4" t="s">
        <v>1524</v>
      </c>
      <c r="D1439" s="4" t="s">
        <v>1525</v>
      </c>
      <c r="F1439" s="4" t="s">
        <v>1526</v>
      </c>
      <c r="G1439" s="5" t="s">
        <v>1514</v>
      </c>
      <c r="H1439" s="5" t="s">
        <v>1527</v>
      </c>
      <c r="I1439" s="5" t="s">
        <v>146</v>
      </c>
      <c r="J1439" s="5" t="s">
        <v>9</v>
      </c>
      <c r="K1439" s="5">
        <v>15.5</v>
      </c>
      <c r="L1439" s="5" t="s">
        <v>1528</v>
      </c>
      <c r="M1439" s="5">
        <v>1100</v>
      </c>
      <c r="N1439" s="5" t="s">
        <v>170</v>
      </c>
      <c r="O1439" s="6" t="s">
        <v>81</v>
      </c>
      <c r="P1439" s="6" t="s">
        <v>1530</v>
      </c>
      <c r="S1439" s="6">
        <v>15</v>
      </c>
      <c r="T1439" s="6">
        <v>4.33</v>
      </c>
      <c r="U1439" s="6">
        <v>1101</v>
      </c>
      <c r="V1439" s="6">
        <v>4.92</v>
      </c>
      <c r="W1439" s="6">
        <v>569</v>
      </c>
      <c r="X1439" s="6">
        <v>532</v>
      </c>
      <c r="Y1439" s="6">
        <v>0</v>
      </c>
      <c r="Z1439" s="6">
        <v>0</v>
      </c>
      <c r="AA1439" s="6">
        <v>0</v>
      </c>
      <c r="AB1439" s="6">
        <v>0</v>
      </c>
      <c r="AC1439" s="7">
        <v>66</v>
      </c>
      <c r="AD1439" s="7" t="s">
        <v>52</v>
      </c>
      <c r="AE1439" s="7">
        <v>18.690000000000001</v>
      </c>
      <c r="AF1439" s="7">
        <v>311</v>
      </c>
      <c r="AG1439" s="7">
        <v>16.84</v>
      </c>
      <c r="AH1439" s="7">
        <v>26.26</v>
      </c>
      <c r="AI1439" s="7">
        <v>30.12</v>
      </c>
      <c r="AJ1439" s="9">
        <v>129.25348687613899</v>
      </c>
      <c r="AK1439" s="9">
        <v>132.634466627514</v>
      </c>
      <c r="AL1439" s="9">
        <v>179.88241308795801</v>
      </c>
      <c r="AM1439" s="9">
        <v>38.674422675304498</v>
      </c>
      <c r="AN1439" s="9">
        <v>0.58597610114097798</v>
      </c>
      <c r="AO1439" s="9">
        <v>0.46306209419738997</v>
      </c>
      <c r="AP1439" s="9">
        <v>378.54554722120099</v>
      </c>
      <c r="AQ1439" s="9">
        <v>5.7355385942606203</v>
      </c>
      <c r="AR1439" s="9">
        <v>6.3009892260533302</v>
      </c>
      <c r="AS1439" s="8" t="s">
        <v>169</v>
      </c>
      <c r="AT1439" s="8" t="s">
        <v>169</v>
      </c>
      <c r="AU1439" s="10" t="s">
        <v>169</v>
      </c>
      <c r="AV1439" s="10">
        <v>0</v>
      </c>
      <c r="AW1439" s="10" t="s">
        <v>169</v>
      </c>
      <c r="AX1439" s="10" t="s">
        <v>169</v>
      </c>
      <c r="BF1439" s="12">
        <v>0.45</v>
      </c>
      <c r="BG1439" s="13">
        <v>140.982841257687</v>
      </c>
      <c r="BH1439" s="96" t="str">
        <f>+VLOOKUP(G1439,Liste!$A$7:$G$50,3,FALSE)</f>
        <v>Pin d'Alep</v>
      </c>
      <c r="BI1439" s="96" t="str">
        <f>+VLOOKUP(H1439,Liste!$B$7:$G$50,5,FALSE)</f>
        <v>Pin d'Alep</v>
      </c>
      <c r="BJ1439" s="135">
        <f t="shared" si="437"/>
        <v>66</v>
      </c>
      <c r="BK1439" s="135" t="str">
        <f t="shared" si="439"/>
        <v>Pin d'Alep_F1_Dynamique_Pin d'Alep_66_</v>
      </c>
      <c r="BL1439" s="322"/>
      <c r="BM1439" s="13">
        <v>38.958632285323702</v>
      </c>
      <c r="BN1439" s="13">
        <v>179.94147354301001</v>
      </c>
      <c r="BO1439" s="13" t="s">
        <v>169</v>
      </c>
      <c r="BP1439" s="13">
        <v>133.34843814247799</v>
      </c>
      <c r="BQ1439" s="13">
        <v>6.0431116963622999</v>
      </c>
      <c r="BT1439" s="298" t="str">
        <f>+VLOOKUP(G1439,Liste!$A$7:$H$50,8,FALSE)</f>
        <v>Résineux</v>
      </c>
      <c r="BU1439" s="298">
        <f t="shared" si="440"/>
        <v>0</v>
      </c>
      <c r="BV1439" s="300">
        <f t="shared" si="441"/>
        <v>1</v>
      </c>
      <c r="BW1439" s="321">
        <v>0</v>
      </c>
      <c r="BX1439" s="298">
        <f t="shared" si="442"/>
        <v>0.43</v>
      </c>
      <c r="BY1439">
        <f t="shared" si="443"/>
        <v>0</v>
      </c>
      <c r="BZ1439" s="304">
        <f t="shared" si="444"/>
        <v>0</v>
      </c>
      <c r="CB1439" s="299">
        <v>0.6</v>
      </c>
      <c r="CC1439" s="299">
        <v>0.4</v>
      </c>
      <c r="CD1439">
        <f t="shared" si="445"/>
        <v>0</v>
      </c>
      <c r="CE1439">
        <f t="shared" si="446"/>
        <v>0</v>
      </c>
      <c r="CF1439">
        <f t="shared" si="447"/>
        <v>0</v>
      </c>
      <c r="CG1439">
        <f t="shared" si="448"/>
        <v>0</v>
      </c>
      <c r="CH1439">
        <f t="shared" si="449"/>
        <v>0</v>
      </c>
      <c r="CI1439">
        <f t="shared" si="450"/>
        <v>0</v>
      </c>
      <c r="CJ1439">
        <f t="shared" si="451"/>
        <v>0</v>
      </c>
      <c r="CK1439">
        <f t="shared" si="452"/>
        <v>0</v>
      </c>
      <c r="CL1439">
        <f t="shared" si="453"/>
        <v>0</v>
      </c>
      <c r="CM1439">
        <f t="shared" si="455"/>
        <v>0</v>
      </c>
      <c r="CN1439">
        <f t="shared" si="454"/>
        <v>0</v>
      </c>
      <c r="CO1439">
        <f t="shared" si="438"/>
        <v>0</v>
      </c>
    </row>
    <row r="1440" spans="1:93" x14ac:dyDescent="0.25">
      <c r="A1440" s="4">
        <v>2021</v>
      </c>
      <c r="B1440" s="318">
        <v>44320</v>
      </c>
      <c r="C1440" s="4" t="s">
        <v>1524</v>
      </c>
      <c r="D1440" s="4" t="s">
        <v>1525</v>
      </c>
      <c r="F1440" s="4" t="s">
        <v>1526</v>
      </c>
      <c r="G1440" s="5" t="s">
        <v>1514</v>
      </c>
      <c r="H1440" s="5" t="s">
        <v>1527</v>
      </c>
      <c r="I1440" s="5" t="s">
        <v>146</v>
      </c>
      <c r="J1440" s="5" t="s">
        <v>9</v>
      </c>
      <c r="K1440" s="5">
        <v>15.5</v>
      </c>
      <c r="L1440" s="5" t="s">
        <v>1528</v>
      </c>
      <c r="M1440" s="5">
        <v>1100</v>
      </c>
      <c r="N1440" s="5" t="s">
        <v>170</v>
      </c>
      <c r="O1440" s="6" t="s">
        <v>81</v>
      </c>
      <c r="P1440" s="6" t="s">
        <v>1530</v>
      </c>
      <c r="S1440" s="6">
        <v>15</v>
      </c>
      <c r="T1440" s="6">
        <v>4.33</v>
      </c>
      <c r="U1440" s="6">
        <v>1101</v>
      </c>
      <c r="V1440" s="6">
        <v>4.92</v>
      </c>
      <c r="W1440" s="6">
        <v>569</v>
      </c>
      <c r="X1440" s="6">
        <v>532</v>
      </c>
      <c r="Y1440" s="6">
        <v>0</v>
      </c>
      <c r="Z1440" s="6">
        <v>0</v>
      </c>
      <c r="AA1440" s="6">
        <v>0</v>
      </c>
      <c r="AB1440" s="6">
        <v>0</v>
      </c>
      <c r="AC1440" s="7">
        <v>67</v>
      </c>
      <c r="AD1440" s="7" t="s">
        <v>52</v>
      </c>
      <c r="AE1440" s="7">
        <v>18.86</v>
      </c>
      <c r="AF1440" s="7">
        <v>311</v>
      </c>
      <c r="AG1440" s="7">
        <v>17.3</v>
      </c>
      <c r="AH1440" s="7">
        <v>26.62</v>
      </c>
      <c r="AI1440" s="7">
        <v>30.52</v>
      </c>
      <c r="AJ1440" s="9">
        <v>133.95127110152899</v>
      </c>
      <c r="AK1440" s="9">
        <v>137.486664118025</v>
      </c>
      <c r="AL1440" s="9">
        <v>186.183402314011</v>
      </c>
      <c r="AM1440" s="9">
        <v>39.137484769501903</v>
      </c>
      <c r="AN1440" s="9">
        <v>0.58414156372390902</v>
      </c>
      <c r="AO1440" s="9">
        <v>0.46304345669897601</v>
      </c>
      <c r="AP1440" s="9">
        <v>384.84653644725398</v>
      </c>
      <c r="AQ1440" s="9">
        <v>5.7439781559291596</v>
      </c>
      <c r="AR1440" s="9">
        <v>6.3580205798969596</v>
      </c>
      <c r="AS1440" s="8" t="s">
        <v>169</v>
      </c>
      <c r="AT1440" s="8" t="s">
        <v>169</v>
      </c>
      <c r="AU1440" s="10" t="s">
        <v>169</v>
      </c>
      <c r="AV1440" s="10">
        <v>0</v>
      </c>
      <c r="AW1440" s="10" t="s">
        <v>169</v>
      </c>
      <c r="AX1440" s="10" t="s">
        <v>169</v>
      </c>
      <c r="BF1440" s="12">
        <v>0.45</v>
      </c>
      <c r="BG1440" s="13">
        <v>145.921241563606</v>
      </c>
      <c r="BH1440" s="96" t="str">
        <f>+VLOOKUP(G1440,Liste!$A$7:$G$50,3,FALSE)</f>
        <v>Pin d'Alep</v>
      </c>
      <c r="BI1440" s="96" t="str">
        <f>+VLOOKUP(H1440,Liste!$B$7:$G$50,5,FALSE)</f>
        <v>Pin d'Alep</v>
      </c>
      <c r="BJ1440" s="135">
        <f t="shared" si="437"/>
        <v>67</v>
      </c>
      <c r="BK1440" s="135" t="str">
        <f t="shared" si="439"/>
        <v>Pin d'Alep_F1_Dynamique_Pin d'Alep_67_</v>
      </c>
      <c r="BL1440" s="322"/>
      <c r="BM1440" s="13">
        <v>40.162017072419701</v>
      </c>
      <c r="BN1440" s="13">
        <v>186.08325863602599</v>
      </c>
      <c r="BO1440" s="13" t="s">
        <v>169</v>
      </c>
      <c r="BP1440" s="13">
        <v>133.34843814247799</v>
      </c>
      <c r="BQ1440" s="13">
        <v>6.0956769901990198</v>
      </c>
      <c r="BT1440" s="298" t="str">
        <f>+VLOOKUP(G1440,Liste!$A$7:$H$50,8,FALSE)</f>
        <v>Résineux</v>
      </c>
      <c r="BU1440" s="298">
        <f t="shared" si="440"/>
        <v>0</v>
      </c>
      <c r="BV1440" s="300">
        <f t="shared" si="441"/>
        <v>1</v>
      </c>
      <c r="BW1440" s="321">
        <v>0</v>
      </c>
      <c r="BX1440" s="298">
        <f t="shared" si="442"/>
        <v>0.43</v>
      </c>
      <c r="BY1440">
        <f t="shared" si="443"/>
        <v>0</v>
      </c>
      <c r="BZ1440" s="304">
        <f t="shared" si="444"/>
        <v>0</v>
      </c>
      <c r="CB1440" s="299">
        <v>0.6</v>
      </c>
      <c r="CC1440" s="299">
        <v>0.4</v>
      </c>
      <c r="CD1440">
        <f t="shared" si="445"/>
        <v>0</v>
      </c>
      <c r="CE1440">
        <f t="shared" si="446"/>
        <v>0</v>
      </c>
      <c r="CF1440">
        <f t="shared" si="447"/>
        <v>0</v>
      </c>
      <c r="CG1440">
        <f t="shared" si="448"/>
        <v>0</v>
      </c>
      <c r="CH1440">
        <f t="shared" si="449"/>
        <v>0</v>
      </c>
      <c r="CI1440">
        <f t="shared" si="450"/>
        <v>0</v>
      </c>
      <c r="CJ1440">
        <f t="shared" si="451"/>
        <v>0</v>
      </c>
      <c r="CK1440">
        <f t="shared" si="452"/>
        <v>0</v>
      </c>
      <c r="CL1440">
        <f t="shared" si="453"/>
        <v>0</v>
      </c>
      <c r="CM1440">
        <f t="shared" si="455"/>
        <v>0</v>
      </c>
      <c r="CN1440">
        <f t="shared" si="454"/>
        <v>0</v>
      </c>
      <c r="CO1440">
        <f t="shared" si="438"/>
        <v>0</v>
      </c>
    </row>
    <row r="1441" spans="1:93" x14ac:dyDescent="0.25">
      <c r="A1441" s="4">
        <v>2021</v>
      </c>
      <c r="B1441" s="318">
        <v>44320</v>
      </c>
      <c r="C1441" s="4" t="s">
        <v>1524</v>
      </c>
      <c r="D1441" s="4" t="s">
        <v>1525</v>
      </c>
      <c r="F1441" s="4" t="s">
        <v>1526</v>
      </c>
      <c r="G1441" s="5" t="s">
        <v>1514</v>
      </c>
      <c r="H1441" s="5" t="s">
        <v>1527</v>
      </c>
      <c r="I1441" s="5" t="s">
        <v>146</v>
      </c>
      <c r="J1441" s="5" t="s">
        <v>9</v>
      </c>
      <c r="K1441" s="5">
        <v>15.5</v>
      </c>
      <c r="L1441" s="5" t="s">
        <v>1528</v>
      </c>
      <c r="M1441" s="5">
        <v>1100</v>
      </c>
      <c r="N1441" s="5" t="s">
        <v>170</v>
      </c>
      <c r="O1441" s="6" t="s">
        <v>81</v>
      </c>
      <c r="P1441" s="6" t="s">
        <v>1530</v>
      </c>
      <c r="S1441" s="6">
        <v>15</v>
      </c>
      <c r="T1441" s="6">
        <v>4.33</v>
      </c>
      <c r="U1441" s="6">
        <v>1101</v>
      </c>
      <c r="V1441" s="6">
        <v>4.92</v>
      </c>
      <c r="W1441" s="6">
        <v>569</v>
      </c>
      <c r="X1441" s="6">
        <v>532</v>
      </c>
      <c r="Y1441" s="6">
        <v>0</v>
      </c>
      <c r="Z1441" s="6">
        <v>0</v>
      </c>
      <c r="AA1441" s="6">
        <v>0</v>
      </c>
      <c r="AB1441" s="6">
        <v>0</v>
      </c>
      <c r="AC1441" s="7">
        <v>68</v>
      </c>
      <c r="AD1441" s="7" t="s">
        <v>52</v>
      </c>
      <c r="AE1441" s="7">
        <v>19.02</v>
      </c>
      <c r="AF1441" s="7">
        <v>311</v>
      </c>
      <c r="AG1441" s="7">
        <v>17.77</v>
      </c>
      <c r="AH1441" s="7">
        <v>26.97</v>
      </c>
      <c r="AI1441" s="7">
        <v>30.91</v>
      </c>
      <c r="AJ1441" s="9">
        <v>138.69582050267601</v>
      </c>
      <c r="AK1441" s="9">
        <v>142.38788110099199</v>
      </c>
      <c r="AL1441" s="9">
        <v>192.54142289390799</v>
      </c>
      <c r="AM1441" s="9">
        <v>39.6005282262009</v>
      </c>
      <c r="AN1441" s="9">
        <v>0.58236070920883698</v>
      </c>
      <c r="AO1441" s="9">
        <v>0.46342289040569501</v>
      </c>
      <c r="AP1441" s="9">
        <v>391.204557027151</v>
      </c>
      <c r="AQ1441" s="9">
        <v>5.7530081915757503</v>
      </c>
      <c r="AR1441" s="9">
        <v>6.3757712548631398</v>
      </c>
      <c r="AS1441" s="8" t="s">
        <v>169</v>
      </c>
      <c r="AT1441" s="8" t="s">
        <v>169</v>
      </c>
      <c r="AU1441" s="10" t="s">
        <v>169</v>
      </c>
      <c r="AV1441" s="10">
        <v>0</v>
      </c>
      <c r="AW1441" s="10" t="s">
        <v>169</v>
      </c>
      <c r="AX1441" s="10" t="s">
        <v>169</v>
      </c>
      <c r="BF1441" s="12">
        <v>0.45</v>
      </c>
      <c r="BG1441" s="13">
        <v>150.90434019310001</v>
      </c>
      <c r="BH1441" s="96" t="str">
        <f>+VLOOKUP(G1441,Liste!$A$7:$G$50,3,FALSE)</f>
        <v>Pin d'Alep</v>
      </c>
      <c r="BI1441" s="96" t="str">
        <f>+VLOOKUP(H1441,Liste!$B$7:$G$50,5,FALSE)</f>
        <v>Pin d'Alep</v>
      </c>
      <c r="BJ1441" s="135">
        <f t="shared" si="437"/>
        <v>68</v>
      </c>
      <c r="BK1441" s="135" t="str">
        <f t="shared" si="439"/>
        <v>Pin d'Alep_F1_Dynamique_Pin d'Alep_68_</v>
      </c>
      <c r="BL1441" s="322"/>
      <c r="BM1441" s="13">
        <v>41.371497859975896</v>
      </c>
      <c r="BN1441" s="13">
        <v>192.275838053076</v>
      </c>
      <c r="BO1441" s="13" t="s">
        <v>169</v>
      </c>
      <c r="BP1441" s="13">
        <v>133.34843814247799</v>
      </c>
      <c r="BQ1441" s="13">
        <v>6.1105835970118996</v>
      </c>
      <c r="BT1441" s="298" t="str">
        <f>+VLOOKUP(G1441,Liste!$A$7:$H$50,8,FALSE)</f>
        <v>Résineux</v>
      </c>
      <c r="BU1441" s="298">
        <f t="shared" si="440"/>
        <v>0</v>
      </c>
      <c r="BV1441" s="300">
        <f t="shared" si="441"/>
        <v>1</v>
      </c>
      <c r="BW1441" s="321">
        <v>0</v>
      </c>
      <c r="BX1441" s="298">
        <f t="shared" si="442"/>
        <v>0.43</v>
      </c>
      <c r="BY1441">
        <f t="shared" si="443"/>
        <v>0</v>
      </c>
      <c r="BZ1441" s="304">
        <f t="shared" si="444"/>
        <v>0</v>
      </c>
      <c r="CB1441" s="299">
        <v>0.6</v>
      </c>
      <c r="CC1441" s="299">
        <v>0.4</v>
      </c>
      <c r="CD1441">
        <f t="shared" si="445"/>
        <v>0</v>
      </c>
      <c r="CE1441">
        <f t="shared" si="446"/>
        <v>0</v>
      </c>
      <c r="CF1441">
        <f t="shared" si="447"/>
        <v>0</v>
      </c>
      <c r="CG1441">
        <f t="shared" si="448"/>
        <v>0</v>
      </c>
      <c r="CH1441">
        <f t="shared" si="449"/>
        <v>0</v>
      </c>
      <c r="CI1441">
        <f t="shared" si="450"/>
        <v>0</v>
      </c>
      <c r="CJ1441">
        <f t="shared" si="451"/>
        <v>0</v>
      </c>
      <c r="CK1441">
        <f t="shared" si="452"/>
        <v>0</v>
      </c>
      <c r="CL1441">
        <f t="shared" si="453"/>
        <v>0</v>
      </c>
      <c r="CM1441">
        <f t="shared" si="455"/>
        <v>0</v>
      </c>
      <c r="CN1441">
        <f t="shared" si="454"/>
        <v>0</v>
      </c>
      <c r="CO1441">
        <f t="shared" si="438"/>
        <v>0</v>
      </c>
    </row>
    <row r="1442" spans="1:93" x14ac:dyDescent="0.25">
      <c r="A1442" s="4">
        <v>2021</v>
      </c>
      <c r="B1442" s="318">
        <v>44320</v>
      </c>
      <c r="C1442" s="4" t="s">
        <v>1524</v>
      </c>
      <c r="D1442" s="4" t="s">
        <v>1525</v>
      </c>
      <c r="F1442" s="4" t="s">
        <v>1526</v>
      </c>
      <c r="G1442" s="5" t="s">
        <v>1514</v>
      </c>
      <c r="H1442" s="5" t="s">
        <v>1527</v>
      </c>
      <c r="I1442" s="5" t="s">
        <v>146</v>
      </c>
      <c r="J1442" s="5" t="s">
        <v>9</v>
      </c>
      <c r="K1442" s="5">
        <v>15.5</v>
      </c>
      <c r="L1442" s="5" t="s">
        <v>1528</v>
      </c>
      <c r="M1442" s="5">
        <v>1100</v>
      </c>
      <c r="N1442" s="5" t="s">
        <v>170</v>
      </c>
      <c r="O1442" s="6" t="s">
        <v>81</v>
      </c>
      <c r="P1442" s="6" t="s">
        <v>1530</v>
      </c>
      <c r="S1442" s="6">
        <v>15</v>
      </c>
      <c r="T1442" s="6">
        <v>4.33</v>
      </c>
      <c r="U1442" s="6">
        <v>1101</v>
      </c>
      <c r="V1442" s="6">
        <v>4.92</v>
      </c>
      <c r="W1442" s="6">
        <v>569</v>
      </c>
      <c r="X1442" s="6">
        <v>532</v>
      </c>
      <c r="Y1442" s="6">
        <v>0</v>
      </c>
      <c r="Z1442" s="6">
        <v>0</v>
      </c>
      <c r="AA1442" s="6">
        <v>0</v>
      </c>
      <c r="AB1442" s="6">
        <v>0</v>
      </c>
      <c r="AC1442" s="7">
        <v>69</v>
      </c>
      <c r="AD1442" s="7" t="s">
        <v>52</v>
      </c>
      <c r="AE1442" s="7">
        <v>19.190000000000001</v>
      </c>
      <c r="AF1442" s="7">
        <v>311</v>
      </c>
      <c r="AG1442" s="7">
        <v>18.23</v>
      </c>
      <c r="AH1442" s="7">
        <v>27.32</v>
      </c>
      <c r="AI1442" s="7">
        <v>31.3</v>
      </c>
      <c r="AJ1442" s="9">
        <v>143.44907252854699</v>
      </c>
      <c r="AK1442" s="9">
        <v>147.30041972040399</v>
      </c>
      <c r="AL1442" s="9">
        <v>198.91719414877099</v>
      </c>
      <c r="AM1442" s="9">
        <v>40.063951116606603</v>
      </c>
      <c r="AN1442" s="9">
        <v>0.58063697270444303</v>
      </c>
      <c r="AO1442" s="9">
        <v>0.46260554224500799</v>
      </c>
      <c r="AP1442" s="9">
        <v>397.58032828201402</v>
      </c>
      <c r="AQ1442" s="9">
        <v>5.7620337432176001</v>
      </c>
      <c r="AR1442" s="9">
        <v>6.4375994259794398</v>
      </c>
      <c r="AS1442" s="8" t="s">
        <v>169</v>
      </c>
      <c r="AT1442" s="8" t="s">
        <v>169</v>
      </c>
      <c r="AU1442" s="10" t="s">
        <v>169</v>
      </c>
      <c r="AV1442" s="10">
        <v>0</v>
      </c>
      <c r="AW1442" s="10" t="s">
        <v>169</v>
      </c>
      <c r="AX1442" s="10" t="s">
        <v>169</v>
      </c>
      <c r="BF1442" s="12">
        <v>0.45</v>
      </c>
      <c r="BG1442" s="13">
        <v>155.901350914099</v>
      </c>
      <c r="BH1442" s="96" t="str">
        <f>+VLOOKUP(G1442,Liste!$A$7:$G$50,3,FALSE)</f>
        <v>Pin d'Alep</v>
      </c>
      <c r="BI1442" s="96" t="str">
        <f>+VLOOKUP(H1442,Liste!$B$7:$G$50,5,FALSE)</f>
        <v>Pin d'Alep</v>
      </c>
      <c r="BJ1442" s="135">
        <f t="shared" si="437"/>
        <v>69</v>
      </c>
      <c r="BK1442" s="135" t="str">
        <f t="shared" si="439"/>
        <v>Pin d'Alep_F1_Dynamique_Pin d'Alep_69_</v>
      </c>
      <c r="BL1442" s="322"/>
      <c r="BM1442" s="13">
        <v>42.579695184683402</v>
      </c>
      <c r="BN1442" s="13">
        <v>198.481046098783</v>
      </c>
      <c r="BO1442" s="13" t="s">
        <v>169</v>
      </c>
      <c r="BP1442" s="13">
        <v>133.34843814247799</v>
      </c>
      <c r="BQ1442" s="13">
        <v>6.1677331649584604</v>
      </c>
      <c r="BT1442" s="298" t="str">
        <f>+VLOOKUP(G1442,Liste!$A$7:$H$50,8,FALSE)</f>
        <v>Résineux</v>
      </c>
      <c r="BU1442" s="298">
        <f t="shared" si="440"/>
        <v>0</v>
      </c>
      <c r="BV1442" s="300">
        <f t="shared" si="441"/>
        <v>1</v>
      </c>
      <c r="BW1442" s="321">
        <v>0</v>
      </c>
      <c r="BX1442" s="298">
        <f t="shared" si="442"/>
        <v>0.43</v>
      </c>
      <c r="BY1442">
        <f t="shared" si="443"/>
        <v>0</v>
      </c>
      <c r="BZ1442" s="304">
        <f t="shared" si="444"/>
        <v>0</v>
      </c>
      <c r="CB1442" s="299">
        <v>0.6</v>
      </c>
      <c r="CC1442" s="299">
        <v>0.4</v>
      </c>
      <c r="CD1442">
        <f t="shared" si="445"/>
        <v>0</v>
      </c>
      <c r="CE1442">
        <f t="shared" si="446"/>
        <v>0</v>
      </c>
      <c r="CF1442">
        <f t="shared" si="447"/>
        <v>0</v>
      </c>
      <c r="CG1442">
        <f t="shared" si="448"/>
        <v>0</v>
      </c>
      <c r="CH1442">
        <f t="shared" si="449"/>
        <v>0</v>
      </c>
      <c r="CI1442">
        <f t="shared" si="450"/>
        <v>0</v>
      </c>
      <c r="CJ1442">
        <f t="shared" si="451"/>
        <v>0</v>
      </c>
      <c r="CK1442">
        <f t="shared" si="452"/>
        <v>0</v>
      </c>
      <c r="CL1442">
        <f t="shared" si="453"/>
        <v>0</v>
      </c>
      <c r="CM1442">
        <f t="shared" si="455"/>
        <v>0</v>
      </c>
      <c r="CN1442">
        <f t="shared" si="454"/>
        <v>0</v>
      </c>
      <c r="CO1442">
        <f t="shared" si="438"/>
        <v>0</v>
      </c>
    </row>
    <row r="1443" spans="1:93" x14ac:dyDescent="0.25">
      <c r="A1443" s="4">
        <v>2021</v>
      </c>
      <c r="B1443" s="318">
        <v>44320</v>
      </c>
      <c r="C1443" s="4" t="s">
        <v>1524</v>
      </c>
      <c r="D1443" s="4" t="s">
        <v>1525</v>
      </c>
      <c r="F1443" s="4" t="s">
        <v>1526</v>
      </c>
      <c r="G1443" s="5" t="s">
        <v>1514</v>
      </c>
      <c r="H1443" s="5" t="s">
        <v>1527</v>
      </c>
      <c r="I1443" s="5" t="s">
        <v>146</v>
      </c>
      <c r="J1443" s="5" t="s">
        <v>9</v>
      </c>
      <c r="K1443" s="5">
        <v>15.5</v>
      </c>
      <c r="L1443" s="5" t="s">
        <v>1528</v>
      </c>
      <c r="M1443" s="5">
        <v>1100</v>
      </c>
      <c r="N1443" s="5" t="s">
        <v>170</v>
      </c>
      <c r="O1443" s="6" t="s">
        <v>81</v>
      </c>
      <c r="P1443" s="6" t="s">
        <v>1530</v>
      </c>
      <c r="S1443" s="6">
        <v>15</v>
      </c>
      <c r="T1443" s="6">
        <v>4.33</v>
      </c>
      <c r="U1443" s="6">
        <v>1101</v>
      </c>
      <c r="V1443" s="6">
        <v>4.92</v>
      </c>
      <c r="W1443" s="6">
        <v>569</v>
      </c>
      <c r="X1443" s="6">
        <v>532</v>
      </c>
      <c r="Y1443" s="6">
        <v>0</v>
      </c>
      <c r="Z1443" s="6">
        <v>0</v>
      </c>
      <c r="AA1443" s="6">
        <v>0</v>
      </c>
      <c r="AB1443" s="6">
        <v>0</v>
      </c>
      <c r="AC1443" s="7">
        <v>70</v>
      </c>
      <c r="AD1443" s="7" t="s">
        <v>52</v>
      </c>
      <c r="AE1443" s="7">
        <v>19.350000000000001</v>
      </c>
      <c r="AF1443" s="7">
        <v>311</v>
      </c>
      <c r="AG1443" s="7">
        <v>18.690000000000001</v>
      </c>
      <c r="AH1443" s="7">
        <v>27.66</v>
      </c>
      <c r="AI1443" s="7">
        <v>31.68</v>
      </c>
      <c r="AJ1443" s="9">
        <v>148.25632310325199</v>
      </c>
      <c r="AK1443" s="9">
        <v>152.268691933263</v>
      </c>
      <c r="AL1443" s="9">
        <v>205.35479357475</v>
      </c>
      <c r="AM1443" s="9">
        <v>40.526556658851597</v>
      </c>
      <c r="AN1443" s="9">
        <v>0.57895080941216603</v>
      </c>
      <c r="AO1443" s="9">
        <v>0.46223854924520003</v>
      </c>
      <c r="AP1443" s="9">
        <v>404.01792770799398</v>
      </c>
      <c r="AQ1443" s="9">
        <v>5.7716846815427596</v>
      </c>
      <c r="AR1443" s="9">
        <v>6.4815576589667199</v>
      </c>
      <c r="AS1443" s="8" t="s">
        <v>169</v>
      </c>
      <c r="AT1443" s="8" t="s">
        <v>169</v>
      </c>
      <c r="AU1443" s="10" t="s">
        <v>169</v>
      </c>
      <c r="AV1443" s="10">
        <v>0</v>
      </c>
      <c r="AW1443" s="10" t="s">
        <v>169</v>
      </c>
      <c r="AX1443" s="10" t="s">
        <v>169</v>
      </c>
      <c r="BF1443" s="12">
        <v>0.45</v>
      </c>
      <c r="BG1443" s="13">
        <v>160.94681946421099</v>
      </c>
      <c r="BH1443" s="96" t="str">
        <f>+VLOOKUP(G1443,Liste!$A$7:$G$50,3,FALSE)</f>
        <v>Pin d'Alep</v>
      </c>
      <c r="BI1443" s="96" t="str">
        <f>+VLOOKUP(H1443,Liste!$B$7:$G$50,5,FALSE)</f>
        <v>Pin d'Alep</v>
      </c>
      <c r="BJ1443" s="135">
        <f t="shared" si="437"/>
        <v>70</v>
      </c>
      <c r="BK1443" s="135" t="str">
        <f t="shared" si="439"/>
        <v>Pin d'Alep_F1_Dynamique_Pin d'Alep_70_</v>
      </c>
      <c r="BL1443" s="322"/>
      <c r="BM1443" s="13">
        <v>43.7950436106198</v>
      </c>
      <c r="BN1443" s="13">
        <v>204.74186307483001</v>
      </c>
      <c r="BO1443" s="13" t="s">
        <v>169</v>
      </c>
      <c r="BP1443" s="13">
        <v>133.34843814247799</v>
      </c>
      <c r="BQ1443" s="13">
        <v>6.20774774889321</v>
      </c>
      <c r="BT1443" s="298" t="str">
        <f>+VLOOKUP(G1443,Liste!$A$7:$H$50,8,FALSE)</f>
        <v>Résineux</v>
      </c>
      <c r="BU1443" s="298">
        <f t="shared" si="440"/>
        <v>0</v>
      </c>
      <c r="BV1443" s="300">
        <f t="shared" si="441"/>
        <v>1</v>
      </c>
      <c r="BW1443" s="321">
        <v>0</v>
      </c>
      <c r="BX1443" s="298">
        <f t="shared" si="442"/>
        <v>0.43</v>
      </c>
      <c r="BY1443">
        <f t="shared" si="443"/>
        <v>0</v>
      </c>
      <c r="BZ1443" s="304">
        <f t="shared" si="444"/>
        <v>0</v>
      </c>
      <c r="CB1443" s="299">
        <v>0.6</v>
      </c>
      <c r="CC1443" s="299">
        <v>0.4</v>
      </c>
      <c r="CD1443">
        <f t="shared" si="445"/>
        <v>0</v>
      </c>
      <c r="CE1443">
        <f t="shared" si="446"/>
        <v>0</v>
      </c>
      <c r="CF1443">
        <f t="shared" si="447"/>
        <v>0</v>
      </c>
      <c r="CG1443">
        <f t="shared" si="448"/>
        <v>0</v>
      </c>
      <c r="CH1443">
        <f t="shared" si="449"/>
        <v>0</v>
      </c>
      <c r="CI1443">
        <f t="shared" si="450"/>
        <v>0</v>
      </c>
      <c r="CJ1443">
        <f t="shared" si="451"/>
        <v>0</v>
      </c>
      <c r="CK1443">
        <f t="shared" si="452"/>
        <v>0</v>
      </c>
      <c r="CL1443">
        <f t="shared" si="453"/>
        <v>0</v>
      </c>
      <c r="CM1443">
        <f t="shared" si="455"/>
        <v>0</v>
      </c>
      <c r="CN1443">
        <f t="shared" si="454"/>
        <v>0</v>
      </c>
      <c r="CO1443">
        <f t="shared" si="438"/>
        <v>0</v>
      </c>
    </row>
    <row r="1444" spans="1:93" x14ac:dyDescent="0.25">
      <c r="A1444" s="4">
        <v>2021</v>
      </c>
      <c r="B1444" s="318">
        <v>44320</v>
      </c>
      <c r="C1444" s="4" t="s">
        <v>1524</v>
      </c>
      <c r="D1444" s="4" t="s">
        <v>1525</v>
      </c>
      <c r="F1444" s="4" t="s">
        <v>1526</v>
      </c>
      <c r="G1444" s="5" t="s">
        <v>1514</v>
      </c>
      <c r="H1444" s="5" t="s">
        <v>1527</v>
      </c>
      <c r="I1444" s="5" t="s">
        <v>146</v>
      </c>
      <c r="J1444" s="5" t="s">
        <v>9</v>
      </c>
      <c r="K1444" s="5">
        <v>15.5</v>
      </c>
      <c r="L1444" s="5" t="s">
        <v>1528</v>
      </c>
      <c r="M1444" s="5">
        <v>1100</v>
      </c>
      <c r="N1444" s="5" t="s">
        <v>170</v>
      </c>
      <c r="O1444" s="6" t="s">
        <v>81</v>
      </c>
      <c r="P1444" s="6" t="s">
        <v>1530</v>
      </c>
      <c r="S1444" s="6">
        <v>15</v>
      </c>
      <c r="T1444" s="6">
        <v>4.33</v>
      </c>
      <c r="U1444" s="6">
        <v>1101</v>
      </c>
      <c r="V1444" s="6">
        <v>4.92</v>
      </c>
      <c r="W1444" s="6">
        <v>569</v>
      </c>
      <c r="X1444" s="6">
        <v>532</v>
      </c>
      <c r="Y1444" s="6">
        <v>0</v>
      </c>
      <c r="Z1444" s="6">
        <v>0</v>
      </c>
      <c r="AA1444" s="6">
        <v>0</v>
      </c>
      <c r="AB1444" s="6">
        <v>0</v>
      </c>
      <c r="AC1444" s="7">
        <v>71</v>
      </c>
      <c r="AD1444" s="7" t="s">
        <v>52</v>
      </c>
      <c r="AE1444" s="7">
        <v>19.5</v>
      </c>
      <c r="AF1444" s="7">
        <v>311</v>
      </c>
      <c r="AG1444" s="7">
        <v>19.16</v>
      </c>
      <c r="AH1444" s="7">
        <v>28</v>
      </c>
      <c r="AI1444" s="7">
        <v>32.06</v>
      </c>
      <c r="AJ1444" s="9">
        <v>153.09966087493601</v>
      </c>
      <c r="AK1444" s="9">
        <v>157.275074908574</v>
      </c>
      <c r="AL1444" s="9">
        <v>211.83635123371701</v>
      </c>
      <c r="AM1444" s="9">
        <v>40.988795208096803</v>
      </c>
      <c r="AN1444" s="9">
        <v>0.57730697476192705</v>
      </c>
      <c r="AO1444" s="9">
        <v>0.46021087109879499</v>
      </c>
      <c r="AP1444" s="9">
        <v>410.49948536696002</v>
      </c>
      <c r="AQ1444" s="9">
        <v>5.7816828924924</v>
      </c>
      <c r="AR1444" s="9">
        <v>6.4936820905225501</v>
      </c>
      <c r="AS1444" s="8" t="s">
        <v>169</v>
      </c>
      <c r="AT1444" s="8" t="s">
        <v>169</v>
      </c>
      <c r="AU1444" s="10" t="s">
        <v>169</v>
      </c>
      <c r="AV1444" s="10">
        <v>0</v>
      </c>
      <c r="AW1444" s="10" t="s">
        <v>169</v>
      </c>
      <c r="AX1444" s="10" t="s">
        <v>169</v>
      </c>
      <c r="BF1444" s="12">
        <v>0.45</v>
      </c>
      <c r="BG1444" s="13">
        <v>166.02674027942601</v>
      </c>
      <c r="BH1444" s="96" t="str">
        <f>+VLOOKUP(G1444,Liste!$A$7:$G$50,3,FALSE)</f>
        <v>Pin d'Alep</v>
      </c>
      <c r="BI1444" s="96" t="str">
        <f>+VLOOKUP(H1444,Liste!$B$7:$G$50,5,FALSE)</f>
        <v>Pin d'Alep</v>
      </c>
      <c r="BJ1444" s="135">
        <f t="shared" si="437"/>
        <v>71</v>
      </c>
      <c r="BK1444" s="135" t="str">
        <f t="shared" si="439"/>
        <v>Pin d'Alep_F1_Dynamique_Pin d'Alep_71_</v>
      </c>
      <c r="BL1444" s="322"/>
      <c r="BM1444" s="13">
        <v>45.0142182963382</v>
      </c>
      <c r="BN1444" s="13">
        <v>211.04095857576399</v>
      </c>
      <c r="BO1444" s="13" t="s">
        <v>169</v>
      </c>
      <c r="BP1444" s="13">
        <v>133.34843814247799</v>
      </c>
      <c r="BQ1444" s="13">
        <v>6.2172831880114403</v>
      </c>
      <c r="BT1444" s="298" t="str">
        <f>+VLOOKUP(G1444,Liste!$A$7:$H$50,8,FALSE)</f>
        <v>Résineux</v>
      </c>
      <c r="BU1444" s="298">
        <f t="shared" si="440"/>
        <v>0</v>
      </c>
      <c r="BV1444" s="300">
        <f t="shared" si="441"/>
        <v>1</v>
      </c>
      <c r="BW1444" s="321">
        <v>0</v>
      </c>
      <c r="BX1444" s="298">
        <f t="shared" si="442"/>
        <v>0.43</v>
      </c>
      <c r="BY1444">
        <f t="shared" si="443"/>
        <v>0</v>
      </c>
      <c r="BZ1444" s="304">
        <f t="shared" si="444"/>
        <v>0</v>
      </c>
      <c r="CB1444" s="299">
        <v>0.6</v>
      </c>
      <c r="CC1444" s="299">
        <v>0.4</v>
      </c>
      <c r="CD1444">
        <f t="shared" si="445"/>
        <v>0</v>
      </c>
      <c r="CE1444">
        <f t="shared" si="446"/>
        <v>0</v>
      </c>
      <c r="CF1444">
        <f t="shared" si="447"/>
        <v>0</v>
      </c>
      <c r="CG1444">
        <f t="shared" si="448"/>
        <v>0</v>
      </c>
      <c r="CH1444">
        <f t="shared" si="449"/>
        <v>0</v>
      </c>
      <c r="CI1444">
        <f t="shared" si="450"/>
        <v>0</v>
      </c>
      <c r="CJ1444">
        <f t="shared" si="451"/>
        <v>0</v>
      </c>
      <c r="CK1444">
        <f t="shared" si="452"/>
        <v>0</v>
      </c>
      <c r="CL1444">
        <f t="shared" si="453"/>
        <v>0</v>
      </c>
      <c r="CM1444">
        <f t="shared" si="455"/>
        <v>0</v>
      </c>
      <c r="CN1444">
        <f t="shared" si="454"/>
        <v>0</v>
      </c>
      <c r="CO1444">
        <f t="shared" si="438"/>
        <v>0</v>
      </c>
    </row>
    <row r="1445" spans="1:93" x14ac:dyDescent="0.25">
      <c r="A1445" s="4">
        <v>2021</v>
      </c>
      <c r="B1445" s="318">
        <v>44320</v>
      </c>
      <c r="C1445" s="4" t="s">
        <v>1524</v>
      </c>
      <c r="D1445" s="4" t="s">
        <v>1525</v>
      </c>
      <c r="F1445" s="4" t="s">
        <v>1526</v>
      </c>
      <c r="G1445" s="5" t="s">
        <v>1514</v>
      </c>
      <c r="H1445" s="5" t="s">
        <v>1527</v>
      </c>
      <c r="I1445" s="5" t="s">
        <v>146</v>
      </c>
      <c r="J1445" s="5" t="s">
        <v>9</v>
      </c>
      <c r="K1445" s="5">
        <v>15.5</v>
      </c>
      <c r="L1445" s="5" t="s">
        <v>1528</v>
      </c>
      <c r="M1445" s="5">
        <v>1100</v>
      </c>
      <c r="N1445" s="5" t="s">
        <v>170</v>
      </c>
      <c r="O1445" s="6" t="s">
        <v>81</v>
      </c>
      <c r="P1445" s="6" t="s">
        <v>1530</v>
      </c>
      <c r="S1445" s="6">
        <v>15</v>
      </c>
      <c r="T1445" s="6">
        <v>4.33</v>
      </c>
      <c r="U1445" s="6">
        <v>1101</v>
      </c>
      <c r="V1445" s="6">
        <v>4.92</v>
      </c>
      <c r="W1445" s="6">
        <v>569</v>
      </c>
      <c r="X1445" s="6">
        <v>532</v>
      </c>
      <c r="Y1445" s="6">
        <v>0</v>
      </c>
      <c r="Z1445" s="6">
        <v>0</v>
      </c>
      <c r="AA1445" s="6">
        <v>0</v>
      </c>
      <c r="AB1445" s="6">
        <v>0</v>
      </c>
      <c r="AC1445" s="7">
        <v>72</v>
      </c>
      <c r="AD1445" s="7" t="s">
        <v>52</v>
      </c>
      <c r="AE1445" s="7">
        <v>19.66</v>
      </c>
      <c r="AF1445" s="7">
        <v>310</v>
      </c>
      <c r="AG1445" s="7">
        <v>19.57</v>
      </c>
      <c r="AH1445" s="7">
        <v>28.35</v>
      </c>
      <c r="AI1445" s="7">
        <v>32.44</v>
      </c>
      <c r="AJ1445" s="9">
        <v>157.564272039694</v>
      </c>
      <c r="AK1445" s="9">
        <v>161.89518545534801</v>
      </c>
      <c r="AL1445" s="9">
        <v>217.79266758739499</v>
      </c>
      <c r="AM1445" s="9">
        <v>41.449006079195598</v>
      </c>
      <c r="AN1445" s="9">
        <v>0.57568063998882801</v>
      </c>
      <c r="AO1445" s="9">
        <v>0.45948513177988598</v>
      </c>
      <c r="AP1445" s="9">
        <v>416.99316745748303</v>
      </c>
      <c r="AQ1445" s="9">
        <v>5.79157177024282</v>
      </c>
      <c r="AR1445" s="9">
        <v>6.5329461812427798</v>
      </c>
      <c r="AS1445" s="8" t="s">
        <v>169</v>
      </c>
      <c r="AT1445" s="8" t="s">
        <v>169</v>
      </c>
      <c r="AU1445" s="10" t="s">
        <v>169</v>
      </c>
      <c r="AV1445" s="10">
        <v>0</v>
      </c>
      <c r="AW1445" s="10" t="s">
        <v>169</v>
      </c>
      <c r="AX1445" s="10" t="s">
        <v>169</v>
      </c>
      <c r="BF1445" s="12">
        <v>0.45</v>
      </c>
      <c r="BG1445" s="13">
        <v>170.69500322162099</v>
      </c>
      <c r="BH1445" s="96" t="str">
        <f>+VLOOKUP(G1445,Liste!$A$7:$G$50,3,FALSE)</f>
        <v>Pin d'Alep</v>
      </c>
      <c r="BI1445" s="96" t="str">
        <f>+VLOOKUP(H1445,Liste!$B$7:$G$50,5,FALSE)</f>
        <v>Pin d'Alep</v>
      </c>
      <c r="BJ1445" s="135">
        <f t="shared" si="437"/>
        <v>72</v>
      </c>
      <c r="BK1445" s="135" t="str">
        <f t="shared" si="439"/>
        <v>Pin d'Alep_F1_Dynamique_Pin d'Alep_72_</v>
      </c>
      <c r="BL1445" s="322"/>
      <c r="BM1445" s="13">
        <v>46.1307697696435</v>
      </c>
      <c r="BN1445" s="13">
        <v>216.82577299126501</v>
      </c>
      <c r="BO1445" s="13" t="s">
        <v>169</v>
      </c>
      <c r="BP1445" s="13">
        <v>133.34843814247799</v>
      </c>
      <c r="BQ1445" s="13">
        <v>6.2528148830052102</v>
      </c>
      <c r="BT1445" s="298" t="str">
        <f>+VLOOKUP(G1445,Liste!$A$7:$H$50,8,FALSE)</f>
        <v>Résineux</v>
      </c>
      <c r="BU1445" s="298">
        <f t="shared" si="440"/>
        <v>0</v>
      </c>
      <c r="BV1445" s="300">
        <f t="shared" si="441"/>
        <v>1</v>
      </c>
      <c r="BW1445" s="321">
        <v>0</v>
      </c>
      <c r="BX1445" s="298">
        <f t="shared" si="442"/>
        <v>0.43</v>
      </c>
      <c r="BY1445">
        <f t="shared" si="443"/>
        <v>0</v>
      </c>
      <c r="BZ1445" s="304">
        <f t="shared" si="444"/>
        <v>0</v>
      </c>
      <c r="CB1445" s="299">
        <v>0.6</v>
      </c>
      <c r="CC1445" s="299">
        <v>0.4</v>
      </c>
      <c r="CD1445">
        <f t="shared" si="445"/>
        <v>0</v>
      </c>
      <c r="CE1445">
        <f t="shared" si="446"/>
        <v>0</v>
      </c>
      <c r="CF1445">
        <f t="shared" si="447"/>
        <v>0</v>
      </c>
      <c r="CG1445">
        <f t="shared" si="448"/>
        <v>0</v>
      </c>
      <c r="CH1445">
        <f t="shared" si="449"/>
        <v>0</v>
      </c>
      <c r="CI1445">
        <f t="shared" si="450"/>
        <v>0</v>
      </c>
      <c r="CJ1445">
        <f t="shared" si="451"/>
        <v>0</v>
      </c>
      <c r="CK1445">
        <f t="shared" si="452"/>
        <v>0</v>
      </c>
      <c r="CL1445">
        <f t="shared" si="453"/>
        <v>0</v>
      </c>
      <c r="CM1445">
        <f t="shared" si="455"/>
        <v>0</v>
      </c>
      <c r="CN1445">
        <f t="shared" si="454"/>
        <v>0</v>
      </c>
      <c r="CO1445">
        <f t="shared" si="438"/>
        <v>0</v>
      </c>
    </row>
    <row r="1446" spans="1:93" x14ac:dyDescent="0.25">
      <c r="A1446" s="4">
        <v>2021</v>
      </c>
      <c r="B1446" s="318">
        <v>44320</v>
      </c>
      <c r="C1446" s="4" t="s">
        <v>1524</v>
      </c>
      <c r="D1446" s="4" t="s">
        <v>1525</v>
      </c>
      <c r="F1446" s="4" t="s">
        <v>1526</v>
      </c>
      <c r="G1446" s="5" t="s">
        <v>1514</v>
      </c>
      <c r="H1446" s="5" t="s">
        <v>1527</v>
      </c>
      <c r="I1446" s="5" t="s">
        <v>146</v>
      </c>
      <c r="J1446" s="5" t="s">
        <v>9</v>
      </c>
      <c r="K1446" s="5">
        <v>15.5</v>
      </c>
      <c r="L1446" s="5" t="s">
        <v>1528</v>
      </c>
      <c r="M1446" s="5">
        <v>1100</v>
      </c>
      <c r="N1446" s="5" t="s">
        <v>170</v>
      </c>
      <c r="O1446" s="6" t="s">
        <v>81</v>
      </c>
      <c r="P1446" s="6" t="s">
        <v>1530</v>
      </c>
      <c r="S1446" s="6">
        <v>15</v>
      </c>
      <c r="T1446" s="6">
        <v>4.33</v>
      </c>
      <c r="U1446" s="6">
        <v>1101</v>
      </c>
      <c r="V1446" s="6">
        <v>4.92</v>
      </c>
      <c r="W1446" s="6">
        <v>569</v>
      </c>
      <c r="X1446" s="6">
        <v>532</v>
      </c>
      <c r="Y1446" s="6">
        <v>0</v>
      </c>
      <c r="Z1446" s="6">
        <v>0</v>
      </c>
      <c r="AA1446" s="6">
        <v>0</v>
      </c>
      <c r="AB1446" s="6">
        <v>0</v>
      </c>
      <c r="AC1446" s="7">
        <v>73</v>
      </c>
      <c r="AD1446" s="7" t="s">
        <v>52</v>
      </c>
      <c r="AE1446" s="7">
        <v>19.809999999999999</v>
      </c>
      <c r="AF1446" s="7">
        <v>310</v>
      </c>
      <c r="AG1446" s="7">
        <v>20.03</v>
      </c>
      <c r="AH1446" s="7">
        <v>28.68</v>
      </c>
      <c r="AI1446" s="7">
        <v>32.81</v>
      </c>
      <c r="AJ1446" s="9">
        <v>162.450849999979</v>
      </c>
      <c r="AK1446" s="9">
        <v>166.94812999936201</v>
      </c>
      <c r="AL1446" s="9">
        <v>224.32561376863799</v>
      </c>
      <c r="AM1446" s="9">
        <v>41.908491210975498</v>
      </c>
      <c r="AN1446" s="9">
        <v>0.57408892069829398</v>
      </c>
      <c r="AO1446" s="9">
        <v>0.45845712412381801</v>
      </c>
      <c r="AP1446" s="9">
        <v>423.52611363872597</v>
      </c>
      <c r="AQ1446" s="9">
        <v>5.8017275840921299</v>
      </c>
      <c r="AR1446" s="9">
        <v>6.5375680549208299</v>
      </c>
      <c r="AS1446" s="8" t="s">
        <v>169</v>
      </c>
      <c r="AT1446" s="8" t="s">
        <v>169</v>
      </c>
      <c r="AU1446" s="10" t="s">
        <v>169</v>
      </c>
      <c r="AV1446" s="10">
        <v>0</v>
      </c>
      <c r="AW1446" s="10" t="s">
        <v>169</v>
      </c>
      <c r="AX1446" s="10" t="s">
        <v>169</v>
      </c>
      <c r="BF1446" s="12">
        <v>0.45</v>
      </c>
      <c r="BG1446" s="13">
        <v>175.81519979116999</v>
      </c>
      <c r="BH1446" s="96" t="str">
        <f>+VLOOKUP(G1446,Liste!$A$7:$G$50,3,FALSE)</f>
        <v>Pin d'Alep</v>
      </c>
      <c r="BI1446" s="96" t="str">
        <f>+VLOOKUP(H1446,Liste!$B$7:$G$50,5,FALSE)</f>
        <v>Pin d'Alep</v>
      </c>
      <c r="BJ1446" s="135">
        <f t="shared" si="437"/>
        <v>73</v>
      </c>
      <c r="BK1446" s="135" t="str">
        <f t="shared" si="439"/>
        <v>Pin d'Alep_F1_Dynamique_Pin d'Alep_73_</v>
      </c>
      <c r="BL1446" s="322"/>
      <c r="BM1446" s="13">
        <v>47.351337087100802</v>
      </c>
      <c r="BN1446" s="13">
        <v>223.16653687827099</v>
      </c>
      <c r="BO1446" s="13" t="s">
        <v>169</v>
      </c>
      <c r="BP1446" s="13">
        <v>133.34843814247799</v>
      </c>
      <c r="BQ1446" s="13">
        <v>6.2552045629815298</v>
      </c>
      <c r="BT1446" s="298" t="str">
        <f>+VLOOKUP(G1446,Liste!$A$7:$H$50,8,FALSE)</f>
        <v>Résineux</v>
      </c>
      <c r="BU1446" s="298">
        <f t="shared" si="440"/>
        <v>0</v>
      </c>
      <c r="BV1446" s="300">
        <f t="shared" si="441"/>
        <v>1</v>
      </c>
      <c r="BW1446" s="321">
        <v>0</v>
      </c>
      <c r="BX1446" s="298">
        <f t="shared" si="442"/>
        <v>0.43</v>
      </c>
      <c r="BY1446">
        <f t="shared" si="443"/>
        <v>0</v>
      </c>
      <c r="BZ1446" s="304">
        <f t="shared" si="444"/>
        <v>0</v>
      </c>
      <c r="CB1446" s="299">
        <v>0.6</v>
      </c>
      <c r="CC1446" s="299">
        <v>0.4</v>
      </c>
      <c r="CD1446">
        <f t="shared" si="445"/>
        <v>0</v>
      </c>
      <c r="CE1446">
        <f t="shared" si="446"/>
        <v>0</v>
      </c>
      <c r="CF1446">
        <f t="shared" si="447"/>
        <v>0</v>
      </c>
      <c r="CG1446">
        <f t="shared" si="448"/>
        <v>0</v>
      </c>
      <c r="CH1446">
        <f t="shared" si="449"/>
        <v>0</v>
      </c>
      <c r="CI1446">
        <f t="shared" si="450"/>
        <v>0</v>
      </c>
      <c r="CJ1446">
        <f t="shared" si="451"/>
        <v>0</v>
      </c>
      <c r="CK1446">
        <f t="shared" si="452"/>
        <v>0</v>
      </c>
      <c r="CL1446">
        <f t="shared" si="453"/>
        <v>0</v>
      </c>
      <c r="CM1446">
        <f t="shared" si="455"/>
        <v>0</v>
      </c>
      <c r="CN1446">
        <f t="shared" si="454"/>
        <v>0</v>
      </c>
      <c r="CO1446">
        <f t="shared" si="438"/>
        <v>0</v>
      </c>
    </row>
    <row r="1447" spans="1:93" x14ac:dyDescent="0.25">
      <c r="A1447" s="4">
        <v>2021</v>
      </c>
      <c r="B1447" s="318">
        <v>44320</v>
      </c>
      <c r="C1447" s="4" t="s">
        <v>1524</v>
      </c>
      <c r="D1447" s="4" t="s">
        <v>1525</v>
      </c>
      <c r="F1447" s="4" t="s">
        <v>1526</v>
      </c>
      <c r="G1447" s="5" t="s">
        <v>1514</v>
      </c>
      <c r="H1447" s="5" t="s">
        <v>1527</v>
      </c>
      <c r="I1447" s="5" t="s">
        <v>146</v>
      </c>
      <c r="J1447" s="5" t="s">
        <v>9</v>
      </c>
      <c r="K1447" s="5">
        <v>15.5</v>
      </c>
      <c r="L1447" s="5" t="s">
        <v>1528</v>
      </c>
      <c r="M1447" s="5">
        <v>1100</v>
      </c>
      <c r="N1447" s="5" t="s">
        <v>170</v>
      </c>
      <c r="O1447" s="6" t="s">
        <v>81</v>
      </c>
      <c r="P1447" s="6" t="s">
        <v>1530</v>
      </c>
      <c r="S1447" s="6">
        <v>15</v>
      </c>
      <c r="T1447" s="6">
        <v>4.33</v>
      </c>
      <c r="U1447" s="6">
        <v>1101</v>
      </c>
      <c r="V1447" s="6">
        <v>4.92</v>
      </c>
      <c r="W1447" s="6">
        <v>569</v>
      </c>
      <c r="X1447" s="6">
        <v>532</v>
      </c>
      <c r="Y1447" s="6">
        <v>0</v>
      </c>
      <c r="Z1447" s="6">
        <v>0</v>
      </c>
      <c r="AA1447" s="6">
        <v>0</v>
      </c>
      <c r="AB1447" s="6">
        <v>0</v>
      </c>
      <c r="AC1447" s="7">
        <v>74</v>
      </c>
      <c r="AD1447" s="7" t="s">
        <v>52</v>
      </c>
      <c r="AE1447" s="7">
        <v>19.96</v>
      </c>
      <c r="AF1447" s="7">
        <v>310</v>
      </c>
      <c r="AG1447" s="7">
        <v>20.48</v>
      </c>
      <c r="AH1447" s="7">
        <v>29.01</v>
      </c>
      <c r="AI1447" s="7">
        <v>33.18</v>
      </c>
      <c r="AJ1447" s="9">
        <v>167.33836958449999</v>
      </c>
      <c r="AK1447" s="9">
        <v>172.003866884666</v>
      </c>
      <c r="AL1447" s="9">
        <v>230.86318182355899</v>
      </c>
      <c r="AM1447" s="9">
        <v>42.366948335099302</v>
      </c>
      <c r="AN1447" s="9">
        <v>0.57252632885269295</v>
      </c>
      <c r="AO1447" s="9">
        <v>0.45713511051925299</v>
      </c>
      <c r="AP1447" s="9">
        <v>430.063681693646</v>
      </c>
      <c r="AQ1447" s="9">
        <v>5.8116713742384603</v>
      </c>
      <c r="AR1447" s="9">
        <v>6.5731411540754197</v>
      </c>
      <c r="AS1447" s="8" t="s">
        <v>169</v>
      </c>
      <c r="AT1447" s="8" t="s">
        <v>169</v>
      </c>
      <c r="AU1447" s="10" t="s">
        <v>169</v>
      </c>
      <c r="AV1447" s="10">
        <v>0</v>
      </c>
      <c r="AW1447" s="10" t="s">
        <v>169</v>
      </c>
      <c r="AX1447" s="10" t="s">
        <v>169</v>
      </c>
      <c r="BF1447" s="12">
        <v>0.45</v>
      </c>
      <c r="BG1447" s="13">
        <v>180.939018754214</v>
      </c>
      <c r="BH1447" s="96" t="str">
        <f>+VLOOKUP(G1447,Liste!$A$7:$G$50,3,FALSE)</f>
        <v>Pin d'Alep</v>
      </c>
      <c r="BI1447" s="96" t="str">
        <f>+VLOOKUP(H1447,Liste!$B$7:$G$50,5,FALSE)</f>
        <v>Pin d'Alep</v>
      </c>
      <c r="BJ1447" s="135">
        <f t="shared" si="437"/>
        <v>74</v>
      </c>
      <c r="BK1447" s="135" t="str">
        <f t="shared" si="439"/>
        <v>Pin d'Alep_F1_Dynamique_Pin d'Alep_74_</v>
      </c>
      <c r="BL1447" s="322"/>
      <c r="BM1447" s="13">
        <v>48.568632389370997</v>
      </c>
      <c r="BN1447" s="13">
        <v>229.50765114358501</v>
      </c>
      <c r="BO1447" s="13" t="s">
        <v>169</v>
      </c>
      <c r="BP1447" s="13">
        <v>133.34843814247799</v>
      </c>
      <c r="BQ1447" s="13">
        <v>6.2872247007604196</v>
      </c>
      <c r="BT1447" s="298" t="str">
        <f>+VLOOKUP(G1447,Liste!$A$7:$H$50,8,FALSE)</f>
        <v>Résineux</v>
      </c>
      <c r="BU1447" s="298">
        <f t="shared" si="440"/>
        <v>0</v>
      </c>
      <c r="BV1447" s="300">
        <f t="shared" si="441"/>
        <v>1</v>
      </c>
      <c r="BW1447" s="321">
        <v>0</v>
      </c>
      <c r="BX1447" s="298">
        <f t="shared" si="442"/>
        <v>0.43</v>
      </c>
      <c r="BY1447">
        <f t="shared" si="443"/>
        <v>0</v>
      </c>
      <c r="BZ1447" s="304">
        <f t="shared" si="444"/>
        <v>0</v>
      </c>
      <c r="CB1447" s="299">
        <v>0.6</v>
      </c>
      <c r="CC1447" s="299">
        <v>0.4</v>
      </c>
      <c r="CD1447">
        <f t="shared" si="445"/>
        <v>0</v>
      </c>
      <c r="CE1447">
        <f t="shared" si="446"/>
        <v>0</v>
      </c>
      <c r="CF1447">
        <f t="shared" si="447"/>
        <v>0</v>
      </c>
      <c r="CG1447">
        <f t="shared" si="448"/>
        <v>0</v>
      </c>
      <c r="CH1447">
        <f t="shared" si="449"/>
        <v>0</v>
      </c>
      <c r="CI1447">
        <f t="shared" si="450"/>
        <v>0</v>
      </c>
      <c r="CJ1447">
        <f t="shared" si="451"/>
        <v>0</v>
      </c>
      <c r="CK1447">
        <f t="shared" si="452"/>
        <v>0</v>
      </c>
      <c r="CL1447">
        <f t="shared" si="453"/>
        <v>0</v>
      </c>
      <c r="CM1447">
        <f t="shared" si="455"/>
        <v>0</v>
      </c>
      <c r="CN1447">
        <f t="shared" si="454"/>
        <v>0</v>
      </c>
      <c r="CO1447">
        <f t="shared" si="438"/>
        <v>0</v>
      </c>
    </row>
    <row r="1448" spans="1:93" x14ac:dyDescent="0.25">
      <c r="A1448" s="4">
        <v>2021</v>
      </c>
      <c r="B1448" s="318">
        <v>44320</v>
      </c>
      <c r="C1448" s="4" t="s">
        <v>1524</v>
      </c>
      <c r="D1448" s="4" t="s">
        <v>1525</v>
      </c>
      <c r="F1448" s="4" t="s">
        <v>1526</v>
      </c>
      <c r="G1448" s="5" t="s">
        <v>1514</v>
      </c>
      <c r="H1448" s="5" t="s">
        <v>1527</v>
      </c>
      <c r="I1448" s="5" t="s">
        <v>146</v>
      </c>
      <c r="J1448" s="5" t="s">
        <v>9</v>
      </c>
      <c r="K1448" s="5">
        <v>15.5</v>
      </c>
      <c r="L1448" s="5" t="s">
        <v>1528</v>
      </c>
      <c r="M1448" s="5">
        <v>1100</v>
      </c>
      <c r="N1448" s="5" t="s">
        <v>170</v>
      </c>
      <c r="O1448" s="6" t="s">
        <v>81</v>
      </c>
      <c r="P1448" s="6" t="s">
        <v>1530</v>
      </c>
      <c r="S1448" s="6">
        <v>15</v>
      </c>
      <c r="T1448" s="6">
        <v>4.33</v>
      </c>
      <c r="U1448" s="6">
        <v>1101</v>
      </c>
      <c r="V1448" s="6">
        <v>4.92</v>
      </c>
      <c r="W1448" s="6">
        <v>569</v>
      </c>
      <c r="X1448" s="6">
        <v>532</v>
      </c>
      <c r="Y1448" s="6">
        <v>0</v>
      </c>
      <c r="Z1448" s="6">
        <v>0</v>
      </c>
      <c r="AA1448" s="6">
        <v>0</v>
      </c>
      <c r="AB1448" s="6">
        <v>0</v>
      </c>
      <c r="AC1448" s="7">
        <v>75</v>
      </c>
      <c r="AD1448" s="7" t="s">
        <v>52</v>
      </c>
      <c r="AE1448" s="7">
        <v>20.11</v>
      </c>
      <c r="AF1448" s="7">
        <v>310</v>
      </c>
      <c r="AG1448" s="7">
        <v>20.94</v>
      </c>
      <c r="AH1448" s="7">
        <v>29.33</v>
      </c>
      <c r="AI1448" s="7">
        <v>33.549999999999997</v>
      </c>
      <c r="AJ1448" s="9">
        <v>172.257022333121</v>
      </c>
      <c r="AK1448" s="9">
        <v>177.09222011779599</v>
      </c>
      <c r="AL1448" s="9">
        <v>237.43632297763401</v>
      </c>
      <c r="AM1448" s="9">
        <v>42.824083445618598</v>
      </c>
      <c r="AN1448" s="9">
        <v>0.57098777927491395</v>
      </c>
      <c r="AO1448" s="9">
        <v>0.45621737276533703</v>
      </c>
      <c r="AP1448" s="9">
        <v>436.63682284772199</v>
      </c>
      <c r="AQ1448" s="9">
        <v>5.8218243046362899</v>
      </c>
      <c r="AR1448" s="9">
        <v>6.6042390029393196</v>
      </c>
      <c r="AS1448" s="8" t="s">
        <v>169</v>
      </c>
      <c r="AT1448" s="8" t="s">
        <v>169</v>
      </c>
      <c r="AU1448" s="10" t="s">
        <v>169</v>
      </c>
      <c r="AV1448" s="10">
        <v>0</v>
      </c>
      <c r="AW1448" s="10" t="s">
        <v>169</v>
      </c>
      <c r="AX1448" s="10" t="s">
        <v>169</v>
      </c>
      <c r="BF1448" s="12">
        <v>0.45</v>
      </c>
      <c r="BG1448" s="13">
        <v>186.090718133721</v>
      </c>
      <c r="BH1448" s="96" t="str">
        <f>+VLOOKUP(G1448,Liste!$A$7:$G$50,3,FALSE)</f>
        <v>Pin d'Alep</v>
      </c>
      <c r="BI1448" s="96" t="str">
        <f>+VLOOKUP(H1448,Liste!$B$7:$G$50,5,FALSE)</f>
        <v>Pin d'Alep</v>
      </c>
      <c r="BJ1448" s="135">
        <f t="shared" si="437"/>
        <v>75</v>
      </c>
      <c r="BK1448" s="135" t="str">
        <f t="shared" si="439"/>
        <v>Pin d'Alep_F1_Dynamique_Pin d'Alep_75_</v>
      </c>
      <c r="BL1448" s="322"/>
      <c r="BM1448" s="13">
        <v>49.788512454051599</v>
      </c>
      <c r="BN1448" s="13">
        <v>235.87923058777201</v>
      </c>
      <c r="BO1448" s="13" t="s">
        <v>169</v>
      </c>
      <c r="BP1448" s="13">
        <v>133.34843814247799</v>
      </c>
      <c r="BQ1448" s="13">
        <v>6.3149676818004501</v>
      </c>
      <c r="BT1448" s="298" t="str">
        <f>+VLOOKUP(G1448,Liste!$A$7:$H$50,8,FALSE)</f>
        <v>Résineux</v>
      </c>
      <c r="BU1448" s="298">
        <f t="shared" si="440"/>
        <v>0</v>
      </c>
      <c r="BV1448" s="300">
        <f t="shared" si="441"/>
        <v>1</v>
      </c>
      <c r="BW1448" s="321">
        <v>0</v>
      </c>
      <c r="BX1448" s="298">
        <f t="shared" si="442"/>
        <v>0.43</v>
      </c>
      <c r="BY1448">
        <f t="shared" si="443"/>
        <v>0</v>
      </c>
      <c r="BZ1448" s="304">
        <f t="shared" si="444"/>
        <v>0</v>
      </c>
      <c r="CB1448" s="299">
        <v>0.6</v>
      </c>
      <c r="CC1448" s="299">
        <v>0.4</v>
      </c>
      <c r="CD1448">
        <f t="shared" si="445"/>
        <v>0</v>
      </c>
      <c r="CE1448">
        <f t="shared" si="446"/>
        <v>0</v>
      </c>
      <c r="CF1448">
        <f t="shared" si="447"/>
        <v>0</v>
      </c>
      <c r="CG1448">
        <f t="shared" si="448"/>
        <v>0</v>
      </c>
      <c r="CH1448">
        <f t="shared" si="449"/>
        <v>0</v>
      </c>
      <c r="CI1448">
        <f t="shared" si="450"/>
        <v>0</v>
      </c>
      <c r="CJ1448">
        <f t="shared" si="451"/>
        <v>0</v>
      </c>
      <c r="CK1448">
        <f t="shared" si="452"/>
        <v>0</v>
      </c>
      <c r="CL1448">
        <f t="shared" si="453"/>
        <v>0</v>
      </c>
      <c r="CM1448">
        <f t="shared" si="455"/>
        <v>0</v>
      </c>
      <c r="CN1448">
        <f t="shared" si="454"/>
        <v>0</v>
      </c>
      <c r="CO1448">
        <f t="shared" si="438"/>
        <v>0</v>
      </c>
    </row>
    <row r="1449" spans="1:93" x14ac:dyDescent="0.25">
      <c r="A1449" s="4">
        <v>2021</v>
      </c>
      <c r="B1449" s="318">
        <v>44320</v>
      </c>
      <c r="C1449" s="4" t="s">
        <v>1524</v>
      </c>
      <c r="D1449" s="4" t="s">
        <v>1525</v>
      </c>
      <c r="F1449" s="4" t="s">
        <v>1526</v>
      </c>
      <c r="G1449" s="5" t="s">
        <v>1514</v>
      </c>
      <c r="H1449" s="5" t="s">
        <v>1527</v>
      </c>
      <c r="I1449" s="5" t="s">
        <v>146</v>
      </c>
      <c r="J1449" s="5" t="s">
        <v>9</v>
      </c>
      <c r="K1449" s="5">
        <v>15.5</v>
      </c>
      <c r="L1449" s="5" t="s">
        <v>1528</v>
      </c>
      <c r="M1449" s="5">
        <v>1100</v>
      </c>
      <c r="N1449" s="5" t="s">
        <v>170</v>
      </c>
      <c r="O1449" s="6" t="s">
        <v>81</v>
      </c>
      <c r="P1449" s="6" t="s">
        <v>1530</v>
      </c>
      <c r="S1449" s="6">
        <v>15</v>
      </c>
      <c r="T1449" s="6">
        <v>4.33</v>
      </c>
      <c r="U1449" s="6">
        <v>1101</v>
      </c>
      <c r="V1449" s="6">
        <v>4.92</v>
      </c>
      <c r="W1449" s="6">
        <v>569</v>
      </c>
      <c r="X1449" s="6">
        <v>532</v>
      </c>
      <c r="Y1449" s="6">
        <v>0</v>
      </c>
      <c r="Z1449" s="6">
        <v>0</v>
      </c>
      <c r="AA1449" s="6">
        <v>0</v>
      </c>
      <c r="AB1449" s="6">
        <v>0</v>
      </c>
      <c r="AC1449" s="7">
        <v>76</v>
      </c>
      <c r="AD1449" s="7" t="s">
        <v>52</v>
      </c>
      <c r="AE1449" s="7">
        <v>20.25</v>
      </c>
      <c r="AF1449" s="7">
        <v>310</v>
      </c>
      <c r="AG1449" s="7">
        <v>21.4</v>
      </c>
      <c r="AH1449" s="7">
        <v>29.64</v>
      </c>
      <c r="AI1449" s="7">
        <v>33.909999999999997</v>
      </c>
      <c r="AJ1449" s="9">
        <v>177.20190510048999</v>
      </c>
      <c r="AK1449" s="9">
        <v>182.20841722359799</v>
      </c>
      <c r="AL1449" s="9">
        <v>244.04056198057401</v>
      </c>
      <c r="AM1449" s="9">
        <v>43.2803008183839</v>
      </c>
      <c r="AN1449" s="9">
        <v>0.56947764234715703</v>
      </c>
      <c r="AO1449" s="9">
        <v>0.45228540252398403</v>
      </c>
      <c r="AP1449" s="9">
        <v>443.24106185066103</v>
      </c>
      <c r="AQ1449" s="9">
        <v>5.83211923487712</v>
      </c>
      <c r="AR1449" s="9">
        <v>6.5835276232002098</v>
      </c>
      <c r="AS1449" s="8" t="s">
        <v>169</v>
      </c>
      <c r="AT1449" s="8" t="s">
        <v>169</v>
      </c>
      <c r="AU1449" s="10" t="s">
        <v>169</v>
      </c>
      <c r="AV1449" s="10">
        <v>0</v>
      </c>
      <c r="AW1449" s="10" t="s">
        <v>169</v>
      </c>
      <c r="AX1449" s="10" t="s">
        <v>169</v>
      </c>
      <c r="BF1449" s="12">
        <v>0.45</v>
      </c>
      <c r="BG1449" s="13">
        <v>191.26679045227499</v>
      </c>
      <c r="BH1449" s="96" t="str">
        <f>+VLOOKUP(G1449,Liste!$A$7:$G$50,3,FALSE)</f>
        <v>Pin d'Alep</v>
      </c>
      <c r="BI1449" s="96" t="str">
        <f>+VLOOKUP(H1449,Liste!$B$7:$G$50,5,FALSE)</f>
        <v>Pin d'Alep</v>
      </c>
      <c r="BJ1449" s="135">
        <f t="shared" si="437"/>
        <v>76</v>
      </c>
      <c r="BK1449" s="135" t="str">
        <f t="shared" si="439"/>
        <v>Pin d'Alep_F1_Dynamique_Pin d'Alep_76_</v>
      </c>
      <c r="BL1449" s="322"/>
      <c r="BM1449" s="13">
        <v>51.010210982740702</v>
      </c>
      <c r="BN1449" s="13">
        <v>242.27700143501499</v>
      </c>
      <c r="BO1449" s="13" t="s">
        <v>169</v>
      </c>
      <c r="BP1449" s="13">
        <v>133.34843814247799</v>
      </c>
      <c r="BQ1449" s="13">
        <v>6.29319911458236</v>
      </c>
      <c r="BT1449" s="298" t="str">
        <f>+VLOOKUP(G1449,Liste!$A$7:$H$50,8,FALSE)</f>
        <v>Résineux</v>
      </c>
      <c r="BU1449" s="298">
        <f t="shared" si="440"/>
        <v>0</v>
      </c>
      <c r="BV1449" s="300">
        <f t="shared" si="441"/>
        <v>1</v>
      </c>
      <c r="BW1449" s="321">
        <v>0</v>
      </c>
      <c r="BX1449" s="298">
        <f t="shared" si="442"/>
        <v>0.43</v>
      </c>
      <c r="BY1449">
        <f t="shared" si="443"/>
        <v>0</v>
      </c>
      <c r="BZ1449" s="304">
        <f t="shared" si="444"/>
        <v>0</v>
      </c>
      <c r="CB1449" s="299">
        <v>0.6</v>
      </c>
      <c r="CC1449" s="299">
        <v>0.4</v>
      </c>
      <c r="CD1449">
        <f t="shared" si="445"/>
        <v>0</v>
      </c>
      <c r="CE1449">
        <f t="shared" si="446"/>
        <v>0</v>
      </c>
      <c r="CF1449">
        <f t="shared" si="447"/>
        <v>0</v>
      </c>
      <c r="CG1449">
        <f t="shared" si="448"/>
        <v>0</v>
      </c>
      <c r="CH1449">
        <f t="shared" si="449"/>
        <v>0</v>
      </c>
      <c r="CI1449">
        <f t="shared" si="450"/>
        <v>0</v>
      </c>
      <c r="CJ1449">
        <f t="shared" si="451"/>
        <v>0</v>
      </c>
      <c r="CK1449">
        <f t="shared" si="452"/>
        <v>0</v>
      </c>
      <c r="CL1449">
        <f t="shared" si="453"/>
        <v>0</v>
      </c>
      <c r="CM1449">
        <f t="shared" si="455"/>
        <v>0</v>
      </c>
      <c r="CN1449">
        <f t="shared" si="454"/>
        <v>0</v>
      </c>
      <c r="CO1449">
        <f t="shared" si="438"/>
        <v>0</v>
      </c>
    </row>
    <row r="1450" spans="1:93" x14ac:dyDescent="0.25">
      <c r="A1450" s="4">
        <v>2021</v>
      </c>
      <c r="B1450" s="318">
        <v>44320</v>
      </c>
      <c r="C1450" s="4" t="s">
        <v>1524</v>
      </c>
      <c r="D1450" s="4" t="s">
        <v>1525</v>
      </c>
      <c r="F1450" s="4" t="s">
        <v>1526</v>
      </c>
      <c r="G1450" s="5" t="s">
        <v>1514</v>
      </c>
      <c r="H1450" s="5" t="s">
        <v>1527</v>
      </c>
      <c r="I1450" s="5" t="s">
        <v>146</v>
      </c>
      <c r="J1450" s="5" t="s">
        <v>9</v>
      </c>
      <c r="K1450" s="5">
        <v>15.5</v>
      </c>
      <c r="L1450" s="5" t="s">
        <v>1528</v>
      </c>
      <c r="M1450" s="5">
        <v>1100</v>
      </c>
      <c r="N1450" s="5" t="s">
        <v>170</v>
      </c>
      <c r="O1450" s="6" t="s">
        <v>81</v>
      </c>
      <c r="P1450" s="6" t="s">
        <v>1530</v>
      </c>
      <c r="S1450" s="6">
        <v>15</v>
      </c>
      <c r="T1450" s="6">
        <v>4.33</v>
      </c>
      <c r="U1450" s="6">
        <v>1101</v>
      </c>
      <c r="V1450" s="6">
        <v>4.92</v>
      </c>
      <c r="W1450" s="6">
        <v>569</v>
      </c>
      <c r="X1450" s="6">
        <v>532</v>
      </c>
      <c r="Y1450" s="6">
        <v>0</v>
      </c>
      <c r="Z1450" s="6">
        <v>0</v>
      </c>
      <c r="AA1450" s="6">
        <v>0</v>
      </c>
      <c r="AB1450" s="6">
        <v>0</v>
      </c>
      <c r="AC1450" s="7">
        <v>77</v>
      </c>
      <c r="AD1450" s="7" t="s">
        <v>52</v>
      </c>
      <c r="AE1450" s="7">
        <v>20.399999999999999</v>
      </c>
      <c r="AF1450" s="7">
        <v>309</v>
      </c>
      <c r="AG1450" s="7">
        <v>21.79</v>
      </c>
      <c r="AH1450" s="7">
        <v>29.97</v>
      </c>
      <c r="AI1450" s="7">
        <v>34.26</v>
      </c>
      <c r="AJ1450" s="9">
        <v>181.6618204998</v>
      </c>
      <c r="AK1450" s="9">
        <v>186.82842592325599</v>
      </c>
      <c r="AL1450" s="9">
        <v>249.97721121085601</v>
      </c>
      <c r="AM1450" s="9">
        <v>43.732586220907898</v>
      </c>
      <c r="AN1450" s="9">
        <v>0.56795566520659602</v>
      </c>
      <c r="AO1450" s="9">
        <v>0.45066064148938501</v>
      </c>
      <c r="AP1450" s="9">
        <v>449.82458947386101</v>
      </c>
      <c r="AQ1450" s="9">
        <v>5.8418777853748196</v>
      </c>
      <c r="AR1450" s="9">
        <v>6.6364543457148697</v>
      </c>
      <c r="AS1450" s="8" t="s">
        <v>169</v>
      </c>
      <c r="AT1450" s="8" t="s">
        <v>169</v>
      </c>
      <c r="AU1450" s="10" t="s">
        <v>169</v>
      </c>
      <c r="AV1450" s="10">
        <v>0</v>
      </c>
      <c r="AW1450" s="10" t="s">
        <v>169</v>
      </c>
      <c r="AX1450" s="10" t="s">
        <v>169</v>
      </c>
      <c r="BF1450" s="12">
        <v>0.45</v>
      </c>
      <c r="BG1450" s="13">
        <v>195.91963928650799</v>
      </c>
      <c r="BH1450" s="96" t="str">
        <f>+VLOOKUP(G1450,Liste!$A$7:$G$50,3,FALSE)</f>
        <v>Pin d'Alep</v>
      </c>
      <c r="BI1450" s="96" t="str">
        <f>+VLOOKUP(H1450,Liste!$B$7:$G$50,5,FALSE)</f>
        <v>Pin d'Alep</v>
      </c>
      <c r="BJ1450" s="135">
        <f t="shared" si="437"/>
        <v>77</v>
      </c>
      <c r="BK1450" s="135" t="str">
        <f t="shared" si="439"/>
        <v>Pin d'Alep_F1_Dynamique_Pin d'Alep_77_</v>
      </c>
      <c r="BL1450" s="322"/>
      <c r="BM1450" s="13">
        <v>52.105130992959197</v>
      </c>
      <c r="BN1450" s="13">
        <v>248.02477027946699</v>
      </c>
      <c r="BO1450" s="13" t="s">
        <v>169</v>
      </c>
      <c r="BP1450" s="13">
        <v>133.34843814247799</v>
      </c>
      <c r="BQ1450" s="13">
        <v>6.3418393437739304</v>
      </c>
      <c r="BT1450" s="298" t="str">
        <f>+VLOOKUP(G1450,Liste!$A$7:$H$50,8,FALSE)</f>
        <v>Résineux</v>
      </c>
      <c r="BU1450" s="298">
        <f t="shared" si="440"/>
        <v>0</v>
      </c>
      <c r="BV1450" s="300">
        <f t="shared" si="441"/>
        <v>1</v>
      </c>
      <c r="BW1450" s="321">
        <v>0</v>
      </c>
      <c r="BX1450" s="298">
        <f t="shared" si="442"/>
        <v>0.43</v>
      </c>
      <c r="BY1450">
        <f t="shared" si="443"/>
        <v>0</v>
      </c>
      <c r="BZ1450" s="304">
        <f t="shared" si="444"/>
        <v>0</v>
      </c>
      <c r="CB1450" s="299">
        <v>0.6</v>
      </c>
      <c r="CC1450" s="299">
        <v>0.4</v>
      </c>
      <c r="CD1450">
        <f t="shared" si="445"/>
        <v>0</v>
      </c>
      <c r="CE1450">
        <f t="shared" si="446"/>
        <v>0</v>
      </c>
      <c r="CF1450">
        <f t="shared" si="447"/>
        <v>0</v>
      </c>
      <c r="CG1450">
        <f t="shared" si="448"/>
        <v>0</v>
      </c>
      <c r="CH1450">
        <f t="shared" si="449"/>
        <v>0</v>
      </c>
      <c r="CI1450">
        <f t="shared" si="450"/>
        <v>0</v>
      </c>
      <c r="CJ1450">
        <f t="shared" si="451"/>
        <v>0</v>
      </c>
      <c r="CK1450">
        <f t="shared" si="452"/>
        <v>0</v>
      </c>
      <c r="CL1450">
        <f t="shared" si="453"/>
        <v>0</v>
      </c>
      <c r="CM1450">
        <f t="shared" si="455"/>
        <v>0</v>
      </c>
      <c r="CN1450">
        <f t="shared" si="454"/>
        <v>0</v>
      </c>
      <c r="CO1450">
        <f t="shared" si="438"/>
        <v>0</v>
      </c>
    </row>
    <row r="1451" spans="1:93" x14ac:dyDescent="0.25">
      <c r="A1451" s="4">
        <v>2021</v>
      </c>
      <c r="B1451" s="318">
        <v>44320</v>
      </c>
      <c r="C1451" s="4" t="s">
        <v>1524</v>
      </c>
      <c r="D1451" s="4" t="s">
        <v>1525</v>
      </c>
      <c r="F1451" s="4" t="s">
        <v>1526</v>
      </c>
      <c r="G1451" s="5" t="s">
        <v>1514</v>
      </c>
      <c r="H1451" s="5" t="s">
        <v>1527</v>
      </c>
      <c r="I1451" s="5" t="s">
        <v>146</v>
      </c>
      <c r="J1451" s="5" t="s">
        <v>9</v>
      </c>
      <c r="K1451" s="5">
        <v>15.5</v>
      </c>
      <c r="L1451" s="5" t="s">
        <v>1528</v>
      </c>
      <c r="M1451" s="5">
        <v>1100</v>
      </c>
      <c r="N1451" s="5" t="s">
        <v>170</v>
      </c>
      <c r="O1451" s="6" t="s">
        <v>81</v>
      </c>
      <c r="P1451" s="6" t="s">
        <v>1530</v>
      </c>
      <c r="S1451" s="6">
        <v>15</v>
      </c>
      <c r="T1451" s="6">
        <v>4.33</v>
      </c>
      <c r="U1451" s="6">
        <v>1101</v>
      </c>
      <c r="V1451" s="6">
        <v>4.92</v>
      </c>
      <c r="W1451" s="6">
        <v>569</v>
      </c>
      <c r="X1451" s="6">
        <v>532</v>
      </c>
      <c r="Y1451" s="6">
        <v>0</v>
      </c>
      <c r="Z1451" s="6">
        <v>0</v>
      </c>
      <c r="AA1451" s="6">
        <v>0</v>
      </c>
      <c r="AB1451" s="6">
        <v>0</v>
      </c>
      <c r="AC1451" s="7">
        <v>78</v>
      </c>
      <c r="AD1451" s="7" t="s">
        <v>52</v>
      </c>
      <c r="AE1451" s="7">
        <v>20.54</v>
      </c>
      <c r="AF1451" s="7">
        <v>308</v>
      </c>
      <c r="AG1451" s="7">
        <v>22.2</v>
      </c>
      <c r="AH1451" s="7">
        <v>30.29</v>
      </c>
      <c r="AI1451" s="7">
        <v>34.619999999999997</v>
      </c>
      <c r="AJ1451" s="9">
        <v>186.279220110176</v>
      </c>
      <c r="AK1451" s="9">
        <v>191.611121786361</v>
      </c>
      <c r="AL1451" s="9">
        <v>256.11622962514002</v>
      </c>
      <c r="AM1451" s="9">
        <v>44.183246862397297</v>
      </c>
      <c r="AN1451" s="9">
        <v>0.56645188285124703</v>
      </c>
      <c r="AO1451" s="9">
        <v>0.44823939246931799</v>
      </c>
      <c r="AP1451" s="9">
        <v>456.46104381957599</v>
      </c>
      <c r="AQ1451" s="9">
        <v>5.8520646643535397</v>
      </c>
      <c r="AR1451" s="9">
        <v>6.5965322563259896</v>
      </c>
      <c r="AS1451" s="8" t="s">
        <v>169</v>
      </c>
      <c r="AT1451" s="8" t="s">
        <v>169</v>
      </c>
      <c r="AU1451" s="10" t="s">
        <v>169</v>
      </c>
      <c r="AV1451" s="10">
        <v>0</v>
      </c>
      <c r="AW1451" s="10" t="s">
        <v>169</v>
      </c>
      <c r="AX1451" s="10" t="s">
        <v>169</v>
      </c>
      <c r="BF1451" s="12">
        <v>0.45</v>
      </c>
      <c r="BG1451" s="13">
        <v>200.73109496870401</v>
      </c>
      <c r="BH1451" s="96" t="str">
        <f>+VLOOKUP(G1451,Liste!$A$7:$G$50,3,FALSE)</f>
        <v>Pin d'Alep</v>
      </c>
      <c r="BI1451" s="96" t="str">
        <f>+VLOOKUP(H1451,Liste!$B$7:$G$50,5,FALSE)</f>
        <v>Pin d'Alep</v>
      </c>
      <c r="BJ1451" s="135">
        <f t="shared" si="437"/>
        <v>78</v>
      </c>
      <c r="BK1451" s="135" t="str">
        <f t="shared" si="439"/>
        <v>Pin d'Alep_F1_Dynamique_Pin d'Alep_78_</v>
      </c>
      <c r="BL1451" s="322"/>
      <c r="BM1451" s="13">
        <v>53.234196517034498</v>
      </c>
      <c r="BN1451" s="13">
        <v>253.96529148573799</v>
      </c>
      <c r="BO1451" s="13" t="s">
        <v>169</v>
      </c>
      <c r="BP1451" s="13">
        <v>133.34843814247799</v>
      </c>
      <c r="BQ1451" s="13">
        <v>6.3017782644279201</v>
      </c>
      <c r="BT1451" s="298" t="str">
        <f>+VLOOKUP(G1451,Liste!$A$7:$H$50,8,FALSE)</f>
        <v>Résineux</v>
      </c>
      <c r="BU1451" s="298">
        <f t="shared" si="440"/>
        <v>0</v>
      </c>
      <c r="BV1451" s="300">
        <f t="shared" si="441"/>
        <v>1</v>
      </c>
      <c r="BW1451" s="321">
        <v>0</v>
      </c>
      <c r="BX1451" s="298">
        <f t="shared" si="442"/>
        <v>0.43</v>
      </c>
      <c r="BY1451">
        <f t="shared" si="443"/>
        <v>0</v>
      </c>
      <c r="BZ1451" s="304">
        <f t="shared" si="444"/>
        <v>0</v>
      </c>
      <c r="CB1451" s="299">
        <v>0.6</v>
      </c>
      <c r="CC1451" s="299">
        <v>0.4</v>
      </c>
      <c r="CD1451">
        <f t="shared" si="445"/>
        <v>0</v>
      </c>
      <c r="CE1451">
        <f t="shared" si="446"/>
        <v>0</v>
      </c>
      <c r="CF1451">
        <f t="shared" si="447"/>
        <v>0</v>
      </c>
      <c r="CG1451">
        <f t="shared" si="448"/>
        <v>0</v>
      </c>
      <c r="CH1451">
        <f t="shared" si="449"/>
        <v>0</v>
      </c>
      <c r="CI1451">
        <f t="shared" si="450"/>
        <v>0</v>
      </c>
      <c r="CJ1451">
        <f t="shared" si="451"/>
        <v>0</v>
      </c>
      <c r="CK1451">
        <f t="shared" si="452"/>
        <v>0</v>
      </c>
      <c r="CL1451">
        <f t="shared" si="453"/>
        <v>0</v>
      </c>
      <c r="CM1451">
        <f t="shared" si="455"/>
        <v>0</v>
      </c>
      <c r="CN1451">
        <f t="shared" si="454"/>
        <v>0</v>
      </c>
      <c r="CO1451">
        <f t="shared" si="438"/>
        <v>0</v>
      </c>
    </row>
    <row r="1452" spans="1:93" x14ac:dyDescent="0.25">
      <c r="A1452" s="4">
        <v>2021</v>
      </c>
      <c r="B1452" s="318">
        <v>44320</v>
      </c>
      <c r="C1452" s="4" t="s">
        <v>1524</v>
      </c>
      <c r="D1452" s="4" t="s">
        <v>1525</v>
      </c>
      <c r="F1452" s="4" t="s">
        <v>1526</v>
      </c>
      <c r="G1452" s="5" t="s">
        <v>1514</v>
      </c>
      <c r="H1452" s="5" t="s">
        <v>1527</v>
      </c>
      <c r="I1452" s="5" t="s">
        <v>146</v>
      </c>
      <c r="J1452" s="5" t="s">
        <v>9</v>
      </c>
      <c r="K1452" s="5">
        <v>15.5</v>
      </c>
      <c r="L1452" s="5" t="s">
        <v>1528</v>
      </c>
      <c r="M1452" s="5">
        <v>1100</v>
      </c>
      <c r="N1452" s="5" t="s">
        <v>170</v>
      </c>
      <c r="O1452" s="6" t="s">
        <v>81</v>
      </c>
      <c r="P1452" s="6" t="s">
        <v>1530</v>
      </c>
      <c r="S1452" s="6">
        <v>15</v>
      </c>
      <c r="T1452" s="6">
        <v>4.33</v>
      </c>
      <c r="U1452" s="6">
        <v>1101</v>
      </c>
      <c r="V1452" s="6">
        <v>4.92</v>
      </c>
      <c r="W1452" s="6">
        <v>569</v>
      </c>
      <c r="X1452" s="6">
        <v>532</v>
      </c>
      <c r="Y1452" s="6">
        <v>0</v>
      </c>
      <c r="Z1452" s="6">
        <v>0</v>
      </c>
      <c r="AA1452" s="6">
        <v>0</v>
      </c>
      <c r="AB1452" s="6">
        <v>0</v>
      </c>
      <c r="AC1452" s="7">
        <v>79</v>
      </c>
      <c r="AD1452" s="7" t="s">
        <v>52</v>
      </c>
      <c r="AE1452" s="7">
        <v>20.67</v>
      </c>
      <c r="AF1452" s="7">
        <v>308</v>
      </c>
      <c r="AG1452" s="7">
        <v>22.64</v>
      </c>
      <c r="AH1452" s="7">
        <v>30.6</v>
      </c>
      <c r="AI1452" s="7">
        <v>34.96</v>
      </c>
      <c r="AJ1452" s="9">
        <v>191.22207758797401</v>
      </c>
      <c r="AK1452" s="9">
        <v>196.728242278648</v>
      </c>
      <c r="AL1452" s="9">
        <v>262.71276188146601</v>
      </c>
      <c r="AM1452" s="9">
        <v>44.631486254866601</v>
      </c>
      <c r="AN1452" s="9">
        <v>0.56495552221350098</v>
      </c>
      <c r="AO1452" s="9">
        <v>0.30314042757781601</v>
      </c>
      <c r="AP1452" s="9">
        <v>463.05757607590198</v>
      </c>
      <c r="AQ1452" s="9">
        <v>5.86148830475826</v>
      </c>
      <c r="AR1452" s="9">
        <v>5.8651712810468002</v>
      </c>
      <c r="AS1452" s="8" t="s">
        <v>169</v>
      </c>
      <c r="AT1452" s="8" t="s">
        <v>169</v>
      </c>
      <c r="AU1452" s="10" t="s">
        <v>169</v>
      </c>
      <c r="AV1452" s="10">
        <v>0</v>
      </c>
      <c r="AW1452" s="10" t="s">
        <v>169</v>
      </c>
      <c r="AX1452" s="10" t="s">
        <v>169</v>
      </c>
      <c r="BF1452" s="12">
        <v>0.45</v>
      </c>
      <c r="BG1452" s="13">
        <v>205.90112712459899</v>
      </c>
      <c r="BH1452" s="96" t="str">
        <f>+VLOOKUP(G1452,Liste!$A$7:$G$50,3,FALSE)</f>
        <v>Pin d'Alep</v>
      </c>
      <c r="BI1452" s="96" t="str">
        <f>+VLOOKUP(H1452,Liste!$B$7:$G$50,5,FALSE)</f>
        <v>Pin d'Alep</v>
      </c>
      <c r="BJ1452" s="135">
        <f t="shared" si="437"/>
        <v>79</v>
      </c>
      <c r="BK1452" s="135" t="str">
        <f t="shared" si="439"/>
        <v>Pin d'Alep_F1_Dynamique_Pin d'Alep_79_</v>
      </c>
      <c r="BL1452" s="322"/>
      <c r="BM1452" s="13">
        <v>54.443902060372501</v>
      </c>
      <c r="BN1452" s="13">
        <v>260.34502918497202</v>
      </c>
      <c r="BO1452" s="13" t="s">
        <v>169</v>
      </c>
      <c r="BP1452" s="13">
        <v>133.34843814247799</v>
      </c>
      <c r="BQ1452" s="13">
        <v>5.6015210640799804</v>
      </c>
      <c r="BT1452" s="298" t="str">
        <f>+VLOOKUP(G1452,Liste!$A$7:$H$50,8,FALSE)</f>
        <v>Résineux</v>
      </c>
      <c r="BU1452" s="298">
        <f t="shared" si="440"/>
        <v>0</v>
      </c>
      <c r="BV1452" s="300">
        <f t="shared" si="441"/>
        <v>1</v>
      </c>
      <c r="BW1452" s="321">
        <v>0</v>
      </c>
      <c r="BX1452" s="298">
        <f t="shared" si="442"/>
        <v>0.43</v>
      </c>
      <c r="BY1452">
        <f t="shared" si="443"/>
        <v>0</v>
      </c>
      <c r="BZ1452" s="304">
        <f t="shared" si="444"/>
        <v>0</v>
      </c>
      <c r="CB1452" s="299">
        <v>0.6</v>
      </c>
      <c r="CC1452" s="299">
        <v>0.4</v>
      </c>
      <c r="CD1452">
        <f t="shared" si="445"/>
        <v>0</v>
      </c>
      <c r="CE1452">
        <f t="shared" si="446"/>
        <v>0</v>
      </c>
      <c r="CF1452">
        <f t="shared" si="447"/>
        <v>0</v>
      </c>
      <c r="CG1452">
        <f t="shared" si="448"/>
        <v>0</v>
      </c>
      <c r="CH1452">
        <f t="shared" si="449"/>
        <v>0</v>
      </c>
      <c r="CI1452">
        <f t="shared" si="450"/>
        <v>0</v>
      </c>
      <c r="CJ1452">
        <f t="shared" si="451"/>
        <v>0</v>
      </c>
      <c r="CK1452">
        <f t="shared" si="452"/>
        <v>0</v>
      </c>
      <c r="CL1452">
        <f t="shared" si="453"/>
        <v>0</v>
      </c>
      <c r="CM1452">
        <f t="shared" si="455"/>
        <v>0</v>
      </c>
      <c r="CN1452">
        <f t="shared" si="454"/>
        <v>0</v>
      </c>
      <c r="CO1452">
        <f t="shared" si="438"/>
        <v>0</v>
      </c>
    </row>
    <row r="1453" spans="1:93" x14ac:dyDescent="0.25">
      <c r="A1453" s="4">
        <v>2021</v>
      </c>
      <c r="B1453" s="318">
        <v>44320</v>
      </c>
      <c r="C1453" s="4" t="s">
        <v>1524</v>
      </c>
      <c r="D1453" s="4" t="s">
        <v>1525</v>
      </c>
      <c r="F1453" s="4" t="s">
        <v>1526</v>
      </c>
      <c r="G1453" s="5" t="s">
        <v>1514</v>
      </c>
      <c r="H1453" s="5" t="s">
        <v>1527</v>
      </c>
      <c r="I1453" s="5" t="s">
        <v>146</v>
      </c>
      <c r="J1453" s="5" t="s">
        <v>9</v>
      </c>
      <c r="K1453" s="5">
        <v>15.5</v>
      </c>
      <c r="L1453" s="5" t="s">
        <v>1528</v>
      </c>
      <c r="M1453" s="5">
        <v>1100</v>
      </c>
      <c r="N1453" s="5" t="s">
        <v>170</v>
      </c>
      <c r="O1453" s="6" t="s">
        <v>81</v>
      </c>
      <c r="P1453" s="6" t="s">
        <v>1530</v>
      </c>
      <c r="S1453" s="6">
        <v>15</v>
      </c>
      <c r="T1453" s="6">
        <v>4.33</v>
      </c>
      <c r="U1453" s="6">
        <v>1101</v>
      </c>
      <c r="V1453" s="6">
        <v>4.92</v>
      </c>
      <c r="W1453" s="6">
        <v>569</v>
      </c>
      <c r="X1453" s="6">
        <v>532</v>
      </c>
      <c r="Y1453" s="6">
        <v>0</v>
      </c>
      <c r="Z1453" s="6">
        <v>0</v>
      </c>
      <c r="AA1453" s="6">
        <v>0</v>
      </c>
      <c r="AB1453" s="6">
        <v>0</v>
      </c>
      <c r="AC1453" s="7">
        <v>79</v>
      </c>
      <c r="AD1453" s="7" t="s">
        <v>53</v>
      </c>
      <c r="AE1453" s="7">
        <v>20.67</v>
      </c>
      <c r="AF1453" s="7">
        <v>151</v>
      </c>
      <c r="AG1453" s="7">
        <v>11.09</v>
      </c>
      <c r="AH1453" s="7">
        <v>30.58</v>
      </c>
      <c r="AI1453" s="7">
        <v>32.61</v>
      </c>
      <c r="AJ1453" s="9">
        <v>93.619699807736893</v>
      </c>
      <c r="AK1453" s="9">
        <v>96.312510729899103</v>
      </c>
      <c r="AL1453" s="9">
        <v>128.61748036725999</v>
      </c>
      <c r="AM1453" s="9">
        <v>44.631486254866601</v>
      </c>
      <c r="AN1453" s="9">
        <v>0.56495552221350098</v>
      </c>
      <c r="AO1453" s="9">
        <v>0.30314042757781601</v>
      </c>
      <c r="AP1453" s="9">
        <v>463.05757607590198</v>
      </c>
      <c r="AQ1453" s="9">
        <v>5.86148830475826</v>
      </c>
      <c r="AR1453" s="9">
        <v>5.8651712810468002</v>
      </c>
      <c r="AS1453" s="8">
        <v>157</v>
      </c>
      <c r="AT1453" s="8">
        <v>11.55</v>
      </c>
      <c r="AU1453" s="10">
        <v>30.605270706402418</v>
      </c>
      <c r="AV1453" s="10">
        <v>97.60237778023712</v>
      </c>
      <c r="AW1453" s="10">
        <v>1</v>
      </c>
      <c r="AX1453" s="10">
        <v>0.62167119605246568</v>
      </c>
      <c r="BF1453" s="12">
        <v>0.45</v>
      </c>
      <c r="BG1453" s="13">
        <v>100.80395023784</v>
      </c>
      <c r="BH1453" s="96" t="str">
        <f>+VLOOKUP(G1453,Liste!$A$7:$G$50,3,FALSE)</f>
        <v>Pin d'Alep</v>
      </c>
      <c r="BI1453" s="96" t="str">
        <f>+VLOOKUP(H1453,Liste!$B$7:$G$50,5,FALSE)</f>
        <v>Pin d'Alep</v>
      </c>
      <c r="BJ1453" s="135">
        <f t="shared" si="437"/>
        <v>79</v>
      </c>
      <c r="BK1453" s="135" t="str">
        <f t="shared" si="439"/>
        <v>Pin d'Alep_F1_Dynamique_Pin d'Alep_79_</v>
      </c>
      <c r="BL1453" s="322"/>
      <c r="BM1453" s="13">
        <v>28.9649751238892</v>
      </c>
      <c r="BN1453" s="13">
        <v>129.76892536173</v>
      </c>
      <c r="BO1453" s="13">
        <v>130.57610382324202</v>
      </c>
      <c r="BP1453" s="13">
        <v>133.34843814247799</v>
      </c>
      <c r="BQ1453" s="13">
        <v>5.6015210640799804</v>
      </c>
      <c r="BT1453" s="298" t="str">
        <f>+VLOOKUP(G1453,Liste!$A$7:$H$50,8,FALSE)</f>
        <v>Résineux</v>
      </c>
      <c r="BU1453" s="298">
        <f t="shared" si="440"/>
        <v>0</v>
      </c>
      <c r="BV1453" s="300">
        <f t="shared" si="441"/>
        <v>1</v>
      </c>
      <c r="BW1453" s="321">
        <v>0</v>
      </c>
      <c r="BX1453" s="298">
        <f t="shared" si="442"/>
        <v>0.43</v>
      </c>
      <c r="BY1453">
        <f t="shared" si="443"/>
        <v>0</v>
      </c>
      <c r="BZ1453" s="304">
        <f t="shared" si="444"/>
        <v>0</v>
      </c>
      <c r="CB1453" s="299">
        <v>0.6</v>
      </c>
      <c r="CC1453" s="299">
        <v>0.4</v>
      </c>
      <c r="CD1453">
        <f t="shared" si="445"/>
        <v>0</v>
      </c>
      <c r="CE1453">
        <f t="shared" si="446"/>
        <v>0</v>
      </c>
      <c r="CF1453">
        <f t="shared" si="447"/>
        <v>0</v>
      </c>
      <c r="CG1453">
        <f t="shared" si="448"/>
        <v>0</v>
      </c>
      <c r="CH1453">
        <f t="shared" si="449"/>
        <v>0</v>
      </c>
      <c r="CI1453">
        <f t="shared" si="450"/>
        <v>0</v>
      </c>
      <c r="CJ1453">
        <f t="shared" si="451"/>
        <v>0</v>
      </c>
      <c r="CK1453">
        <f t="shared" si="452"/>
        <v>0</v>
      </c>
      <c r="CL1453">
        <f t="shared" si="453"/>
        <v>0</v>
      </c>
      <c r="CM1453">
        <f t="shared" si="455"/>
        <v>0</v>
      </c>
      <c r="CN1453">
        <f t="shared" si="454"/>
        <v>0</v>
      </c>
      <c r="CO1453">
        <f t="shared" si="438"/>
        <v>0</v>
      </c>
    </row>
    <row r="1454" spans="1:93" x14ac:dyDescent="0.25">
      <c r="A1454" s="4">
        <v>2021</v>
      </c>
      <c r="B1454" s="318">
        <v>44320</v>
      </c>
      <c r="C1454" s="4" t="s">
        <v>1524</v>
      </c>
      <c r="D1454" s="4" t="s">
        <v>1525</v>
      </c>
      <c r="F1454" s="4" t="s">
        <v>1526</v>
      </c>
      <c r="G1454" s="5" t="s">
        <v>1514</v>
      </c>
      <c r="H1454" s="5" t="s">
        <v>1527</v>
      </c>
      <c r="I1454" s="5" t="s">
        <v>146</v>
      </c>
      <c r="J1454" s="5" t="s">
        <v>9</v>
      </c>
      <c r="K1454" s="5">
        <v>15.5</v>
      </c>
      <c r="L1454" s="5" t="s">
        <v>1528</v>
      </c>
      <c r="M1454" s="5">
        <v>1100</v>
      </c>
      <c r="N1454" s="5" t="s">
        <v>170</v>
      </c>
      <c r="O1454" s="6" t="s">
        <v>81</v>
      </c>
      <c r="P1454" s="6" t="s">
        <v>1530</v>
      </c>
      <c r="S1454" s="6">
        <v>15</v>
      </c>
      <c r="T1454" s="6">
        <v>4.33</v>
      </c>
      <c r="U1454" s="6">
        <v>1101</v>
      </c>
      <c r="V1454" s="6">
        <v>4.92</v>
      </c>
      <c r="W1454" s="6">
        <v>569</v>
      </c>
      <c r="X1454" s="6">
        <v>532</v>
      </c>
      <c r="Y1454" s="6">
        <v>0</v>
      </c>
      <c r="Z1454" s="6">
        <v>0</v>
      </c>
      <c r="AA1454" s="6">
        <v>0</v>
      </c>
      <c r="AB1454" s="6">
        <v>0</v>
      </c>
      <c r="AC1454" s="7">
        <v>80</v>
      </c>
      <c r="AD1454" s="7" t="s">
        <v>52</v>
      </c>
      <c r="AE1454" s="7">
        <v>20.81</v>
      </c>
      <c r="AF1454" s="7">
        <v>151</v>
      </c>
      <c r="AG1454" s="7">
        <v>11.39</v>
      </c>
      <c r="AH1454" s="7">
        <v>30.99</v>
      </c>
      <c r="AI1454" s="7">
        <v>33.03</v>
      </c>
      <c r="AJ1454" s="9">
        <v>98.299268344379101</v>
      </c>
      <c r="AK1454" s="9">
        <v>101.10159814254099</v>
      </c>
      <c r="AL1454" s="9">
        <v>134.48265164830701</v>
      </c>
      <c r="AM1454" s="9">
        <v>44.934626682444403</v>
      </c>
      <c r="AN1454" s="9">
        <v>0.56168283353055504</v>
      </c>
      <c r="AO1454" s="9">
        <v>0.30425559872205798</v>
      </c>
      <c r="AP1454" s="9">
        <v>468.922747356949</v>
      </c>
      <c r="AQ1454" s="9">
        <v>5.8615343419618604</v>
      </c>
      <c r="AR1454" s="9">
        <v>4.3170892345307799</v>
      </c>
      <c r="AS1454" s="8" t="s">
        <v>169</v>
      </c>
      <c r="AT1454" s="8" t="s">
        <v>169</v>
      </c>
      <c r="AU1454" s="10" t="s">
        <v>169</v>
      </c>
      <c r="AV1454" s="10">
        <v>0</v>
      </c>
      <c r="AW1454" s="10" t="s">
        <v>169</v>
      </c>
      <c r="AX1454" s="10" t="s">
        <v>169</v>
      </c>
      <c r="BF1454" s="12">
        <v>0.45</v>
      </c>
      <c r="BG1454" s="13">
        <v>105.40077822936099</v>
      </c>
      <c r="BH1454" s="96" t="str">
        <f>+VLOOKUP(G1454,Liste!$A$7:$G$50,3,FALSE)</f>
        <v>Pin d'Alep</v>
      </c>
      <c r="BI1454" s="96" t="str">
        <f>+VLOOKUP(H1454,Liste!$B$7:$G$50,5,FALSE)</f>
        <v>Pin d'Alep</v>
      </c>
      <c r="BJ1454" s="135">
        <f t="shared" si="437"/>
        <v>80</v>
      </c>
      <c r="BK1454" s="135" t="str">
        <f t="shared" si="439"/>
        <v>Pin d'Alep_F1_Dynamique_Pin d'Alep_80_</v>
      </c>
      <c r="BL1454" s="322"/>
      <c r="BM1454" s="13">
        <v>30.1290329720321</v>
      </c>
      <c r="BN1454" s="13">
        <v>135.52981120139299</v>
      </c>
      <c r="BO1454" s="13" t="s">
        <v>169</v>
      </c>
      <c r="BP1454" s="13">
        <v>133.34843814247799</v>
      </c>
      <c r="BQ1454" s="13">
        <v>4.1220930948655896</v>
      </c>
      <c r="BT1454" s="298" t="str">
        <f>+VLOOKUP(G1454,Liste!$A$7:$H$50,8,FALSE)</f>
        <v>Résineux</v>
      </c>
      <c r="BU1454" s="298">
        <f t="shared" si="440"/>
        <v>0</v>
      </c>
      <c r="BV1454" s="300">
        <f t="shared" si="441"/>
        <v>1</v>
      </c>
      <c r="BW1454" s="321">
        <v>0</v>
      </c>
      <c r="BX1454" s="298">
        <f t="shared" si="442"/>
        <v>0.43</v>
      </c>
      <c r="BY1454">
        <f t="shared" si="443"/>
        <v>0</v>
      </c>
      <c r="BZ1454" s="304">
        <f t="shared" si="444"/>
        <v>0</v>
      </c>
      <c r="CB1454" s="299">
        <v>0.6</v>
      </c>
      <c r="CC1454" s="299">
        <v>0.4</v>
      </c>
      <c r="CD1454">
        <f t="shared" si="445"/>
        <v>0</v>
      </c>
      <c r="CE1454">
        <f t="shared" si="446"/>
        <v>0</v>
      </c>
      <c r="CF1454">
        <f t="shared" si="447"/>
        <v>0</v>
      </c>
      <c r="CG1454">
        <f t="shared" si="448"/>
        <v>0</v>
      </c>
      <c r="CH1454">
        <f t="shared" si="449"/>
        <v>0</v>
      </c>
      <c r="CI1454">
        <f t="shared" si="450"/>
        <v>0</v>
      </c>
      <c r="CJ1454">
        <f t="shared" si="451"/>
        <v>0</v>
      </c>
      <c r="CK1454">
        <f t="shared" si="452"/>
        <v>0</v>
      </c>
      <c r="CL1454">
        <f t="shared" si="453"/>
        <v>0</v>
      </c>
      <c r="CM1454">
        <f t="shared" si="455"/>
        <v>0</v>
      </c>
      <c r="CN1454">
        <f t="shared" si="454"/>
        <v>0</v>
      </c>
      <c r="CO1454">
        <f t="shared" si="438"/>
        <v>0</v>
      </c>
    </row>
    <row r="1455" spans="1:93" x14ac:dyDescent="0.25">
      <c r="A1455" s="4">
        <v>2021</v>
      </c>
      <c r="B1455" s="318">
        <v>44320</v>
      </c>
      <c r="C1455" s="4" t="s">
        <v>1524</v>
      </c>
      <c r="D1455" s="4" t="s">
        <v>1525</v>
      </c>
      <c r="F1455" s="4" t="s">
        <v>1526</v>
      </c>
      <c r="G1455" s="5" t="s">
        <v>1514</v>
      </c>
      <c r="H1455" s="5" t="s">
        <v>1527</v>
      </c>
      <c r="I1455" s="5" t="s">
        <v>146</v>
      </c>
      <c r="J1455" s="5" t="s">
        <v>9</v>
      </c>
      <c r="K1455" s="5">
        <v>15.5</v>
      </c>
      <c r="L1455" s="5" t="s">
        <v>1528</v>
      </c>
      <c r="M1455" s="5">
        <v>1100</v>
      </c>
      <c r="N1455" s="5" t="s">
        <v>170</v>
      </c>
      <c r="O1455" s="6" t="s">
        <v>81</v>
      </c>
      <c r="P1455" s="6" t="s">
        <v>1530</v>
      </c>
      <c r="S1455" s="6">
        <v>15</v>
      </c>
      <c r="T1455" s="6">
        <v>4.33</v>
      </c>
      <c r="U1455" s="6">
        <v>1101</v>
      </c>
      <c r="V1455" s="6">
        <v>4.92</v>
      </c>
      <c r="W1455" s="6">
        <v>569</v>
      </c>
      <c r="X1455" s="6">
        <v>532</v>
      </c>
      <c r="Y1455" s="6">
        <v>0</v>
      </c>
      <c r="Z1455" s="6">
        <v>0</v>
      </c>
      <c r="AA1455" s="6">
        <v>0</v>
      </c>
      <c r="AB1455" s="6">
        <v>0</v>
      </c>
      <c r="AC1455" s="7">
        <v>81</v>
      </c>
      <c r="AD1455" s="7" t="s">
        <v>52</v>
      </c>
      <c r="AE1455" s="7">
        <v>20.94</v>
      </c>
      <c r="AF1455" s="7">
        <v>151</v>
      </c>
      <c r="AG1455" s="7">
        <v>11.7</v>
      </c>
      <c r="AH1455" s="7">
        <v>31.4</v>
      </c>
      <c r="AI1455" s="7">
        <v>33.450000000000003</v>
      </c>
      <c r="AJ1455" s="9">
        <v>101.49638450147199</v>
      </c>
      <c r="AK1455" s="9">
        <v>104.42015088320299</v>
      </c>
      <c r="AL1455" s="9">
        <v>138.79974088283799</v>
      </c>
      <c r="AM1455" s="9">
        <v>45.238882281166497</v>
      </c>
      <c r="AN1455" s="9">
        <v>0.55850471952057301</v>
      </c>
      <c r="AO1455" s="9">
        <v>0.30580544847983798</v>
      </c>
      <c r="AP1455" s="9">
        <v>473.23983659148001</v>
      </c>
      <c r="AQ1455" s="9">
        <v>5.8424671184133299</v>
      </c>
      <c r="AR1455" s="9">
        <v>4.3584679735361096</v>
      </c>
      <c r="AS1455" s="8" t="s">
        <v>169</v>
      </c>
      <c r="AT1455" s="8" t="s">
        <v>169</v>
      </c>
      <c r="AU1455" s="10" t="s">
        <v>169</v>
      </c>
      <c r="AV1455" s="10">
        <v>0</v>
      </c>
      <c r="AW1455" s="10" t="s">
        <v>169</v>
      </c>
      <c r="AX1455" s="10" t="s">
        <v>169</v>
      </c>
      <c r="BF1455" s="12">
        <v>0.45</v>
      </c>
      <c r="BG1455" s="13">
        <v>108.78429691692401</v>
      </c>
      <c r="BH1455" s="96" t="str">
        <f>+VLOOKUP(G1455,Liste!$A$7:$G$50,3,FALSE)</f>
        <v>Pin d'Alep</v>
      </c>
      <c r="BI1455" s="96" t="str">
        <f>+VLOOKUP(H1455,Liste!$B$7:$G$50,5,FALSE)</f>
        <v>Pin d'Alep</v>
      </c>
      <c r="BJ1455" s="135">
        <f t="shared" si="437"/>
        <v>81</v>
      </c>
      <c r="BK1455" s="135" t="str">
        <f t="shared" si="439"/>
        <v>Pin d'Alep_F1_Dynamique_Pin d'Alep_81_</v>
      </c>
      <c r="BM1455" s="13">
        <v>30.982060522086002</v>
      </c>
      <c r="BN1455" s="13">
        <v>139.76635743900999</v>
      </c>
      <c r="BO1455" s="13" t="s">
        <v>169</v>
      </c>
      <c r="BP1455" s="13">
        <v>133.34843814247799</v>
      </c>
      <c r="BQ1455" s="13">
        <v>4.1608076916538703</v>
      </c>
      <c r="BT1455" s="298" t="str">
        <f>+VLOOKUP(G1455,Liste!$A$7:$H$50,8,FALSE)</f>
        <v>Résineux</v>
      </c>
      <c r="BU1455" s="298">
        <f t="shared" si="440"/>
        <v>0</v>
      </c>
      <c r="BV1455" s="300">
        <f t="shared" si="441"/>
        <v>1</v>
      </c>
      <c r="BW1455" s="321">
        <v>0</v>
      </c>
      <c r="BX1455" s="298">
        <f t="shared" si="442"/>
        <v>0.43</v>
      </c>
      <c r="BY1455">
        <f t="shared" si="443"/>
        <v>0</v>
      </c>
      <c r="BZ1455" s="304">
        <f t="shared" si="444"/>
        <v>0</v>
      </c>
      <c r="CB1455" s="299">
        <v>0.6</v>
      </c>
      <c r="CC1455" s="299">
        <v>0.4</v>
      </c>
      <c r="CD1455">
        <f t="shared" si="445"/>
        <v>0</v>
      </c>
      <c r="CE1455">
        <f t="shared" si="446"/>
        <v>0</v>
      </c>
      <c r="CF1455">
        <f t="shared" si="447"/>
        <v>0</v>
      </c>
      <c r="CG1455">
        <f t="shared" si="448"/>
        <v>0</v>
      </c>
      <c r="CH1455">
        <f t="shared" si="449"/>
        <v>0</v>
      </c>
      <c r="CI1455">
        <f t="shared" si="450"/>
        <v>0</v>
      </c>
      <c r="CJ1455">
        <f t="shared" si="451"/>
        <v>0</v>
      </c>
      <c r="CK1455">
        <f t="shared" si="452"/>
        <v>0</v>
      </c>
      <c r="CL1455">
        <f t="shared" si="453"/>
        <v>0</v>
      </c>
      <c r="CM1455">
        <f t="shared" si="455"/>
        <v>0</v>
      </c>
      <c r="CN1455">
        <f t="shared" si="454"/>
        <v>0</v>
      </c>
      <c r="CO1455">
        <f t="shared" si="438"/>
        <v>0</v>
      </c>
    </row>
    <row r="1456" spans="1:93" x14ac:dyDescent="0.25">
      <c r="A1456" s="4">
        <v>2021</v>
      </c>
      <c r="B1456" s="318">
        <v>44320</v>
      </c>
      <c r="C1456" s="4" t="s">
        <v>1524</v>
      </c>
      <c r="D1456" s="4" t="s">
        <v>1525</v>
      </c>
      <c r="F1456" s="4" t="s">
        <v>1526</v>
      </c>
      <c r="G1456" s="5" t="s">
        <v>1514</v>
      </c>
      <c r="H1456" s="5" t="s">
        <v>1527</v>
      </c>
      <c r="I1456" s="5" t="s">
        <v>146</v>
      </c>
      <c r="J1456" s="5" t="s">
        <v>9</v>
      </c>
      <c r="K1456" s="5">
        <v>15.5</v>
      </c>
      <c r="L1456" s="5" t="s">
        <v>1528</v>
      </c>
      <c r="M1456" s="5">
        <v>1100</v>
      </c>
      <c r="N1456" s="5" t="s">
        <v>170</v>
      </c>
      <c r="O1456" s="6" t="s">
        <v>81</v>
      </c>
      <c r="P1456" s="6" t="s">
        <v>1530</v>
      </c>
      <c r="S1456" s="6">
        <v>15</v>
      </c>
      <c r="T1456" s="6">
        <v>4.33</v>
      </c>
      <c r="U1456" s="6">
        <v>1101</v>
      </c>
      <c r="V1456" s="6">
        <v>4.92</v>
      </c>
      <c r="W1456" s="6">
        <v>569</v>
      </c>
      <c r="X1456" s="6">
        <v>532</v>
      </c>
      <c r="Y1456" s="6">
        <v>0</v>
      </c>
      <c r="Z1456" s="6">
        <v>0</v>
      </c>
      <c r="AA1456" s="6">
        <v>0</v>
      </c>
      <c r="AB1456" s="6">
        <v>0</v>
      </c>
      <c r="AC1456" s="7">
        <v>82</v>
      </c>
      <c r="AD1456" s="7" t="s">
        <v>52</v>
      </c>
      <c r="AE1456" s="7">
        <v>21.07</v>
      </c>
      <c r="AF1456" s="7">
        <v>151</v>
      </c>
      <c r="AG1456" s="7">
        <v>12</v>
      </c>
      <c r="AH1456" s="7">
        <v>31.81</v>
      </c>
      <c r="AI1456" s="7">
        <v>33.869999999999997</v>
      </c>
      <c r="AJ1456" s="9">
        <v>104.72294282359999</v>
      </c>
      <c r="AK1456" s="9">
        <v>107.77042002882</v>
      </c>
      <c r="AL1456" s="9">
        <v>143.15820885637399</v>
      </c>
      <c r="AM1456" s="9">
        <v>45.544687729646299</v>
      </c>
      <c r="AN1456" s="9">
        <v>0.55542302109324704</v>
      </c>
      <c r="AO1456" s="9">
        <v>0.306186201655471</v>
      </c>
      <c r="AP1456" s="9">
        <v>477.59830456501601</v>
      </c>
      <c r="AQ1456" s="9">
        <v>5.8243695678660501</v>
      </c>
      <c r="AR1456" s="9">
        <v>4.4535590407857102</v>
      </c>
      <c r="AS1456" s="8" t="s">
        <v>169</v>
      </c>
      <c r="AT1456" s="8" t="s">
        <v>169</v>
      </c>
      <c r="AU1456" s="10" t="s">
        <v>169</v>
      </c>
      <c r="AV1456" s="10">
        <v>0</v>
      </c>
      <c r="AW1456" s="10" t="s">
        <v>169</v>
      </c>
      <c r="AX1456" s="10" t="s">
        <v>169</v>
      </c>
      <c r="BF1456" s="12">
        <v>0.45</v>
      </c>
      <c r="BG1456" s="13">
        <v>112.200246191183</v>
      </c>
      <c r="BH1456" s="96" t="str">
        <f>+VLOOKUP(G1456,Liste!$A$7:$G$50,3,FALSE)</f>
        <v>Pin d'Alep</v>
      </c>
      <c r="BI1456" s="96" t="str">
        <f>+VLOOKUP(H1456,Liste!$B$7:$G$50,5,FALSE)</f>
        <v>Pin d'Alep</v>
      </c>
      <c r="BJ1456" s="135">
        <f t="shared" si="437"/>
        <v>82</v>
      </c>
      <c r="BK1456" s="135" t="str">
        <f t="shared" si="439"/>
        <v>Pin d'Alep_F1_Dynamique_Pin d'Alep_82_</v>
      </c>
      <c r="BM1456" s="13">
        <v>31.840136867529399</v>
      </c>
      <c r="BN1456" s="13">
        <v>144.04038305871299</v>
      </c>
      <c r="BO1456" s="13" t="s">
        <v>169</v>
      </c>
      <c r="BP1456" s="13">
        <v>133.34843814247799</v>
      </c>
      <c r="BQ1456" s="13">
        <v>4.2507694761180197</v>
      </c>
      <c r="BT1456" s="298" t="str">
        <f>+VLOOKUP(G1456,Liste!$A$7:$H$50,8,FALSE)</f>
        <v>Résineux</v>
      </c>
      <c r="BU1456" s="298">
        <f t="shared" si="440"/>
        <v>0</v>
      </c>
      <c r="BV1456" s="300">
        <f t="shared" si="441"/>
        <v>1</v>
      </c>
      <c r="BW1456" s="321">
        <v>0</v>
      </c>
      <c r="BX1456" s="298">
        <f t="shared" si="442"/>
        <v>0.43</v>
      </c>
      <c r="BY1456">
        <f t="shared" si="443"/>
        <v>0</v>
      </c>
      <c r="BZ1456" s="304">
        <f t="shared" si="444"/>
        <v>0</v>
      </c>
      <c r="CB1456" s="299">
        <v>0.6</v>
      </c>
      <c r="CC1456" s="299">
        <v>0.4</v>
      </c>
      <c r="CD1456">
        <f t="shared" si="445"/>
        <v>0</v>
      </c>
      <c r="CE1456">
        <f t="shared" si="446"/>
        <v>0</v>
      </c>
      <c r="CF1456">
        <f t="shared" si="447"/>
        <v>0</v>
      </c>
      <c r="CG1456">
        <f t="shared" si="448"/>
        <v>0</v>
      </c>
      <c r="CH1456">
        <f t="shared" si="449"/>
        <v>0</v>
      </c>
      <c r="CI1456">
        <f t="shared" si="450"/>
        <v>0</v>
      </c>
      <c r="CJ1456">
        <f t="shared" si="451"/>
        <v>0</v>
      </c>
      <c r="CK1456">
        <f t="shared" si="452"/>
        <v>0</v>
      </c>
      <c r="CL1456">
        <f t="shared" si="453"/>
        <v>0</v>
      </c>
      <c r="CM1456">
        <f t="shared" si="455"/>
        <v>0</v>
      </c>
      <c r="CN1456">
        <f t="shared" si="454"/>
        <v>0</v>
      </c>
      <c r="CO1456">
        <f t="shared" si="438"/>
        <v>0</v>
      </c>
    </row>
    <row r="1457" spans="1:93" x14ac:dyDescent="0.25">
      <c r="A1457" s="4">
        <v>2021</v>
      </c>
      <c r="B1457" s="318">
        <v>44320</v>
      </c>
      <c r="C1457" s="4" t="s">
        <v>1524</v>
      </c>
      <c r="D1457" s="4" t="s">
        <v>1525</v>
      </c>
      <c r="F1457" s="4" t="s">
        <v>1526</v>
      </c>
      <c r="G1457" s="5" t="s">
        <v>1514</v>
      </c>
      <c r="H1457" s="5" t="s">
        <v>1527</v>
      </c>
      <c r="I1457" s="5" t="s">
        <v>146</v>
      </c>
      <c r="J1457" s="5" t="s">
        <v>9</v>
      </c>
      <c r="K1457" s="5">
        <v>15.5</v>
      </c>
      <c r="L1457" s="5" t="s">
        <v>1528</v>
      </c>
      <c r="M1457" s="5">
        <v>1100</v>
      </c>
      <c r="N1457" s="5" t="s">
        <v>170</v>
      </c>
      <c r="O1457" s="6" t="s">
        <v>81</v>
      </c>
      <c r="P1457" s="6" t="s">
        <v>1530</v>
      </c>
      <c r="S1457" s="6">
        <v>15</v>
      </c>
      <c r="T1457" s="6">
        <v>4.33</v>
      </c>
      <c r="U1457" s="6">
        <v>1101</v>
      </c>
      <c r="V1457" s="6">
        <v>4.92</v>
      </c>
      <c r="W1457" s="6">
        <v>569</v>
      </c>
      <c r="X1457" s="6">
        <v>532</v>
      </c>
      <c r="Y1457" s="6">
        <v>0</v>
      </c>
      <c r="Z1457" s="6">
        <v>0</v>
      </c>
      <c r="AA1457" s="6">
        <v>0</v>
      </c>
      <c r="AB1457" s="6">
        <v>0</v>
      </c>
      <c r="AC1457" s="7">
        <v>83</v>
      </c>
      <c r="AD1457" s="7" t="s">
        <v>52</v>
      </c>
      <c r="AE1457" s="7">
        <v>21.2</v>
      </c>
      <c r="AF1457" s="7">
        <v>151</v>
      </c>
      <c r="AG1457" s="7">
        <v>12.31</v>
      </c>
      <c r="AH1457" s="7">
        <v>32.22</v>
      </c>
      <c r="AI1457" s="7">
        <v>34.29</v>
      </c>
      <c r="AJ1457" s="9">
        <v>108.034284070029</v>
      </c>
      <c r="AK1457" s="9">
        <v>111.206837869609</v>
      </c>
      <c r="AL1457" s="9">
        <v>147.61176789716001</v>
      </c>
      <c r="AM1457" s="9">
        <v>45.850873931301798</v>
      </c>
      <c r="AN1457" s="9">
        <v>0.55242016784700898</v>
      </c>
      <c r="AO1457" s="9">
        <v>0.30797322595063298</v>
      </c>
      <c r="AP1457" s="9">
        <v>482.051863605802</v>
      </c>
      <c r="AQ1457" s="9">
        <v>5.8078537783831496</v>
      </c>
      <c r="AR1457" s="9">
        <v>4.4753033192462199</v>
      </c>
      <c r="AS1457" s="8" t="s">
        <v>169</v>
      </c>
      <c r="AT1457" s="8" t="s">
        <v>169</v>
      </c>
      <c r="AU1457" s="10" t="s">
        <v>169</v>
      </c>
      <c r="AV1457" s="10">
        <v>0</v>
      </c>
      <c r="AW1457" s="10" t="s">
        <v>169</v>
      </c>
      <c r="AX1457" s="10" t="s">
        <v>169</v>
      </c>
      <c r="BF1457" s="12">
        <v>0.45</v>
      </c>
      <c r="BG1457" s="13">
        <v>115.690723089399</v>
      </c>
      <c r="BH1457" s="96" t="str">
        <f>+VLOOKUP(G1457,Liste!$A$7:$G$50,3,FALSE)</f>
        <v>Pin d'Alep</v>
      </c>
      <c r="BI1457" s="96" t="str">
        <f>+VLOOKUP(H1457,Liste!$B$7:$G$50,5,FALSE)</f>
        <v>Pin d'Alep</v>
      </c>
      <c r="BJ1457" s="135">
        <f t="shared" si="437"/>
        <v>83</v>
      </c>
      <c r="BK1457" s="135" t="str">
        <f t="shared" si="439"/>
        <v>Pin d'Alep_F1_Dynamique_Pin d'Alep_83_</v>
      </c>
      <c r="BM1457" s="13">
        <v>32.713799041026803</v>
      </c>
      <c r="BN1457" s="13">
        <v>148.40452213042599</v>
      </c>
      <c r="BO1457" s="13" t="s">
        <v>169</v>
      </c>
      <c r="BP1457" s="13">
        <v>133.34843814247799</v>
      </c>
      <c r="BQ1457" s="13">
        <v>4.2707004792439998</v>
      </c>
      <c r="BT1457" s="298" t="str">
        <f>+VLOOKUP(G1457,Liste!$A$7:$H$50,8,FALSE)</f>
        <v>Résineux</v>
      </c>
      <c r="BU1457" s="298">
        <f t="shared" si="440"/>
        <v>0</v>
      </c>
      <c r="BV1457" s="300">
        <f t="shared" si="441"/>
        <v>1</v>
      </c>
      <c r="BW1457" s="321">
        <v>0</v>
      </c>
      <c r="BX1457" s="298">
        <f t="shared" si="442"/>
        <v>0.43</v>
      </c>
      <c r="BY1457">
        <f t="shared" si="443"/>
        <v>0</v>
      </c>
      <c r="BZ1457" s="304">
        <f t="shared" si="444"/>
        <v>0</v>
      </c>
      <c r="CB1457" s="299">
        <v>0.6</v>
      </c>
      <c r="CC1457" s="299">
        <v>0.4</v>
      </c>
      <c r="CD1457">
        <f t="shared" si="445"/>
        <v>0</v>
      </c>
      <c r="CE1457">
        <f t="shared" si="446"/>
        <v>0</v>
      </c>
      <c r="CF1457">
        <f t="shared" si="447"/>
        <v>0</v>
      </c>
      <c r="CG1457">
        <f t="shared" si="448"/>
        <v>0</v>
      </c>
      <c r="CH1457">
        <f t="shared" si="449"/>
        <v>0</v>
      </c>
      <c r="CI1457">
        <f t="shared" si="450"/>
        <v>0</v>
      </c>
      <c r="CJ1457">
        <f t="shared" si="451"/>
        <v>0</v>
      </c>
      <c r="CK1457">
        <f t="shared" si="452"/>
        <v>0</v>
      </c>
      <c r="CL1457">
        <f t="shared" si="453"/>
        <v>0</v>
      </c>
      <c r="CM1457">
        <f t="shared" si="455"/>
        <v>0</v>
      </c>
      <c r="CN1457">
        <f t="shared" si="454"/>
        <v>0</v>
      </c>
      <c r="CO1457">
        <f t="shared" si="438"/>
        <v>0</v>
      </c>
    </row>
    <row r="1458" spans="1:93" x14ac:dyDescent="0.25">
      <c r="A1458" s="4">
        <v>2021</v>
      </c>
      <c r="B1458" s="318">
        <v>44320</v>
      </c>
      <c r="C1458" s="4" t="s">
        <v>1524</v>
      </c>
      <c r="D1458" s="4" t="s">
        <v>1525</v>
      </c>
      <c r="F1458" s="4" t="s">
        <v>1526</v>
      </c>
      <c r="G1458" s="5" t="s">
        <v>1514</v>
      </c>
      <c r="H1458" s="5" t="s">
        <v>1527</v>
      </c>
      <c r="I1458" s="5" t="s">
        <v>146</v>
      </c>
      <c r="J1458" s="5" t="s">
        <v>9</v>
      </c>
      <c r="K1458" s="5">
        <v>15.5</v>
      </c>
      <c r="L1458" s="5" t="s">
        <v>1528</v>
      </c>
      <c r="M1458" s="5">
        <v>1100</v>
      </c>
      <c r="N1458" s="5" t="s">
        <v>170</v>
      </c>
      <c r="O1458" s="6" t="s">
        <v>81</v>
      </c>
      <c r="P1458" s="6" t="s">
        <v>1530</v>
      </c>
      <c r="S1458" s="6">
        <v>15</v>
      </c>
      <c r="T1458" s="6">
        <v>4.33</v>
      </c>
      <c r="U1458" s="6">
        <v>1101</v>
      </c>
      <c r="V1458" s="6">
        <v>4.92</v>
      </c>
      <c r="W1458" s="6">
        <v>569</v>
      </c>
      <c r="X1458" s="6">
        <v>532</v>
      </c>
      <c r="Y1458" s="6">
        <v>0</v>
      </c>
      <c r="Z1458" s="6">
        <v>0</v>
      </c>
      <c r="AA1458" s="6">
        <v>0</v>
      </c>
      <c r="AB1458" s="6">
        <v>0</v>
      </c>
      <c r="AC1458" s="7">
        <v>84</v>
      </c>
      <c r="AD1458" s="7" t="s">
        <v>52</v>
      </c>
      <c r="AE1458" s="7">
        <v>21.33</v>
      </c>
      <c r="AF1458" s="7">
        <v>151</v>
      </c>
      <c r="AG1458" s="7">
        <v>12.62</v>
      </c>
      <c r="AH1458" s="7">
        <v>32.619999999999997</v>
      </c>
      <c r="AI1458" s="7">
        <v>34.700000000000003</v>
      </c>
      <c r="AJ1458" s="9">
        <v>111.35603331512</v>
      </c>
      <c r="AK1458" s="9">
        <v>114.656175992383</v>
      </c>
      <c r="AL1458" s="9">
        <v>152.087071216406</v>
      </c>
      <c r="AM1458" s="9">
        <v>46.158847157252403</v>
      </c>
      <c r="AN1458" s="9">
        <v>0.54951008520538602</v>
      </c>
      <c r="AO1458" s="9">
        <v>0.30866570365731899</v>
      </c>
      <c r="AP1458" s="9">
        <v>486.52716692504799</v>
      </c>
      <c r="AQ1458" s="9">
        <v>5.7919900824410497</v>
      </c>
      <c r="AR1458" s="9">
        <v>4.4806727026302697</v>
      </c>
      <c r="AS1458" s="8" t="s">
        <v>169</v>
      </c>
      <c r="AT1458" s="8" t="s">
        <v>169</v>
      </c>
      <c r="AU1458" s="10" t="s">
        <v>169</v>
      </c>
      <c r="AV1458" s="10">
        <v>0</v>
      </c>
      <c r="AW1458" s="10" t="s">
        <v>169</v>
      </c>
      <c r="AX1458" s="10" t="s">
        <v>169</v>
      </c>
      <c r="BF1458" s="12">
        <v>0.45</v>
      </c>
      <c r="BG1458" s="13">
        <v>119.198242065858</v>
      </c>
      <c r="BH1458" s="96" t="str">
        <f>+VLOOKUP(G1458,Liste!$A$7:$G$50,3,FALSE)</f>
        <v>Pin d'Alep</v>
      </c>
      <c r="BI1458" s="96" t="str">
        <f>+VLOOKUP(H1458,Liste!$B$7:$G$50,5,FALSE)</f>
        <v>Pin d'Alep</v>
      </c>
      <c r="BJ1458" s="135">
        <f t="shared" si="437"/>
        <v>84</v>
      </c>
      <c r="BK1458" s="135" t="str">
        <f t="shared" si="439"/>
        <v>Pin d'Alep_F1_Dynamique_Pin d'Alep_84_</v>
      </c>
      <c r="BM1458" s="13">
        <v>33.588641218317598</v>
      </c>
      <c r="BN1458" s="13">
        <v>152.78688328417601</v>
      </c>
      <c r="BO1458" s="13" t="s">
        <v>169</v>
      </c>
      <c r="BP1458" s="13">
        <v>133.34843814247799</v>
      </c>
      <c r="BQ1458" s="13">
        <v>4.2750062026249802</v>
      </c>
      <c r="BT1458" s="298" t="str">
        <f>+VLOOKUP(G1458,Liste!$A$7:$H$50,8,FALSE)</f>
        <v>Résineux</v>
      </c>
      <c r="BU1458" s="298">
        <f t="shared" si="440"/>
        <v>0</v>
      </c>
      <c r="BV1458" s="300">
        <f t="shared" si="441"/>
        <v>1</v>
      </c>
      <c r="BW1458" s="321">
        <v>0</v>
      </c>
      <c r="BX1458" s="298">
        <f t="shared" si="442"/>
        <v>0.43</v>
      </c>
      <c r="BY1458">
        <f t="shared" si="443"/>
        <v>0</v>
      </c>
      <c r="BZ1458" s="304">
        <f t="shared" si="444"/>
        <v>0</v>
      </c>
      <c r="CB1458" s="299">
        <v>0.6</v>
      </c>
      <c r="CC1458" s="299">
        <v>0.4</v>
      </c>
      <c r="CD1458">
        <f t="shared" si="445"/>
        <v>0</v>
      </c>
      <c r="CE1458">
        <f t="shared" si="446"/>
        <v>0</v>
      </c>
      <c r="CF1458">
        <f t="shared" si="447"/>
        <v>0</v>
      </c>
      <c r="CG1458">
        <f t="shared" si="448"/>
        <v>0</v>
      </c>
      <c r="CH1458">
        <f t="shared" si="449"/>
        <v>0</v>
      </c>
      <c r="CI1458">
        <f t="shared" si="450"/>
        <v>0</v>
      </c>
      <c r="CJ1458">
        <f t="shared" si="451"/>
        <v>0</v>
      </c>
      <c r="CK1458">
        <f t="shared" si="452"/>
        <v>0</v>
      </c>
      <c r="CL1458">
        <f t="shared" si="453"/>
        <v>0</v>
      </c>
      <c r="CM1458">
        <f t="shared" si="455"/>
        <v>0</v>
      </c>
      <c r="CN1458">
        <f t="shared" si="454"/>
        <v>0</v>
      </c>
      <c r="CO1458">
        <f t="shared" si="438"/>
        <v>0</v>
      </c>
    </row>
    <row r="1459" spans="1:93" x14ac:dyDescent="0.25">
      <c r="A1459" s="4">
        <v>2021</v>
      </c>
      <c r="B1459" s="318">
        <v>44320</v>
      </c>
      <c r="C1459" s="4" t="s">
        <v>1524</v>
      </c>
      <c r="D1459" s="4" t="s">
        <v>1525</v>
      </c>
      <c r="F1459" s="4" t="s">
        <v>1526</v>
      </c>
      <c r="G1459" s="5" t="s">
        <v>1514</v>
      </c>
      <c r="H1459" s="5" t="s">
        <v>1527</v>
      </c>
      <c r="I1459" s="5" t="s">
        <v>146</v>
      </c>
      <c r="J1459" s="5" t="s">
        <v>9</v>
      </c>
      <c r="K1459" s="5">
        <v>15.5</v>
      </c>
      <c r="L1459" s="5" t="s">
        <v>1528</v>
      </c>
      <c r="M1459" s="5">
        <v>1100</v>
      </c>
      <c r="N1459" s="5" t="s">
        <v>170</v>
      </c>
      <c r="O1459" s="6" t="s">
        <v>81</v>
      </c>
      <c r="P1459" s="6" t="s">
        <v>1530</v>
      </c>
      <c r="S1459" s="6">
        <v>15</v>
      </c>
      <c r="T1459" s="6">
        <v>4.33</v>
      </c>
      <c r="U1459" s="6">
        <v>1101</v>
      </c>
      <c r="V1459" s="6">
        <v>4.92</v>
      </c>
      <c r="W1459" s="6">
        <v>569</v>
      </c>
      <c r="X1459" s="6">
        <v>532</v>
      </c>
      <c r="Y1459" s="6">
        <v>0</v>
      </c>
      <c r="Z1459" s="6">
        <v>0</v>
      </c>
      <c r="AA1459" s="6">
        <v>0</v>
      </c>
      <c r="AB1459" s="6">
        <v>0</v>
      </c>
      <c r="AC1459" s="7">
        <v>85</v>
      </c>
      <c r="AD1459" s="7" t="s">
        <v>52</v>
      </c>
      <c r="AE1459" s="7">
        <v>21.46</v>
      </c>
      <c r="AF1459" s="7">
        <v>151</v>
      </c>
      <c r="AG1459" s="7">
        <v>12.92</v>
      </c>
      <c r="AH1459" s="7">
        <v>33.01</v>
      </c>
      <c r="AI1459" s="7">
        <v>35.11</v>
      </c>
      <c r="AJ1459" s="9">
        <v>114.675765213113</v>
      </c>
      <c r="AK1459" s="9">
        <v>118.10550444053401</v>
      </c>
      <c r="AL1459" s="9">
        <v>156.56774391903599</v>
      </c>
      <c r="AM1459" s="9">
        <v>46.4675128609097</v>
      </c>
      <c r="AN1459" s="9">
        <v>0.54667662189305499</v>
      </c>
      <c r="AO1459" s="9">
        <v>0.308934749652167</v>
      </c>
      <c r="AP1459" s="9">
        <v>491.00783962767798</v>
      </c>
      <c r="AQ1459" s="9">
        <v>5.7765628191491496</v>
      </c>
      <c r="AR1459" s="9">
        <v>4.5271377394425896</v>
      </c>
      <c r="AS1459" s="8" t="s">
        <v>169</v>
      </c>
      <c r="AT1459" s="8" t="s">
        <v>169</v>
      </c>
      <c r="AU1459" s="10" t="s">
        <v>169</v>
      </c>
      <c r="AV1459" s="10">
        <v>0</v>
      </c>
      <c r="AW1459" s="10" t="s">
        <v>169</v>
      </c>
      <c r="AX1459" s="10" t="s">
        <v>169</v>
      </c>
      <c r="BF1459" s="12">
        <v>0.45</v>
      </c>
      <c r="BG1459" s="13">
        <v>122.709969296545</v>
      </c>
      <c r="BH1459" s="96" t="str">
        <f>+VLOOKUP(G1459,Liste!$A$7:$G$50,3,FALSE)</f>
        <v>Pin d'Alep</v>
      </c>
      <c r="BI1459" s="96" t="str">
        <f>+VLOOKUP(H1459,Liste!$B$7:$G$50,5,FALSE)</f>
        <v>Pin d'Alep</v>
      </c>
      <c r="BJ1459" s="135">
        <f t="shared" si="437"/>
        <v>85</v>
      </c>
      <c r="BK1459" s="135" t="str">
        <f t="shared" si="439"/>
        <v>Pin d'Alep_F1_Dynamique_Pin d'Alep_85_</v>
      </c>
      <c r="BM1459" s="13">
        <v>34.461535846290403</v>
      </c>
      <c r="BN1459" s="13">
        <v>157.171505142835</v>
      </c>
      <c r="BO1459" s="13" t="s">
        <v>169</v>
      </c>
      <c r="BP1459" s="13">
        <v>133.34843814247799</v>
      </c>
      <c r="BQ1459" s="13">
        <v>4.3185154978605196</v>
      </c>
      <c r="BT1459" s="298" t="str">
        <f>+VLOOKUP(G1459,Liste!$A$7:$H$50,8,FALSE)</f>
        <v>Résineux</v>
      </c>
      <c r="BU1459" s="298">
        <f t="shared" si="440"/>
        <v>0</v>
      </c>
      <c r="BV1459" s="300">
        <f t="shared" si="441"/>
        <v>1</v>
      </c>
      <c r="BW1459" s="321">
        <v>0</v>
      </c>
      <c r="BX1459" s="298">
        <f t="shared" si="442"/>
        <v>0.43</v>
      </c>
      <c r="BY1459">
        <f t="shared" si="443"/>
        <v>0</v>
      </c>
      <c r="BZ1459" s="304">
        <f t="shared" si="444"/>
        <v>0</v>
      </c>
      <c r="CB1459" s="299">
        <v>0.6</v>
      </c>
      <c r="CC1459" s="299">
        <v>0.4</v>
      </c>
      <c r="CD1459">
        <f t="shared" si="445"/>
        <v>0</v>
      </c>
      <c r="CE1459">
        <f t="shared" si="446"/>
        <v>0</v>
      </c>
      <c r="CF1459">
        <f t="shared" si="447"/>
        <v>0</v>
      </c>
      <c r="CG1459">
        <f t="shared" si="448"/>
        <v>0</v>
      </c>
      <c r="CH1459">
        <f t="shared" si="449"/>
        <v>0</v>
      </c>
      <c r="CI1459">
        <f t="shared" si="450"/>
        <v>0</v>
      </c>
      <c r="CJ1459">
        <f t="shared" si="451"/>
        <v>0</v>
      </c>
      <c r="CK1459">
        <f t="shared" si="452"/>
        <v>0</v>
      </c>
      <c r="CL1459">
        <f t="shared" si="453"/>
        <v>0</v>
      </c>
      <c r="CM1459">
        <f t="shared" si="455"/>
        <v>0</v>
      </c>
      <c r="CN1459">
        <f t="shared" si="454"/>
        <v>0</v>
      </c>
      <c r="CO1459">
        <f t="shared" si="438"/>
        <v>0</v>
      </c>
    </row>
    <row r="1460" spans="1:93" x14ac:dyDescent="0.25">
      <c r="A1460" s="4">
        <v>2021</v>
      </c>
      <c r="B1460" s="318">
        <v>44320</v>
      </c>
      <c r="C1460" s="4" t="s">
        <v>1524</v>
      </c>
      <c r="D1460" s="4" t="s">
        <v>1525</v>
      </c>
      <c r="F1460" s="4" t="s">
        <v>1526</v>
      </c>
      <c r="G1460" s="5" t="s">
        <v>1514</v>
      </c>
      <c r="H1460" s="5" t="s">
        <v>1527</v>
      </c>
      <c r="I1460" s="5" t="s">
        <v>146</v>
      </c>
      <c r="J1460" s="5" t="s">
        <v>9</v>
      </c>
      <c r="K1460" s="5">
        <v>15.5</v>
      </c>
      <c r="L1460" s="5" t="s">
        <v>1528</v>
      </c>
      <c r="M1460" s="5">
        <v>1100</v>
      </c>
      <c r="N1460" s="5" t="s">
        <v>170</v>
      </c>
      <c r="O1460" s="6" t="s">
        <v>81</v>
      </c>
      <c r="P1460" s="6" t="s">
        <v>1530</v>
      </c>
      <c r="S1460" s="6">
        <v>15</v>
      </c>
      <c r="T1460" s="6">
        <v>4.33</v>
      </c>
      <c r="U1460" s="6">
        <v>1101</v>
      </c>
      <c r="V1460" s="6">
        <v>4.92</v>
      </c>
      <c r="W1460" s="6">
        <v>569</v>
      </c>
      <c r="X1460" s="6">
        <v>532</v>
      </c>
      <c r="Y1460" s="6">
        <v>0</v>
      </c>
      <c r="Z1460" s="6">
        <v>0</v>
      </c>
      <c r="AA1460" s="6">
        <v>0</v>
      </c>
      <c r="AB1460" s="6">
        <v>0</v>
      </c>
      <c r="AC1460" s="7">
        <v>86</v>
      </c>
      <c r="AD1460" s="7" t="s">
        <v>52</v>
      </c>
      <c r="AE1460" s="7">
        <v>21.58</v>
      </c>
      <c r="AF1460" s="7">
        <v>151</v>
      </c>
      <c r="AG1460" s="7">
        <v>13.23</v>
      </c>
      <c r="AH1460" s="7">
        <v>33.409999999999997</v>
      </c>
      <c r="AI1460" s="7">
        <v>35.51</v>
      </c>
      <c r="AJ1460" s="9">
        <v>118.034441778217</v>
      </c>
      <c r="AK1460" s="9">
        <v>121.595311468676</v>
      </c>
      <c r="AL1460" s="9">
        <v>161.09488165847901</v>
      </c>
      <c r="AM1460" s="9">
        <v>46.776447610561902</v>
      </c>
      <c r="AN1460" s="9">
        <v>0.54391218151816101</v>
      </c>
      <c r="AO1460" s="9">
        <v>0.310399470103015</v>
      </c>
      <c r="AP1460" s="9">
        <v>495.53497736712097</v>
      </c>
      <c r="AQ1460" s="9">
        <v>5.7620346205479196</v>
      </c>
      <c r="AR1460" s="9">
        <v>4.5676861712169101</v>
      </c>
      <c r="AS1460" s="8" t="s">
        <v>169</v>
      </c>
      <c r="AT1460" s="8" t="s">
        <v>169</v>
      </c>
      <c r="AU1460" s="10" t="s">
        <v>169</v>
      </c>
      <c r="AV1460" s="10">
        <v>0</v>
      </c>
      <c r="AW1460" s="10" t="s">
        <v>169</v>
      </c>
      <c r="AX1460" s="10" t="s">
        <v>169</v>
      </c>
      <c r="BF1460" s="12">
        <v>0.45</v>
      </c>
      <c r="BG1460" s="13">
        <v>126.258113499833</v>
      </c>
      <c r="BH1460" s="96" t="str">
        <f>+VLOOKUP(G1460,Liste!$A$7:$G$50,3,FALSE)</f>
        <v>Pin d'Alep</v>
      </c>
      <c r="BI1460" s="96" t="str">
        <f>+VLOOKUP(H1460,Liste!$B$7:$G$50,5,FALSE)</f>
        <v>Pin d'Alep</v>
      </c>
      <c r="BJ1460" s="135">
        <f t="shared" si="437"/>
        <v>86</v>
      </c>
      <c r="BK1460" s="135" t="str">
        <f t="shared" si="439"/>
        <v>Pin d'Alep_F1_Dynamique_Pin d'Alep_86_</v>
      </c>
      <c r="BM1460" s="13">
        <v>35.340534162268803</v>
      </c>
      <c r="BN1460" s="13">
        <v>161.598647662102</v>
      </c>
      <c r="BO1460" s="13" t="s">
        <v>169</v>
      </c>
      <c r="BP1460" s="13">
        <v>133.34843814247799</v>
      </c>
      <c r="BQ1460" s="13">
        <v>4.35636554418301</v>
      </c>
      <c r="BT1460" s="298" t="str">
        <f>+VLOOKUP(G1460,Liste!$A$7:$H$50,8,FALSE)</f>
        <v>Résineux</v>
      </c>
      <c r="BU1460" s="298">
        <f t="shared" si="440"/>
        <v>0</v>
      </c>
      <c r="BV1460" s="300">
        <f t="shared" si="441"/>
        <v>1</v>
      </c>
      <c r="BW1460" s="321">
        <v>0</v>
      </c>
      <c r="BX1460" s="298">
        <f t="shared" si="442"/>
        <v>0.43</v>
      </c>
      <c r="BY1460">
        <f t="shared" si="443"/>
        <v>0</v>
      </c>
      <c r="BZ1460" s="304">
        <f t="shared" si="444"/>
        <v>0</v>
      </c>
      <c r="CB1460" s="299">
        <v>0.6</v>
      </c>
      <c r="CC1460" s="299">
        <v>0.4</v>
      </c>
      <c r="CD1460">
        <f t="shared" si="445"/>
        <v>0</v>
      </c>
      <c r="CE1460">
        <f t="shared" si="446"/>
        <v>0</v>
      </c>
      <c r="CF1460">
        <f t="shared" si="447"/>
        <v>0</v>
      </c>
      <c r="CG1460">
        <f t="shared" si="448"/>
        <v>0</v>
      </c>
      <c r="CH1460">
        <f t="shared" si="449"/>
        <v>0</v>
      </c>
      <c r="CI1460">
        <f t="shared" si="450"/>
        <v>0</v>
      </c>
      <c r="CJ1460">
        <f t="shared" si="451"/>
        <v>0</v>
      </c>
      <c r="CK1460">
        <f t="shared" si="452"/>
        <v>0</v>
      </c>
      <c r="CL1460">
        <f t="shared" si="453"/>
        <v>0</v>
      </c>
      <c r="CM1460">
        <f t="shared" si="455"/>
        <v>0</v>
      </c>
      <c r="CN1460">
        <f t="shared" si="454"/>
        <v>0</v>
      </c>
      <c r="CO1460">
        <f t="shared" si="438"/>
        <v>0</v>
      </c>
    </row>
    <row r="1461" spans="1:93" x14ac:dyDescent="0.25">
      <c r="A1461" s="4">
        <v>2021</v>
      </c>
      <c r="B1461" s="318">
        <v>44320</v>
      </c>
      <c r="C1461" s="4" t="s">
        <v>1524</v>
      </c>
      <c r="D1461" s="4" t="s">
        <v>1525</v>
      </c>
      <c r="F1461" s="4" t="s">
        <v>1526</v>
      </c>
      <c r="G1461" s="5" t="s">
        <v>1514</v>
      </c>
      <c r="H1461" s="5" t="s">
        <v>1527</v>
      </c>
      <c r="I1461" s="5" t="s">
        <v>146</v>
      </c>
      <c r="J1461" s="5" t="s">
        <v>9</v>
      </c>
      <c r="K1461" s="5">
        <v>15.5</v>
      </c>
      <c r="L1461" s="5" t="s">
        <v>1528</v>
      </c>
      <c r="M1461" s="5">
        <v>1100</v>
      </c>
      <c r="N1461" s="5" t="s">
        <v>170</v>
      </c>
      <c r="O1461" s="6" t="s">
        <v>81</v>
      </c>
      <c r="P1461" s="6" t="s">
        <v>1530</v>
      </c>
      <c r="S1461" s="6">
        <v>15</v>
      </c>
      <c r="T1461" s="6">
        <v>4.33</v>
      </c>
      <c r="U1461" s="6">
        <v>1101</v>
      </c>
      <c r="V1461" s="6">
        <v>4.92</v>
      </c>
      <c r="W1461" s="6">
        <v>569</v>
      </c>
      <c r="X1461" s="6">
        <v>532</v>
      </c>
      <c r="Y1461" s="6">
        <v>0</v>
      </c>
      <c r="Z1461" s="6">
        <v>0</v>
      </c>
      <c r="AA1461" s="6">
        <v>0</v>
      </c>
      <c r="AB1461" s="6">
        <v>0</v>
      </c>
      <c r="AC1461" s="7">
        <v>87</v>
      </c>
      <c r="AD1461" s="7" t="s">
        <v>52</v>
      </c>
      <c r="AE1461" s="7">
        <v>21.7</v>
      </c>
      <c r="AF1461" s="7">
        <v>151</v>
      </c>
      <c r="AG1461" s="7">
        <v>13.54</v>
      </c>
      <c r="AH1461" s="7">
        <v>33.79</v>
      </c>
      <c r="AI1461" s="7">
        <v>35.909999999999997</v>
      </c>
      <c r="AJ1461" s="9">
        <v>121.42244753001501</v>
      </c>
      <c r="AK1461" s="9">
        <v>125.116670350543</v>
      </c>
      <c r="AL1461" s="9">
        <v>165.662567829696</v>
      </c>
      <c r="AM1461" s="9">
        <v>47.086847080664903</v>
      </c>
      <c r="AN1461" s="9">
        <v>0.54122812736396397</v>
      </c>
      <c r="AO1461" s="9">
        <v>0.310753331245536</v>
      </c>
      <c r="AP1461" s="9">
        <v>500.10266353833799</v>
      </c>
      <c r="AQ1461" s="9">
        <v>5.7483064774521599</v>
      </c>
      <c r="AR1461" s="9">
        <v>4.6159037556564</v>
      </c>
      <c r="AS1461" s="8" t="s">
        <v>169</v>
      </c>
      <c r="AT1461" s="8" t="s">
        <v>169</v>
      </c>
      <c r="AU1461" s="10" t="s">
        <v>169</v>
      </c>
      <c r="AV1461" s="10">
        <v>0</v>
      </c>
      <c r="AW1461" s="10" t="s">
        <v>169</v>
      </c>
      <c r="AX1461" s="10" t="s">
        <v>169</v>
      </c>
      <c r="BF1461" s="12">
        <v>0.45</v>
      </c>
      <c r="BG1461" s="13">
        <v>129.83803753652401</v>
      </c>
      <c r="BH1461" s="96" t="str">
        <f>+VLOOKUP(G1461,Liste!$A$7:$G$50,3,FALSE)</f>
        <v>Pin d'Alep</v>
      </c>
      <c r="BI1461" s="96" t="str">
        <f>+VLOOKUP(H1461,Liste!$B$7:$G$50,5,FALSE)</f>
        <v>Pin d'Alep</v>
      </c>
      <c r="BJ1461" s="135">
        <f t="shared" si="437"/>
        <v>87</v>
      </c>
      <c r="BK1461" s="135" t="str">
        <f t="shared" si="439"/>
        <v>Pin d'Alep_F1_Dynamique_Pin d'Alep_87_</v>
      </c>
      <c r="BM1461" s="13">
        <v>36.224496025219104</v>
      </c>
      <c r="BN1461" s="13">
        <v>166.06253356174301</v>
      </c>
      <c r="BO1461" s="13" t="s">
        <v>169</v>
      </c>
      <c r="BP1461" s="13">
        <v>133.34843814247799</v>
      </c>
      <c r="BQ1461" s="13">
        <v>4.4015142589084899</v>
      </c>
      <c r="BT1461" s="298" t="str">
        <f>+VLOOKUP(G1461,Liste!$A$7:$H$50,8,FALSE)</f>
        <v>Résineux</v>
      </c>
      <c r="BU1461" s="298">
        <f t="shared" si="440"/>
        <v>0</v>
      </c>
      <c r="BV1461" s="300">
        <f t="shared" si="441"/>
        <v>1</v>
      </c>
      <c r="BW1461" s="321">
        <v>0</v>
      </c>
      <c r="BX1461" s="298">
        <f t="shared" si="442"/>
        <v>0.43</v>
      </c>
      <c r="BY1461">
        <f t="shared" si="443"/>
        <v>0</v>
      </c>
      <c r="BZ1461" s="304">
        <f t="shared" si="444"/>
        <v>0</v>
      </c>
      <c r="CB1461" s="299">
        <v>0.6</v>
      </c>
      <c r="CC1461" s="299">
        <v>0.4</v>
      </c>
      <c r="CD1461">
        <f t="shared" si="445"/>
        <v>0</v>
      </c>
      <c r="CE1461">
        <f t="shared" si="446"/>
        <v>0</v>
      </c>
      <c r="CF1461">
        <f t="shared" si="447"/>
        <v>0</v>
      </c>
      <c r="CG1461">
        <f t="shared" si="448"/>
        <v>0</v>
      </c>
      <c r="CH1461">
        <f t="shared" si="449"/>
        <v>0</v>
      </c>
      <c r="CI1461">
        <f t="shared" si="450"/>
        <v>0</v>
      </c>
      <c r="CJ1461">
        <f t="shared" si="451"/>
        <v>0</v>
      </c>
      <c r="CK1461">
        <f t="shared" si="452"/>
        <v>0</v>
      </c>
      <c r="CL1461">
        <f t="shared" si="453"/>
        <v>0</v>
      </c>
      <c r="CM1461">
        <f t="shared" si="455"/>
        <v>0</v>
      </c>
      <c r="CN1461">
        <f t="shared" si="454"/>
        <v>0</v>
      </c>
      <c r="CO1461">
        <f t="shared" si="438"/>
        <v>0</v>
      </c>
    </row>
    <row r="1462" spans="1:93" x14ac:dyDescent="0.25">
      <c r="A1462" s="4">
        <v>2021</v>
      </c>
      <c r="B1462" s="318">
        <v>44320</v>
      </c>
      <c r="C1462" s="4" t="s">
        <v>1524</v>
      </c>
      <c r="D1462" s="4" t="s">
        <v>1525</v>
      </c>
      <c r="F1462" s="4" t="s">
        <v>1526</v>
      </c>
      <c r="G1462" s="5" t="s">
        <v>1514</v>
      </c>
      <c r="H1462" s="5" t="s">
        <v>1527</v>
      </c>
      <c r="I1462" s="5" t="s">
        <v>146</v>
      </c>
      <c r="J1462" s="5" t="s">
        <v>9</v>
      </c>
      <c r="K1462" s="5">
        <v>15.5</v>
      </c>
      <c r="L1462" s="5" t="s">
        <v>1528</v>
      </c>
      <c r="M1462" s="5">
        <v>1100</v>
      </c>
      <c r="N1462" s="5" t="s">
        <v>170</v>
      </c>
      <c r="O1462" s="6" t="s">
        <v>81</v>
      </c>
      <c r="P1462" s="6" t="s">
        <v>1530</v>
      </c>
      <c r="S1462" s="6">
        <v>15</v>
      </c>
      <c r="T1462" s="6">
        <v>4.33</v>
      </c>
      <c r="U1462" s="6">
        <v>1101</v>
      </c>
      <c r="V1462" s="6">
        <v>4.92</v>
      </c>
      <c r="W1462" s="6">
        <v>569</v>
      </c>
      <c r="X1462" s="6">
        <v>532</v>
      </c>
      <c r="Y1462" s="6">
        <v>0</v>
      </c>
      <c r="Z1462" s="6">
        <v>0</v>
      </c>
      <c r="AA1462" s="6">
        <v>0</v>
      </c>
      <c r="AB1462" s="6">
        <v>0</v>
      </c>
      <c r="AC1462" s="7">
        <v>88</v>
      </c>
      <c r="AD1462" s="7" t="s">
        <v>52</v>
      </c>
      <c r="AE1462" s="7">
        <v>21.82</v>
      </c>
      <c r="AF1462" s="7">
        <v>151</v>
      </c>
      <c r="AG1462" s="7">
        <v>13.86</v>
      </c>
      <c r="AH1462" s="7">
        <v>34.18</v>
      </c>
      <c r="AI1462" s="7">
        <v>36.31</v>
      </c>
      <c r="AJ1462" s="9">
        <v>124.850584186681</v>
      </c>
      <c r="AK1462" s="9">
        <v>128.67971276660199</v>
      </c>
      <c r="AL1462" s="9">
        <v>170.27847158535201</v>
      </c>
      <c r="AM1462" s="9">
        <v>47.397600411910403</v>
      </c>
      <c r="AN1462" s="9">
        <v>0.53860909558989101</v>
      </c>
      <c r="AO1462" s="9">
        <v>0.31093155379677001</v>
      </c>
      <c r="AP1462" s="9">
        <v>504.718567293994</v>
      </c>
      <c r="AQ1462" s="9">
        <v>5.7354382647044799</v>
      </c>
      <c r="AR1462" s="9">
        <v>4.6562812024857898</v>
      </c>
      <c r="AS1462" s="8" t="s">
        <v>169</v>
      </c>
      <c r="AT1462" s="8" t="s">
        <v>169</v>
      </c>
      <c r="AU1462" s="10" t="s">
        <v>169</v>
      </c>
      <c r="AV1462" s="10">
        <v>0</v>
      </c>
      <c r="AW1462" s="10" t="s">
        <v>169</v>
      </c>
      <c r="AX1462" s="10" t="s">
        <v>169</v>
      </c>
      <c r="BF1462" s="12">
        <v>0.45</v>
      </c>
      <c r="BG1462" s="13">
        <v>133.45575210502</v>
      </c>
      <c r="BH1462" s="96" t="str">
        <f>+VLOOKUP(G1462,Liste!$A$7:$G$50,3,FALSE)</f>
        <v>Pin d'Alep</v>
      </c>
      <c r="BI1462" s="96" t="str">
        <f>+VLOOKUP(H1462,Liste!$B$7:$G$50,5,FALSE)</f>
        <v>Pin d'Alep</v>
      </c>
      <c r="BJ1462" s="135">
        <f t="shared" si="437"/>
        <v>88</v>
      </c>
      <c r="BK1462" s="135" t="str">
        <f t="shared" si="439"/>
        <v>Pin d'Alep_F1_Dynamique_Pin d'Alep_88_</v>
      </c>
      <c r="BM1462" s="13">
        <v>37.114911668444002</v>
      </c>
      <c r="BN1462" s="13">
        <v>170.57066377346399</v>
      </c>
      <c r="BO1462" s="13" t="s">
        <v>169</v>
      </c>
      <c r="BP1462" s="13">
        <v>133.34843814247799</v>
      </c>
      <c r="BQ1462" s="13">
        <v>4.4391714407569198</v>
      </c>
      <c r="BT1462" s="298" t="str">
        <f>+VLOOKUP(G1462,Liste!$A$7:$H$50,8,FALSE)</f>
        <v>Résineux</v>
      </c>
      <c r="BU1462" s="298">
        <f t="shared" si="440"/>
        <v>0</v>
      </c>
      <c r="BV1462" s="300">
        <f t="shared" si="441"/>
        <v>1</v>
      </c>
      <c r="BW1462" s="321">
        <v>0</v>
      </c>
      <c r="BX1462" s="298">
        <f t="shared" si="442"/>
        <v>0.43</v>
      </c>
      <c r="BY1462">
        <f t="shared" si="443"/>
        <v>0</v>
      </c>
      <c r="BZ1462" s="304">
        <f t="shared" si="444"/>
        <v>0</v>
      </c>
      <c r="CB1462" s="299">
        <v>0.6</v>
      </c>
      <c r="CC1462" s="299">
        <v>0.4</v>
      </c>
      <c r="CD1462">
        <f t="shared" si="445"/>
        <v>0</v>
      </c>
      <c r="CE1462">
        <f t="shared" si="446"/>
        <v>0</v>
      </c>
      <c r="CF1462">
        <f t="shared" si="447"/>
        <v>0</v>
      </c>
      <c r="CG1462">
        <f t="shared" si="448"/>
        <v>0</v>
      </c>
      <c r="CH1462">
        <f t="shared" si="449"/>
        <v>0</v>
      </c>
      <c r="CI1462">
        <f t="shared" si="450"/>
        <v>0</v>
      </c>
      <c r="CJ1462">
        <f t="shared" si="451"/>
        <v>0</v>
      </c>
      <c r="CK1462">
        <f t="shared" si="452"/>
        <v>0</v>
      </c>
      <c r="CL1462">
        <f t="shared" si="453"/>
        <v>0</v>
      </c>
      <c r="CM1462">
        <f t="shared" si="455"/>
        <v>0</v>
      </c>
      <c r="CN1462">
        <f t="shared" si="454"/>
        <v>0</v>
      </c>
      <c r="CO1462">
        <f t="shared" si="438"/>
        <v>0</v>
      </c>
    </row>
    <row r="1463" spans="1:93" x14ac:dyDescent="0.25">
      <c r="A1463" s="4">
        <v>2021</v>
      </c>
      <c r="B1463" s="318">
        <v>44320</v>
      </c>
      <c r="C1463" s="4" t="s">
        <v>1524</v>
      </c>
      <c r="D1463" s="4" t="s">
        <v>1525</v>
      </c>
      <c r="F1463" s="4" t="s">
        <v>1526</v>
      </c>
      <c r="G1463" s="5" t="s">
        <v>1514</v>
      </c>
      <c r="H1463" s="5" t="s">
        <v>1527</v>
      </c>
      <c r="I1463" s="5" t="s">
        <v>146</v>
      </c>
      <c r="J1463" s="5" t="s">
        <v>9</v>
      </c>
      <c r="K1463" s="5">
        <v>15.5</v>
      </c>
      <c r="L1463" s="5" t="s">
        <v>1528</v>
      </c>
      <c r="M1463" s="5">
        <v>1100</v>
      </c>
      <c r="N1463" s="5" t="s">
        <v>170</v>
      </c>
      <c r="O1463" s="6" t="s">
        <v>81</v>
      </c>
      <c r="P1463" s="6" t="s">
        <v>1530</v>
      </c>
      <c r="S1463" s="6">
        <v>15</v>
      </c>
      <c r="T1463" s="6">
        <v>4.33</v>
      </c>
      <c r="U1463" s="6">
        <v>1101</v>
      </c>
      <c r="V1463" s="6">
        <v>4.92</v>
      </c>
      <c r="W1463" s="6">
        <v>569</v>
      </c>
      <c r="X1463" s="6">
        <v>532</v>
      </c>
      <c r="Y1463" s="6">
        <v>0</v>
      </c>
      <c r="Z1463" s="6">
        <v>0</v>
      </c>
      <c r="AA1463" s="6">
        <v>0</v>
      </c>
      <c r="AB1463" s="6">
        <v>0</v>
      </c>
      <c r="AC1463" s="7">
        <v>89</v>
      </c>
      <c r="AD1463" s="7" t="s">
        <v>52</v>
      </c>
      <c r="AE1463" s="7">
        <v>21.94</v>
      </c>
      <c r="AF1463" s="7">
        <v>151</v>
      </c>
      <c r="AG1463" s="7">
        <v>14.17</v>
      </c>
      <c r="AH1463" s="7">
        <v>34.56</v>
      </c>
      <c r="AI1463" s="7">
        <v>36.700000000000003</v>
      </c>
      <c r="AJ1463" s="9">
        <v>128.312218623945</v>
      </c>
      <c r="AK1463" s="9">
        <v>132.27773459305001</v>
      </c>
      <c r="AL1463" s="9">
        <v>174.93475278783799</v>
      </c>
      <c r="AM1463" s="9">
        <v>47.708531965707202</v>
      </c>
      <c r="AN1463" s="9">
        <v>0.536050920963002</v>
      </c>
      <c r="AO1463" s="9">
        <v>0.31171212961545097</v>
      </c>
      <c r="AP1463" s="9">
        <v>509.37484849648001</v>
      </c>
      <c r="AQ1463" s="9">
        <v>5.7233129044548301</v>
      </c>
      <c r="AR1463" s="9">
        <v>4.6222214566301396</v>
      </c>
      <c r="AS1463" s="8" t="s">
        <v>169</v>
      </c>
      <c r="AT1463" s="8" t="s">
        <v>169</v>
      </c>
      <c r="AU1463" s="10" t="s">
        <v>169</v>
      </c>
      <c r="AV1463" s="10">
        <v>0</v>
      </c>
      <c r="AW1463" s="10" t="s">
        <v>169</v>
      </c>
      <c r="AX1463" s="10" t="s">
        <v>169</v>
      </c>
      <c r="BF1463" s="12">
        <v>0.45</v>
      </c>
      <c r="BG1463" s="13">
        <v>137.10511249746801</v>
      </c>
      <c r="BH1463" s="96" t="str">
        <f>+VLOOKUP(G1463,Liste!$A$7:$G$50,3,FALSE)</f>
        <v>Pin d'Alep</v>
      </c>
      <c r="BI1463" s="96" t="str">
        <f>+VLOOKUP(H1463,Liste!$B$7:$G$50,5,FALSE)</f>
        <v>Pin d'Alep</v>
      </c>
      <c r="BJ1463" s="135">
        <f t="shared" si="437"/>
        <v>89</v>
      </c>
      <c r="BK1463" s="135" t="str">
        <f t="shared" si="439"/>
        <v>Pin d'Alep_F1_Dynamique_Pin d'Alep_89_</v>
      </c>
      <c r="BM1463" s="13">
        <v>38.010273993678901</v>
      </c>
      <c r="BN1463" s="13">
        <v>175.11538649114701</v>
      </c>
      <c r="BO1463" s="13" t="s">
        <v>169</v>
      </c>
      <c r="BP1463" s="13">
        <v>133.34843814247799</v>
      </c>
      <c r="BQ1463" s="13">
        <v>4.4058690318531699</v>
      </c>
      <c r="BT1463" s="298" t="str">
        <f>+VLOOKUP(G1463,Liste!$A$7:$H$50,8,FALSE)</f>
        <v>Résineux</v>
      </c>
      <c r="BU1463" s="298">
        <f t="shared" si="440"/>
        <v>0</v>
      </c>
      <c r="BV1463" s="300">
        <f t="shared" si="441"/>
        <v>1</v>
      </c>
      <c r="BW1463" s="321">
        <v>0</v>
      </c>
      <c r="BX1463" s="298">
        <f t="shared" si="442"/>
        <v>0.43</v>
      </c>
      <c r="BY1463">
        <f t="shared" si="443"/>
        <v>0</v>
      </c>
      <c r="BZ1463" s="304">
        <f t="shared" si="444"/>
        <v>0</v>
      </c>
      <c r="CB1463" s="299">
        <v>0.6</v>
      </c>
      <c r="CC1463" s="299">
        <v>0.4</v>
      </c>
      <c r="CD1463">
        <f t="shared" si="445"/>
        <v>0</v>
      </c>
      <c r="CE1463">
        <f t="shared" si="446"/>
        <v>0</v>
      </c>
      <c r="CF1463">
        <f t="shared" si="447"/>
        <v>0</v>
      </c>
      <c r="CG1463">
        <f t="shared" si="448"/>
        <v>0</v>
      </c>
      <c r="CH1463">
        <f t="shared" si="449"/>
        <v>0</v>
      </c>
      <c r="CI1463">
        <f t="shared" si="450"/>
        <v>0</v>
      </c>
      <c r="CJ1463">
        <f t="shared" si="451"/>
        <v>0</v>
      </c>
      <c r="CK1463">
        <f t="shared" si="452"/>
        <v>0</v>
      </c>
      <c r="CL1463">
        <f t="shared" si="453"/>
        <v>0</v>
      </c>
      <c r="CM1463">
        <f t="shared" si="455"/>
        <v>0</v>
      </c>
      <c r="CN1463">
        <f t="shared" si="454"/>
        <v>0</v>
      </c>
      <c r="CO1463">
        <f t="shared" si="438"/>
        <v>0</v>
      </c>
    </row>
    <row r="1464" spans="1:93" x14ac:dyDescent="0.25">
      <c r="A1464" s="4">
        <v>2021</v>
      </c>
      <c r="B1464" s="318">
        <v>44320</v>
      </c>
      <c r="C1464" s="4" t="s">
        <v>1524</v>
      </c>
      <c r="D1464" s="4" t="s">
        <v>1525</v>
      </c>
      <c r="F1464" s="4" t="s">
        <v>1526</v>
      </c>
      <c r="G1464" s="5" t="s">
        <v>1514</v>
      </c>
      <c r="H1464" s="5" t="s">
        <v>1527</v>
      </c>
      <c r="I1464" s="5" t="s">
        <v>146</v>
      </c>
      <c r="J1464" s="5" t="s">
        <v>9</v>
      </c>
      <c r="K1464" s="5">
        <v>15.5</v>
      </c>
      <c r="L1464" s="5" t="s">
        <v>1528</v>
      </c>
      <c r="M1464" s="5">
        <v>1100</v>
      </c>
      <c r="N1464" s="5" t="s">
        <v>170</v>
      </c>
      <c r="O1464" s="6" t="s">
        <v>81</v>
      </c>
      <c r="P1464" s="6" t="s">
        <v>1530</v>
      </c>
      <c r="S1464" s="6">
        <v>15</v>
      </c>
      <c r="T1464" s="6">
        <v>4.33</v>
      </c>
      <c r="U1464" s="6">
        <v>1101</v>
      </c>
      <c r="V1464" s="6">
        <v>4.92</v>
      </c>
      <c r="W1464" s="6">
        <v>569</v>
      </c>
      <c r="X1464" s="6">
        <v>532</v>
      </c>
      <c r="Y1464" s="6">
        <v>0</v>
      </c>
      <c r="Z1464" s="6">
        <v>0</v>
      </c>
      <c r="AA1464" s="6">
        <v>0</v>
      </c>
      <c r="AB1464" s="6">
        <v>0</v>
      </c>
      <c r="AC1464" s="7">
        <v>90</v>
      </c>
      <c r="AD1464" s="7" t="s">
        <v>52</v>
      </c>
      <c r="AE1464" s="7">
        <v>22.05</v>
      </c>
      <c r="AF1464" s="7">
        <v>151</v>
      </c>
      <c r="AG1464" s="7">
        <v>14.48</v>
      </c>
      <c r="AH1464" s="7">
        <v>34.94</v>
      </c>
      <c r="AI1464" s="7">
        <v>37.090000000000003</v>
      </c>
      <c r="AJ1464" s="9">
        <v>131.73458606962899</v>
      </c>
      <c r="AK1464" s="9">
        <v>135.83867983934701</v>
      </c>
      <c r="AL1464" s="9">
        <v>179.55697424446799</v>
      </c>
      <c r="AM1464" s="9">
        <v>48.020244095322703</v>
      </c>
      <c r="AN1464" s="9">
        <v>0.53355826772580695</v>
      </c>
      <c r="AO1464" s="9">
        <v>0.312192306344585</v>
      </c>
      <c r="AP1464" s="9">
        <v>513.99706995310999</v>
      </c>
      <c r="AQ1464" s="9">
        <v>5.7110785550345602</v>
      </c>
      <c r="AR1464" s="9">
        <v>4.6647665910302303</v>
      </c>
      <c r="AS1464" s="8" t="s">
        <v>169</v>
      </c>
      <c r="AT1464" s="8" t="s">
        <v>169</v>
      </c>
      <c r="AU1464" s="10" t="s">
        <v>169</v>
      </c>
      <c r="AV1464" s="10">
        <v>0</v>
      </c>
      <c r="AW1464" s="10" t="s">
        <v>169</v>
      </c>
      <c r="AX1464" s="10" t="s">
        <v>169</v>
      </c>
      <c r="BF1464" s="12">
        <v>0.45</v>
      </c>
      <c r="BG1464" s="13">
        <v>140.72777856410201</v>
      </c>
      <c r="BH1464" s="96" t="str">
        <f>+VLOOKUP(G1464,Liste!$A$7:$G$50,3,FALSE)</f>
        <v>Pin d'Alep</v>
      </c>
      <c r="BI1464" s="96" t="str">
        <f>+VLOOKUP(H1464,Liste!$B$7:$G$50,5,FALSE)</f>
        <v>Pin d'Alep</v>
      </c>
      <c r="BJ1464" s="135">
        <f t="shared" si="437"/>
        <v>90</v>
      </c>
      <c r="BK1464" s="135" t="str">
        <f t="shared" si="439"/>
        <v>Pin d'Alep_F1_Dynamique_Pin d'Alep_90_</v>
      </c>
      <c r="BM1464" s="13">
        <v>38.896346943966101</v>
      </c>
      <c r="BN1464" s="13">
        <v>179.624125508068</v>
      </c>
      <c r="BO1464" s="13" t="s">
        <v>169</v>
      </c>
      <c r="BP1464" s="13">
        <v>133.34843814247799</v>
      </c>
      <c r="BQ1464" s="13">
        <v>4.4455920320216897</v>
      </c>
      <c r="BT1464" s="298" t="str">
        <f>+VLOOKUP(G1464,Liste!$A$7:$H$50,8,FALSE)</f>
        <v>Résineux</v>
      </c>
      <c r="BU1464" s="298">
        <f t="shared" si="440"/>
        <v>0</v>
      </c>
      <c r="BV1464" s="300">
        <f t="shared" si="441"/>
        <v>1</v>
      </c>
      <c r="BW1464" s="321">
        <v>0</v>
      </c>
      <c r="BX1464" s="298">
        <f t="shared" si="442"/>
        <v>0.43</v>
      </c>
      <c r="BY1464">
        <f t="shared" si="443"/>
        <v>0</v>
      </c>
      <c r="BZ1464" s="304">
        <f t="shared" si="444"/>
        <v>0</v>
      </c>
      <c r="CB1464" s="299">
        <v>0.6</v>
      </c>
      <c r="CC1464" s="299">
        <v>0.4</v>
      </c>
      <c r="CD1464">
        <f t="shared" si="445"/>
        <v>0</v>
      </c>
      <c r="CE1464">
        <f t="shared" si="446"/>
        <v>0</v>
      </c>
      <c r="CF1464">
        <f t="shared" si="447"/>
        <v>0</v>
      </c>
      <c r="CG1464">
        <f t="shared" si="448"/>
        <v>0</v>
      </c>
      <c r="CH1464">
        <f t="shared" si="449"/>
        <v>0</v>
      </c>
      <c r="CI1464">
        <f t="shared" si="450"/>
        <v>0</v>
      </c>
      <c r="CJ1464">
        <f t="shared" si="451"/>
        <v>0</v>
      </c>
      <c r="CK1464">
        <f t="shared" si="452"/>
        <v>0</v>
      </c>
      <c r="CL1464">
        <f t="shared" si="453"/>
        <v>0</v>
      </c>
      <c r="CM1464">
        <f t="shared" si="455"/>
        <v>0</v>
      </c>
      <c r="CN1464">
        <f t="shared" si="454"/>
        <v>0</v>
      </c>
      <c r="CO1464">
        <f t="shared" si="438"/>
        <v>0</v>
      </c>
    </row>
    <row r="1465" spans="1:93" x14ac:dyDescent="0.25">
      <c r="A1465" s="4">
        <v>2021</v>
      </c>
      <c r="B1465" s="318">
        <v>44320</v>
      </c>
      <c r="C1465" s="4" t="s">
        <v>1524</v>
      </c>
      <c r="D1465" s="4" t="s">
        <v>1525</v>
      </c>
      <c r="F1465" s="4" t="s">
        <v>1526</v>
      </c>
      <c r="G1465" s="5" t="s">
        <v>1514</v>
      </c>
      <c r="H1465" s="5" t="s">
        <v>1527</v>
      </c>
      <c r="I1465" s="5" t="s">
        <v>146</v>
      </c>
      <c r="J1465" s="5" t="s">
        <v>9</v>
      </c>
      <c r="K1465" s="5">
        <v>15.5</v>
      </c>
      <c r="L1465" s="5" t="s">
        <v>1528</v>
      </c>
      <c r="M1465" s="5">
        <v>1100</v>
      </c>
      <c r="N1465" s="5" t="s">
        <v>170</v>
      </c>
      <c r="O1465" s="6" t="s">
        <v>81</v>
      </c>
      <c r="P1465" s="6" t="s">
        <v>1530</v>
      </c>
      <c r="S1465" s="6">
        <v>15</v>
      </c>
      <c r="T1465" s="6">
        <v>4.33</v>
      </c>
      <c r="U1465" s="6">
        <v>1101</v>
      </c>
      <c r="V1465" s="6">
        <v>4.92</v>
      </c>
      <c r="W1465" s="6">
        <v>569</v>
      </c>
      <c r="X1465" s="6">
        <v>532</v>
      </c>
      <c r="Y1465" s="6">
        <v>0</v>
      </c>
      <c r="Z1465" s="6">
        <v>0</v>
      </c>
      <c r="AA1465" s="6">
        <v>0</v>
      </c>
      <c r="AB1465" s="6">
        <v>0</v>
      </c>
      <c r="AC1465" s="7">
        <v>91</v>
      </c>
      <c r="AD1465" s="7" t="s">
        <v>52</v>
      </c>
      <c r="AE1465" s="7">
        <v>22.17</v>
      </c>
      <c r="AF1465" s="7">
        <v>151</v>
      </c>
      <c r="AG1465" s="7">
        <v>14.79</v>
      </c>
      <c r="AH1465" s="7">
        <v>35.31</v>
      </c>
      <c r="AI1465" s="7">
        <v>37.479999999999997</v>
      </c>
      <c r="AJ1465" s="9">
        <v>135.19153530980901</v>
      </c>
      <c r="AK1465" s="9">
        <v>139.43582504597299</v>
      </c>
      <c r="AL1465" s="9">
        <v>184.221740835498</v>
      </c>
      <c r="AM1465" s="9">
        <v>48.332436401667202</v>
      </c>
      <c r="AN1465" s="9">
        <v>0.53112567474359595</v>
      </c>
      <c r="AO1465" s="9">
        <v>0.31131956405143801</v>
      </c>
      <c r="AP1465" s="9">
        <v>518.66183654413999</v>
      </c>
      <c r="AQ1465" s="9">
        <v>5.6995806213641798</v>
      </c>
      <c r="AR1465" s="9">
        <v>4.698178557966</v>
      </c>
      <c r="AS1465" s="8" t="s">
        <v>169</v>
      </c>
      <c r="AT1465" s="8" t="s">
        <v>169</v>
      </c>
      <c r="AU1465" s="10" t="s">
        <v>169</v>
      </c>
      <c r="AV1465" s="10">
        <v>0</v>
      </c>
      <c r="AW1465" s="10" t="s">
        <v>169</v>
      </c>
      <c r="AX1465" s="10" t="s">
        <v>169</v>
      </c>
      <c r="BF1465" s="12">
        <v>0.45</v>
      </c>
      <c r="BG1465" s="13">
        <v>144.38378937982199</v>
      </c>
      <c r="BH1465" s="96" t="str">
        <f>+VLOOKUP(G1465,Liste!$A$7:$G$50,3,FALSE)</f>
        <v>Pin d'Alep</v>
      </c>
      <c r="BI1465" s="96" t="str">
        <f>+VLOOKUP(H1465,Liste!$B$7:$G$50,5,FALSE)</f>
        <v>Pin d'Alep</v>
      </c>
      <c r="BJ1465" s="135">
        <f t="shared" si="437"/>
        <v>91</v>
      </c>
      <c r="BK1465" s="135" t="str">
        <f t="shared" si="439"/>
        <v>Pin d'Alep_F1_Dynamique_Pin d'Alep_91_</v>
      </c>
      <c r="BM1465" s="13">
        <v>39.787887872933297</v>
      </c>
      <c r="BN1465" s="13">
        <v>184.17167725275499</v>
      </c>
      <c r="BO1465" s="13" t="s">
        <v>169</v>
      </c>
      <c r="BP1465" s="13">
        <v>133.34843814247799</v>
      </c>
      <c r="BQ1465" s="13">
        <v>4.4765990771415396</v>
      </c>
      <c r="BT1465" s="298" t="str">
        <f>+VLOOKUP(G1465,Liste!$A$7:$H$50,8,FALSE)</f>
        <v>Résineux</v>
      </c>
      <c r="BU1465" s="298">
        <f t="shared" si="440"/>
        <v>0</v>
      </c>
      <c r="BV1465" s="300">
        <f t="shared" si="441"/>
        <v>1</v>
      </c>
      <c r="BW1465" s="321">
        <v>0</v>
      </c>
      <c r="BX1465" s="298">
        <f t="shared" si="442"/>
        <v>0.43</v>
      </c>
      <c r="BY1465">
        <f t="shared" si="443"/>
        <v>0</v>
      </c>
      <c r="BZ1465" s="304">
        <f t="shared" si="444"/>
        <v>0</v>
      </c>
      <c r="CB1465" s="299">
        <v>0.6</v>
      </c>
      <c r="CC1465" s="299">
        <v>0.4</v>
      </c>
      <c r="CD1465">
        <f t="shared" si="445"/>
        <v>0</v>
      </c>
      <c r="CE1465">
        <f t="shared" si="446"/>
        <v>0</v>
      </c>
      <c r="CF1465">
        <f t="shared" si="447"/>
        <v>0</v>
      </c>
      <c r="CG1465">
        <f t="shared" si="448"/>
        <v>0</v>
      </c>
      <c r="CH1465">
        <f t="shared" si="449"/>
        <v>0</v>
      </c>
      <c r="CI1465">
        <f t="shared" si="450"/>
        <v>0</v>
      </c>
      <c r="CJ1465">
        <f t="shared" si="451"/>
        <v>0</v>
      </c>
      <c r="CK1465">
        <f t="shared" si="452"/>
        <v>0</v>
      </c>
      <c r="CL1465">
        <f t="shared" si="453"/>
        <v>0</v>
      </c>
      <c r="CM1465">
        <f t="shared" si="455"/>
        <v>0</v>
      </c>
      <c r="CN1465">
        <f t="shared" si="454"/>
        <v>0</v>
      </c>
      <c r="CO1465">
        <f t="shared" si="438"/>
        <v>0</v>
      </c>
    </row>
    <row r="1466" spans="1:93" x14ac:dyDescent="0.25">
      <c r="A1466" s="4">
        <v>2021</v>
      </c>
      <c r="B1466" s="318">
        <v>44320</v>
      </c>
      <c r="C1466" s="4" t="s">
        <v>1524</v>
      </c>
      <c r="D1466" s="4" t="s">
        <v>1525</v>
      </c>
      <c r="F1466" s="4" t="s">
        <v>1526</v>
      </c>
      <c r="G1466" s="5" t="s">
        <v>1514</v>
      </c>
      <c r="H1466" s="5" t="s">
        <v>1527</v>
      </c>
      <c r="I1466" s="5" t="s">
        <v>146</v>
      </c>
      <c r="J1466" s="5" t="s">
        <v>9</v>
      </c>
      <c r="K1466" s="5">
        <v>15.5</v>
      </c>
      <c r="L1466" s="5" t="s">
        <v>1528</v>
      </c>
      <c r="M1466" s="5">
        <v>1100</v>
      </c>
      <c r="N1466" s="5" t="s">
        <v>170</v>
      </c>
      <c r="O1466" s="6" t="s">
        <v>81</v>
      </c>
      <c r="P1466" s="6" t="s">
        <v>1530</v>
      </c>
      <c r="S1466" s="6">
        <v>15</v>
      </c>
      <c r="T1466" s="6">
        <v>4.33</v>
      </c>
      <c r="U1466" s="6">
        <v>1101</v>
      </c>
      <c r="V1466" s="6">
        <v>4.92</v>
      </c>
      <c r="W1466" s="6">
        <v>569</v>
      </c>
      <c r="X1466" s="6">
        <v>532</v>
      </c>
      <c r="Y1466" s="6">
        <v>0</v>
      </c>
      <c r="Z1466" s="6">
        <v>0</v>
      </c>
      <c r="AA1466" s="6">
        <v>0</v>
      </c>
      <c r="AB1466" s="6">
        <v>0</v>
      </c>
      <c r="AC1466" s="7">
        <v>92</v>
      </c>
      <c r="AD1466" s="7" t="s">
        <v>52</v>
      </c>
      <c r="AE1466" s="7">
        <v>22.28</v>
      </c>
      <c r="AF1466" s="7">
        <v>151</v>
      </c>
      <c r="AG1466" s="7">
        <v>15.1</v>
      </c>
      <c r="AH1466" s="7">
        <v>35.68</v>
      </c>
      <c r="AI1466" s="7">
        <v>37.86</v>
      </c>
      <c r="AJ1466" s="9">
        <v>138.678644335391</v>
      </c>
      <c r="AK1466" s="9">
        <v>143.06403189914801</v>
      </c>
      <c r="AL1466" s="9">
        <v>188.919919393464</v>
      </c>
      <c r="AM1466" s="9">
        <v>48.643755965718697</v>
      </c>
      <c r="AN1466" s="9">
        <v>0.52873647788824696</v>
      </c>
      <c r="AO1466" s="9">
        <v>0.31154121912111099</v>
      </c>
      <c r="AP1466" s="9">
        <v>523.36001510210599</v>
      </c>
      <c r="AQ1466" s="9">
        <v>5.6886958163272396</v>
      </c>
      <c r="AR1466" s="9">
        <v>4.7582224894131304</v>
      </c>
      <c r="AS1466" s="8" t="s">
        <v>169</v>
      </c>
      <c r="AT1466" s="8" t="s">
        <v>169</v>
      </c>
      <c r="AU1466" s="10" t="s">
        <v>169</v>
      </c>
      <c r="AV1466" s="10">
        <v>0</v>
      </c>
      <c r="AW1466" s="10" t="s">
        <v>169</v>
      </c>
      <c r="AX1466" s="10" t="s">
        <v>169</v>
      </c>
      <c r="BF1466" s="12">
        <v>0.45</v>
      </c>
      <c r="BG1466" s="13">
        <v>148.065986824628</v>
      </c>
      <c r="BH1466" s="96" t="str">
        <f>+VLOOKUP(G1466,Liste!$A$7:$G$50,3,FALSE)</f>
        <v>Pin d'Alep</v>
      </c>
      <c r="BI1466" s="96" t="str">
        <f>+VLOOKUP(H1466,Liste!$B$7:$G$50,5,FALSE)</f>
        <v>Pin d'Alep</v>
      </c>
      <c r="BJ1466" s="135">
        <f t="shared" si="437"/>
        <v>92</v>
      </c>
      <c r="BK1466" s="135" t="str">
        <f t="shared" si="439"/>
        <v>Pin d'Alep_F1_Dynamique_Pin d'Alep_92_</v>
      </c>
      <c r="BM1466" s="13">
        <v>40.683162316202399</v>
      </c>
      <c r="BN1466" s="13">
        <v>188.74914914083001</v>
      </c>
      <c r="BO1466" s="13" t="s">
        <v>169</v>
      </c>
      <c r="BP1466" s="13">
        <v>133.34843814247799</v>
      </c>
      <c r="BQ1466" s="13">
        <v>4.5329655666717503</v>
      </c>
      <c r="BT1466" s="298" t="str">
        <f>+VLOOKUP(G1466,Liste!$A$7:$H$50,8,FALSE)</f>
        <v>Résineux</v>
      </c>
      <c r="BU1466" s="298">
        <f t="shared" si="440"/>
        <v>0</v>
      </c>
      <c r="BV1466" s="300">
        <f t="shared" si="441"/>
        <v>1</v>
      </c>
      <c r="BW1466" s="321">
        <v>0</v>
      </c>
      <c r="BX1466" s="298">
        <f t="shared" si="442"/>
        <v>0.43</v>
      </c>
      <c r="BY1466">
        <f t="shared" si="443"/>
        <v>0</v>
      </c>
      <c r="BZ1466" s="304">
        <f t="shared" si="444"/>
        <v>0</v>
      </c>
      <c r="CB1466" s="299">
        <v>0.6</v>
      </c>
      <c r="CC1466" s="299">
        <v>0.4</v>
      </c>
      <c r="CD1466">
        <f t="shared" si="445"/>
        <v>0</v>
      </c>
      <c r="CE1466">
        <f t="shared" si="446"/>
        <v>0</v>
      </c>
      <c r="CF1466">
        <f t="shared" si="447"/>
        <v>0</v>
      </c>
      <c r="CG1466">
        <f t="shared" si="448"/>
        <v>0</v>
      </c>
      <c r="CH1466">
        <f t="shared" si="449"/>
        <v>0</v>
      </c>
      <c r="CI1466">
        <f t="shared" si="450"/>
        <v>0</v>
      </c>
      <c r="CJ1466">
        <f t="shared" si="451"/>
        <v>0</v>
      </c>
      <c r="CK1466">
        <f t="shared" si="452"/>
        <v>0</v>
      </c>
      <c r="CL1466">
        <f t="shared" si="453"/>
        <v>0</v>
      </c>
      <c r="CM1466">
        <f t="shared" si="455"/>
        <v>0</v>
      </c>
      <c r="CN1466">
        <f t="shared" si="454"/>
        <v>0</v>
      </c>
      <c r="CO1466">
        <f t="shared" si="438"/>
        <v>0</v>
      </c>
    </row>
    <row r="1467" spans="1:93" x14ac:dyDescent="0.25">
      <c r="A1467" s="4">
        <v>2021</v>
      </c>
      <c r="B1467" s="318">
        <v>44320</v>
      </c>
      <c r="C1467" s="4" t="s">
        <v>1524</v>
      </c>
      <c r="D1467" s="4" t="s">
        <v>1525</v>
      </c>
      <c r="F1467" s="4" t="s">
        <v>1526</v>
      </c>
      <c r="G1467" s="5" t="s">
        <v>1514</v>
      </c>
      <c r="H1467" s="5" t="s">
        <v>1527</v>
      </c>
      <c r="I1467" s="5" t="s">
        <v>146</v>
      </c>
      <c r="J1467" s="5" t="s">
        <v>9</v>
      </c>
      <c r="K1467" s="5">
        <v>15.5</v>
      </c>
      <c r="L1467" s="5" t="s">
        <v>1528</v>
      </c>
      <c r="M1467" s="5">
        <v>1100</v>
      </c>
      <c r="N1467" s="5" t="s">
        <v>170</v>
      </c>
      <c r="O1467" s="6" t="s">
        <v>81</v>
      </c>
      <c r="P1467" s="6" t="s">
        <v>1530</v>
      </c>
      <c r="S1467" s="6">
        <v>15</v>
      </c>
      <c r="T1467" s="6">
        <v>4.33</v>
      </c>
      <c r="U1467" s="6">
        <v>1101</v>
      </c>
      <c r="V1467" s="6">
        <v>4.92</v>
      </c>
      <c r="W1467" s="6">
        <v>569</v>
      </c>
      <c r="X1467" s="6">
        <v>532</v>
      </c>
      <c r="Y1467" s="6">
        <v>0</v>
      </c>
      <c r="Z1467" s="6">
        <v>0</v>
      </c>
      <c r="AA1467" s="6">
        <v>0</v>
      </c>
      <c r="AB1467" s="6">
        <v>0</v>
      </c>
      <c r="AC1467" s="7">
        <v>93</v>
      </c>
      <c r="AD1467" s="7" t="s">
        <v>52</v>
      </c>
      <c r="AE1467" s="7">
        <v>22.39</v>
      </c>
      <c r="AF1467" s="7">
        <v>151</v>
      </c>
      <c r="AG1467" s="7">
        <v>15.41</v>
      </c>
      <c r="AH1467" s="7">
        <v>36.049999999999997</v>
      </c>
      <c r="AI1467" s="7">
        <v>38.24</v>
      </c>
      <c r="AJ1467" s="9">
        <v>142.21793765797901</v>
      </c>
      <c r="AK1467" s="9">
        <v>146.745812986381</v>
      </c>
      <c r="AL1467" s="9">
        <v>193.67814188287801</v>
      </c>
      <c r="AM1467" s="9">
        <v>48.9552971848398</v>
      </c>
      <c r="AN1467" s="9">
        <v>0.526401044998277</v>
      </c>
      <c r="AO1467" s="9">
        <v>0.31179992142215002</v>
      </c>
      <c r="AP1467" s="9">
        <v>528.11823759151901</v>
      </c>
      <c r="AQ1467" s="9">
        <v>5.6786907267905304</v>
      </c>
      <c r="AR1467" s="9">
        <v>4.7349379261522699</v>
      </c>
      <c r="AS1467" s="8" t="s">
        <v>169</v>
      </c>
      <c r="AT1467" s="8" t="s">
        <v>169</v>
      </c>
      <c r="AU1467" s="10" t="s">
        <v>169</v>
      </c>
      <c r="AV1467" s="10">
        <v>0</v>
      </c>
      <c r="AW1467" s="10" t="s">
        <v>169</v>
      </c>
      <c r="AX1467" s="10" t="s">
        <v>169</v>
      </c>
      <c r="BF1467" s="12">
        <v>0.45</v>
      </c>
      <c r="BG1467" s="13">
        <v>151.79524370070499</v>
      </c>
      <c r="BH1467" s="96" t="str">
        <f>+VLOOKUP(G1467,Liste!$A$7:$G$50,3,FALSE)</f>
        <v>Pin d'Alep</v>
      </c>
      <c r="BI1467" s="96" t="str">
        <f>+VLOOKUP(H1467,Liste!$B$7:$G$50,5,FALSE)</f>
        <v>Pin d'Alep</v>
      </c>
      <c r="BJ1467" s="135">
        <f t="shared" si="437"/>
        <v>93</v>
      </c>
      <c r="BK1467" s="135" t="str">
        <f t="shared" si="439"/>
        <v>Pin d'Alep_F1_Dynamique_Pin d'Alep_93_</v>
      </c>
      <c r="BM1467" s="13">
        <v>41.587240986512199</v>
      </c>
      <c r="BN1467" s="13">
        <v>193.38248468721699</v>
      </c>
      <c r="BO1467" s="13" t="s">
        <v>169</v>
      </c>
      <c r="BP1467" s="13">
        <v>133.34843814247799</v>
      </c>
      <c r="BQ1467" s="13">
        <v>4.5099470185867903</v>
      </c>
      <c r="BT1467" s="298" t="str">
        <f>+VLOOKUP(G1467,Liste!$A$7:$H$50,8,FALSE)</f>
        <v>Résineux</v>
      </c>
      <c r="BU1467" s="298">
        <f t="shared" si="440"/>
        <v>0</v>
      </c>
      <c r="BV1467" s="300">
        <f t="shared" si="441"/>
        <v>1</v>
      </c>
      <c r="BW1467" s="321">
        <v>0</v>
      </c>
      <c r="BX1467" s="298">
        <f t="shared" si="442"/>
        <v>0.43</v>
      </c>
      <c r="BY1467">
        <f t="shared" si="443"/>
        <v>0</v>
      </c>
      <c r="BZ1467" s="304">
        <f t="shared" si="444"/>
        <v>0</v>
      </c>
      <c r="CB1467" s="299">
        <v>0.6</v>
      </c>
      <c r="CC1467" s="299">
        <v>0.4</v>
      </c>
      <c r="CD1467">
        <f t="shared" si="445"/>
        <v>0</v>
      </c>
      <c r="CE1467">
        <f t="shared" si="446"/>
        <v>0</v>
      </c>
      <c r="CF1467">
        <f t="shared" si="447"/>
        <v>0</v>
      </c>
      <c r="CG1467">
        <f t="shared" si="448"/>
        <v>0</v>
      </c>
      <c r="CH1467">
        <f t="shared" si="449"/>
        <v>0</v>
      </c>
      <c r="CI1467">
        <f t="shared" si="450"/>
        <v>0</v>
      </c>
      <c r="CJ1467">
        <f t="shared" si="451"/>
        <v>0</v>
      </c>
      <c r="CK1467">
        <f t="shared" si="452"/>
        <v>0</v>
      </c>
      <c r="CL1467">
        <f t="shared" si="453"/>
        <v>0</v>
      </c>
      <c r="CM1467">
        <f t="shared" si="455"/>
        <v>0</v>
      </c>
      <c r="CN1467">
        <f t="shared" si="454"/>
        <v>0</v>
      </c>
      <c r="CO1467">
        <f t="shared" si="438"/>
        <v>0</v>
      </c>
    </row>
    <row r="1468" spans="1:93" x14ac:dyDescent="0.25">
      <c r="A1468" s="4">
        <v>2021</v>
      </c>
      <c r="B1468" s="318">
        <v>44320</v>
      </c>
      <c r="C1468" s="4" t="s">
        <v>1524</v>
      </c>
      <c r="D1468" s="4" t="s">
        <v>1525</v>
      </c>
      <c r="F1468" s="4" t="s">
        <v>1526</v>
      </c>
      <c r="G1468" s="5" t="s">
        <v>1514</v>
      </c>
      <c r="H1468" s="5" t="s">
        <v>1527</v>
      </c>
      <c r="I1468" s="5" t="s">
        <v>146</v>
      </c>
      <c r="J1468" s="5" t="s">
        <v>9</v>
      </c>
      <c r="K1468" s="5">
        <v>15.5</v>
      </c>
      <c r="L1468" s="5" t="s">
        <v>1528</v>
      </c>
      <c r="M1468" s="5">
        <v>1100</v>
      </c>
      <c r="N1468" s="5" t="s">
        <v>170</v>
      </c>
      <c r="O1468" s="6" t="s">
        <v>81</v>
      </c>
      <c r="P1468" s="6" t="s">
        <v>1530</v>
      </c>
      <c r="S1468" s="6">
        <v>15</v>
      </c>
      <c r="T1468" s="6">
        <v>4.33</v>
      </c>
      <c r="U1468" s="6">
        <v>1101</v>
      </c>
      <c r="V1468" s="6">
        <v>4.92</v>
      </c>
      <c r="W1468" s="6">
        <v>569</v>
      </c>
      <c r="X1468" s="6">
        <v>532</v>
      </c>
      <c r="Y1468" s="6">
        <v>0</v>
      </c>
      <c r="Z1468" s="6">
        <v>0</v>
      </c>
      <c r="AA1468" s="6">
        <v>0</v>
      </c>
      <c r="AB1468" s="6">
        <v>0</v>
      </c>
      <c r="AC1468" s="7">
        <v>94</v>
      </c>
      <c r="AD1468" s="7" t="s">
        <v>52</v>
      </c>
      <c r="AE1468" s="7">
        <v>22.5</v>
      </c>
      <c r="AF1468" s="7">
        <v>151</v>
      </c>
      <c r="AG1468" s="7">
        <v>15.72</v>
      </c>
      <c r="AH1468" s="7">
        <v>36.409999999999997</v>
      </c>
      <c r="AI1468" s="7">
        <v>38.619999999999997</v>
      </c>
      <c r="AJ1468" s="9">
        <v>145.73030871253101</v>
      </c>
      <c r="AK1468" s="9">
        <v>150.40241113918501</v>
      </c>
      <c r="AL1468" s="9">
        <v>198.41307980902999</v>
      </c>
      <c r="AM1468" s="9">
        <v>49.2670971062619</v>
      </c>
      <c r="AN1468" s="9">
        <v>0.52411805432193503</v>
      </c>
      <c r="AO1468" s="9"/>
      <c r="AP1468" s="9">
        <v>532.85317551767196</v>
      </c>
      <c r="AQ1468" s="9">
        <v>5.6686508033794896</v>
      </c>
      <c r="AS1468" s="8" t="s">
        <v>169</v>
      </c>
      <c r="AT1468" s="8" t="s">
        <v>169</v>
      </c>
      <c r="AU1468" s="10" t="s">
        <v>169</v>
      </c>
      <c r="AV1468" s="10">
        <v>0</v>
      </c>
      <c r="AW1468" s="10" t="s">
        <v>169</v>
      </c>
      <c r="AX1468" s="10" t="s">
        <v>169</v>
      </c>
      <c r="BF1468" s="12">
        <v>0.45</v>
      </c>
      <c r="BG1468" s="13">
        <v>155.50625130032699</v>
      </c>
      <c r="BH1468" s="96" t="str">
        <f>+VLOOKUP(G1468,Liste!$A$7:$G$50,3,FALSE)</f>
        <v>Pin d'Alep</v>
      </c>
      <c r="BI1468" s="96" t="str">
        <f>+VLOOKUP(H1468,Liste!$B$7:$G$50,5,FALSE)</f>
        <v>Pin d'Alep</v>
      </c>
      <c r="BJ1468" s="135">
        <f t="shared" si="437"/>
        <v>94</v>
      </c>
      <c r="BK1468" s="135" t="str">
        <f t="shared" si="439"/>
        <v>Pin d'Alep_F1_Dynamique_Pin d'Alep_94_</v>
      </c>
      <c r="BM1468" s="13">
        <v>42.484332362669001</v>
      </c>
      <c r="BN1468" s="13">
        <v>197.99058366299599</v>
      </c>
      <c r="BO1468" s="13" t="s">
        <v>169</v>
      </c>
      <c r="BP1468" s="13">
        <v>133.34843814247799</v>
      </c>
      <c r="BT1468" s="298" t="str">
        <f>+VLOOKUP(G1468,Liste!$A$7:$H$50,8,FALSE)</f>
        <v>Résineux</v>
      </c>
      <c r="BU1468" s="298">
        <f t="shared" si="440"/>
        <v>0</v>
      </c>
      <c r="BV1468" s="300">
        <f t="shared" si="441"/>
        <v>1</v>
      </c>
      <c r="BW1468" s="321">
        <v>0</v>
      </c>
      <c r="BX1468" s="298">
        <f t="shared" si="442"/>
        <v>0.43</v>
      </c>
      <c r="BY1468">
        <f t="shared" si="443"/>
        <v>0</v>
      </c>
      <c r="BZ1468" s="304">
        <f t="shared" si="444"/>
        <v>0</v>
      </c>
      <c r="CB1468" s="299">
        <v>0.6</v>
      </c>
      <c r="CC1468" s="299">
        <v>0.4</v>
      </c>
      <c r="CD1468">
        <f t="shared" si="445"/>
        <v>0</v>
      </c>
      <c r="CE1468">
        <f t="shared" si="446"/>
        <v>0</v>
      </c>
      <c r="CF1468">
        <f t="shared" si="447"/>
        <v>0</v>
      </c>
      <c r="CG1468">
        <f t="shared" si="448"/>
        <v>0</v>
      </c>
      <c r="CH1468">
        <f t="shared" si="449"/>
        <v>0</v>
      </c>
      <c r="CI1468">
        <f t="shared" si="450"/>
        <v>0</v>
      </c>
      <c r="CJ1468">
        <f t="shared" si="451"/>
        <v>0</v>
      </c>
      <c r="CK1468">
        <f t="shared" si="452"/>
        <v>0</v>
      </c>
      <c r="CL1468">
        <f t="shared" si="453"/>
        <v>0</v>
      </c>
      <c r="CM1468">
        <f t="shared" si="455"/>
        <v>0</v>
      </c>
      <c r="CN1468">
        <f t="shared" si="454"/>
        <v>0</v>
      </c>
      <c r="CO1468">
        <f t="shared" si="438"/>
        <v>0</v>
      </c>
    </row>
    <row r="1469" spans="1:93" x14ac:dyDescent="0.25">
      <c r="A1469" s="4">
        <v>2021</v>
      </c>
      <c r="B1469" s="318">
        <v>44320</v>
      </c>
      <c r="C1469" s="4" t="s">
        <v>1524</v>
      </c>
      <c r="D1469" s="4" t="s">
        <v>1525</v>
      </c>
      <c r="F1469" s="4" t="s">
        <v>1526</v>
      </c>
      <c r="G1469" s="5" t="s">
        <v>1514</v>
      </c>
      <c r="H1469" s="5" t="s">
        <v>1527</v>
      </c>
      <c r="I1469" s="5" t="s">
        <v>146</v>
      </c>
      <c r="J1469" s="5" t="s">
        <v>9</v>
      </c>
      <c r="K1469" s="5">
        <v>15.5</v>
      </c>
      <c r="L1469" s="5" t="s">
        <v>1528</v>
      </c>
      <c r="M1469" s="5">
        <v>1100</v>
      </c>
      <c r="N1469" s="5" t="s">
        <v>170</v>
      </c>
      <c r="O1469" s="6" t="s">
        <v>81</v>
      </c>
      <c r="P1469" s="6" t="s">
        <v>1530</v>
      </c>
      <c r="S1469" s="6">
        <v>15</v>
      </c>
      <c r="T1469" s="6">
        <v>4.33</v>
      </c>
      <c r="U1469" s="6">
        <v>1101</v>
      </c>
      <c r="V1469" s="6">
        <v>4.92</v>
      </c>
      <c r="W1469" s="6">
        <v>569</v>
      </c>
      <c r="X1469" s="6">
        <v>532</v>
      </c>
      <c r="Y1469" s="6">
        <v>0</v>
      </c>
      <c r="Z1469" s="6">
        <v>0</v>
      </c>
      <c r="AA1469" s="6">
        <v>0</v>
      </c>
      <c r="AB1469" s="6">
        <v>0</v>
      </c>
      <c r="AC1469" s="7">
        <v>94</v>
      </c>
      <c r="AD1469" s="7" t="s">
        <v>53</v>
      </c>
      <c r="AE1469" s="7">
        <v>22.5</v>
      </c>
      <c r="AF1469" s="7">
        <v>0</v>
      </c>
      <c r="AG1469" s="7">
        <v>0</v>
      </c>
      <c r="AH1469" s="7">
        <v>0</v>
      </c>
      <c r="AI1469" s="7">
        <v>0</v>
      </c>
      <c r="AJ1469" s="9">
        <v>0</v>
      </c>
      <c r="AK1469" s="9">
        <v>0</v>
      </c>
      <c r="AL1469" s="9">
        <v>0</v>
      </c>
      <c r="AM1469" s="9">
        <v>49.2670971062619</v>
      </c>
      <c r="AN1469" s="9">
        <v>0.52411805432193503</v>
      </c>
      <c r="AO1469" s="9"/>
      <c r="AP1469" s="9">
        <v>532.85317551767196</v>
      </c>
      <c r="AQ1469" s="9">
        <v>5.6686508033794896</v>
      </c>
      <c r="AS1469" s="8">
        <v>151</v>
      </c>
      <c r="AT1469" s="8">
        <v>15.72</v>
      </c>
      <c r="AU1469" s="10">
        <v>36.407667523737231</v>
      </c>
      <c r="AV1469" s="10">
        <v>145.73030871253101</v>
      </c>
      <c r="AW1469" s="10">
        <v>1</v>
      </c>
      <c r="AX1469" s="10">
        <v>0.9651013822021921</v>
      </c>
      <c r="BF1469" s="12">
        <v>0.45</v>
      </c>
      <c r="BG1469" s="13">
        <v>0</v>
      </c>
      <c r="BH1469" s="96" t="str">
        <f>+VLOOKUP(G1469,Liste!$A$7:$G$50,3,FALSE)</f>
        <v>Pin d'Alep</v>
      </c>
      <c r="BI1469" s="96" t="str">
        <f>+VLOOKUP(H1469,Liste!$B$7:$G$50,5,FALSE)</f>
        <v>Pin d'Alep</v>
      </c>
      <c r="BJ1469" s="135">
        <f t="shared" si="437"/>
        <v>94</v>
      </c>
      <c r="BK1469" s="135" t="str">
        <f t="shared" si="439"/>
        <v>Pin d'Alep_F1_Dynamique_Pin d'Alep_94_</v>
      </c>
      <c r="BM1469" s="13">
        <v>0</v>
      </c>
      <c r="BN1469" s="13">
        <v>0</v>
      </c>
      <c r="BO1469" s="13">
        <v>197.99058366299599</v>
      </c>
      <c r="BP1469" s="13">
        <v>133.34843814247799</v>
      </c>
      <c r="BT1469" s="298" t="str">
        <f>+VLOOKUP(G1469,Liste!$A$7:$H$50,8,FALSE)</f>
        <v>Résineux</v>
      </c>
      <c r="BU1469" s="298">
        <f t="shared" si="440"/>
        <v>0</v>
      </c>
      <c r="BV1469" s="300">
        <f t="shared" si="441"/>
        <v>1</v>
      </c>
      <c r="BW1469" s="321">
        <v>0</v>
      </c>
      <c r="BX1469" s="298">
        <f t="shared" si="442"/>
        <v>0.43</v>
      </c>
      <c r="BY1469">
        <f t="shared" si="443"/>
        <v>0</v>
      </c>
      <c r="BZ1469" s="304">
        <f t="shared" si="444"/>
        <v>0</v>
      </c>
      <c r="CB1469" s="299">
        <v>0.6</v>
      </c>
      <c r="CC1469" s="299">
        <v>0.4</v>
      </c>
      <c r="CD1469">
        <f t="shared" si="445"/>
        <v>0</v>
      </c>
      <c r="CE1469">
        <f t="shared" si="446"/>
        <v>0</v>
      </c>
      <c r="CF1469">
        <f t="shared" si="447"/>
        <v>0</v>
      </c>
      <c r="CG1469">
        <f t="shared" si="448"/>
        <v>0</v>
      </c>
      <c r="CH1469">
        <f t="shared" si="449"/>
        <v>0</v>
      </c>
      <c r="CI1469">
        <f t="shared" si="450"/>
        <v>0</v>
      </c>
      <c r="CJ1469">
        <f t="shared" si="451"/>
        <v>0</v>
      </c>
      <c r="CK1469">
        <f t="shared" si="452"/>
        <v>0</v>
      </c>
      <c r="CL1469">
        <f t="shared" si="453"/>
        <v>0</v>
      </c>
      <c r="CM1469">
        <f t="shared" si="455"/>
        <v>0</v>
      </c>
      <c r="CN1469">
        <f t="shared" si="454"/>
        <v>0</v>
      </c>
      <c r="CO1469">
        <f t="shared" si="438"/>
        <v>0</v>
      </c>
    </row>
    <row r="1470" spans="1:93" x14ac:dyDescent="0.25">
      <c r="A1470" s="4">
        <v>2021</v>
      </c>
      <c r="B1470" s="318">
        <v>44361</v>
      </c>
      <c r="C1470" s="4" t="s">
        <v>66</v>
      </c>
      <c r="D1470" s="4" t="s">
        <v>1525</v>
      </c>
      <c r="E1470" s="4" t="s">
        <v>87</v>
      </c>
      <c r="F1470" s="4" t="s">
        <v>90</v>
      </c>
      <c r="G1470" s="5" t="s">
        <v>17</v>
      </c>
      <c r="H1470" s="5" t="s">
        <v>20</v>
      </c>
      <c r="I1470" s="5" t="s">
        <v>18</v>
      </c>
      <c r="J1470" s="5" t="s">
        <v>9</v>
      </c>
      <c r="K1470" s="5">
        <v>21.5</v>
      </c>
      <c r="L1470" s="5" t="s">
        <v>1529</v>
      </c>
      <c r="M1470" s="5">
        <v>1666</v>
      </c>
      <c r="N1470" s="5" t="s">
        <v>170</v>
      </c>
      <c r="O1470" s="6" t="s">
        <v>81</v>
      </c>
      <c r="P1470" s="6" t="s">
        <v>1505</v>
      </c>
      <c r="S1470" s="6">
        <v>34</v>
      </c>
      <c r="T1470" s="6">
        <v>16.2</v>
      </c>
      <c r="U1470" s="6">
        <v>1451</v>
      </c>
      <c r="V1470" s="6">
        <v>23.57</v>
      </c>
      <c r="W1470" s="6">
        <v>44</v>
      </c>
      <c r="X1470" s="6">
        <v>444</v>
      </c>
      <c r="Y1470" s="6">
        <v>742</v>
      </c>
      <c r="Z1470" s="6">
        <v>211</v>
      </c>
      <c r="AA1470" s="6">
        <v>10</v>
      </c>
      <c r="AB1470" s="6">
        <v>0</v>
      </c>
      <c r="AC1470" s="7">
        <v>30</v>
      </c>
      <c r="AD1470" s="7" t="s">
        <v>52</v>
      </c>
      <c r="AJ1470" s="9">
        <v>145.616521085492</v>
      </c>
      <c r="AK1470" s="9">
        <v>152.90917210361101</v>
      </c>
      <c r="AL1470" s="9">
        <v>195.574209611051</v>
      </c>
      <c r="AO1470" s="9"/>
      <c r="AP1470" s="9"/>
      <c r="AQ1470" s="9"/>
      <c r="AU1470" s="10"/>
      <c r="AV1470" s="10">
        <v>0</v>
      </c>
      <c r="AW1470" s="10"/>
      <c r="AX1470" s="10"/>
      <c r="BF1470" s="12">
        <v>0.55000000000000004</v>
      </c>
      <c r="BG1470" s="13">
        <v>187.34379495658601</v>
      </c>
      <c r="BH1470" s="96" t="str">
        <f>+VLOOKUP(G1470,Liste!$A$7:$G$50,3,FALSE)</f>
        <v>Chêne sessile</v>
      </c>
      <c r="BI1470" s="96" t="str">
        <f>+VLOOKUP(H1470,Liste!$B$7:$G$50,5,FALSE)</f>
        <v>Guide chênaie atlantique</v>
      </c>
      <c r="BJ1470" s="135">
        <f t="shared" si="437"/>
        <v>30</v>
      </c>
      <c r="BK1470" s="135" t="str">
        <f t="shared" si="439"/>
        <v>Chêne sessile_F1_Classique_Guide chênaie atlantique_30_</v>
      </c>
      <c r="BM1470" s="13">
        <v>50.084632654741299</v>
      </c>
      <c r="BN1470" s="13">
        <v>237.42842761132701</v>
      </c>
      <c r="BP1470" s="13">
        <v>453.22050465958398</v>
      </c>
      <c r="BT1470" s="298" t="str">
        <f>+VLOOKUP(G1470,Liste!$A$7:$H$50,8,FALSE)</f>
        <v>Feuillus</v>
      </c>
      <c r="BU1470" s="298">
        <f t="shared" si="440"/>
        <v>1</v>
      </c>
      <c r="BV1470" s="300">
        <f t="shared" si="441"/>
        <v>0</v>
      </c>
      <c r="BW1470" s="321">
        <v>0</v>
      </c>
      <c r="BX1470" s="298">
        <f t="shared" si="442"/>
        <v>0.25</v>
      </c>
      <c r="BY1470">
        <f t="shared" si="443"/>
        <v>0</v>
      </c>
      <c r="BZ1470" s="304">
        <f t="shared" si="444"/>
        <v>0</v>
      </c>
      <c r="CB1470" s="299">
        <v>0.6</v>
      </c>
      <c r="CC1470" s="299">
        <v>0.4</v>
      </c>
      <c r="CD1470">
        <f t="shared" si="445"/>
        <v>0</v>
      </c>
      <c r="CE1470">
        <f t="shared" si="446"/>
        <v>0</v>
      </c>
      <c r="CF1470">
        <f t="shared" si="447"/>
        <v>0</v>
      </c>
      <c r="CG1470">
        <f t="shared" si="448"/>
        <v>0</v>
      </c>
      <c r="CH1470">
        <f t="shared" si="449"/>
        <v>0</v>
      </c>
      <c r="CI1470">
        <f t="shared" si="450"/>
        <v>0</v>
      </c>
      <c r="CJ1470">
        <f t="shared" si="451"/>
        <v>0</v>
      </c>
      <c r="CK1470">
        <f t="shared" si="452"/>
        <v>0</v>
      </c>
      <c r="CL1470">
        <f t="shared" si="453"/>
        <v>0</v>
      </c>
      <c r="CM1470">
        <f t="shared" si="455"/>
        <v>0</v>
      </c>
      <c r="CN1470">
        <f t="shared" si="454"/>
        <v>0</v>
      </c>
      <c r="CO1470">
        <f t="shared" si="438"/>
        <v>0</v>
      </c>
    </row>
    <row r="1471" spans="1:93" x14ac:dyDescent="0.25">
      <c r="A1471" s="4">
        <v>2021</v>
      </c>
      <c r="B1471" s="318">
        <v>44361</v>
      </c>
      <c r="C1471" s="4" t="s">
        <v>66</v>
      </c>
      <c r="D1471" s="4" t="s">
        <v>1525</v>
      </c>
      <c r="E1471" s="4" t="s">
        <v>87</v>
      </c>
      <c r="F1471" s="4" t="s">
        <v>90</v>
      </c>
      <c r="G1471" s="5" t="s">
        <v>17</v>
      </c>
      <c r="H1471" s="5" t="s">
        <v>20</v>
      </c>
      <c r="I1471" s="5" t="s">
        <v>18</v>
      </c>
      <c r="J1471" s="5" t="s">
        <v>9</v>
      </c>
      <c r="K1471" s="5">
        <v>21.5</v>
      </c>
      <c r="L1471" s="5" t="s">
        <v>1529</v>
      </c>
      <c r="M1471" s="5">
        <v>1666</v>
      </c>
      <c r="N1471" s="5" t="s">
        <v>170</v>
      </c>
      <c r="O1471" s="6" t="s">
        <v>81</v>
      </c>
      <c r="P1471" s="6" t="s">
        <v>1505</v>
      </c>
      <c r="S1471" s="6">
        <v>34</v>
      </c>
      <c r="T1471" s="6">
        <v>16.2</v>
      </c>
      <c r="U1471" s="6">
        <v>1451</v>
      </c>
      <c r="V1471" s="6">
        <v>23.57</v>
      </c>
      <c r="W1471" s="6">
        <v>44</v>
      </c>
      <c r="X1471" s="6">
        <v>444</v>
      </c>
      <c r="Y1471" s="6">
        <v>742</v>
      </c>
      <c r="Z1471" s="6">
        <v>211</v>
      </c>
      <c r="AA1471" s="6">
        <v>10</v>
      </c>
      <c r="AB1471" s="6">
        <v>0</v>
      </c>
      <c r="AC1471" s="7">
        <v>34</v>
      </c>
      <c r="AD1471" s="7" t="s">
        <v>52</v>
      </c>
      <c r="AE1471" s="7">
        <v>16.2</v>
      </c>
      <c r="AF1471" s="7">
        <v>1451</v>
      </c>
      <c r="AG1471" s="7">
        <v>23.57</v>
      </c>
      <c r="AH1471" s="7">
        <v>14.38</v>
      </c>
      <c r="AI1471" s="7">
        <v>20.6</v>
      </c>
      <c r="AJ1471" s="9">
        <v>165.03205723022501</v>
      </c>
      <c r="AK1471" s="9">
        <v>173.297061717426</v>
      </c>
      <c r="AL1471" s="9">
        <v>221.65077089252401</v>
      </c>
      <c r="AM1471" s="9">
        <v>23.566186052005801</v>
      </c>
      <c r="AN1471" s="9">
        <v>0.69312311917664104</v>
      </c>
      <c r="AO1471" s="9">
        <v>1.0956679616456899</v>
      </c>
      <c r="AP1471" s="9">
        <v>221.65077089252401</v>
      </c>
      <c r="AQ1471" s="9">
        <v>6.5191403203683604</v>
      </c>
      <c r="AR1471" s="9">
        <v>14.486985520277999</v>
      </c>
      <c r="AS1471" s="8" t="s">
        <v>169</v>
      </c>
      <c r="AT1471" s="8" t="s">
        <v>169</v>
      </c>
      <c r="AU1471" s="8" t="s">
        <v>169</v>
      </c>
      <c r="AV1471" s="10">
        <v>0</v>
      </c>
      <c r="AW1471" s="8" t="s">
        <v>169</v>
      </c>
      <c r="AX1471" s="8" t="s">
        <v>169</v>
      </c>
      <c r="BF1471" s="12">
        <v>0.55000000000000004</v>
      </c>
      <c r="BG1471" s="13">
        <v>212.322967617464</v>
      </c>
      <c r="BH1471" s="96" t="str">
        <f>+VLOOKUP(G1471,Liste!$A$7:$G$50,3,FALSE)</f>
        <v>Chêne sessile</v>
      </c>
      <c r="BI1471" s="96" t="str">
        <f>+VLOOKUP(H1471,Liste!$B$7:$G$50,5,FALSE)</f>
        <v>Guide chênaie atlantique</v>
      </c>
      <c r="BJ1471" s="135">
        <f t="shared" si="437"/>
        <v>34</v>
      </c>
      <c r="BK1471" s="135" t="str">
        <f t="shared" si="439"/>
        <v>Chêne sessile_F1_Classique_Guide chênaie atlantique_34_</v>
      </c>
      <c r="BM1471" s="13">
        <v>55.9416051061216</v>
      </c>
      <c r="BN1471" s="13">
        <v>268.26457272358601</v>
      </c>
      <c r="BO1471" s="12" t="s">
        <v>169</v>
      </c>
      <c r="BP1471" s="13">
        <v>453.22050465958398</v>
      </c>
      <c r="BQ1471" s="13">
        <v>17.0736184857094</v>
      </c>
      <c r="BT1471" s="298" t="str">
        <f>+VLOOKUP(G1471,Liste!$A$7:$H$50,8,FALSE)</f>
        <v>Feuillus</v>
      </c>
      <c r="BU1471" s="298">
        <f t="shared" si="440"/>
        <v>1</v>
      </c>
      <c r="BV1471" s="300">
        <f t="shared" si="441"/>
        <v>0</v>
      </c>
      <c r="BW1471" s="321">
        <v>0</v>
      </c>
      <c r="BX1471" s="298">
        <f t="shared" si="442"/>
        <v>0.25</v>
      </c>
      <c r="BY1471">
        <f t="shared" si="443"/>
        <v>0</v>
      </c>
      <c r="BZ1471" s="304">
        <f t="shared" si="444"/>
        <v>0</v>
      </c>
      <c r="CB1471" s="299">
        <v>0.6</v>
      </c>
      <c r="CC1471" s="299">
        <v>0.4</v>
      </c>
      <c r="CD1471">
        <f t="shared" si="445"/>
        <v>0</v>
      </c>
      <c r="CE1471">
        <f t="shared" si="446"/>
        <v>0</v>
      </c>
      <c r="CF1471">
        <f t="shared" si="447"/>
        <v>0</v>
      </c>
      <c r="CG1471">
        <f t="shared" si="448"/>
        <v>0</v>
      </c>
      <c r="CH1471">
        <f t="shared" si="449"/>
        <v>0</v>
      </c>
      <c r="CI1471">
        <f t="shared" si="450"/>
        <v>0</v>
      </c>
      <c r="CJ1471">
        <f t="shared" si="451"/>
        <v>0</v>
      </c>
      <c r="CK1471">
        <f t="shared" si="452"/>
        <v>0</v>
      </c>
      <c r="CL1471">
        <f t="shared" si="453"/>
        <v>0</v>
      </c>
      <c r="CM1471">
        <f t="shared" si="455"/>
        <v>0</v>
      </c>
      <c r="CN1471">
        <f t="shared" si="454"/>
        <v>0</v>
      </c>
      <c r="CO1471">
        <f t="shared" si="438"/>
        <v>0</v>
      </c>
    </row>
    <row r="1472" spans="1:93" x14ac:dyDescent="0.25">
      <c r="A1472" s="4">
        <v>2021</v>
      </c>
      <c r="B1472" s="318">
        <v>44361</v>
      </c>
      <c r="C1472" s="4" t="s">
        <v>66</v>
      </c>
      <c r="D1472" s="4" t="s">
        <v>1525</v>
      </c>
      <c r="E1472" s="4" t="s">
        <v>87</v>
      </c>
      <c r="F1472" s="4" t="s">
        <v>90</v>
      </c>
      <c r="G1472" s="5" t="s">
        <v>17</v>
      </c>
      <c r="H1472" s="5" t="s">
        <v>20</v>
      </c>
      <c r="I1472" s="5" t="s">
        <v>18</v>
      </c>
      <c r="J1472" s="5" t="s">
        <v>9</v>
      </c>
      <c r="K1472" s="5">
        <v>21.5</v>
      </c>
      <c r="L1472" s="5" t="s">
        <v>1529</v>
      </c>
      <c r="M1472" s="5">
        <v>1666</v>
      </c>
      <c r="N1472" s="5" t="s">
        <v>170</v>
      </c>
      <c r="O1472" s="6" t="s">
        <v>81</v>
      </c>
      <c r="P1472" s="6" t="s">
        <v>1505</v>
      </c>
      <c r="S1472" s="6">
        <v>34</v>
      </c>
      <c r="T1472" s="6">
        <v>16.2</v>
      </c>
      <c r="U1472" s="6">
        <v>1451</v>
      </c>
      <c r="V1472" s="6">
        <v>23.57</v>
      </c>
      <c r="W1472" s="6">
        <v>44</v>
      </c>
      <c r="X1472" s="6">
        <v>444</v>
      </c>
      <c r="Y1472" s="6">
        <v>742</v>
      </c>
      <c r="Z1472" s="6">
        <v>211</v>
      </c>
      <c r="AA1472" s="6">
        <v>10</v>
      </c>
      <c r="AB1472" s="6">
        <v>0</v>
      </c>
      <c r="AC1472" s="7">
        <v>34</v>
      </c>
      <c r="AD1472" s="7" t="s">
        <v>53</v>
      </c>
      <c r="AE1472" s="7">
        <v>16.2</v>
      </c>
      <c r="AF1472" s="7">
        <v>1002</v>
      </c>
      <c r="AG1472" s="7">
        <v>18.16</v>
      </c>
      <c r="AH1472" s="7">
        <v>15.19</v>
      </c>
      <c r="AI1472" s="7">
        <v>20.6</v>
      </c>
      <c r="AJ1472" s="9">
        <v>130.61238606971901</v>
      </c>
      <c r="AK1472" s="9">
        <v>137.85567960830301</v>
      </c>
      <c r="AL1472" s="9">
        <v>173.55233635257201</v>
      </c>
      <c r="AM1472" s="9">
        <v>23.566186052005801</v>
      </c>
      <c r="AN1472" s="9">
        <v>0.69312311917664104</v>
      </c>
      <c r="AO1472" s="9">
        <v>1.0956679616456899</v>
      </c>
      <c r="AP1472" s="9">
        <v>221.65077089252401</v>
      </c>
      <c r="AQ1472" s="9">
        <v>6.5191403203683604</v>
      </c>
      <c r="AR1472" s="9">
        <v>14.486985520277999</v>
      </c>
      <c r="AS1472" s="8">
        <v>449</v>
      </c>
      <c r="AT1472" s="8">
        <v>5.41</v>
      </c>
      <c r="AU1472" s="10">
        <v>12.38598419133141</v>
      </c>
      <c r="AV1472" s="10">
        <v>34.419671160505999</v>
      </c>
      <c r="AW1472" s="8">
        <v>0.74</v>
      </c>
      <c r="AX1472" s="10">
        <v>7.6658510379746095E-2</v>
      </c>
      <c r="BF1472" s="12">
        <v>0.55000000000000004</v>
      </c>
      <c r="BG1472" s="13">
        <v>166.24867553106799</v>
      </c>
      <c r="BH1472" s="96" t="str">
        <f>+VLOOKUP(G1472,Liste!$A$7:$G$50,3,FALSE)</f>
        <v>Chêne sessile</v>
      </c>
      <c r="BI1472" s="96" t="str">
        <f>+VLOOKUP(H1472,Liste!$B$7:$G$50,5,FALSE)</f>
        <v>Guide chênaie atlantique</v>
      </c>
      <c r="BJ1472" s="135">
        <f t="shared" si="437"/>
        <v>34</v>
      </c>
      <c r="BK1472" s="135" t="str">
        <f t="shared" si="439"/>
        <v>Chêne sessile_F1_Classique_Guide chênaie atlantique_34_</v>
      </c>
      <c r="BM1472" s="13">
        <v>45.067382571452903</v>
      </c>
      <c r="BN1472" s="13">
        <v>211.316058102521</v>
      </c>
      <c r="BO1472" s="13">
        <v>56.948514621065016</v>
      </c>
      <c r="BP1472" s="13">
        <v>453.22050465958398</v>
      </c>
      <c r="BQ1472" s="13">
        <v>17.0736184857094</v>
      </c>
      <c r="BT1472" s="298" t="str">
        <f>+VLOOKUP(G1472,Liste!$A$7:$H$50,8,FALSE)</f>
        <v>Feuillus</v>
      </c>
      <c r="BU1472" s="298">
        <f t="shared" si="440"/>
        <v>1</v>
      </c>
      <c r="BV1472" s="300">
        <f t="shared" si="441"/>
        <v>0</v>
      </c>
      <c r="BW1472" s="321">
        <v>0</v>
      </c>
      <c r="BX1472" s="298">
        <f t="shared" si="442"/>
        <v>0.25</v>
      </c>
      <c r="BY1472">
        <f t="shared" si="443"/>
        <v>0</v>
      </c>
      <c r="BZ1472" s="304">
        <f t="shared" si="444"/>
        <v>0</v>
      </c>
      <c r="CB1472" s="299">
        <v>0.6</v>
      </c>
      <c r="CC1472" s="299">
        <v>0.4</v>
      </c>
      <c r="CD1472">
        <f t="shared" si="445"/>
        <v>0</v>
      </c>
      <c r="CE1472">
        <f t="shared" si="446"/>
        <v>0</v>
      </c>
      <c r="CF1472">
        <f t="shared" si="447"/>
        <v>0</v>
      </c>
      <c r="CG1472">
        <f t="shared" si="448"/>
        <v>0</v>
      </c>
      <c r="CH1472">
        <f t="shared" si="449"/>
        <v>0</v>
      </c>
      <c r="CI1472">
        <f t="shared" si="450"/>
        <v>0</v>
      </c>
      <c r="CJ1472">
        <f t="shared" si="451"/>
        <v>0</v>
      </c>
      <c r="CK1472">
        <f t="shared" si="452"/>
        <v>0</v>
      </c>
      <c r="CL1472">
        <f t="shared" si="453"/>
        <v>0</v>
      </c>
      <c r="CM1472">
        <f t="shared" si="455"/>
        <v>0</v>
      </c>
      <c r="CN1472">
        <f t="shared" si="454"/>
        <v>0</v>
      </c>
      <c r="CO1472">
        <f t="shared" si="438"/>
        <v>0</v>
      </c>
    </row>
    <row r="1473" spans="1:93" x14ac:dyDescent="0.25">
      <c r="A1473" s="4">
        <v>2021</v>
      </c>
      <c r="B1473" s="318">
        <v>44361</v>
      </c>
      <c r="C1473" s="4" t="s">
        <v>66</v>
      </c>
      <c r="D1473" s="4" t="s">
        <v>1525</v>
      </c>
      <c r="E1473" s="4" t="s">
        <v>87</v>
      </c>
      <c r="F1473" s="4" t="s">
        <v>90</v>
      </c>
      <c r="G1473" s="5" t="s">
        <v>17</v>
      </c>
      <c r="H1473" s="5" t="s">
        <v>20</v>
      </c>
      <c r="I1473" s="5" t="s">
        <v>18</v>
      </c>
      <c r="J1473" s="5" t="s">
        <v>9</v>
      </c>
      <c r="K1473" s="5">
        <v>21.5</v>
      </c>
      <c r="L1473" s="5" t="s">
        <v>1529</v>
      </c>
      <c r="M1473" s="5">
        <v>1666</v>
      </c>
      <c r="N1473" s="5" t="s">
        <v>170</v>
      </c>
      <c r="O1473" s="6" t="s">
        <v>81</v>
      </c>
      <c r="P1473" s="6" t="s">
        <v>1505</v>
      </c>
      <c r="S1473" s="6">
        <v>34</v>
      </c>
      <c r="T1473" s="6">
        <v>16.2</v>
      </c>
      <c r="U1473" s="6">
        <v>1451</v>
      </c>
      <c r="V1473" s="6">
        <v>23.57</v>
      </c>
      <c r="W1473" s="6">
        <v>44</v>
      </c>
      <c r="X1473" s="6">
        <v>444</v>
      </c>
      <c r="Y1473" s="6">
        <v>742</v>
      </c>
      <c r="Z1473" s="6">
        <v>211</v>
      </c>
      <c r="AA1473" s="6">
        <v>10</v>
      </c>
      <c r="AB1473" s="6">
        <v>0</v>
      </c>
      <c r="AC1473" s="7">
        <v>37</v>
      </c>
      <c r="AD1473" s="7" t="s">
        <v>52</v>
      </c>
      <c r="AE1473" s="7">
        <v>17.350000000000001</v>
      </c>
      <c r="AF1473" s="7">
        <v>1002</v>
      </c>
      <c r="AG1473" s="7">
        <v>21.45</v>
      </c>
      <c r="AH1473" s="7">
        <v>16.510000000000002</v>
      </c>
      <c r="AI1473" s="7">
        <v>22.21</v>
      </c>
      <c r="AJ1473" s="9">
        <v>167.46838484224901</v>
      </c>
      <c r="AK1473" s="9">
        <v>177.203733494147</v>
      </c>
      <c r="AL1473" s="9">
        <v>217.01329291340599</v>
      </c>
      <c r="AM1473" s="9">
        <v>26.853189936942901</v>
      </c>
      <c r="AN1473" s="9">
        <v>0.72576189018764503</v>
      </c>
      <c r="AO1473" s="9">
        <v>1.09945672762191</v>
      </c>
      <c r="AP1473" s="9">
        <v>265.11172745335801</v>
      </c>
      <c r="AQ1473" s="9">
        <v>7.1651818230637403</v>
      </c>
      <c r="AR1473" s="9">
        <v>15.5703409484147</v>
      </c>
      <c r="AS1473" s="8" t="s">
        <v>169</v>
      </c>
      <c r="AT1473" s="8" t="s">
        <v>169</v>
      </c>
      <c r="AU1473" s="10" t="s">
        <v>169</v>
      </c>
      <c r="AV1473" s="10">
        <v>0</v>
      </c>
      <c r="AX1473" s="10" t="s">
        <v>169</v>
      </c>
      <c r="BF1473" s="12">
        <v>0.55000000000000004</v>
      </c>
      <c r="BG1473" s="13">
        <v>207.880650169967</v>
      </c>
      <c r="BH1473" s="96" t="str">
        <f>+VLOOKUP(G1473,Liste!$A$7:$G$50,3,FALSE)</f>
        <v>Chêne sessile</v>
      </c>
      <c r="BI1473" s="96" t="str">
        <f>+VLOOKUP(H1473,Liste!$B$7:$G$50,5,FALSE)</f>
        <v>Guide chênaie atlantique</v>
      </c>
      <c r="BJ1473" s="135">
        <f t="shared" si="437"/>
        <v>37</v>
      </c>
      <c r="BK1473" s="135" t="str">
        <f t="shared" si="439"/>
        <v>Chêne sessile_F1_Classique_Guide chênaie atlantique_37_</v>
      </c>
      <c r="BM1473" s="13">
        <v>54.9061389319886</v>
      </c>
      <c r="BN1473" s="13">
        <v>262.786789101956</v>
      </c>
      <c r="BO1473" s="13" t="s">
        <v>169</v>
      </c>
      <c r="BP1473" s="13">
        <v>453.22050465958398</v>
      </c>
      <c r="BQ1473" s="13">
        <v>18.283010616418601</v>
      </c>
      <c r="BT1473" s="298" t="str">
        <f>+VLOOKUP(G1473,Liste!$A$7:$H$50,8,FALSE)</f>
        <v>Feuillus</v>
      </c>
      <c r="BU1473" s="298">
        <f t="shared" si="440"/>
        <v>1</v>
      </c>
      <c r="BV1473" s="300">
        <f t="shared" si="441"/>
        <v>0</v>
      </c>
      <c r="BW1473" s="321">
        <v>0</v>
      </c>
      <c r="BX1473" s="298">
        <f t="shared" si="442"/>
        <v>0.25</v>
      </c>
      <c r="BY1473">
        <f t="shared" si="443"/>
        <v>0</v>
      </c>
      <c r="BZ1473" s="304">
        <f t="shared" si="444"/>
        <v>0</v>
      </c>
      <c r="CB1473" s="299">
        <v>0.6</v>
      </c>
      <c r="CC1473" s="299">
        <v>0.4</v>
      </c>
      <c r="CD1473">
        <f t="shared" si="445"/>
        <v>0</v>
      </c>
      <c r="CE1473">
        <f t="shared" si="446"/>
        <v>0</v>
      </c>
      <c r="CF1473">
        <f t="shared" si="447"/>
        <v>0</v>
      </c>
      <c r="CG1473">
        <f t="shared" si="448"/>
        <v>0</v>
      </c>
      <c r="CH1473">
        <f t="shared" si="449"/>
        <v>0</v>
      </c>
      <c r="CI1473">
        <f t="shared" si="450"/>
        <v>0</v>
      </c>
      <c r="CJ1473">
        <f t="shared" si="451"/>
        <v>0</v>
      </c>
      <c r="CK1473">
        <f t="shared" si="452"/>
        <v>0</v>
      </c>
      <c r="CL1473">
        <f t="shared" si="453"/>
        <v>0</v>
      </c>
      <c r="CM1473">
        <f t="shared" si="455"/>
        <v>0</v>
      </c>
      <c r="CN1473">
        <f t="shared" si="454"/>
        <v>0</v>
      </c>
      <c r="CO1473">
        <f t="shared" si="438"/>
        <v>0</v>
      </c>
    </row>
    <row r="1474" spans="1:93" x14ac:dyDescent="0.25">
      <c r="A1474" s="4">
        <v>2021</v>
      </c>
      <c r="B1474" s="318">
        <v>44361</v>
      </c>
      <c r="C1474" s="4" t="s">
        <v>66</v>
      </c>
      <c r="D1474" s="4" t="s">
        <v>1525</v>
      </c>
      <c r="E1474" s="4" t="s">
        <v>87</v>
      </c>
      <c r="F1474" s="4" t="s">
        <v>90</v>
      </c>
      <c r="G1474" s="5" t="s">
        <v>17</v>
      </c>
      <c r="H1474" s="5" t="s">
        <v>20</v>
      </c>
      <c r="I1474" s="5" t="s">
        <v>18</v>
      </c>
      <c r="J1474" s="5" t="s">
        <v>9</v>
      </c>
      <c r="K1474" s="5">
        <v>21.5</v>
      </c>
      <c r="L1474" s="5" t="s">
        <v>1529</v>
      </c>
      <c r="M1474" s="5">
        <v>1666</v>
      </c>
      <c r="N1474" s="5" t="s">
        <v>170</v>
      </c>
      <c r="O1474" s="6" t="s">
        <v>81</v>
      </c>
      <c r="P1474" s="6" t="s">
        <v>1505</v>
      </c>
      <c r="S1474" s="6">
        <v>34</v>
      </c>
      <c r="T1474" s="6">
        <v>16.2</v>
      </c>
      <c r="U1474" s="6">
        <v>1451</v>
      </c>
      <c r="V1474" s="6">
        <v>23.57</v>
      </c>
      <c r="W1474" s="6">
        <v>44</v>
      </c>
      <c r="X1474" s="6">
        <v>444</v>
      </c>
      <c r="Y1474" s="6">
        <v>742</v>
      </c>
      <c r="Z1474" s="6">
        <v>211</v>
      </c>
      <c r="AA1474" s="6">
        <v>10</v>
      </c>
      <c r="AB1474" s="6">
        <v>0</v>
      </c>
      <c r="AC1474" s="7">
        <v>40</v>
      </c>
      <c r="AD1474" s="7" t="s">
        <v>52</v>
      </c>
      <c r="AE1474" s="7">
        <v>18.440000000000001</v>
      </c>
      <c r="AF1474" s="7">
        <v>1002</v>
      </c>
      <c r="AG1474" s="7">
        <v>24.75</v>
      </c>
      <c r="AH1474" s="7">
        <v>17.73</v>
      </c>
      <c r="AI1474" s="7">
        <v>23.73</v>
      </c>
      <c r="AJ1474" s="9">
        <v>207.45990942344599</v>
      </c>
      <c r="AK1474" s="9">
        <v>219.86174033404899</v>
      </c>
      <c r="AL1474" s="9">
        <v>263.72431575864999</v>
      </c>
      <c r="AM1474" s="9">
        <v>30.1515601198086</v>
      </c>
      <c r="AN1474" s="9">
        <v>0.75378900299521501</v>
      </c>
      <c r="AO1474" s="9">
        <v>1.0800917436836699</v>
      </c>
      <c r="AP1474" s="9">
        <v>311.82275029860199</v>
      </c>
      <c r="AQ1474" s="9">
        <v>7.7955687574650598</v>
      </c>
      <c r="AR1474" s="9">
        <v>16.1087329194673</v>
      </c>
      <c r="AS1474" s="8" t="s">
        <v>169</v>
      </c>
      <c r="AT1474" s="8" t="s">
        <v>169</v>
      </c>
      <c r="AU1474" s="10" t="s">
        <v>169</v>
      </c>
      <c r="AV1474" s="10">
        <v>0</v>
      </c>
      <c r="AX1474" s="10" t="s">
        <v>169</v>
      </c>
      <c r="BF1474" s="12">
        <v>0.55000000000000004</v>
      </c>
      <c r="BG1474" s="13">
        <v>252.62591747047401</v>
      </c>
      <c r="BH1474" s="96" t="str">
        <f>+VLOOKUP(G1474,Liste!$A$7:$G$50,3,FALSE)</f>
        <v>Chêne sessile</v>
      </c>
      <c r="BI1474" s="96" t="str">
        <f>+VLOOKUP(H1474,Liste!$B$7:$G$50,5,FALSE)</f>
        <v>Guide chênaie atlantique</v>
      </c>
      <c r="BJ1474" s="135">
        <f t="shared" si="437"/>
        <v>40</v>
      </c>
      <c r="BK1474" s="135" t="str">
        <f t="shared" si="439"/>
        <v>Chêne sessile_F1_Classique_Guide chênaie atlantique_40_</v>
      </c>
      <c r="BM1474" s="13">
        <v>65.227370510214797</v>
      </c>
      <c r="BN1474" s="13">
        <v>317.85328798068798</v>
      </c>
      <c r="BO1474" s="13" t="s">
        <v>169</v>
      </c>
      <c r="BP1474" s="13">
        <v>453.22050465958398</v>
      </c>
      <c r="BQ1474" s="13">
        <v>18.8632737877541</v>
      </c>
      <c r="BT1474" s="298" t="str">
        <f>+VLOOKUP(G1474,Liste!$A$7:$H$50,8,FALSE)</f>
        <v>Feuillus</v>
      </c>
      <c r="BU1474" s="298">
        <f t="shared" si="440"/>
        <v>1</v>
      </c>
      <c r="BV1474" s="300">
        <f t="shared" si="441"/>
        <v>0</v>
      </c>
      <c r="BW1474" s="321">
        <v>0</v>
      </c>
      <c r="BX1474" s="298">
        <f t="shared" si="442"/>
        <v>0.25</v>
      </c>
      <c r="BY1474">
        <f t="shared" si="443"/>
        <v>0</v>
      </c>
      <c r="BZ1474" s="304">
        <f t="shared" si="444"/>
        <v>0</v>
      </c>
      <c r="CB1474" s="299">
        <v>0.6</v>
      </c>
      <c r="CC1474" s="299">
        <v>0.4</v>
      </c>
      <c r="CD1474">
        <f t="shared" si="445"/>
        <v>0</v>
      </c>
      <c r="CE1474">
        <f t="shared" si="446"/>
        <v>0</v>
      </c>
      <c r="CF1474">
        <f t="shared" si="447"/>
        <v>0</v>
      </c>
      <c r="CG1474">
        <f t="shared" si="448"/>
        <v>0</v>
      </c>
      <c r="CH1474">
        <f t="shared" si="449"/>
        <v>0</v>
      </c>
      <c r="CI1474">
        <f t="shared" si="450"/>
        <v>0</v>
      </c>
      <c r="CJ1474">
        <f t="shared" si="451"/>
        <v>0</v>
      </c>
      <c r="CK1474">
        <f t="shared" si="452"/>
        <v>0</v>
      </c>
      <c r="CL1474">
        <f t="shared" si="453"/>
        <v>0</v>
      </c>
      <c r="CM1474">
        <f t="shared" si="455"/>
        <v>0</v>
      </c>
      <c r="CN1474">
        <f t="shared" si="454"/>
        <v>0</v>
      </c>
      <c r="CO1474">
        <f t="shared" si="438"/>
        <v>0</v>
      </c>
    </row>
    <row r="1475" spans="1:93" x14ac:dyDescent="0.25">
      <c r="A1475" s="4">
        <v>2021</v>
      </c>
      <c r="B1475" s="318">
        <v>44361</v>
      </c>
      <c r="C1475" s="4" t="s">
        <v>66</v>
      </c>
      <c r="D1475" s="4" t="s">
        <v>1525</v>
      </c>
      <c r="E1475" s="4" t="s">
        <v>87</v>
      </c>
      <c r="F1475" s="4" t="s">
        <v>90</v>
      </c>
      <c r="G1475" s="5" t="s">
        <v>17</v>
      </c>
      <c r="H1475" s="5" t="s">
        <v>20</v>
      </c>
      <c r="I1475" s="5" t="s">
        <v>18</v>
      </c>
      <c r="J1475" s="5" t="s">
        <v>9</v>
      </c>
      <c r="K1475" s="5">
        <v>21.5</v>
      </c>
      <c r="L1475" s="5" t="s">
        <v>1529</v>
      </c>
      <c r="M1475" s="5">
        <v>1666</v>
      </c>
      <c r="N1475" s="5" t="s">
        <v>170</v>
      </c>
      <c r="O1475" s="6" t="s">
        <v>81</v>
      </c>
      <c r="P1475" s="6" t="s">
        <v>1505</v>
      </c>
      <c r="S1475" s="6">
        <v>34</v>
      </c>
      <c r="T1475" s="6">
        <v>16.2</v>
      </c>
      <c r="U1475" s="6">
        <v>1451</v>
      </c>
      <c r="V1475" s="6">
        <v>23.57</v>
      </c>
      <c r="W1475" s="6">
        <v>44</v>
      </c>
      <c r="X1475" s="6">
        <v>444</v>
      </c>
      <c r="Y1475" s="6">
        <v>742</v>
      </c>
      <c r="Z1475" s="6">
        <v>211</v>
      </c>
      <c r="AA1475" s="6">
        <v>10</v>
      </c>
      <c r="AB1475" s="6">
        <v>0</v>
      </c>
      <c r="AC1475" s="7">
        <v>42</v>
      </c>
      <c r="AD1475" s="7" t="s">
        <v>52</v>
      </c>
      <c r="AE1475" s="7">
        <v>19.14</v>
      </c>
      <c r="AF1475" s="7">
        <v>1002</v>
      </c>
      <c r="AG1475" s="7">
        <v>26.91</v>
      </c>
      <c r="AH1475" s="7">
        <v>18.489999999999998</v>
      </c>
      <c r="AI1475" s="7">
        <v>24.7</v>
      </c>
      <c r="AJ1475" s="9">
        <v>235.22731952004699</v>
      </c>
      <c r="AK1475" s="9">
        <v>249.469241759395</v>
      </c>
      <c r="AL1475" s="9">
        <v>295.94178159758502</v>
      </c>
      <c r="AM1475" s="9">
        <v>32.311743607175899</v>
      </c>
      <c r="AN1475" s="9">
        <v>0.76932722874228399</v>
      </c>
      <c r="AO1475" s="9">
        <v>0.99362559221314195</v>
      </c>
      <c r="AP1475" s="9">
        <v>344.04021613753702</v>
      </c>
      <c r="AQ1475" s="9">
        <v>8.1914337175604004</v>
      </c>
      <c r="AR1475" s="9">
        <v>15.1165156195114</v>
      </c>
      <c r="AS1475" s="8" t="s">
        <v>169</v>
      </c>
      <c r="AT1475" s="8" t="s">
        <v>169</v>
      </c>
      <c r="AU1475" s="10" t="s">
        <v>169</v>
      </c>
      <c r="AV1475" s="10">
        <v>0</v>
      </c>
      <c r="AX1475" s="10" t="s">
        <v>169</v>
      </c>
      <c r="BF1475" s="12">
        <v>0.55000000000000004</v>
      </c>
      <c r="BG1475" s="13">
        <v>283.48756495535298</v>
      </c>
      <c r="BH1475" s="96" t="str">
        <f>+VLOOKUP(G1475,Liste!$A$7:$G$50,3,FALSE)</f>
        <v>Chêne sessile</v>
      </c>
      <c r="BI1475" s="96" t="str">
        <f>+VLOOKUP(H1475,Liste!$B$7:$G$50,5,FALSE)</f>
        <v>Guide chênaie atlantique</v>
      </c>
      <c r="BJ1475" s="135">
        <f t="shared" ref="BJ1475:BJ1538" si="456">+AC1475</f>
        <v>42</v>
      </c>
      <c r="BK1475" s="135" t="str">
        <f t="shared" si="439"/>
        <v>Chêne sessile_F1_Classique_Guide chênaie atlantique_42_</v>
      </c>
      <c r="BM1475" s="13">
        <v>72.220326898424304</v>
      </c>
      <c r="BN1475" s="13">
        <v>355.70789185377703</v>
      </c>
      <c r="BO1475" s="13" t="s">
        <v>169</v>
      </c>
      <c r="BP1475" s="13">
        <v>453.22050465958398</v>
      </c>
      <c r="BQ1475" s="13">
        <v>17.659849817355301</v>
      </c>
      <c r="BT1475" s="298" t="str">
        <f>+VLOOKUP(G1475,Liste!$A$7:$H$50,8,FALSE)</f>
        <v>Feuillus</v>
      </c>
      <c r="BU1475" s="298">
        <f t="shared" si="440"/>
        <v>1</v>
      </c>
      <c r="BV1475" s="300">
        <f t="shared" si="441"/>
        <v>0</v>
      </c>
      <c r="BW1475" s="321">
        <v>0</v>
      </c>
      <c r="BX1475" s="298">
        <f t="shared" si="442"/>
        <v>0.25</v>
      </c>
      <c r="BY1475">
        <f t="shared" si="443"/>
        <v>0</v>
      </c>
      <c r="BZ1475" s="304">
        <f t="shared" si="444"/>
        <v>0</v>
      </c>
      <c r="CB1475" s="299">
        <v>0.6</v>
      </c>
      <c r="CC1475" s="299">
        <v>0.4</v>
      </c>
      <c r="CD1475">
        <f t="shared" si="445"/>
        <v>0</v>
      </c>
      <c r="CE1475">
        <f t="shared" si="446"/>
        <v>0</v>
      </c>
      <c r="CF1475">
        <f t="shared" si="447"/>
        <v>0</v>
      </c>
      <c r="CG1475">
        <f t="shared" si="448"/>
        <v>0</v>
      </c>
      <c r="CH1475">
        <f t="shared" si="449"/>
        <v>0</v>
      </c>
      <c r="CI1475">
        <f t="shared" si="450"/>
        <v>0</v>
      </c>
      <c r="CJ1475">
        <f t="shared" si="451"/>
        <v>0</v>
      </c>
      <c r="CK1475">
        <f t="shared" si="452"/>
        <v>0</v>
      </c>
      <c r="CL1475">
        <f t="shared" si="453"/>
        <v>0</v>
      </c>
      <c r="CM1475">
        <f t="shared" si="455"/>
        <v>0</v>
      </c>
      <c r="CN1475">
        <f t="shared" si="454"/>
        <v>0</v>
      </c>
      <c r="CO1475">
        <f t="shared" ref="CO1475:CO1538" si="457">+IF(BJ1475=30,CN1475/30,0)</f>
        <v>0</v>
      </c>
    </row>
    <row r="1476" spans="1:93" x14ac:dyDescent="0.25">
      <c r="A1476" s="4">
        <v>2021</v>
      </c>
      <c r="B1476" s="318">
        <v>44361</v>
      </c>
      <c r="C1476" s="4" t="s">
        <v>66</v>
      </c>
      <c r="D1476" s="4" t="s">
        <v>1525</v>
      </c>
      <c r="E1476" s="4" t="s">
        <v>87</v>
      </c>
      <c r="F1476" s="4" t="s">
        <v>90</v>
      </c>
      <c r="G1476" s="5" t="s">
        <v>17</v>
      </c>
      <c r="H1476" s="5" t="s">
        <v>20</v>
      </c>
      <c r="I1476" s="5" t="s">
        <v>18</v>
      </c>
      <c r="J1476" s="5" t="s">
        <v>9</v>
      </c>
      <c r="K1476" s="5">
        <v>21.5</v>
      </c>
      <c r="L1476" s="5" t="s">
        <v>1529</v>
      </c>
      <c r="M1476" s="5">
        <v>1666</v>
      </c>
      <c r="N1476" s="5" t="s">
        <v>170</v>
      </c>
      <c r="O1476" s="6" t="s">
        <v>81</v>
      </c>
      <c r="P1476" s="6" t="s">
        <v>1505</v>
      </c>
      <c r="S1476" s="6">
        <v>34</v>
      </c>
      <c r="T1476" s="6">
        <v>16.2</v>
      </c>
      <c r="U1476" s="6">
        <v>1451</v>
      </c>
      <c r="V1476" s="6">
        <v>23.57</v>
      </c>
      <c r="W1476" s="6">
        <v>44</v>
      </c>
      <c r="X1476" s="6">
        <v>444</v>
      </c>
      <c r="Y1476" s="6">
        <v>742</v>
      </c>
      <c r="Z1476" s="6">
        <v>211</v>
      </c>
      <c r="AA1476" s="6">
        <v>10</v>
      </c>
      <c r="AB1476" s="6">
        <v>0</v>
      </c>
      <c r="AC1476" s="7">
        <v>42</v>
      </c>
      <c r="AD1476" s="7" t="s">
        <v>53</v>
      </c>
      <c r="AE1476" s="7">
        <v>19.14</v>
      </c>
      <c r="AF1476" s="7">
        <v>683</v>
      </c>
      <c r="AG1476" s="7">
        <v>20.03</v>
      </c>
      <c r="AH1476" s="7">
        <v>19.32</v>
      </c>
      <c r="AI1476" s="7">
        <v>24.7</v>
      </c>
      <c r="AJ1476" s="9">
        <v>177.55411373582899</v>
      </c>
      <c r="AK1476" s="9">
        <v>189.215149206192</v>
      </c>
      <c r="AL1476" s="9">
        <v>223.03316451354101</v>
      </c>
      <c r="AM1476" s="9">
        <v>32.311743607175899</v>
      </c>
      <c r="AN1476" s="9">
        <v>0.76932722874228399</v>
      </c>
      <c r="AO1476" s="9">
        <v>0.99362559221314195</v>
      </c>
      <c r="AP1476" s="9">
        <v>344.04021613753702</v>
      </c>
      <c r="AQ1476" s="9">
        <v>8.1914337175604004</v>
      </c>
      <c r="AR1476" s="9">
        <v>15.1165156195114</v>
      </c>
      <c r="AS1476" s="8">
        <v>319</v>
      </c>
      <c r="AT1476" s="8">
        <v>6.879999999999999</v>
      </c>
      <c r="AU1476" s="10">
        <v>16.571199160686358</v>
      </c>
      <c r="AV1476" s="10">
        <v>57.673205784217998</v>
      </c>
      <c r="AW1476" s="8">
        <v>0.8</v>
      </c>
      <c r="AX1476" s="10">
        <v>0.18079374853986832</v>
      </c>
      <c r="BF1476" s="12">
        <v>0.55000000000000004</v>
      </c>
      <c r="BG1476" s="13">
        <v>213.64718550692899</v>
      </c>
      <c r="BH1476" s="96" t="str">
        <f>+VLOOKUP(G1476,Liste!$A$7:$G$50,3,FALSE)</f>
        <v>Chêne sessile</v>
      </c>
      <c r="BI1476" s="96" t="str">
        <f>+VLOOKUP(H1476,Liste!$B$7:$G$50,5,FALSE)</f>
        <v>Guide chênaie atlantique</v>
      </c>
      <c r="BJ1476" s="135">
        <f t="shared" si="456"/>
        <v>42</v>
      </c>
      <c r="BK1476" s="135" t="str">
        <f t="shared" ref="BK1476:BK1539" si="458">+_xlfn.CONCAT(BH1476,"_",J1476,"_",I1476,"_",BI1476,"_",BJ1476,"_")</f>
        <v>Chêne sessile_F1_Classique_Guide chênaie atlantique_42_</v>
      </c>
      <c r="BM1476" s="13">
        <v>56.249778967750501</v>
      </c>
      <c r="BN1476" s="13">
        <v>269.89696447467998</v>
      </c>
      <c r="BO1476" s="13">
        <v>85.810927379097052</v>
      </c>
      <c r="BP1476" s="13">
        <v>453.22050465958398</v>
      </c>
      <c r="BQ1476" s="13">
        <v>17.659849817355301</v>
      </c>
      <c r="BT1476" s="298" t="str">
        <f>+VLOOKUP(G1476,Liste!$A$7:$H$50,8,FALSE)</f>
        <v>Feuillus</v>
      </c>
      <c r="BU1476" s="298">
        <f t="shared" ref="BU1476:BU1539" si="459">IF(BT1476="Résineux",0%,100%)</f>
        <v>1</v>
      </c>
      <c r="BV1476" s="300">
        <f t="shared" ref="BV1476:BV1539" si="460">+IF(BT1476="Résineux",100%,0%)</f>
        <v>0</v>
      </c>
      <c r="BW1476" s="321">
        <v>0</v>
      </c>
      <c r="BX1476" s="298">
        <f t="shared" ref="BX1476:BX1539" si="461">+IF(BV1476&lt;&gt;0,0.43,0.25)</f>
        <v>0.25</v>
      </c>
      <c r="BY1476">
        <f t="shared" ref="BY1476:BY1539" si="462">+IF(BJ1476&lt;=30,AV1476*BX1476,0)</f>
        <v>0</v>
      </c>
      <c r="BZ1476" s="304">
        <f t="shared" ref="BZ1476:BZ1539" si="463">+IF(BJ1476&gt;=31,0,BY1476+BZ1475)</f>
        <v>0</v>
      </c>
      <c r="CB1476" s="299">
        <v>0.6</v>
      </c>
      <c r="CC1476" s="299">
        <v>0.4</v>
      </c>
      <c r="CD1476">
        <f t="shared" ref="CD1476:CD1539" si="464">+IF(BJ1476&lt;=31,AV1476*CA1476*0.5,0)</f>
        <v>0</v>
      </c>
      <c r="CE1476">
        <f t="shared" ref="CE1476:CE1539" si="465">IF(BJ1476&lt;=31,AV1476*CB1476,0)</f>
        <v>0</v>
      </c>
      <c r="CF1476">
        <f t="shared" ref="CF1476:CF1539" si="466">IF(BJ1476&lt;=31,AV1476*CC1476,0)</f>
        <v>0</v>
      </c>
      <c r="CG1476">
        <f t="shared" ref="CG1476:CG1539" si="467">CD1476*44/12*0.475*BF1476</f>
        <v>0</v>
      </c>
      <c r="CH1476">
        <f t="shared" ref="CH1476:CH1539" si="468">CE1476*44/12*0.475*BF1476</f>
        <v>0</v>
      </c>
      <c r="CI1476">
        <f t="shared" ref="CI1476:CI1539" si="469">CF1476*44/12*0.475*BF1476</f>
        <v>0</v>
      </c>
      <c r="CJ1476">
        <f t="shared" ref="CJ1476:CJ1539" si="470">+IF(BJ1476&lt;=31,CJ1475*EXP(-$CJ$1)+CG1475*(1-EXP(-$CJ$1))/$CJ$1,0)</f>
        <v>0</v>
      </c>
      <c r="CK1476">
        <f t="shared" ref="CK1476:CK1539" si="471">+IF(BJ1476&lt;=31,CK1475*EXP(-$CK$1)+CH1475*(1-EXP(-$CK$1))/$CK$1,0)</f>
        <v>0</v>
      </c>
      <c r="CL1476">
        <f t="shared" ref="CL1476:CL1539" si="472">+IF(BJ1476&lt;=31,CL1475*EXP(-$CL$1)+CI1475*(1-EXP(-$CL$1))/$CL$1,0)</f>
        <v>0</v>
      </c>
      <c r="CM1476">
        <f t="shared" si="455"/>
        <v>0</v>
      </c>
      <c r="CN1476">
        <f t="shared" ref="CN1476:CN1539" si="473">+IF(BJ1476&lt;=31,CM1476+CN1475,0)</f>
        <v>0</v>
      </c>
      <c r="CO1476">
        <f t="shared" si="457"/>
        <v>0</v>
      </c>
    </row>
    <row r="1477" spans="1:93" x14ac:dyDescent="0.25">
      <c r="A1477" s="4">
        <v>2021</v>
      </c>
      <c r="B1477" s="318">
        <v>44361</v>
      </c>
      <c r="C1477" s="4" t="s">
        <v>66</v>
      </c>
      <c r="D1477" s="4" t="s">
        <v>1525</v>
      </c>
      <c r="E1477" s="4" t="s">
        <v>87</v>
      </c>
      <c r="F1477" s="4" t="s">
        <v>90</v>
      </c>
      <c r="G1477" s="5" t="s">
        <v>17</v>
      </c>
      <c r="H1477" s="5" t="s">
        <v>20</v>
      </c>
      <c r="I1477" s="5" t="s">
        <v>18</v>
      </c>
      <c r="J1477" s="5" t="s">
        <v>9</v>
      </c>
      <c r="K1477" s="5">
        <v>21.5</v>
      </c>
      <c r="L1477" s="5" t="s">
        <v>1529</v>
      </c>
      <c r="M1477" s="5">
        <v>1666</v>
      </c>
      <c r="N1477" s="5" t="s">
        <v>170</v>
      </c>
      <c r="O1477" s="6" t="s">
        <v>81</v>
      </c>
      <c r="P1477" s="6" t="s">
        <v>1505</v>
      </c>
      <c r="S1477" s="6">
        <v>34</v>
      </c>
      <c r="T1477" s="6">
        <v>16.2</v>
      </c>
      <c r="U1477" s="6">
        <v>1451</v>
      </c>
      <c r="V1477" s="6">
        <v>23.57</v>
      </c>
      <c r="W1477" s="6">
        <v>44</v>
      </c>
      <c r="X1477" s="6">
        <v>444</v>
      </c>
      <c r="Y1477" s="6">
        <v>742</v>
      </c>
      <c r="Z1477" s="6">
        <v>211</v>
      </c>
      <c r="AA1477" s="6">
        <v>10</v>
      </c>
      <c r="AB1477" s="6">
        <v>0</v>
      </c>
      <c r="AC1477" s="7">
        <v>45</v>
      </c>
      <c r="AD1477" s="7" t="s">
        <v>52</v>
      </c>
      <c r="AE1477" s="7">
        <v>20.149999999999999</v>
      </c>
      <c r="AF1477" s="7">
        <v>683</v>
      </c>
      <c r="AG1477" s="7">
        <v>23.01</v>
      </c>
      <c r="AH1477" s="7">
        <v>20.71</v>
      </c>
      <c r="AI1477" s="7">
        <v>26.32</v>
      </c>
      <c r="AJ1477" s="9">
        <v>216.34433473747799</v>
      </c>
      <c r="AK1477" s="9">
        <v>230.96565206106101</v>
      </c>
      <c r="AL1477" s="9">
        <v>268.38271137207499</v>
      </c>
      <c r="AM1477" s="9">
        <v>35.292620383815397</v>
      </c>
      <c r="AN1477" s="9">
        <v>0.78428045297367499</v>
      </c>
      <c r="AO1477" s="9">
        <v>0.97055339542597396</v>
      </c>
      <c r="AP1477" s="9">
        <v>389.389762996071</v>
      </c>
      <c r="AQ1477" s="9">
        <v>8.65310584435713</v>
      </c>
      <c r="AR1477" s="9">
        <v>15.688610492267401</v>
      </c>
      <c r="AS1477" s="8" t="s">
        <v>169</v>
      </c>
      <c r="AT1477" s="8" t="s">
        <v>169</v>
      </c>
      <c r="AU1477" s="10" t="s">
        <v>169</v>
      </c>
      <c r="AV1477" s="10">
        <v>0</v>
      </c>
      <c r="AX1477" s="10" t="s">
        <v>169</v>
      </c>
      <c r="BF1477" s="12">
        <v>0.55000000000000004</v>
      </c>
      <c r="BG1477" s="13">
        <v>257.08827226850002</v>
      </c>
      <c r="BH1477" s="96" t="str">
        <f>+VLOOKUP(G1477,Liste!$A$7:$G$50,3,FALSE)</f>
        <v>Chêne sessile</v>
      </c>
      <c r="BI1477" s="96" t="str">
        <f>+VLOOKUP(H1477,Liste!$B$7:$G$50,5,FALSE)</f>
        <v>Guide chênaie atlantique</v>
      </c>
      <c r="BJ1477" s="135">
        <f t="shared" si="456"/>
        <v>45</v>
      </c>
      <c r="BK1477" s="135" t="str">
        <f t="shared" si="458"/>
        <v>Chêne sessile_F1_Classique_Guide chênaie atlantique_45_</v>
      </c>
      <c r="BM1477" s="13">
        <v>66.244386971000097</v>
      </c>
      <c r="BN1477" s="13">
        <v>323.3326592395</v>
      </c>
      <c r="BO1477" s="13" t="s">
        <v>169</v>
      </c>
      <c r="BP1477" s="13">
        <v>453.22050465958398</v>
      </c>
      <c r="BQ1477" s="13">
        <v>18.282888592846199</v>
      </c>
      <c r="BT1477" s="298" t="str">
        <f>+VLOOKUP(G1477,Liste!$A$7:$H$50,8,FALSE)</f>
        <v>Feuillus</v>
      </c>
      <c r="BU1477" s="298">
        <f t="shared" si="459"/>
        <v>1</v>
      </c>
      <c r="BV1477" s="300">
        <f t="shared" si="460"/>
        <v>0</v>
      </c>
      <c r="BW1477" s="321">
        <v>0</v>
      </c>
      <c r="BX1477" s="298">
        <f t="shared" si="461"/>
        <v>0.25</v>
      </c>
      <c r="BY1477">
        <f t="shared" si="462"/>
        <v>0</v>
      </c>
      <c r="BZ1477" s="304">
        <f t="shared" si="463"/>
        <v>0</v>
      </c>
      <c r="CB1477" s="299">
        <v>0.6</v>
      </c>
      <c r="CC1477" s="299">
        <v>0.4</v>
      </c>
      <c r="CD1477">
        <f t="shared" si="464"/>
        <v>0</v>
      </c>
      <c r="CE1477">
        <f t="shared" si="465"/>
        <v>0</v>
      </c>
      <c r="CF1477">
        <f t="shared" si="466"/>
        <v>0</v>
      </c>
      <c r="CG1477">
        <f t="shared" si="467"/>
        <v>0</v>
      </c>
      <c r="CH1477">
        <f t="shared" si="468"/>
        <v>0</v>
      </c>
      <c r="CI1477">
        <f t="shared" si="469"/>
        <v>0</v>
      </c>
      <c r="CJ1477">
        <f t="shared" si="470"/>
        <v>0</v>
      </c>
      <c r="CK1477">
        <f t="shared" si="471"/>
        <v>0</v>
      </c>
      <c r="CL1477">
        <f t="shared" si="472"/>
        <v>0</v>
      </c>
      <c r="CM1477">
        <f t="shared" ref="CM1477:CM1540" si="474">+CJ1477+CK1477+CL1477</f>
        <v>0</v>
      </c>
      <c r="CN1477">
        <f t="shared" si="473"/>
        <v>0</v>
      </c>
      <c r="CO1477">
        <f t="shared" si="457"/>
        <v>0</v>
      </c>
    </row>
    <row r="1478" spans="1:93" x14ac:dyDescent="0.25">
      <c r="A1478" s="4">
        <v>2021</v>
      </c>
      <c r="B1478" s="318">
        <v>44361</v>
      </c>
      <c r="C1478" s="4" t="s">
        <v>66</v>
      </c>
      <c r="D1478" s="4" t="s">
        <v>1525</v>
      </c>
      <c r="E1478" s="4" t="s">
        <v>87</v>
      </c>
      <c r="F1478" s="4" t="s">
        <v>90</v>
      </c>
      <c r="G1478" s="5" t="s">
        <v>17</v>
      </c>
      <c r="H1478" s="5" t="s">
        <v>20</v>
      </c>
      <c r="I1478" s="5" t="s">
        <v>18</v>
      </c>
      <c r="J1478" s="5" t="s">
        <v>9</v>
      </c>
      <c r="K1478" s="5">
        <v>21.5</v>
      </c>
      <c r="L1478" s="5" t="s">
        <v>1529</v>
      </c>
      <c r="M1478" s="5">
        <v>1666</v>
      </c>
      <c r="N1478" s="5" t="s">
        <v>170</v>
      </c>
      <c r="O1478" s="6" t="s">
        <v>81</v>
      </c>
      <c r="P1478" s="6" t="s">
        <v>1505</v>
      </c>
      <c r="S1478" s="6">
        <v>34</v>
      </c>
      <c r="T1478" s="6">
        <v>16.2</v>
      </c>
      <c r="U1478" s="6">
        <v>1451</v>
      </c>
      <c r="V1478" s="6">
        <v>23.57</v>
      </c>
      <c r="W1478" s="6">
        <v>44</v>
      </c>
      <c r="X1478" s="6">
        <v>444</v>
      </c>
      <c r="Y1478" s="6">
        <v>742</v>
      </c>
      <c r="Z1478" s="6">
        <v>211</v>
      </c>
      <c r="AA1478" s="6">
        <v>10</v>
      </c>
      <c r="AB1478" s="6">
        <v>0</v>
      </c>
      <c r="AC1478" s="7">
        <v>48</v>
      </c>
      <c r="AD1478" s="7" t="s">
        <v>52</v>
      </c>
      <c r="AE1478" s="7">
        <v>21.11</v>
      </c>
      <c r="AF1478" s="7">
        <v>683</v>
      </c>
      <c r="AG1478" s="7">
        <v>25.92</v>
      </c>
      <c r="AH1478" s="7">
        <v>21.98</v>
      </c>
      <c r="AI1478" s="7">
        <v>27.84</v>
      </c>
      <c r="AJ1478" s="9">
        <v>256.95437573760302</v>
      </c>
      <c r="AK1478" s="9">
        <v>274.581846619072</v>
      </c>
      <c r="AL1478" s="9">
        <v>315.44854284887703</v>
      </c>
      <c r="AM1478" s="9">
        <v>38.204280570093303</v>
      </c>
      <c r="AN1478" s="9">
        <v>0.79592251187694396</v>
      </c>
      <c r="AO1478" s="9">
        <v>0.94316628396095603</v>
      </c>
      <c r="AP1478" s="9">
        <v>436.45559447287297</v>
      </c>
      <c r="AQ1478" s="9">
        <v>9.0928248848515203</v>
      </c>
      <c r="AR1478" s="9">
        <v>15.8223013126707</v>
      </c>
      <c r="AS1478" s="8" t="s">
        <v>169</v>
      </c>
      <c r="AT1478" s="8" t="s">
        <v>169</v>
      </c>
      <c r="AU1478" s="10" t="s">
        <v>169</v>
      </c>
      <c r="AV1478" s="10">
        <v>0</v>
      </c>
      <c r="AX1478" s="10" t="s">
        <v>169</v>
      </c>
      <c r="BF1478" s="12">
        <v>0.55000000000000004</v>
      </c>
      <c r="BG1478" s="13">
        <v>302.17341667065301</v>
      </c>
      <c r="BH1478" s="96" t="str">
        <f>+VLOOKUP(G1478,Liste!$A$7:$G$50,3,FALSE)</f>
        <v>Chêne sessile</v>
      </c>
      <c r="BI1478" s="96" t="str">
        <f>+VLOOKUP(H1478,Liste!$B$7:$G$50,5,FALSE)</f>
        <v>Guide chênaie atlantique</v>
      </c>
      <c r="BJ1478" s="135">
        <f t="shared" si="456"/>
        <v>48</v>
      </c>
      <c r="BK1478" s="135" t="str">
        <f t="shared" si="458"/>
        <v>Chêne sessile_F1_Classique_Guide chênaie atlantique_48_</v>
      </c>
      <c r="BM1478" s="13">
        <v>76.410813362664996</v>
      </c>
      <c r="BN1478" s="13">
        <v>378.58423003331802</v>
      </c>
      <c r="BO1478" s="13" t="s">
        <v>169</v>
      </c>
      <c r="BP1478" s="13">
        <v>453.22050465958398</v>
      </c>
      <c r="BQ1478" s="13">
        <v>18.403946935535799</v>
      </c>
      <c r="BT1478" s="298" t="str">
        <f>+VLOOKUP(G1478,Liste!$A$7:$H$50,8,FALSE)</f>
        <v>Feuillus</v>
      </c>
      <c r="BU1478" s="298">
        <f t="shared" si="459"/>
        <v>1</v>
      </c>
      <c r="BV1478" s="300">
        <f t="shared" si="460"/>
        <v>0</v>
      </c>
      <c r="BW1478" s="321">
        <v>0</v>
      </c>
      <c r="BX1478" s="298">
        <f t="shared" si="461"/>
        <v>0.25</v>
      </c>
      <c r="BY1478">
        <f t="shared" si="462"/>
        <v>0</v>
      </c>
      <c r="BZ1478" s="304">
        <f t="shared" si="463"/>
        <v>0</v>
      </c>
      <c r="CB1478" s="299">
        <v>0.6</v>
      </c>
      <c r="CC1478" s="299">
        <v>0.4</v>
      </c>
      <c r="CD1478">
        <f t="shared" si="464"/>
        <v>0</v>
      </c>
      <c r="CE1478">
        <f t="shared" si="465"/>
        <v>0</v>
      </c>
      <c r="CF1478">
        <f t="shared" si="466"/>
        <v>0</v>
      </c>
      <c r="CG1478">
        <f t="shared" si="467"/>
        <v>0</v>
      </c>
      <c r="CH1478">
        <f t="shared" si="468"/>
        <v>0</v>
      </c>
      <c r="CI1478">
        <f t="shared" si="469"/>
        <v>0</v>
      </c>
      <c r="CJ1478">
        <f t="shared" si="470"/>
        <v>0</v>
      </c>
      <c r="CK1478">
        <f t="shared" si="471"/>
        <v>0</v>
      </c>
      <c r="CL1478">
        <f t="shared" si="472"/>
        <v>0</v>
      </c>
      <c r="CM1478">
        <f t="shared" si="474"/>
        <v>0</v>
      </c>
      <c r="CN1478">
        <f t="shared" si="473"/>
        <v>0</v>
      </c>
      <c r="CO1478">
        <f t="shared" si="457"/>
        <v>0</v>
      </c>
    </row>
    <row r="1479" spans="1:93" x14ac:dyDescent="0.25">
      <c r="A1479" s="4">
        <v>2021</v>
      </c>
      <c r="B1479" s="318">
        <v>44361</v>
      </c>
      <c r="C1479" s="4" t="s">
        <v>66</v>
      </c>
      <c r="D1479" s="4" t="s">
        <v>1525</v>
      </c>
      <c r="E1479" s="4" t="s">
        <v>87</v>
      </c>
      <c r="F1479" s="4" t="s">
        <v>90</v>
      </c>
      <c r="G1479" s="5" t="s">
        <v>17</v>
      </c>
      <c r="H1479" s="5" t="s">
        <v>20</v>
      </c>
      <c r="I1479" s="5" t="s">
        <v>18</v>
      </c>
      <c r="J1479" s="5" t="s">
        <v>9</v>
      </c>
      <c r="K1479" s="5">
        <v>21.5</v>
      </c>
      <c r="L1479" s="5" t="s">
        <v>1529</v>
      </c>
      <c r="M1479" s="5">
        <v>1666</v>
      </c>
      <c r="N1479" s="5" t="s">
        <v>170</v>
      </c>
      <c r="O1479" s="6" t="s">
        <v>81</v>
      </c>
      <c r="P1479" s="6" t="s">
        <v>1505</v>
      </c>
      <c r="S1479" s="6">
        <v>34</v>
      </c>
      <c r="T1479" s="6">
        <v>16.2</v>
      </c>
      <c r="U1479" s="6">
        <v>1451</v>
      </c>
      <c r="V1479" s="6">
        <v>23.57</v>
      </c>
      <c r="W1479" s="6">
        <v>44</v>
      </c>
      <c r="X1479" s="6">
        <v>444</v>
      </c>
      <c r="Y1479" s="6">
        <v>742</v>
      </c>
      <c r="Z1479" s="6">
        <v>211</v>
      </c>
      <c r="AA1479" s="6">
        <v>10</v>
      </c>
      <c r="AB1479" s="6">
        <v>0</v>
      </c>
      <c r="AC1479" s="7">
        <v>50</v>
      </c>
      <c r="AD1479" s="7" t="s">
        <v>52</v>
      </c>
      <c r="AE1479" s="7">
        <v>21.73</v>
      </c>
      <c r="AF1479" s="7">
        <v>683</v>
      </c>
      <c r="AG1479" s="7">
        <v>27.81</v>
      </c>
      <c r="AH1479" s="7">
        <v>22.77</v>
      </c>
      <c r="AI1479" s="7">
        <v>28.8</v>
      </c>
      <c r="AJ1479" s="9">
        <v>284.35141757913499</v>
      </c>
      <c r="AK1479" s="9">
        <v>304.01580634414199</v>
      </c>
      <c r="AL1479" s="9">
        <v>347.09314547421798</v>
      </c>
      <c r="AM1479" s="9">
        <v>40.0906131380152</v>
      </c>
      <c r="AN1479" s="9">
        <v>0.80181226276030404</v>
      </c>
      <c r="AO1479" s="9">
        <v>0.87537556563914098</v>
      </c>
      <c r="AP1479" s="9">
        <v>468.10019709821398</v>
      </c>
      <c r="AQ1479" s="9">
        <v>9.3620039419642893</v>
      </c>
      <c r="AR1479" s="9">
        <v>14.843537335592</v>
      </c>
      <c r="AS1479" s="8" t="s">
        <v>169</v>
      </c>
      <c r="AT1479" s="8" t="s">
        <v>169</v>
      </c>
      <c r="AU1479" s="10" t="s">
        <v>169</v>
      </c>
      <c r="AV1479" s="10">
        <v>0</v>
      </c>
      <c r="AX1479" s="10" t="s">
        <v>169</v>
      </c>
      <c r="BF1479" s="12">
        <v>0.55000000000000004</v>
      </c>
      <c r="BG1479" s="13">
        <v>332.486308935512</v>
      </c>
      <c r="BH1479" s="96" t="str">
        <f>+VLOOKUP(G1479,Liste!$A$7:$G$50,3,FALSE)</f>
        <v>Chêne sessile</v>
      </c>
      <c r="BI1479" s="96" t="str">
        <f>+VLOOKUP(H1479,Liste!$B$7:$G$50,5,FALSE)</f>
        <v>Guide chênaie atlantique</v>
      </c>
      <c r="BJ1479" s="135">
        <f t="shared" si="456"/>
        <v>50</v>
      </c>
      <c r="BK1479" s="135" t="str">
        <f t="shared" si="458"/>
        <v>Chêne sessile_F1_Classique_Guide chênaie atlantique_50_</v>
      </c>
      <c r="BM1479" s="13">
        <v>83.145681203858501</v>
      </c>
      <c r="BN1479" s="13">
        <v>415.63199013936998</v>
      </c>
      <c r="BO1479" s="13" t="s">
        <v>169</v>
      </c>
      <c r="BP1479" s="13">
        <v>453.22050465958398</v>
      </c>
      <c r="BQ1479" s="13">
        <v>17.2369992957336</v>
      </c>
      <c r="BT1479" s="298" t="str">
        <f>+VLOOKUP(G1479,Liste!$A$7:$H$50,8,FALSE)</f>
        <v>Feuillus</v>
      </c>
      <c r="BU1479" s="298">
        <f t="shared" si="459"/>
        <v>1</v>
      </c>
      <c r="BV1479" s="300">
        <f t="shared" si="460"/>
        <v>0</v>
      </c>
      <c r="BW1479" s="321">
        <v>0</v>
      </c>
      <c r="BX1479" s="298">
        <f t="shared" si="461"/>
        <v>0.25</v>
      </c>
      <c r="BY1479">
        <f t="shared" si="462"/>
        <v>0</v>
      </c>
      <c r="BZ1479" s="304">
        <f t="shared" si="463"/>
        <v>0</v>
      </c>
      <c r="CB1479" s="299">
        <v>0.6</v>
      </c>
      <c r="CC1479" s="299">
        <v>0.4</v>
      </c>
      <c r="CD1479">
        <f t="shared" si="464"/>
        <v>0</v>
      </c>
      <c r="CE1479">
        <f t="shared" si="465"/>
        <v>0</v>
      </c>
      <c r="CF1479">
        <f t="shared" si="466"/>
        <v>0</v>
      </c>
      <c r="CG1479">
        <f t="shared" si="467"/>
        <v>0</v>
      </c>
      <c r="CH1479">
        <f t="shared" si="468"/>
        <v>0</v>
      </c>
      <c r="CI1479">
        <f t="shared" si="469"/>
        <v>0</v>
      </c>
      <c r="CJ1479">
        <f t="shared" si="470"/>
        <v>0</v>
      </c>
      <c r="CK1479">
        <f t="shared" si="471"/>
        <v>0</v>
      </c>
      <c r="CL1479">
        <f t="shared" si="472"/>
        <v>0</v>
      </c>
      <c r="CM1479">
        <f t="shared" si="474"/>
        <v>0</v>
      </c>
      <c r="CN1479">
        <f t="shared" si="473"/>
        <v>0</v>
      </c>
      <c r="CO1479">
        <f t="shared" si="457"/>
        <v>0</v>
      </c>
    </row>
    <row r="1480" spans="1:93" x14ac:dyDescent="0.25">
      <c r="A1480" s="4">
        <v>2021</v>
      </c>
      <c r="B1480" s="318">
        <v>44361</v>
      </c>
      <c r="C1480" s="4" t="s">
        <v>66</v>
      </c>
      <c r="D1480" s="4" t="s">
        <v>1525</v>
      </c>
      <c r="E1480" s="4" t="s">
        <v>87</v>
      </c>
      <c r="F1480" s="4" t="s">
        <v>90</v>
      </c>
      <c r="G1480" s="5" t="s">
        <v>17</v>
      </c>
      <c r="H1480" s="5" t="s">
        <v>20</v>
      </c>
      <c r="I1480" s="5" t="s">
        <v>18</v>
      </c>
      <c r="J1480" s="5" t="s">
        <v>9</v>
      </c>
      <c r="K1480" s="5">
        <v>21.5</v>
      </c>
      <c r="L1480" s="5" t="s">
        <v>1529</v>
      </c>
      <c r="M1480" s="5">
        <v>1666</v>
      </c>
      <c r="N1480" s="5" t="s">
        <v>170</v>
      </c>
      <c r="O1480" s="6" t="s">
        <v>81</v>
      </c>
      <c r="P1480" s="6" t="s">
        <v>1505</v>
      </c>
      <c r="S1480" s="6">
        <v>34</v>
      </c>
      <c r="T1480" s="6">
        <v>16.2</v>
      </c>
      <c r="U1480" s="6">
        <v>1451</v>
      </c>
      <c r="V1480" s="6">
        <v>23.57</v>
      </c>
      <c r="W1480" s="6">
        <v>44</v>
      </c>
      <c r="X1480" s="6">
        <v>444</v>
      </c>
      <c r="Y1480" s="6">
        <v>742</v>
      </c>
      <c r="Z1480" s="6">
        <v>211</v>
      </c>
      <c r="AA1480" s="6">
        <v>10</v>
      </c>
      <c r="AB1480" s="6">
        <v>0</v>
      </c>
      <c r="AC1480" s="7">
        <v>50</v>
      </c>
      <c r="AD1480" s="7" t="s">
        <v>53</v>
      </c>
      <c r="AE1480" s="7">
        <v>21.73</v>
      </c>
      <c r="AF1480" s="7">
        <v>485</v>
      </c>
      <c r="AG1480" s="7">
        <v>21.21</v>
      </c>
      <c r="AH1480" s="7">
        <v>23.6</v>
      </c>
      <c r="AI1480" s="7">
        <v>28.8</v>
      </c>
      <c r="AJ1480" s="9">
        <v>218.645362965358</v>
      </c>
      <c r="AK1480" s="9">
        <v>234.562397251356</v>
      </c>
      <c r="AL1480" s="9">
        <v>266.999365174638</v>
      </c>
      <c r="AM1480" s="9">
        <v>40.0906131380152</v>
      </c>
      <c r="AN1480" s="9">
        <v>0.80181226276030404</v>
      </c>
      <c r="AO1480" s="9">
        <v>0.87537556563914098</v>
      </c>
      <c r="AP1480" s="9">
        <v>468.10019709821501</v>
      </c>
      <c r="AQ1480" s="9">
        <v>9.3620039419642893</v>
      </c>
      <c r="AR1480" s="9">
        <v>14.843537335592</v>
      </c>
      <c r="AS1480" s="8">
        <v>198</v>
      </c>
      <c r="AT1480" s="8">
        <v>6.5999999999999979</v>
      </c>
      <c r="AU1480" s="10">
        <v>20.601290774570106</v>
      </c>
      <c r="AV1480" s="10">
        <v>65.706054613776985</v>
      </c>
      <c r="AW1480" s="8">
        <v>0.82</v>
      </c>
      <c r="AX1480" s="10">
        <v>0.33184876067564134</v>
      </c>
      <c r="BF1480" s="12">
        <v>0.55000000000000004</v>
      </c>
      <c r="BG1480" s="13">
        <v>255.76314189020599</v>
      </c>
      <c r="BH1480" s="96" t="str">
        <f>+VLOOKUP(G1480,Liste!$A$7:$G$50,3,FALSE)</f>
        <v>Chêne sessile</v>
      </c>
      <c r="BI1480" s="96" t="str">
        <f>+VLOOKUP(H1480,Liste!$B$7:$G$50,5,FALSE)</f>
        <v>Guide chênaie atlantique</v>
      </c>
      <c r="BJ1480" s="135">
        <f t="shared" si="456"/>
        <v>50</v>
      </c>
      <c r="BK1480" s="135" t="str">
        <f t="shared" si="458"/>
        <v>Chêne sessile_F1_Classique_Guide chênaie atlantique_50_</v>
      </c>
      <c r="BM1480" s="13">
        <v>65.942592242276007</v>
      </c>
      <c r="BN1480" s="13">
        <v>321.70573413248201</v>
      </c>
      <c r="BO1480" s="13">
        <v>93.926256006887968</v>
      </c>
      <c r="BP1480" s="13">
        <v>453.22050465958398</v>
      </c>
      <c r="BQ1480" s="13">
        <v>17.2369992957336</v>
      </c>
      <c r="BT1480" s="298" t="str">
        <f>+VLOOKUP(G1480,Liste!$A$7:$H$50,8,FALSE)</f>
        <v>Feuillus</v>
      </c>
      <c r="BU1480" s="298">
        <f t="shared" si="459"/>
        <v>1</v>
      </c>
      <c r="BV1480" s="300">
        <f t="shared" si="460"/>
        <v>0</v>
      </c>
      <c r="BW1480" s="321">
        <v>0</v>
      </c>
      <c r="BX1480" s="298">
        <f t="shared" si="461"/>
        <v>0.25</v>
      </c>
      <c r="BY1480">
        <f t="shared" si="462"/>
        <v>0</v>
      </c>
      <c r="BZ1480" s="304">
        <f t="shared" si="463"/>
        <v>0</v>
      </c>
      <c r="CB1480" s="299">
        <v>0.6</v>
      </c>
      <c r="CC1480" s="299">
        <v>0.4</v>
      </c>
      <c r="CD1480">
        <f t="shared" si="464"/>
        <v>0</v>
      </c>
      <c r="CE1480">
        <f t="shared" si="465"/>
        <v>0</v>
      </c>
      <c r="CF1480">
        <f t="shared" si="466"/>
        <v>0</v>
      </c>
      <c r="CG1480">
        <f t="shared" si="467"/>
        <v>0</v>
      </c>
      <c r="CH1480">
        <f t="shared" si="468"/>
        <v>0</v>
      </c>
      <c r="CI1480">
        <f t="shared" si="469"/>
        <v>0</v>
      </c>
      <c r="CJ1480">
        <f t="shared" si="470"/>
        <v>0</v>
      </c>
      <c r="CK1480">
        <f t="shared" si="471"/>
        <v>0</v>
      </c>
      <c r="CL1480">
        <f t="shared" si="472"/>
        <v>0</v>
      </c>
      <c r="CM1480">
        <f t="shared" si="474"/>
        <v>0</v>
      </c>
      <c r="CN1480">
        <f t="shared" si="473"/>
        <v>0</v>
      </c>
      <c r="CO1480">
        <f t="shared" si="457"/>
        <v>0</v>
      </c>
    </row>
    <row r="1481" spans="1:93" x14ac:dyDescent="0.25">
      <c r="A1481" s="4">
        <v>2021</v>
      </c>
      <c r="B1481" s="318">
        <v>44361</v>
      </c>
      <c r="C1481" s="4" t="s">
        <v>66</v>
      </c>
      <c r="D1481" s="4" t="s">
        <v>1525</v>
      </c>
      <c r="E1481" s="4" t="s">
        <v>87</v>
      </c>
      <c r="F1481" s="4" t="s">
        <v>90</v>
      </c>
      <c r="G1481" s="5" t="s">
        <v>17</v>
      </c>
      <c r="H1481" s="5" t="s">
        <v>20</v>
      </c>
      <c r="I1481" s="5" t="s">
        <v>18</v>
      </c>
      <c r="J1481" s="5" t="s">
        <v>9</v>
      </c>
      <c r="K1481" s="5">
        <v>21.5</v>
      </c>
      <c r="L1481" s="5" t="s">
        <v>1529</v>
      </c>
      <c r="M1481" s="5">
        <v>1666</v>
      </c>
      <c r="N1481" s="5" t="s">
        <v>170</v>
      </c>
      <c r="O1481" s="6" t="s">
        <v>81</v>
      </c>
      <c r="P1481" s="6" t="s">
        <v>1505</v>
      </c>
      <c r="S1481" s="6">
        <v>34</v>
      </c>
      <c r="T1481" s="6">
        <v>16.2</v>
      </c>
      <c r="U1481" s="6">
        <v>1451</v>
      </c>
      <c r="V1481" s="6">
        <v>23.57</v>
      </c>
      <c r="W1481" s="6">
        <v>44</v>
      </c>
      <c r="X1481" s="6">
        <v>444</v>
      </c>
      <c r="Y1481" s="6">
        <v>742</v>
      </c>
      <c r="Z1481" s="6">
        <v>211</v>
      </c>
      <c r="AA1481" s="6">
        <v>10</v>
      </c>
      <c r="AB1481" s="6">
        <v>0</v>
      </c>
      <c r="AC1481" s="7">
        <v>53</v>
      </c>
      <c r="AD1481" s="7" t="s">
        <v>52</v>
      </c>
      <c r="AE1481" s="7">
        <v>22.61</v>
      </c>
      <c r="AF1481" s="7">
        <v>485</v>
      </c>
      <c r="AG1481" s="7">
        <v>23.84</v>
      </c>
      <c r="AH1481" s="7">
        <v>25.01</v>
      </c>
      <c r="AI1481" s="7">
        <v>30.41</v>
      </c>
      <c r="AJ1481" s="9">
        <v>256.910043428959</v>
      </c>
      <c r="AK1481" s="9">
        <v>275.99958475746303</v>
      </c>
      <c r="AL1481" s="9">
        <v>311.52997718141398</v>
      </c>
      <c r="AM1481" s="9">
        <v>42.716739834932604</v>
      </c>
      <c r="AN1481" s="9">
        <v>0.80597622330061602</v>
      </c>
      <c r="AO1481" s="9">
        <v>0.84933396427373298</v>
      </c>
      <c r="AP1481" s="9">
        <v>512.63080910499104</v>
      </c>
      <c r="AQ1481" s="9">
        <v>9.6722794170752895</v>
      </c>
      <c r="AR1481" s="9">
        <v>15.0660814818531</v>
      </c>
      <c r="AS1481" s="8" t="s">
        <v>169</v>
      </c>
      <c r="AT1481" s="8" t="s">
        <v>169</v>
      </c>
      <c r="AU1481" s="10" t="s">
        <v>169</v>
      </c>
      <c r="AV1481" s="10">
        <v>0</v>
      </c>
      <c r="AX1481" s="10" t="s">
        <v>169</v>
      </c>
      <c r="BF1481" s="12">
        <v>0.55000000000000004</v>
      </c>
      <c r="BG1481" s="13">
        <v>298.41975730836299</v>
      </c>
      <c r="BH1481" s="96" t="str">
        <f>+VLOOKUP(G1481,Liste!$A$7:$G$50,3,FALSE)</f>
        <v>Chêne sessile</v>
      </c>
      <c r="BI1481" s="96" t="str">
        <f>+VLOOKUP(H1481,Liste!$B$7:$G$50,5,FALSE)</f>
        <v>Guide chênaie atlantique</v>
      </c>
      <c r="BJ1481" s="135">
        <f t="shared" si="456"/>
        <v>53</v>
      </c>
      <c r="BK1481" s="135" t="str">
        <f t="shared" si="458"/>
        <v>Chêne sessile_F1_Classique_Guide chênaie atlantique_53_</v>
      </c>
      <c r="BM1481" s="13">
        <v>75.571499371673696</v>
      </c>
      <c r="BN1481" s="13">
        <v>373.991256680037</v>
      </c>
      <c r="BO1481" s="13" t="s">
        <v>169</v>
      </c>
      <c r="BP1481" s="13">
        <v>453.22050465958398</v>
      </c>
      <c r="BQ1481" s="13">
        <v>17.464351303213402</v>
      </c>
      <c r="BT1481" s="298" t="str">
        <f>+VLOOKUP(G1481,Liste!$A$7:$H$50,8,FALSE)</f>
        <v>Feuillus</v>
      </c>
      <c r="BU1481" s="298">
        <f t="shared" si="459"/>
        <v>1</v>
      </c>
      <c r="BV1481" s="300">
        <f t="shared" si="460"/>
        <v>0</v>
      </c>
      <c r="BW1481" s="321">
        <v>0</v>
      </c>
      <c r="BX1481" s="298">
        <f t="shared" si="461"/>
        <v>0.25</v>
      </c>
      <c r="BY1481">
        <f t="shared" si="462"/>
        <v>0</v>
      </c>
      <c r="BZ1481" s="304">
        <f t="shared" si="463"/>
        <v>0</v>
      </c>
      <c r="CB1481" s="299">
        <v>0.6</v>
      </c>
      <c r="CC1481" s="299">
        <v>0.4</v>
      </c>
      <c r="CD1481">
        <f t="shared" si="464"/>
        <v>0</v>
      </c>
      <c r="CE1481">
        <f t="shared" si="465"/>
        <v>0</v>
      </c>
      <c r="CF1481">
        <f t="shared" si="466"/>
        <v>0</v>
      </c>
      <c r="CG1481">
        <f t="shared" si="467"/>
        <v>0</v>
      </c>
      <c r="CH1481">
        <f t="shared" si="468"/>
        <v>0</v>
      </c>
      <c r="CI1481">
        <f t="shared" si="469"/>
        <v>0</v>
      </c>
      <c r="CJ1481">
        <f t="shared" si="470"/>
        <v>0</v>
      </c>
      <c r="CK1481">
        <f t="shared" si="471"/>
        <v>0</v>
      </c>
      <c r="CL1481">
        <f t="shared" si="472"/>
        <v>0</v>
      </c>
      <c r="CM1481">
        <f t="shared" si="474"/>
        <v>0</v>
      </c>
      <c r="CN1481">
        <f t="shared" si="473"/>
        <v>0</v>
      </c>
      <c r="CO1481">
        <f t="shared" si="457"/>
        <v>0</v>
      </c>
    </row>
    <row r="1482" spans="1:93" x14ac:dyDescent="0.25">
      <c r="A1482" s="4">
        <v>2021</v>
      </c>
      <c r="B1482" s="318">
        <v>44361</v>
      </c>
      <c r="C1482" s="4" t="s">
        <v>66</v>
      </c>
      <c r="D1482" s="4" t="s">
        <v>1525</v>
      </c>
      <c r="E1482" s="4" t="s">
        <v>87</v>
      </c>
      <c r="F1482" s="4" t="s">
        <v>90</v>
      </c>
      <c r="G1482" s="5" t="s">
        <v>17</v>
      </c>
      <c r="H1482" s="5" t="s">
        <v>20</v>
      </c>
      <c r="I1482" s="5" t="s">
        <v>18</v>
      </c>
      <c r="J1482" s="5" t="s">
        <v>9</v>
      </c>
      <c r="K1482" s="5">
        <v>21.5</v>
      </c>
      <c r="L1482" s="5" t="s">
        <v>1529</v>
      </c>
      <c r="M1482" s="5">
        <v>1666</v>
      </c>
      <c r="N1482" s="5" t="s">
        <v>170</v>
      </c>
      <c r="O1482" s="6" t="s">
        <v>81</v>
      </c>
      <c r="P1482" s="6" t="s">
        <v>1505</v>
      </c>
      <c r="S1482" s="6">
        <v>34</v>
      </c>
      <c r="T1482" s="6">
        <v>16.2</v>
      </c>
      <c r="U1482" s="6">
        <v>1451</v>
      </c>
      <c r="V1482" s="6">
        <v>23.57</v>
      </c>
      <c r="W1482" s="6">
        <v>44</v>
      </c>
      <c r="X1482" s="6">
        <v>444</v>
      </c>
      <c r="Y1482" s="6">
        <v>742</v>
      </c>
      <c r="Z1482" s="6">
        <v>211</v>
      </c>
      <c r="AA1482" s="6">
        <v>10</v>
      </c>
      <c r="AB1482" s="6">
        <v>0</v>
      </c>
      <c r="AC1482" s="7">
        <v>56</v>
      </c>
      <c r="AD1482" s="7" t="s">
        <v>52</v>
      </c>
      <c r="AE1482" s="7">
        <v>23.45</v>
      </c>
      <c r="AF1482" s="7">
        <v>485</v>
      </c>
      <c r="AG1482" s="7">
        <v>26.38</v>
      </c>
      <c r="AH1482" s="7">
        <v>26.32</v>
      </c>
      <c r="AI1482" s="7">
        <v>31.92</v>
      </c>
      <c r="AJ1482" s="9">
        <v>295.95142977796701</v>
      </c>
      <c r="AK1482" s="9">
        <v>318.234545733299</v>
      </c>
      <c r="AL1482" s="9">
        <v>356.72822162697298</v>
      </c>
      <c r="AM1482" s="9">
        <v>45.264741727753801</v>
      </c>
      <c r="AN1482" s="9">
        <v>0.80829895942417496</v>
      </c>
      <c r="AO1482" s="9">
        <v>0.82616213056656196</v>
      </c>
      <c r="AP1482" s="9">
        <v>557.82905355055004</v>
      </c>
      <c r="AQ1482" s="9">
        <v>9.96123309911696</v>
      </c>
      <c r="AR1482" s="9">
        <v>15.2562048437666</v>
      </c>
      <c r="AS1482" s="8" t="s">
        <v>169</v>
      </c>
      <c r="AT1482" s="8" t="s">
        <v>169</v>
      </c>
      <c r="AU1482" s="10" t="s">
        <v>169</v>
      </c>
      <c r="AV1482" s="10">
        <v>0</v>
      </c>
      <c r="AX1482" s="10" t="s">
        <v>169</v>
      </c>
      <c r="BF1482" s="12">
        <v>0.55000000000000004</v>
      </c>
      <c r="BG1482" s="13">
        <v>341.71590896683801</v>
      </c>
      <c r="BH1482" s="96" t="str">
        <f>+VLOOKUP(G1482,Liste!$A$7:$G$50,3,FALSE)</f>
        <v>Chêne sessile</v>
      </c>
      <c r="BI1482" s="96" t="str">
        <f>+VLOOKUP(H1482,Liste!$B$7:$G$50,5,FALSE)</f>
        <v>Guide chênaie atlantique</v>
      </c>
      <c r="BJ1482" s="135">
        <f t="shared" si="456"/>
        <v>56</v>
      </c>
      <c r="BK1482" s="135" t="str">
        <f t="shared" si="458"/>
        <v>Chêne sessile_F1_Classique_Guide chênaie atlantique_56_</v>
      </c>
      <c r="BM1482" s="13">
        <v>85.181829764292402</v>
      </c>
      <c r="BN1482" s="13">
        <v>426.89773873113103</v>
      </c>
      <c r="BO1482" s="13" t="s">
        <v>169</v>
      </c>
      <c r="BP1482" s="13">
        <v>453.22050465958398</v>
      </c>
      <c r="BQ1482" s="13">
        <v>17.660340136351401</v>
      </c>
      <c r="BT1482" s="298" t="str">
        <f>+VLOOKUP(G1482,Liste!$A$7:$H$50,8,FALSE)</f>
        <v>Feuillus</v>
      </c>
      <c r="BU1482" s="298">
        <f t="shared" si="459"/>
        <v>1</v>
      </c>
      <c r="BV1482" s="300">
        <f t="shared" si="460"/>
        <v>0</v>
      </c>
      <c r="BW1482" s="321">
        <v>0</v>
      </c>
      <c r="BX1482" s="298">
        <f t="shared" si="461"/>
        <v>0.25</v>
      </c>
      <c r="BY1482">
        <f t="shared" si="462"/>
        <v>0</v>
      </c>
      <c r="BZ1482" s="304">
        <f t="shared" si="463"/>
        <v>0</v>
      </c>
      <c r="CB1482" s="299">
        <v>0.6</v>
      </c>
      <c r="CC1482" s="299">
        <v>0.4</v>
      </c>
      <c r="CD1482">
        <f t="shared" si="464"/>
        <v>0</v>
      </c>
      <c r="CE1482">
        <f t="shared" si="465"/>
        <v>0</v>
      </c>
      <c r="CF1482">
        <f t="shared" si="466"/>
        <v>0</v>
      </c>
      <c r="CG1482">
        <f t="shared" si="467"/>
        <v>0</v>
      </c>
      <c r="CH1482">
        <f t="shared" si="468"/>
        <v>0</v>
      </c>
      <c r="CI1482">
        <f t="shared" si="469"/>
        <v>0</v>
      </c>
      <c r="CJ1482">
        <f t="shared" si="470"/>
        <v>0</v>
      </c>
      <c r="CK1482">
        <f t="shared" si="471"/>
        <v>0</v>
      </c>
      <c r="CL1482">
        <f t="shared" si="472"/>
        <v>0</v>
      </c>
      <c r="CM1482">
        <f t="shared" si="474"/>
        <v>0</v>
      </c>
      <c r="CN1482">
        <f t="shared" si="473"/>
        <v>0</v>
      </c>
      <c r="CO1482">
        <f t="shared" si="457"/>
        <v>0</v>
      </c>
    </row>
    <row r="1483" spans="1:93" x14ac:dyDescent="0.25">
      <c r="A1483" s="4">
        <v>2021</v>
      </c>
      <c r="B1483" s="318">
        <v>44361</v>
      </c>
      <c r="C1483" s="4" t="s">
        <v>66</v>
      </c>
      <c r="D1483" s="4" t="s">
        <v>1525</v>
      </c>
      <c r="E1483" s="4" t="s">
        <v>87</v>
      </c>
      <c r="F1483" s="4" t="s">
        <v>90</v>
      </c>
      <c r="G1483" s="5" t="s">
        <v>17</v>
      </c>
      <c r="H1483" s="5" t="s">
        <v>20</v>
      </c>
      <c r="I1483" s="5" t="s">
        <v>18</v>
      </c>
      <c r="J1483" s="5" t="s">
        <v>9</v>
      </c>
      <c r="K1483" s="5">
        <v>21.5</v>
      </c>
      <c r="L1483" s="5" t="s">
        <v>1529</v>
      </c>
      <c r="M1483" s="5">
        <v>1666</v>
      </c>
      <c r="N1483" s="5" t="s">
        <v>170</v>
      </c>
      <c r="O1483" s="6" t="s">
        <v>81</v>
      </c>
      <c r="P1483" s="6" t="s">
        <v>1505</v>
      </c>
      <c r="S1483" s="6">
        <v>34</v>
      </c>
      <c r="T1483" s="6">
        <v>16.2</v>
      </c>
      <c r="U1483" s="6">
        <v>1451</v>
      </c>
      <c r="V1483" s="6">
        <v>23.57</v>
      </c>
      <c r="W1483" s="6">
        <v>44</v>
      </c>
      <c r="X1483" s="6">
        <v>444</v>
      </c>
      <c r="Y1483" s="6">
        <v>742</v>
      </c>
      <c r="Z1483" s="6">
        <v>211</v>
      </c>
      <c r="AA1483" s="6">
        <v>10</v>
      </c>
      <c r="AB1483" s="6">
        <v>0</v>
      </c>
      <c r="AC1483" s="7">
        <v>58</v>
      </c>
      <c r="AD1483" s="7" t="s">
        <v>52</v>
      </c>
      <c r="AE1483" s="7">
        <v>23.99</v>
      </c>
      <c r="AF1483" s="7">
        <v>485</v>
      </c>
      <c r="AG1483" s="7">
        <v>28.04</v>
      </c>
      <c r="AH1483" s="7">
        <v>27.13</v>
      </c>
      <c r="AI1483" s="7">
        <v>32.869999999999997</v>
      </c>
      <c r="AJ1483" s="9">
        <v>322.46395774461899</v>
      </c>
      <c r="AK1483" s="9">
        <v>346.85125808593</v>
      </c>
      <c r="AL1483" s="9">
        <v>387.24063131450703</v>
      </c>
      <c r="AM1483" s="9">
        <v>46.917065988886897</v>
      </c>
      <c r="AN1483" s="9">
        <v>0.80891493084287802</v>
      </c>
      <c r="AO1483" s="9">
        <v>0.77244340030131797</v>
      </c>
      <c r="AP1483" s="9">
        <v>588.34146323808295</v>
      </c>
      <c r="AQ1483" s="9">
        <v>10.143818331691101</v>
      </c>
      <c r="AR1483" s="9">
        <v>14.2976433183092</v>
      </c>
      <c r="AS1483" s="8" t="s">
        <v>169</v>
      </c>
      <c r="AT1483" s="8" t="s">
        <v>169</v>
      </c>
      <c r="AU1483" s="10" t="s">
        <v>169</v>
      </c>
      <c r="AV1483" s="10">
        <v>0</v>
      </c>
      <c r="AX1483" s="10" t="s">
        <v>169</v>
      </c>
      <c r="BF1483" s="12">
        <v>0.55000000000000004</v>
      </c>
      <c r="BG1483" s="13">
        <v>370.94425474668799</v>
      </c>
      <c r="BH1483" s="96" t="str">
        <f>+VLOOKUP(G1483,Liste!$A$7:$G$50,3,FALSE)</f>
        <v>Chêne sessile</v>
      </c>
      <c r="BI1483" s="96" t="str">
        <f>+VLOOKUP(H1483,Liste!$B$7:$G$50,5,FALSE)</f>
        <v>Guide chênaie atlantique</v>
      </c>
      <c r="BJ1483" s="135">
        <f t="shared" si="456"/>
        <v>58</v>
      </c>
      <c r="BK1483" s="135" t="str">
        <f t="shared" si="458"/>
        <v>Chêne sessile_F1_Classique_Guide chênaie atlantique_58_</v>
      </c>
      <c r="BM1483" s="13">
        <v>91.588620512608898</v>
      </c>
      <c r="BN1483" s="13">
        <v>462.53287525929699</v>
      </c>
      <c r="BO1483" s="13" t="s">
        <v>169</v>
      </c>
      <c r="BP1483" s="13">
        <v>453.22050465958398</v>
      </c>
      <c r="BQ1483" s="13">
        <v>16.530203519390799</v>
      </c>
      <c r="BT1483" s="298" t="str">
        <f>+VLOOKUP(G1483,Liste!$A$7:$H$50,8,FALSE)</f>
        <v>Feuillus</v>
      </c>
      <c r="BU1483" s="298">
        <f t="shared" si="459"/>
        <v>1</v>
      </c>
      <c r="BV1483" s="300">
        <f t="shared" si="460"/>
        <v>0</v>
      </c>
      <c r="BW1483" s="321">
        <v>0</v>
      </c>
      <c r="BX1483" s="298">
        <f t="shared" si="461"/>
        <v>0.25</v>
      </c>
      <c r="BY1483">
        <f t="shared" si="462"/>
        <v>0</v>
      </c>
      <c r="BZ1483" s="304">
        <f t="shared" si="463"/>
        <v>0</v>
      </c>
      <c r="CB1483" s="299">
        <v>0.6</v>
      </c>
      <c r="CC1483" s="299">
        <v>0.4</v>
      </c>
      <c r="CD1483">
        <f t="shared" si="464"/>
        <v>0</v>
      </c>
      <c r="CE1483">
        <f t="shared" si="465"/>
        <v>0</v>
      </c>
      <c r="CF1483">
        <f t="shared" si="466"/>
        <v>0</v>
      </c>
      <c r="CG1483">
        <f t="shared" si="467"/>
        <v>0</v>
      </c>
      <c r="CH1483">
        <f t="shared" si="468"/>
        <v>0</v>
      </c>
      <c r="CI1483">
        <f t="shared" si="469"/>
        <v>0</v>
      </c>
      <c r="CJ1483">
        <f t="shared" si="470"/>
        <v>0</v>
      </c>
      <c r="CK1483">
        <f t="shared" si="471"/>
        <v>0</v>
      </c>
      <c r="CL1483">
        <f t="shared" si="472"/>
        <v>0</v>
      </c>
      <c r="CM1483">
        <f t="shared" si="474"/>
        <v>0</v>
      </c>
      <c r="CN1483">
        <f t="shared" si="473"/>
        <v>0</v>
      </c>
      <c r="CO1483">
        <f t="shared" si="457"/>
        <v>0</v>
      </c>
    </row>
    <row r="1484" spans="1:93" x14ac:dyDescent="0.25">
      <c r="A1484" s="4">
        <v>2021</v>
      </c>
      <c r="B1484" s="318">
        <v>44361</v>
      </c>
      <c r="C1484" s="4" t="s">
        <v>66</v>
      </c>
      <c r="D1484" s="4" t="s">
        <v>1525</v>
      </c>
      <c r="E1484" s="4" t="s">
        <v>87</v>
      </c>
      <c r="F1484" s="4" t="s">
        <v>90</v>
      </c>
      <c r="G1484" s="5" t="s">
        <v>17</v>
      </c>
      <c r="H1484" s="5" t="s">
        <v>20</v>
      </c>
      <c r="I1484" s="5" t="s">
        <v>18</v>
      </c>
      <c r="J1484" s="5" t="s">
        <v>9</v>
      </c>
      <c r="K1484" s="5">
        <v>21.5</v>
      </c>
      <c r="L1484" s="5" t="s">
        <v>1529</v>
      </c>
      <c r="M1484" s="5">
        <v>1666</v>
      </c>
      <c r="N1484" s="5" t="s">
        <v>170</v>
      </c>
      <c r="O1484" s="6" t="s">
        <v>81</v>
      </c>
      <c r="P1484" s="6" t="s">
        <v>1505</v>
      </c>
      <c r="S1484" s="6">
        <v>34</v>
      </c>
      <c r="T1484" s="6">
        <v>16.2</v>
      </c>
      <c r="U1484" s="6">
        <v>1451</v>
      </c>
      <c r="V1484" s="6">
        <v>23.57</v>
      </c>
      <c r="W1484" s="6">
        <v>44</v>
      </c>
      <c r="X1484" s="6">
        <v>444</v>
      </c>
      <c r="Y1484" s="6">
        <v>742</v>
      </c>
      <c r="Z1484" s="6">
        <v>211</v>
      </c>
      <c r="AA1484" s="6">
        <v>10</v>
      </c>
      <c r="AB1484" s="6">
        <v>0</v>
      </c>
      <c r="AC1484" s="7">
        <v>58</v>
      </c>
      <c r="AD1484" s="7" t="s">
        <v>53</v>
      </c>
      <c r="AE1484" s="7">
        <v>23.99</v>
      </c>
      <c r="AF1484" s="7">
        <v>365</v>
      </c>
      <c r="AG1484" s="7">
        <v>22.43</v>
      </c>
      <c r="AH1484" s="7">
        <v>27.97</v>
      </c>
      <c r="AI1484" s="7">
        <v>32.74</v>
      </c>
      <c r="AJ1484" s="9">
        <v>259.49008032550699</v>
      </c>
      <c r="AK1484" s="9">
        <v>279.66171741042302</v>
      </c>
      <c r="AL1484" s="9">
        <v>311.68847244219</v>
      </c>
      <c r="AM1484" s="9">
        <v>46.917065988886897</v>
      </c>
      <c r="AN1484" s="9">
        <v>0.80891493084287802</v>
      </c>
      <c r="AO1484" s="9">
        <v>0.77244340030131797</v>
      </c>
      <c r="AP1484" s="9">
        <v>588.34146323808295</v>
      </c>
      <c r="AQ1484" s="9">
        <v>10.143818331691101</v>
      </c>
      <c r="AR1484" s="9">
        <v>14.2976433183092</v>
      </c>
      <c r="AS1484" s="8">
        <v>120</v>
      </c>
      <c r="AT1484" s="8">
        <v>5.6099999999999994</v>
      </c>
      <c r="AU1484" s="10">
        <v>24.3975303496827</v>
      </c>
      <c r="AV1484" s="10">
        <v>62.973877419112</v>
      </c>
      <c r="AW1484" s="8">
        <v>0.81</v>
      </c>
      <c r="AX1484" s="10">
        <v>0.52478231182593338</v>
      </c>
      <c r="BF1484" s="12">
        <v>0.55000000000000004</v>
      </c>
      <c r="BG1484" s="13">
        <v>298.57158256024798</v>
      </c>
      <c r="BH1484" s="96" t="str">
        <f>+VLOOKUP(G1484,Liste!$A$7:$G$50,3,FALSE)</f>
        <v>Chêne sessile</v>
      </c>
      <c r="BI1484" s="96" t="str">
        <f>+VLOOKUP(H1484,Liste!$B$7:$G$50,5,FALSE)</f>
        <v>Guide chênaie atlantique</v>
      </c>
      <c r="BJ1484" s="135">
        <f t="shared" si="456"/>
        <v>58</v>
      </c>
      <c r="BK1484" s="135" t="str">
        <f t="shared" si="458"/>
        <v>Chêne sessile_F1_Classique_Guide chênaie atlantique_58_</v>
      </c>
      <c r="BM1484" s="13">
        <v>75.605471075278899</v>
      </c>
      <c r="BN1484" s="13">
        <v>374.17705363552699</v>
      </c>
      <c r="BO1484" s="13">
        <v>88.355821623769998</v>
      </c>
      <c r="BP1484" s="13">
        <v>453.22050465958398</v>
      </c>
      <c r="BQ1484" s="13">
        <v>16.530203519390799</v>
      </c>
      <c r="BT1484" s="298" t="str">
        <f>+VLOOKUP(G1484,Liste!$A$7:$H$50,8,FALSE)</f>
        <v>Feuillus</v>
      </c>
      <c r="BU1484" s="298">
        <f t="shared" si="459"/>
        <v>1</v>
      </c>
      <c r="BV1484" s="300">
        <f t="shared" si="460"/>
        <v>0</v>
      </c>
      <c r="BW1484" s="321">
        <v>0</v>
      </c>
      <c r="BX1484" s="298">
        <f t="shared" si="461"/>
        <v>0.25</v>
      </c>
      <c r="BY1484">
        <f t="shared" si="462"/>
        <v>0</v>
      </c>
      <c r="BZ1484" s="304">
        <f t="shared" si="463"/>
        <v>0</v>
      </c>
      <c r="CB1484" s="299">
        <v>0.6</v>
      </c>
      <c r="CC1484" s="299">
        <v>0.4</v>
      </c>
      <c r="CD1484">
        <f t="shared" si="464"/>
        <v>0</v>
      </c>
      <c r="CE1484">
        <f t="shared" si="465"/>
        <v>0</v>
      </c>
      <c r="CF1484">
        <f t="shared" si="466"/>
        <v>0</v>
      </c>
      <c r="CG1484">
        <f t="shared" si="467"/>
        <v>0</v>
      </c>
      <c r="CH1484">
        <f t="shared" si="468"/>
        <v>0</v>
      </c>
      <c r="CI1484">
        <f t="shared" si="469"/>
        <v>0</v>
      </c>
      <c r="CJ1484">
        <f t="shared" si="470"/>
        <v>0</v>
      </c>
      <c r="CK1484">
        <f t="shared" si="471"/>
        <v>0</v>
      </c>
      <c r="CL1484">
        <f t="shared" si="472"/>
        <v>0</v>
      </c>
      <c r="CM1484">
        <f t="shared" si="474"/>
        <v>0</v>
      </c>
      <c r="CN1484">
        <f t="shared" si="473"/>
        <v>0</v>
      </c>
      <c r="CO1484">
        <f t="shared" si="457"/>
        <v>0</v>
      </c>
    </row>
    <row r="1485" spans="1:93" x14ac:dyDescent="0.25">
      <c r="A1485" s="4">
        <v>2021</v>
      </c>
      <c r="B1485" s="318">
        <v>44361</v>
      </c>
      <c r="C1485" s="4" t="s">
        <v>66</v>
      </c>
      <c r="D1485" s="4" t="s">
        <v>1525</v>
      </c>
      <c r="E1485" s="4" t="s">
        <v>87</v>
      </c>
      <c r="F1485" s="4" t="s">
        <v>90</v>
      </c>
      <c r="G1485" s="5" t="s">
        <v>17</v>
      </c>
      <c r="H1485" s="5" t="s">
        <v>20</v>
      </c>
      <c r="I1485" s="5" t="s">
        <v>18</v>
      </c>
      <c r="J1485" s="5" t="s">
        <v>9</v>
      </c>
      <c r="K1485" s="5">
        <v>21.5</v>
      </c>
      <c r="L1485" s="5" t="s">
        <v>1529</v>
      </c>
      <c r="M1485" s="5">
        <v>1666</v>
      </c>
      <c r="N1485" s="5" t="s">
        <v>170</v>
      </c>
      <c r="O1485" s="6" t="s">
        <v>81</v>
      </c>
      <c r="P1485" s="6" t="s">
        <v>1505</v>
      </c>
      <c r="S1485" s="6">
        <v>34</v>
      </c>
      <c r="T1485" s="6">
        <v>16.2</v>
      </c>
      <c r="U1485" s="6">
        <v>1451</v>
      </c>
      <c r="V1485" s="6">
        <v>23.57</v>
      </c>
      <c r="W1485" s="6">
        <v>44</v>
      </c>
      <c r="X1485" s="6">
        <v>444</v>
      </c>
      <c r="Y1485" s="6">
        <v>742</v>
      </c>
      <c r="Z1485" s="6">
        <v>211</v>
      </c>
      <c r="AA1485" s="6">
        <v>10</v>
      </c>
      <c r="AB1485" s="6">
        <v>0</v>
      </c>
      <c r="AC1485" s="7">
        <v>61</v>
      </c>
      <c r="AD1485" s="7" t="s">
        <v>52</v>
      </c>
      <c r="AE1485" s="7">
        <v>24.77</v>
      </c>
      <c r="AF1485" s="7">
        <v>365</v>
      </c>
      <c r="AG1485" s="7">
        <v>24.74</v>
      </c>
      <c r="AH1485" s="7">
        <v>29.38</v>
      </c>
      <c r="AI1485" s="7">
        <v>34.299999999999997</v>
      </c>
      <c r="AJ1485" s="9">
        <v>296.46955754583502</v>
      </c>
      <c r="AK1485" s="9">
        <v>319.87285893566201</v>
      </c>
      <c r="AL1485" s="9">
        <v>354.58140239711798</v>
      </c>
      <c r="AM1485" s="9">
        <v>49.2343961897909</v>
      </c>
      <c r="AN1485" s="9">
        <v>0.807121249012966</v>
      </c>
      <c r="AO1485" s="9">
        <v>0.74883456451104802</v>
      </c>
      <c r="AP1485" s="9">
        <v>631.23439319300996</v>
      </c>
      <c r="AQ1485" s="9">
        <v>10.3481048064428</v>
      </c>
      <c r="AR1485" s="9">
        <v>14.3441798216358</v>
      </c>
      <c r="AS1485" s="8" t="s">
        <v>169</v>
      </c>
      <c r="AT1485" s="8" t="s">
        <v>169</v>
      </c>
      <c r="AU1485" s="10" t="s">
        <v>169</v>
      </c>
      <c r="AV1485" s="10">
        <v>0</v>
      </c>
      <c r="AX1485" s="10" t="s">
        <v>169</v>
      </c>
      <c r="BF1485" s="12">
        <v>0.55000000000000004</v>
      </c>
      <c r="BG1485" s="13">
        <v>339.65943504623903</v>
      </c>
      <c r="BH1485" s="96" t="str">
        <f>+VLOOKUP(G1485,Liste!$A$7:$G$50,3,FALSE)</f>
        <v>Chêne sessile</v>
      </c>
      <c r="BI1485" s="96" t="str">
        <f>+VLOOKUP(H1485,Liste!$B$7:$G$50,5,FALSE)</f>
        <v>Guide chênaie atlantique</v>
      </c>
      <c r="BJ1485" s="135">
        <f t="shared" si="456"/>
        <v>61</v>
      </c>
      <c r="BK1485" s="135" t="str">
        <f t="shared" si="458"/>
        <v>Chêne sessile_F1_Classique_Guide chênaie atlantique_61_</v>
      </c>
      <c r="BM1485" s="13">
        <v>84.728709893734006</v>
      </c>
      <c r="BN1485" s="13">
        <v>424.38814493997302</v>
      </c>
      <c r="BO1485" s="13" t="s">
        <v>169</v>
      </c>
      <c r="BP1485" s="13">
        <v>453.22050465958398</v>
      </c>
      <c r="BQ1485" s="13">
        <v>16.561552010061401</v>
      </c>
      <c r="BT1485" s="298" t="str">
        <f>+VLOOKUP(G1485,Liste!$A$7:$H$50,8,FALSE)</f>
        <v>Feuillus</v>
      </c>
      <c r="BU1485" s="298">
        <f t="shared" si="459"/>
        <v>1</v>
      </c>
      <c r="BV1485" s="300">
        <f t="shared" si="460"/>
        <v>0</v>
      </c>
      <c r="BW1485" s="321">
        <v>0</v>
      </c>
      <c r="BX1485" s="298">
        <f t="shared" si="461"/>
        <v>0.25</v>
      </c>
      <c r="BY1485">
        <f t="shared" si="462"/>
        <v>0</v>
      </c>
      <c r="BZ1485" s="304">
        <f t="shared" si="463"/>
        <v>0</v>
      </c>
      <c r="CB1485" s="299">
        <v>0.6</v>
      </c>
      <c r="CC1485" s="299">
        <v>0.4</v>
      </c>
      <c r="CD1485">
        <f t="shared" si="464"/>
        <v>0</v>
      </c>
      <c r="CE1485">
        <f t="shared" si="465"/>
        <v>0</v>
      </c>
      <c r="CF1485">
        <f t="shared" si="466"/>
        <v>0</v>
      </c>
      <c r="CG1485">
        <f t="shared" si="467"/>
        <v>0</v>
      </c>
      <c r="CH1485">
        <f t="shared" si="468"/>
        <v>0</v>
      </c>
      <c r="CI1485">
        <f t="shared" si="469"/>
        <v>0</v>
      </c>
      <c r="CJ1485">
        <f t="shared" si="470"/>
        <v>0</v>
      </c>
      <c r="CK1485">
        <f t="shared" si="471"/>
        <v>0</v>
      </c>
      <c r="CL1485">
        <f t="shared" si="472"/>
        <v>0</v>
      </c>
      <c r="CM1485">
        <f t="shared" si="474"/>
        <v>0</v>
      </c>
      <c r="CN1485">
        <f t="shared" si="473"/>
        <v>0</v>
      </c>
      <c r="CO1485">
        <f t="shared" si="457"/>
        <v>0</v>
      </c>
    </row>
    <row r="1486" spans="1:93" x14ac:dyDescent="0.25">
      <c r="A1486" s="4">
        <v>2021</v>
      </c>
      <c r="B1486" s="318">
        <v>44361</v>
      </c>
      <c r="C1486" s="4" t="s">
        <v>66</v>
      </c>
      <c r="D1486" s="4" t="s">
        <v>1525</v>
      </c>
      <c r="E1486" s="4" t="s">
        <v>87</v>
      </c>
      <c r="F1486" s="4" t="s">
        <v>90</v>
      </c>
      <c r="G1486" s="5" t="s">
        <v>17</v>
      </c>
      <c r="H1486" s="5" t="s">
        <v>20</v>
      </c>
      <c r="I1486" s="5" t="s">
        <v>18</v>
      </c>
      <c r="J1486" s="5" t="s">
        <v>9</v>
      </c>
      <c r="K1486" s="5">
        <v>21.5</v>
      </c>
      <c r="L1486" s="5" t="s">
        <v>1529</v>
      </c>
      <c r="M1486" s="5">
        <v>1666</v>
      </c>
      <c r="N1486" s="5" t="s">
        <v>170</v>
      </c>
      <c r="O1486" s="6" t="s">
        <v>81</v>
      </c>
      <c r="P1486" s="6" t="s">
        <v>1505</v>
      </c>
      <c r="S1486" s="6">
        <v>34</v>
      </c>
      <c r="T1486" s="6">
        <v>16.2</v>
      </c>
      <c r="U1486" s="6">
        <v>1451</v>
      </c>
      <c r="V1486" s="6">
        <v>23.57</v>
      </c>
      <c r="W1486" s="6">
        <v>44</v>
      </c>
      <c r="X1486" s="6">
        <v>444</v>
      </c>
      <c r="Y1486" s="6">
        <v>742</v>
      </c>
      <c r="Z1486" s="6">
        <v>211</v>
      </c>
      <c r="AA1486" s="6">
        <v>10</v>
      </c>
      <c r="AB1486" s="6">
        <v>0</v>
      </c>
      <c r="AC1486" s="7">
        <v>64</v>
      </c>
      <c r="AD1486" s="7" t="s">
        <v>52</v>
      </c>
      <c r="AE1486" s="7">
        <v>25.51</v>
      </c>
      <c r="AF1486" s="7">
        <v>365</v>
      </c>
      <c r="AG1486" s="7">
        <v>26.99</v>
      </c>
      <c r="AH1486" s="7">
        <v>30.68</v>
      </c>
      <c r="AI1486" s="7">
        <v>35.770000000000003</v>
      </c>
      <c r="AJ1486" s="9">
        <v>333.69244810435202</v>
      </c>
      <c r="AK1486" s="9">
        <v>360.33029158454201</v>
      </c>
      <c r="AL1486" s="9">
        <v>397.613941862025</v>
      </c>
      <c r="AM1486" s="9">
        <v>51.480899883324</v>
      </c>
      <c r="AN1486" s="9">
        <v>0.80438906067693805</v>
      </c>
      <c r="AO1486" s="9">
        <v>0.72795236279971898</v>
      </c>
      <c r="AP1486" s="9">
        <v>674.26693265791801</v>
      </c>
      <c r="AQ1486" s="9">
        <v>10.535420822780001</v>
      </c>
      <c r="AR1486" s="9">
        <v>14.5064287093322</v>
      </c>
      <c r="AS1486" s="8" t="s">
        <v>169</v>
      </c>
      <c r="AT1486" s="8" t="s">
        <v>169</v>
      </c>
      <c r="AU1486" s="10" t="s">
        <v>169</v>
      </c>
      <c r="AV1486" s="10">
        <v>0</v>
      </c>
      <c r="AX1486" s="10" t="s">
        <v>169</v>
      </c>
      <c r="BF1486" s="12">
        <v>0.55000000000000004</v>
      </c>
      <c r="BG1486" s="13">
        <v>380.88102180866503</v>
      </c>
      <c r="BH1486" s="96" t="str">
        <f>+VLOOKUP(G1486,Liste!$A$7:$G$50,3,FALSE)</f>
        <v>Chêne sessile</v>
      </c>
      <c r="BI1486" s="96" t="str">
        <f>+VLOOKUP(H1486,Liste!$B$7:$G$50,5,FALSE)</f>
        <v>Guide chênaie atlantique</v>
      </c>
      <c r="BJ1486" s="135">
        <f t="shared" si="456"/>
        <v>64</v>
      </c>
      <c r="BK1486" s="135" t="str">
        <f t="shared" si="458"/>
        <v>Chêne sessile_F1_Classique_Guide chênaie atlantique_64_</v>
      </c>
      <c r="BM1486" s="13">
        <v>93.753146163400302</v>
      </c>
      <c r="BN1486" s="13">
        <v>474.63416797206497</v>
      </c>
      <c r="BO1486" s="13" t="s">
        <v>169</v>
      </c>
      <c r="BP1486" s="13">
        <v>453.22050465958398</v>
      </c>
      <c r="BQ1486" s="13">
        <v>16.7310596087599</v>
      </c>
      <c r="BT1486" s="298" t="str">
        <f>+VLOOKUP(G1486,Liste!$A$7:$H$50,8,FALSE)</f>
        <v>Feuillus</v>
      </c>
      <c r="BU1486" s="298">
        <f t="shared" si="459"/>
        <v>1</v>
      </c>
      <c r="BV1486" s="300">
        <f t="shared" si="460"/>
        <v>0</v>
      </c>
      <c r="BW1486" s="321">
        <v>0</v>
      </c>
      <c r="BX1486" s="298">
        <f t="shared" si="461"/>
        <v>0.25</v>
      </c>
      <c r="BY1486">
        <f t="shared" si="462"/>
        <v>0</v>
      </c>
      <c r="BZ1486" s="304">
        <f t="shared" si="463"/>
        <v>0</v>
      </c>
      <c r="CB1486" s="299">
        <v>0.6</v>
      </c>
      <c r="CC1486" s="299">
        <v>0.4</v>
      </c>
      <c r="CD1486">
        <f t="shared" si="464"/>
        <v>0</v>
      </c>
      <c r="CE1486">
        <f t="shared" si="465"/>
        <v>0</v>
      </c>
      <c r="CF1486">
        <f t="shared" si="466"/>
        <v>0</v>
      </c>
      <c r="CG1486">
        <f t="shared" si="467"/>
        <v>0</v>
      </c>
      <c r="CH1486">
        <f t="shared" si="468"/>
        <v>0</v>
      </c>
      <c r="CI1486">
        <f t="shared" si="469"/>
        <v>0</v>
      </c>
      <c r="CJ1486">
        <f t="shared" si="470"/>
        <v>0</v>
      </c>
      <c r="CK1486">
        <f t="shared" si="471"/>
        <v>0</v>
      </c>
      <c r="CL1486">
        <f t="shared" si="472"/>
        <v>0</v>
      </c>
      <c r="CM1486">
        <f t="shared" si="474"/>
        <v>0</v>
      </c>
      <c r="CN1486">
        <f t="shared" si="473"/>
        <v>0</v>
      </c>
      <c r="CO1486">
        <f t="shared" si="457"/>
        <v>0</v>
      </c>
    </row>
    <row r="1487" spans="1:93" x14ac:dyDescent="0.25">
      <c r="A1487" s="4">
        <v>2021</v>
      </c>
      <c r="B1487" s="318">
        <v>44361</v>
      </c>
      <c r="C1487" s="4" t="s">
        <v>66</v>
      </c>
      <c r="D1487" s="4" t="s">
        <v>1525</v>
      </c>
      <c r="E1487" s="4" t="s">
        <v>87</v>
      </c>
      <c r="F1487" s="4" t="s">
        <v>90</v>
      </c>
      <c r="G1487" s="5" t="s">
        <v>17</v>
      </c>
      <c r="H1487" s="5" t="s">
        <v>20</v>
      </c>
      <c r="I1487" s="5" t="s">
        <v>18</v>
      </c>
      <c r="J1487" s="5" t="s">
        <v>9</v>
      </c>
      <c r="K1487" s="5">
        <v>21.5</v>
      </c>
      <c r="L1487" s="5" t="s">
        <v>1529</v>
      </c>
      <c r="M1487" s="5">
        <v>1666</v>
      </c>
      <c r="N1487" s="5" t="s">
        <v>170</v>
      </c>
      <c r="O1487" s="6" t="s">
        <v>81</v>
      </c>
      <c r="P1487" s="6" t="s">
        <v>1505</v>
      </c>
      <c r="S1487" s="6">
        <v>34</v>
      </c>
      <c r="T1487" s="6">
        <v>16.2</v>
      </c>
      <c r="U1487" s="6">
        <v>1451</v>
      </c>
      <c r="V1487" s="6">
        <v>23.57</v>
      </c>
      <c r="W1487" s="6">
        <v>44</v>
      </c>
      <c r="X1487" s="6">
        <v>444</v>
      </c>
      <c r="Y1487" s="6">
        <v>742</v>
      </c>
      <c r="Z1487" s="6">
        <v>211</v>
      </c>
      <c r="AA1487" s="6">
        <v>10</v>
      </c>
      <c r="AB1487" s="6">
        <v>0</v>
      </c>
      <c r="AC1487" s="7">
        <v>66</v>
      </c>
      <c r="AD1487" s="7" t="s">
        <v>52</v>
      </c>
      <c r="AE1487" s="7">
        <v>25.99</v>
      </c>
      <c r="AF1487" s="7">
        <v>365</v>
      </c>
      <c r="AG1487" s="7">
        <v>28.45</v>
      </c>
      <c r="AH1487" s="7">
        <v>31.5</v>
      </c>
      <c r="AI1487" s="7">
        <v>36.700000000000003</v>
      </c>
      <c r="AJ1487" s="9">
        <v>358.95885734619401</v>
      </c>
      <c r="AK1487" s="9">
        <v>387.69984128346499</v>
      </c>
      <c r="AL1487" s="9">
        <v>426.62679928069002</v>
      </c>
      <c r="AM1487" s="9">
        <v>52.936804608923502</v>
      </c>
      <c r="AN1487" s="9">
        <v>0.80207279710490098</v>
      </c>
      <c r="AO1487" s="9">
        <v>0.68237545474135697</v>
      </c>
      <c r="AP1487" s="9">
        <v>703.279790076582</v>
      </c>
      <c r="AQ1487" s="9">
        <v>10.6557543950997</v>
      </c>
      <c r="AR1487" s="9">
        <v>13.5216082205033</v>
      </c>
      <c r="AS1487" s="8" t="s">
        <v>169</v>
      </c>
      <c r="AT1487" s="8" t="s">
        <v>169</v>
      </c>
      <c r="AU1487" s="10" t="s">
        <v>169</v>
      </c>
      <c r="AV1487" s="10">
        <v>0</v>
      </c>
      <c r="AX1487" s="10" t="s">
        <v>169</v>
      </c>
      <c r="BF1487" s="12">
        <v>0.55000000000000004</v>
      </c>
      <c r="BG1487" s="13">
        <v>408.67292147762703</v>
      </c>
      <c r="BH1487" s="96" t="str">
        <f>+VLOOKUP(G1487,Liste!$A$7:$G$50,3,FALSE)</f>
        <v>Chêne sessile</v>
      </c>
      <c r="BI1487" s="96" t="str">
        <f>+VLOOKUP(H1487,Liste!$B$7:$G$50,5,FALSE)</f>
        <v>Guide chênaie atlantique</v>
      </c>
      <c r="BJ1487" s="135">
        <f t="shared" si="456"/>
        <v>66</v>
      </c>
      <c r="BK1487" s="135" t="str">
        <f t="shared" si="458"/>
        <v>Chêne sessile_F1_Classique_Guide chênaie atlantique_66_</v>
      </c>
      <c r="BM1487" s="13">
        <v>99.772787889039904</v>
      </c>
      <c r="BN1487" s="13">
        <v>508.44570936666702</v>
      </c>
      <c r="BO1487" s="13" t="s">
        <v>169</v>
      </c>
      <c r="BP1487" s="13">
        <v>453.22050465958398</v>
      </c>
      <c r="BQ1487" s="13">
        <v>15.5801180973745</v>
      </c>
      <c r="BT1487" s="298" t="str">
        <f>+VLOOKUP(G1487,Liste!$A$7:$H$50,8,FALSE)</f>
        <v>Feuillus</v>
      </c>
      <c r="BU1487" s="298">
        <f t="shared" si="459"/>
        <v>1</v>
      </c>
      <c r="BV1487" s="300">
        <f t="shared" si="460"/>
        <v>0</v>
      </c>
      <c r="BW1487" s="321">
        <v>0</v>
      </c>
      <c r="BX1487" s="298">
        <f t="shared" si="461"/>
        <v>0.25</v>
      </c>
      <c r="BY1487">
        <f t="shared" si="462"/>
        <v>0</v>
      </c>
      <c r="BZ1487" s="304">
        <f t="shared" si="463"/>
        <v>0</v>
      </c>
      <c r="CB1487" s="299">
        <v>0.6</v>
      </c>
      <c r="CC1487" s="299">
        <v>0.4</v>
      </c>
      <c r="CD1487">
        <f t="shared" si="464"/>
        <v>0</v>
      </c>
      <c r="CE1487">
        <f t="shared" si="465"/>
        <v>0</v>
      </c>
      <c r="CF1487">
        <f t="shared" si="466"/>
        <v>0</v>
      </c>
      <c r="CG1487">
        <f t="shared" si="467"/>
        <v>0</v>
      </c>
      <c r="CH1487">
        <f t="shared" si="468"/>
        <v>0</v>
      </c>
      <c r="CI1487">
        <f t="shared" si="469"/>
        <v>0</v>
      </c>
      <c r="CJ1487">
        <f t="shared" si="470"/>
        <v>0</v>
      </c>
      <c r="CK1487">
        <f t="shared" si="471"/>
        <v>0</v>
      </c>
      <c r="CL1487">
        <f t="shared" si="472"/>
        <v>0</v>
      </c>
      <c r="CM1487">
        <f t="shared" si="474"/>
        <v>0</v>
      </c>
      <c r="CN1487">
        <f t="shared" si="473"/>
        <v>0</v>
      </c>
      <c r="CO1487">
        <f t="shared" si="457"/>
        <v>0</v>
      </c>
    </row>
    <row r="1488" spans="1:93" x14ac:dyDescent="0.25">
      <c r="A1488" s="4">
        <v>2021</v>
      </c>
      <c r="B1488" s="318">
        <v>44361</v>
      </c>
      <c r="C1488" s="4" t="s">
        <v>66</v>
      </c>
      <c r="D1488" s="4" t="s">
        <v>1525</v>
      </c>
      <c r="E1488" s="4" t="s">
        <v>87</v>
      </c>
      <c r="F1488" s="4" t="s">
        <v>90</v>
      </c>
      <c r="G1488" s="5" t="s">
        <v>17</v>
      </c>
      <c r="H1488" s="5" t="s">
        <v>20</v>
      </c>
      <c r="I1488" s="5" t="s">
        <v>18</v>
      </c>
      <c r="J1488" s="5" t="s">
        <v>9</v>
      </c>
      <c r="K1488" s="5">
        <v>21.5</v>
      </c>
      <c r="L1488" s="5" t="s">
        <v>1529</v>
      </c>
      <c r="M1488" s="5">
        <v>1666</v>
      </c>
      <c r="N1488" s="5" t="s">
        <v>170</v>
      </c>
      <c r="O1488" s="6" t="s">
        <v>81</v>
      </c>
      <c r="P1488" s="6" t="s">
        <v>1505</v>
      </c>
      <c r="S1488" s="6">
        <v>34</v>
      </c>
      <c r="T1488" s="6">
        <v>16.2</v>
      </c>
      <c r="U1488" s="6">
        <v>1451</v>
      </c>
      <c r="V1488" s="6">
        <v>23.57</v>
      </c>
      <c r="W1488" s="6">
        <v>44</v>
      </c>
      <c r="X1488" s="6">
        <v>444</v>
      </c>
      <c r="Y1488" s="6">
        <v>742</v>
      </c>
      <c r="Z1488" s="6">
        <v>211</v>
      </c>
      <c r="AA1488" s="6">
        <v>10</v>
      </c>
      <c r="AB1488" s="6">
        <v>0</v>
      </c>
      <c r="AC1488" s="7">
        <v>66</v>
      </c>
      <c r="AD1488" s="7" t="s">
        <v>53</v>
      </c>
      <c r="AE1488" s="7">
        <v>25.99</v>
      </c>
      <c r="AF1488" s="7">
        <v>279</v>
      </c>
      <c r="AG1488" s="7">
        <v>22.88</v>
      </c>
      <c r="AH1488" s="7">
        <v>32.31</v>
      </c>
      <c r="AI1488" s="7">
        <v>36.54</v>
      </c>
      <c r="AJ1488" s="9">
        <v>289.90681324559898</v>
      </c>
      <c r="AK1488" s="9">
        <v>313.76429281758698</v>
      </c>
      <c r="AL1488" s="9">
        <v>344.91671595082801</v>
      </c>
      <c r="AM1488" s="9">
        <v>52.936804608923502</v>
      </c>
      <c r="AN1488" s="9">
        <v>0.80207279710490098</v>
      </c>
      <c r="AO1488" s="9">
        <v>0.68237545474135697</v>
      </c>
      <c r="AP1488" s="9">
        <v>703.279790076582</v>
      </c>
      <c r="AQ1488" s="9">
        <v>10.6557543950997</v>
      </c>
      <c r="AR1488" s="9">
        <v>13.5216082205033</v>
      </c>
      <c r="AS1488" s="8">
        <v>86</v>
      </c>
      <c r="AT1488" s="8">
        <v>5.57</v>
      </c>
      <c r="AU1488" s="10">
        <v>28.716627272031744</v>
      </c>
      <c r="AV1488" s="10">
        <v>69.052044100595026</v>
      </c>
      <c r="AW1488" s="8">
        <v>0.83</v>
      </c>
      <c r="AX1488" s="10">
        <v>0.80293074535575615</v>
      </c>
      <c r="BF1488" s="12">
        <v>0.55000000000000004</v>
      </c>
      <c r="BG1488" s="13">
        <v>330.40147082123002</v>
      </c>
      <c r="BH1488" s="96" t="str">
        <f>+VLOOKUP(G1488,Liste!$A$7:$G$50,3,FALSE)</f>
        <v>Chêne sessile</v>
      </c>
      <c r="BI1488" s="96" t="str">
        <f>+VLOOKUP(H1488,Liste!$B$7:$G$50,5,FALSE)</f>
        <v>Guide chênaie atlantique</v>
      </c>
      <c r="BJ1488" s="135">
        <f t="shared" si="456"/>
        <v>66</v>
      </c>
      <c r="BK1488" s="135" t="str">
        <f t="shared" si="458"/>
        <v>Chêne sessile_F1_Classique_Guide chênaie atlantique_66_</v>
      </c>
      <c r="BM1488" s="13">
        <v>82.684838402621594</v>
      </c>
      <c r="BN1488" s="13">
        <v>413.08630922385203</v>
      </c>
      <c r="BO1488" s="13">
        <v>95.359400142814991</v>
      </c>
      <c r="BP1488" s="13">
        <v>453.22050465958398</v>
      </c>
      <c r="BQ1488" s="13">
        <v>15.5801180973745</v>
      </c>
      <c r="BT1488" s="298" t="str">
        <f>+VLOOKUP(G1488,Liste!$A$7:$H$50,8,FALSE)</f>
        <v>Feuillus</v>
      </c>
      <c r="BU1488" s="298">
        <f t="shared" si="459"/>
        <v>1</v>
      </c>
      <c r="BV1488" s="300">
        <f t="shared" si="460"/>
        <v>0</v>
      </c>
      <c r="BW1488" s="321">
        <v>0</v>
      </c>
      <c r="BX1488" s="298">
        <f t="shared" si="461"/>
        <v>0.25</v>
      </c>
      <c r="BY1488">
        <f t="shared" si="462"/>
        <v>0</v>
      </c>
      <c r="BZ1488" s="304">
        <f t="shared" si="463"/>
        <v>0</v>
      </c>
      <c r="CB1488" s="299">
        <v>0.6</v>
      </c>
      <c r="CC1488" s="299">
        <v>0.4</v>
      </c>
      <c r="CD1488">
        <f t="shared" si="464"/>
        <v>0</v>
      </c>
      <c r="CE1488">
        <f t="shared" si="465"/>
        <v>0</v>
      </c>
      <c r="CF1488">
        <f t="shared" si="466"/>
        <v>0</v>
      </c>
      <c r="CG1488">
        <f t="shared" si="467"/>
        <v>0</v>
      </c>
      <c r="CH1488">
        <f t="shared" si="468"/>
        <v>0</v>
      </c>
      <c r="CI1488">
        <f t="shared" si="469"/>
        <v>0</v>
      </c>
      <c r="CJ1488">
        <f t="shared" si="470"/>
        <v>0</v>
      </c>
      <c r="CK1488">
        <f t="shared" si="471"/>
        <v>0</v>
      </c>
      <c r="CL1488">
        <f t="shared" si="472"/>
        <v>0</v>
      </c>
      <c r="CM1488">
        <f t="shared" si="474"/>
        <v>0</v>
      </c>
      <c r="CN1488">
        <f t="shared" si="473"/>
        <v>0</v>
      </c>
      <c r="CO1488">
        <f t="shared" si="457"/>
        <v>0</v>
      </c>
    </row>
    <row r="1489" spans="1:93" x14ac:dyDescent="0.25">
      <c r="A1489" s="4">
        <v>2021</v>
      </c>
      <c r="B1489" s="318">
        <v>44361</v>
      </c>
      <c r="C1489" s="4" t="s">
        <v>66</v>
      </c>
      <c r="D1489" s="4" t="s">
        <v>1525</v>
      </c>
      <c r="E1489" s="4" t="s">
        <v>87</v>
      </c>
      <c r="F1489" s="4" t="s">
        <v>90</v>
      </c>
      <c r="G1489" s="5" t="s">
        <v>17</v>
      </c>
      <c r="H1489" s="5" t="s">
        <v>20</v>
      </c>
      <c r="I1489" s="5" t="s">
        <v>18</v>
      </c>
      <c r="J1489" s="5" t="s">
        <v>9</v>
      </c>
      <c r="K1489" s="5">
        <v>21.5</v>
      </c>
      <c r="L1489" s="5" t="s">
        <v>1529</v>
      </c>
      <c r="M1489" s="5">
        <v>1666</v>
      </c>
      <c r="N1489" s="5" t="s">
        <v>170</v>
      </c>
      <c r="O1489" s="6" t="s">
        <v>81</v>
      </c>
      <c r="P1489" s="6" t="s">
        <v>1505</v>
      </c>
      <c r="S1489" s="6">
        <v>34</v>
      </c>
      <c r="T1489" s="6">
        <v>16.2</v>
      </c>
      <c r="U1489" s="6">
        <v>1451</v>
      </c>
      <c r="V1489" s="6">
        <v>23.57</v>
      </c>
      <c r="W1489" s="6">
        <v>44</v>
      </c>
      <c r="X1489" s="6">
        <v>444</v>
      </c>
      <c r="Y1489" s="6">
        <v>742</v>
      </c>
      <c r="Z1489" s="6">
        <v>211</v>
      </c>
      <c r="AA1489" s="6">
        <v>10</v>
      </c>
      <c r="AB1489" s="6">
        <v>0</v>
      </c>
      <c r="AC1489" s="7">
        <v>69</v>
      </c>
      <c r="AD1489" s="7" t="s">
        <v>52</v>
      </c>
      <c r="AE1489" s="7">
        <v>26.67</v>
      </c>
      <c r="AF1489" s="7">
        <v>279</v>
      </c>
      <c r="AG1489" s="7">
        <v>24.93</v>
      </c>
      <c r="AH1489" s="7">
        <v>33.729999999999997</v>
      </c>
      <c r="AI1489" s="7">
        <v>38.07</v>
      </c>
      <c r="AJ1489" s="9">
        <v>324.89526778840502</v>
      </c>
      <c r="AK1489" s="9">
        <v>351.98691248192</v>
      </c>
      <c r="AL1489" s="9">
        <v>385.48154061233799</v>
      </c>
      <c r="AM1489" s="9">
        <v>54.983930973147601</v>
      </c>
      <c r="AN1489" s="9">
        <v>0.79686856482822499</v>
      </c>
      <c r="AO1489" s="9">
        <v>0.66299057143164497</v>
      </c>
      <c r="AP1489" s="9">
        <v>743.84461473809199</v>
      </c>
      <c r="AQ1489" s="9">
        <v>10.780356735334699</v>
      </c>
      <c r="AR1489" s="9">
        <v>13.565665290916201</v>
      </c>
      <c r="AS1489" s="8" t="s">
        <v>169</v>
      </c>
      <c r="AT1489" s="8" t="s">
        <v>169</v>
      </c>
      <c r="AU1489" s="10" t="s">
        <v>169</v>
      </c>
      <c r="AV1489" s="10">
        <v>0</v>
      </c>
      <c r="AX1489" s="10" t="s">
        <v>169</v>
      </c>
      <c r="BF1489" s="12">
        <v>0.55000000000000004</v>
      </c>
      <c r="BG1489" s="13">
        <v>369.259192444902</v>
      </c>
      <c r="BH1489" s="96" t="str">
        <f>+VLOOKUP(G1489,Liste!$A$7:$G$50,3,FALSE)</f>
        <v>Chêne sessile</v>
      </c>
      <c r="BI1489" s="96" t="str">
        <f>+VLOOKUP(H1489,Liste!$B$7:$G$50,5,FALSE)</f>
        <v>Guide chênaie atlantique</v>
      </c>
      <c r="BJ1489" s="135">
        <f t="shared" si="456"/>
        <v>69</v>
      </c>
      <c r="BK1489" s="135" t="str">
        <f t="shared" si="458"/>
        <v>Chêne sessile_F1_Classique_Guide chênaie atlantique_69_</v>
      </c>
      <c r="BM1489" s="13">
        <v>91.220898577225896</v>
      </c>
      <c r="BN1489" s="13">
        <v>460.48009102212802</v>
      </c>
      <c r="BO1489" s="13" t="s">
        <v>169</v>
      </c>
      <c r="BP1489" s="13">
        <v>453.22050465958398</v>
      </c>
      <c r="BQ1489" s="13">
        <v>15.6141671436087</v>
      </c>
      <c r="BT1489" s="298" t="str">
        <f>+VLOOKUP(G1489,Liste!$A$7:$H$50,8,FALSE)</f>
        <v>Feuillus</v>
      </c>
      <c r="BU1489" s="298">
        <f t="shared" si="459"/>
        <v>1</v>
      </c>
      <c r="BV1489" s="300">
        <f t="shared" si="460"/>
        <v>0</v>
      </c>
      <c r="BW1489" s="321">
        <v>0</v>
      </c>
      <c r="BX1489" s="298">
        <f t="shared" si="461"/>
        <v>0.25</v>
      </c>
      <c r="BY1489">
        <f t="shared" si="462"/>
        <v>0</v>
      </c>
      <c r="BZ1489" s="304">
        <f t="shared" si="463"/>
        <v>0</v>
      </c>
      <c r="CB1489" s="299">
        <v>0.6</v>
      </c>
      <c r="CC1489" s="299">
        <v>0.4</v>
      </c>
      <c r="CD1489">
        <f t="shared" si="464"/>
        <v>0</v>
      </c>
      <c r="CE1489">
        <f t="shared" si="465"/>
        <v>0</v>
      </c>
      <c r="CF1489">
        <f t="shared" si="466"/>
        <v>0</v>
      </c>
      <c r="CG1489">
        <f t="shared" si="467"/>
        <v>0</v>
      </c>
      <c r="CH1489">
        <f t="shared" si="468"/>
        <v>0</v>
      </c>
      <c r="CI1489">
        <f t="shared" si="469"/>
        <v>0</v>
      </c>
      <c r="CJ1489">
        <f t="shared" si="470"/>
        <v>0</v>
      </c>
      <c r="CK1489">
        <f t="shared" si="471"/>
        <v>0</v>
      </c>
      <c r="CL1489">
        <f t="shared" si="472"/>
        <v>0</v>
      </c>
      <c r="CM1489">
        <f t="shared" si="474"/>
        <v>0</v>
      </c>
      <c r="CN1489">
        <f t="shared" si="473"/>
        <v>0</v>
      </c>
      <c r="CO1489">
        <f t="shared" si="457"/>
        <v>0</v>
      </c>
    </row>
    <row r="1490" spans="1:93" x14ac:dyDescent="0.25">
      <c r="A1490" s="4">
        <v>2021</v>
      </c>
      <c r="B1490" s="318">
        <v>44361</v>
      </c>
      <c r="C1490" s="4" t="s">
        <v>66</v>
      </c>
      <c r="D1490" s="4" t="s">
        <v>1525</v>
      </c>
      <c r="E1490" s="4" t="s">
        <v>87</v>
      </c>
      <c r="F1490" s="4" t="s">
        <v>90</v>
      </c>
      <c r="G1490" s="5" t="s">
        <v>17</v>
      </c>
      <c r="H1490" s="5" t="s">
        <v>20</v>
      </c>
      <c r="I1490" s="5" t="s">
        <v>18</v>
      </c>
      <c r="J1490" s="5" t="s">
        <v>9</v>
      </c>
      <c r="K1490" s="5">
        <v>21.5</v>
      </c>
      <c r="L1490" s="5" t="s">
        <v>1529</v>
      </c>
      <c r="M1490" s="5">
        <v>1666</v>
      </c>
      <c r="N1490" s="5" t="s">
        <v>170</v>
      </c>
      <c r="O1490" s="6" t="s">
        <v>81</v>
      </c>
      <c r="P1490" s="6" t="s">
        <v>1505</v>
      </c>
      <c r="S1490" s="6">
        <v>34</v>
      </c>
      <c r="T1490" s="6">
        <v>16.2</v>
      </c>
      <c r="U1490" s="6">
        <v>1451</v>
      </c>
      <c r="V1490" s="6">
        <v>23.57</v>
      </c>
      <c r="W1490" s="6">
        <v>44</v>
      </c>
      <c r="X1490" s="6">
        <v>444</v>
      </c>
      <c r="Y1490" s="6">
        <v>742</v>
      </c>
      <c r="Z1490" s="6">
        <v>211</v>
      </c>
      <c r="AA1490" s="6">
        <v>10</v>
      </c>
      <c r="AB1490" s="6">
        <v>0</v>
      </c>
      <c r="AC1490" s="7">
        <v>72</v>
      </c>
      <c r="AD1490" s="7" t="s">
        <v>52</v>
      </c>
      <c r="AE1490" s="7">
        <v>27.33</v>
      </c>
      <c r="AF1490" s="7">
        <v>279</v>
      </c>
      <c r="AG1490" s="7">
        <v>26.91</v>
      </c>
      <c r="AH1490" s="7">
        <v>35.049999999999997</v>
      </c>
      <c r="AI1490" s="7">
        <v>39.520000000000003</v>
      </c>
      <c r="AJ1490" s="9">
        <v>360.129873881528</v>
      </c>
      <c r="AK1490" s="9">
        <v>390.43289687580801</v>
      </c>
      <c r="AL1490" s="9">
        <v>426.178536485086</v>
      </c>
      <c r="AM1490" s="9">
        <v>56.972902687442499</v>
      </c>
      <c r="AN1490" s="9">
        <v>0.791290315103368</v>
      </c>
      <c r="AO1490" s="9">
        <v>0.64700250899868905</v>
      </c>
      <c r="AP1490" s="9">
        <v>784.54161061084096</v>
      </c>
      <c r="AQ1490" s="9">
        <v>10.8964112584839</v>
      </c>
      <c r="AR1490" s="9">
        <v>13.491753244322799</v>
      </c>
      <c r="AS1490" s="8" t="s">
        <v>169</v>
      </c>
      <c r="AT1490" s="8" t="s">
        <v>169</v>
      </c>
      <c r="AU1490" s="10" t="s">
        <v>169</v>
      </c>
      <c r="AV1490" s="10">
        <v>0</v>
      </c>
      <c r="AX1490" s="10" t="s">
        <v>169</v>
      </c>
      <c r="BF1490" s="12">
        <v>0.55000000000000004</v>
      </c>
      <c r="BG1490" s="13">
        <v>408.243523074672</v>
      </c>
      <c r="BH1490" s="96" t="str">
        <f>+VLOOKUP(G1490,Liste!$A$7:$G$50,3,FALSE)</f>
        <v>Chêne sessile</v>
      </c>
      <c r="BI1490" s="96" t="str">
        <f>+VLOOKUP(H1490,Liste!$B$7:$G$50,5,FALSE)</f>
        <v>Guide chênaie atlantique</v>
      </c>
      <c r="BJ1490" s="135">
        <f t="shared" si="456"/>
        <v>72</v>
      </c>
      <c r="BK1490" s="135" t="str">
        <f t="shared" si="458"/>
        <v>Chêne sessile_F1_Classique_Guide chênaie atlantique_72_</v>
      </c>
      <c r="BM1490" s="13">
        <v>99.680152070241206</v>
      </c>
      <c r="BN1490" s="13">
        <v>507.92367514491298</v>
      </c>
      <c r="BO1490" s="13" t="s">
        <v>169</v>
      </c>
      <c r="BP1490" s="13">
        <v>453.22050465958398</v>
      </c>
      <c r="BQ1490" s="13">
        <v>15.515964048796</v>
      </c>
      <c r="BT1490" s="298" t="str">
        <f>+VLOOKUP(G1490,Liste!$A$7:$H$50,8,FALSE)</f>
        <v>Feuillus</v>
      </c>
      <c r="BU1490" s="298">
        <f t="shared" si="459"/>
        <v>1</v>
      </c>
      <c r="BV1490" s="300">
        <f t="shared" si="460"/>
        <v>0</v>
      </c>
      <c r="BW1490" s="321">
        <v>0</v>
      </c>
      <c r="BX1490" s="298">
        <f t="shared" si="461"/>
        <v>0.25</v>
      </c>
      <c r="BY1490">
        <f t="shared" si="462"/>
        <v>0</v>
      </c>
      <c r="BZ1490" s="304">
        <f t="shared" si="463"/>
        <v>0</v>
      </c>
      <c r="CB1490" s="299">
        <v>0.6</v>
      </c>
      <c r="CC1490" s="299">
        <v>0.4</v>
      </c>
      <c r="CD1490">
        <f t="shared" si="464"/>
        <v>0</v>
      </c>
      <c r="CE1490">
        <f t="shared" si="465"/>
        <v>0</v>
      </c>
      <c r="CF1490">
        <f t="shared" si="466"/>
        <v>0</v>
      </c>
      <c r="CG1490">
        <f t="shared" si="467"/>
        <v>0</v>
      </c>
      <c r="CH1490">
        <f t="shared" si="468"/>
        <v>0</v>
      </c>
      <c r="CI1490">
        <f t="shared" si="469"/>
        <v>0</v>
      </c>
      <c r="CJ1490">
        <f t="shared" si="470"/>
        <v>0</v>
      </c>
      <c r="CK1490">
        <f t="shared" si="471"/>
        <v>0</v>
      </c>
      <c r="CL1490">
        <f t="shared" si="472"/>
        <v>0</v>
      </c>
      <c r="CM1490">
        <f t="shared" si="474"/>
        <v>0</v>
      </c>
      <c r="CN1490">
        <f t="shared" si="473"/>
        <v>0</v>
      </c>
      <c r="CO1490">
        <f t="shared" si="457"/>
        <v>0</v>
      </c>
    </row>
    <row r="1491" spans="1:93" x14ac:dyDescent="0.25">
      <c r="A1491" s="4">
        <v>2021</v>
      </c>
      <c r="B1491" s="318">
        <v>44361</v>
      </c>
      <c r="C1491" s="4" t="s">
        <v>66</v>
      </c>
      <c r="D1491" s="4" t="s">
        <v>1525</v>
      </c>
      <c r="E1491" s="4" t="s">
        <v>87</v>
      </c>
      <c r="F1491" s="4" t="s">
        <v>90</v>
      </c>
      <c r="G1491" s="5" t="s">
        <v>17</v>
      </c>
      <c r="H1491" s="5" t="s">
        <v>20</v>
      </c>
      <c r="I1491" s="5" t="s">
        <v>18</v>
      </c>
      <c r="J1491" s="5" t="s">
        <v>9</v>
      </c>
      <c r="K1491" s="5">
        <v>21.5</v>
      </c>
      <c r="L1491" s="5" t="s">
        <v>1529</v>
      </c>
      <c r="M1491" s="5">
        <v>1666</v>
      </c>
      <c r="N1491" s="5" t="s">
        <v>170</v>
      </c>
      <c r="O1491" s="6" t="s">
        <v>81</v>
      </c>
      <c r="P1491" s="6" t="s">
        <v>1505</v>
      </c>
      <c r="S1491" s="6">
        <v>34</v>
      </c>
      <c r="T1491" s="6">
        <v>16.2</v>
      </c>
      <c r="U1491" s="6">
        <v>1451</v>
      </c>
      <c r="V1491" s="6">
        <v>23.57</v>
      </c>
      <c r="W1491" s="6">
        <v>44</v>
      </c>
      <c r="X1491" s="6">
        <v>444</v>
      </c>
      <c r="Y1491" s="6">
        <v>742</v>
      </c>
      <c r="Z1491" s="6">
        <v>211</v>
      </c>
      <c r="AA1491" s="6">
        <v>10</v>
      </c>
      <c r="AB1491" s="6">
        <v>0</v>
      </c>
      <c r="AC1491" s="7">
        <v>74</v>
      </c>
      <c r="AD1491" s="7" t="s">
        <v>52</v>
      </c>
      <c r="AE1491" s="7">
        <v>27.76</v>
      </c>
      <c r="AF1491" s="7">
        <v>279</v>
      </c>
      <c r="AG1491" s="7">
        <v>28.21</v>
      </c>
      <c r="AH1491" s="7">
        <v>35.880000000000003</v>
      </c>
      <c r="AI1491" s="7">
        <v>40.44</v>
      </c>
      <c r="AJ1491" s="9">
        <v>383.51455638491598</v>
      </c>
      <c r="AK1491" s="9">
        <v>415.95849035743697</v>
      </c>
      <c r="AL1491" s="9">
        <v>453.16204297373201</v>
      </c>
      <c r="AM1491" s="9">
        <v>58.266907705439898</v>
      </c>
      <c r="AN1491" s="9">
        <v>0.78739064466810604</v>
      </c>
      <c r="AO1491" s="9">
        <v>0.60559244581143001</v>
      </c>
      <c r="AP1491" s="9">
        <v>811.52511709948601</v>
      </c>
      <c r="AQ1491" s="9">
        <v>10.9665556364795</v>
      </c>
      <c r="AR1491" s="9">
        <v>12.707204954068599</v>
      </c>
      <c r="AS1491" s="8" t="s">
        <v>169</v>
      </c>
      <c r="AT1491" s="8" t="s">
        <v>169</v>
      </c>
      <c r="AU1491" s="10" t="s">
        <v>169</v>
      </c>
      <c r="AV1491" s="10">
        <v>0</v>
      </c>
      <c r="AX1491" s="10" t="s">
        <v>169</v>
      </c>
      <c r="BF1491" s="12">
        <v>0.55000000000000004</v>
      </c>
      <c r="BG1491" s="13">
        <v>434.091473665254</v>
      </c>
      <c r="BH1491" s="96" t="str">
        <f>+VLOOKUP(G1491,Liste!$A$7:$G$50,3,FALSE)</f>
        <v>Chêne sessile</v>
      </c>
      <c r="BI1491" s="96" t="str">
        <f>+VLOOKUP(H1491,Liste!$B$7:$G$50,5,FALSE)</f>
        <v>Guide chênaie atlantique</v>
      </c>
      <c r="BJ1491" s="135">
        <f t="shared" si="456"/>
        <v>74</v>
      </c>
      <c r="BK1491" s="135" t="str">
        <f t="shared" si="458"/>
        <v>Chêne sessile_F1_Classique_Guide chênaie atlantique_74_</v>
      </c>
      <c r="BM1491" s="13">
        <v>105.236693193134</v>
      </c>
      <c r="BN1491" s="13">
        <v>539.32816685838804</v>
      </c>
      <c r="BO1491" s="13" t="s">
        <v>169</v>
      </c>
      <c r="BP1491" s="13">
        <v>453.22050465958398</v>
      </c>
      <c r="BQ1491" s="13">
        <v>14.6023854260982</v>
      </c>
      <c r="BT1491" s="298" t="str">
        <f>+VLOOKUP(G1491,Liste!$A$7:$H$50,8,FALSE)</f>
        <v>Feuillus</v>
      </c>
      <c r="BU1491" s="298">
        <f t="shared" si="459"/>
        <v>1</v>
      </c>
      <c r="BV1491" s="300">
        <f t="shared" si="460"/>
        <v>0</v>
      </c>
      <c r="BW1491" s="321">
        <v>0</v>
      </c>
      <c r="BX1491" s="298">
        <f t="shared" si="461"/>
        <v>0.25</v>
      </c>
      <c r="BY1491">
        <f t="shared" si="462"/>
        <v>0</v>
      </c>
      <c r="BZ1491" s="304">
        <f t="shared" si="463"/>
        <v>0</v>
      </c>
      <c r="CB1491" s="299">
        <v>0.6</v>
      </c>
      <c r="CC1491" s="299">
        <v>0.4</v>
      </c>
      <c r="CD1491">
        <f t="shared" si="464"/>
        <v>0</v>
      </c>
      <c r="CE1491">
        <f t="shared" si="465"/>
        <v>0</v>
      </c>
      <c r="CF1491">
        <f t="shared" si="466"/>
        <v>0</v>
      </c>
      <c r="CG1491">
        <f t="shared" si="467"/>
        <v>0</v>
      </c>
      <c r="CH1491">
        <f t="shared" si="468"/>
        <v>0</v>
      </c>
      <c r="CI1491">
        <f t="shared" si="469"/>
        <v>0</v>
      </c>
      <c r="CJ1491">
        <f t="shared" si="470"/>
        <v>0</v>
      </c>
      <c r="CK1491">
        <f t="shared" si="471"/>
        <v>0</v>
      </c>
      <c r="CL1491">
        <f t="shared" si="472"/>
        <v>0</v>
      </c>
      <c r="CM1491">
        <f t="shared" si="474"/>
        <v>0</v>
      </c>
      <c r="CN1491">
        <f t="shared" si="473"/>
        <v>0</v>
      </c>
      <c r="CO1491">
        <f t="shared" si="457"/>
        <v>0</v>
      </c>
    </row>
    <row r="1492" spans="1:93" x14ac:dyDescent="0.25">
      <c r="A1492" s="4">
        <v>2021</v>
      </c>
      <c r="B1492" s="318">
        <v>44361</v>
      </c>
      <c r="C1492" s="4" t="s">
        <v>66</v>
      </c>
      <c r="D1492" s="4" t="s">
        <v>1525</v>
      </c>
      <c r="E1492" s="4" t="s">
        <v>87</v>
      </c>
      <c r="F1492" s="4" t="s">
        <v>90</v>
      </c>
      <c r="G1492" s="5" t="s">
        <v>17</v>
      </c>
      <c r="H1492" s="5" t="s">
        <v>20</v>
      </c>
      <c r="I1492" s="5" t="s">
        <v>18</v>
      </c>
      <c r="J1492" s="5" t="s">
        <v>9</v>
      </c>
      <c r="K1492" s="5">
        <v>21.5</v>
      </c>
      <c r="L1492" s="5" t="s">
        <v>1529</v>
      </c>
      <c r="M1492" s="5">
        <v>1666</v>
      </c>
      <c r="N1492" s="5" t="s">
        <v>170</v>
      </c>
      <c r="O1492" s="6" t="s">
        <v>81</v>
      </c>
      <c r="P1492" s="6" t="s">
        <v>1505</v>
      </c>
      <c r="S1492" s="6">
        <v>34</v>
      </c>
      <c r="T1492" s="6">
        <v>16.2</v>
      </c>
      <c r="U1492" s="6">
        <v>1451</v>
      </c>
      <c r="V1492" s="6">
        <v>23.57</v>
      </c>
      <c r="W1492" s="6">
        <v>44</v>
      </c>
      <c r="X1492" s="6">
        <v>444</v>
      </c>
      <c r="Y1492" s="6">
        <v>742</v>
      </c>
      <c r="Z1492" s="6">
        <v>211</v>
      </c>
      <c r="AA1492" s="6">
        <v>10</v>
      </c>
      <c r="AB1492" s="6">
        <v>0</v>
      </c>
      <c r="AC1492" s="7">
        <v>74</v>
      </c>
      <c r="AD1492" s="7" t="s">
        <v>53</v>
      </c>
      <c r="AE1492" s="7">
        <v>27.76</v>
      </c>
      <c r="AF1492" s="7">
        <v>217</v>
      </c>
      <c r="AG1492" s="7">
        <v>22.91</v>
      </c>
      <c r="AH1492" s="7">
        <v>36.67</v>
      </c>
      <c r="AI1492" s="7">
        <v>40.31</v>
      </c>
      <c r="AJ1492" s="9">
        <v>312.338298650875</v>
      </c>
      <c r="AK1492" s="9">
        <v>339.47625349344901</v>
      </c>
      <c r="AL1492" s="9">
        <v>369.610514061836</v>
      </c>
      <c r="AM1492" s="9">
        <v>58.266907705439898</v>
      </c>
      <c r="AN1492" s="9">
        <v>0.78739064466810604</v>
      </c>
      <c r="AO1492" s="9">
        <v>0.60559244581143001</v>
      </c>
      <c r="AP1492" s="9">
        <v>811.52511709948601</v>
      </c>
      <c r="AQ1492" s="9">
        <v>10.9665556364795</v>
      </c>
      <c r="AR1492" s="9">
        <v>12.707204954068599</v>
      </c>
      <c r="AS1492" s="8">
        <v>62</v>
      </c>
      <c r="AT1492" s="8">
        <v>5.3000000000000007</v>
      </c>
      <c r="AU1492" s="10">
        <v>32.99112683028077</v>
      </c>
      <c r="AV1492" s="10">
        <v>71.176257734040973</v>
      </c>
      <c r="AW1492" s="8">
        <v>0.84</v>
      </c>
      <c r="AX1492" s="10">
        <v>1.1480041570006609</v>
      </c>
      <c r="BF1492" s="12">
        <v>0.55000000000000004</v>
      </c>
      <c r="BG1492" s="13">
        <v>354.05607159506701</v>
      </c>
      <c r="BH1492" s="96" t="str">
        <f>+VLOOKUP(G1492,Liste!$A$7:$G$50,3,FALSE)</f>
        <v>Chêne sessile</v>
      </c>
      <c r="BI1492" s="96" t="str">
        <f>+VLOOKUP(H1492,Liste!$B$7:$G$50,5,FALSE)</f>
        <v>Guide chênaie atlantique</v>
      </c>
      <c r="BJ1492" s="135">
        <f t="shared" si="456"/>
        <v>74</v>
      </c>
      <c r="BK1492" s="135" t="str">
        <f t="shared" si="458"/>
        <v>Chêne sessile_F1_Classique_Guide chênaie atlantique_74_</v>
      </c>
      <c r="BM1492" s="13">
        <v>87.894248185824196</v>
      </c>
      <c r="BN1492" s="13">
        <v>441.95031978089099</v>
      </c>
      <c r="BO1492" s="13">
        <v>97.377847077497051</v>
      </c>
      <c r="BP1492" s="13">
        <v>453.22050465958398</v>
      </c>
      <c r="BQ1492" s="13">
        <v>14.6023854260982</v>
      </c>
      <c r="BT1492" s="298" t="str">
        <f>+VLOOKUP(G1492,Liste!$A$7:$H$50,8,FALSE)</f>
        <v>Feuillus</v>
      </c>
      <c r="BU1492" s="298">
        <f t="shared" si="459"/>
        <v>1</v>
      </c>
      <c r="BV1492" s="300">
        <f t="shared" si="460"/>
        <v>0</v>
      </c>
      <c r="BW1492" s="321">
        <v>0</v>
      </c>
      <c r="BX1492" s="298">
        <f t="shared" si="461"/>
        <v>0.25</v>
      </c>
      <c r="BY1492">
        <f t="shared" si="462"/>
        <v>0</v>
      </c>
      <c r="BZ1492" s="304">
        <f t="shared" si="463"/>
        <v>0</v>
      </c>
      <c r="CB1492" s="299">
        <v>0.6</v>
      </c>
      <c r="CC1492" s="299">
        <v>0.4</v>
      </c>
      <c r="CD1492">
        <f t="shared" si="464"/>
        <v>0</v>
      </c>
      <c r="CE1492">
        <f t="shared" si="465"/>
        <v>0</v>
      </c>
      <c r="CF1492">
        <f t="shared" si="466"/>
        <v>0</v>
      </c>
      <c r="CG1492">
        <f t="shared" si="467"/>
        <v>0</v>
      </c>
      <c r="CH1492">
        <f t="shared" si="468"/>
        <v>0</v>
      </c>
      <c r="CI1492">
        <f t="shared" si="469"/>
        <v>0</v>
      </c>
      <c r="CJ1492">
        <f t="shared" si="470"/>
        <v>0</v>
      </c>
      <c r="CK1492">
        <f t="shared" si="471"/>
        <v>0</v>
      </c>
      <c r="CL1492">
        <f t="shared" si="472"/>
        <v>0</v>
      </c>
      <c r="CM1492">
        <f t="shared" si="474"/>
        <v>0</v>
      </c>
      <c r="CN1492">
        <f t="shared" si="473"/>
        <v>0</v>
      </c>
      <c r="CO1492">
        <f t="shared" si="457"/>
        <v>0</v>
      </c>
    </row>
    <row r="1493" spans="1:93" x14ac:dyDescent="0.25">
      <c r="A1493" s="4">
        <v>2021</v>
      </c>
      <c r="B1493" s="318">
        <v>44361</v>
      </c>
      <c r="C1493" s="4" t="s">
        <v>66</v>
      </c>
      <c r="D1493" s="4" t="s">
        <v>1525</v>
      </c>
      <c r="E1493" s="4" t="s">
        <v>87</v>
      </c>
      <c r="F1493" s="4" t="s">
        <v>90</v>
      </c>
      <c r="G1493" s="5" t="s">
        <v>17</v>
      </c>
      <c r="H1493" s="5" t="s">
        <v>20</v>
      </c>
      <c r="I1493" s="5" t="s">
        <v>18</v>
      </c>
      <c r="J1493" s="5" t="s">
        <v>9</v>
      </c>
      <c r="K1493" s="5">
        <v>21.5</v>
      </c>
      <c r="L1493" s="5" t="s">
        <v>1529</v>
      </c>
      <c r="M1493" s="5">
        <v>1666</v>
      </c>
      <c r="N1493" s="5" t="s">
        <v>170</v>
      </c>
      <c r="O1493" s="6" t="s">
        <v>81</v>
      </c>
      <c r="P1493" s="6" t="s">
        <v>1505</v>
      </c>
      <c r="S1493" s="6">
        <v>34</v>
      </c>
      <c r="T1493" s="6">
        <v>16.2</v>
      </c>
      <c r="U1493" s="6">
        <v>1451</v>
      </c>
      <c r="V1493" s="6">
        <v>23.57</v>
      </c>
      <c r="W1493" s="6">
        <v>44</v>
      </c>
      <c r="X1493" s="6">
        <v>444</v>
      </c>
      <c r="Y1493" s="6">
        <v>742</v>
      </c>
      <c r="Z1493" s="6">
        <v>211</v>
      </c>
      <c r="AA1493" s="6">
        <v>10</v>
      </c>
      <c r="AB1493" s="6">
        <v>0</v>
      </c>
      <c r="AC1493" s="7">
        <v>77</v>
      </c>
      <c r="AD1493" s="7" t="s">
        <v>52</v>
      </c>
      <c r="AE1493" s="7">
        <v>28.37</v>
      </c>
      <c r="AF1493" s="7">
        <v>217</v>
      </c>
      <c r="AG1493" s="7">
        <v>24.73</v>
      </c>
      <c r="AH1493" s="7">
        <v>38.090000000000003</v>
      </c>
      <c r="AI1493" s="7">
        <v>41.83</v>
      </c>
      <c r="AJ1493" s="9">
        <v>345.20809808981801</v>
      </c>
      <c r="AK1493" s="9">
        <v>375.54089005493398</v>
      </c>
      <c r="AL1493" s="9">
        <v>407.73212892404098</v>
      </c>
      <c r="AM1493" s="9">
        <v>60.083685042874201</v>
      </c>
      <c r="AN1493" s="9">
        <v>0.78030759795940496</v>
      </c>
      <c r="AO1493" s="9">
        <v>0.592535355806589</v>
      </c>
      <c r="AP1493" s="9">
        <v>849.64673196169201</v>
      </c>
      <c r="AQ1493" s="9">
        <v>11.0343731423596</v>
      </c>
      <c r="AR1493" s="9">
        <v>12.7170311145074</v>
      </c>
      <c r="AS1493" s="8" t="s">
        <v>169</v>
      </c>
      <c r="AT1493" s="8" t="s">
        <v>169</v>
      </c>
      <c r="AU1493" s="10" t="s">
        <v>169</v>
      </c>
      <c r="AV1493" s="10">
        <v>0</v>
      </c>
      <c r="AX1493" s="10" t="s">
        <v>169</v>
      </c>
      <c r="BF1493" s="12">
        <v>0.55000000000000004</v>
      </c>
      <c r="BG1493" s="13">
        <v>390.573401831821</v>
      </c>
      <c r="BH1493" s="96" t="str">
        <f>+VLOOKUP(G1493,Liste!$A$7:$G$50,3,FALSE)</f>
        <v>Chêne sessile</v>
      </c>
      <c r="BI1493" s="96" t="str">
        <f>+VLOOKUP(H1493,Liste!$B$7:$G$50,5,FALSE)</f>
        <v>Guide chênaie atlantique</v>
      </c>
      <c r="BJ1493" s="135">
        <f t="shared" si="456"/>
        <v>77</v>
      </c>
      <c r="BK1493" s="135" t="str">
        <f t="shared" si="458"/>
        <v>Chêne sessile_F1_Classique_Guide chênaie atlantique_77_</v>
      </c>
      <c r="BM1493" s="13">
        <v>95.858111734929395</v>
      </c>
      <c r="BN1493" s="13">
        <v>486.43151356675099</v>
      </c>
      <c r="BO1493" s="13" t="s">
        <v>169</v>
      </c>
      <c r="BP1493" s="13">
        <v>453.22050465958398</v>
      </c>
      <c r="BQ1493" s="13">
        <v>14.6010005569967</v>
      </c>
      <c r="BT1493" s="298" t="str">
        <f>+VLOOKUP(G1493,Liste!$A$7:$H$50,8,FALSE)</f>
        <v>Feuillus</v>
      </c>
      <c r="BU1493" s="298">
        <f t="shared" si="459"/>
        <v>1</v>
      </c>
      <c r="BV1493" s="300">
        <f t="shared" si="460"/>
        <v>0</v>
      </c>
      <c r="BW1493" s="321">
        <v>0</v>
      </c>
      <c r="BX1493" s="298">
        <f t="shared" si="461"/>
        <v>0.25</v>
      </c>
      <c r="BY1493">
        <f t="shared" si="462"/>
        <v>0</v>
      </c>
      <c r="BZ1493" s="304">
        <f t="shared" si="463"/>
        <v>0</v>
      </c>
      <c r="CB1493" s="299">
        <v>0.6</v>
      </c>
      <c r="CC1493" s="299">
        <v>0.4</v>
      </c>
      <c r="CD1493">
        <f t="shared" si="464"/>
        <v>0</v>
      </c>
      <c r="CE1493">
        <f t="shared" si="465"/>
        <v>0</v>
      </c>
      <c r="CF1493">
        <f t="shared" si="466"/>
        <v>0</v>
      </c>
      <c r="CG1493">
        <f t="shared" si="467"/>
        <v>0</v>
      </c>
      <c r="CH1493">
        <f t="shared" si="468"/>
        <v>0</v>
      </c>
      <c r="CI1493">
        <f t="shared" si="469"/>
        <v>0</v>
      </c>
      <c r="CJ1493">
        <f t="shared" si="470"/>
        <v>0</v>
      </c>
      <c r="CK1493">
        <f t="shared" si="471"/>
        <v>0</v>
      </c>
      <c r="CL1493">
        <f t="shared" si="472"/>
        <v>0</v>
      </c>
      <c r="CM1493">
        <f t="shared" si="474"/>
        <v>0</v>
      </c>
      <c r="CN1493">
        <f t="shared" si="473"/>
        <v>0</v>
      </c>
      <c r="CO1493">
        <f t="shared" si="457"/>
        <v>0</v>
      </c>
    </row>
    <row r="1494" spans="1:93" x14ac:dyDescent="0.25">
      <c r="A1494" s="4">
        <v>2021</v>
      </c>
      <c r="B1494" s="318">
        <v>44361</v>
      </c>
      <c r="C1494" s="4" t="s">
        <v>66</v>
      </c>
      <c r="D1494" s="4" t="s">
        <v>1525</v>
      </c>
      <c r="E1494" s="4" t="s">
        <v>87</v>
      </c>
      <c r="F1494" s="4" t="s">
        <v>90</v>
      </c>
      <c r="G1494" s="5" t="s">
        <v>17</v>
      </c>
      <c r="H1494" s="5" t="s">
        <v>20</v>
      </c>
      <c r="I1494" s="5" t="s">
        <v>18</v>
      </c>
      <c r="J1494" s="5" t="s">
        <v>9</v>
      </c>
      <c r="K1494" s="5">
        <v>21.5</v>
      </c>
      <c r="L1494" s="5" t="s">
        <v>1529</v>
      </c>
      <c r="M1494" s="5">
        <v>1666</v>
      </c>
      <c r="N1494" s="5" t="s">
        <v>170</v>
      </c>
      <c r="O1494" s="6" t="s">
        <v>81</v>
      </c>
      <c r="P1494" s="6" t="s">
        <v>1505</v>
      </c>
      <c r="S1494" s="6">
        <v>34</v>
      </c>
      <c r="T1494" s="6">
        <v>16.2</v>
      </c>
      <c r="U1494" s="6">
        <v>1451</v>
      </c>
      <c r="V1494" s="6">
        <v>23.57</v>
      </c>
      <c r="W1494" s="6">
        <v>44</v>
      </c>
      <c r="X1494" s="6">
        <v>444</v>
      </c>
      <c r="Y1494" s="6">
        <v>742</v>
      </c>
      <c r="Z1494" s="6">
        <v>211</v>
      </c>
      <c r="AA1494" s="6">
        <v>10</v>
      </c>
      <c r="AB1494" s="6">
        <v>0</v>
      </c>
      <c r="AC1494" s="7">
        <v>80</v>
      </c>
      <c r="AD1494" s="7" t="s">
        <v>52</v>
      </c>
      <c r="AE1494" s="7">
        <v>28.97</v>
      </c>
      <c r="AF1494" s="7">
        <v>217</v>
      </c>
      <c r="AG1494" s="7">
        <v>26.51</v>
      </c>
      <c r="AH1494" s="7">
        <v>39.44</v>
      </c>
      <c r="AI1494" s="7">
        <v>43.27</v>
      </c>
      <c r="AJ1494" s="9">
        <v>378.15149426778203</v>
      </c>
      <c r="AK1494" s="9">
        <v>411.69222074228901</v>
      </c>
      <c r="AL1494" s="9">
        <v>445.88322226756299</v>
      </c>
      <c r="AM1494" s="9">
        <v>61.861291110293898</v>
      </c>
      <c r="AN1494" s="9">
        <v>0.77326613887867401</v>
      </c>
      <c r="AO1494" s="9">
        <v>0.57851304025685801</v>
      </c>
      <c r="AP1494" s="9">
        <v>887.79782530521402</v>
      </c>
      <c r="AQ1494" s="9">
        <v>11.0974728163152</v>
      </c>
      <c r="AR1494" s="9">
        <v>12.7254102323253</v>
      </c>
      <c r="AS1494" s="8" t="s">
        <v>169</v>
      </c>
      <c r="AT1494" s="8" t="s">
        <v>169</v>
      </c>
      <c r="AU1494" s="10" t="s">
        <v>169</v>
      </c>
      <c r="AV1494" s="10">
        <v>0</v>
      </c>
      <c r="AX1494" s="10" t="s">
        <v>169</v>
      </c>
      <c r="BF1494" s="12">
        <v>0.55000000000000004</v>
      </c>
      <c r="BG1494" s="13">
        <v>427.11896999713701</v>
      </c>
      <c r="BH1494" s="96" t="str">
        <f>+VLOOKUP(G1494,Liste!$A$7:$G$50,3,FALSE)</f>
        <v>Chêne sessile</v>
      </c>
      <c r="BI1494" s="96" t="str">
        <f>+VLOOKUP(H1494,Liste!$B$7:$G$50,5,FALSE)</f>
        <v>Guide chênaie atlantique</v>
      </c>
      <c r="BJ1494" s="135">
        <f t="shared" si="456"/>
        <v>80</v>
      </c>
      <c r="BK1494" s="135" t="str">
        <f t="shared" si="458"/>
        <v>Chêne sessile_F1_Classique_Guide chênaie atlantique_80_</v>
      </c>
      <c r="BM1494" s="13">
        <v>103.741701976496</v>
      </c>
      <c r="BN1494" s="13">
        <v>530.86067197363298</v>
      </c>
      <c r="BO1494" s="13" t="s">
        <v>169</v>
      </c>
      <c r="BP1494" s="13">
        <v>453.22050465958398</v>
      </c>
      <c r="BQ1494" s="13">
        <v>14.6004969466671</v>
      </c>
      <c r="BT1494" s="298" t="str">
        <f>+VLOOKUP(G1494,Liste!$A$7:$H$50,8,FALSE)</f>
        <v>Feuillus</v>
      </c>
      <c r="BU1494" s="298">
        <f t="shared" si="459"/>
        <v>1</v>
      </c>
      <c r="BV1494" s="300">
        <f t="shared" si="460"/>
        <v>0</v>
      </c>
      <c r="BW1494" s="321">
        <v>0</v>
      </c>
      <c r="BX1494" s="298">
        <f t="shared" si="461"/>
        <v>0.25</v>
      </c>
      <c r="BY1494">
        <f t="shared" si="462"/>
        <v>0</v>
      </c>
      <c r="BZ1494" s="304">
        <f t="shared" si="463"/>
        <v>0</v>
      </c>
      <c r="CB1494" s="299">
        <v>0.6</v>
      </c>
      <c r="CC1494" s="299">
        <v>0.4</v>
      </c>
      <c r="CD1494">
        <f t="shared" si="464"/>
        <v>0</v>
      </c>
      <c r="CE1494">
        <f t="shared" si="465"/>
        <v>0</v>
      </c>
      <c r="CF1494">
        <f t="shared" si="466"/>
        <v>0</v>
      </c>
      <c r="CG1494">
        <f t="shared" si="467"/>
        <v>0</v>
      </c>
      <c r="CH1494">
        <f t="shared" si="468"/>
        <v>0</v>
      </c>
      <c r="CI1494">
        <f t="shared" si="469"/>
        <v>0</v>
      </c>
      <c r="CJ1494">
        <f t="shared" si="470"/>
        <v>0</v>
      </c>
      <c r="CK1494">
        <f t="shared" si="471"/>
        <v>0</v>
      </c>
      <c r="CL1494">
        <f t="shared" si="472"/>
        <v>0</v>
      </c>
      <c r="CM1494">
        <f t="shared" si="474"/>
        <v>0</v>
      </c>
      <c r="CN1494">
        <f t="shared" si="473"/>
        <v>0</v>
      </c>
      <c r="CO1494">
        <f t="shared" si="457"/>
        <v>0</v>
      </c>
    </row>
    <row r="1495" spans="1:93" x14ac:dyDescent="0.25">
      <c r="A1495" s="4">
        <v>2021</v>
      </c>
      <c r="B1495" s="318">
        <v>44361</v>
      </c>
      <c r="C1495" s="4" t="s">
        <v>66</v>
      </c>
      <c r="D1495" s="4" t="s">
        <v>1525</v>
      </c>
      <c r="E1495" s="4" t="s">
        <v>87</v>
      </c>
      <c r="F1495" s="4" t="s">
        <v>90</v>
      </c>
      <c r="G1495" s="5" t="s">
        <v>17</v>
      </c>
      <c r="H1495" s="5" t="s">
        <v>20</v>
      </c>
      <c r="I1495" s="5" t="s">
        <v>18</v>
      </c>
      <c r="J1495" s="5" t="s">
        <v>9</v>
      </c>
      <c r="K1495" s="5">
        <v>21.5</v>
      </c>
      <c r="L1495" s="5" t="s">
        <v>1529</v>
      </c>
      <c r="M1495" s="5">
        <v>1666</v>
      </c>
      <c r="N1495" s="5" t="s">
        <v>170</v>
      </c>
      <c r="O1495" s="6" t="s">
        <v>81</v>
      </c>
      <c r="P1495" s="6" t="s">
        <v>1505</v>
      </c>
      <c r="S1495" s="6">
        <v>34</v>
      </c>
      <c r="T1495" s="6">
        <v>16.2</v>
      </c>
      <c r="U1495" s="6">
        <v>1451</v>
      </c>
      <c r="V1495" s="6">
        <v>23.57</v>
      </c>
      <c r="W1495" s="6">
        <v>44</v>
      </c>
      <c r="X1495" s="6">
        <v>444</v>
      </c>
      <c r="Y1495" s="6">
        <v>742</v>
      </c>
      <c r="Z1495" s="6">
        <v>211</v>
      </c>
      <c r="AA1495" s="6">
        <v>10</v>
      </c>
      <c r="AB1495" s="6">
        <v>0</v>
      </c>
      <c r="AC1495" s="7">
        <v>82</v>
      </c>
      <c r="AD1495" s="7" t="s">
        <v>52</v>
      </c>
      <c r="AE1495" s="7">
        <v>29.35</v>
      </c>
      <c r="AF1495" s="7">
        <v>217</v>
      </c>
      <c r="AG1495" s="7">
        <v>27.67</v>
      </c>
      <c r="AH1495" s="7">
        <v>40.29</v>
      </c>
      <c r="AI1495" s="7">
        <v>44.19</v>
      </c>
      <c r="AJ1495" s="9">
        <v>400.20402855721602</v>
      </c>
      <c r="AK1495" s="9">
        <v>435.85342484492799</v>
      </c>
      <c r="AL1495" s="9">
        <v>471.33404273221402</v>
      </c>
      <c r="AM1495" s="9">
        <v>63.018317190807601</v>
      </c>
      <c r="AN1495" s="9">
        <v>0.76851606330253197</v>
      </c>
      <c r="AO1495" s="9">
        <v>0.55210914257266097</v>
      </c>
      <c r="AP1495" s="9">
        <v>913.24864576986499</v>
      </c>
      <c r="AQ1495" s="9">
        <v>11.1371786069496</v>
      </c>
      <c r="AR1495" s="9">
        <v>12.2824448853139</v>
      </c>
      <c r="AS1495" s="8" t="s">
        <v>169</v>
      </c>
      <c r="AT1495" s="8" t="s">
        <v>169</v>
      </c>
      <c r="AU1495" s="10" t="s">
        <v>169</v>
      </c>
      <c r="AV1495" s="10">
        <v>0</v>
      </c>
      <c r="AX1495" s="10" t="s">
        <v>169</v>
      </c>
      <c r="BF1495" s="12">
        <v>0.55000000000000004</v>
      </c>
      <c r="BG1495" s="13">
        <v>451.49873510056699</v>
      </c>
      <c r="BH1495" s="96" t="str">
        <f>+VLOOKUP(G1495,Liste!$A$7:$G$50,3,FALSE)</f>
        <v>Chêne sessile</v>
      </c>
      <c r="BI1495" s="96" t="str">
        <f>+VLOOKUP(H1495,Liste!$B$7:$G$50,5,FALSE)</f>
        <v>Guide chênaie atlantique</v>
      </c>
      <c r="BJ1495" s="135">
        <f t="shared" si="456"/>
        <v>82</v>
      </c>
      <c r="BK1495" s="135" t="str">
        <f t="shared" si="458"/>
        <v>Chêne sessile_F1_Classique_Guide chênaie atlantique_82_</v>
      </c>
      <c r="BM1495" s="13">
        <v>108.956943679113</v>
      </c>
      <c r="BN1495" s="13">
        <v>560.45567877967903</v>
      </c>
      <c r="BO1495" s="13" t="s">
        <v>169</v>
      </c>
      <c r="BP1495" s="13">
        <v>453.22050465958398</v>
      </c>
      <c r="BQ1495" s="13">
        <v>14.0830789895723</v>
      </c>
      <c r="BT1495" s="298" t="str">
        <f>+VLOOKUP(G1495,Liste!$A$7:$H$50,8,FALSE)</f>
        <v>Feuillus</v>
      </c>
      <c r="BU1495" s="298">
        <f t="shared" si="459"/>
        <v>1</v>
      </c>
      <c r="BV1495" s="300">
        <f t="shared" si="460"/>
        <v>0</v>
      </c>
      <c r="BW1495" s="321">
        <v>0</v>
      </c>
      <c r="BX1495" s="298">
        <f t="shared" si="461"/>
        <v>0.25</v>
      </c>
      <c r="BY1495">
        <f t="shared" si="462"/>
        <v>0</v>
      </c>
      <c r="BZ1495" s="304">
        <f t="shared" si="463"/>
        <v>0</v>
      </c>
      <c r="CB1495" s="299">
        <v>0.6</v>
      </c>
      <c r="CC1495" s="299">
        <v>0.4</v>
      </c>
      <c r="CD1495">
        <f t="shared" si="464"/>
        <v>0</v>
      </c>
      <c r="CE1495">
        <f t="shared" si="465"/>
        <v>0</v>
      </c>
      <c r="CF1495">
        <f t="shared" si="466"/>
        <v>0</v>
      </c>
      <c r="CG1495">
        <f t="shared" si="467"/>
        <v>0</v>
      </c>
      <c r="CH1495">
        <f t="shared" si="468"/>
        <v>0</v>
      </c>
      <c r="CI1495">
        <f t="shared" si="469"/>
        <v>0</v>
      </c>
      <c r="CJ1495">
        <f t="shared" si="470"/>
        <v>0</v>
      </c>
      <c r="CK1495">
        <f t="shared" si="471"/>
        <v>0</v>
      </c>
      <c r="CL1495">
        <f t="shared" si="472"/>
        <v>0</v>
      </c>
      <c r="CM1495">
        <f t="shared" si="474"/>
        <v>0</v>
      </c>
      <c r="CN1495">
        <f t="shared" si="473"/>
        <v>0</v>
      </c>
      <c r="CO1495">
        <f t="shared" si="457"/>
        <v>0</v>
      </c>
    </row>
    <row r="1496" spans="1:93" x14ac:dyDescent="0.25">
      <c r="A1496" s="4">
        <v>2021</v>
      </c>
      <c r="B1496" s="318">
        <v>44361</v>
      </c>
      <c r="C1496" s="4" t="s">
        <v>66</v>
      </c>
      <c r="D1496" s="4" t="s">
        <v>1525</v>
      </c>
      <c r="E1496" s="4" t="s">
        <v>87</v>
      </c>
      <c r="F1496" s="4" t="s">
        <v>90</v>
      </c>
      <c r="G1496" s="5" t="s">
        <v>17</v>
      </c>
      <c r="H1496" s="5" t="s">
        <v>20</v>
      </c>
      <c r="I1496" s="5" t="s">
        <v>18</v>
      </c>
      <c r="J1496" s="5" t="s">
        <v>9</v>
      </c>
      <c r="K1496" s="5">
        <v>21.5</v>
      </c>
      <c r="L1496" s="5" t="s">
        <v>1529</v>
      </c>
      <c r="M1496" s="5">
        <v>1666</v>
      </c>
      <c r="N1496" s="5" t="s">
        <v>170</v>
      </c>
      <c r="O1496" s="6" t="s">
        <v>81</v>
      </c>
      <c r="P1496" s="6" t="s">
        <v>1505</v>
      </c>
      <c r="S1496" s="6">
        <v>34</v>
      </c>
      <c r="T1496" s="6">
        <v>16.2</v>
      </c>
      <c r="U1496" s="6">
        <v>1451</v>
      </c>
      <c r="V1496" s="6">
        <v>23.57</v>
      </c>
      <c r="W1496" s="6">
        <v>44</v>
      </c>
      <c r="X1496" s="6">
        <v>444</v>
      </c>
      <c r="Y1496" s="6">
        <v>742</v>
      </c>
      <c r="Z1496" s="6">
        <v>211</v>
      </c>
      <c r="AA1496" s="6">
        <v>10</v>
      </c>
      <c r="AB1496" s="6">
        <v>0</v>
      </c>
      <c r="AC1496" s="7">
        <v>82</v>
      </c>
      <c r="AD1496" s="7" t="s">
        <v>53</v>
      </c>
      <c r="AE1496" s="7">
        <v>29.35</v>
      </c>
      <c r="AF1496" s="7">
        <v>182</v>
      </c>
      <c r="AG1496" s="7">
        <v>23.9</v>
      </c>
      <c r="AH1496" s="7">
        <v>40.89</v>
      </c>
      <c r="AI1496" s="7">
        <v>43.89</v>
      </c>
      <c r="AJ1496" s="9">
        <v>346.24444281248901</v>
      </c>
      <c r="AK1496" s="9">
        <v>377.52064696409502</v>
      </c>
      <c r="AL1496" s="9">
        <v>408.12237772036099</v>
      </c>
      <c r="AM1496" s="9">
        <v>63.018317190807601</v>
      </c>
      <c r="AN1496" s="9">
        <v>0.76851606330253197</v>
      </c>
      <c r="AO1496" s="9">
        <v>0.55210914257266097</v>
      </c>
      <c r="AP1496" s="9">
        <v>913.24864576986499</v>
      </c>
      <c r="AQ1496" s="9">
        <v>11.1371786069496</v>
      </c>
      <c r="AR1496" s="9">
        <v>12.2824448853139</v>
      </c>
      <c r="AS1496" s="8">
        <v>35</v>
      </c>
      <c r="AT1496" s="8">
        <v>3.7700000000000031</v>
      </c>
      <c r="AU1496" s="10">
        <v>37.033240217989366</v>
      </c>
      <c r="AV1496" s="10">
        <v>53.959585744727008</v>
      </c>
      <c r="AW1496" s="8">
        <v>0.84</v>
      </c>
      <c r="AX1496" s="10">
        <v>1.541702449849343</v>
      </c>
      <c r="BF1496" s="12">
        <v>0.55000000000000004</v>
      </c>
      <c r="BG1496" s="13">
        <v>390.947227657962</v>
      </c>
      <c r="BH1496" s="96" t="str">
        <f>+VLOOKUP(G1496,Liste!$A$7:$G$50,3,FALSE)</f>
        <v>Chêne sessile</v>
      </c>
      <c r="BI1496" s="96" t="str">
        <f>+VLOOKUP(H1496,Liste!$B$7:$G$50,5,FALSE)</f>
        <v>Guide chênaie atlantique</v>
      </c>
      <c r="BJ1496" s="135">
        <f t="shared" si="456"/>
        <v>82</v>
      </c>
      <c r="BK1496" s="135" t="str">
        <f t="shared" si="458"/>
        <v>Chêne sessile_F1_Classique_Guide chênaie atlantique_82_</v>
      </c>
      <c r="BM1496" s="13">
        <v>95.939175548372503</v>
      </c>
      <c r="BN1496" s="13">
        <v>486.88640320633499</v>
      </c>
      <c r="BO1496" s="13">
        <v>73.569275573344044</v>
      </c>
      <c r="BP1496" s="13">
        <v>453.22050465958398</v>
      </c>
      <c r="BQ1496" s="13">
        <v>14.0830789895723</v>
      </c>
      <c r="BT1496" s="298" t="str">
        <f>+VLOOKUP(G1496,Liste!$A$7:$H$50,8,FALSE)</f>
        <v>Feuillus</v>
      </c>
      <c r="BU1496" s="298">
        <f t="shared" si="459"/>
        <v>1</v>
      </c>
      <c r="BV1496" s="300">
        <f t="shared" si="460"/>
        <v>0</v>
      </c>
      <c r="BW1496" s="321">
        <v>0</v>
      </c>
      <c r="BX1496" s="298">
        <f t="shared" si="461"/>
        <v>0.25</v>
      </c>
      <c r="BY1496">
        <f t="shared" si="462"/>
        <v>0</v>
      </c>
      <c r="BZ1496" s="304">
        <f t="shared" si="463"/>
        <v>0</v>
      </c>
      <c r="CB1496" s="299">
        <v>0.6</v>
      </c>
      <c r="CC1496" s="299">
        <v>0.4</v>
      </c>
      <c r="CD1496">
        <f t="shared" si="464"/>
        <v>0</v>
      </c>
      <c r="CE1496">
        <f t="shared" si="465"/>
        <v>0</v>
      </c>
      <c r="CF1496">
        <f t="shared" si="466"/>
        <v>0</v>
      </c>
      <c r="CG1496">
        <f t="shared" si="467"/>
        <v>0</v>
      </c>
      <c r="CH1496">
        <f t="shared" si="468"/>
        <v>0</v>
      </c>
      <c r="CI1496">
        <f t="shared" si="469"/>
        <v>0</v>
      </c>
      <c r="CJ1496">
        <f t="shared" si="470"/>
        <v>0</v>
      </c>
      <c r="CK1496">
        <f t="shared" si="471"/>
        <v>0</v>
      </c>
      <c r="CL1496">
        <f t="shared" si="472"/>
        <v>0</v>
      </c>
      <c r="CM1496">
        <f t="shared" si="474"/>
        <v>0</v>
      </c>
      <c r="CN1496">
        <f t="shared" si="473"/>
        <v>0</v>
      </c>
      <c r="CO1496">
        <f t="shared" si="457"/>
        <v>0</v>
      </c>
    </row>
    <row r="1497" spans="1:93" x14ac:dyDescent="0.25">
      <c r="A1497" s="4">
        <v>2021</v>
      </c>
      <c r="B1497" s="318">
        <v>44361</v>
      </c>
      <c r="C1497" s="4" t="s">
        <v>66</v>
      </c>
      <c r="D1497" s="4" t="s">
        <v>1525</v>
      </c>
      <c r="E1497" s="4" t="s">
        <v>87</v>
      </c>
      <c r="F1497" s="4" t="s">
        <v>90</v>
      </c>
      <c r="G1497" s="5" t="s">
        <v>17</v>
      </c>
      <c r="H1497" s="5" t="s">
        <v>20</v>
      </c>
      <c r="I1497" s="5" t="s">
        <v>18</v>
      </c>
      <c r="J1497" s="5" t="s">
        <v>9</v>
      </c>
      <c r="K1497" s="5">
        <v>21.5</v>
      </c>
      <c r="L1497" s="5" t="s">
        <v>1529</v>
      </c>
      <c r="M1497" s="5">
        <v>1666</v>
      </c>
      <c r="N1497" s="5" t="s">
        <v>170</v>
      </c>
      <c r="O1497" s="6" t="s">
        <v>81</v>
      </c>
      <c r="P1497" s="6" t="s">
        <v>1505</v>
      </c>
      <c r="S1497" s="6">
        <v>34</v>
      </c>
      <c r="T1497" s="6">
        <v>16.2</v>
      </c>
      <c r="U1497" s="6">
        <v>1451</v>
      </c>
      <c r="V1497" s="6">
        <v>23.57</v>
      </c>
      <c r="W1497" s="6">
        <v>44</v>
      </c>
      <c r="X1497" s="6">
        <v>444</v>
      </c>
      <c r="Y1497" s="6">
        <v>742</v>
      </c>
      <c r="Z1497" s="6">
        <v>211</v>
      </c>
      <c r="AA1497" s="6">
        <v>10</v>
      </c>
      <c r="AB1497" s="6">
        <v>0</v>
      </c>
      <c r="AC1497" s="7">
        <v>85</v>
      </c>
      <c r="AD1497" s="7" t="s">
        <v>52</v>
      </c>
      <c r="AE1497" s="7">
        <v>29.91</v>
      </c>
      <c r="AF1497" s="7">
        <v>182</v>
      </c>
      <c r="AG1497" s="7">
        <v>25.56</v>
      </c>
      <c r="AH1497" s="7">
        <v>42.28</v>
      </c>
      <c r="AI1497" s="7">
        <v>45.36</v>
      </c>
      <c r="AJ1497" s="9">
        <v>378.11090449081098</v>
      </c>
      <c r="AK1497" s="9">
        <v>412.52108701012003</v>
      </c>
      <c r="AL1497" s="9">
        <v>444.96971237630203</v>
      </c>
      <c r="AM1497" s="9">
        <v>64.674644618525605</v>
      </c>
      <c r="AN1497" s="9">
        <v>0.76087817198265395</v>
      </c>
      <c r="AO1497" s="9">
        <v>0.54103897116753796</v>
      </c>
      <c r="AP1497" s="9">
        <v>950.09598042580603</v>
      </c>
      <c r="AQ1497" s="9">
        <v>11.1775997697154</v>
      </c>
      <c r="AR1497" s="9">
        <v>12.1911147374805</v>
      </c>
      <c r="AS1497" s="8" t="s">
        <v>169</v>
      </c>
      <c r="AT1497" s="8" t="s">
        <v>169</v>
      </c>
      <c r="AU1497" s="10" t="s">
        <v>169</v>
      </c>
      <c r="AV1497" s="10">
        <v>0</v>
      </c>
      <c r="AX1497" s="10" t="s">
        <v>169</v>
      </c>
      <c r="BF1497" s="12">
        <v>0.55000000000000004</v>
      </c>
      <c r="BG1497" s="13">
        <v>426.24390364713298</v>
      </c>
      <c r="BH1497" s="96" t="str">
        <f>+VLOOKUP(G1497,Liste!$A$7:$G$50,3,FALSE)</f>
        <v>Chêne sessile</v>
      </c>
      <c r="BI1497" s="96" t="str">
        <f>+VLOOKUP(H1497,Liste!$B$7:$G$50,5,FALSE)</f>
        <v>Guide chênaie atlantique</v>
      </c>
      <c r="BJ1497" s="135">
        <f t="shared" si="456"/>
        <v>85</v>
      </c>
      <c r="BK1497" s="135" t="str">
        <f t="shared" si="458"/>
        <v>Chêne sessile_F1_Classique_Guide chênaie atlantique_85_</v>
      </c>
      <c r="BM1497" s="13">
        <v>103.55387713978099</v>
      </c>
      <c r="BN1497" s="13">
        <v>529.79778078691402</v>
      </c>
      <c r="BO1497" s="13" t="s">
        <v>169</v>
      </c>
      <c r="BP1497" s="13">
        <v>453.22050465958398</v>
      </c>
      <c r="BQ1497" s="13">
        <v>13.968033524116001</v>
      </c>
      <c r="BT1497" s="298" t="str">
        <f>+VLOOKUP(G1497,Liste!$A$7:$H$50,8,FALSE)</f>
        <v>Feuillus</v>
      </c>
      <c r="BU1497" s="298">
        <f t="shared" si="459"/>
        <v>1</v>
      </c>
      <c r="BV1497" s="300">
        <f t="shared" si="460"/>
        <v>0</v>
      </c>
      <c r="BW1497" s="321">
        <v>0</v>
      </c>
      <c r="BX1497" s="298">
        <f t="shared" si="461"/>
        <v>0.25</v>
      </c>
      <c r="BY1497">
        <f t="shared" si="462"/>
        <v>0</v>
      </c>
      <c r="BZ1497" s="304">
        <f t="shared" si="463"/>
        <v>0</v>
      </c>
      <c r="CB1497" s="299">
        <v>0.6</v>
      </c>
      <c r="CC1497" s="299">
        <v>0.4</v>
      </c>
      <c r="CD1497">
        <f t="shared" si="464"/>
        <v>0</v>
      </c>
      <c r="CE1497">
        <f t="shared" si="465"/>
        <v>0</v>
      </c>
      <c r="CF1497">
        <f t="shared" si="466"/>
        <v>0</v>
      </c>
      <c r="CG1497">
        <f t="shared" si="467"/>
        <v>0</v>
      </c>
      <c r="CH1497">
        <f t="shared" si="468"/>
        <v>0</v>
      </c>
      <c r="CI1497">
        <f t="shared" si="469"/>
        <v>0</v>
      </c>
      <c r="CJ1497">
        <f t="shared" si="470"/>
        <v>0</v>
      </c>
      <c r="CK1497">
        <f t="shared" si="471"/>
        <v>0</v>
      </c>
      <c r="CL1497">
        <f t="shared" si="472"/>
        <v>0</v>
      </c>
      <c r="CM1497">
        <f t="shared" si="474"/>
        <v>0</v>
      </c>
      <c r="CN1497">
        <f t="shared" si="473"/>
        <v>0</v>
      </c>
      <c r="CO1497">
        <f t="shared" si="457"/>
        <v>0</v>
      </c>
    </row>
    <row r="1498" spans="1:93" x14ac:dyDescent="0.25">
      <c r="A1498" s="4">
        <v>2021</v>
      </c>
      <c r="B1498" s="318">
        <v>44361</v>
      </c>
      <c r="C1498" s="4" t="s">
        <v>66</v>
      </c>
      <c r="D1498" s="4" t="s">
        <v>1525</v>
      </c>
      <c r="E1498" s="4" t="s">
        <v>87</v>
      </c>
      <c r="F1498" s="4" t="s">
        <v>90</v>
      </c>
      <c r="G1498" s="5" t="s">
        <v>17</v>
      </c>
      <c r="H1498" s="5" t="s">
        <v>20</v>
      </c>
      <c r="I1498" s="5" t="s">
        <v>18</v>
      </c>
      <c r="J1498" s="5" t="s">
        <v>9</v>
      </c>
      <c r="K1498" s="5">
        <v>21.5</v>
      </c>
      <c r="L1498" s="5" t="s">
        <v>1529</v>
      </c>
      <c r="M1498" s="5">
        <v>1666</v>
      </c>
      <c r="N1498" s="5" t="s">
        <v>170</v>
      </c>
      <c r="O1498" s="6" t="s">
        <v>81</v>
      </c>
      <c r="P1498" s="6" t="s">
        <v>1505</v>
      </c>
      <c r="S1498" s="6">
        <v>34</v>
      </c>
      <c r="T1498" s="6">
        <v>16.2</v>
      </c>
      <c r="U1498" s="6">
        <v>1451</v>
      </c>
      <c r="V1498" s="6">
        <v>23.57</v>
      </c>
      <c r="W1498" s="6">
        <v>44</v>
      </c>
      <c r="X1498" s="6">
        <v>444</v>
      </c>
      <c r="Y1498" s="6">
        <v>742</v>
      </c>
      <c r="Z1498" s="6">
        <v>211</v>
      </c>
      <c r="AA1498" s="6">
        <v>10</v>
      </c>
      <c r="AB1498" s="6">
        <v>0</v>
      </c>
      <c r="AC1498" s="7">
        <v>88</v>
      </c>
      <c r="AD1498" s="7" t="s">
        <v>52</v>
      </c>
      <c r="AE1498" s="7">
        <v>30.46</v>
      </c>
      <c r="AF1498" s="7">
        <v>182</v>
      </c>
      <c r="AG1498" s="7">
        <v>27.18</v>
      </c>
      <c r="AH1498" s="7">
        <v>43.61</v>
      </c>
      <c r="AI1498" s="7">
        <v>46.75</v>
      </c>
      <c r="AJ1498" s="9">
        <v>409.71217405186297</v>
      </c>
      <c r="AK1498" s="9">
        <v>447.28790219116797</v>
      </c>
      <c r="AL1498" s="9">
        <v>481.54305658874398</v>
      </c>
      <c r="AM1498" s="9">
        <v>66.297761532028204</v>
      </c>
      <c r="AN1498" s="9">
        <v>0.75338365377304795</v>
      </c>
      <c r="AO1498" s="9">
        <v>0.53584188680057598</v>
      </c>
      <c r="AP1498" s="9">
        <v>986.66932463824799</v>
      </c>
      <c r="AQ1498" s="9">
        <v>11.212151416343699</v>
      </c>
      <c r="AR1498" s="9">
        <v>12.362055521502599</v>
      </c>
      <c r="AS1498" s="8" t="s">
        <v>169</v>
      </c>
      <c r="AT1498" s="8" t="s">
        <v>169</v>
      </c>
      <c r="AU1498" s="10" t="s">
        <v>169</v>
      </c>
      <c r="AV1498" s="10">
        <v>0</v>
      </c>
      <c r="AX1498" s="10" t="s">
        <v>169</v>
      </c>
      <c r="BF1498" s="12">
        <v>0.55000000000000004</v>
      </c>
      <c r="BG1498" s="13">
        <v>461.278119623968</v>
      </c>
      <c r="BH1498" s="96" t="str">
        <f>+VLOOKUP(G1498,Liste!$A$7:$G$50,3,FALSE)</f>
        <v>Chêne sessile</v>
      </c>
      <c r="BI1498" s="96" t="str">
        <f>+VLOOKUP(H1498,Liste!$B$7:$G$50,5,FALSE)</f>
        <v>Guide chênaie atlantique</v>
      </c>
      <c r="BJ1498" s="135">
        <f t="shared" si="456"/>
        <v>88</v>
      </c>
      <c r="BK1498" s="135" t="str">
        <f t="shared" si="458"/>
        <v>Chêne sessile_F1_Classique_Guide chênaie atlantique_88_</v>
      </c>
      <c r="BM1498" s="13">
        <v>111.03962180217999</v>
      </c>
      <c r="BN1498" s="13">
        <v>572.31774142614802</v>
      </c>
      <c r="BO1498" s="13" t="s">
        <v>169</v>
      </c>
      <c r="BP1498" s="13">
        <v>453.22050465958398</v>
      </c>
      <c r="BQ1498" s="13">
        <v>14.155472975177799</v>
      </c>
      <c r="BT1498" s="298" t="str">
        <f>+VLOOKUP(G1498,Liste!$A$7:$H$50,8,FALSE)</f>
        <v>Feuillus</v>
      </c>
      <c r="BU1498" s="298">
        <f t="shared" si="459"/>
        <v>1</v>
      </c>
      <c r="BV1498" s="300">
        <f t="shared" si="460"/>
        <v>0</v>
      </c>
      <c r="BW1498" s="321">
        <v>0</v>
      </c>
      <c r="BX1498" s="298">
        <f t="shared" si="461"/>
        <v>0.25</v>
      </c>
      <c r="BY1498">
        <f t="shared" si="462"/>
        <v>0</v>
      </c>
      <c r="BZ1498" s="304">
        <f t="shared" si="463"/>
        <v>0</v>
      </c>
      <c r="CB1498" s="299">
        <v>0.6</v>
      </c>
      <c r="CC1498" s="299">
        <v>0.4</v>
      </c>
      <c r="CD1498">
        <f t="shared" si="464"/>
        <v>0</v>
      </c>
      <c r="CE1498">
        <f t="shared" si="465"/>
        <v>0</v>
      </c>
      <c r="CF1498">
        <f t="shared" si="466"/>
        <v>0</v>
      </c>
      <c r="CG1498">
        <f t="shared" si="467"/>
        <v>0</v>
      </c>
      <c r="CH1498">
        <f t="shared" si="468"/>
        <v>0</v>
      </c>
      <c r="CI1498">
        <f t="shared" si="469"/>
        <v>0</v>
      </c>
      <c r="CJ1498">
        <f t="shared" si="470"/>
        <v>0</v>
      </c>
      <c r="CK1498">
        <f t="shared" si="471"/>
        <v>0</v>
      </c>
      <c r="CL1498">
        <f t="shared" si="472"/>
        <v>0</v>
      </c>
      <c r="CM1498">
        <f t="shared" si="474"/>
        <v>0</v>
      </c>
      <c r="CN1498">
        <f t="shared" si="473"/>
        <v>0</v>
      </c>
      <c r="CO1498">
        <f t="shared" si="457"/>
        <v>0</v>
      </c>
    </row>
    <row r="1499" spans="1:93" x14ac:dyDescent="0.25">
      <c r="A1499" s="4">
        <v>2021</v>
      </c>
      <c r="B1499" s="318">
        <v>44361</v>
      </c>
      <c r="C1499" s="4" t="s">
        <v>66</v>
      </c>
      <c r="D1499" s="4" t="s">
        <v>1525</v>
      </c>
      <c r="E1499" s="4" t="s">
        <v>87</v>
      </c>
      <c r="F1499" s="4" t="s">
        <v>90</v>
      </c>
      <c r="G1499" s="5" t="s">
        <v>17</v>
      </c>
      <c r="H1499" s="5" t="s">
        <v>20</v>
      </c>
      <c r="I1499" s="5" t="s">
        <v>18</v>
      </c>
      <c r="J1499" s="5" t="s">
        <v>9</v>
      </c>
      <c r="K1499" s="5">
        <v>21.5</v>
      </c>
      <c r="L1499" s="5" t="s">
        <v>1529</v>
      </c>
      <c r="M1499" s="5">
        <v>1666</v>
      </c>
      <c r="N1499" s="5" t="s">
        <v>170</v>
      </c>
      <c r="O1499" s="6" t="s">
        <v>81</v>
      </c>
      <c r="P1499" s="6" t="s">
        <v>1505</v>
      </c>
      <c r="S1499" s="6">
        <v>34</v>
      </c>
      <c r="T1499" s="6">
        <v>16.2</v>
      </c>
      <c r="U1499" s="6">
        <v>1451</v>
      </c>
      <c r="V1499" s="6">
        <v>23.57</v>
      </c>
      <c r="W1499" s="6">
        <v>44</v>
      </c>
      <c r="X1499" s="6">
        <v>444</v>
      </c>
      <c r="Y1499" s="6">
        <v>742</v>
      </c>
      <c r="Z1499" s="6">
        <v>211</v>
      </c>
      <c r="AA1499" s="6">
        <v>10</v>
      </c>
      <c r="AB1499" s="6">
        <v>0</v>
      </c>
      <c r="AC1499" s="7">
        <v>90</v>
      </c>
      <c r="AD1499" s="7" t="s">
        <v>52</v>
      </c>
      <c r="AE1499" s="7">
        <v>30.81</v>
      </c>
      <c r="AF1499" s="7">
        <v>182</v>
      </c>
      <c r="AG1499" s="7">
        <v>28.25</v>
      </c>
      <c r="AH1499" s="7">
        <v>44.45</v>
      </c>
      <c r="AI1499" s="7">
        <v>47.65</v>
      </c>
      <c r="AJ1499" s="9">
        <v>431.15141902037902</v>
      </c>
      <c r="AK1499" s="9">
        <v>470.82995174451997</v>
      </c>
      <c r="AL1499" s="9">
        <v>506.26716763174898</v>
      </c>
      <c r="AM1499" s="9">
        <v>67.369445305629398</v>
      </c>
      <c r="AN1499" s="9">
        <v>0.74854939228477102</v>
      </c>
      <c r="AO1499" s="9">
        <v>0.50592417271120904</v>
      </c>
      <c r="AP1499" s="9">
        <v>1011.39343568125</v>
      </c>
      <c r="AQ1499" s="9">
        <v>11.237704840902801</v>
      </c>
      <c r="AR1499" s="9">
        <v>11.611893521133</v>
      </c>
      <c r="AS1499" s="8" t="s">
        <v>169</v>
      </c>
      <c r="AT1499" s="8" t="s">
        <v>169</v>
      </c>
      <c r="AU1499" s="10" t="s">
        <v>169</v>
      </c>
      <c r="AV1499" s="10">
        <v>0</v>
      </c>
      <c r="AX1499" s="10" t="s">
        <v>169</v>
      </c>
      <c r="BF1499" s="12">
        <v>0.55000000000000004</v>
      </c>
      <c r="BG1499" s="13">
        <v>484.96175766058002</v>
      </c>
      <c r="BH1499" s="96" t="str">
        <f>+VLOOKUP(G1499,Liste!$A$7:$G$50,3,FALSE)</f>
        <v>Chêne sessile</v>
      </c>
      <c r="BI1499" s="96" t="str">
        <f>+VLOOKUP(H1499,Liste!$B$7:$G$50,5,FALSE)</f>
        <v>Guide chênaie atlantique</v>
      </c>
      <c r="BJ1499" s="135">
        <f t="shared" si="456"/>
        <v>90</v>
      </c>
      <c r="BK1499" s="135" t="str">
        <f t="shared" si="458"/>
        <v>Chêne sessile_F1_Classique_Guide chênaie atlantique_90_</v>
      </c>
      <c r="BM1499" s="13">
        <v>116.062397194022</v>
      </c>
      <c r="BN1499" s="13">
        <v>601.02415485460199</v>
      </c>
      <c r="BO1499" s="13" t="s">
        <v>169</v>
      </c>
      <c r="BP1499" s="13">
        <v>453.22050465958398</v>
      </c>
      <c r="BQ1499" s="13">
        <v>13.2890702157072</v>
      </c>
      <c r="BT1499" s="298" t="str">
        <f>+VLOOKUP(G1499,Liste!$A$7:$H$50,8,FALSE)</f>
        <v>Feuillus</v>
      </c>
      <c r="BU1499" s="298">
        <f t="shared" si="459"/>
        <v>1</v>
      </c>
      <c r="BV1499" s="300">
        <f t="shared" si="460"/>
        <v>0</v>
      </c>
      <c r="BW1499" s="321">
        <v>0</v>
      </c>
      <c r="BX1499" s="298">
        <f t="shared" si="461"/>
        <v>0.25</v>
      </c>
      <c r="BY1499">
        <f t="shared" si="462"/>
        <v>0</v>
      </c>
      <c r="BZ1499" s="304">
        <f t="shared" si="463"/>
        <v>0</v>
      </c>
      <c r="CB1499" s="299">
        <v>0.6</v>
      </c>
      <c r="CC1499" s="299">
        <v>0.4</v>
      </c>
      <c r="CD1499">
        <f t="shared" si="464"/>
        <v>0</v>
      </c>
      <c r="CE1499">
        <f t="shared" si="465"/>
        <v>0</v>
      </c>
      <c r="CF1499">
        <f t="shared" si="466"/>
        <v>0</v>
      </c>
      <c r="CG1499">
        <f t="shared" si="467"/>
        <v>0</v>
      </c>
      <c r="CH1499">
        <f t="shared" si="468"/>
        <v>0</v>
      </c>
      <c r="CI1499">
        <f t="shared" si="469"/>
        <v>0</v>
      </c>
      <c r="CJ1499">
        <f t="shared" si="470"/>
        <v>0</v>
      </c>
      <c r="CK1499">
        <f t="shared" si="471"/>
        <v>0</v>
      </c>
      <c r="CL1499">
        <f t="shared" si="472"/>
        <v>0</v>
      </c>
      <c r="CM1499">
        <f t="shared" si="474"/>
        <v>0</v>
      </c>
      <c r="CN1499">
        <f t="shared" si="473"/>
        <v>0</v>
      </c>
      <c r="CO1499">
        <f t="shared" si="457"/>
        <v>0</v>
      </c>
    </row>
    <row r="1500" spans="1:93" x14ac:dyDescent="0.25">
      <c r="A1500" s="4">
        <v>2021</v>
      </c>
      <c r="B1500" s="318">
        <v>44361</v>
      </c>
      <c r="C1500" s="4" t="s">
        <v>66</v>
      </c>
      <c r="D1500" s="4" t="s">
        <v>1525</v>
      </c>
      <c r="E1500" s="4" t="s">
        <v>87</v>
      </c>
      <c r="F1500" s="4" t="s">
        <v>90</v>
      </c>
      <c r="G1500" s="5" t="s">
        <v>17</v>
      </c>
      <c r="H1500" s="5" t="s">
        <v>20</v>
      </c>
      <c r="I1500" s="5" t="s">
        <v>18</v>
      </c>
      <c r="J1500" s="5" t="s">
        <v>9</v>
      </c>
      <c r="K1500" s="5">
        <v>21.5</v>
      </c>
      <c r="L1500" s="5" t="s">
        <v>1529</v>
      </c>
      <c r="M1500" s="5">
        <v>1666</v>
      </c>
      <c r="N1500" s="5" t="s">
        <v>170</v>
      </c>
      <c r="O1500" s="6" t="s">
        <v>81</v>
      </c>
      <c r="P1500" s="6" t="s">
        <v>1505</v>
      </c>
      <c r="S1500" s="6">
        <v>34</v>
      </c>
      <c r="T1500" s="6">
        <v>16.2</v>
      </c>
      <c r="U1500" s="6">
        <v>1451</v>
      </c>
      <c r="V1500" s="6">
        <v>23.57</v>
      </c>
      <c r="W1500" s="6">
        <v>44</v>
      </c>
      <c r="X1500" s="6">
        <v>444</v>
      </c>
      <c r="Y1500" s="6">
        <v>742</v>
      </c>
      <c r="Z1500" s="6">
        <v>211</v>
      </c>
      <c r="AA1500" s="6">
        <v>10</v>
      </c>
      <c r="AB1500" s="6">
        <v>0</v>
      </c>
      <c r="AC1500" s="7">
        <v>90</v>
      </c>
      <c r="AD1500" s="7" t="s">
        <v>53</v>
      </c>
      <c r="AE1500" s="7">
        <v>30.81</v>
      </c>
      <c r="AF1500" s="7">
        <v>151</v>
      </c>
      <c r="AG1500" s="7">
        <v>24.03</v>
      </c>
      <c r="AH1500" s="7">
        <v>45.01</v>
      </c>
      <c r="AI1500" s="7">
        <v>47.44</v>
      </c>
      <c r="AJ1500" s="9">
        <v>367.11617918816398</v>
      </c>
      <c r="AK1500" s="9">
        <v>401.393532216165</v>
      </c>
      <c r="AL1500" s="9">
        <v>431.51007654529798</v>
      </c>
      <c r="AM1500" s="9">
        <v>67.369445305629398</v>
      </c>
      <c r="AN1500" s="9">
        <v>0.74854939228477102</v>
      </c>
      <c r="AO1500" s="9">
        <v>0.50592417271120904</v>
      </c>
      <c r="AP1500" s="9">
        <v>1011.39343568125</v>
      </c>
      <c r="AQ1500" s="9">
        <v>11.237704840902801</v>
      </c>
      <c r="AR1500" s="9">
        <v>11.611893521133</v>
      </c>
      <c r="AS1500" s="8">
        <v>31</v>
      </c>
      <c r="AT1500" s="8">
        <v>4.2199999999999989</v>
      </c>
      <c r="AU1500" s="10">
        <v>41.632303210067093</v>
      </c>
      <c r="AV1500" s="10">
        <v>64.035239832215041</v>
      </c>
      <c r="AW1500" s="8">
        <v>0.88</v>
      </c>
      <c r="AX1500" s="10">
        <v>2.0656528978133886</v>
      </c>
      <c r="BF1500" s="12">
        <v>0.55000000000000004</v>
      </c>
      <c r="BG1500" s="13">
        <v>413.35069415735001</v>
      </c>
      <c r="BH1500" s="96" t="str">
        <f>+VLOOKUP(G1500,Liste!$A$7:$G$50,3,FALSE)</f>
        <v>Chêne sessile</v>
      </c>
      <c r="BI1500" s="96" t="str">
        <f>+VLOOKUP(H1500,Liste!$B$7:$G$50,5,FALSE)</f>
        <v>Guide chênaie atlantique</v>
      </c>
      <c r="BJ1500" s="135">
        <f t="shared" si="456"/>
        <v>90</v>
      </c>
      <c r="BK1500" s="135" t="str">
        <f t="shared" si="458"/>
        <v>Chêne sessile_F1_Classique_Guide chênaie atlantique_90_</v>
      </c>
      <c r="BM1500" s="13">
        <v>100.781211208486</v>
      </c>
      <c r="BN1500" s="13">
        <v>514.13190536583602</v>
      </c>
      <c r="BO1500" s="13">
        <v>86.89224948876597</v>
      </c>
      <c r="BP1500" s="13">
        <v>453.22050465958398</v>
      </c>
      <c r="BQ1500" s="13">
        <v>13.2890702157072</v>
      </c>
      <c r="BT1500" s="298" t="str">
        <f>+VLOOKUP(G1500,Liste!$A$7:$H$50,8,FALSE)</f>
        <v>Feuillus</v>
      </c>
      <c r="BU1500" s="298">
        <f t="shared" si="459"/>
        <v>1</v>
      </c>
      <c r="BV1500" s="300">
        <f t="shared" si="460"/>
        <v>0</v>
      </c>
      <c r="BW1500" s="321">
        <v>0</v>
      </c>
      <c r="BX1500" s="298">
        <f t="shared" si="461"/>
        <v>0.25</v>
      </c>
      <c r="BY1500">
        <f t="shared" si="462"/>
        <v>0</v>
      </c>
      <c r="BZ1500" s="304">
        <f t="shared" si="463"/>
        <v>0</v>
      </c>
      <c r="CB1500" s="299">
        <v>0.6</v>
      </c>
      <c r="CC1500" s="299">
        <v>0.4</v>
      </c>
      <c r="CD1500">
        <f t="shared" si="464"/>
        <v>0</v>
      </c>
      <c r="CE1500">
        <f t="shared" si="465"/>
        <v>0</v>
      </c>
      <c r="CF1500">
        <f t="shared" si="466"/>
        <v>0</v>
      </c>
      <c r="CG1500">
        <f t="shared" si="467"/>
        <v>0</v>
      </c>
      <c r="CH1500">
        <f t="shared" si="468"/>
        <v>0</v>
      </c>
      <c r="CI1500">
        <f t="shared" si="469"/>
        <v>0</v>
      </c>
      <c r="CJ1500">
        <f t="shared" si="470"/>
        <v>0</v>
      </c>
      <c r="CK1500">
        <f t="shared" si="471"/>
        <v>0</v>
      </c>
      <c r="CL1500">
        <f t="shared" si="472"/>
        <v>0</v>
      </c>
      <c r="CM1500">
        <f t="shared" si="474"/>
        <v>0</v>
      </c>
      <c r="CN1500">
        <f t="shared" si="473"/>
        <v>0</v>
      </c>
      <c r="CO1500">
        <f t="shared" si="457"/>
        <v>0</v>
      </c>
    </row>
    <row r="1501" spans="1:93" x14ac:dyDescent="0.25">
      <c r="A1501" s="4">
        <v>2021</v>
      </c>
      <c r="B1501" s="318">
        <v>44361</v>
      </c>
      <c r="C1501" s="4" t="s">
        <v>66</v>
      </c>
      <c r="D1501" s="4" t="s">
        <v>1525</v>
      </c>
      <c r="E1501" s="4" t="s">
        <v>87</v>
      </c>
      <c r="F1501" s="4" t="s">
        <v>90</v>
      </c>
      <c r="G1501" s="5" t="s">
        <v>17</v>
      </c>
      <c r="H1501" s="5" t="s">
        <v>20</v>
      </c>
      <c r="I1501" s="5" t="s">
        <v>18</v>
      </c>
      <c r="J1501" s="5" t="s">
        <v>9</v>
      </c>
      <c r="K1501" s="5">
        <v>21.5</v>
      </c>
      <c r="L1501" s="5" t="s">
        <v>1529</v>
      </c>
      <c r="M1501" s="5">
        <v>1666</v>
      </c>
      <c r="N1501" s="5" t="s">
        <v>170</v>
      </c>
      <c r="O1501" s="6" t="s">
        <v>81</v>
      </c>
      <c r="P1501" s="6" t="s">
        <v>1505</v>
      </c>
      <c r="S1501" s="6">
        <v>34</v>
      </c>
      <c r="T1501" s="6">
        <v>16.2</v>
      </c>
      <c r="U1501" s="6">
        <v>1451</v>
      </c>
      <c r="V1501" s="6">
        <v>23.57</v>
      </c>
      <c r="W1501" s="6">
        <v>44</v>
      </c>
      <c r="X1501" s="6">
        <v>444</v>
      </c>
      <c r="Y1501" s="6">
        <v>742</v>
      </c>
      <c r="Z1501" s="6">
        <v>211</v>
      </c>
      <c r="AA1501" s="6">
        <v>10</v>
      </c>
      <c r="AB1501" s="6">
        <v>0</v>
      </c>
      <c r="AC1501" s="7">
        <v>93</v>
      </c>
      <c r="AD1501" s="7" t="s">
        <v>52</v>
      </c>
      <c r="AE1501" s="7">
        <v>31.33</v>
      </c>
      <c r="AF1501" s="7">
        <v>151</v>
      </c>
      <c r="AG1501" s="7">
        <v>25.55</v>
      </c>
      <c r="AH1501" s="7">
        <v>46.41</v>
      </c>
      <c r="AI1501" s="7">
        <v>48.9</v>
      </c>
      <c r="AJ1501" s="9">
        <v>397.12308767086603</v>
      </c>
      <c r="AK1501" s="9">
        <v>434.54146225139499</v>
      </c>
      <c r="AL1501" s="9">
        <v>466.345757108697</v>
      </c>
      <c r="AM1501" s="9">
        <v>68.887217823762995</v>
      </c>
      <c r="AN1501" s="9">
        <v>0.74072277229852701</v>
      </c>
      <c r="AO1501" s="9">
        <v>0.49894676349542499</v>
      </c>
      <c r="AP1501" s="9">
        <v>1046.22911624465</v>
      </c>
      <c r="AQ1501" s="9">
        <v>11.249775443490901</v>
      </c>
      <c r="AR1501" s="9">
        <v>11.735197212294899</v>
      </c>
      <c r="AS1501" s="8" t="s">
        <v>169</v>
      </c>
      <c r="AT1501" s="8" t="s">
        <v>169</v>
      </c>
      <c r="AU1501" s="10" t="s">
        <v>169</v>
      </c>
      <c r="AV1501" s="10">
        <v>0</v>
      </c>
      <c r="AX1501" s="10" t="s">
        <v>169</v>
      </c>
      <c r="BF1501" s="12">
        <v>0.55000000000000004</v>
      </c>
      <c r="BG1501" s="13">
        <v>446.72037316370597</v>
      </c>
      <c r="BH1501" s="96" t="str">
        <f>+VLOOKUP(G1501,Liste!$A$7:$G$50,3,FALSE)</f>
        <v>Chêne sessile</v>
      </c>
      <c r="BI1501" s="96" t="str">
        <f>+VLOOKUP(H1501,Liste!$B$7:$G$50,5,FALSE)</f>
        <v>Guide chênaie atlantique</v>
      </c>
      <c r="BJ1501" s="135">
        <f t="shared" si="456"/>
        <v>93</v>
      </c>
      <c r="BK1501" s="135" t="str">
        <f t="shared" si="458"/>
        <v>Chêne sessile_F1_Classique_Guide chênaie atlantique_93_</v>
      </c>
      <c r="BM1501" s="13">
        <v>107.937409935658</v>
      </c>
      <c r="BN1501" s="13">
        <v>554.657783099364</v>
      </c>
      <c r="BO1501" s="13" t="s">
        <v>169</v>
      </c>
      <c r="BP1501" s="13">
        <v>453.22050465958398</v>
      </c>
      <c r="BQ1501" s="13">
        <v>13.4216710123531</v>
      </c>
      <c r="BT1501" s="298" t="str">
        <f>+VLOOKUP(G1501,Liste!$A$7:$H$50,8,FALSE)</f>
        <v>Feuillus</v>
      </c>
      <c r="BU1501" s="298">
        <f t="shared" si="459"/>
        <v>1</v>
      </c>
      <c r="BV1501" s="300">
        <f t="shared" si="460"/>
        <v>0</v>
      </c>
      <c r="BW1501" s="321">
        <v>0</v>
      </c>
      <c r="BX1501" s="298">
        <f t="shared" si="461"/>
        <v>0.25</v>
      </c>
      <c r="BY1501">
        <f t="shared" si="462"/>
        <v>0</v>
      </c>
      <c r="BZ1501" s="304">
        <f t="shared" si="463"/>
        <v>0</v>
      </c>
      <c r="CB1501" s="299">
        <v>0.6</v>
      </c>
      <c r="CC1501" s="299">
        <v>0.4</v>
      </c>
      <c r="CD1501">
        <f t="shared" si="464"/>
        <v>0</v>
      </c>
      <c r="CE1501">
        <f t="shared" si="465"/>
        <v>0</v>
      </c>
      <c r="CF1501">
        <f t="shared" si="466"/>
        <v>0</v>
      </c>
      <c r="CG1501">
        <f t="shared" si="467"/>
        <v>0</v>
      </c>
      <c r="CH1501">
        <f t="shared" si="468"/>
        <v>0</v>
      </c>
      <c r="CI1501">
        <f t="shared" si="469"/>
        <v>0</v>
      </c>
      <c r="CJ1501">
        <f t="shared" si="470"/>
        <v>0</v>
      </c>
      <c r="CK1501">
        <f t="shared" si="471"/>
        <v>0</v>
      </c>
      <c r="CL1501">
        <f t="shared" si="472"/>
        <v>0</v>
      </c>
      <c r="CM1501">
        <f t="shared" si="474"/>
        <v>0</v>
      </c>
      <c r="CN1501">
        <f t="shared" si="473"/>
        <v>0</v>
      </c>
      <c r="CO1501">
        <f t="shared" si="457"/>
        <v>0</v>
      </c>
    </row>
    <row r="1502" spans="1:93" x14ac:dyDescent="0.25">
      <c r="A1502" s="4">
        <v>2021</v>
      </c>
      <c r="B1502" s="318">
        <v>44361</v>
      </c>
      <c r="C1502" s="4" t="s">
        <v>66</v>
      </c>
      <c r="D1502" s="4" t="s">
        <v>1525</v>
      </c>
      <c r="E1502" s="4" t="s">
        <v>87</v>
      </c>
      <c r="F1502" s="4" t="s">
        <v>90</v>
      </c>
      <c r="G1502" s="5" t="s">
        <v>17</v>
      </c>
      <c r="H1502" s="5" t="s">
        <v>20</v>
      </c>
      <c r="I1502" s="5" t="s">
        <v>18</v>
      </c>
      <c r="J1502" s="5" t="s">
        <v>9</v>
      </c>
      <c r="K1502" s="5">
        <v>21.5</v>
      </c>
      <c r="L1502" s="5" t="s">
        <v>1529</v>
      </c>
      <c r="M1502" s="5">
        <v>1666</v>
      </c>
      <c r="N1502" s="5" t="s">
        <v>170</v>
      </c>
      <c r="O1502" s="6" t="s">
        <v>81</v>
      </c>
      <c r="P1502" s="6" t="s">
        <v>1505</v>
      </c>
      <c r="S1502" s="6">
        <v>34</v>
      </c>
      <c r="T1502" s="6">
        <v>16.2</v>
      </c>
      <c r="U1502" s="6">
        <v>1451</v>
      </c>
      <c r="V1502" s="6">
        <v>23.57</v>
      </c>
      <c r="W1502" s="6">
        <v>44</v>
      </c>
      <c r="X1502" s="6">
        <v>444</v>
      </c>
      <c r="Y1502" s="6">
        <v>742</v>
      </c>
      <c r="Z1502" s="6">
        <v>211</v>
      </c>
      <c r="AA1502" s="6">
        <v>10</v>
      </c>
      <c r="AB1502" s="6">
        <v>0</v>
      </c>
      <c r="AC1502" s="7">
        <v>96</v>
      </c>
      <c r="AD1502" s="7" t="s">
        <v>52</v>
      </c>
      <c r="AE1502" s="7">
        <v>31.84</v>
      </c>
      <c r="AF1502" s="7">
        <v>151</v>
      </c>
      <c r="AG1502" s="7">
        <v>27.05</v>
      </c>
      <c r="AH1502" s="7">
        <v>47.76</v>
      </c>
      <c r="AI1502" s="7">
        <v>50.3</v>
      </c>
      <c r="AJ1502" s="9">
        <v>427.54952058131897</v>
      </c>
      <c r="AK1502" s="9">
        <v>468.098155006654</v>
      </c>
      <c r="AL1502" s="9">
        <v>501.551348745582</v>
      </c>
      <c r="AM1502" s="9">
        <v>70.384058114249299</v>
      </c>
      <c r="AN1502" s="9">
        <v>0.73316727202343002</v>
      </c>
      <c r="AO1502" s="9">
        <v>0.49410529629038502</v>
      </c>
      <c r="AP1502" s="9">
        <v>1081.4347078815399</v>
      </c>
      <c r="AQ1502" s="9">
        <v>11.264944873766</v>
      </c>
      <c r="AR1502" s="9">
        <v>11.890938115464101</v>
      </c>
      <c r="AS1502" s="8" t="s">
        <v>169</v>
      </c>
      <c r="AT1502" s="8" t="s">
        <v>169</v>
      </c>
      <c r="AU1502" s="10" t="s">
        <v>169</v>
      </c>
      <c r="AV1502" s="10">
        <v>0</v>
      </c>
      <c r="AX1502" s="10" t="s">
        <v>169</v>
      </c>
      <c r="BF1502" s="12">
        <v>0.55000000000000004</v>
      </c>
      <c r="BG1502" s="13">
        <v>480.44439615253901</v>
      </c>
      <c r="BH1502" s="96" t="str">
        <f>+VLOOKUP(G1502,Liste!$A$7:$G$50,3,FALSE)</f>
        <v>Chêne sessile</v>
      </c>
      <c r="BI1502" s="96" t="str">
        <f>+VLOOKUP(H1502,Liste!$B$7:$G$50,5,FALSE)</f>
        <v>Guide chênaie atlantique</v>
      </c>
      <c r="BJ1502" s="135">
        <f t="shared" si="456"/>
        <v>96</v>
      </c>
      <c r="BK1502" s="135" t="str">
        <f t="shared" si="458"/>
        <v>Chêne sessile_F1_Classique_Guide chênaie atlantique_96_</v>
      </c>
      <c r="BM1502" s="13">
        <v>115.106610905765</v>
      </c>
      <c r="BN1502" s="13">
        <v>595.55100705830296</v>
      </c>
      <c r="BO1502" s="13" t="s">
        <v>169</v>
      </c>
      <c r="BP1502" s="13">
        <v>453.22050465958398</v>
      </c>
      <c r="BQ1502" s="13">
        <v>13.590010160380499</v>
      </c>
      <c r="BT1502" s="298" t="str">
        <f>+VLOOKUP(G1502,Liste!$A$7:$H$50,8,FALSE)</f>
        <v>Feuillus</v>
      </c>
      <c r="BU1502" s="298">
        <f t="shared" si="459"/>
        <v>1</v>
      </c>
      <c r="BV1502" s="300">
        <f t="shared" si="460"/>
        <v>0</v>
      </c>
      <c r="BW1502" s="321">
        <v>0</v>
      </c>
      <c r="BX1502" s="298">
        <f t="shared" si="461"/>
        <v>0.25</v>
      </c>
      <c r="BY1502">
        <f t="shared" si="462"/>
        <v>0</v>
      </c>
      <c r="BZ1502" s="304">
        <f t="shared" si="463"/>
        <v>0</v>
      </c>
      <c r="CB1502" s="299">
        <v>0.6</v>
      </c>
      <c r="CC1502" s="299">
        <v>0.4</v>
      </c>
      <c r="CD1502">
        <f t="shared" si="464"/>
        <v>0</v>
      </c>
      <c r="CE1502">
        <f t="shared" si="465"/>
        <v>0</v>
      </c>
      <c r="CF1502">
        <f t="shared" si="466"/>
        <v>0</v>
      </c>
      <c r="CG1502">
        <f t="shared" si="467"/>
        <v>0</v>
      </c>
      <c r="CH1502">
        <f t="shared" si="468"/>
        <v>0</v>
      </c>
      <c r="CI1502">
        <f t="shared" si="469"/>
        <v>0</v>
      </c>
      <c r="CJ1502">
        <f t="shared" si="470"/>
        <v>0</v>
      </c>
      <c r="CK1502">
        <f t="shared" si="471"/>
        <v>0</v>
      </c>
      <c r="CL1502">
        <f t="shared" si="472"/>
        <v>0</v>
      </c>
      <c r="CM1502">
        <f t="shared" si="474"/>
        <v>0</v>
      </c>
      <c r="CN1502">
        <f t="shared" si="473"/>
        <v>0</v>
      </c>
      <c r="CO1502">
        <f t="shared" si="457"/>
        <v>0</v>
      </c>
    </row>
    <row r="1503" spans="1:93" x14ac:dyDescent="0.25">
      <c r="A1503" s="4">
        <v>2021</v>
      </c>
      <c r="B1503" s="318">
        <v>44361</v>
      </c>
      <c r="C1503" s="4" t="s">
        <v>66</v>
      </c>
      <c r="D1503" s="4" t="s">
        <v>1525</v>
      </c>
      <c r="E1503" s="4" t="s">
        <v>87</v>
      </c>
      <c r="F1503" s="4" t="s">
        <v>90</v>
      </c>
      <c r="G1503" s="5" t="s">
        <v>17</v>
      </c>
      <c r="H1503" s="5" t="s">
        <v>20</v>
      </c>
      <c r="I1503" s="5" t="s">
        <v>18</v>
      </c>
      <c r="J1503" s="5" t="s">
        <v>9</v>
      </c>
      <c r="K1503" s="5">
        <v>21.5</v>
      </c>
      <c r="L1503" s="5" t="s">
        <v>1529</v>
      </c>
      <c r="M1503" s="5">
        <v>1666</v>
      </c>
      <c r="N1503" s="5" t="s">
        <v>170</v>
      </c>
      <c r="O1503" s="6" t="s">
        <v>81</v>
      </c>
      <c r="P1503" s="6" t="s">
        <v>1505</v>
      </c>
      <c r="S1503" s="6">
        <v>34</v>
      </c>
      <c r="T1503" s="6">
        <v>16.2</v>
      </c>
      <c r="U1503" s="6">
        <v>1451</v>
      </c>
      <c r="V1503" s="6">
        <v>23.57</v>
      </c>
      <c r="W1503" s="6">
        <v>44</v>
      </c>
      <c r="X1503" s="6">
        <v>444</v>
      </c>
      <c r="Y1503" s="6">
        <v>742</v>
      </c>
      <c r="Z1503" s="6">
        <v>211</v>
      </c>
      <c r="AA1503" s="6">
        <v>10</v>
      </c>
      <c r="AB1503" s="6">
        <v>0</v>
      </c>
      <c r="AC1503" s="7">
        <v>100</v>
      </c>
      <c r="AD1503" s="7" t="s">
        <v>52</v>
      </c>
      <c r="AE1503" s="7">
        <v>32.5</v>
      </c>
      <c r="AF1503" s="7">
        <v>151</v>
      </c>
      <c r="AG1503" s="7">
        <v>29.02</v>
      </c>
      <c r="AH1503" s="7">
        <v>49.47</v>
      </c>
      <c r="AI1503" s="7">
        <v>52.09</v>
      </c>
      <c r="AJ1503" s="9">
        <v>468.75487981954598</v>
      </c>
      <c r="AK1503" s="9">
        <v>513.501335921963</v>
      </c>
      <c r="AL1503" s="9">
        <v>549.11510120743799</v>
      </c>
      <c r="AM1503" s="9">
        <v>72.360479299410798</v>
      </c>
      <c r="AN1503" s="9">
        <v>0.72360479299410796</v>
      </c>
      <c r="AO1503" s="9">
        <v>0.46006063228411598</v>
      </c>
      <c r="AP1503" s="9">
        <v>1128.99846034339</v>
      </c>
      <c r="AQ1503" s="9">
        <v>11.289984603433901</v>
      </c>
      <c r="AR1503" s="9">
        <v>11.1616516073705</v>
      </c>
      <c r="AS1503" s="8" t="s">
        <v>169</v>
      </c>
      <c r="AT1503" s="8" t="s">
        <v>169</v>
      </c>
      <c r="AU1503" s="10" t="s">
        <v>169</v>
      </c>
      <c r="AV1503" s="10">
        <v>0</v>
      </c>
      <c r="AX1503" s="10" t="s">
        <v>169</v>
      </c>
      <c r="BF1503" s="12">
        <v>0.55000000000000004</v>
      </c>
      <c r="BG1503" s="13">
        <v>526.006507364958</v>
      </c>
      <c r="BH1503" s="96" t="str">
        <f>+VLOOKUP(G1503,Liste!$A$7:$G$50,3,FALSE)</f>
        <v>Chêne sessile</v>
      </c>
      <c r="BI1503" s="96" t="str">
        <f>+VLOOKUP(H1503,Liste!$B$7:$G$50,5,FALSE)</f>
        <v>Guide chênaie atlantique</v>
      </c>
      <c r="BJ1503" s="135">
        <f t="shared" si="456"/>
        <v>100</v>
      </c>
      <c r="BK1503" s="135" t="str">
        <f t="shared" si="458"/>
        <v>Chêne sessile_F1_Classique_Guide chênaie atlantique_100_</v>
      </c>
      <c r="BM1503" s="13">
        <v>124.700486115681</v>
      </c>
      <c r="BN1503" s="13">
        <v>650.70699348063897</v>
      </c>
      <c r="BO1503" s="13" t="s">
        <v>169</v>
      </c>
      <c r="BP1503" s="13">
        <v>453.22050465958398</v>
      </c>
      <c r="BQ1503" s="13">
        <v>12.7478704883366</v>
      </c>
      <c r="BT1503" s="298" t="str">
        <f>+VLOOKUP(G1503,Liste!$A$7:$H$50,8,FALSE)</f>
        <v>Feuillus</v>
      </c>
      <c r="BU1503" s="298">
        <f t="shared" si="459"/>
        <v>1</v>
      </c>
      <c r="BV1503" s="300">
        <f t="shared" si="460"/>
        <v>0</v>
      </c>
      <c r="BW1503" s="321">
        <v>0</v>
      </c>
      <c r="BX1503" s="298">
        <f t="shared" si="461"/>
        <v>0.25</v>
      </c>
      <c r="BY1503">
        <f t="shared" si="462"/>
        <v>0</v>
      </c>
      <c r="BZ1503" s="304">
        <f t="shared" si="463"/>
        <v>0</v>
      </c>
      <c r="CB1503" s="299">
        <v>0.6</v>
      </c>
      <c r="CC1503" s="299">
        <v>0.4</v>
      </c>
      <c r="CD1503">
        <f t="shared" si="464"/>
        <v>0</v>
      </c>
      <c r="CE1503">
        <f t="shared" si="465"/>
        <v>0</v>
      </c>
      <c r="CF1503">
        <f t="shared" si="466"/>
        <v>0</v>
      </c>
      <c r="CG1503">
        <f t="shared" si="467"/>
        <v>0</v>
      </c>
      <c r="CH1503">
        <f t="shared" si="468"/>
        <v>0</v>
      </c>
      <c r="CI1503">
        <f t="shared" si="469"/>
        <v>0</v>
      </c>
      <c r="CJ1503">
        <f t="shared" si="470"/>
        <v>0</v>
      </c>
      <c r="CK1503">
        <f t="shared" si="471"/>
        <v>0</v>
      </c>
      <c r="CL1503">
        <f t="shared" si="472"/>
        <v>0</v>
      </c>
      <c r="CM1503">
        <f t="shared" si="474"/>
        <v>0</v>
      </c>
      <c r="CN1503">
        <f t="shared" si="473"/>
        <v>0</v>
      </c>
      <c r="CO1503">
        <f t="shared" si="457"/>
        <v>0</v>
      </c>
    </row>
    <row r="1504" spans="1:93" x14ac:dyDescent="0.25">
      <c r="A1504" s="4">
        <v>2021</v>
      </c>
      <c r="B1504" s="318">
        <v>44361</v>
      </c>
      <c r="C1504" s="4" t="s">
        <v>66</v>
      </c>
      <c r="D1504" s="4" t="s">
        <v>1525</v>
      </c>
      <c r="E1504" s="4" t="s">
        <v>87</v>
      </c>
      <c r="F1504" s="4" t="s">
        <v>90</v>
      </c>
      <c r="G1504" s="5" t="s">
        <v>17</v>
      </c>
      <c r="H1504" s="5" t="s">
        <v>20</v>
      </c>
      <c r="I1504" s="5" t="s">
        <v>18</v>
      </c>
      <c r="J1504" s="5" t="s">
        <v>9</v>
      </c>
      <c r="K1504" s="5">
        <v>21.5</v>
      </c>
      <c r="L1504" s="5" t="s">
        <v>1529</v>
      </c>
      <c r="M1504" s="5">
        <v>1666</v>
      </c>
      <c r="N1504" s="5" t="s">
        <v>170</v>
      </c>
      <c r="O1504" s="6" t="s">
        <v>81</v>
      </c>
      <c r="P1504" s="6" t="s">
        <v>1505</v>
      </c>
      <c r="S1504" s="6">
        <v>34</v>
      </c>
      <c r="T1504" s="6">
        <v>16.2</v>
      </c>
      <c r="U1504" s="6">
        <v>1451</v>
      </c>
      <c r="V1504" s="6">
        <v>23.57</v>
      </c>
      <c r="W1504" s="6">
        <v>44</v>
      </c>
      <c r="X1504" s="6">
        <v>444</v>
      </c>
      <c r="Y1504" s="6">
        <v>742</v>
      </c>
      <c r="Z1504" s="6">
        <v>211</v>
      </c>
      <c r="AA1504" s="6">
        <v>10</v>
      </c>
      <c r="AB1504" s="6">
        <v>0</v>
      </c>
      <c r="AC1504" s="7">
        <v>100</v>
      </c>
      <c r="AD1504" s="7" t="s">
        <v>53</v>
      </c>
      <c r="AE1504" s="7">
        <v>32.5</v>
      </c>
      <c r="AF1504" s="7">
        <v>122</v>
      </c>
      <c r="AG1504" s="7">
        <v>23.94</v>
      </c>
      <c r="AH1504" s="7">
        <v>49.98</v>
      </c>
      <c r="AI1504" s="7">
        <v>51.52</v>
      </c>
      <c r="AJ1504" s="9">
        <v>386.86350673444099</v>
      </c>
      <c r="AK1504" s="9">
        <v>424.26034447114</v>
      </c>
      <c r="AL1504" s="9">
        <v>453.619918848846</v>
      </c>
      <c r="AM1504" s="9">
        <v>72.360479299410798</v>
      </c>
      <c r="AN1504" s="9">
        <v>0.72360479299410796</v>
      </c>
      <c r="AO1504" s="9">
        <v>0.46006063228411598</v>
      </c>
      <c r="AP1504" s="9">
        <v>1128.99846034339</v>
      </c>
      <c r="AQ1504" s="9">
        <v>11.289984603433901</v>
      </c>
      <c r="AR1504" s="9">
        <v>11.1616516073705</v>
      </c>
      <c r="AS1504" s="8">
        <v>29</v>
      </c>
      <c r="AT1504" s="8">
        <v>5.0799999999999983</v>
      </c>
      <c r="AU1504" s="10">
        <v>47.226734418980371</v>
      </c>
      <c r="AV1504" s="10">
        <v>81.891373085104988</v>
      </c>
      <c r="AW1504" s="8">
        <v>0.91</v>
      </c>
      <c r="AX1504" s="10">
        <v>2.8238404512105166</v>
      </c>
      <c r="BF1504" s="12">
        <v>0.55000000000000004</v>
      </c>
      <c r="BG1504" s="13">
        <v>434.53008059729001</v>
      </c>
      <c r="BH1504" s="96" t="str">
        <f>+VLOOKUP(G1504,Liste!$A$7:$G$50,3,FALSE)</f>
        <v>Chêne sessile</v>
      </c>
      <c r="BI1504" s="96" t="str">
        <f>+VLOOKUP(H1504,Liste!$B$7:$G$50,5,FALSE)</f>
        <v>Guide chênaie atlantique</v>
      </c>
      <c r="BJ1504" s="135">
        <f t="shared" si="456"/>
        <v>100</v>
      </c>
      <c r="BK1504" s="135" t="str">
        <f t="shared" si="458"/>
        <v>Chêne sessile_F1_Classique_Guide chênaie atlantique_100_</v>
      </c>
      <c r="BM1504" s="13">
        <v>105.33064207286699</v>
      </c>
      <c r="BN1504" s="13">
        <v>539.86072267015697</v>
      </c>
      <c r="BO1504" s="13">
        <v>110.846270810482</v>
      </c>
      <c r="BP1504" s="13">
        <v>453.22050465958398</v>
      </c>
      <c r="BQ1504" s="13">
        <v>12.7478704883366</v>
      </c>
      <c r="BT1504" s="298" t="str">
        <f>+VLOOKUP(G1504,Liste!$A$7:$H$50,8,FALSE)</f>
        <v>Feuillus</v>
      </c>
      <c r="BU1504" s="298">
        <f t="shared" si="459"/>
        <v>1</v>
      </c>
      <c r="BV1504" s="300">
        <f t="shared" si="460"/>
        <v>0</v>
      </c>
      <c r="BW1504" s="321">
        <v>0</v>
      </c>
      <c r="BX1504" s="298">
        <f t="shared" si="461"/>
        <v>0.25</v>
      </c>
      <c r="BY1504">
        <f t="shared" si="462"/>
        <v>0</v>
      </c>
      <c r="BZ1504" s="304">
        <f t="shared" si="463"/>
        <v>0</v>
      </c>
      <c r="CB1504" s="299">
        <v>0.6</v>
      </c>
      <c r="CC1504" s="299">
        <v>0.4</v>
      </c>
      <c r="CD1504">
        <f t="shared" si="464"/>
        <v>0</v>
      </c>
      <c r="CE1504">
        <f t="shared" si="465"/>
        <v>0</v>
      </c>
      <c r="CF1504">
        <f t="shared" si="466"/>
        <v>0</v>
      </c>
      <c r="CG1504">
        <f t="shared" si="467"/>
        <v>0</v>
      </c>
      <c r="CH1504">
        <f t="shared" si="468"/>
        <v>0</v>
      </c>
      <c r="CI1504">
        <f t="shared" si="469"/>
        <v>0</v>
      </c>
      <c r="CJ1504">
        <f t="shared" si="470"/>
        <v>0</v>
      </c>
      <c r="CK1504">
        <f t="shared" si="471"/>
        <v>0</v>
      </c>
      <c r="CL1504">
        <f t="shared" si="472"/>
        <v>0</v>
      </c>
      <c r="CM1504">
        <f t="shared" si="474"/>
        <v>0</v>
      </c>
      <c r="CN1504">
        <f t="shared" si="473"/>
        <v>0</v>
      </c>
      <c r="CO1504">
        <f t="shared" si="457"/>
        <v>0</v>
      </c>
    </row>
    <row r="1505" spans="1:93" x14ac:dyDescent="0.25">
      <c r="A1505" s="4">
        <v>2021</v>
      </c>
      <c r="B1505" s="318">
        <v>44361</v>
      </c>
      <c r="C1505" s="4" t="s">
        <v>66</v>
      </c>
      <c r="D1505" s="4" t="s">
        <v>1525</v>
      </c>
      <c r="E1505" s="4" t="s">
        <v>87</v>
      </c>
      <c r="F1505" s="4" t="s">
        <v>90</v>
      </c>
      <c r="G1505" s="5" t="s">
        <v>17</v>
      </c>
      <c r="H1505" s="5" t="s">
        <v>20</v>
      </c>
      <c r="I1505" s="5" t="s">
        <v>18</v>
      </c>
      <c r="J1505" s="5" t="s">
        <v>9</v>
      </c>
      <c r="K1505" s="5">
        <v>21.5</v>
      </c>
      <c r="L1505" s="5" t="s">
        <v>1529</v>
      </c>
      <c r="M1505" s="5">
        <v>1666</v>
      </c>
      <c r="N1505" s="5" t="s">
        <v>170</v>
      </c>
      <c r="O1505" s="6" t="s">
        <v>81</v>
      </c>
      <c r="P1505" s="6" t="s">
        <v>1505</v>
      </c>
      <c r="S1505" s="6">
        <v>34</v>
      </c>
      <c r="T1505" s="6">
        <v>16.2</v>
      </c>
      <c r="U1505" s="6">
        <v>1451</v>
      </c>
      <c r="V1505" s="6">
        <v>23.57</v>
      </c>
      <c r="W1505" s="6">
        <v>44</v>
      </c>
      <c r="X1505" s="6">
        <v>444</v>
      </c>
      <c r="Y1505" s="6">
        <v>742</v>
      </c>
      <c r="Z1505" s="6">
        <v>211</v>
      </c>
      <c r="AA1505" s="6">
        <v>10</v>
      </c>
      <c r="AB1505" s="6">
        <v>0</v>
      </c>
      <c r="AC1505" s="7">
        <v>103</v>
      </c>
      <c r="AD1505" s="7" t="s">
        <v>52</v>
      </c>
      <c r="AE1505" s="7">
        <v>32.979999999999997</v>
      </c>
      <c r="AF1505" s="7">
        <v>122</v>
      </c>
      <c r="AG1505" s="7">
        <v>25.32</v>
      </c>
      <c r="AH1505" s="7">
        <v>51.4</v>
      </c>
      <c r="AI1505" s="7">
        <v>52.98</v>
      </c>
      <c r="AJ1505" s="9">
        <v>415.78159863551798</v>
      </c>
      <c r="AK1505" s="9">
        <v>456.23495304162901</v>
      </c>
      <c r="AL1505" s="9">
        <v>487.10487367095698</v>
      </c>
      <c r="AM1505" s="9">
        <v>73.740661196263204</v>
      </c>
      <c r="AN1505" s="9">
        <v>0.715928749478283</v>
      </c>
      <c r="AO1505" s="9">
        <v>0.458659908693619</v>
      </c>
      <c r="AP1505" s="9">
        <v>1162.4834151655</v>
      </c>
      <c r="AQ1505" s="9">
        <v>11.2862467491797</v>
      </c>
      <c r="AR1505" s="9">
        <v>11.3061313418411</v>
      </c>
      <c r="AS1505" s="8" t="s">
        <v>169</v>
      </c>
      <c r="AT1505" s="8" t="s">
        <v>169</v>
      </c>
      <c r="AU1505" s="10" t="s">
        <v>169</v>
      </c>
      <c r="AV1505" s="10">
        <v>0</v>
      </c>
      <c r="AX1505" s="10" t="s">
        <v>169</v>
      </c>
      <c r="BF1505" s="12">
        <v>0.55000000000000004</v>
      </c>
      <c r="BG1505" s="13">
        <v>466.60587690397102</v>
      </c>
      <c r="BH1505" s="96" t="str">
        <f>+VLOOKUP(G1505,Liste!$A$7:$G$50,3,FALSE)</f>
        <v>Chêne sessile</v>
      </c>
      <c r="BI1505" s="96" t="str">
        <f>+VLOOKUP(H1505,Liste!$B$7:$G$50,5,FALSE)</f>
        <v>Guide chênaie atlantique</v>
      </c>
      <c r="BJ1505" s="135">
        <f t="shared" si="456"/>
        <v>103</v>
      </c>
      <c r="BK1505" s="135" t="str">
        <f t="shared" si="458"/>
        <v>Chêne sessile_F1_Classique_Guide chênaie atlantique_103_</v>
      </c>
      <c r="BM1505" s="13">
        <v>112.172085973184</v>
      </c>
      <c r="BN1505" s="13">
        <v>578.77796287715603</v>
      </c>
      <c r="BO1505" s="13" t="s">
        <v>169</v>
      </c>
      <c r="BP1505" s="13">
        <v>453.22050465958398</v>
      </c>
      <c r="BQ1505" s="13">
        <v>12.9058667109895</v>
      </c>
      <c r="BT1505" s="298" t="str">
        <f>+VLOOKUP(G1505,Liste!$A$7:$H$50,8,FALSE)</f>
        <v>Feuillus</v>
      </c>
      <c r="BU1505" s="298">
        <f t="shared" si="459"/>
        <v>1</v>
      </c>
      <c r="BV1505" s="300">
        <f t="shared" si="460"/>
        <v>0</v>
      </c>
      <c r="BW1505" s="321">
        <v>0</v>
      </c>
      <c r="BX1505" s="298">
        <f t="shared" si="461"/>
        <v>0.25</v>
      </c>
      <c r="BY1505">
        <f t="shared" si="462"/>
        <v>0</v>
      </c>
      <c r="BZ1505" s="304">
        <f t="shared" si="463"/>
        <v>0</v>
      </c>
      <c r="CB1505" s="299">
        <v>0.6</v>
      </c>
      <c r="CC1505" s="299">
        <v>0.4</v>
      </c>
      <c r="CD1505">
        <f t="shared" si="464"/>
        <v>0</v>
      </c>
      <c r="CE1505">
        <f t="shared" si="465"/>
        <v>0</v>
      </c>
      <c r="CF1505">
        <f t="shared" si="466"/>
        <v>0</v>
      </c>
      <c r="CG1505">
        <f t="shared" si="467"/>
        <v>0</v>
      </c>
      <c r="CH1505">
        <f t="shared" si="468"/>
        <v>0</v>
      </c>
      <c r="CI1505">
        <f t="shared" si="469"/>
        <v>0</v>
      </c>
      <c r="CJ1505">
        <f t="shared" si="470"/>
        <v>0</v>
      </c>
      <c r="CK1505">
        <f t="shared" si="471"/>
        <v>0</v>
      </c>
      <c r="CL1505">
        <f t="shared" si="472"/>
        <v>0</v>
      </c>
      <c r="CM1505">
        <f t="shared" si="474"/>
        <v>0</v>
      </c>
      <c r="CN1505">
        <f t="shared" si="473"/>
        <v>0</v>
      </c>
      <c r="CO1505">
        <f t="shared" si="457"/>
        <v>0</v>
      </c>
    </row>
    <row r="1506" spans="1:93" x14ac:dyDescent="0.25">
      <c r="A1506" s="4">
        <v>2021</v>
      </c>
      <c r="B1506" s="318">
        <v>44361</v>
      </c>
      <c r="C1506" s="4" t="s">
        <v>66</v>
      </c>
      <c r="D1506" s="4" t="s">
        <v>1525</v>
      </c>
      <c r="E1506" s="4" t="s">
        <v>87</v>
      </c>
      <c r="F1506" s="4" t="s">
        <v>90</v>
      </c>
      <c r="G1506" s="5" t="s">
        <v>17</v>
      </c>
      <c r="H1506" s="5" t="s">
        <v>20</v>
      </c>
      <c r="I1506" s="5" t="s">
        <v>18</v>
      </c>
      <c r="J1506" s="5" t="s">
        <v>9</v>
      </c>
      <c r="K1506" s="5">
        <v>21.5</v>
      </c>
      <c r="L1506" s="5" t="s">
        <v>1529</v>
      </c>
      <c r="M1506" s="5">
        <v>1666</v>
      </c>
      <c r="N1506" s="5" t="s">
        <v>170</v>
      </c>
      <c r="O1506" s="6" t="s">
        <v>81</v>
      </c>
      <c r="P1506" s="6" t="s">
        <v>1505</v>
      </c>
      <c r="S1506" s="6">
        <v>34</v>
      </c>
      <c r="T1506" s="6">
        <v>16.2</v>
      </c>
      <c r="U1506" s="6">
        <v>1451</v>
      </c>
      <c r="V1506" s="6">
        <v>23.57</v>
      </c>
      <c r="W1506" s="6">
        <v>44</v>
      </c>
      <c r="X1506" s="6">
        <v>444</v>
      </c>
      <c r="Y1506" s="6">
        <v>742</v>
      </c>
      <c r="Z1506" s="6">
        <v>211</v>
      </c>
      <c r="AA1506" s="6">
        <v>10</v>
      </c>
      <c r="AB1506" s="6">
        <v>0</v>
      </c>
      <c r="AC1506" s="7">
        <v>106</v>
      </c>
      <c r="AD1506" s="7" t="s">
        <v>52</v>
      </c>
      <c r="AE1506" s="7">
        <v>33.46</v>
      </c>
      <c r="AF1506" s="7">
        <v>122</v>
      </c>
      <c r="AG1506" s="7">
        <v>26.7</v>
      </c>
      <c r="AH1506" s="7">
        <v>52.78</v>
      </c>
      <c r="AI1506" s="7">
        <v>54.39</v>
      </c>
      <c r="AJ1506" s="9">
        <v>445.10223415316301</v>
      </c>
      <c r="AK1506" s="9">
        <v>488.65484007594</v>
      </c>
      <c r="AL1506" s="9">
        <v>521.02326769648096</v>
      </c>
      <c r="AM1506" s="9">
        <v>75.116640922344004</v>
      </c>
      <c r="AN1506" s="9">
        <v>0.70864755587117001</v>
      </c>
      <c r="AO1506" s="9">
        <v>0.45572823071615398</v>
      </c>
      <c r="AP1506" s="9">
        <v>1196.40180919103</v>
      </c>
      <c r="AQ1506" s="9">
        <v>11.286809520670101</v>
      </c>
      <c r="AR1506" s="9">
        <v>11.449618105538701</v>
      </c>
      <c r="AS1506" s="8" t="s">
        <v>169</v>
      </c>
      <c r="AT1506" s="8" t="s">
        <v>169</v>
      </c>
      <c r="AU1506" s="10" t="s">
        <v>169</v>
      </c>
      <c r="AV1506" s="10">
        <v>0</v>
      </c>
      <c r="AX1506" s="10" t="s">
        <v>169</v>
      </c>
      <c r="BF1506" s="12">
        <v>0.55000000000000004</v>
      </c>
      <c r="BG1506" s="13">
        <v>499.09687184758701</v>
      </c>
      <c r="BH1506" s="96" t="str">
        <f>+VLOOKUP(G1506,Liste!$A$7:$G$50,3,FALSE)</f>
        <v>Chêne sessile</v>
      </c>
      <c r="BI1506" s="96" t="str">
        <f>+VLOOKUP(H1506,Liste!$B$7:$G$50,5,FALSE)</f>
        <v>Guide chênaie atlantique</v>
      </c>
      <c r="BJ1506" s="135">
        <f t="shared" si="456"/>
        <v>106</v>
      </c>
      <c r="BK1506" s="135" t="str">
        <f t="shared" si="458"/>
        <v>Chêne sessile_F1_Classique_Guide chênaie atlantique_106_</v>
      </c>
      <c r="BM1506" s="13">
        <v>119.046471373751</v>
      </c>
      <c r="BN1506" s="13">
        <v>618.143343221338</v>
      </c>
      <c r="BO1506" s="13" t="s">
        <v>169</v>
      </c>
      <c r="BP1506" s="13">
        <v>453.22050465958398</v>
      </c>
      <c r="BQ1506" s="13">
        <v>13.0615467169402</v>
      </c>
      <c r="BT1506" s="298" t="str">
        <f>+VLOOKUP(G1506,Liste!$A$7:$H$50,8,FALSE)</f>
        <v>Feuillus</v>
      </c>
      <c r="BU1506" s="298">
        <f t="shared" si="459"/>
        <v>1</v>
      </c>
      <c r="BV1506" s="300">
        <f t="shared" si="460"/>
        <v>0</v>
      </c>
      <c r="BW1506" s="321">
        <v>0</v>
      </c>
      <c r="BX1506" s="298">
        <f t="shared" si="461"/>
        <v>0.25</v>
      </c>
      <c r="BY1506">
        <f t="shared" si="462"/>
        <v>0</v>
      </c>
      <c r="BZ1506" s="304">
        <f t="shared" si="463"/>
        <v>0</v>
      </c>
      <c r="CB1506" s="299">
        <v>0.6</v>
      </c>
      <c r="CC1506" s="299">
        <v>0.4</v>
      </c>
      <c r="CD1506">
        <f t="shared" si="464"/>
        <v>0</v>
      </c>
      <c r="CE1506">
        <f t="shared" si="465"/>
        <v>0</v>
      </c>
      <c r="CF1506">
        <f t="shared" si="466"/>
        <v>0</v>
      </c>
      <c r="CG1506">
        <f t="shared" si="467"/>
        <v>0</v>
      </c>
      <c r="CH1506">
        <f t="shared" si="468"/>
        <v>0</v>
      </c>
      <c r="CI1506">
        <f t="shared" si="469"/>
        <v>0</v>
      </c>
      <c r="CJ1506">
        <f t="shared" si="470"/>
        <v>0</v>
      </c>
      <c r="CK1506">
        <f t="shared" si="471"/>
        <v>0</v>
      </c>
      <c r="CL1506">
        <f t="shared" si="472"/>
        <v>0</v>
      </c>
      <c r="CM1506">
        <f t="shared" si="474"/>
        <v>0</v>
      </c>
      <c r="CN1506">
        <f t="shared" si="473"/>
        <v>0</v>
      </c>
      <c r="CO1506">
        <f t="shared" si="457"/>
        <v>0</v>
      </c>
    </row>
    <row r="1507" spans="1:93" x14ac:dyDescent="0.25">
      <c r="A1507" s="4">
        <v>2021</v>
      </c>
      <c r="B1507" s="318">
        <v>44361</v>
      </c>
      <c r="C1507" s="4" t="s">
        <v>66</v>
      </c>
      <c r="D1507" s="4" t="s">
        <v>1525</v>
      </c>
      <c r="E1507" s="4" t="s">
        <v>87</v>
      </c>
      <c r="F1507" s="4" t="s">
        <v>90</v>
      </c>
      <c r="G1507" s="5" t="s">
        <v>17</v>
      </c>
      <c r="H1507" s="5" t="s">
        <v>20</v>
      </c>
      <c r="I1507" s="5" t="s">
        <v>18</v>
      </c>
      <c r="J1507" s="5" t="s">
        <v>9</v>
      </c>
      <c r="K1507" s="5">
        <v>21.5</v>
      </c>
      <c r="L1507" s="5" t="s">
        <v>1529</v>
      </c>
      <c r="M1507" s="5">
        <v>1666</v>
      </c>
      <c r="N1507" s="5" t="s">
        <v>170</v>
      </c>
      <c r="O1507" s="6" t="s">
        <v>81</v>
      </c>
      <c r="P1507" s="6" t="s">
        <v>1505</v>
      </c>
      <c r="S1507" s="6">
        <v>34</v>
      </c>
      <c r="T1507" s="6">
        <v>16.2</v>
      </c>
      <c r="U1507" s="6">
        <v>1451</v>
      </c>
      <c r="V1507" s="6">
        <v>23.57</v>
      </c>
      <c r="W1507" s="6">
        <v>44</v>
      </c>
      <c r="X1507" s="6">
        <v>444</v>
      </c>
      <c r="Y1507" s="6">
        <v>742</v>
      </c>
      <c r="Z1507" s="6">
        <v>211</v>
      </c>
      <c r="AA1507" s="6">
        <v>10</v>
      </c>
      <c r="AB1507" s="6">
        <v>0</v>
      </c>
      <c r="AC1507" s="7">
        <v>110</v>
      </c>
      <c r="AD1507" s="7" t="s">
        <v>52</v>
      </c>
      <c r="AE1507" s="7">
        <v>34.08</v>
      </c>
      <c r="AF1507" s="7">
        <v>122</v>
      </c>
      <c r="AG1507" s="7">
        <v>28.52</v>
      </c>
      <c r="AH1507" s="7">
        <v>54.55</v>
      </c>
      <c r="AI1507" s="7">
        <v>56.2</v>
      </c>
      <c r="AJ1507" s="9">
        <v>484.75452816074699</v>
      </c>
      <c r="AK1507" s="9">
        <v>532.48107877484597</v>
      </c>
      <c r="AL1507" s="9">
        <v>566.82174011863503</v>
      </c>
      <c r="AM1507" s="9">
        <v>76.939553845208593</v>
      </c>
      <c r="AN1507" s="9">
        <v>0.69945048950189703</v>
      </c>
      <c r="AO1507" s="9">
        <v>0.43351712484038302</v>
      </c>
      <c r="AP1507" s="9">
        <v>1242.2002816131801</v>
      </c>
      <c r="AQ1507" s="9">
        <v>11.292729832847099</v>
      </c>
      <c r="AR1507" s="9">
        <v>10.952078123335101</v>
      </c>
      <c r="AS1507" s="8" t="s">
        <v>169</v>
      </c>
      <c r="AT1507" s="8" t="s">
        <v>169</v>
      </c>
      <c r="AU1507" s="10" t="s">
        <v>169</v>
      </c>
      <c r="AV1507" s="10">
        <v>0</v>
      </c>
      <c r="AX1507" s="10" t="s">
        <v>169</v>
      </c>
      <c r="BF1507" s="12">
        <v>0.55000000000000004</v>
      </c>
      <c r="BG1507" s="13">
        <v>542.96799188864304</v>
      </c>
      <c r="BH1507" s="96" t="str">
        <f>+VLOOKUP(G1507,Liste!$A$7:$G$50,3,FALSE)</f>
        <v>Chêne sessile</v>
      </c>
      <c r="BI1507" s="96" t="str">
        <f>+VLOOKUP(H1507,Liste!$B$7:$G$50,5,FALSE)</f>
        <v>Guide chênaie atlantique</v>
      </c>
      <c r="BJ1507" s="135">
        <f t="shared" si="456"/>
        <v>110</v>
      </c>
      <c r="BK1507" s="135" t="str">
        <f t="shared" si="458"/>
        <v>Chêne sessile_F1_Classique_Guide chênaie atlantique_110_</v>
      </c>
      <c r="BM1507" s="13">
        <v>128.24690821007701</v>
      </c>
      <c r="BN1507" s="13">
        <v>671.21490009872002</v>
      </c>
      <c r="BO1507" s="13" t="s">
        <v>169</v>
      </c>
      <c r="BP1507" s="13">
        <v>453.22050465958398</v>
      </c>
      <c r="BQ1507" s="13">
        <v>12.4865661320292</v>
      </c>
      <c r="BT1507" s="298" t="str">
        <f>+VLOOKUP(G1507,Liste!$A$7:$H$50,8,FALSE)</f>
        <v>Feuillus</v>
      </c>
      <c r="BU1507" s="298">
        <f t="shared" si="459"/>
        <v>1</v>
      </c>
      <c r="BV1507" s="300">
        <f t="shared" si="460"/>
        <v>0</v>
      </c>
      <c r="BW1507" s="321">
        <v>0</v>
      </c>
      <c r="BX1507" s="298">
        <f t="shared" si="461"/>
        <v>0.25</v>
      </c>
      <c r="BY1507">
        <f t="shared" si="462"/>
        <v>0</v>
      </c>
      <c r="BZ1507" s="304">
        <f t="shared" si="463"/>
        <v>0</v>
      </c>
      <c r="CB1507" s="299">
        <v>0.6</v>
      </c>
      <c r="CC1507" s="299">
        <v>0.4</v>
      </c>
      <c r="CD1507">
        <f t="shared" si="464"/>
        <v>0</v>
      </c>
      <c r="CE1507">
        <f t="shared" si="465"/>
        <v>0</v>
      </c>
      <c r="CF1507">
        <f t="shared" si="466"/>
        <v>0</v>
      </c>
      <c r="CG1507">
        <f t="shared" si="467"/>
        <v>0</v>
      </c>
      <c r="CH1507">
        <f t="shared" si="468"/>
        <v>0</v>
      </c>
      <c r="CI1507">
        <f t="shared" si="469"/>
        <v>0</v>
      </c>
      <c r="CJ1507">
        <f t="shared" si="470"/>
        <v>0</v>
      </c>
      <c r="CK1507">
        <f t="shared" si="471"/>
        <v>0</v>
      </c>
      <c r="CL1507">
        <f t="shared" si="472"/>
        <v>0</v>
      </c>
      <c r="CM1507">
        <f t="shared" si="474"/>
        <v>0</v>
      </c>
      <c r="CN1507">
        <f t="shared" si="473"/>
        <v>0</v>
      </c>
      <c r="CO1507">
        <f t="shared" si="457"/>
        <v>0</v>
      </c>
    </row>
    <row r="1508" spans="1:93" x14ac:dyDescent="0.25">
      <c r="A1508" s="4">
        <v>2021</v>
      </c>
      <c r="B1508" s="318">
        <v>44361</v>
      </c>
      <c r="C1508" s="4" t="s">
        <v>66</v>
      </c>
      <c r="D1508" s="4" t="s">
        <v>1525</v>
      </c>
      <c r="E1508" s="4" t="s">
        <v>87</v>
      </c>
      <c r="F1508" s="4" t="s">
        <v>90</v>
      </c>
      <c r="G1508" s="5" t="s">
        <v>17</v>
      </c>
      <c r="H1508" s="5" t="s">
        <v>20</v>
      </c>
      <c r="I1508" s="5" t="s">
        <v>18</v>
      </c>
      <c r="J1508" s="5" t="s">
        <v>9</v>
      </c>
      <c r="K1508" s="5">
        <v>21.5</v>
      </c>
      <c r="L1508" s="5" t="s">
        <v>1529</v>
      </c>
      <c r="M1508" s="5">
        <v>1666</v>
      </c>
      <c r="N1508" s="5" t="s">
        <v>170</v>
      </c>
      <c r="O1508" s="6" t="s">
        <v>81</v>
      </c>
      <c r="P1508" s="6" t="s">
        <v>1505</v>
      </c>
      <c r="S1508" s="6">
        <v>34</v>
      </c>
      <c r="T1508" s="6">
        <v>16.2</v>
      </c>
      <c r="U1508" s="6">
        <v>1451</v>
      </c>
      <c r="V1508" s="6">
        <v>23.57</v>
      </c>
      <c r="W1508" s="6">
        <v>44</v>
      </c>
      <c r="X1508" s="6">
        <v>444</v>
      </c>
      <c r="Y1508" s="6">
        <v>742</v>
      </c>
      <c r="Z1508" s="6">
        <v>211</v>
      </c>
      <c r="AA1508" s="6">
        <v>10</v>
      </c>
      <c r="AB1508" s="6">
        <v>0</v>
      </c>
      <c r="AC1508" s="7">
        <v>110</v>
      </c>
      <c r="AD1508" s="7" t="s">
        <v>53</v>
      </c>
      <c r="AE1508" s="7">
        <v>34.08</v>
      </c>
      <c r="AF1508" s="7">
        <v>103</v>
      </c>
      <c r="AG1508" s="7">
        <v>24.62</v>
      </c>
      <c r="AH1508" s="7">
        <v>55.17</v>
      </c>
      <c r="AI1508" s="7">
        <v>55.48</v>
      </c>
      <c r="AJ1508" s="9">
        <v>418.87214710758099</v>
      </c>
      <c r="AK1508" s="9">
        <v>460.53694987972</v>
      </c>
      <c r="AL1508" s="9">
        <v>490.17547083270398</v>
      </c>
      <c r="AM1508" s="9">
        <v>76.939553845208593</v>
      </c>
      <c r="AN1508" s="9">
        <v>0.69945048950189703</v>
      </c>
      <c r="AO1508" s="9">
        <v>0.43351712484038302</v>
      </c>
      <c r="AP1508" s="9">
        <v>1242.2002816131801</v>
      </c>
      <c r="AQ1508" s="9">
        <v>11.292729832847099</v>
      </c>
      <c r="AR1508" s="9">
        <v>10.952078123335101</v>
      </c>
      <c r="AS1508" s="8">
        <v>19</v>
      </c>
      <c r="AT1508" s="8">
        <v>3.8999999999999986</v>
      </c>
      <c r="AU1508" s="10">
        <v>51.122320928220432</v>
      </c>
      <c r="AV1508" s="10">
        <v>65.882381053166</v>
      </c>
      <c r="AW1508" s="8">
        <v>0.88</v>
      </c>
      <c r="AX1508" s="10">
        <v>3.4674937396403158</v>
      </c>
      <c r="BF1508" s="12">
        <v>0.55000000000000004</v>
      </c>
      <c r="BG1508" s="13">
        <v>469.54725310182698</v>
      </c>
      <c r="BH1508" s="96" t="str">
        <f>+VLOOKUP(G1508,Liste!$A$7:$G$50,3,FALSE)</f>
        <v>Chêne sessile</v>
      </c>
      <c r="BI1508" s="96" t="str">
        <f>+VLOOKUP(H1508,Liste!$B$7:$G$50,5,FALSE)</f>
        <v>Guide chênaie atlantique</v>
      </c>
      <c r="BJ1508" s="135">
        <f t="shared" si="456"/>
        <v>110</v>
      </c>
      <c r="BK1508" s="135" t="str">
        <f t="shared" si="458"/>
        <v>Chêne sessile_F1_Classique_Guide chênaie atlantique_110_</v>
      </c>
      <c r="BM1508" s="13">
        <v>112.79665706969899</v>
      </c>
      <c r="BN1508" s="13">
        <v>582.343910171527</v>
      </c>
      <c r="BO1508" s="13">
        <v>88.870989927193023</v>
      </c>
      <c r="BP1508" s="13">
        <v>453.22050465958398</v>
      </c>
      <c r="BQ1508" s="13">
        <v>12.4865661320292</v>
      </c>
      <c r="BT1508" s="298" t="str">
        <f>+VLOOKUP(G1508,Liste!$A$7:$H$50,8,FALSE)</f>
        <v>Feuillus</v>
      </c>
      <c r="BU1508" s="298">
        <f t="shared" si="459"/>
        <v>1</v>
      </c>
      <c r="BV1508" s="300">
        <f t="shared" si="460"/>
        <v>0</v>
      </c>
      <c r="BW1508" s="321">
        <v>0</v>
      </c>
      <c r="BX1508" s="298">
        <f t="shared" si="461"/>
        <v>0.25</v>
      </c>
      <c r="BY1508">
        <f t="shared" si="462"/>
        <v>0</v>
      </c>
      <c r="BZ1508" s="304">
        <f t="shared" si="463"/>
        <v>0</v>
      </c>
      <c r="CB1508" s="299">
        <v>0.6</v>
      </c>
      <c r="CC1508" s="299">
        <v>0.4</v>
      </c>
      <c r="CD1508">
        <f t="shared" si="464"/>
        <v>0</v>
      </c>
      <c r="CE1508">
        <f t="shared" si="465"/>
        <v>0</v>
      </c>
      <c r="CF1508">
        <f t="shared" si="466"/>
        <v>0</v>
      </c>
      <c r="CG1508">
        <f t="shared" si="467"/>
        <v>0</v>
      </c>
      <c r="CH1508">
        <f t="shared" si="468"/>
        <v>0</v>
      </c>
      <c r="CI1508">
        <f t="shared" si="469"/>
        <v>0</v>
      </c>
      <c r="CJ1508">
        <f t="shared" si="470"/>
        <v>0</v>
      </c>
      <c r="CK1508">
        <f t="shared" si="471"/>
        <v>0</v>
      </c>
      <c r="CL1508">
        <f t="shared" si="472"/>
        <v>0</v>
      </c>
      <c r="CM1508">
        <f t="shared" si="474"/>
        <v>0</v>
      </c>
      <c r="CN1508">
        <f t="shared" si="473"/>
        <v>0</v>
      </c>
      <c r="CO1508">
        <f t="shared" si="457"/>
        <v>0</v>
      </c>
    </row>
    <row r="1509" spans="1:93" x14ac:dyDescent="0.25">
      <c r="A1509" s="4">
        <v>2021</v>
      </c>
      <c r="B1509" s="318">
        <v>44361</v>
      </c>
      <c r="C1509" s="4" t="s">
        <v>66</v>
      </c>
      <c r="D1509" s="4" t="s">
        <v>1525</v>
      </c>
      <c r="E1509" s="4" t="s">
        <v>87</v>
      </c>
      <c r="F1509" s="4" t="s">
        <v>90</v>
      </c>
      <c r="G1509" s="5" t="s">
        <v>17</v>
      </c>
      <c r="H1509" s="5" t="s">
        <v>20</v>
      </c>
      <c r="I1509" s="5" t="s">
        <v>18</v>
      </c>
      <c r="J1509" s="5" t="s">
        <v>9</v>
      </c>
      <c r="K1509" s="5">
        <v>21.5</v>
      </c>
      <c r="L1509" s="5" t="s">
        <v>1529</v>
      </c>
      <c r="M1509" s="5">
        <v>1666</v>
      </c>
      <c r="N1509" s="5" t="s">
        <v>170</v>
      </c>
      <c r="O1509" s="6" t="s">
        <v>81</v>
      </c>
      <c r="P1509" s="6" t="s">
        <v>1505</v>
      </c>
      <c r="S1509" s="6">
        <v>34</v>
      </c>
      <c r="T1509" s="6">
        <v>16.2</v>
      </c>
      <c r="U1509" s="6">
        <v>1451</v>
      </c>
      <c r="V1509" s="6">
        <v>23.57</v>
      </c>
      <c r="W1509" s="6">
        <v>44</v>
      </c>
      <c r="X1509" s="6">
        <v>444</v>
      </c>
      <c r="Y1509" s="6">
        <v>742</v>
      </c>
      <c r="Z1509" s="6">
        <v>211</v>
      </c>
      <c r="AA1509" s="6">
        <v>10</v>
      </c>
      <c r="AB1509" s="6">
        <v>0</v>
      </c>
      <c r="AC1509" s="7">
        <v>113</v>
      </c>
      <c r="AD1509" s="7" t="s">
        <v>52</v>
      </c>
      <c r="AE1509" s="7">
        <v>34.54</v>
      </c>
      <c r="AF1509" s="7">
        <v>103</v>
      </c>
      <c r="AG1509" s="7">
        <v>25.92</v>
      </c>
      <c r="AH1509" s="7">
        <v>56.61</v>
      </c>
      <c r="AI1509" s="7">
        <v>56.92</v>
      </c>
      <c r="AJ1509" s="9">
        <v>447.21832423273298</v>
      </c>
      <c r="AK1509" s="9">
        <v>491.98262188224402</v>
      </c>
      <c r="AL1509" s="9">
        <v>523.03170520270896</v>
      </c>
      <c r="AM1509" s="9">
        <v>78.240105219729799</v>
      </c>
      <c r="AN1509" s="9">
        <v>0.69239031167902498</v>
      </c>
      <c r="AO1509" s="9">
        <v>0.43225429884141903</v>
      </c>
      <c r="AP1509" s="9">
        <v>1275.0565159831899</v>
      </c>
      <c r="AQ1509" s="9">
        <v>11.2836859821521</v>
      </c>
      <c r="AR1509" s="9">
        <v>11.139902339353</v>
      </c>
      <c r="AS1509" s="8" t="s">
        <v>169</v>
      </c>
      <c r="AT1509" s="8" t="s">
        <v>169</v>
      </c>
      <c r="AU1509" s="10" t="s">
        <v>169</v>
      </c>
      <c r="AV1509" s="10">
        <v>0</v>
      </c>
      <c r="AX1509" s="10" t="s">
        <v>169</v>
      </c>
      <c r="BF1509" s="12">
        <v>0.55000000000000004</v>
      </c>
      <c r="BG1509" s="13">
        <v>501.02078760876202</v>
      </c>
      <c r="BH1509" s="96" t="str">
        <f>+VLOOKUP(G1509,Liste!$A$7:$G$50,3,FALSE)</f>
        <v>Chêne sessile</v>
      </c>
      <c r="BI1509" s="96" t="str">
        <f>+VLOOKUP(H1509,Liste!$B$7:$G$50,5,FALSE)</f>
        <v>Guide chênaie atlantique</v>
      </c>
      <c r="BJ1509" s="135">
        <f t="shared" si="456"/>
        <v>113</v>
      </c>
      <c r="BK1509" s="135" t="str">
        <f t="shared" si="458"/>
        <v>Chêne sessile_F1_Classique_Guide chênaie atlantique_113_</v>
      </c>
      <c r="BM1509" s="13">
        <v>119.451864269765</v>
      </c>
      <c r="BN1509" s="13">
        <v>620.47265187852599</v>
      </c>
      <c r="BO1509" s="13" t="s">
        <v>169</v>
      </c>
      <c r="BP1509" s="13">
        <v>453.22050465958398</v>
      </c>
      <c r="BQ1509" s="13">
        <v>12.6945758391438</v>
      </c>
      <c r="BT1509" s="298" t="str">
        <f>+VLOOKUP(G1509,Liste!$A$7:$H$50,8,FALSE)</f>
        <v>Feuillus</v>
      </c>
      <c r="BU1509" s="298">
        <f t="shared" si="459"/>
        <v>1</v>
      </c>
      <c r="BV1509" s="300">
        <f t="shared" si="460"/>
        <v>0</v>
      </c>
      <c r="BW1509" s="321">
        <v>0</v>
      </c>
      <c r="BX1509" s="298">
        <f t="shared" si="461"/>
        <v>0.25</v>
      </c>
      <c r="BY1509">
        <f t="shared" si="462"/>
        <v>0</v>
      </c>
      <c r="BZ1509" s="304">
        <f t="shared" si="463"/>
        <v>0</v>
      </c>
      <c r="CB1509" s="299">
        <v>0.6</v>
      </c>
      <c r="CC1509" s="299">
        <v>0.4</v>
      </c>
      <c r="CD1509">
        <f t="shared" si="464"/>
        <v>0</v>
      </c>
      <c r="CE1509">
        <f t="shared" si="465"/>
        <v>0</v>
      </c>
      <c r="CF1509">
        <f t="shared" si="466"/>
        <v>0</v>
      </c>
      <c r="CG1509">
        <f t="shared" si="467"/>
        <v>0</v>
      </c>
      <c r="CH1509">
        <f t="shared" si="468"/>
        <v>0</v>
      </c>
      <c r="CI1509">
        <f t="shared" si="469"/>
        <v>0</v>
      </c>
      <c r="CJ1509">
        <f t="shared" si="470"/>
        <v>0</v>
      </c>
      <c r="CK1509">
        <f t="shared" si="471"/>
        <v>0</v>
      </c>
      <c r="CL1509">
        <f t="shared" si="472"/>
        <v>0</v>
      </c>
      <c r="CM1509">
        <f t="shared" si="474"/>
        <v>0</v>
      </c>
      <c r="CN1509">
        <f t="shared" si="473"/>
        <v>0</v>
      </c>
      <c r="CO1509">
        <f t="shared" si="457"/>
        <v>0</v>
      </c>
    </row>
    <row r="1510" spans="1:93" x14ac:dyDescent="0.25">
      <c r="A1510" s="4">
        <v>2021</v>
      </c>
      <c r="B1510" s="318">
        <v>44361</v>
      </c>
      <c r="C1510" s="4" t="s">
        <v>66</v>
      </c>
      <c r="D1510" s="4" t="s">
        <v>1525</v>
      </c>
      <c r="E1510" s="4" t="s">
        <v>87</v>
      </c>
      <c r="F1510" s="4" t="s">
        <v>90</v>
      </c>
      <c r="G1510" s="5" t="s">
        <v>17</v>
      </c>
      <c r="H1510" s="5" t="s">
        <v>20</v>
      </c>
      <c r="I1510" s="5" t="s">
        <v>18</v>
      </c>
      <c r="J1510" s="5" t="s">
        <v>9</v>
      </c>
      <c r="K1510" s="5">
        <v>21.5</v>
      </c>
      <c r="L1510" s="5" t="s">
        <v>1529</v>
      </c>
      <c r="M1510" s="5">
        <v>1666</v>
      </c>
      <c r="N1510" s="5" t="s">
        <v>170</v>
      </c>
      <c r="O1510" s="6" t="s">
        <v>81</v>
      </c>
      <c r="P1510" s="6" t="s">
        <v>1505</v>
      </c>
      <c r="S1510" s="6">
        <v>34</v>
      </c>
      <c r="T1510" s="6">
        <v>16.2</v>
      </c>
      <c r="U1510" s="6">
        <v>1451</v>
      </c>
      <c r="V1510" s="6">
        <v>23.57</v>
      </c>
      <c r="W1510" s="6">
        <v>44</v>
      </c>
      <c r="X1510" s="6">
        <v>444</v>
      </c>
      <c r="Y1510" s="6">
        <v>742</v>
      </c>
      <c r="Z1510" s="6">
        <v>211</v>
      </c>
      <c r="AA1510" s="6">
        <v>10</v>
      </c>
      <c r="AB1510" s="6">
        <v>0</v>
      </c>
      <c r="AC1510" s="7">
        <v>116</v>
      </c>
      <c r="AD1510" s="7" t="s">
        <v>52</v>
      </c>
      <c r="AE1510" s="7">
        <v>35</v>
      </c>
      <c r="AF1510" s="7">
        <v>103</v>
      </c>
      <c r="AG1510" s="7">
        <v>27.22</v>
      </c>
      <c r="AH1510" s="7">
        <v>58.01</v>
      </c>
      <c r="AI1510" s="7">
        <v>58.33</v>
      </c>
      <c r="AJ1510" s="9">
        <v>476.12543250241998</v>
      </c>
      <c r="AK1510" s="9">
        <v>524.00691283875403</v>
      </c>
      <c r="AL1510" s="9">
        <v>556.45141222076802</v>
      </c>
      <c r="AM1510" s="9">
        <v>79.536868116254098</v>
      </c>
      <c r="AN1510" s="9">
        <v>0.68566265617460398</v>
      </c>
      <c r="AO1510" s="9">
        <v>0.431424326059759</v>
      </c>
      <c r="AP1510" s="9">
        <v>1308.47622300125</v>
      </c>
      <c r="AQ1510" s="9">
        <v>11.279967439665899</v>
      </c>
      <c r="AR1510" s="9">
        <v>11.317122747195899</v>
      </c>
      <c r="AS1510" s="8" t="s">
        <v>169</v>
      </c>
      <c r="AT1510" s="8" t="s">
        <v>169</v>
      </c>
      <c r="AU1510" s="10" t="s">
        <v>169</v>
      </c>
      <c r="AV1510" s="10">
        <v>0</v>
      </c>
      <c r="AX1510" s="10" t="s">
        <v>169</v>
      </c>
      <c r="BF1510" s="12">
        <v>0.55000000000000004</v>
      </c>
      <c r="BG1510" s="13">
        <v>533.03408195647705</v>
      </c>
      <c r="BH1510" s="96" t="str">
        <f>+VLOOKUP(G1510,Liste!$A$7:$G$50,3,FALSE)</f>
        <v>Chêne sessile</v>
      </c>
      <c r="BI1510" s="96" t="str">
        <f>+VLOOKUP(H1510,Liste!$B$7:$G$50,5,FALSE)</f>
        <v>Guide chênaie atlantique</v>
      </c>
      <c r="BJ1510" s="135">
        <f t="shared" si="456"/>
        <v>116</v>
      </c>
      <c r="BK1510" s="135" t="str">
        <f t="shared" si="458"/>
        <v>Chêne sessile_F1_Classique_Guide chênaie atlantique_116_</v>
      </c>
      <c r="BM1510" s="13">
        <v>126.171450119266</v>
      </c>
      <c r="BN1510" s="13">
        <v>659.20553207574301</v>
      </c>
      <c r="BO1510" s="13" t="s">
        <v>169</v>
      </c>
      <c r="BP1510" s="13">
        <v>453.22050465958398</v>
      </c>
      <c r="BQ1510" s="13">
        <v>12.889367768707499</v>
      </c>
      <c r="BT1510" s="298" t="str">
        <f>+VLOOKUP(G1510,Liste!$A$7:$H$50,8,FALSE)</f>
        <v>Feuillus</v>
      </c>
      <c r="BU1510" s="298">
        <f t="shared" si="459"/>
        <v>1</v>
      </c>
      <c r="BV1510" s="300">
        <f t="shared" si="460"/>
        <v>0</v>
      </c>
      <c r="BW1510" s="321">
        <v>0</v>
      </c>
      <c r="BX1510" s="298">
        <f t="shared" si="461"/>
        <v>0.25</v>
      </c>
      <c r="BY1510">
        <f t="shared" si="462"/>
        <v>0</v>
      </c>
      <c r="BZ1510" s="304">
        <f t="shared" si="463"/>
        <v>0</v>
      </c>
      <c r="CB1510" s="299">
        <v>0.6</v>
      </c>
      <c r="CC1510" s="299">
        <v>0.4</v>
      </c>
      <c r="CD1510">
        <f t="shared" si="464"/>
        <v>0</v>
      </c>
      <c r="CE1510">
        <f t="shared" si="465"/>
        <v>0</v>
      </c>
      <c r="CF1510">
        <f t="shared" si="466"/>
        <v>0</v>
      </c>
      <c r="CG1510">
        <f t="shared" si="467"/>
        <v>0</v>
      </c>
      <c r="CH1510">
        <f t="shared" si="468"/>
        <v>0</v>
      </c>
      <c r="CI1510">
        <f t="shared" si="469"/>
        <v>0</v>
      </c>
      <c r="CJ1510">
        <f t="shared" si="470"/>
        <v>0</v>
      </c>
      <c r="CK1510">
        <f t="shared" si="471"/>
        <v>0</v>
      </c>
      <c r="CL1510">
        <f t="shared" si="472"/>
        <v>0</v>
      </c>
      <c r="CM1510">
        <f t="shared" si="474"/>
        <v>0</v>
      </c>
      <c r="CN1510">
        <f t="shared" si="473"/>
        <v>0</v>
      </c>
      <c r="CO1510">
        <f t="shared" si="457"/>
        <v>0</v>
      </c>
    </row>
    <row r="1511" spans="1:93" x14ac:dyDescent="0.25">
      <c r="A1511" s="4">
        <v>2021</v>
      </c>
      <c r="B1511" s="318">
        <v>44361</v>
      </c>
      <c r="C1511" s="4" t="s">
        <v>66</v>
      </c>
      <c r="D1511" s="4" t="s">
        <v>1525</v>
      </c>
      <c r="E1511" s="4" t="s">
        <v>87</v>
      </c>
      <c r="F1511" s="4" t="s">
        <v>90</v>
      </c>
      <c r="G1511" s="5" t="s">
        <v>17</v>
      </c>
      <c r="H1511" s="5" t="s">
        <v>20</v>
      </c>
      <c r="I1511" s="5" t="s">
        <v>18</v>
      </c>
      <c r="J1511" s="5" t="s">
        <v>9</v>
      </c>
      <c r="K1511" s="5">
        <v>21.5</v>
      </c>
      <c r="L1511" s="5" t="s">
        <v>1529</v>
      </c>
      <c r="M1511" s="5">
        <v>1666</v>
      </c>
      <c r="N1511" s="5" t="s">
        <v>170</v>
      </c>
      <c r="O1511" s="6" t="s">
        <v>81</v>
      </c>
      <c r="P1511" s="6" t="s">
        <v>1505</v>
      </c>
      <c r="S1511" s="6">
        <v>34</v>
      </c>
      <c r="T1511" s="6">
        <v>16.2</v>
      </c>
      <c r="U1511" s="6">
        <v>1451</v>
      </c>
      <c r="V1511" s="6">
        <v>23.57</v>
      </c>
      <c r="W1511" s="6">
        <v>44</v>
      </c>
      <c r="X1511" s="6">
        <v>444</v>
      </c>
      <c r="Y1511" s="6">
        <v>742</v>
      </c>
      <c r="Z1511" s="6">
        <v>211</v>
      </c>
      <c r="AA1511" s="6">
        <v>10</v>
      </c>
      <c r="AB1511" s="6">
        <v>0</v>
      </c>
      <c r="AC1511" s="7">
        <v>120</v>
      </c>
      <c r="AD1511" s="7" t="s">
        <v>52</v>
      </c>
      <c r="AE1511" s="7">
        <v>35.6</v>
      </c>
      <c r="AF1511" s="7">
        <v>103</v>
      </c>
      <c r="AG1511" s="7">
        <v>28.95</v>
      </c>
      <c r="AH1511" s="7">
        <v>59.82</v>
      </c>
      <c r="AI1511" s="7">
        <v>60.14</v>
      </c>
      <c r="AJ1511" s="9">
        <v>515.33921898342601</v>
      </c>
      <c r="AK1511" s="9">
        <v>567.42955547349698</v>
      </c>
      <c r="AL1511" s="9">
        <v>601.71990320955103</v>
      </c>
      <c r="AM1511" s="9">
        <v>81.262565420493104</v>
      </c>
      <c r="AN1511" s="9">
        <v>0.67718804517077602</v>
      </c>
      <c r="AO1511" s="9">
        <v>0.41412484307997499</v>
      </c>
      <c r="AP1511" s="9">
        <v>1353.74471399003</v>
      </c>
      <c r="AQ1511" s="9">
        <v>11.281205949916901</v>
      </c>
      <c r="AR1511" s="9">
        <v>10.92588243262</v>
      </c>
      <c r="AS1511" s="8" t="s">
        <v>169</v>
      </c>
      <c r="AT1511" s="8" t="s">
        <v>169</v>
      </c>
      <c r="AU1511" s="10" t="s">
        <v>169</v>
      </c>
      <c r="AV1511" s="10">
        <v>0</v>
      </c>
      <c r="AX1511" s="10" t="s">
        <v>169</v>
      </c>
      <c r="BF1511" s="12">
        <v>0.55000000000000004</v>
      </c>
      <c r="BG1511" s="13">
        <v>576.397523949483</v>
      </c>
      <c r="BH1511" s="96" t="str">
        <f>+VLOOKUP(G1511,Liste!$A$7:$G$50,3,FALSE)</f>
        <v>Chêne sessile</v>
      </c>
      <c r="BI1511" s="96" t="str">
        <f>+VLOOKUP(H1511,Liste!$B$7:$G$50,5,FALSE)</f>
        <v>Guide chênaie atlantique</v>
      </c>
      <c r="BJ1511" s="135">
        <f t="shared" si="456"/>
        <v>120</v>
      </c>
      <c r="BK1511" s="135" t="str">
        <f t="shared" si="458"/>
        <v>Chêne sessile_F1_Classique_Guide chênaie atlantique_120_</v>
      </c>
      <c r="BM1511" s="13">
        <v>135.199301815301</v>
      </c>
      <c r="BN1511" s="13">
        <v>711.59682576478394</v>
      </c>
      <c r="BO1511" s="13" t="s">
        <v>169</v>
      </c>
      <c r="BP1511" s="13">
        <v>453.22050465958398</v>
      </c>
      <c r="BQ1511" s="13">
        <v>12.4371272145386</v>
      </c>
      <c r="BT1511" s="298" t="str">
        <f>+VLOOKUP(G1511,Liste!$A$7:$H$50,8,FALSE)</f>
        <v>Feuillus</v>
      </c>
      <c r="BU1511" s="298">
        <f t="shared" si="459"/>
        <v>1</v>
      </c>
      <c r="BV1511" s="300">
        <f t="shared" si="460"/>
        <v>0</v>
      </c>
      <c r="BW1511" s="321">
        <v>0</v>
      </c>
      <c r="BX1511" s="298">
        <f t="shared" si="461"/>
        <v>0.25</v>
      </c>
      <c r="BY1511">
        <f t="shared" si="462"/>
        <v>0</v>
      </c>
      <c r="BZ1511" s="304">
        <f t="shared" si="463"/>
        <v>0</v>
      </c>
      <c r="CB1511" s="299">
        <v>0.6</v>
      </c>
      <c r="CC1511" s="299">
        <v>0.4</v>
      </c>
      <c r="CD1511">
        <f t="shared" si="464"/>
        <v>0</v>
      </c>
      <c r="CE1511">
        <f t="shared" si="465"/>
        <v>0</v>
      </c>
      <c r="CF1511">
        <f t="shared" si="466"/>
        <v>0</v>
      </c>
      <c r="CG1511">
        <f t="shared" si="467"/>
        <v>0</v>
      </c>
      <c r="CH1511">
        <f t="shared" si="468"/>
        <v>0</v>
      </c>
      <c r="CI1511">
        <f t="shared" si="469"/>
        <v>0</v>
      </c>
      <c r="CJ1511">
        <f t="shared" si="470"/>
        <v>0</v>
      </c>
      <c r="CK1511">
        <f t="shared" si="471"/>
        <v>0</v>
      </c>
      <c r="CL1511">
        <f t="shared" si="472"/>
        <v>0</v>
      </c>
      <c r="CM1511">
        <f t="shared" si="474"/>
        <v>0</v>
      </c>
      <c r="CN1511">
        <f t="shared" si="473"/>
        <v>0</v>
      </c>
      <c r="CO1511">
        <f t="shared" si="457"/>
        <v>0</v>
      </c>
    </row>
    <row r="1512" spans="1:93" x14ac:dyDescent="0.25">
      <c r="A1512" s="4">
        <v>2021</v>
      </c>
      <c r="B1512" s="318">
        <v>44361</v>
      </c>
      <c r="C1512" s="4" t="s">
        <v>66</v>
      </c>
      <c r="D1512" s="4" t="s">
        <v>1525</v>
      </c>
      <c r="E1512" s="4" t="s">
        <v>87</v>
      </c>
      <c r="F1512" s="4" t="s">
        <v>90</v>
      </c>
      <c r="G1512" s="5" t="s">
        <v>17</v>
      </c>
      <c r="H1512" s="5" t="s">
        <v>20</v>
      </c>
      <c r="I1512" s="5" t="s">
        <v>18</v>
      </c>
      <c r="J1512" s="5" t="s">
        <v>9</v>
      </c>
      <c r="K1512" s="5">
        <v>21.5</v>
      </c>
      <c r="L1512" s="5" t="s">
        <v>1529</v>
      </c>
      <c r="M1512" s="5">
        <v>1666</v>
      </c>
      <c r="N1512" s="5" t="s">
        <v>170</v>
      </c>
      <c r="O1512" s="6" t="s">
        <v>81</v>
      </c>
      <c r="P1512" s="6" t="s">
        <v>1505</v>
      </c>
      <c r="S1512" s="6">
        <v>34</v>
      </c>
      <c r="T1512" s="6">
        <v>16.2</v>
      </c>
      <c r="U1512" s="6">
        <v>1451</v>
      </c>
      <c r="V1512" s="6">
        <v>23.57</v>
      </c>
      <c r="W1512" s="6">
        <v>44</v>
      </c>
      <c r="X1512" s="6">
        <v>444</v>
      </c>
      <c r="Y1512" s="6">
        <v>742</v>
      </c>
      <c r="Z1512" s="6">
        <v>211</v>
      </c>
      <c r="AA1512" s="6">
        <v>10</v>
      </c>
      <c r="AB1512" s="6">
        <v>0</v>
      </c>
      <c r="AC1512" s="7">
        <v>120</v>
      </c>
      <c r="AD1512" s="7" t="s">
        <v>53</v>
      </c>
      <c r="AE1512" s="7">
        <v>35.6</v>
      </c>
      <c r="AF1512" s="7">
        <v>89</v>
      </c>
      <c r="AG1512" s="7">
        <v>25.31</v>
      </c>
      <c r="AH1512" s="7">
        <v>60.18</v>
      </c>
      <c r="AI1512" s="7">
        <v>60.18</v>
      </c>
      <c r="AJ1512" s="9">
        <v>450.74434118805198</v>
      </c>
      <c r="AK1512" s="9">
        <v>496.53705932440198</v>
      </c>
      <c r="AL1512" s="9">
        <v>526.51631394009803</v>
      </c>
      <c r="AM1512" s="9">
        <v>81.262565420493104</v>
      </c>
      <c r="AN1512" s="9">
        <v>0.67718804517077602</v>
      </c>
      <c r="AO1512" s="9">
        <v>0.41412484307997499</v>
      </c>
      <c r="AP1512" s="9">
        <v>1353.74471399003</v>
      </c>
      <c r="AQ1512" s="9">
        <v>11.281205949916901</v>
      </c>
      <c r="AR1512" s="9">
        <v>10.92588243262</v>
      </c>
      <c r="AS1512" s="8">
        <v>14</v>
      </c>
      <c r="AT1512" s="8">
        <v>3.6400000000000006</v>
      </c>
      <c r="AU1512" s="10">
        <v>57.536273917515928</v>
      </c>
      <c r="AV1512" s="10">
        <v>64.594877795374032</v>
      </c>
      <c r="AW1512" s="8">
        <v>0.92</v>
      </c>
      <c r="AX1512" s="10">
        <v>4.6139198425267169</v>
      </c>
      <c r="BF1512" s="12">
        <v>0.55000000000000004</v>
      </c>
      <c r="BG1512" s="13">
        <v>504.35875239511898</v>
      </c>
      <c r="BH1512" s="96" t="str">
        <f>+VLOOKUP(G1512,Liste!$A$7:$G$50,3,FALSE)</f>
        <v>Chêne sessile</v>
      </c>
      <c r="BI1512" s="96" t="str">
        <f>+VLOOKUP(H1512,Liste!$B$7:$G$50,5,FALSE)</f>
        <v>Guide chênaie atlantique</v>
      </c>
      <c r="BJ1512" s="135">
        <f t="shared" si="456"/>
        <v>120</v>
      </c>
      <c r="BK1512" s="135" t="str">
        <f t="shared" si="458"/>
        <v>Chêne sessile_F1_Classique_Guide chênaie atlantique_120_</v>
      </c>
      <c r="BM1512" s="13">
        <v>120.154785453508</v>
      </c>
      <c r="BN1512" s="13">
        <v>624.51353784862795</v>
      </c>
      <c r="BO1512" s="13">
        <v>87.083287916155996</v>
      </c>
      <c r="BP1512" s="13">
        <v>453.22050465958398</v>
      </c>
      <c r="BQ1512" s="13">
        <v>12.4371272145386</v>
      </c>
      <c r="BT1512" s="298" t="str">
        <f>+VLOOKUP(G1512,Liste!$A$7:$H$50,8,FALSE)</f>
        <v>Feuillus</v>
      </c>
      <c r="BU1512" s="298">
        <f t="shared" si="459"/>
        <v>1</v>
      </c>
      <c r="BV1512" s="300">
        <f t="shared" si="460"/>
        <v>0</v>
      </c>
      <c r="BW1512" s="321">
        <v>0</v>
      </c>
      <c r="BX1512" s="298">
        <f t="shared" si="461"/>
        <v>0.25</v>
      </c>
      <c r="BY1512">
        <f t="shared" si="462"/>
        <v>0</v>
      </c>
      <c r="BZ1512" s="304">
        <f t="shared" si="463"/>
        <v>0</v>
      </c>
      <c r="CB1512" s="299">
        <v>0.6</v>
      </c>
      <c r="CC1512" s="299">
        <v>0.4</v>
      </c>
      <c r="CD1512">
        <f t="shared" si="464"/>
        <v>0</v>
      </c>
      <c r="CE1512">
        <f t="shared" si="465"/>
        <v>0</v>
      </c>
      <c r="CF1512">
        <f t="shared" si="466"/>
        <v>0</v>
      </c>
      <c r="CG1512">
        <f t="shared" si="467"/>
        <v>0</v>
      </c>
      <c r="CH1512">
        <f t="shared" si="468"/>
        <v>0</v>
      </c>
      <c r="CI1512">
        <f t="shared" si="469"/>
        <v>0</v>
      </c>
      <c r="CJ1512">
        <f t="shared" si="470"/>
        <v>0</v>
      </c>
      <c r="CK1512">
        <f t="shared" si="471"/>
        <v>0</v>
      </c>
      <c r="CL1512">
        <f t="shared" si="472"/>
        <v>0</v>
      </c>
      <c r="CM1512">
        <f t="shared" si="474"/>
        <v>0</v>
      </c>
      <c r="CN1512">
        <f t="shared" si="473"/>
        <v>0</v>
      </c>
      <c r="CO1512">
        <f t="shared" si="457"/>
        <v>0</v>
      </c>
    </row>
    <row r="1513" spans="1:93" x14ac:dyDescent="0.25">
      <c r="A1513" s="4">
        <v>2021</v>
      </c>
      <c r="B1513" s="318">
        <v>44361</v>
      </c>
      <c r="C1513" s="4" t="s">
        <v>66</v>
      </c>
      <c r="D1513" s="4" t="s">
        <v>1525</v>
      </c>
      <c r="E1513" s="4" t="s">
        <v>87</v>
      </c>
      <c r="F1513" s="4" t="s">
        <v>90</v>
      </c>
      <c r="G1513" s="5" t="s">
        <v>17</v>
      </c>
      <c r="H1513" s="5" t="s">
        <v>20</v>
      </c>
      <c r="I1513" s="5" t="s">
        <v>18</v>
      </c>
      <c r="J1513" s="5" t="s">
        <v>9</v>
      </c>
      <c r="K1513" s="5">
        <v>21.5</v>
      </c>
      <c r="L1513" s="5" t="s">
        <v>1529</v>
      </c>
      <c r="M1513" s="5">
        <v>1666</v>
      </c>
      <c r="N1513" s="5" t="s">
        <v>170</v>
      </c>
      <c r="O1513" s="6" t="s">
        <v>81</v>
      </c>
      <c r="P1513" s="6" t="s">
        <v>1505</v>
      </c>
      <c r="S1513" s="6">
        <v>34</v>
      </c>
      <c r="T1513" s="6">
        <v>16.2</v>
      </c>
      <c r="U1513" s="6">
        <v>1451</v>
      </c>
      <c r="V1513" s="6">
        <v>23.57</v>
      </c>
      <c r="W1513" s="6">
        <v>44</v>
      </c>
      <c r="X1513" s="6">
        <v>444</v>
      </c>
      <c r="Y1513" s="6">
        <v>742</v>
      </c>
      <c r="Z1513" s="6">
        <v>211</v>
      </c>
      <c r="AA1513" s="6">
        <v>10</v>
      </c>
      <c r="AB1513" s="6">
        <v>0</v>
      </c>
      <c r="AC1513" s="7">
        <v>123</v>
      </c>
      <c r="AD1513" s="7" t="s">
        <v>52</v>
      </c>
      <c r="AE1513" s="7">
        <v>36.04</v>
      </c>
      <c r="AF1513" s="7">
        <v>89</v>
      </c>
      <c r="AG1513" s="7">
        <v>26.55</v>
      </c>
      <c r="AH1513" s="7">
        <v>61.63</v>
      </c>
      <c r="AI1513" s="7">
        <v>61.63</v>
      </c>
      <c r="AJ1513" s="9">
        <v>479.06514629828303</v>
      </c>
      <c r="AK1513" s="9">
        <v>527.98501470306996</v>
      </c>
      <c r="AL1513" s="9">
        <v>559.29396123795902</v>
      </c>
      <c r="AM1513" s="9">
        <v>82.504939949733</v>
      </c>
      <c r="AN1513" s="9">
        <v>0.67077186951002499</v>
      </c>
      <c r="AO1513" s="9">
        <v>0.41398027222204298</v>
      </c>
      <c r="AP1513" s="9">
        <v>1386.5223612878899</v>
      </c>
      <c r="AQ1513" s="9">
        <v>11.272539522665801</v>
      </c>
      <c r="AR1513" s="9">
        <v>11.0586365470811</v>
      </c>
      <c r="AS1513" s="8" t="s">
        <v>169</v>
      </c>
      <c r="AT1513" s="8" t="s">
        <v>169</v>
      </c>
      <c r="AU1513" s="10" t="s">
        <v>169</v>
      </c>
      <c r="AV1513" s="10">
        <v>0</v>
      </c>
      <c r="AX1513" s="10" t="s">
        <v>169</v>
      </c>
      <c r="BF1513" s="12">
        <v>0.55000000000000004</v>
      </c>
      <c r="BG1513" s="13">
        <v>535.75700703586097</v>
      </c>
      <c r="BH1513" s="96" t="str">
        <f>+VLOOKUP(G1513,Liste!$A$7:$G$50,3,FALSE)</f>
        <v>Chêne sessile</v>
      </c>
      <c r="BI1513" s="96" t="str">
        <f>+VLOOKUP(H1513,Liste!$B$7:$G$50,5,FALSE)</f>
        <v>Guide chênaie atlantique</v>
      </c>
      <c r="BJ1513" s="135">
        <f t="shared" si="456"/>
        <v>123</v>
      </c>
      <c r="BK1513" s="135" t="str">
        <f t="shared" si="458"/>
        <v>Chêne sessile_F1_Classique_Guide chênaie atlantique_123_</v>
      </c>
      <c r="BM1513" s="13">
        <v>126.740786088775</v>
      </c>
      <c r="BN1513" s="13">
        <v>662.49779312463602</v>
      </c>
      <c r="BO1513" s="13" t="s">
        <v>169</v>
      </c>
      <c r="BP1513" s="13">
        <v>453.22050465958398</v>
      </c>
      <c r="BQ1513" s="13">
        <v>12.582728222686599</v>
      </c>
      <c r="BT1513" s="298" t="str">
        <f>+VLOOKUP(G1513,Liste!$A$7:$H$50,8,FALSE)</f>
        <v>Feuillus</v>
      </c>
      <c r="BU1513" s="298">
        <f t="shared" si="459"/>
        <v>1</v>
      </c>
      <c r="BV1513" s="300">
        <f t="shared" si="460"/>
        <v>0</v>
      </c>
      <c r="BW1513" s="321">
        <v>0</v>
      </c>
      <c r="BX1513" s="298">
        <f t="shared" si="461"/>
        <v>0.25</v>
      </c>
      <c r="BY1513">
        <f t="shared" si="462"/>
        <v>0</v>
      </c>
      <c r="BZ1513" s="304">
        <f t="shared" si="463"/>
        <v>0</v>
      </c>
      <c r="CB1513" s="299">
        <v>0.6</v>
      </c>
      <c r="CC1513" s="299">
        <v>0.4</v>
      </c>
      <c r="CD1513">
        <f t="shared" si="464"/>
        <v>0</v>
      </c>
      <c r="CE1513">
        <f t="shared" si="465"/>
        <v>0</v>
      </c>
      <c r="CF1513">
        <f t="shared" si="466"/>
        <v>0</v>
      </c>
      <c r="CG1513">
        <f t="shared" si="467"/>
        <v>0</v>
      </c>
      <c r="CH1513">
        <f t="shared" si="468"/>
        <v>0</v>
      </c>
      <c r="CI1513">
        <f t="shared" si="469"/>
        <v>0</v>
      </c>
      <c r="CJ1513">
        <f t="shared" si="470"/>
        <v>0</v>
      </c>
      <c r="CK1513">
        <f t="shared" si="471"/>
        <v>0</v>
      </c>
      <c r="CL1513">
        <f t="shared" si="472"/>
        <v>0</v>
      </c>
      <c r="CM1513">
        <f t="shared" si="474"/>
        <v>0</v>
      </c>
      <c r="CN1513">
        <f t="shared" si="473"/>
        <v>0</v>
      </c>
      <c r="CO1513">
        <f t="shared" si="457"/>
        <v>0</v>
      </c>
    </row>
    <row r="1514" spans="1:93" x14ac:dyDescent="0.25">
      <c r="A1514" s="4">
        <v>2021</v>
      </c>
      <c r="B1514" s="318">
        <v>44361</v>
      </c>
      <c r="C1514" s="4" t="s">
        <v>66</v>
      </c>
      <c r="D1514" s="4" t="s">
        <v>1525</v>
      </c>
      <c r="E1514" s="4" t="s">
        <v>87</v>
      </c>
      <c r="F1514" s="4" t="s">
        <v>90</v>
      </c>
      <c r="G1514" s="5" t="s">
        <v>17</v>
      </c>
      <c r="H1514" s="5" t="s">
        <v>20</v>
      </c>
      <c r="I1514" s="5" t="s">
        <v>18</v>
      </c>
      <c r="J1514" s="5" t="s">
        <v>9</v>
      </c>
      <c r="K1514" s="5">
        <v>21.5</v>
      </c>
      <c r="L1514" s="5" t="s">
        <v>1529</v>
      </c>
      <c r="M1514" s="5">
        <v>1666</v>
      </c>
      <c r="N1514" s="5" t="s">
        <v>170</v>
      </c>
      <c r="O1514" s="6" t="s">
        <v>81</v>
      </c>
      <c r="P1514" s="6" t="s">
        <v>1505</v>
      </c>
      <c r="S1514" s="6">
        <v>34</v>
      </c>
      <c r="T1514" s="6">
        <v>16.2</v>
      </c>
      <c r="U1514" s="6">
        <v>1451</v>
      </c>
      <c r="V1514" s="6">
        <v>23.57</v>
      </c>
      <c r="W1514" s="6">
        <v>44</v>
      </c>
      <c r="X1514" s="6">
        <v>444</v>
      </c>
      <c r="Y1514" s="6">
        <v>742</v>
      </c>
      <c r="Z1514" s="6">
        <v>211</v>
      </c>
      <c r="AA1514" s="6">
        <v>10</v>
      </c>
      <c r="AB1514" s="6">
        <v>0</v>
      </c>
      <c r="AC1514" s="7">
        <v>126</v>
      </c>
      <c r="AD1514" s="7" t="s">
        <v>52</v>
      </c>
      <c r="AE1514" s="7">
        <v>36.479999999999997</v>
      </c>
      <c r="AF1514" s="7">
        <v>89</v>
      </c>
      <c r="AG1514" s="7">
        <v>27.8</v>
      </c>
      <c r="AH1514" s="7">
        <v>63.06</v>
      </c>
      <c r="AI1514" s="7">
        <v>63.06</v>
      </c>
      <c r="AJ1514" s="9">
        <v>507.74526741310302</v>
      </c>
      <c r="AK1514" s="9">
        <v>559.83631961947299</v>
      </c>
      <c r="AL1514" s="9">
        <v>592.46987087920195</v>
      </c>
      <c r="AM1514" s="9">
        <v>83.746880766399102</v>
      </c>
      <c r="AN1514" s="9">
        <v>0.66465778386031105</v>
      </c>
      <c r="AO1514" s="9">
        <v>0.413468423657466</v>
      </c>
      <c r="AP1514" s="9">
        <v>1419.6982709291301</v>
      </c>
      <c r="AQ1514" s="9">
        <v>11.2674465946757</v>
      </c>
      <c r="AR1514" s="9">
        <v>11.3467050261963</v>
      </c>
      <c r="AS1514" s="8" t="s">
        <v>169</v>
      </c>
      <c r="AT1514" s="8" t="s">
        <v>169</v>
      </c>
      <c r="AU1514" s="10" t="s">
        <v>169</v>
      </c>
      <c r="AV1514" s="10">
        <v>0</v>
      </c>
      <c r="AX1514" s="10" t="s">
        <v>169</v>
      </c>
      <c r="BF1514" s="12">
        <v>0.55000000000000004</v>
      </c>
      <c r="BG1514" s="13">
        <v>567.53676381303501</v>
      </c>
      <c r="BH1514" s="96" t="str">
        <f>+VLOOKUP(G1514,Liste!$A$7:$G$50,3,FALSE)</f>
        <v>Chêne sessile</v>
      </c>
      <c r="BI1514" s="96" t="str">
        <f>+VLOOKUP(H1514,Liste!$B$7:$G$50,5,FALSE)</f>
        <v>Guide chênaie atlantique</v>
      </c>
      <c r="BJ1514" s="135">
        <f t="shared" si="456"/>
        <v>126</v>
      </c>
      <c r="BK1514" s="135" t="str">
        <f t="shared" si="458"/>
        <v>Chêne sessile_F1_Classique_Guide chênaie atlantique_126_</v>
      </c>
      <c r="BM1514" s="13">
        <v>133.36119962150099</v>
      </c>
      <c r="BN1514" s="13">
        <v>700.897963434536</v>
      </c>
      <c r="BO1514" s="13" t="s">
        <v>169</v>
      </c>
      <c r="BP1514" s="13">
        <v>453.22050465958398</v>
      </c>
      <c r="BQ1514" s="13">
        <v>12.903952706856</v>
      </c>
      <c r="BT1514" s="298" t="str">
        <f>+VLOOKUP(G1514,Liste!$A$7:$H$50,8,FALSE)</f>
        <v>Feuillus</v>
      </c>
      <c r="BU1514" s="298">
        <f t="shared" si="459"/>
        <v>1</v>
      </c>
      <c r="BV1514" s="300">
        <f t="shared" si="460"/>
        <v>0</v>
      </c>
      <c r="BW1514" s="321">
        <v>0</v>
      </c>
      <c r="BX1514" s="298">
        <f t="shared" si="461"/>
        <v>0.25</v>
      </c>
      <c r="BY1514">
        <f t="shared" si="462"/>
        <v>0</v>
      </c>
      <c r="BZ1514" s="304">
        <f t="shared" si="463"/>
        <v>0</v>
      </c>
      <c r="CB1514" s="299">
        <v>0.6</v>
      </c>
      <c r="CC1514" s="299">
        <v>0.4</v>
      </c>
      <c r="CD1514">
        <f t="shared" si="464"/>
        <v>0</v>
      </c>
      <c r="CE1514">
        <f t="shared" si="465"/>
        <v>0</v>
      </c>
      <c r="CF1514">
        <f t="shared" si="466"/>
        <v>0</v>
      </c>
      <c r="CG1514">
        <f t="shared" si="467"/>
        <v>0</v>
      </c>
      <c r="CH1514">
        <f t="shared" si="468"/>
        <v>0</v>
      </c>
      <c r="CI1514">
        <f t="shared" si="469"/>
        <v>0</v>
      </c>
      <c r="CJ1514">
        <f t="shared" si="470"/>
        <v>0</v>
      </c>
      <c r="CK1514">
        <f t="shared" si="471"/>
        <v>0</v>
      </c>
      <c r="CL1514">
        <f t="shared" si="472"/>
        <v>0</v>
      </c>
      <c r="CM1514">
        <f t="shared" si="474"/>
        <v>0</v>
      </c>
      <c r="CN1514">
        <f t="shared" si="473"/>
        <v>0</v>
      </c>
      <c r="CO1514">
        <f t="shared" si="457"/>
        <v>0</v>
      </c>
    </row>
    <row r="1515" spans="1:93" x14ac:dyDescent="0.25">
      <c r="A1515" s="4">
        <v>2021</v>
      </c>
      <c r="B1515" s="318">
        <v>44361</v>
      </c>
      <c r="C1515" s="4" t="s">
        <v>66</v>
      </c>
      <c r="D1515" s="4" t="s">
        <v>1525</v>
      </c>
      <c r="E1515" s="4" t="s">
        <v>87</v>
      </c>
      <c r="F1515" s="4" t="s">
        <v>90</v>
      </c>
      <c r="G1515" s="5" t="s">
        <v>17</v>
      </c>
      <c r="H1515" s="5" t="s">
        <v>20</v>
      </c>
      <c r="I1515" s="5" t="s">
        <v>18</v>
      </c>
      <c r="J1515" s="5" t="s">
        <v>9</v>
      </c>
      <c r="K1515" s="5">
        <v>21.5</v>
      </c>
      <c r="L1515" s="5" t="s">
        <v>1529</v>
      </c>
      <c r="M1515" s="5">
        <v>1666</v>
      </c>
      <c r="N1515" s="5" t="s">
        <v>170</v>
      </c>
      <c r="O1515" s="6" t="s">
        <v>81</v>
      </c>
      <c r="P1515" s="6" t="s">
        <v>1505</v>
      </c>
      <c r="S1515" s="6">
        <v>34</v>
      </c>
      <c r="T1515" s="6">
        <v>16.2</v>
      </c>
      <c r="U1515" s="6">
        <v>1451</v>
      </c>
      <c r="V1515" s="6">
        <v>23.57</v>
      </c>
      <c r="W1515" s="6">
        <v>44</v>
      </c>
      <c r="X1515" s="6">
        <v>444</v>
      </c>
      <c r="Y1515" s="6">
        <v>742</v>
      </c>
      <c r="Z1515" s="6">
        <v>211</v>
      </c>
      <c r="AA1515" s="6">
        <v>10</v>
      </c>
      <c r="AB1515" s="6">
        <v>0</v>
      </c>
      <c r="AC1515" s="7">
        <v>130</v>
      </c>
      <c r="AD1515" s="7" t="s">
        <v>52</v>
      </c>
      <c r="AE1515" s="7">
        <v>37.07</v>
      </c>
      <c r="AF1515" s="7">
        <v>89</v>
      </c>
      <c r="AG1515" s="7">
        <v>29.45</v>
      </c>
      <c r="AH1515" s="7">
        <v>64.91</v>
      </c>
      <c r="AI1515" s="7">
        <v>64.91</v>
      </c>
      <c r="AJ1515" s="9">
        <v>547.15878210213202</v>
      </c>
      <c r="AK1515" s="9">
        <v>603.47946995357302</v>
      </c>
      <c r="AL1515" s="9">
        <v>637.85669098398705</v>
      </c>
      <c r="AM1515" s="9">
        <v>85.400754461028995</v>
      </c>
      <c r="AN1515" s="9">
        <v>0.65692888046945397</v>
      </c>
      <c r="AO1515" s="9">
        <v>0.39895469429437902</v>
      </c>
      <c r="AP1515" s="9">
        <v>1465.08509103392</v>
      </c>
      <c r="AQ1515" s="9">
        <v>11.269885315645499</v>
      </c>
      <c r="AR1515" s="9">
        <v>10.8420088732477</v>
      </c>
      <c r="AS1515" s="8" t="s">
        <v>169</v>
      </c>
      <c r="AT1515" s="8" t="s">
        <v>169</v>
      </c>
      <c r="AU1515" s="10" t="s">
        <v>169</v>
      </c>
      <c r="AV1515" s="10">
        <v>0</v>
      </c>
      <c r="AX1515" s="10" t="s">
        <v>169</v>
      </c>
      <c r="BF1515" s="12">
        <v>0.55000000000000004</v>
      </c>
      <c r="BG1515" s="13">
        <v>611.01355523841096</v>
      </c>
      <c r="BH1515" s="96" t="str">
        <f>+VLOOKUP(G1515,Liste!$A$7:$G$50,3,FALSE)</f>
        <v>Chêne sessile</v>
      </c>
      <c r="BI1515" s="96" t="str">
        <f>+VLOOKUP(H1515,Liste!$B$7:$G$50,5,FALSE)</f>
        <v>Guide chênaie atlantique</v>
      </c>
      <c r="BJ1515" s="135">
        <f t="shared" si="456"/>
        <v>130</v>
      </c>
      <c r="BK1515" s="135" t="str">
        <f t="shared" si="458"/>
        <v>Chêne sessile_F1_Classique_Guide chênaie atlantique_130_</v>
      </c>
      <c r="BM1515" s="13">
        <v>142.34916443806901</v>
      </c>
      <c r="BN1515" s="13">
        <v>753.36271967647997</v>
      </c>
      <c r="BO1515" s="13" t="s">
        <v>169</v>
      </c>
      <c r="BP1515" s="13">
        <v>453.22050465958398</v>
      </c>
      <c r="BQ1515" s="13">
        <v>12.323963751547099</v>
      </c>
      <c r="BT1515" s="298" t="str">
        <f>+VLOOKUP(G1515,Liste!$A$7:$H$50,8,FALSE)</f>
        <v>Feuillus</v>
      </c>
      <c r="BU1515" s="298">
        <f t="shared" si="459"/>
        <v>1</v>
      </c>
      <c r="BV1515" s="300">
        <f t="shared" si="460"/>
        <v>0</v>
      </c>
      <c r="BW1515" s="321">
        <v>0</v>
      </c>
      <c r="BX1515" s="298">
        <f t="shared" si="461"/>
        <v>0.25</v>
      </c>
      <c r="BY1515">
        <f t="shared" si="462"/>
        <v>0</v>
      </c>
      <c r="BZ1515" s="304">
        <f t="shared" si="463"/>
        <v>0</v>
      </c>
      <c r="CB1515" s="299">
        <v>0.6</v>
      </c>
      <c r="CC1515" s="299">
        <v>0.4</v>
      </c>
      <c r="CD1515">
        <f t="shared" si="464"/>
        <v>0</v>
      </c>
      <c r="CE1515">
        <f t="shared" si="465"/>
        <v>0</v>
      </c>
      <c r="CF1515">
        <f t="shared" si="466"/>
        <v>0</v>
      </c>
      <c r="CG1515">
        <f t="shared" si="467"/>
        <v>0</v>
      </c>
      <c r="CH1515">
        <f t="shared" si="468"/>
        <v>0</v>
      </c>
      <c r="CI1515">
        <f t="shared" si="469"/>
        <v>0</v>
      </c>
      <c r="CJ1515">
        <f t="shared" si="470"/>
        <v>0</v>
      </c>
      <c r="CK1515">
        <f t="shared" si="471"/>
        <v>0</v>
      </c>
      <c r="CL1515">
        <f t="shared" si="472"/>
        <v>0</v>
      </c>
      <c r="CM1515">
        <f t="shared" si="474"/>
        <v>0</v>
      </c>
      <c r="CN1515">
        <f t="shared" si="473"/>
        <v>0</v>
      </c>
      <c r="CO1515">
        <f t="shared" si="457"/>
        <v>0</v>
      </c>
    </row>
    <row r="1516" spans="1:93" x14ac:dyDescent="0.25">
      <c r="A1516" s="4">
        <v>2021</v>
      </c>
      <c r="B1516" s="318">
        <v>44361</v>
      </c>
      <c r="C1516" s="4" t="s">
        <v>66</v>
      </c>
      <c r="D1516" s="4" t="s">
        <v>1525</v>
      </c>
      <c r="E1516" s="4" t="s">
        <v>87</v>
      </c>
      <c r="F1516" s="4" t="s">
        <v>90</v>
      </c>
      <c r="G1516" s="5" t="s">
        <v>17</v>
      </c>
      <c r="H1516" s="5" t="s">
        <v>20</v>
      </c>
      <c r="I1516" s="5" t="s">
        <v>18</v>
      </c>
      <c r="J1516" s="5" t="s">
        <v>9</v>
      </c>
      <c r="K1516" s="5">
        <v>21.5</v>
      </c>
      <c r="L1516" s="5" t="s">
        <v>1529</v>
      </c>
      <c r="M1516" s="5">
        <v>1666</v>
      </c>
      <c r="N1516" s="5" t="s">
        <v>170</v>
      </c>
      <c r="O1516" s="6" t="s">
        <v>81</v>
      </c>
      <c r="P1516" s="6" t="s">
        <v>1505</v>
      </c>
      <c r="S1516" s="6">
        <v>34</v>
      </c>
      <c r="T1516" s="6">
        <v>16.2</v>
      </c>
      <c r="U1516" s="6">
        <v>1451</v>
      </c>
      <c r="V1516" s="6">
        <v>23.57</v>
      </c>
      <c r="W1516" s="6">
        <v>44</v>
      </c>
      <c r="X1516" s="6">
        <v>444</v>
      </c>
      <c r="Y1516" s="6">
        <v>742</v>
      </c>
      <c r="Z1516" s="6">
        <v>211</v>
      </c>
      <c r="AA1516" s="6">
        <v>10</v>
      </c>
      <c r="AB1516" s="6">
        <v>0</v>
      </c>
      <c r="AC1516" s="7">
        <v>130</v>
      </c>
      <c r="AD1516" s="7" t="s">
        <v>53</v>
      </c>
      <c r="AE1516" s="7">
        <v>37.07</v>
      </c>
      <c r="AF1516" s="7">
        <v>77</v>
      </c>
      <c r="AG1516" s="7">
        <v>25.82</v>
      </c>
      <c r="AH1516" s="7">
        <v>65.34</v>
      </c>
      <c r="AI1516" s="7">
        <v>65.34</v>
      </c>
      <c r="AJ1516" s="9">
        <v>479.88206751518698</v>
      </c>
      <c r="AK1516" s="9">
        <v>529.61787809398902</v>
      </c>
      <c r="AL1516" s="9">
        <v>559.75446314478495</v>
      </c>
      <c r="AM1516" s="9">
        <v>85.400754461028995</v>
      </c>
      <c r="AN1516" s="9">
        <v>0.65692888046945397</v>
      </c>
      <c r="AO1516" s="9">
        <v>0.39895469429437902</v>
      </c>
      <c r="AP1516" s="9">
        <v>1465.08509103392</v>
      </c>
      <c r="AQ1516" s="9">
        <v>11.269885315645499</v>
      </c>
      <c r="AR1516" s="9">
        <v>10.8420088732477</v>
      </c>
      <c r="AS1516" s="8">
        <v>12</v>
      </c>
      <c r="AT1516" s="8">
        <v>3.629999999999999</v>
      </c>
      <c r="AU1516" s="10">
        <v>62.060854190253188</v>
      </c>
      <c r="AV1516" s="10">
        <v>67.276714586945047</v>
      </c>
      <c r="AW1516" s="8">
        <v>0.91</v>
      </c>
      <c r="AX1516" s="10">
        <v>5.6063928822454203</v>
      </c>
      <c r="BF1516" s="12">
        <v>0.55000000000000004</v>
      </c>
      <c r="BG1516" s="13">
        <v>536.19812948744197</v>
      </c>
      <c r="BH1516" s="96" t="str">
        <f>+VLOOKUP(G1516,Liste!$A$7:$G$50,3,FALSE)</f>
        <v>Chêne sessile</v>
      </c>
      <c r="BI1516" s="96" t="str">
        <f>+VLOOKUP(H1516,Liste!$B$7:$G$50,5,FALSE)</f>
        <v>Guide chênaie atlantique</v>
      </c>
      <c r="BJ1516" s="135">
        <f t="shared" si="456"/>
        <v>130</v>
      </c>
      <c r="BK1516" s="135" t="str">
        <f t="shared" si="458"/>
        <v>Chêne sessile_F1_Classique_Guide chênaie atlantique_130_</v>
      </c>
      <c r="BM1516" s="13">
        <v>126.83298856841201</v>
      </c>
      <c r="BN1516" s="13">
        <v>663.03111805585399</v>
      </c>
      <c r="BO1516" s="13">
        <v>90.331601620625975</v>
      </c>
      <c r="BP1516" s="13">
        <v>453.22050465958398</v>
      </c>
      <c r="BQ1516" s="13">
        <v>12.323963751547099</v>
      </c>
      <c r="BT1516" s="298" t="str">
        <f>+VLOOKUP(G1516,Liste!$A$7:$H$50,8,FALSE)</f>
        <v>Feuillus</v>
      </c>
      <c r="BU1516" s="298">
        <f t="shared" si="459"/>
        <v>1</v>
      </c>
      <c r="BV1516" s="300">
        <f t="shared" si="460"/>
        <v>0</v>
      </c>
      <c r="BW1516" s="321">
        <v>0</v>
      </c>
      <c r="BX1516" s="298">
        <f t="shared" si="461"/>
        <v>0.25</v>
      </c>
      <c r="BY1516">
        <f t="shared" si="462"/>
        <v>0</v>
      </c>
      <c r="BZ1516" s="304">
        <f t="shared" si="463"/>
        <v>0</v>
      </c>
      <c r="CB1516" s="299">
        <v>0.6</v>
      </c>
      <c r="CC1516" s="299">
        <v>0.4</v>
      </c>
      <c r="CD1516">
        <f t="shared" si="464"/>
        <v>0</v>
      </c>
      <c r="CE1516">
        <f t="shared" si="465"/>
        <v>0</v>
      </c>
      <c r="CF1516">
        <f t="shared" si="466"/>
        <v>0</v>
      </c>
      <c r="CG1516">
        <f t="shared" si="467"/>
        <v>0</v>
      </c>
      <c r="CH1516">
        <f t="shared" si="468"/>
        <v>0</v>
      </c>
      <c r="CI1516">
        <f t="shared" si="469"/>
        <v>0</v>
      </c>
      <c r="CJ1516">
        <f t="shared" si="470"/>
        <v>0</v>
      </c>
      <c r="CK1516">
        <f t="shared" si="471"/>
        <v>0</v>
      </c>
      <c r="CL1516">
        <f t="shared" si="472"/>
        <v>0</v>
      </c>
      <c r="CM1516">
        <f t="shared" si="474"/>
        <v>0</v>
      </c>
      <c r="CN1516">
        <f t="shared" si="473"/>
        <v>0</v>
      </c>
      <c r="CO1516">
        <f t="shared" si="457"/>
        <v>0</v>
      </c>
    </row>
    <row r="1517" spans="1:93" x14ac:dyDescent="0.25">
      <c r="A1517" s="4">
        <v>2021</v>
      </c>
      <c r="B1517" s="318">
        <v>44361</v>
      </c>
      <c r="C1517" s="4" t="s">
        <v>66</v>
      </c>
      <c r="D1517" s="4" t="s">
        <v>1525</v>
      </c>
      <c r="E1517" s="4" t="s">
        <v>87</v>
      </c>
      <c r="F1517" s="4" t="s">
        <v>90</v>
      </c>
      <c r="G1517" s="5" t="s">
        <v>17</v>
      </c>
      <c r="H1517" s="5" t="s">
        <v>20</v>
      </c>
      <c r="I1517" s="5" t="s">
        <v>18</v>
      </c>
      <c r="J1517" s="5" t="s">
        <v>9</v>
      </c>
      <c r="K1517" s="5">
        <v>21.5</v>
      </c>
      <c r="L1517" s="5" t="s">
        <v>1529</v>
      </c>
      <c r="M1517" s="5">
        <v>1666</v>
      </c>
      <c r="N1517" s="5" t="s">
        <v>170</v>
      </c>
      <c r="O1517" s="6" t="s">
        <v>81</v>
      </c>
      <c r="P1517" s="6" t="s">
        <v>1505</v>
      </c>
      <c r="S1517" s="6">
        <v>34</v>
      </c>
      <c r="T1517" s="6">
        <v>16.2</v>
      </c>
      <c r="U1517" s="6">
        <v>1451</v>
      </c>
      <c r="V1517" s="6">
        <v>23.57</v>
      </c>
      <c r="W1517" s="6">
        <v>44</v>
      </c>
      <c r="X1517" s="6">
        <v>444</v>
      </c>
      <c r="Y1517" s="6">
        <v>742</v>
      </c>
      <c r="Z1517" s="6">
        <v>211</v>
      </c>
      <c r="AA1517" s="6">
        <v>10</v>
      </c>
      <c r="AB1517" s="6">
        <v>0</v>
      </c>
      <c r="AC1517" s="7">
        <v>133</v>
      </c>
      <c r="AD1517" s="7" t="s">
        <v>52</v>
      </c>
      <c r="AE1517" s="7">
        <v>37.5</v>
      </c>
      <c r="AF1517" s="7">
        <v>77</v>
      </c>
      <c r="AG1517" s="7">
        <v>27.02</v>
      </c>
      <c r="AH1517" s="7">
        <v>66.84</v>
      </c>
      <c r="AI1517" s="7">
        <v>66.84</v>
      </c>
      <c r="AJ1517" s="9">
        <v>507.92653781843501</v>
      </c>
      <c r="AK1517" s="9">
        <v>560.87040313513899</v>
      </c>
      <c r="AL1517" s="9">
        <v>592.28048976452806</v>
      </c>
      <c r="AM1517" s="9">
        <v>86.597618543912105</v>
      </c>
      <c r="AN1517" s="9">
        <v>0.65110991386400097</v>
      </c>
      <c r="AO1517" s="9">
        <v>0.39956221024574701</v>
      </c>
      <c r="AP1517" s="9">
        <v>1497.6111176536599</v>
      </c>
      <c r="AQ1517" s="9">
        <v>11.260233967320801</v>
      </c>
      <c r="AR1517" s="9">
        <v>11.181147230019301</v>
      </c>
      <c r="AS1517" s="8" t="s">
        <v>169</v>
      </c>
      <c r="AT1517" s="8" t="s">
        <v>169</v>
      </c>
      <c r="AU1517" s="10" t="s">
        <v>169</v>
      </c>
      <c r="AV1517" s="10">
        <v>0</v>
      </c>
      <c r="AX1517" s="10" t="s">
        <v>169</v>
      </c>
      <c r="BF1517" s="12">
        <v>0.55000000000000004</v>
      </c>
      <c r="BG1517" s="13">
        <v>567.35535248693805</v>
      </c>
      <c r="BH1517" s="96" t="str">
        <f>+VLOOKUP(G1517,Liste!$A$7:$G$50,3,FALSE)</f>
        <v>Chêne sessile</v>
      </c>
      <c r="BI1517" s="96" t="str">
        <f>+VLOOKUP(H1517,Liste!$B$7:$G$50,5,FALSE)</f>
        <v>Guide chênaie atlantique</v>
      </c>
      <c r="BJ1517" s="135">
        <f t="shared" si="456"/>
        <v>133</v>
      </c>
      <c r="BK1517" s="135" t="str">
        <f t="shared" si="458"/>
        <v>Chêne sessile_F1_Classique_Guide chênaie atlantique_133_</v>
      </c>
      <c r="BM1517" s="13">
        <v>133.32353239188899</v>
      </c>
      <c r="BN1517" s="13">
        <v>700.67888487882703</v>
      </c>
      <c r="BO1517" s="13" t="s">
        <v>169</v>
      </c>
      <c r="BP1517" s="13">
        <v>453.22050465958398</v>
      </c>
      <c r="BQ1517" s="13">
        <v>12.7043328199471</v>
      </c>
      <c r="BT1517" s="298" t="str">
        <f>+VLOOKUP(G1517,Liste!$A$7:$H$50,8,FALSE)</f>
        <v>Feuillus</v>
      </c>
      <c r="BU1517" s="298">
        <f t="shared" si="459"/>
        <v>1</v>
      </c>
      <c r="BV1517" s="300">
        <f t="shared" si="460"/>
        <v>0</v>
      </c>
      <c r="BW1517" s="321">
        <v>0</v>
      </c>
      <c r="BX1517" s="298">
        <f t="shared" si="461"/>
        <v>0.25</v>
      </c>
      <c r="BY1517">
        <f t="shared" si="462"/>
        <v>0</v>
      </c>
      <c r="BZ1517" s="304">
        <f t="shared" si="463"/>
        <v>0</v>
      </c>
      <c r="CB1517" s="299">
        <v>0.6</v>
      </c>
      <c r="CC1517" s="299">
        <v>0.4</v>
      </c>
      <c r="CD1517">
        <f t="shared" si="464"/>
        <v>0</v>
      </c>
      <c r="CE1517">
        <f t="shared" si="465"/>
        <v>0</v>
      </c>
      <c r="CF1517">
        <f t="shared" si="466"/>
        <v>0</v>
      </c>
      <c r="CG1517">
        <f t="shared" si="467"/>
        <v>0</v>
      </c>
      <c r="CH1517">
        <f t="shared" si="468"/>
        <v>0</v>
      </c>
      <c r="CI1517">
        <f t="shared" si="469"/>
        <v>0</v>
      </c>
      <c r="CJ1517">
        <f t="shared" si="470"/>
        <v>0</v>
      </c>
      <c r="CK1517">
        <f t="shared" si="471"/>
        <v>0</v>
      </c>
      <c r="CL1517">
        <f t="shared" si="472"/>
        <v>0</v>
      </c>
      <c r="CM1517">
        <f t="shared" si="474"/>
        <v>0</v>
      </c>
      <c r="CN1517">
        <f t="shared" si="473"/>
        <v>0</v>
      </c>
      <c r="CO1517">
        <f t="shared" si="457"/>
        <v>0</v>
      </c>
    </row>
    <row r="1518" spans="1:93" x14ac:dyDescent="0.25">
      <c r="A1518" s="4">
        <v>2021</v>
      </c>
      <c r="B1518" s="318">
        <v>44361</v>
      </c>
      <c r="C1518" s="4" t="s">
        <v>66</v>
      </c>
      <c r="D1518" s="4" t="s">
        <v>1525</v>
      </c>
      <c r="E1518" s="4" t="s">
        <v>87</v>
      </c>
      <c r="F1518" s="4" t="s">
        <v>90</v>
      </c>
      <c r="G1518" s="5" t="s">
        <v>17</v>
      </c>
      <c r="H1518" s="5" t="s">
        <v>20</v>
      </c>
      <c r="I1518" s="5" t="s">
        <v>18</v>
      </c>
      <c r="J1518" s="5" t="s">
        <v>9</v>
      </c>
      <c r="K1518" s="5">
        <v>21.5</v>
      </c>
      <c r="L1518" s="5" t="s">
        <v>1529</v>
      </c>
      <c r="M1518" s="5">
        <v>1666</v>
      </c>
      <c r="N1518" s="5" t="s">
        <v>170</v>
      </c>
      <c r="O1518" s="6" t="s">
        <v>81</v>
      </c>
      <c r="P1518" s="6" t="s">
        <v>1505</v>
      </c>
      <c r="S1518" s="6">
        <v>34</v>
      </c>
      <c r="T1518" s="6">
        <v>16.2</v>
      </c>
      <c r="U1518" s="6">
        <v>1451</v>
      </c>
      <c r="V1518" s="6">
        <v>23.57</v>
      </c>
      <c r="W1518" s="6">
        <v>44</v>
      </c>
      <c r="X1518" s="6">
        <v>444</v>
      </c>
      <c r="Y1518" s="6">
        <v>742</v>
      </c>
      <c r="Z1518" s="6">
        <v>211</v>
      </c>
      <c r="AA1518" s="6">
        <v>10</v>
      </c>
      <c r="AB1518" s="6">
        <v>0</v>
      </c>
      <c r="AC1518" s="7">
        <v>136</v>
      </c>
      <c r="AD1518" s="7" t="s">
        <v>52</v>
      </c>
      <c r="AE1518" s="7">
        <v>37.94</v>
      </c>
      <c r="AF1518" s="7">
        <v>77</v>
      </c>
      <c r="AG1518" s="7">
        <v>28.22</v>
      </c>
      <c r="AH1518" s="7">
        <v>68.31</v>
      </c>
      <c r="AI1518" s="7">
        <v>68.31</v>
      </c>
      <c r="AJ1518" s="9">
        <v>537.01496159871795</v>
      </c>
      <c r="AK1518" s="9">
        <v>593.15573426746698</v>
      </c>
      <c r="AL1518" s="9">
        <v>625.82393145458605</v>
      </c>
      <c r="AM1518" s="9">
        <v>87.796305174649405</v>
      </c>
      <c r="AN1518" s="9">
        <v>0.645561067460657</v>
      </c>
      <c r="AO1518" s="9">
        <v>0.39956496175730999</v>
      </c>
      <c r="AP1518" s="9">
        <v>1531.1545593437199</v>
      </c>
      <c r="AQ1518" s="9">
        <v>11.2584894069391</v>
      </c>
      <c r="AR1518" s="9">
        <v>11.308813620484701</v>
      </c>
      <c r="AS1518" s="8" t="s">
        <v>169</v>
      </c>
      <c r="AT1518" s="8" t="s">
        <v>169</v>
      </c>
      <c r="AU1518" s="10" t="s">
        <v>169</v>
      </c>
      <c r="AV1518" s="10">
        <v>0</v>
      </c>
      <c r="AX1518" s="10" t="s">
        <v>169</v>
      </c>
      <c r="BF1518" s="12">
        <v>0.55000000000000004</v>
      </c>
      <c r="BG1518" s="13">
        <v>599.48717433920604</v>
      </c>
      <c r="BH1518" s="96" t="str">
        <f>+VLOOKUP(G1518,Liste!$A$7:$G$50,3,FALSE)</f>
        <v>Chêne sessile</v>
      </c>
      <c r="BI1518" s="96" t="str">
        <f>+VLOOKUP(H1518,Liste!$B$7:$G$50,5,FALSE)</f>
        <v>Guide chênaie atlantique</v>
      </c>
      <c r="BJ1518" s="135">
        <f t="shared" si="456"/>
        <v>136</v>
      </c>
      <c r="BK1518" s="135" t="str">
        <f t="shared" si="458"/>
        <v>Chêne sessile_F1_Classique_Guide chênaie atlantique_136_</v>
      </c>
      <c r="BM1518" s="13">
        <v>139.97378670126599</v>
      </c>
      <c r="BN1518" s="13">
        <v>739.46096104047103</v>
      </c>
      <c r="BO1518" s="13" t="s">
        <v>169</v>
      </c>
      <c r="BP1518" s="13">
        <v>453.22050465958398</v>
      </c>
      <c r="BQ1518" s="13">
        <v>12.8433767904723</v>
      </c>
      <c r="BT1518" s="298" t="str">
        <f>+VLOOKUP(G1518,Liste!$A$7:$H$50,8,FALSE)</f>
        <v>Feuillus</v>
      </c>
      <c r="BU1518" s="298">
        <f t="shared" si="459"/>
        <v>1</v>
      </c>
      <c r="BV1518" s="300">
        <f t="shared" si="460"/>
        <v>0</v>
      </c>
      <c r="BW1518" s="321">
        <v>0</v>
      </c>
      <c r="BX1518" s="298">
        <f t="shared" si="461"/>
        <v>0.25</v>
      </c>
      <c r="BY1518">
        <f t="shared" si="462"/>
        <v>0</v>
      </c>
      <c r="BZ1518" s="304">
        <f t="shared" si="463"/>
        <v>0</v>
      </c>
      <c r="CB1518" s="299">
        <v>0.6</v>
      </c>
      <c r="CC1518" s="299">
        <v>0.4</v>
      </c>
      <c r="CD1518">
        <f t="shared" si="464"/>
        <v>0</v>
      </c>
      <c r="CE1518">
        <f t="shared" si="465"/>
        <v>0</v>
      </c>
      <c r="CF1518">
        <f t="shared" si="466"/>
        <v>0</v>
      </c>
      <c r="CG1518">
        <f t="shared" si="467"/>
        <v>0</v>
      </c>
      <c r="CH1518">
        <f t="shared" si="468"/>
        <v>0</v>
      </c>
      <c r="CI1518">
        <f t="shared" si="469"/>
        <v>0</v>
      </c>
      <c r="CJ1518">
        <f t="shared" si="470"/>
        <v>0</v>
      </c>
      <c r="CK1518">
        <f t="shared" si="471"/>
        <v>0</v>
      </c>
      <c r="CL1518">
        <f t="shared" si="472"/>
        <v>0</v>
      </c>
      <c r="CM1518">
        <f t="shared" si="474"/>
        <v>0</v>
      </c>
      <c r="CN1518">
        <f t="shared" si="473"/>
        <v>0</v>
      </c>
      <c r="CO1518">
        <f t="shared" si="457"/>
        <v>0</v>
      </c>
    </row>
    <row r="1519" spans="1:93" x14ac:dyDescent="0.25">
      <c r="A1519" s="4">
        <v>2021</v>
      </c>
      <c r="B1519" s="318">
        <v>44361</v>
      </c>
      <c r="C1519" s="4" t="s">
        <v>66</v>
      </c>
      <c r="D1519" s="4" t="s">
        <v>1525</v>
      </c>
      <c r="E1519" s="4" t="s">
        <v>87</v>
      </c>
      <c r="F1519" s="4" t="s">
        <v>90</v>
      </c>
      <c r="G1519" s="5" t="s">
        <v>17</v>
      </c>
      <c r="H1519" s="5" t="s">
        <v>20</v>
      </c>
      <c r="I1519" s="5" t="s">
        <v>18</v>
      </c>
      <c r="J1519" s="5" t="s">
        <v>9</v>
      </c>
      <c r="K1519" s="5">
        <v>21.5</v>
      </c>
      <c r="L1519" s="5" t="s">
        <v>1529</v>
      </c>
      <c r="M1519" s="5">
        <v>1666</v>
      </c>
      <c r="N1519" s="5" t="s">
        <v>170</v>
      </c>
      <c r="O1519" s="6" t="s">
        <v>81</v>
      </c>
      <c r="P1519" s="6" t="s">
        <v>1505</v>
      </c>
      <c r="S1519" s="6">
        <v>34</v>
      </c>
      <c r="T1519" s="6">
        <v>16.2</v>
      </c>
      <c r="U1519" s="6">
        <v>1451</v>
      </c>
      <c r="V1519" s="6">
        <v>23.57</v>
      </c>
      <c r="W1519" s="6">
        <v>44</v>
      </c>
      <c r="X1519" s="6">
        <v>444</v>
      </c>
      <c r="Y1519" s="6">
        <v>742</v>
      </c>
      <c r="Z1519" s="6">
        <v>211</v>
      </c>
      <c r="AA1519" s="6">
        <v>10</v>
      </c>
      <c r="AB1519" s="6">
        <v>0</v>
      </c>
      <c r="AC1519" s="7">
        <v>140</v>
      </c>
      <c r="AD1519" s="7" t="s">
        <v>52</v>
      </c>
      <c r="AE1519" s="7">
        <v>38.520000000000003</v>
      </c>
      <c r="AF1519" s="7">
        <v>77</v>
      </c>
      <c r="AG1519" s="7">
        <v>29.82</v>
      </c>
      <c r="AH1519" s="7">
        <v>70.22</v>
      </c>
      <c r="AI1519" s="7">
        <v>70.22</v>
      </c>
      <c r="AJ1519" s="9">
        <v>576.24423825618703</v>
      </c>
      <c r="AK1519" s="9">
        <v>636.71817209169501</v>
      </c>
      <c r="AL1519" s="9">
        <v>671.05918593652495</v>
      </c>
      <c r="AM1519" s="9">
        <v>89.394565021678602</v>
      </c>
      <c r="AN1519" s="9">
        <v>0.638532607297705</v>
      </c>
      <c r="AO1519" s="9">
        <v>0.38633903209128601</v>
      </c>
      <c r="AP1519" s="9">
        <v>1576.38981382566</v>
      </c>
      <c r="AQ1519" s="9">
        <v>11.2599272416119</v>
      </c>
      <c r="AR1519" s="9">
        <v>11.009018746630799</v>
      </c>
      <c r="AS1519" s="8" t="s">
        <v>169</v>
      </c>
      <c r="AT1519" s="8" t="s">
        <v>169</v>
      </c>
      <c r="AU1519" s="10" t="s">
        <v>169</v>
      </c>
      <c r="AV1519" s="10">
        <v>0</v>
      </c>
      <c r="AX1519" s="10" t="s">
        <v>169</v>
      </c>
      <c r="BF1519" s="12">
        <v>0.55000000000000004</v>
      </c>
      <c r="BG1519" s="13">
        <v>642.81877852836305</v>
      </c>
      <c r="BH1519" s="96" t="str">
        <f>+VLOOKUP(G1519,Liste!$A$7:$G$50,3,FALSE)</f>
        <v>Chêne sessile</v>
      </c>
      <c r="BI1519" s="96" t="str">
        <f>+VLOOKUP(H1519,Liste!$B$7:$G$50,5,FALSE)</f>
        <v>Guide chênaie atlantique</v>
      </c>
      <c r="BJ1519" s="135">
        <f t="shared" si="456"/>
        <v>140</v>
      </c>
      <c r="BK1519" s="135" t="str">
        <f t="shared" si="458"/>
        <v>Chêne sessile_F1_Classique_Guide chênaie atlantique_140_</v>
      </c>
      <c r="BM1519" s="13">
        <v>148.876943139769</v>
      </c>
      <c r="BN1519" s="13">
        <v>791.69572166813202</v>
      </c>
      <c r="BO1519" s="13" t="s">
        <v>169</v>
      </c>
      <c r="BP1519" s="13">
        <v>453.22050465958398</v>
      </c>
      <c r="BQ1519" s="13">
        <v>12.4972382784758</v>
      </c>
      <c r="BT1519" s="298" t="str">
        <f>+VLOOKUP(G1519,Liste!$A$7:$H$50,8,FALSE)</f>
        <v>Feuillus</v>
      </c>
      <c r="BU1519" s="298">
        <f t="shared" si="459"/>
        <v>1</v>
      </c>
      <c r="BV1519" s="300">
        <f t="shared" si="460"/>
        <v>0</v>
      </c>
      <c r="BW1519" s="321">
        <v>0</v>
      </c>
      <c r="BX1519" s="298">
        <f t="shared" si="461"/>
        <v>0.25</v>
      </c>
      <c r="BY1519">
        <f t="shared" si="462"/>
        <v>0</v>
      </c>
      <c r="BZ1519" s="304">
        <f t="shared" si="463"/>
        <v>0</v>
      </c>
      <c r="CB1519" s="299">
        <v>0.6</v>
      </c>
      <c r="CC1519" s="299">
        <v>0.4</v>
      </c>
      <c r="CD1519">
        <f t="shared" si="464"/>
        <v>0</v>
      </c>
      <c r="CE1519">
        <f t="shared" si="465"/>
        <v>0</v>
      </c>
      <c r="CF1519">
        <f t="shared" si="466"/>
        <v>0</v>
      </c>
      <c r="CG1519">
        <f t="shared" si="467"/>
        <v>0</v>
      </c>
      <c r="CH1519">
        <f t="shared" si="468"/>
        <v>0</v>
      </c>
      <c r="CI1519">
        <f t="shared" si="469"/>
        <v>0</v>
      </c>
      <c r="CJ1519">
        <f t="shared" si="470"/>
        <v>0</v>
      </c>
      <c r="CK1519">
        <f t="shared" si="471"/>
        <v>0</v>
      </c>
      <c r="CL1519">
        <f t="shared" si="472"/>
        <v>0</v>
      </c>
      <c r="CM1519">
        <f t="shared" si="474"/>
        <v>0</v>
      </c>
      <c r="CN1519">
        <f t="shared" si="473"/>
        <v>0</v>
      </c>
      <c r="CO1519">
        <f t="shared" si="457"/>
        <v>0</v>
      </c>
    </row>
    <row r="1520" spans="1:93" x14ac:dyDescent="0.25">
      <c r="A1520" s="4">
        <v>2021</v>
      </c>
      <c r="B1520" s="318">
        <v>44361</v>
      </c>
      <c r="C1520" s="4" t="s">
        <v>66</v>
      </c>
      <c r="D1520" s="4" t="s">
        <v>1525</v>
      </c>
      <c r="E1520" s="4" t="s">
        <v>87</v>
      </c>
      <c r="F1520" s="4" t="s">
        <v>90</v>
      </c>
      <c r="G1520" s="5" t="s">
        <v>17</v>
      </c>
      <c r="H1520" s="5" t="s">
        <v>20</v>
      </c>
      <c r="I1520" s="5" t="s">
        <v>18</v>
      </c>
      <c r="J1520" s="5" t="s">
        <v>9</v>
      </c>
      <c r="K1520" s="5">
        <v>21.5</v>
      </c>
      <c r="L1520" s="5" t="s">
        <v>1529</v>
      </c>
      <c r="M1520" s="5">
        <v>1666</v>
      </c>
      <c r="N1520" s="5" t="s">
        <v>170</v>
      </c>
      <c r="O1520" s="6" t="s">
        <v>81</v>
      </c>
      <c r="P1520" s="6" t="s">
        <v>1505</v>
      </c>
      <c r="S1520" s="6">
        <v>34</v>
      </c>
      <c r="T1520" s="6">
        <v>16.2</v>
      </c>
      <c r="U1520" s="6">
        <v>1451</v>
      </c>
      <c r="V1520" s="6">
        <v>23.57</v>
      </c>
      <c r="W1520" s="6">
        <v>44</v>
      </c>
      <c r="X1520" s="6">
        <v>444</v>
      </c>
      <c r="Y1520" s="6">
        <v>742</v>
      </c>
      <c r="Z1520" s="6">
        <v>211</v>
      </c>
      <c r="AA1520" s="6">
        <v>10</v>
      </c>
      <c r="AB1520" s="6">
        <v>0</v>
      </c>
      <c r="AC1520" s="7">
        <v>140</v>
      </c>
      <c r="AD1520" s="7" t="s">
        <v>53</v>
      </c>
      <c r="AE1520" s="7">
        <v>38.520000000000003</v>
      </c>
      <c r="AF1520" s="7">
        <v>67</v>
      </c>
      <c r="AG1520" s="7">
        <v>26.34</v>
      </c>
      <c r="AH1520" s="7">
        <v>70.75</v>
      </c>
      <c r="AI1520" s="7">
        <v>70.75</v>
      </c>
      <c r="AJ1520" s="9">
        <v>509.15585607863699</v>
      </c>
      <c r="AK1520" s="9">
        <v>563.00497949270698</v>
      </c>
      <c r="AL1520" s="9">
        <v>593.33584065831405</v>
      </c>
      <c r="AM1520" s="9">
        <v>89.394565021678602</v>
      </c>
      <c r="AN1520" s="9">
        <v>0.638532607297705</v>
      </c>
      <c r="AO1520" s="9">
        <v>0.38633903209128601</v>
      </c>
      <c r="AP1520" s="9">
        <v>1576.38981382566</v>
      </c>
      <c r="AQ1520" s="9">
        <v>11.2599272416119</v>
      </c>
      <c r="AR1520" s="9">
        <v>11.009018746630799</v>
      </c>
      <c r="AS1520" s="8">
        <v>10</v>
      </c>
      <c r="AT1520" s="8">
        <v>3.4800000000000004</v>
      </c>
      <c r="AU1520" s="10">
        <v>66.564807636455825</v>
      </c>
      <c r="AV1520" s="10">
        <v>67.088382177550045</v>
      </c>
      <c r="AW1520" s="8">
        <v>0.9</v>
      </c>
      <c r="AX1520" s="10">
        <v>6.7088382177550043</v>
      </c>
      <c r="BF1520" s="12">
        <v>0.55000000000000004</v>
      </c>
      <c r="BG1520" s="13">
        <v>568.36629069727701</v>
      </c>
      <c r="BH1520" s="96" t="str">
        <f>+VLOOKUP(G1520,Liste!$A$7:$G$50,3,FALSE)</f>
        <v>Chêne sessile</v>
      </c>
      <c r="BI1520" s="96" t="str">
        <f>+VLOOKUP(H1520,Liste!$B$7:$G$50,5,FALSE)</f>
        <v>Guide chênaie atlantique</v>
      </c>
      <c r="BJ1520" s="135">
        <f t="shared" si="456"/>
        <v>140</v>
      </c>
      <c r="BK1520" s="135" t="str">
        <f t="shared" si="458"/>
        <v>Chêne sessile_F1_Classique_Guide chênaie atlantique_140_</v>
      </c>
      <c r="BM1520" s="13">
        <v>133.533420080121</v>
      </c>
      <c r="BN1520" s="13">
        <v>701.89971077739699</v>
      </c>
      <c r="BO1520" s="13">
        <v>89.796010890735033</v>
      </c>
      <c r="BP1520" s="13">
        <v>453.22050465958398</v>
      </c>
      <c r="BQ1520" s="13">
        <v>12.4972382784758</v>
      </c>
      <c r="BT1520" s="298" t="str">
        <f>+VLOOKUP(G1520,Liste!$A$7:$H$50,8,FALSE)</f>
        <v>Feuillus</v>
      </c>
      <c r="BU1520" s="298">
        <f t="shared" si="459"/>
        <v>1</v>
      </c>
      <c r="BV1520" s="300">
        <f t="shared" si="460"/>
        <v>0</v>
      </c>
      <c r="BW1520" s="321">
        <v>0</v>
      </c>
      <c r="BX1520" s="298">
        <f t="shared" si="461"/>
        <v>0.25</v>
      </c>
      <c r="BY1520">
        <f t="shared" si="462"/>
        <v>0</v>
      </c>
      <c r="BZ1520" s="304">
        <f t="shared" si="463"/>
        <v>0</v>
      </c>
      <c r="CB1520" s="299">
        <v>0.6</v>
      </c>
      <c r="CC1520" s="299">
        <v>0.4</v>
      </c>
      <c r="CD1520">
        <f t="shared" si="464"/>
        <v>0</v>
      </c>
      <c r="CE1520">
        <f t="shared" si="465"/>
        <v>0</v>
      </c>
      <c r="CF1520">
        <f t="shared" si="466"/>
        <v>0</v>
      </c>
      <c r="CG1520">
        <f t="shared" si="467"/>
        <v>0</v>
      </c>
      <c r="CH1520">
        <f t="shared" si="468"/>
        <v>0</v>
      </c>
      <c r="CI1520">
        <f t="shared" si="469"/>
        <v>0</v>
      </c>
      <c r="CJ1520">
        <f t="shared" si="470"/>
        <v>0</v>
      </c>
      <c r="CK1520">
        <f t="shared" si="471"/>
        <v>0</v>
      </c>
      <c r="CL1520">
        <f t="shared" si="472"/>
        <v>0</v>
      </c>
      <c r="CM1520">
        <f t="shared" si="474"/>
        <v>0</v>
      </c>
      <c r="CN1520">
        <f t="shared" si="473"/>
        <v>0</v>
      </c>
      <c r="CO1520">
        <f t="shared" si="457"/>
        <v>0</v>
      </c>
    </row>
    <row r="1521" spans="1:93" x14ac:dyDescent="0.25">
      <c r="A1521" s="4">
        <v>2021</v>
      </c>
      <c r="B1521" s="318">
        <v>44361</v>
      </c>
      <c r="C1521" s="4" t="s">
        <v>66</v>
      </c>
      <c r="D1521" s="4" t="s">
        <v>1525</v>
      </c>
      <c r="E1521" s="4" t="s">
        <v>87</v>
      </c>
      <c r="F1521" s="4" t="s">
        <v>90</v>
      </c>
      <c r="G1521" s="5" t="s">
        <v>17</v>
      </c>
      <c r="H1521" s="5" t="s">
        <v>20</v>
      </c>
      <c r="I1521" s="5" t="s">
        <v>18</v>
      </c>
      <c r="J1521" s="5" t="s">
        <v>9</v>
      </c>
      <c r="K1521" s="5">
        <v>21.5</v>
      </c>
      <c r="L1521" s="5" t="s">
        <v>1529</v>
      </c>
      <c r="M1521" s="5">
        <v>1666</v>
      </c>
      <c r="N1521" s="5" t="s">
        <v>170</v>
      </c>
      <c r="O1521" s="6" t="s">
        <v>81</v>
      </c>
      <c r="P1521" s="6" t="s">
        <v>1505</v>
      </c>
      <c r="S1521" s="6">
        <v>34</v>
      </c>
      <c r="T1521" s="6">
        <v>16.2</v>
      </c>
      <c r="U1521" s="6">
        <v>1451</v>
      </c>
      <c r="V1521" s="6">
        <v>23.57</v>
      </c>
      <c r="W1521" s="6">
        <v>44</v>
      </c>
      <c r="X1521" s="6">
        <v>444</v>
      </c>
      <c r="Y1521" s="6">
        <v>742</v>
      </c>
      <c r="Z1521" s="6">
        <v>211</v>
      </c>
      <c r="AA1521" s="6">
        <v>10</v>
      </c>
      <c r="AB1521" s="6">
        <v>0</v>
      </c>
      <c r="AC1521" s="7">
        <v>143</v>
      </c>
      <c r="AD1521" s="7" t="s">
        <v>52</v>
      </c>
      <c r="AE1521" s="7">
        <v>38.950000000000003</v>
      </c>
      <c r="AF1521" s="7">
        <v>67</v>
      </c>
      <c r="AG1521" s="7">
        <v>27.5</v>
      </c>
      <c r="AH1521" s="7">
        <v>72.290000000000006</v>
      </c>
      <c r="AI1521" s="7">
        <v>72.290000000000006</v>
      </c>
      <c r="AJ1521" s="9">
        <v>537.73709670608298</v>
      </c>
      <c r="AK1521" s="9">
        <v>594.81941099540495</v>
      </c>
      <c r="AL1521" s="9">
        <v>626.36289689820705</v>
      </c>
      <c r="AM1521" s="9">
        <v>90.553582117952502</v>
      </c>
      <c r="AN1521" s="9">
        <v>0.633241832992675</v>
      </c>
      <c r="AO1521" s="9">
        <v>0.38781812794651699</v>
      </c>
      <c r="AP1521" s="9">
        <v>1609.41687006555</v>
      </c>
      <c r="AQ1521" s="9">
        <v>11.254663427031799</v>
      </c>
      <c r="AR1521" s="9">
        <v>11.221874559306</v>
      </c>
      <c r="AS1521" s="8" t="s">
        <v>169</v>
      </c>
      <c r="AT1521" s="8" t="s">
        <v>169</v>
      </c>
      <c r="AU1521" s="10" t="s">
        <v>169</v>
      </c>
      <c r="AV1521" s="10">
        <v>0</v>
      </c>
      <c r="AX1521" s="10" t="s">
        <v>169</v>
      </c>
      <c r="BF1521" s="12">
        <v>0.55000000000000004</v>
      </c>
      <c r="BG1521" s="13">
        <v>600.00345832040705</v>
      </c>
      <c r="BH1521" s="96" t="str">
        <f>+VLOOKUP(G1521,Liste!$A$7:$G$50,3,FALSE)</f>
        <v>Chêne sessile</v>
      </c>
      <c r="BI1521" s="96" t="str">
        <f>+VLOOKUP(H1521,Liste!$B$7:$G$50,5,FALSE)</f>
        <v>Guide chênaie atlantique</v>
      </c>
      <c r="BJ1521" s="135">
        <f t="shared" si="456"/>
        <v>143</v>
      </c>
      <c r="BK1521" s="135" t="str">
        <f t="shared" si="458"/>
        <v>Chêne sessile_F1_Classique_Guide chênaie atlantique_143_</v>
      </c>
      <c r="BM1521" s="13">
        <v>140.080296462652</v>
      </c>
      <c r="BN1521" s="13">
        <v>740.08375478305902</v>
      </c>
      <c r="BO1521" s="13" t="s">
        <v>169</v>
      </c>
      <c r="BP1521" s="13">
        <v>453.22050465958398</v>
      </c>
      <c r="BQ1521" s="13">
        <v>12.734076832023799</v>
      </c>
      <c r="BT1521" s="298" t="str">
        <f>+VLOOKUP(G1521,Liste!$A$7:$H$50,8,FALSE)</f>
        <v>Feuillus</v>
      </c>
      <c r="BU1521" s="298">
        <f t="shared" si="459"/>
        <v>1</v>
      </c>
      <c r="BV1521" s="300">
        <f t="shared" si="460"/>
        <v>0</v>
      </c>
      <c r="BW1521" s="321">
        <v>0</v>
      </c>
      <c r="BX1521" s="298">
        <f t="shared" si="461"/>
        <v>0.25</v>
      </c>
      <c r="BY1521">
        <f t="shared" si="462"/>
        <v>0</v>
      </c>
      <c r="BZ1521" s="304">
        <f t="shared" si="463"/>
        <v>0</v>
      </c>
      <c r="CB1521" s="299">
        <v>0.6</v>
      </c>
      <c r="CC1521" s="299">
        <v>0.4</v>
      </c>
      <c r="CD1521">
        <f t="shared" si="464"/>
        <v>0</v>
      </c>
      <c r="CE1521">
        <f t="shared" si="465"/>
        <v>0</v>
      </c>
      <c r="CF1521">
        <f t="shared" si="466"/>
        <v>0</v>
      </c>
      <c r="CG1521">
        <f t="shared" si="467"/>
        <v>0</v>
      </c>
      <c r="CH1521">
        <f t="shared" si="468"/>
        <v>0</v>
      </c>
      <c r="CI1521">
        <f t="shared" si="469"/>
        <v>0</v>
      </c>
      <c r="CJ1521">
        <f t="shared" si="470"/>
        <v>0</v>
      </c>
      <c r="CK1521">
        <f t="shared" si="471"/>
        <v>0</v>
      </c>
      <c r="CL1521">
        <f t="shared" si="472"/>
        <v>0</v>
      </c>
      <c r="CM1521">
        <f t="shared" si="474"/>
        <v>0</v>
      </c>
      <c r="CN1521">
        <f t="shared" si="473"/>
        <v>0</v>
      </c>
      <c r="CO1521">
        <f t="shared" si="457"/>
        <v>0</v>
      </c>
    </row>
    <row r="1522" spans="1:93" x14ac:dyDescent="0.25">
      <c r="A1522" s="4">
        <v>2021</v>
      </c>
      <c r="B1522" s="318">
        <v>44361</v>
      </c>
      <c r="C1522" s="4" t="s">
        <v>66</v>
      </c>
      <c r="D1522" s="4" t="s">
        <v>1525</v>
      </c>
      <c r="E1522" s="4" t="s">
        <v>87</v>
      </c>
      <c r="F1522" s="4" t="s">
        <v>90</v>
      </c>
      <c r="G1522" s="5" t="s">
        <v>17</v>
      </c>
      <c r="H1522" s="5" t="s">
        <v>20</v>
      </c>
      <c r="I1522" s="5" t="s">
        <v>18</v>
      </c>
      <c r="J1522" s="5" t="s">
        <v>9</v>
      </c>
      <c r="K1522" s="5">
        <v>21.5</v>
      </c>
      <c r="L1522" s="5" t="s">
        <v>1529</v>
      </c>
      <c r="M1522" s="5">
        <v>1666</v>
      </c>
      <c r="N1522" s="5" t="s">
        <v>170</v>
      </c>
      <c r="O1522" s="6" t="s">
        <v>81</v>
      </c>
      <c r="P1522" s="6" t="s">
        <v>1505</v>
      </c>
      <c r="S1522" s="6">
        <v>34</v>
      </c>
      <c r="T1522" s="6">
        <v>16.2</v>
      </c>
      <c r="U1522" s="6">
        <v>1451</v>
      </c>
      <c r="V1522" s="6">
        <v>23.57</v>
      </c>
      <c r="W1522" s="6">
        <v>44</v>
      </c>
      <c r="X1522" s="6">
        <v>444</v>
      </c>
      <c r="Y1522" s="6">
        <v>742</v>
      </c>
      <c r="Z1522" s="6">
        <v>211</v>
      </c>
      <c r="AA1522" s="6">
        <v>10</v>
      </c>
      <c r="AB1522" s="6">
        <v>0</v>
      </c>
      <c r="AC1522" s="7">
        <v>146</v>
      </c>
      <c r="AD1522" s="7" t="s">
        <v>52</v>
      </c>
      <c r="AE1522" s="7">
        <v>39.380000000000003</v>
      </c>
      <c r="AF1522" s="7">
        <v>67</v>
      </c>
      <c r="AG1522" s="7">
        <v>28.66</v>
      </c>
      <c r="AH1522" s="7">
        <v>73.8</v>
      </c>
      <c r="AI1522" s="7">
        <v>73.8</v>
      </c>
      <c r="AJ1522" s="9">
        <v>566.92103064753599</v>
      </c>
      <c r="AK1522" s="9">
        <v>627.27497265538398</v>
      </c>
      <c r="AL1522" s="9">
        <v>660.02852057612495</v>
      </c>
      <c r="AM1522" s="9">
        <v>91.717036501791995</v>
      </c>
      <c r="AN1522" s="9">
        <v>0.62819888014926095</v>
      </c>
      <c r="AO1522" s="9">
        <v>0.38799134620245801</v>
      </c>
      <c r="AP1522" s="9">
        <v>1643.08249374347</v>
      </c>
      <c r="AQ1522" s="9">
        <v>11.2539896831744</v>
      </c>
      <c r="AR1522" s="9">
        <v>11.421617918178001</v>
      </c>
      <c r="AS1522" s="8" t="s">
        <v>169</v>
      </c>
      <c r="AT1522" s="8" t="s">
        <v>169</v>
      </c>
      <c r="AU1522" s="10" t="s">
        <v>169</v>
      </c>
      <c r="AV1522" s="10">
        <v>0</v>
      </c>
      <c r="AX1522" s="10" t="s">
        <v>169</v>
      </c>
      <c r="BF1522" s="12">
        <v>0.55000000000000004</v>
      </c>
      <c r="BG1522" s="13">
        <v>632.25232033521297</v>
      </c>
      <c r="BH1522" s="96" t="str">
        <f>+VLOOKUP(G1522,Liste!$A$7:$G$50,3,FALSE)</f>
        <v>Chêne sessile</v>
      </c>
      <c r="BI1522" s="96" t="str">
        <f>+VLOOKUP(H1522,Liste!$B$7:$G$50,5,FALSE)</f>
        <v>Guide chênaie atlantique</v>
      </c>
      <c r="BJ1522" s="135">
        <f t="shared" si="456"/>
        <v>146</v>
      </c>
      <c r="BK1522" s="135" t="str">
        <f t="shared" si="458"/>
        <v>Chêne sessile_F1_Classique_Guide chênaie atlantique_146_</v>
      </c>
      <c r="BM1522" s="13">
        <v>146.712521462512</v>
      </c>
      <c r="BN1522" s="13">
        <v>778.96484179772403</v>
      </c>
      <c r="BO1522" s="13" t="s">
        <v>169</v>
      </c>
      <c r="BP1522" s="13">
        <v>453.22050465958398</v>
      </c>
      <c r="BQ1522" s="13">
        <v>12.955081053600001</v>
      </c>
      <c r="BT1522" s="298" t="str">
        <f>+VLOOKUP(G1522,Liste!$A$7:$H$50,8,FALSE)</f>
        <v>Feuillus</v>
      </c>
      <c r="BU1522" s="298">
        <f t="shared" si="459"/>
        <v>1</v>
      </c>
      <c r="BV1522" s="300">
        <f t="shared" si="460"/>
        <v>0</v>
      </c>
      <c r="BW1522" s="321">
        <v>0</v>
      </c>
      <c r="BX1522" s="298">
        <f t="shared" si="461"/>
        <v>0.25</v>
      </c>
      <c r="BY1522">
        <f t="shared" si="462"/>
        <v>0</v>
      </c>
      <c r="BZ1522" s="304">
        <f t="shared" si="463"/>
        <v>0</v>
      </c>
      <c r="CB1522" s="299">
        <v>0.6</v>
      </c>
      <c r="CC1522" s="299">
        <v>0.4</v>
      </c>
      <c r="CD1522">
        <f t="shared" si="464"/>
        <v>0</v>
      </c>
      <c r="CE1522">
        <f t="shared" si="465"/>
        <v>0</v>
      </c>
      <c r="CF1522">
        <f t="shared" si="466"/>
        <v>0</v>
      </c>
      <c r="CG1522">
        <f t="shared" si="467"/>
        <v>0</v>
      </c>
      <c r="CH1522">
        <f t="shared" si="468"/>
        <v>0</v>
      </c>
      <c r="CI1522">
        <f t="shared" si="469"/>
        <v>0</v>
      </c>
      <c r="CJ1522">
        <f t="shared" si="470"/>
        <v>0</v>
      </c>
      <c r="CK1522">
        <f t="shared" si="471"/>
        <v>0</v>
      </c>
      <c r="CL1522">
        <f t="shared" si="472"/>
        <v>0</v>
      </c>
      <c r="CM1522">
        <f t="shared" si="474"/>
        <v>0</v>
      </c>
      <c r="CN1522">
        <f t="shared" si="473"/>
        <v>0</v>
      </c>
      <c r="CO1522">
        <f t="shared" si="457"/>
        <v>0</v>
      </c>
    </row>
    <row r="1523" spans="1:93" x14ac:dyDescent="0.25">
      <c r="A1523" s="4">
        <v>2021</v>
      </c>
      <c r="B1523" s="318">
        <v>44361</v>
      </c>
      <c r="C1523" s="4" t="s">
        <v>66</v>
      </c>
      <c r="D1523" s="4" t="s">
        <v>1525</v>
      </c>
      <c r="E1523" s="4" t="s">
        <v>87</v>
      </c>
      <c r="F1523" s="4" t="s">
        <v>90</v>
      </c>
      <c r="G1523" s="5" t="s">
        <v>17</v>
      </c>
      <c r="H1523" s="5" t="s">
        <v>20</v>
      </c>
      <c r="I1523" s="5" t="s">
        <v>18</v>
      </c>
      <c r="J1523" s="5" t="s">
        <v>9</v>
      </c>
      <c r="K1523" s="5">
        <v>21.5</v>
      </c>
      <c r="L1523" s="5" t="s">
        <v>1529</v>
      </c>
      <c r="M1523" s="5">
        <v>1666</v>
      </c>
      <c r="N1523" s="5" t="s">
        <v>170</v>
      </c>
      <c r="O1523" s="6" t="s">
        <v>81</v>
      </c>
      <c r="P1523" s="6" t="s">
        <v>1505</v>
      </c>
      <c r="S1523" s="6">
        <v>34</v>
      </c>
      <c r="T1523" s="6">
        <v>16.2</v>
      </c>
      <c r="U1523" s="6">
        <v>1451</v>
      </c>
      <c r="V1523" s="6">
        <v>23.57</v>
      </c>
      <c r="W1523" s="6">
        <v>44</v>
      </c>
      <c r="X1523" s="6">
        <v>444</v>
      </c>
      <c r="Y1523" s="6">
        <v>742</v>
      </c>
      <c r="Z1523" s="6">
        <v>211</v>
      </c>
      <c r="AA1523" s="6">
        <v>10</v>
      </c>
      <c r="AB1523" s="6">
        <v>0</v>
      </c>
      <c r="AC1523" s="7">
        <v>150</v>
      </c>
      <c r="AD1523" s="7" t="s">
        <v>52</v>
      </c>
      <c r="AE1523" s="7">
        <v>39.950000000000003</v>
      </c>
      <c r="AF1523" s="7">
        <v>67</v>
      </c>
      <c r="AG1523" s="7">
        <v>30.21</v>
      </c>
      <c r="AH1523" s="7">
        <v>75.77</v>
      </c>
      <c r="AI1523" s="7">
        <v>75.77</v>
      </c>
      <c r="AJ1523" s="9">
        <v>606.60077153586201</v>
      </c>
      <c r="AK1523" s="9">
        <v>671.35745785484801</v>
      </c>
      <c r="AL1523" s="9">
        <v>705.71499224883598</v>
      </c>
      <c r="AM1523" s="9">
        <v>93.269001886601899</v>
      </c>
      <c r="AN1523" s="9">
        <v>0.62179334591067903</v>
      </c>
      <c r="AO1523" s="9">
        <v>0.260293392056823</v>
      </c>
      <c r="AP1523" s="9">
        <v>1688.76896541618</v>
      </c>
      <c r="AQ1523" s="9">
        <v>11.258459769441201</v>
      </c>
      <c r="AR1523" s="9">
        <v>7.35106116198184</v>
      </c>
      <c r="AS1523" s="8" t="s">
        <v>169</v>
      </c>
      <c r="AT1523" s="8" t="s">
        <v>169</v>
      </c>
      <c r="AU1523" s="10" t="s">
        <v>169</v>
      </c>
      <c r="AV1523" s="10">
        <v>0</v>
      </c>
      <c r="AX1523" s="10" t="s">
        <v>169</v>
      </c>
      <c r="BF1523" s="12">
        <v>0.55000000000000004</v>
      </c>
      <c r="BG1523" s="13">
        <v>676.01615299169805</v>
      </c>
      <c r="BH1523" s="96" t="str">
        <f>+VLOOKUP(G1523,Liste!$A$7:$G$50,3,FALSE)</f>
        <v>Chêne sessile</v>
      </c>
      <c r="BI1523" s="96" t="str">
        <f>+VLOOKUP(H1523,Liste!$B$7:$G$50,5,FALSE)</f>
        <v>Guide chênaie atlantique</v>
      </c>
      <c r="BJ1523" s="135">
        <f t="shared" si="456"/>
        <v>150</v>
      </c>
      <c r="BK1523" s="135" t="str">
        <f t="shared" si="458"/>
        <v>Chêne sessile_F1_Classique_Guide chênaie atlantique_150_</v>
      </c>
      <c r="BM1523" s="13">
        <v>155.65048041533399</v>
      </c>
      <c r="BN1523" s="13">
        <v>831.66663340703201</v>
      </c>
      <c r="BO1523" s="13" t="s">
        <v>169</v>
      </c>
      <c r="BP1523" s="13">
        <v>453.22050465958398</v>
      </c>
      <c r="BQ1523" s="13">
        <v>8.3349750127861206</v>
      </c>
      <c r="BT1523" s="298" t="str">
        <f>+VLOOKUP(G1523,Liste!$A$7:$H$50,8,FALSE)</f>
        <v>Feuillus</v>
      </c>
      <c r="BU1523" s="298">
        <f t="shared" si="459"/>
        <v>1</v>
      </c>
      <c r="BV1523" s="300">
        <f t="shared" si="460"/>
        <v>0</v>
      </c>
      <c r="BW1523" s="321">
        <v>0</v>
      </c>
      <c r="BX1523" s="298">
        <f t="shared" si="461"/>
        <v>0.25</v>
      </c>
      <c r="BY1523">
        <f t="shared" si="462"/>
        <v>0</v>
      </c>
      <c r="BZ1523" s="304">
        <f t="shared" si="463"/>
        <v>0</v>
      </c>
      <c r="CB1523" s="299">
        <v>0.6</v>
      </c>
      <c r="CC1523" s="299">
        <v>0.4</v>
      </c>
      <c r="CD1523">
        <f t="shared" si="464"/>
        <v>0</v>
      </c>
      <c r="CE1523">
        <f t="shared" si="465"/>
        <v>0</v>
      </c>
      <c r="CF1523">
        <f t="shared" si="466"/>
        <v>0</v>
      </c>
      <c r="CG1523">
        <f t="shared" si="467"/>
        <v>0</v>
      </c>
      <c r="CH1523">
        <f t="shared" si="468"/>
        <v>0</v>
      </c>
      <c r="CI1523">
        <f t="shared" si="469"/>
        <v>0</v>
      </c>
      <c r="CJ1523">
        <f t="shared" si="470"/>
        <v>0</v>
      </c>
      <c r="CK1523">
        <f t="shared" si="471"/>
        <v>0</v>
      </c>
      <c r="CL1523">
        <f t="shared" si="472"/>
        <v>0</v>
      </c>
      <c r="CM1523">
        <f t="shared" si="474"/>
        <v>0</v>
      </c>
      <c r="CN1523">
        <f t="shared" si="473"/>
        <v>0</v>
      </c>
      <c r="CO1523">
        <f t="shared" si="457"/>
        <v>0</v>
      </c>
    </row>
    <row r="1524" spans="1:93" x14ac:dyDescent="0.25">
      <c r="A1524" s="4">
        <v>2021</v>
      </c>
      <c r="B1524" s="318">
        <v>44361</v>
      </c>
      <c r="C1524" s="4" t="s">
        <v>66</v>
      </c>
      <c r="D1524" s="4" t="s">
        <v>1525</v>
      </c>
      <c r="E1524" s="4" t="s">
        <v>87</v>
      </c>
      <c r="F1524" s="4" t="s">
        <v>90</v>
      </c>
      <c r="G1524" s="5" t="s">
        <v>17</v>
      </c>
      <c r="H1524" s="5" t="s">
        <v>20</v>
      </c>
      <c r="I1524" s="5" t="s">
        <v>18</v>
      </c>
      <c r="J1524" s="5" t="s">
        <v>9</v>
      </c>
      <c r="K1524" s="5">
        <v>21.5</v>
      </c>
      <c r="L1524" s="5" t="s">
        <v>1529</v>
      </c>
      <c r="M1524" s="5">
        <v>1666</v>
      </c>
      <c r="N1524" s="5" t="s">
        <v>170</v>
      </c>
      <c r="O1524" s="6" t="s">
        <v>81</v>
      </c>
      <c r="P1524" s="6" t="s">
        <v>1505</v>
      </c>
      <c r="S1524" s="6">
        <v>34</v>
      </c>
      <c r="T1524" s="6">
        <v>16.2</v>
      </c>
      <c r="U1524" s="6">
        <v>1451</v>
      </c>
      <c r="V1524" s="6">
        <v>23.57</v>
      </c>
      <c r="W1524" s="6">
        <v>44</v>
      </c>
      <c r="X1524" s="6">
        <v>444</v>
      </c>
      <c r="Y1524" s="6">
        <v>742</v>
      </c>
      <c r="Z1524" s="6">
        <v>211</v>
      </c>
      <c r="AA1524" s="6">
        <v>10</v>
      </c>
      <c r="AB1524" s="6">
        <v>0</v>
      </c>
      <c r="AC1524" s="7">
        <v>150</v>
      </c>
      <c r="AD1524" s="7" t="s">
        <v>53</v>
      </c>
      <c r="AE1524" s="7">
        <v>39.950000000000003</v>
      </c>
      <c r="AF1524" s="7">
        <v>41</v>
      </c>
      <c r="AG1524" s="7">
        <v>18.7</v>
      </c>
      <c r="AH1524" s="7">
        <v>76.2</v>
      </c>
      <c r="AI1524" s="7">
        <v>76.2</v>
      </c>
      <c r="AJ1524" s="9">
        <v>375.35174113568797</v>
      </c>
      <c r="AK1524" s="9">
        <v>415.64040429077698</v>
      </c>
      <c r="AL1524" s="9">
        <v>436.89978852005402</v>
      </c>
      <c r="AM1524" s="9">
        <v>93.269001886601899</v>
      </c>
      <c r="AN1524" s="9">
        <v>0.62179334591067903</v>
      </c>
      <c r="AO1524" s="9">
        <v>0.260293392056823</v>
      </c>
      <c r="AP1524" s="9">
        <v>1688.76896541618</v>
      </c>
      <c r="AQ1524" s="9">
        <v>11.258459769441201</v>
      </c>
      <c r="AR1524" s="9">
        <v>7.35106116198184</v>
      </c>
      <c r="AS1524" s="8">
        <v>26</v>
      </c>
      <c r="AT1524" s="8">
        <v>11.510000000000002</v>
      </c>
      <c r="AU1524" s="10">
        <v>75.076850779978272</v>
      </c>
      <c r="AV1524" s="10">
        <v>231.24903040017404</v>
      </c>
      <c r="AW1524" s="8">
        <v>0.98</v>
      </c>
      <c r="AX1524" s="10">
        <v>8.8941934769297699</v>
      </c>
      <c r="BF1524" s="12">
        <v>0.55000000000000004</v>
      </c>
      <c r="BG1524" s="13">
        <v>418.51358908650099</v>
      </c>
      <c r="BH1524" s="96" t="str">
        <f>+VLOOKUP(G1524,Liste!$A$7:$G$50,3,FALSE)</f>
        <v>Chêne sessile</v>
      </c>
      <c r="BI1524" s="96" t="str">
        <f>+VLOOKUP(H1524,Liste!$B$7:$G$50,5,FALSE)</f>
        <v>Guide chênaie atlantique</v>
      </c>
      <c r="BJ1524" s="135">
        <f t="shared" si="456"/>
        <v>150</v>
      </c>
      <c r="BK1524" s="135" t="str">
        <f t="shared" si="458"/>
        <v>Chêne sessile_F1_Classique_Guide chênaie atlantique_150_</v>
      </c>
      <c r="BM1524" s="13">
        <v>101.89267555212599</v>
      </c>
      <c r="BN1524" s="13">
        <v>520.40626463862804</v>
      </c>
      <c r="BO1524" s="13">
        <v>311.26036876840396</v>
      </c>
      <c r="BP1524" s="13">
        <v>453.22050465958398</v>
      </c>
      <c r="BQ1524" s="13">
        <v>8.3349750127861206</v>
      </c>
      <c r="BT1524" s="298" t="str">
        <f>+VLOOKUP(G1524,Liste!$A$7:$H$50,8,FALSE)</f>
        <v>Feuillus</v>
      </c>
      <c r="BU1524" s="298">
        <f t="shared" si="459"/>
        <v>1</v>
      </c>
      <c r="BV1524" s="300">
        <f t="shared" si="460"/>
        <v>0</v>
      </c>
      <c r="BW1524" s="321">
        <v>0</v>
      </c>
      <c r="BX1524" s="298">
        <f t="shared" si="461"/>
        <v>0.25</v>
      </c>
      <c r="BY1524">
        <f t="shared" si="462"/>
        <v>0</v>
      </c>
      <c r="BZ1524" s="304">
        <f t="shared" si="463"/>
        <v>0</v>
      </c>
      <c r="CB1524" s="299">
        <v>0.6</v>
      </c>
      <c r="CC1524" s="299">
        <v>0.4</v>
      </c>
      <c r="CD1524">
        <f t="shared" si="464"/>
        <v>0</v>
      </c>
      <c r="CE1524">
        <f t="shared" si="465"/>
        <v>0</v>
      </c>
      <c r="CF1524">
        <f t="shared" si="466"/>
        <v>0</v>
      </c>
      <c r="CG1524">
        <f t="shared" si="467"/>
        <v>0</v>
      </c>
      <c r="CH1524">
        <f t="shared" si="468"/>
        <v>0</v>
      </c>
      <c r="CI1524">
        <f t="shared" si="469"/>
        <v>0</v>
      </c>
      <c r="CJ1524">
        <f t="shared" si="470"/>
        <v>0</v>
      </c>
      <c r="CK1524">
        <f t="shared" si="471"/>
        <v>0</v>
      </c>
      <c r="CL1524">
        <f t="shared" si="472"/>
        <v>0</v>
      </c>
      <c r="CM1524">
        <f t="shared" si="474"/>
        <v>0</v>
      </c>
      <c r="CN1524">
        <f t="shared" si="473"/>
        <v>0</v>
      </c>
      <c r="CO1524">
        <f t="shared" si="457"/>
        <v>0</v>
      </c>
    </row>
    <row r="1525" spans="1:93" x14ac:dyDescent="0.25">
      <c r="A1525" s="4">
        <v>2021</v>
      </c>
      <c r="B1525" s="318">
        <v>44361</v>
      </c>
      <c r="C1525" s="4" t="s">
        <v>66</v>
      </c>
      <c r="D1525" s="4" t="s">
        <v>1525</v>
      </c>
      <c r="E1525" s="4" t="s">
        <v>87</v>
      </c>
      <c r="F1525" s="4" t="s">
        <v>90</v>
      </c>
      <c r="G1525" s="5" t="s">
        <v>17</v>
      </c>
      <c r="H1525" s="5" t="s">
        <v>20</v>
      </c>
      <c r="I1525" s="5" t="s">
        <v>18</v>
      </c>
      <c r="J1525" s="5" t="s">
        <v>9</v>
      </c>
      <c r="K1525" s="5">
        <v>21.5</v>
      </c>
      <c r="L1525" s="5" t="s">
        <v>1529</v>
      </c>
      <c r="M1525" s="5">
        <v>1666</v>
      </c>
      <c r="N1525" s="5" t="s">
        <v>170</v>
      </c>
      <c r="O1525" s="6" t="s">
        <v>81</v>
      </c>
      <c r="P1525" s="6" t="s">
        <v>1505</v>
      </c>
      <c r="S1525" s="6">
        <v>34</v>
      </c>
      <c r="T1525" s="6">
        <v>16.2</v>
      </c>
      <c r="U1525" s="6">
        <v>1451</v>
      </c>
      <c r="V1525" s="6">
        <v>23.57</v>
      </c>
      <c r="W1525" s="6">
        <v>44</v>
      </c>
      <c r="X1525" s="6">
        <v>444</v>
      </c>
      <c r="Y1525" s="6">
        <v>742</v>
      </c>
      <c r="Z1525" s="6">
        <v>211</v>
      </c>
      <c r="AA1525" s="6">
        <v>10</v>
      </c>
      <c r="AB1525" s="6">
        <v>0</v>
      </c>
      <c r="AC1525" s="7">
        <v>153</v>
      </c>
      <c r="AD1525" s="7" t="s">
        <v>52</v>
      </c>
      <c r="AE1525" s="7">
        <v>40.270000000000003</v>
      </c>
      <c r="AF1525" s="7">
        <v>41</v>
      </c>
      <c r="AG1525" s="7">
        <v>19.48</v>
      </c>
      <c r="AH1525" s="7">
        <v>77.77</v>
      </c>
      <c r="AI1525" s="7">
        <v>77.77</v>
      </c>
      <c r="AJ1525" s="9">
        <v>394.19847243586702</v>
      </c>
      <c r="AK1525" s="9">
        <v>436.86689986537698</v>
      </c>
      <c r="AL1525" s="9">
        <v>458.95297200599902</v>
      </c>
      <c r="AM1525" s="9">
        <v>94.049882062772298</v>
      </c>
      <c r="AN1525" s="9">
        <v>0.61470511152138796</v>
      </c>
      <c r="AO1525" s="9">
        <v>0.15295749659883501</v>
      </c>
      <c r="AP1525" s="9">
        <v>1710.82214890213</v>
      </c>
      <c r="AQ1525" s="9">
        <v>11.181844110471401</v>
      </c>
      <c r="AR1525" s="9">
        <v>4.2332407076874796</v>
      </c>
      <c r="AS1525" s="8" t="s">
        <v>169</v>
      </c>
      <c r="AT1525" s="8" t="s">
        <v>169</v>
      </c>
      <c r="AU1525" s="10" t="s">
        <v>169</v>
      </c>
      <c r="AV1525" s="10">
        <v>0</v>
      </c>
      <c r="AX1525" s="10" t="s">
        <v>169</v>
      </c>
      <c r="BF1525" s="12">
        <v>0.55000000000000004</v>
      </c>
      <c r="BG1525" s="13">
        <v>439.63870110074703</v>
      </c>
      <c r="BH1525" s="96" t="str">
        <f>+VLOOKUP(G1525,Liste!$A$7:$G$50,3,FALSE)</f>
        <v>Chêne sessile</v>
      </c>
      <c r="BI1525" s="96" t="str">
        <f>+VLOOKUP(H1525,Liste!$B$7:$G$50,5,FALSE)</f>
        <v>Guide chênaie atlantique</v>
      </c>
      <c r="BJ1525" s="135">
        <f t="shared" si="456"/>
        <v>153</v>
      </c>
      <c r="BK1525" s="135" t="str">
        <f t="shared" si="458"/>
        <v>Chêne sessile_F1_Classique_Guide chênaie atlantique_153_</v>
      </c>
      <c r="BM1525" s="13">
        <v>106.424090402434</v>
      </c>
      <c r="BN1525" s="13">
        <v>546.06279150318096</v>
      </c>
      <c r="BO1525" s="13" t="s">
        <v>169</v>
      </c>
      <c r="BP1525" s="13">
        <v>453.22050465958398</v>
      </c>
      <c r="BQ1525" s="13">
        <v>4.7989635516642801</v>
      </c>
      <c r="BT1525" s="298" t="str">
        <f>+VLOOKUP(G1525,Liste!$A$7:$H$50,8,FALSE)</f>
        <v>Feuillus</v>
      </c>
      <c r="BU1525" s="298">
        <f t="shared" si="459"/>
        <v>1</v>
      </c>
      <c r="BV1525" s="300">
        <f t="shared" si="460"/>
        <v>0</v>
      </c>
      <c r="BW1525" s="321">
        <v>0</v>
      </c>
      <c r="BX1525" s="298">
        <f t="shared" si="461"/>
        <v>0.25</v>
      </c>
      <c r="BY1525">
        <f t="shared" si="462"/>
        <v>0</v>
      </c>
      <c r="BZ1525" s="304">
        <f t="shared" si="463"/>
        <v>0</v>
      </c>
      <c r="CB1525" s="299">
        <v>0.6</v>
      </c>
      <c r="CC1525" s="299">
        <v>0.4</v>
      </c>
      <c r="CD1525">
        <f t="shared" si="464"/>
        <v>0</v>
      </c>
      <c r="CE1525">
        <f t="shared" si="465"/>
        <v>0</v>
      </c>
      <c r="CF1525">
        <f t="shared" si="466"/>
        <v>0</v>
      </c>
      <c r="CG1525">
        <f t="shared" si="467"/>
        <v>0</v>
      </c>
      <c r="CH1525">
        <f t="shared" si="468"/>
        <v>0</v>
      </c>
      <c r="CI1525">
        <f t="shared" si="469"/>
        <v>0</v>
      </c>
      <c r="CJ1525">
        <f t="shared" si="470"/>
        <v>0</v>
      </c>
      <c r="CK1525">
        <f t="shared" si="471"/>
        <v>0</v>
      </c>
      <c r="CL1525">
        <f t="shared" si="472"/>
        <v>0</v>
      </c>
      <c r="CM1525">
        <f t="shared" si="474"/>
        <v>0</v>
      </c>
      <c r="CN1525">
        <f t="shared" si="473"/>
        <v>0</v>
      </c>
      <c r="CO1525">
        <f t="shared" si="457"/>
        <v>0</v>
      </c>
    </row>
    <row r="1526" spans="1:93" x14ac:dyDescent="0.25">
      <c r="A1526" s="4">
        <v>2021</v>
      </c>
      <c r="B1526" s="318">
        <v>44361</v>
      </c>
      <c r="C1526" s="4" t="s">
        <v>66</v>
      </c>
      <c r="D1526" s="4" t="s">
        <v>1525</v>
      </c>
      <c r="E1526" s="4" t="s">
        <v>87</v>
      </c>
      <c r="F1526" s="4" t="s">
        <v>90</v>
      </c>
      <c r="G1526" s="5" t="s">
        <v>17</v>
      </c>
      <c r="H1526" s="5" t="s">
        <v>20</v>
      </c>
      <c r="I1526" s="5" t="s">
        <v>18</v>
      </c>
      <c r="J1526" s="5" t="s">
        <v>9</v>
      </c>
      <c r="K1526" s="5">
        <v>21.5</v>
      </c>
      <c r="L1526" s="5" t="s">
        <v>1529</v>
      </c>
      <c r="M1526" s="5">
        <v>1666</v>
      </c>
      <c r="N1526" s="5" t="s">
        <v>170</v>
      </c>
      <c r="O1526" s="6" t="s">
        <v>81</v>
      </c>
      <c r="P1526" s="6" t="s">
        <v>1505</v>
      </c>
      <c r="S1526" s="6">
        <v>34</v>
      </c>
      <c r="T1526" s="6">
        <v>16.2</v>
      </c>
      <c r="U1526" s="6">
        <v>1451</v>
      </c>
      <c r="V1526" s="6">
        <v>23.57</v>
      </c>
      <c r="W1526" s="6">
        <v>44</v>
      </c>
      <c r="X1526" s="6">
        <v>444</v>
      </c>
      <c r="Y1526" s="6">
        <v>742</v>
      </c>
      <c r="Z1526" s="6">
        <v>211</v>
      </c>
      <c r="AA1526" s="6">
        <v>10</v>
      </c>
      <c r="AB1526" s="6">
        <v>0</v>
      </c>
      <c r="AC1526" s="7">
        <v>153</v>
      </c>
      <c r="AD1526" s="7" t="s">
        <v>53</v>
      </c>
      <c r="AE1526" s="7">
        <v>40.270000000000003</v>
      </c>
      <c r="AF1526" s="7">
        <v>26</v>
      </c>
      <c r="AG1526" s="7">
        <v>12.59</v>
      </c>
      <c r="AH1526" s="7">
        <v>78.510000000000005</v>
      </c>
      <c r="AI1526" s="7">
        <v>78.510000000000005</v>
      </c>
      <c r="AJ1526" s="9">
        <v>254.82312897593701</v>
      </c>
      <c r="AK1526" s="9">
        <v>282.68259655406001</v>
      </c>
      <c r="AL1526" s="9">
        <v>296.95276152394302</v>
      </c>
      <c r="AM1526" s="9">
        <v>94.049882062772298</v>
      </c>
      <c r="AN1526" s="9">
        <v>0.61470511152138796</v>
      </c>
      <c r="AO1526" s="9">
        <v>0.15295749659883501</v>
      </c>
      <c r="AP1526" s="9">
        <v>1710.82214890213</v>
      </c>
      <c r="AQ1526" s="9">
        <v>11.181844110471401</v>
      </c>
      <c r="AR1526" s="9">
        <v>4.2332407076874796</v>
      </c>
      <c r="AS1526" s="8">
        <v>15</v>
      </c>
      <c r="AT1526" s="8">
        <v>6.8900000000000006</v>
      </c>
      <c r="AU1526" s="10">
        <v>76.474921655077111</v>
      </c>
      <c r="AV1526" s="10">
        <v>139.37534345993001</v>
      </c>
      <c r="AW1526" s="8">
        <v>0.97</v>
      </c>
      <c r="AX1526" s="10">
        <v>9.2916895639953339</v>
      </c>
      <c r="BF1526" s="12">
        <v>0.55000000000000004</v>
      </c>
      <c r="BG1526" s="13">
        <v>284.45599947647702</v>
      </c>
      <c r="BH1526" s="96" t="str">
        <f>+VLOOKUP(G1526,Liste!$A$7:$G$50,3,FALSE)</f>
        <v>Chêne sessile</v>
      </c>
      <c r="BI1526" s="96" t="str">
        <f>+VLOOKUP(H1526,Liste!$B$7:$G$50,5,FALSE)</f>
        <v>Guide chênaie atlantique</v>
      </c>
      <c r="BJ1526" s="135">
        <f t="shared" si="456"/>
        <v>153</v>
      </c>
      <c r="BK1526" s="135" t="str">
        <f t="shared" si="458"/>
        <v>Chêne sessile_F1_Classique_Guide chênaie atlantique_153_</v>
      </c>
      <c r="BM1526" s="13">
        <v>72.438281057278601</v>
      </c>
      <c r="BN1526" s="13">
        <v>356.89428053375599</v>
      </c>
      <c r="BO1526" s="13">
        <v>189.16851096942497</v>
      </c>
      <c r="BP1526" s="13">
        <v>453.22050465958398</v>
      </c>
      <c r="BQ1526" s="13">
        <v>4.7989635516642801</v>
      </c>
      <c r="BT1526" s="298" t="str">
        <f>+VLOOKUP(G1526,Liste!$A$7:$H$50,8,FALSE)</f>
        <v>Feuillus</v>
      </c>
      <c r="BU1526" s="298">
        <f t="shared" si="459"/>
        <v>1</v>
      </c>
      <c r="BV1526" s="300">
        <f t="shared" si="460"/>
        <v>0</v>
      </c>
      <c r="BW1526" s="321">
        <v>0</v>
      </c>
      <c r="BX1526" s="298">
        <f t="shared" si="461"/>
        <v>0.25</v>
      </c>
      <c r="BY1526">
        <f t="shared" si="462"/>
        <v>0</v>
      </c>
      <c r="BZ1526" s="304">
        <f t="shared" si="463"/>
        <v>0</v>
      </c>
      <c r="CB1526" s="299">
        <v>0.6</v>
      </c>
      <c r="CC1526" s="299">
        <v>0.4</v>
      </c>
      <c r="CD1526">
        <f t="shared" si="464"/>
        <v>0</v>
      </c>
      <c r="CE1526">
        <f t="shared" si="465"/>
        <v>0</v>
      </c>
      <c r="CF1526">
        <f t="shared" si="466"/>
        <v>0</v>
      </c>
      <c r="CG1526">
        <f t="shared" si="467"/>
        <v>0</v>
      </c>
      <c r="CH1526">
        <f t="shared" si="468"/>
        <v>0</v>
      </c>
      <c r="CI1526">
        <f t="shared" si="469"/>
        <v>0</v>
      </c>
      <c r="CJ1526">
        <f t="shared" si="470"/>
        <v>0</v>
      </c>
      <c r="CK1526">
        <f t="shared" si="471"/>
        <v>0</v>
      </c>
      <c r="CL1526">
        <f t="shared" si="472"/>
        <v>0</v>
      </c>
      <c r="CM1526">
        <f t="shared" si="474"/>
        <v>0</v>
      </c>
      <c r="CN1526">
        <f t="shared" si="473"/>
        <v>0</v>
      </c>
      <c r="CO1526">
        <f t="shared" si="457"/>
        <v>0</v>
      </c>
    </row>
    <row r="1527" spans="1:93" x14ac:dyDescent="0.25">
      <c r="A1527" s="4">
        <v>2021</v>
      </c>
      <c r="B1527" s="318">
        <v>44361</v>
      </c>
      <c r="C1527" s="4" t="s">
        <v>66</v>
      </c>
      <c r="D1527" s="4" t="s">
        <v>1525</v>
      </c>
      <c r="E1527" s="4" t="s">
        <v>87</v>
      </c>
      <c r="F1527" s="4" t="s">
        <v>90</v>
      </c>
      <c r="G1527" s="5" t="s">
        <v>17</v>
      </c>
      <c r="H1527" s="5" t="s">
        <v>20</v>
      </c>
      <c r="I1527" s="5" t="s">
        <v>18</v>
      </c>
      <c r="J1527" s="5" t="s">
        <v>9</v>
      </c>
      <c r="K1527" s="5">
        <v>21.5</v>
      </c>
      <c r="L1527" s="5" t="s">
        <v>1529</v>
      </c>
      <c r="M1527" s="5">
        <v>1666</v>
      </c>
      <c r="N1527" s="5" t="s">
        <v>170</v>
      </c>
      <c r="O1527" s="6" t="s">
        <v>81</v>
      </c>
      <c r="P1527" s="6" t="s">
        <v>1505</v>
      </c>
      <c r="S1527" s="6">
        <v>34</v>
      </c>
      <c r="T1527" s="6">
        <v>16.2</v>
      </c>
      <c r="U1527" s="6">
        <v>1451</v>
      </c>
      <c r="V1527" s="6">
        <v>23.57</v>
      </c>
      <c r="W1527" s="6">
        <v>44</v>
      </c>
      <c r="X1527" s="6">
        <v>444</v>
      </c>
      <c r="Y1527" s="6">
        <v>742</v>
      </c>
      <c r="Z1527" s="6">
        <v>211</v>
      </c>
      <c r="AA1527" s="6">
        <v>10</v>
      </c>
      <c r="AB1527" s="6">
        <v>0</v>
      </c>
      <c r="AC1527" s="7">
        <v>156</v>
      </c>
      <c r="AD1527" s="7" t="s">
        <v>52</v>
      </c>
      <c r="AE1527" s="7">
        <v>40.49</v>
      </c>
      <c r="AF1527" s="7">
        <v>26</v>
      </c>
      <c r="AG1527" s="7">
        <v>13.05</v>
      </c>
      <c r="AH1527" s="7">
        <v>79.930000000000007</v>
      </c>
      <c r="AI1527" s="7">
        <v>79.930000000000007</v>
      </c>
      <c r="AJ1527" s="9">
        <v>265.56429930711801</v>
      </c>
      <c r="AK1527" s="9">
        <v>294.89131955104102</v>
      </c>
      <c r="AL1527" s="9">
        <v>309.652483647005</v>
      </c>
      <c r="AM1527" s="9">
        <v>94.508754552568803</v>
      </c>
      <c r="AN1527" s="9">
        <v>0.60582534969595403</v>
      </c>
      <c r="AO1527" s="9">
        <v>9.1566375299981004E-2</v>
      </c>
      <c r="AP1527" s="9">
        <v>1723.52187102519</v>
      </c>
      <c r="AQ1527" s="9">
        <v>11.0482171219563</v>
      </c>
      <c r="AR1527" s="9">
        <v>2.4404713700246998</v>
      </c>
      <c r="AS1527" s="8" t="s">
        <v>169</v>
      </c>
      <c r="AT1527" s="8" t="s">
        <v>169</v>
      </c>
      <c r="AU1527" s="10" t="s">
        <v>169</v>
      </c>
      <c r="AV1527" s="10">
        <v>0</v>
      </c>
      <c r="AX1527" s="10" t="s">
        <v>169</v>
      </c>
      <c r="BF1527" s="12">
        <v>0.55000000000000004</v>
      </c>
      <c r="BG1527" s="13">
        <v>296.621274960194</v>
      </c>
      <c r="BH1527" s="96" t="str">
        <f>+VLOOKUP(G1527,Liste!$A$7:$G$50,3,FALSE)</f>
        <v>Chêne sessile</v>
      </c>
      <c r="BI1527" s="96" t="str">
        <f>+VLOOKUP(H1527,Liste!$B$7:$G$50,5,FALSE)</f>
        <v>Guide chênaie atlantique</v>
      </c>
      <c r="BJ1527" s="135">
        <f t="shared" si="456"/>
        <v>156</v>
      </c>
      <c r="BK1527" s="135" t="str">
        <f t="shared" si="458"/>
        <v>Chêne sessile_F1_Classique_Guide chênaie atlantique_156_</v>
      </c>
      <c r="BM1527" s="13">
        <v>75.168926042657503</v>
      </c>
      <c r="BN1527" s="13">
        <v>371.79020100285197</v>
      </c>
      <c r="BO1527" s="13" t="s">
        <v>169</v>
      </c>
      <c r="BP1527" s="13">
        <v>453.22050465958398</v>
      </c>
      <c r="BQ1527" s="13">
        <v>2.7663215276854798</v>
      </c>
      <c r="BT1527" s="298" t="str">
        <f>+VLOOKUP(G1527,Liste!$A$7:$H$50,8,FALSE)</f>
        <v>Feuillus</v>
      </c>
      <c r="BU1527" s="298">
        <f t="shared" si="459"/>
        <v>1</v>
      </c>
      <c r="BV1527" s="300">
        <f t="shared" si="460"/>
        <v>0</v>
      </c>
      <c r="BW1527" s="321">
        <v>0</v>
      </c>
      <c r="BX1527" s="298">
        <f t="shared" si="461"/>
        <v>0.25</v>
      </c>
      <c r="BY1527">
        <f t="shared" si="462"/>
        <v>0</v>
      </c>
      <c r="BZ1527" s="304">
        <f t="shared" si="463"/>
        <v>0</v>
      </c>
      <c r="CB1527" s="299">
        <v>0.6</v>
      </c>
      <c r="CC1527" s="299">
        <v>0.4</v>
      </c>
      <c r="CD1527">
        <f t="shared" si="464"/>
        <v>0</v>
      </c>
      <c r="CE1527">
        <f t="shared" si="465"/>
        <v>0</v>
      </c>
      <c r="CF1527">
        <f t="shared" si="466"/>
        <v>0</v>
      </c>
      <c r="CG1527">
        <f t="shared" si="467"/>
        <v>0</v>
      </c>
      <c r="CH1527">
        <f t="shared" si="468"/>
        <v>0</v>
      </c>
      <c r="CI1527">
        <f t="shared" si="469"/>
        <v>0</v>
      </c>
      <c r="CJ1527">
        <f t="shared" si="470"/>
        <v>0</v>
      </c>
      <c r="CK1527">
        <f t="shared" si="471"/>
        <v>0</v>
      </c>
      <c r="CL1527">
        <f t="shared" si="472"/>
        <v>0</v>
      </c>
      <c r="CM1527">
        <f t="shared" si="474"/>
        <v>0</v>
      </c>
      <c r="CN1527">
        <f t="shared" si="473"/>
        <v>0</v>
      </c>
      <c r="CO1527">
        <f t="shared" si="457"/>
        <v>0</v>
      </c>
    </row>
    <row r="1528" spans="1:93" x14ac:dyDescent="0.25">
      <c r="A1528" s="4">
        <v>2021</v>
      </c>
      <c r="B1528" s="318">
        <v>44361</v>
      </c>
      <c r="C1528" s="4" t="s">
        <v>66</v>
      </c>
      <c r="D1528" s="4" t="s">
        <v>1525</v>
      </c>
      <c r="E1528" s="4" t="s">
        <v>87</v>
      </c>
      <c r="F1528" s="4" t="s">
        <v>90</v>
      </c>
      <c r="G1528" s="5" t="s">
        <v>17</v>
      </c>
      <c r="H1528" s="5" t="s">
        <v>20</v>
      </c>
      <c r="I1528" s="5" t="s">
        <v>18</v>
      </c>
      <c r="J1528" s="5" t="s">
        <v>9</v>
      </c>
      <c r="K1528" s="5">
        <v>21.5</v>
      </c>
      <c r="L1528" s="5" t="s">
        <v>1529</v>
      </c>
      <c r="M1528" s="5">
        <v>1666</v>
      </c>
      <c r="N1528" s="5" t="s">
        <v>170</v>
      </c>
      <c r="O1528" s="6" t="s">
        <v>81</v>
      </c>
      <c r="P1528" s="6" t="s">
        <v>1505</v>
      </c>
      <c r="S1528" s="6">
        <v>34</v>
      </c>
      <c r="T1528" s="6">
        <v>16.2</v>
      </c>
      <c r="U1528" s="6">
        <v>1451</v>
      </c>
      <c r="V1528" s="6">
        <v>23.57</v>
      </c>
      <c r="W1528" s="6">
        <v>44</v>
      </c>
      <c r="X1528" s="6">
        <v>444</v>
      </c>
      <c r="Y1528" s="6">
        <v>742</v>
      </c>
      <c r="Z1528" s="6">
        <v>211</v>
      </c>
      <c r="AA1528" s="6">
        <v>10</v>
      </c>
      <c r="AB1528" s="6">
        <v>0</v>
      </c>
      <c r="AC1528" s="7">
        <v>156</v>
      </c>
      <c r="AD1528" s="7" t="s">
        <v>53</v>
      </c>
      <c r="AE1528" s="7">
        <v>40.49</v>
      </c>
      <c r="AF1528" s="7">
        <v>17</v>
      </c>
      <c r="AG1528" s="7">
        <v>8.74</v>
      </c>
      <c r="AH1528" s="7">
        <v>80.92</v>
      </c>
      <c r="AI1528" s="7">
        <v>80.92</v>
      </c>
      <c r="AJ1528" s="9">
        <v>178.03648435413899</v>
      </c>
      <c r="AK1528" s="9">
        <v>197.945031434523</v>
      </c>
      <c r="AL1528" s="9">
        <v>207.834682473058</v>
      </c>
      <c r="AM1528" s="9">
        <v>94.508754552568803</v>
      </c>
      <c r="AN1528" s="9">
        <v>0.60582534969595403</v>
      </c>
      <c r="AO1528" s="9">
        <v>9.1566375299981004E-2</v>
      </c>
      <c r="AP1528" s="9">
        <v>1723.52187102519</v>
      </c>
      <c r="AQ1528" s="9">
        <v>11.0482171219563</v>
      </c>
      <c r="AR1528" s="9">
        <v>2.4404713700246998</v>
      </c>
      <c r="AS1528" s="8">
        <v>9</v>
      </c>
      <c r="AT1528" s="8">
        <v>4.3100000000000005</v>
      </c>
      <c r="AU1528" s="10">
        <v>78.085867534888592</v>
      </c>
      <c r="AV1528" s="10">
        <v>87.527814952979014</v>
      </c>
      <c r="AW1528" s="8">
        <v>0.95</v>
      </c>
      <c r="AX1528" s="10">
        <v>9.7253127725532238</v>
      </c>
      <c r="BF1528" s="12">
        <v>0.55000000000000004</v>
      </c>
      <c r="BG1528" s="13">
        <v>199.08830625231701</v>
      </c>
      <c r="BH1528" s="96" t="str">
        <f>+VLOOKUP(G1528,Liste!$A$7:$G$50,3,FALSE)</f>
        <v>Chêne sessile</v>
      </c>
      <c r="BI1528" s="96" t="str">
        <f>+VLOOKUP(H1528,Liste!$B$7:$G$50,5,FALSE)</f>
        <v>Guide chênaie atlantique</v>
      </c>
      <c r="BJ1528" s="135">
        <f t="shared" si="456"/>
        <v>156</v>
      </c>
      <c r="BK1528" s="135" t="str">
        <f t="shared" si="458"/>
        <v>Chêne sessile_F1_Classique_Guide chênaie atlantique_156_</v>
      </c>
      <c r="BM1528" s="13">
        <v>52.849054491229197</v>
      </c>
      <c r="BN1528" s="13">
        <v>251.93736074354601</v>
      </c>
      <c r="BO1528" s="13">
        <v>119.85284025930596</v>
      </c>
      <c r="BP1528" s="13">
        <v>453.22050465958398</v>
      </c>
      <c r="BQ1528" s="13">
        <v>2.7663215276854798</v>
      </c>
      <c r="BT1528" s="298" t="str">
        <f>+VLOOKUP(G1528,Liste!$A$7:$H$50,8,FALSE)</f>
        <v>Feuillus</v>
      </c>
      <c r="BU1528" s="298">
        <f t="shared" si="459"/>
        <v>1</v>
      </c>
      <c r="BV1528" s="300">
        <f t="shared" si="460"/>
        <v>0</v>
      </c>
      <c r="BW1528" s="321">
        <v>0</v>
      </c>
      <c r="BX1528" s="298">
        <f t="shared" si="461"/>
        <v>0.25</v>
      </c>
      <c r="BY1528">
        <f t="shared" si="462"/>
        <v>0</v>
      </c>
      <c r="BZ1528" s="304">
        <f t="shared" si="463"/>
        <v>0</v>
      </c>
      <c r="CB1528" s="299">
        <v>0.6</v>
      </c>
      <c r="CC1528" s="299">
        <v>0.4</v>
      </c>
      <c r="CD1528">
        <f t="shared" si="464"/>
        <v>0</v>
      </c>
      <c r="CE1528">
        <f t="shared" si="465"/>
        <v>0</v>
      </c>
      <c r="CF1528">
        <f t="shared" si="466"/>
        <v>0</v>
      </c>
      <c r="CG1528">
        <f t="shared" si="467"/>
        <v>0</v>
      </c>
      <c r="CH1528">
        <f t="shared" si="468"/>
        <v>0</v>
      </c>
      <c r="CI1528">
        <f t="shared" si="469"/>
        <v>0</v>
      </c>
      <c r="CJ1528">
        <f t="shared" si="470"/>
        <v>0</v>
      </c>
      <c r="CK1528">
        <f t="shared" si="471"/>
        <v>0</v>
      </c>
      <c r="CL1528">
        <f t="shared" si="472"/>
        <v>0</v>
      </c>
      <c r="CM1528">
        <f t="shared" si="474"/>
        <v>0</v>
      </c>
      <c r="CN1528">
        <f t="shared" si="473"/>
        <v>0</v>
      </c>
      <c r="CO1528">
        <f t="shared" si="457"/>
        <v>0</v>
      </c>
    </row>
    <row r="1529" spans="1:93" x14ac:dyDescent="0.25">
      <c r="A1529" s="4">
        <v>2021</v>
      </c>
      <c r="B1529" s="318">
        <v>44361</v>
      </c>
      <c r="C1529" s="4" t="s">
        <v>66</v>
      </c>
      <c r="D1529" s="4" t="s">
        <v>1525</v>
      </c>
      <c r="E1529" s="4" t="s">
        <v>87</v>
      </c>
      <c r="F1529" s="4" t="s">
        <v>90</v>
      </c>
      <c r="G1529" s="5" t="s">
        <v>17</v>
      </c>
      <c r="H1529" s="5" t="s">
        <v>20</v>
      </c>
      <c r="I1529" s="5" t="s">
        <v>18</v>
      </c>
      <c r="J1529" s="5" t="s">
        <v>9</v>
      </c>
      <c r="K1529" s="5">
        <v>21.5</v>
      </c>
      <c r="L1529" s="5" t="s">
        <v>1529</v>
      </c>
      <c r="M1529" s="5">
        <v>1666</v>
      </c>
      <c r="N1529" s="5" t="s">
        <v>170</v>
      </c>
      <c r="O1529" s="6" t="s">
        <v>81</v>
      </c>
      <c r="P1529" s="6" t="s">
        <v>1505</v>
      </c>
      <c r="S1529" s="6">
        <v>34</v>
      </c>
      <c r="T1529" s="6">
        <v>16.2</v>
      </c>
      <c r="U1529" s="6">
        <v>1451</v>
      </c>
      <c r="V1529" s="6">
        <v>23.57</v>
      </c>
      <c r="W1529" s="6">
        <v>44</v>
      </c>
      <c r="X1529" s="6">
        <v>444</v>
      </c>
      <c r="Y1529" s="6">
        <v>742</v>
      </c>
      <c r="Z1529" s="6">
        <v>211</v>
      </c>
      <c r="AA1529" s="6">
        <v>10</v>
      </c>
      <c r="AB1529" s="6">
        <v>0</v>
      </c>
      <c r="AC1529" s="7">
        <v>159</v>
      </c>
      <c r="AD1529" s="7" t="s">
        <v>52</v>
      </c>
      <c r="AE1529" s="7">
        <v>40.64</v>
      </c>
      <c r="AF1529" s="7">
        <v>17</v>
      </c>
      <c r="AG1529" s="7">
        <v>9.02</v>
      </c>
      <c r="AH1529" s="7">
        <v>82.18</v>
      </c>
      <c r="AI1529" s="7">
        <v>82.18</v>
      </c>
      <c r="AJ1529" s="9">
        <v>184.12608479042601</v>
      </c>
      <c r="AK1529" s="9">
        <v>204.96739529734401</v>
      </c>
      <c r="AL1529" s="9">
        <v>215.15609658313201</v>
      </c>
      <c r="AM1529" s="9">
        <v>94.783453678468803</v>
      </c>
      <c r="AN1529" s="9">
        <v>0.59612235017904902</v>
      </c>
      <c r="AP1529" s="9">
        <v>1730.84328513526</v>
      </c>
      <c r="AQ1529" s="9">
        <v>10.8858068247501</v>
      </c>
      <c r="AS1529" s="8" t="s">
        <v>169</v>
      </c>
      <c r="AT1529" s="8" t="s">
        <v>169</v>
      </c>
      <c r="AU1529" s="10" t="s">
        <v>169</v>
      </c>
      <c r="AV1529" s="10">
        <v>0</v>
      </c>
      <c r="AX1529" s="10" t="s">
        <v>169</v>
      </c>
      <c r="BF1529" s="12">
        <v>0.55000000000000004</v>
      </c>
      <c r="BG1529" s="13">
        <v>206.10161085192601</v>
      </c>
      <c r="BH1529" s="96" t="str">
        <f>+VLOOKUP(G1529,Liste!$A$7:$G$50,3,FALSE)</f>
        <v>Chêne sessile</v>
      </c>
      <c r="BI1529" s="96" t="str">
        <f>+VLOOKUP(H1529,Liste!$B$7:$G$50,5,FALSE)</f>
        <v>Guide chênaie atlantique</v>
      </c>
      <c r="BJ1529" s="135">
        <f t="shared" si="456"/>
        <v>159</v>
      </c>
      <c r="BK1529" s="135" t="str">
        <f t="shared" si="458"/>
        <v>Chêne sessile_F1_Classique_Guide chênaie atlantique_159_</v>
      </c>
      <c r="BM1529" s="13">
        <v>54.4907403203188</v>
      </c>
      <c r="BN1529" s="13">
        <v>260.59235117224398</v>
      </c>
      <c r="BO1529" s="13" t="s">
        <v>169</v>
      </c>
      <c r="BP1529" s="13">
        <v>453.22050465958398</v>
      </c>
      <c r="BT1529" s="298" t="str">
        <f>+VLOOKUP(G1529,Liste!$A$7:$H$50,8,FALSE)</f>
        <v>Feuillus</v>
      </c>
      <c r="BU1529" s="298">
        <f t="shared" si="459"/>
        <v>1</v>
      </c>
      <c r="BV1529" s="300">
        <f t="shared" si="460"/>
        <v>0</v>
      </c>
      <c r="BW1529" s="321">
        <v>0</v>
      </c>
      <c r="BX1529" s="298">
        <f t="shared" si="461"/>
        <v>0.25</v>
      </c>
      <c r="BY1529">
        <f t="shared" si="462"/>
        <v>0</v>
      </c>
      <c r="BZ1529" s="304">
        <f t="shared" si="463"/>
        <v>0</v>
      </c>
      <c r="CB1529" s="299">
        <v>0.6</v>
      </c>
      <c r="CC1529" s="299">
        <v>0.4</v>
      </c>
      <c r="CD1529">
        <f t="shared" si="464"/>
        <v>0</v>
      </c>
      <c r="CE1529">
        <f t="shared" si="465"/>
        <v>0</v>
      </c>
      <c r="CF1529">
        <f t="shared" si="466"/>
        <v>0</v>
      </c>
      <c r="CG1529">
        <f t="shared" si="467"/>
        <v>0</v>
      </c>
      <c r="CH1529">
        <f t="shared" si="468"/>
        <v>0</v>
      </c>
      <c r="CI1529">
        <f t="shared" si="469"/>
        <v>0</v>
      </c>
      <c r="CJ1529">
        <f t="shared" si="470"/>
        <v>0</v>
      </c>
      <c r="CK1529">
        <f t="shared" si="471"/>
        <v>0</v>
      </c>
      <c r="CL1529">
        <f t="shared" si="472"/>
        <v>0</v>
      </c>
      <c r="CM1529">
        <f t="shared" si="474"/>
        <v>0</v>
      </c>
      <c r="CN1529">
        <f t="shared" si="473"/>
        <v>0</v>
      </c>
      <c r="CO1529">
        <f t="shared" si="457"/>
        <v>0</v>
      </c>
    </row>
    <row r="1530" spans="1:93" x14ac:dyDescent="0.25">
      <c r="A1530" s="4">
        <v>2021</v>
      </c>
      <c r="B1530" s="318">
        <v>44361</v>
      </c>
      <c r="C1530" s="4" t="s">
        <v>66</v>
      </c>
      <c r="D1530" s="4" t="s">
        <v>1525</v>
      </c>
      <c r="E1530" s="4" t="s">
        <v>87</v>
      </c>
      <c r="F1530" s="4" t="s">
        <v>90</v>
      </c>
      <c r="G1530" s="5" t="s">
        <v>17</v>
      </c>
      <c r="H1530" s="5" t="s">
        <v>20</v>
      </c>
      <c r="I1530" s="5" t="s">
        <v>18</v>
      </c>
      <c r="J1530" s="5" t="s">
        <v>9</v>
      </c>
      <c r="K1530" s="5">
        <v>21.5</v>
      </c>
      <c r="L1530" s="5" t="s">
        <v>1529</v>
      </c>
      <c r="M1530" s="5">
        <v>1666</v>
      </c>
      <c r="N1530" s="5" t="s">
        <v>170</v>
      </c>
      <c r="O1530" s="6" t="s">
        <v>81</v>
      </c>
      <c r="P1530" s="6" t="s">
        <v>1505</v>
      </c>
      <c r="S1530" s="6">
        <v>34</v>
      </c>
      <c r="T1530" s="6">
        <v>16.2</v>
      </c>
      <c r="U1530" s="6">
        <v>1451</v>
      </c>
      <c r="V1530" s="6">
        <v>23.57</v>
      </c>
      <c r="W1530" s="6">
        <v>44</v>
      </c>
      <c r="X1530" s="6">
        <v>444</v>
      </c>
      <c r="Y1530" s="6">
        <v>742</v>
      </c>
      <c r="Z1530" s="6">
        <v>211</v>
      </c>
      <c r="AA1530" s="6">
        <v>10</v>
      </c>
      <c r="AB1530" s="6">
        <v>0</v>
      </c>
      <c r="AC1530" s="7">
        <v>159</v>
      </c>
      <c r="AD1530" s="7" t="s">
        <v>53</v>
      </c>
      <c r="AE1530" s="7">
        <v>40.64</v>
      </c>
      <c r="AF1530" s="7">
        <v>0</v>
      </c>
      <c r="AG1530" s="7">
        <v>0</v>
      </c>
      <c r="AH1530" s="7">
        <v>0</v>
      </c>
      <c r="AI1530" s="7">
        <v>0</v>
      </c>
      <c r="AJ1530" s="9">
        <v>0</v>
      </c>
      <c r="AK1530" s="9">
        <v>0</v>
      </c>
      <c r="AL1530" s="9">
        <v>0</v>
      </c>
      <c r="AM1530" s="9">
        <v>94.783453678468803</v>
      </c>
      <c r="AN1530" s="9">
        <v>0.59612235017904902</v>
      </c>
      <c r="AP1530" s="9">
        <v>1730.84328513526</v>
      </c>
      <c r="AQ1530" s="9">
        <v>10.8858068247501</v>
      </c>
      <c r="AS1530" s="8">
        <v>17</v>
      </c>
      <c r="AT1530" s="8">
        <v>9.02</v>
      </c>
      <c r="AU1530" s="10">
        <v>82.192817395908492</v>
      </c>
      <c r="AV1530" s="10">
        <v>184.12608479042601</v>
      </c>
      <c r="AW1530" s="8">
        <v>1</v>
      </c>
      <c r="AX1530" s="10">
        <v>10.830946164142706</v>
      </c>
      <c r="BF1530" s="12">
        <v>0.55000000000000004</v>
      </c>
      <c r="BG1530" s="13">
        <v>0</v>
      </c>
      <c r="BH1530" s="96" t="str">
        <f>+VLOOKUP(G1530,Liste!$A$7:$G$50,3,FALSE)</f>
        <v>Chêne sessile</v>
      </c>
      <c r="BI1530" s="96" t="str">
        <f>+VLOOKUP(H1530,Liste!$B$7:$G$50,5,FALSE)</f>
        <v>Guide chênaie atlantique</v>
      </c>
      <c r="BJ1530" s="135">
        <f t="shared" si="456"/>
        <v>159</v>
      </c>
      <c r="BK1530" s="135" t="str">
        <f t="shared" si="458"/>
        <v>Chêne sessile_F1_Classique_Guide chênaie atlantique_159_</v>
      </c>
      <c r="BM1530" s="13">
        <v>0</v>
      </c>
      <c r="BN1530" s="13">
        <v>0</v>
      </c>
      <c r="BO1530" s="13">
        <v>260.59235117224398</v>
      </c>
      <c r="BP1530" s="13">
        <v>453.22050465958398</v>
      </c>
      <c r="BT1530" s="298" t="str">
        <f>+VLOOKUP(G1530,Liste!$A$7:$H$50,8,FALSE)</f>
        <v>Feuillus</v>
      </c>
      <c r="BU1530" s="298">
        <f t="shared" si="459"/>
        <v>1</v>
      </c>
      <c r="BV1530" s="300">
        <f t="shared" si="460"/>
        <v>0</v>
      </c>
      <c r="BW1530" s="321">
        <v>0</v>
      </c>
      <c r="BX1530" s="298">
        <f t="shared" si="461"/>
        <v>0.25</v>
      </c>
      <c r="BY1530">
        <f t="shared" si="462"/>
        <v>0</v>
      </c>
      <c r="BZ1530" s="304">
        <f t="shared" si="463"/>
        <v>0</v>
      </c>
      <c r="CB1530" s="299">
        <v>0.6</v>
      </c>
      <c r="CC1530" s="299">
        <v>0.4</v>
      </c>
      <c r="CD1530">
        <f t="shared" si="464"/>
        <v>0</v>
      </c>
      <c r="CE1530">
        <f t="shared" si="465"/>
        <v>0</v>
      </c>
      <c r="CF1530">
        <f t="shared" si="466"/>
        <v>0</v>
      </c>
      <c r="CG1530">
        <f t="shared" si="467"/>
        <v>0</v>
      </c>
      <c r="CH1530">
        <f t="shared" si="468"/>
        <v>0</v>
      </c>
      <c r="CI1530">
        <f t="shared" si="469"/>
        <v>0</v>
      </c>
      <c r="CJ1530">
        <f t="shared" si="470"/>
        <v>0</v>
      </c>
      <c r="CK1530">
        <f t="shared" si="471"/>
        <v>0</v>
      </c>
      <c r="CL1530">
        <f t="shared" si="472"/>
        <v>0</v>
      </c>
      <c r="CM1530">
        <f t="shared" si="474"/>
        <v>0</v>
      </c>
      <c r="CN1530">
        <f t="shared" si="473"/>
        <v>0</v>
      </c>
      <c r="CO1530">
        <f t="shared" si="457"/>
        <v>0</v>
      </c>
    </row>
    <row r="1531" spans="1:93" x14ac:dyDescent="0.25">
      <c r="A1531" s="4">
        <v>2021</v>
      </c>
      <c r="B1531" s="318">
        <v>44361</v>
      </c>
      <c r="C1531" s="4" t="s">
        <v>66</v>
      </c>
      <c r="D1531" s="4" t="s">
        <v>1525</v>
      </c>
      <c r="E1531" s="4" t="s">
        <v>87</v>
      </c>
      <c r="F1531" s="4" t="s">
        <v>90</v>
      </c>
      <c r="G1531" s="5" t="s">
        <v>17</v>
      </c>
      <c r="H1531" s="5" t="s">
        <v>20</v>
      </c>
      <c r="I1531" s="5" t="s">
        <v>18</v>
      </c>
      <c r="J1531" s="5" t="s">
        <v>10</v>
      </c>
      <c r="K1531" s="5">
        <v>18.18</v>
      </c>
      <c r="L1531" s="5" t="s">
        <v>193</v>
      </c>
      <c r="M1531" s="5">
        <v>1666</v>
      </c>
      <c r="N1531" s="5" t="s">
        <v>170</v>
      </c>
      <c r="O1531" s="6" t="s">
        <v>81</v>
      </c>
      <c r="P1531" s="6" t="s">
        <v>1505</v>
      </c>
      <c r="S1531" s="6">
        <v>42</v>
      </c>
      <c r="T1531" s="6">
        <v>16.02</v>
      </c>
      <c r="U1531" s="6">
        <v>1451</v>
      </c>
      <c r="V1531" s="6">
        <v>23.57</v>
      </c>
      <c r="W1531" s="6">
        <v>44</v>
      </c>
      <c r="X1531" s="6">
        <v>444</v>
      </c>
      <c r="Y1531" s="6">
        <v>742</v>
      </c>
      <c r="Z1531" s="6">
        <v>211</v>
      </c>
      <c r="AA1531" s="6">
        <v>10</v>
      </c>
      <c r="AB1531" s="6">
        <v>0</v>
      </c>
      <c r="AC1531" s="7">
        <v>30</v>
      </c>
      <c r="AD1531" s="7" t="s">
        <v>52</v>
      </c>
      <c r="AJ1531" s="9">
        <v>116.946383167441</v>
      </c>
      <c r="AK1531" s="9">
        <v>122.97312593077901</v>
      </c>
      <c r="AL1531" s="9">
        <v>157.514599162693</v>
      </c>
      <c r="AN1531" s="9"/>
      <c r="AP1531" s="9"/>
      <c r="AQ1531" s="9"/>
      <c r="AU1531" s="10"/>
      <c r="AV1531" s="10">
        <v>0</v>
      </c>
      <c r="AX1531" s="10"/>
      <c r="BF1531" s="12">
        <v>0.55000000000000004</v>
      </c>
      <c r="BG1531" s="13">
        <v>150.88585978126301</v>
      </c>
      <c r="BH1531" s="96" t="str">
        <f>+VLOOKUP(G1531,Liste!$A$7:$G$50,3,FALSE)</f>
        <v>Chêne sessile</v>
      </c>
      <c r="BI1531" s="96" t="str">
        <f>+VLOOKUP(H1531,Liste!$B$7:$G$50,5,FALSE)</f>
        <v>Guide chênaie atlantique</v>
      </c>
      <c r="BJ1531" s="135">
        <f t="shared" si="456"/>
        <v>30</v>
      </c>
      <c r="BK1531" s="135" t="str">
        <f t="shared" si="458"/>
        <v>Chêne sessile_F2_Classique_Guide chênaie atlantique_30_</v>
      </c>
      <c r="BM1531" s="13">
        <v>41.3670210365838</v>
      </c>
      <c r="BN1531" s="13">
        <v>192.252880817847</v>
      </c>
      <c r="BP1531" s="13">
        <v>401.52059066910999</v>
      </c>
      <c r="BT1531" s="298" t="str">
        <f>+VLOOKUP(G1531,Liste!$A$7:$H$50,8,FALSE)</f>
        <v>Feuillus</v>
      </c>
      <c r="BU1531" s="298">
        <f t="shared" si="459"/>
        <v>1</v>
      </c>
      <c r="BV1531" s="300">
        <f t="shared" si="460"/>
        <v>0</v>
      </c>
      <c r="BW1531" s="321">
        <v>0</v>
      </c>
      <c r="BX1531" s="298">
        <f t="shared" si="461"/>
        <v>0.25</v>
      </c>
      <c r="BY1531">
        <f t="shared" si="462"/>
        <v>0</v>
      </c>
      <c r="BZ1531" s="304">
        <f t="shared" si="463"/>
        <v>0</v>
      </c>
      <c r="CB1531" s="299">
        <v>0.6</v>
      </c>
      <c r="CC1531" s="299">
        <v>0.4</v>
      </c>
      <c r="CD1531">
        <f t="shared" si="464"/>
        <v>0</v>
      </c>
      <c r="CE1531">
        <f t="shared" si="465"/>
        <v>0</v>
      </c>
      <c r="CF1531">
        <f t="shared" si="466"/>
        <v>0</v>
      </c>
      <c r="CG1531">
        <f t="shared" si="467"/>
        <v>0</v>
      </c>
      <c r="CH1531">
        <f t="shared" si="468"/>
        <v>0</v>
      </c>
      <c r="CI1531">
        <f t="shared" si="469"/>
        <v>0</v>
      </c>
      <c r="CJ1531">
        <f t="shared" si="470"/>
        <v>0</v>
      </c>
      <c r="CK1531">
        <f t="shared" si="471"/>
        <v>0</v>
      </c>
      <c r="CL1531">
        <f t="shared" si="472"/>
        <v>0</v>
      </c>
      <c r="CM1531">
        <f t="shared" si="474"/>
        <v>0</v>
      </c>
      <c r="CN1531">
        <f t="shared" si="473"/>
        <v>0</v>
      </c>
      <c r="CO1531">
        <f t="shared" si="457"/>
        <v>0</v>
      </c>
    </row>
    <row r="1532" spans="1:93" x14ac:dyDescent="0.25">
      <c r="A1532" s="4">
        <v>2021</v>
      </c>
      <c r="B1532" s="318">
        <v>44361</v>
      </c>
      <c r="C1532" s="4" t="s">
        <v>66</v>
      </c>
      <c r="D1532" s="4" t="s">
        <v>1525</v>
      </c>
      <c r="E1532" s="4" t="s">
        <v>87</v>
      </c>
      <c r="F1532" s="4" t="s">
        <v>90</v>
      </c>
      <c r="G1532" s="5" t="s">
        <v>17</v>
      </c>
      <c r="H1532" s="5" t="s">
        <v>20</v>
      </c>
      <c r="I1532" s="5" t="s">
        <v>18</v>
      </c>
      <c r="J1532" s="5" t="s">
        <v>10</v>
      </c>
      <c r="K1532" s="5">
        <v>18.18</v>
      </c>
      <c r="L1532" s="5" t="s">
        <v>193</v>
      </c>
      <c r="M1532" s="5">
        <v>1666</v>
      </c>
      <c r="N1532" s="5" t="s">
        <v>170</v>
      </c>
      <c r="O1532" s="6" t="s">
        <v>81</v>
      </c>
      <c r="P1532" s="6" t="s">
        <v>1505</v>
      </c>
      <c r="S1532" s="6">
        <v>42</v>
      </c>
      <c r="T1532" s="6">
        <v>16.02</v>
      </c>
      <c r="U1532" s="6">
        <v>1451</v>
      </c>
      <c r="V1532" s="6">
        <v>23.57</v>
      </c>
      <c r="W1532" s="6">
        <v>44</v>
      </c>
      <c r="X1532" s="6">
        <v>444</v>
      </c>
      <c r="Y1532" s="6">
        <v>742</v>
      </c>
      <c r="Z1532" s="6">
        <v>211</v>
      </c>
      <c r="AA1532" s="6">
        <v>10</v>
      </c>
      <c r="AB1532" s="6">
        <v>0</v>
      </c>
      <c r="AC1532" s="7">
        <v>42</v>
      </c>
      <c r="AD1532" s="7" t="s">
        <v>52</v>
      </c>
      <c r="AE1532" s="7">
        <v>16.02</v>
      </c>
      <c r="AF1532" s="7">
        <v>1451</v>
      </c>
      <c r="AG1532" s="7">
        <v>23.57</v>
      </c>
      <c r="AH1532" s="7">
        <v>14.38</v>
      </c>
      <c r="AI1532" s="7">
        <v>20.6</v>
      </c>
      <c r="AJ1532" s="9">
        <v>163.724936434417</v>
      </c>
      <c r="AK1532" s="9">
        <v>172.16237630309101</v>
      </c>
      <c r="AL1532" s="9">
        <v>220.52043882776999</v>
      </c>
      <c r="AM1532" s="9">
        <v>23.566186052005801</v>
      </c>
      <c r="AN1532" s="9">
        <v>0.56109966790489996</v>
      </c>
      <c r="AO1532" s="9">
        <v>0.82939196401280701</v>
      </c>
      <c r="AP1532" s="9">
        <v>220.52043882776999</v>
      </c>
      <c r="AQ1532" s="9">
        <v>5.2504866387564402</v>
      </c>
      <c r="AR1532" s="9">
        <v>10.7248458677185</v>
      </c>
      <c r="AS1532" s="8" t="s">
        <v>169</v>
      </c>
      <c r="AT1532" s="8" t="s">
        <v>169</v>
      </c>
      <c r="AU1532" s="8" t="s">
        <v>169</v>
      </c>
      <c r="AV1532" s="10">
        <v>0</v>
      </c>
      <c r="AW1532" s="8" t="s">
        <v>169</v>
      </c>
      <c r="AX1532" s="8" t="s">
        <v>169</v>
      </c>
      <c r="BF1532" s="12">
        <v>0.55000000000000004</v>
      </c>
      <c r="BG1532" s="13">
        <v>211.240203693768</v>
      </c>
      <c r="BH1532" s="96" t="str">
        <f>+VLOOKUP(G1532,Liste!$A$7:$G$50,3,FALSE)</f>
        <v>Chêne sessile</v>
      </c>
      <c r="BI1532" s="96" t="str">
        <f>+VLOOKUP(H1532,Liste!$B$7:$G$50,5,FALSE)</f>
        <v>Guide chênaie atlantique</v>
      </c>
      <c r="BJ1532" s="135">
        <f t="shared" si="456"/>
        <v>42</v>
      </c>
      <c r="BK1532" s="135" t="str">
        <f t="shared" si="458"/>
        <v>Chêne sessile_F2_Classique_Guide chênaie atlantique_42_</v>
      </c>
      <c r="BM1532" s="13">
        <v>55.6894565094575</v>
      </c>
      <c r="BN1532" s="13">
        <v>266.92966020322598</v>
      </c>
      <c r="BO1532" s="12" t="s">
        <v>169</v>
      </c>
      <c r="BP1532" s="13">
        <v>401.52059066910999</v>
      </c>
      <c r="BQ1532" s="13">
        <v>12.647367650124</v>
      </c>
      <c r="BT1532" s="298" t="str">
        <f>+VLOOKUP(G1532,Liste!$A$7:$H$50,8,FALSE)</f>
        <v>Feuillus</v>
      </c>
      <c r="BU1532" s="298">
        <f t="shared" si="459"/>
        <v>1</v>
      </c>
      <c r="BV1532" s="300">
        <f t="shared" si="460"/>
        <v>0</v>
      </c>
      <c r="BW1532" s="321">
        <v>0</v>
      </c>
      <c r="BX1532" s="298">
        <f t="shared" si="461"/>
        <v>0.25</v>
      </c>
      <c r="BY1532">
        <f t="shared" si="462"/>
        <v>0</v>
      </c>
      <c r="BZ1532" s="304">
        <f t="shared" si="463"/>
        <v>0</v>
      </c>
      <c r="CB1532" s="299">
        <v>0.6</v>
      </c>
      <c r="CC1532" s="299">
        <v>0.4</v>
      </c>
      <c r="CD1532">
        <f t="shared" si="464"/>
        <v>0</v>
      </c>
      <c r="CE1532">
        <f t="shared" si="465"/>
        <v>0</v>
      </c>
      <c r="CF1532">
        <f t="shared" si="466"/>
        <v>0</v>
      </c>
      <c r="CG1532">
        <f t="shared" si="467"/>
        <v>0</v>
      </c>
      <c r="CH1532">
        <f t="shared" si="468"/>
        <v>0</v>
      </c>
      <c r="CI1532">
        <f t="shared" si="469"/>
        <v>0</v>
      </c>
      <c r="CJ1532">
        <f t="shared" si="470"/>
        <v>0</v>
      </c>
      <c r="CK1532">
        <f t="shared" si="471"/>
        <v>0</v>
      </c>
      <c r="CL1532">
        <f t="shared" si="472"/>
        <v>0</v>
      </c>
      <c r="CM1532">
        <f t="shared" si="474"/>
        <v>0</v>
      </c>
      <c r="CN1532">
        <f t="shared" si="473"/>
        <v>0</v>
      </c>
      <c r="CO1532">
        <f t="shared" si="457"/>
        <v>0</v>
      </c>
    </row>
    <row r="1533" spans="1:93" x14ac:dyDescent="0.25">
      <c r="A1533" s="4">
        <v>2021</v>
      </c>
      <c r="B1533" s="318">
        <v>44361</v>
      </c>
      <c r="C1533" s="4" t="s">
        <v>66</v>
      </c>
      <c r="D1533" s="4" t="s">
        <v>1525</v>
      </c>
      <c r="E1533" s="4" t="s">
        <v>87</v>
      </c>
      <c r="F1533" s="4" t="s">
        <v>90</v>
      </c>
      <c r="G1533" s="5" t="s">
        <v>17</v>
      </c>
      <c r="H1533" s="5" t="s">
        <v>20</v>
      </c>
      <c r="I1533" s="5" t="s">
        <v>18</v>
      </c>
      <c r="J1533" s="5" t="s">
        <v>10</v>
      </c>
      <c r="K1533" s="5">
        <v>18.18</v>
      </c>
      <c r="L1533" s="5" t="s">
        <v>193</v>
      </c>
      <c r="M1533" s="5">
        <v>1666</v>
      </c>
      <c r="N1533" s="5" t="s">
        <v>170</v>
      </c>
      <c r="O1533" s="6" t="s">
        <v>81</v>
      </c>
      <c r="P1533" s="6" t="s">
        <v>1505</v>
      </c>
      <c r="S1533" s="6">
        <v>42</v>
      </c>
      <c r="T1533" s="6">
        <v>16.02</v>
      </c>
      <c r="U1533" s="6">
        <v>1451</v>
      </c>
      <c r="V1533" s="6">
        <v>23.57</v>
      </c>
      <c r="W1533" s="6">
        <v>44</v>
      </c>
      <c r="X1533" s="6">
        <v>444</v>
      </c>
      <c r="Y1533" s="6">
        <v>742</v>
      </c>
      <c r="Z1533" s="6">
        <v>211</v>
      </c>
      <c r="AA1533" s="6">
        <v>10</v>
      </c>
      <c r="AB1533" s="6">
        <v>0</v>
      </c>
      <c r="AC1533" s="7">
        <v>42</v>
      </c>
      <c r="AD1533" s="7" t="s">
        <v>53</v>
      </c>
      <c r="AE1533" s="7">
        <v>16.02</v>
      </c>
      <c r="AF1533" s="7">
        <v>879</v>
      </c>
      <c r="AG1533" s="7">
        <v>16.690000000000001</v>
      </c>
      <c r="AH1533" s="7">
        <v>15.55</v>
      </c>
      <c r="AI1533" s="7">
        <v>20.6</v>
      </c>
      <c r="AJ1533" s="9">
        <v>120.128149910346</v>
      </c>
      <c r="AK1533" s="9">
        <v>127.243987620355</v>
      </c>
      <c r="AL1533" s="9">
        <v>159.545265254745</v>
      </c>
      <c r="AM1533" s="9">
        <v>23.566186052005801</v>
      </c>
      <c r="AN1533" s="9">
        <v>0.56109966790489996</v>
      </c>
      <c r="AO1533" s="9">
        <v>0.82939196401280701</v>
      </c>
      <c r="AP1533" s="9">
        <v>220.52043882776999</v>
      </c>
      <c r="AQ1533" s="9">
        <v>5.2504866387564402</v>
      </c>
      <c r="AR1533" s="9">
        <v>10.7248458677185</v>
      </c>
      <c r="AS1533" s="8">
        <v>572</v>
      </c>
      <c r="AT1533" s="8">
        <v>6.879999999999999</v>
      </c>
      <c r="AU1533" s="10">
        <v>12.37517257616328</v>
      </c>
      <c r="AV1533" s="10">
        <v>43.596786524071007</v>
      </c>
      <c r="AW1533" s="8">
        <v>0.74</v>
      </c>
      <c r="AX1533" s="10">
        <v>7.6218158258865396E-2</v>
      </c>
      <c r="BF1533" s="12">
        <v>0.55000000000000004</v>
      </c>
      <c r="BG1533" s="13">
        <v>152.83106867527499</v>
      </c>
      <c r="BH1533" s="96" t="str">
        <f>+VLOOKUP(G1533,Liste!$A$7:$G$50,3,FALSE)</f>
        <v>Chêne sessile</v>
      </c>
      <c r="BI1533" s="96" t="str">
        <f>+VLOOKUP(H1533,Liste!$B$7:$G$50,5,FALSE)</f>
        <v>Guide chênaie atlantique</v>
      </c>
      <c r="BJ1533" s="135">
        <f t="shared" si="456"/>
        <v>42</v>
      </c>
      <c r="BK1533" s="135" t="str">
        <f t="shared" si="458"/>
        <v>Chêne sessile_F2_Classique_Guide chênaie atlantique_42_</v>
      </c>
      <c r="BM1533" s="13">
        <v>41.837893436571903</v>
      </c>
      <c r="BN1533" s="13">
        <v>194.66896211184701</v>
      </c>
      <c r="BO1533" s="13">
        <v>72.26069809137897</v>
      </c>
      <c r="BP1533" s="13">
        <v>401.52059066910999</v>
      </c>
      <c r="BQ1533" s="13">
        <v>12.647367650124</v>
      </c>
      <c r="BT1533" s="298" t="str">
        <f>+VLOOKUP(G1533,Liste!$A$7:$H$50,8,FALSE)</f>
        <v>Feuillus</v>
      </c>
      <c r="BU1533" s="298">
        <f t="shared" si="459"/>
        <v>1</v>
      </c>
      <c r="BV1533" s="300">
        <f t="shared" si="460"/>
        <v>0</v>
      </c>
      <c r="BW1533" s="321">
        <v>0</v>
      </c>
      <c r="BX1533" s="298">
        <f t="shared" si="461"/>
        <v>0.25</v>
      </c>
      <c r="BY1533">
        <f t="shared" si="462"/>
        <v>0</v>
      </c>
      <c r="BZ1533" s="304">
        <f t="shared" si="463"/>
        <v>0</v>
      </c>
      <c r="CB1533" s="299">
        <v>0.6</v>
      </c>
      <c r="CC1533" s="299">
        <v>0.4</v>
      </c>
      <c r="CD1533">
        <f t="shared" si="464"/>
        <v>0</v>
      </c>
      <c r="CE1533">
        <f t="shared" si="465"/>
        <v>0</v>
      </c>
      <c r="CF1533">
        <f t="shared" si="466"/>
        <v>0</v>
      </c>
      <c r="CG1533">
        <f t="shared" si="467"/>
        <v>0</v>
      </c>
      <c r="CH1533">
        <f t="shared" si="468"/>
        <v>0</v>
      </c>
      <c r="CI1533">
        <f t="shared" si="469"/>
        <v>0</v>
      </c>
      <c r="CJ1533">
        <f t="shared" si="470"/>
        <v>0</v>
      </c>
      <c r="CK1533">
        <f t="shared" si="471"/>
        <v>0</v>
      </c>
      <c r="CL1533">
        <f t="shared" si="472"/>
        <v>0</v>
      </c>
      <c r="CM1533">
        <f t="shared" si="474"/>
        <v>0</v>
      </c>
      <c r="CN1533">
        <f t="shared" si="473"/>
        <v>0</v>
      </c>
      <c r="CO1533">
        <f t="shared" si="457"/>
        <v>0</v>
      </c>
    </row>
    <row r="1534" spans="1:93" x14ac:dyDescent="0.25">
      <c r="A1534" s="4">
        <v>2021</v>
      </c>
      <c r="B1534" s="318">
        <v>44361</v>
      </c>
      <c r="C1534" s="4" t="s">
        <v>66</v>
      </c>
      <c r="D1534" s="4" t="s">
        <v>1525</v>
      </c>
      <c r="E1534" s="4" t="s">
        <v>87</v>
      </c>
      <c r="F1534" s="4" t="s">
        <v>90</v>
      </c>
      <c r="G1534" s="5" t="s">
        <v>17</v>
      </c>
      <c r="H1534" s="5" t="s">
        <v>20</v>
      </c>
      <c r="I1534" s="5" t="s">
        <v>18</v>
      </c>
      <c r="J1534" s="5" t="s">
        <v>10</v>
      </c>
      <c r="K1534" s="5">
        <v>18.18</v>
      </c>
      <c r="L1534" s="5" t="s">
        <v>193</v>
      </c>
      <c r="M1534" s="5">
        <v>1666</v>
      </c>
      <c r="N1534" s="5" t="s">
        <v>170</v>
      </c>
      <c r="O1534" s="6" t="s">
        <v>81</v>
      </c>
      <c r="P1534" s="6" t="s">
        <v>1505</v>
      </c>
      <c r="S1534" s="6">
        <v>42</v>
      </c>
      <c r="T1534" s="6">
        <v>16.02</v>
      </c>
      <c r="U1534" s="6">
        <v>1451</v>
      </c>
      <c r="V1534" s="6">
        <v>23.57</v>
      </c>
      <c r="W1534" s="6">
        <v>44</v>
      </c>
      <c r="X1534" s="6">
        <v>444</v>
      </c>
      <c r="Y1534" s="6">
        <v>742</v>
      </c>
      <c r="Z1534" s="6">
        <v>211</v>
      </c>
      <c r="AA1534" s="6">
        <v>10</v>
      </c>
      <c r="AB1534" s="6">
        <v>0</v>
      </c>
      <c r="AC1534" s="7">
        <v>45</v>
      </c>
      <c r="AD1534" s="7" t="s">
        <v>52</v>
      </c>
      <c r="AE1534" s="7">
        <v>16.86</v>
      </c>
      <c r="AF1534" s="7">
        <v>879</v>
      </c>
      <c r="AG1534" s="7">
        <v>19.18</v>
      </c>
      <c r="AH1534" s="7">
        <v>16.670000000000002</v>
      </c>
      <c r="AI1534" s="7">
        <v>21.96</v>
      </c>
      <c r="AJ1534" s="9">
        <v>147.107064871251</v>
      </c>
      <c r="AK1534" s="9">
        <v>156.27924244254601</v>
      </c>
      <c r="AL1534" s="9">
        <v>191.71980285790099</v>
      </c>
      <c r="AM1534" s="9">
        <v>26.054361944044199</v>
      </c>
      <c r="AN1534" s="9">
        <v>0.57898582097875995</v>
      </c>
      <c r="AO1534" s="9">
        <v>0.83008668534024599</v>
      </c>
      <c r="AP1534" s="9">
        <v>252.694976430926</v>
      </c>
      <c r="AQ1534" s="9">
        <v>5.61544392068725</v>
      </c>
      <c r="AR1534" s="9">
        <v>11.3105502492729</v>
      </c>
      <c r="AS1534" s="8" t="s">
        <v>169</v>
      </c>
      <c r="AT1534" s="8" t="s">
        <v>169</v>
      </c>
      <c r="AU1534" s="10" t="s">
        <v>169</v>
      </c>
      <c r="AV1534" s="10">
        <v>0</v>
      </c>
      <c r="AX1534" s="10" t="s">
        <v>169</v>
      </c>
      <c r="BF1534" s="12">
        <v>0.55000000000000004</v>
      </c>
      <c r="BG1534" s="13">
        <v>183.651594487631</v>
      </c>
      <c r="BH1534" s="96" t="str">
        <f>+VLOOKUP(G1534,Liste!$A$7:$G$50,3,FALSE)</f>
        <v>Chêne sessile</v>
      </c>
      <c r="BI1534" s="96" t="str">
        <f>+VLOOKUP(H1534,Liste!$B$7:$G$50,5,FALSE)</f>
        <v>Guide chênaie atlantique</v>
      </c>
      <c r="BJ1534" s="135">
        <f t="shared" si="456"/>
        <v>45</v>
      </c>
      <c r="BK1534" s="135" t="str">
        <f t="shared" si="458"/>
        <v>Chêne sessile_F2_Classique_Guide chênaie atlantique_45_</v>
      </c>
      <c r="BM1534" s="13">
        <v>49.211444764373297</v>
      </c>
      <c r="BN1534" s="13">
        <v>232.863039252004</v>
      </c>
      <c r="BO1534" s="13" t="s">
        <v>169</v>
      </c>
      <c r="BP1534" s="13">
        <v>401.52059066910999</v>
      </c>
      <c r="BQ1534" s="13">
        <v>13.3002127462985</v>
      </c>
      <c r="BT1534" s="298" t="str">
        <f>+VLOOKUP(G1534,Liste!$A$7:$H$50,8,FALSE)</f>
        <v>Feuillus</v>
      </c>
      <c r="BU1534" s="298">
        <f t="shared" si="459"/>
        <v>1</v>
      </c>
      <c r="BV1534" s="300">
        <f t="shared" si="460"/>
        <v>0</v>
      </c>
      <c r="BW1534" s="321">
        <v>0</v>
      </c>
      <c r="BX1534" s="298">
        <f t="shared" si="461"/>
        <v>0.25</v>
      </c>
      <c r="BY1534">
        <f t="shared" si="462"/>
        <v>0</v>
      </c>
      <c r="BZ1534" s="304">
        <f t="shared" si="463"/>
        <v>0</v>
      </c>
      <c r="CB1534" s="299">
        <v>0.6</v>
      </c>
      <c r="CC1534" s="299">
        <v>0.4</v>
      </c>
      <c r="CD1534">
        <f t="shared" si="464"/>
        <v>0</v>
      </c>
      <c r="CE1534">
        <f t="shared" si="465"/>
        <v>0</v>
      </c>
      <c r="CF1534">
        <f t="shared" si="466"/>
        <v>0</v>
      </c>
      <c r="CG1534">
        <f t="shared" si="467"/>
        <v>0</v>
      </c>
      <c r="CH1534">
        <f t="shared" si="468"/>
        <v>0</v>
      </c>
      <c r="CI1534">
        <f t="shared" si="469"/>
        <v>0</v>
      </c>
      <c r="CJ1534">
        <f t="shared" si="470"/>
        <v>0</v>
      </c>
      <c r="CK1534">
        <f t="shared" si="471"/>
        <v>0</v>
      </c>
      <c r="CL1534">
        <f t="shared" si="472"/>
        <v>0</v>
      </c>
      <c r="CM1534">
        <f t="shared" si="474"/>
        <v>0</v>
      </c>
      <c r="CN1534">
        <f t="shared" si="473"/>
        <v>0</v>
      </c>
      <c r="CO1534">
        <f t="shared" si="457"/>
        <v>0</v>
      </c>
    </row>
    <row r="1535" spans="1:93" x14ac:dyDescent="0.25">
      <c r="A1535" s="4">
        <v>2021</v>
      </c>
      <c r="B1535" s="318">
        <v>44361</v>
      </c>
      <c r="C1535" s="4" t="s">
        <v>66</v>
      </c>
      <c r="D1535" s="4" t="s">
        <v>1525</v>
      </c>
      <c r="E1535" s="4" t="s">
        <v>87</v>
      </c>
      <c r="F1535" s="4" t="s">
        <v>90</v>
      </c>
      <c r="G1535" s="5" t="s">
        <v>17</v>
      </c>
      <c r="H1535" s="5" t="s">
        <v>20</v>
      </c>
      <c r="I1535" s="5" t="s">
        <v>18</v>
      </c>
      <c r="J1535" s="5" t="s">
        <v>10</v>
      </c>
      <c r="K1535" s="5">
        <v>18.18</v>
      </c>
      <c r="L1535" s="5" t="s">
        <v>193</v>
      </c>
      <c r="M1535" s="5">
        <v>1666</v>
      </c>
      <c r="N1535" s="5" t="s">
        <v>170</v>
      </c>
      <c r="O1535" s="6" t="s">
        <v>81</v>
      </c>
      <c r="P1535" s="6" t="s">
        <v>1505</v>
      </c>
      <c r="S1535" s="6">
        <v>42</v>
      </c>
      <c r="T1535" s="6">
        <v>16.02</v>
      </c>
      <c r="U1535" s="6">
        <v>1451</v>
      </c>
      <c r="V1535" s="6">
        <v>23.57</v>
      </c>
      <c r="W1535" s="6">
        <v>44</v>
      </c>
      <c r="X1535" s="6">
        <v>444</v>
      </c>
      <c r="Y1535" s="6">
        <v>742</v>
      </c>
      <c r="Z1535" s="6">
        <v>211</v>
      </c>
      <c r="AA1535" s="6">
        <v>10</v>
      </c>
      <c r="AB1535" s="6">
        <v>0</v>
      </c>
      <c r="AC1535" s="7">
        <v>48</v>
      </c>
      <c r="AD1535" s="7" t="s">
        <v>52</v>
      </c>
      <c r="AE1535" s="7">
        <v>17.670000000000002</v>
      </c>
      <c r="AF1535" s="7">
        <v>879</v>
      </c>
      <c r="AG1535" s="7">
        <v>21.66</v>
      </c>
      <c r="AH1535" s="7">
        <v>17.71</v>
      </c>
      <c r="AI1535" s="7">
        <v>23.26</v>
      </c>
      <c r="AJ1535" s="9">
        <v>175.732950671053</v>
      </c>
      <c r="AK1535" s="9">
        <v>187.09816842461299</v>
      </c>
      <c r="AL1535" s="9">
        <v>225.65145360572001</v>
      </c>
      <c r="AM1535" s="9">
        <v>28.544622000064901</v>
      </c>
      <c r="AN1535" s="9">
        <v>0.59467962500135296</v>
      </c>
      <c r="AO1535" s="9">
        <v>0.81575963399411899</v>
      </c>
      <c r="AP1535" s="9">
        <v>286.62662717874503</v>
      </c>
      <c r="AQ1535" s="9">
        <v>5.9713880662238497</v>
      </c>
      <c r="AR1535" s="9">
        <v>11.541916888397401</v>
      </c>
      <c r="AS1535" s="8" t="s">
        <v>169</v>
      </c>
      <c r="AT1535" s="8" t="s">
        <v>169</v>
      </c>
      <c r="AU1535" s="10" t="s">
        <v>169</v>
      </c>
      <c r="AV1535" s="10">
        <v>0</v>
      </c>
      <c r="AX1535" s="10" t="s">
        <v>169</v>
      </c>
      <c r="BF1535" s="12">
        <v>0.55000000000000004</v>
      </c>
      <c r="BG1535" s="13">
        <v>216.155288266479</v>
      </c>
      <c r="BH1535" s="96" t="str">
        <f>+VLOOKUP(G1535,Liste!$A$7:$G$50,3,FALSE)</f>
        <v>Chêne sessile</v>
      </c>
      <c r="BI1535" s="96" t="str">
        <f>+VLOOKUP(H1535,Liste!$B$7:$G$50,5,FALSE)</f>
        <v>Guide chênaie atlantique</v>
      </c>
      <c r="BJ1535" s="135">
        <f t="shared" si="456"/>
        <v>48</v>
      </c>
      <c r="BK1535" s="135" t="str">
        <f t="shared" si="458"/>
        <v>Chêne sessile_F2_Classique_Guide chênaie atlantique_48_</v>
      </c>
      <c r="BM1535" s="13">
        <v>56.832860302584002</v>
      </c>
      <c r="BN1535" s="13">
        <v>272.98814856906301</v>
      </c>
      <c r="BO1535" s="13" t="s">
        <v>169</v>
      </c>
      <c r="BP1535" s="13">
        <v>401.52059066910999</v>
      </c>
      <c r="BQ1535" s="13">
        <v>13.542886406990601</v>
      </c>
      <c r="BT1535" s="298" t="str">
        <f>+VLOOKUP(G1535,Liste!$A$7:$H$50,8,FALSE)</f>
        <v>Feuillus</v>
      </c>
      <c r="BU1535" s="298">
        <f t="shared" si="459"/>
        <v>1</v>
      </c>
      <c r="BV1535" s="300">
        <f t="shared" si="460"/>
        <v>0</v>
      </c>
      <c r="BW1535" s="321">
        <v>0</v>
      </c>
      <c r="BX1535" s="298">
        <f t="shared" si="461"/>
        <v>0.25</v>
      </c>
      <c r="BY1535">
        <f t="shared" si="462"/>
        <v>0</v>
      </c>
      <c r="BZ1535" s="304">
        <f t="shared" si="463"/>
        <v>0</v>
      </c>
      <c r="CB1535" s="299">
        <v>0.6</v>
      </c>
      <c r="CC1535" s="299">
        <v>0.4</v>
      </c>
      <c r="CD1535">
        <f t="shared" si="464"/>
        <v>0</v>
      </c>
      <c r="CE1535">
        <f t="shared" si="465"/>
        <v>0</v>
      </c>
      <c r="CF1535">
        <f t="shared" si="466"/>
        <v>0</v>
      </c>
      <c r="CG1535">
        <f t="shared" si="467"/>
        <v>0</v>
      </c>
      <c r="CH1535">
        <f t="shared" si="468"/>
        <v>0</v>
      </c>
      <c r="CI1535">
        <f t="shared" si="469"/>
        <v>0</v>
      </c>
      <c r="CJ1535">
        <f t="shared" si="470"/>
        <v>0</v>
      </c>
      <c r="CK1535">
        <f t="shared" si="471"/>
        <v>0</v>
      </c>
      <c r="CL1535">
        <f t="shared" si="472"/>
        <v>0</v>
      </c>
      <c r="CM1535">
        <f t="shared" si="474"/>
        <v>0</v>
      </c>
      <c r="CN1535">
        <f t="shared" si="473"/>
        <v>0</v>
      </c>
      <c r="CO1535">
        <f t="shared" si="457"/>
        <v>0</v>
      </c>
    </row>
    <row r="1536" spans="1:93" x14ac:dyDescent="0.25">
      <c r="A1536" s="4">
        <v>2021</v>
      </c>
      <c r="B1536" s="318">
        <v>44361</v>
      </c>
      <c r="C1536" s="4" t="s">
        <v>66</v>
      </c>
      <c r="D1536" s="4" t="s">
        <v>1525</v>
      </c>
      <c r="E1536" s="4" t="s">
        <v>87</v>
      </c>
      <c r="F1536" s="4" t="s">
        <v>90</v>
      </c>
      <c r="G1536" s="5" t="s">
        <v>17</v>
      </c>
      <c r="H1536" s="5" t="s">
        <v>20</v>
      </c>
      <c r="I1536" s="5" t="s">
        <v>18</v>
      </c>
      <c r="J1536" s="5" t="s">
        <v>10</v>
      </c>
      <c r="K1536" s="5">
        <v>18.18</v>
      </c>
      <c r="L1536" s="5" t="s">
        <v>193</v>
      </c>
      <c r="M1536" s="5">
        <v>1666</v>
      </c>
      <c r="N1536" s="5" t="s">
        <v>170</v>
      </c>
      <c r="O1536" s="6" t="s">
        <v>81</v>
      </c>
      <c r="P1536" s="6" t="s">
        <v>1505</v>
      </c>
      <c r="S1536" s="6">
        <v>42</v>
      </c>
      <c r="T1536" s="6">
        <v>16.02</v>
      </c>
      <c r="U1536" s="6">
        <v>1451</v>
      </c>
      <c r="V1536" s="6">
        <v>23.57</v>
      </c>
      <c r="W1536" s="6">
        <v>44</v>
      </c>
      <c r="X1536" s="6">
        <v>444</v>
      </c>
      <c r="Y1536" s="6">
        <v>742</v>
      </c>
      <c r="Z1536" s="6">
        <v>211</v>
      </c>
      <c r="AA1536" s="6">
        <v>10</v>
      </c>
      <c r="AB1536" s="6">
        <v>0</v>
      </c>
      <c r="AC1536" s="7">
        <v>50</v>
      </c>
      <c r="AD1536" s="7" t="s">
        <v>52</v>
      </c>
      <c r="AE1536" s="7">
        <v>18.18</v>
      </c>
      <c r="AF1536" s="7">
        <v>879</v>
      </c>
      <c r="AG1536" s="7">
        <v>23.3</v>
      </c>
      <c r="AH1536" s="7">
        <v>18.37</v>
      </c>
      <c r="AI1536" s="7">
        <v>24.1</v>
      </c>
      <c r="AJ1536" s="9">
        <v>195.289637571886</v>
      </c>
      <c r="AK1536" s="9">
        <v>208.170612982032</v>
      </c>
      <c r="AL1536" s="9">
        <v>248.735287382514</v>
      </c>
      <c r="AM1536" s="9">
        <v>30.1761412680532</v>
      </c>
      <c r="AN1536" s="9">
        <v>0.60352282536106405</v>
      </c>
      <c r="AO1536" s="9">
        <v>0.76364218135839901</v>
      </c>
      <c r="AP1536" s="9">
        <v>309.71046095553999</v>
      </c>
      <c r="AQ1536" s="9">
        <v>6.1942092191107898</v>
      </c>
      <c r="AR1536" s="9">
        <v>11.0347752165736</v>
      </c>
      <c r="AS1536" s="8" t="s">
        <v>169</v>
      </c>
      <c r="AT1536" s="8" t="s">
        <v>169</v>
      </c>
      <c r="AU1536" s="10" t="s">
        <v>169</v>
      </c>
      <c r="AV1536" s="10">
        <v>0</v>
      </c>
      <c r="AX1536" s="10" t="s">
        <v>169</v>
      </c>
      <c r="BF1536" s="12">
        <v>0.55000000000000004</v>
      </c>
      <c r="BG1536" s="13">
        <v>238.267677371834</v>
      </c>
      <c r="BH1536" s="96" t="str">
        <f>+VLOOKUP(G1536,Liste!$A$7:$G$50,3,FALSE)</f>
        <v>Chêne sessile</v>
      </c>
      <c r="BI1536" s="96" t="str">
        <f>+VLOOKUP(H1536,Liste!$B$7:$G$50,5,FALSE)</f>
        <v>Guide chênaie atlantique</v>
      </c>
      <c r="BJ1536" s="135">
        <f t="shared" si="456"/>
        <v>50</v>
      </c>
      <c r="BK1536" s="135" t="str">
        <f t="shared" si="458"/>
        <v>Chêne sessile_F2_Classique_Guide chênaie atlantique_50_</v>
      </c>
      <c r="BM1536" s="13">
        <v>61.940562585555597</v>
      </c>
      <c r="BN1536" s="13">
        <v>300.20823995738903</v>
      </c>
      <c r="BO1536" s="13" t="s">
        <v>169</v>
      </c>
      <c r="BP1536" s="13">
        <v>401.52059066910999</v>
      </c>
      <c r="BQ1536" s="13">
        <v>12.9230908427279</v>
      </c>
      <c r="BT1536" s="298" t="str">
        <f>+VLOOKUP(G1536,Liste!$A$7:$H$50,8,FALSE)</f>
        <v>Feuillus</v>
      </c>
      <c r="BU1536" s="298">
        <f t="shared" si="459"/>
        <v>1</v>
      </c>
      <c r="BV1536" s="300">
        <f t="shared" si="460"/>
        <v>0</v>
      </c>
      <c r="BW1536" s="321">
        <v>0</v>
      </c>
      <c r="BX1536" s="298">
        <f t="shared" si="461"/>
        <v>0.25</v>
      </c>
      <c r="BY1536">
        <f t="shared" si="462"/>
        <v>0</v>
      </c>
      <c r="BZ1536" s="304">
        <f t="shared" si="463"/>
        <v>0</v>
      </c>
      <c r="CB1536" s="299">
        <v>0.6</v>
      </c>
      <c r="CC1536" s="299">
        <v>0.4</v>
      </c>
      <c r="CD1536">
        <f t="shared" si="464"/>
        <v>0</v>
      </c>
      <c r="CE1536">
        <f t="shared" si="465"/>
        <v>0</v>
      </c>
      <c r="CF1536">
        <f t="shared" si="466"/>
        <v>0</v>
      </c>
      <c r="CG1536">
        <f t="shared" si="467"/>
        <v>0</v>
      </c>
      <c r="CH1536">
        <f t="shared" si="468"/>
        <v>0</v>
      </c>
      <c r="CI1536">
        <f t="shared" si="469"/>
        <v>0</v>
      </c>
      <c r="CJ1536">
        <f t="shared" si="470"/>
        <v>0</v>
      </c>
      <c r="CK1536">
        <f t="shared" si="471"/>
        <v>0</v>
      </c>
      <c r="CL1536">
        <f t="shared" si="472"/>
        <v>0</v>
      </c>
      <c r="CM1536">
        <f t="shared" si="474"/>
        <v>0</v>
      </c>
      <c r="CN1536">
        <f t="shared" si="473"/>
        <v>0</v>
      </c>
      <c r="CO1536">
        <f t="shared" si="457"/>
        <v>0</v>
      </c>
    </row>
    <row r="1537" spans="1:93" x14ac:dyDescent="0.25">
      <c r="A1537" s="4">
        <v>2021</v>
      </c>
      <c r="B1537" s="318">
        <v>44361</v>
      </c>
      <c r="C1537" s="4" t="s">
        <v>66</v>
      </c>
      <c r="D1537" s="4" t="s">
        <v>1525</v>
      </c>
      <c r="E1537" s="4" t="s">
        <v>87</v>
      </c>
      <c r="F1537" s="4" t="s">
        <v>90</v>
      </c>
      <c r="G1537" s="5" t="s">
        <v>17</v>
      </c>
      <c r="H1537" s="5" t="s">
        <v>20</v>
      </c>
      <c r="I1537" s="5" t="s">
        <v>18</v>
      </c>
      <c r="J1537" s="5" t="s">
        <v>10</v>
      </c>
      <c r="K1537" s="5">
        <v>18.18</v>
      </c>
      <c r="L1537" s="5" t="s">
        <v>193</v>
      </c>
      <c r="M1537" s="5">
        <v>1666</v>
      </c>
      <c r="N1537" s="5" t="s">
        <v>170</v>
      </c>
      <c r="O1537" s="6" t="s">
        <v>81</v>
      </c>
      <c r="P1537" s="6" t="s">
        <v>1505</v>
      </c>
      <c r="S1537" s="6">
        <v>42</v>
      </c>
      <c r="T1537" s="6">
        <v>16.02</v>
      </c>
      <c r="U1537" s="6">
        <v>1451</v>
      </c>
      <c r="V1537" s="6">
        <v>23.57</v>
      </c>
      <c r="W1537" s="6">
        <v>44</v>
      </c>
      <c r="X1537" s="6">
        <v>444</v>
      </c>
      <c r="Y1537" s="6">
        <v>742</v>
      </c>
      <c r="Z1537" s="6">
        <v>211</v>
      </c>
      <c r="AA1537" s="6">
        <v>10</v>
      </c>
      <c r="AB1537" s="6">
        <v>0</v>
      </c>
      <c r="AC1537" s="7">
        <v>50</v>
      </c>
      <c r="AD1537" s="7" t="s">
        <v>53</v>
      </c>
      <c r="AE1537" s="7">
        <v>18.190000000000001</v>
      </c>
      <c r="AF1537" s="7">
        <v>663</v>
      </c>
      <c r="AG1537" s="7">
        <v>18.7</v>
      </c>
      <c r="AH1537" s="7">
        <v>18.95</v>
      </c>
      <c r="AI1537" s="7">
        <v>23.92</v>
      </c>
      <c r="AJ1537" s="9">
        <v>158.271280803248</v>
      </c>
      <c r="AK1537" s="9">
        <v>169.14538794027001</v>
      </c>
      <c r="AL1537" s="9">
        <v>201.161741030131</v>
      </c>
      <c r="AM1537" s="9">
        <v>30.1761412680532</v>
      </c>
      <c r="AN1537" s="9">
        <v>0.60352282536106405</v>
      </c>
      <c r="AO1537" s="9">
        <v>0.76364218135839901</v>
      </c>
      <c r="AP1537" s="9">
        <v>309.71046095553999</v>
      </c>
      <c r="AQ1537" s="9">
        <v>6.1942092191107898</v>
      </c>
      <c r="AR1537" s="9">
        <v>11.0347752165736</v>
      </c>
      <c r="AS1537" s="8">
        <v>216</v>
      </c>
      <c r="AT1537" s="8">
        <v>4.6000000000000014</v>
      </c>
      <c r="AU1537" s="10">
        <v>16.466719952935811</v>
      </c>
      <c r="AV1537" s="10">
        <v>37.018356768638</v>
      </c>
      <c r="AW1537" s="8">
        <v>0.8</v>
      </c>
      <c r="AX1537" s="10">
        <v>0.17138128133628705</v>
      </c>
      <c r="BF1537" s="12">
        <v>0.55000000000000004</v>
      </c>
      <c r="BG1537" s="13">
        <v>192.696184428446</v>
      </c>
      <c r="BH1537" s="96" t="str">
        <f>+VLOOKUP(G1537,Liste!$A$7:$G$50,3,FALSE)</f>
        <v>Chêne sessile</v>
      </c>
      <c r="BI1537" s="96" t="str">
        <f>+VLOOKUP(H1537,Liste!$B$7:$G$50,5,FALSE)</f>
        <v>Guide chênaie atlantique</v>
      </c>
      <c r="BJ1537" s="135">
        <f t="shared" si="456"/>
        <v>50</v>
      </c>
      <c r="BK1537" s="135" t="str">
        <f t="shared" si="458"/>
        <v>Chêne sessile_F2_Classique_Guide chênaie atlantique_50_</v>
      </c>
      <c r="BM1537" s="13">
        <v>51.346906079629903</v>
      </c>
      <c r="BN1537" s="13">
        <v>244.04309050807601</v>
      </c>
      <c r="BO1537" s="13">
        <v>56.16514944931302</v>
      </c>
      <c r="BP1537" s="13">
        <v>401.52059066910999</v>
      </c>
      <c r="BQ1537" s="13">
        <v>12.9230908427279</v>
      </c>
      <c r="BT1537" s="298" t="str">
        <f>+VLOOKUP(G1537,Liste!$A$7:$H$50,8,FALSE)</f>
        <v>Feuillus</v>
      </c>
      <c r="BU1537" s="298">
        <f t="shared" si="459"/>
        <v>1</v>
      </c>
      <c r="BV1537" s="300">
        <f t="shared" si="460"/>
        <v>0</v>
      </c>
      <c r="BW1537" s="321">
        <v>0</v>
      </c>
      <c r="BX1537" s="298">
        <f t="shared" si="461"/>
        <v>0.25</v>
      </c>
      <c r="BY1537">
        <f t="shared" si="462"/>
        <v>0</v>
      </c>
      <c r="BZ1537" s="304">
        <f t="shared" si="463"/>
        <v>0</v>
      </c>
      <c r="CB1537" s="299">
        <v>0.6</v>
      </c>
      <c r="CC1537" s="299">
        <v>0.4</v>
      </c>
      <c r="CD1537">
        <f t="shared" si="464"/>
        <v>0</v>
      </c>
      <c r="CE1537">
        <f t="shared" si="465"/>
        <v>0</v>
      </c>
      <c r="CF1537">
        <f t="shared" si="466"/>
        <v>0</v>
      </c>
      <c r="CG1537">
        <f t="shared" si="467"/>
        <v>0</v>
      </c>
      <c r="CH1537">
        <f t="shared" si="468"/>
        <v>0</v>
      </c>
      <c r="CI1537">
        <f t="shared" si="469"/>
        <v>0</v>
      </c>
      <c r="CJ1537">
        <f t="shared" si="470"/>
        <v>0</v>
      </c>
      <c r="CK1537">
        <f t="shared" si="471"/>
        <v>0</v>
      </c>
      <c r="CL1537">
        <f t="shared" si="472"/>
        <v>0</v>
      </c>
      <c r="CM1537">
        <f t="shared" si="474"/>
        <v>0</v>
      </c>
      <c r="CN1537">
        <f t="shared" si="473"/>
        <v>0</v>
      </c>
      <c r="CO1537">
        <f t="shared" si="457"/>
        <v>0</v>
      </c>
    </row>
    <row r="1538" spans="1:93" x14ac:dyDescent="0.25">
      <c r="A1538" s="4">
        <v>2021</v>
      </c>
      <c r="B1538" s="318">
        <v>44361</v>
      </c>
      <c r="C1538" s="4" t="s">
        <v>66</v>
      </c>
      <c r="D1538" s="4" t="s">
        <v>1525</v>
      </c>
      <c r="E1538" s="4" t="s">
        <v>87</v>
      </c>
      <c r="F1538" s="4" t="s">
        <v>90</v>
      </c>
      <c r="G1538" s="5" t="s">
        <v>17</v>
      </c>
      <c r="H1538" s="5" t="s">
        <v>20</v>
      </c>
      <c r="I1538" s="5" t="s">
        <v>18</v>
      </c>
      <c r="J1538" s="5" t="s">
        <v>10</v>
      </c>
      <c r="K1538" s="5">
        <v>18.18</v>
      </c>
      <c r="L1538" s="5" t="s">
        <v>193</v>
      </c>
      <c r="M1538" s="5">
        <v>1666</v>
      </c>
      <c r="N1538" s="5" t="s">
        <v>170</v>
      </c>
      <c r="O1538" s="6" t="s">
        <v>81</v>
      </c>
      <c r="P1538" s="6" t="s">
        <v>1505</v>
      </c>
      <c r="S1538" s="6">
        <v>42</v>
      </c>
      <c r="T1538" s="6">
        <v>16.02</v>
      </c>
      <c r="U1538" s="6">
        <v>1451</v>
      </c>
      <c r="V1538" s="6">
        <v>23.57</v>
      </c>
      <c r="W1538" s="6">
        <v>44</v>
      </c>
      <c r="X1538" s="6">
        <v>444</v>
      </c>
      <c r="Y1538" s="6">
        <v>742</v>
      </c>
      <c r="Z1538" s="6">
        <v>211</v>
      </c>
      <c r="AA1538" s="6">
        <v>10</v>
      </c>
      <c r="AB1538" s="6">
        <v>0</v>
      </c>
      <c r="AC1538" s="7">
        <v>53</v>
      </c>
      <c r="AD1538" s="7" t="s">
        <v>52</v>
      </c>
      <c r="AE1538" s="7">
        <v>18.93</v>
      </c>
      <c r="AF1538" s="7">
        <v>663</v>
      </c>
      <c r="AG1538" s="7">
        <v>20.99</v>
      </c>
      <c r="AH1538" s="7">
        <v>20.079999999999998</v>
      </c>
      <c r="AI1538" s="7">
        <v>25.25</v>
      </c>
      <c r="AJ1538" s="9">
        <v>186.209604381193</v>
      </c>
      <c r="AK1538" s="9">
        <v>199.43028488576999</v>
      </c>
      <c r="AL1538" s="9">
        <v>234.26606667985101</v>
      </c>
      <c r="AM1538" s="9">
        <v>32.467067812128398</v>
      </c>
      <c r="AN1538" s="9">
        <v>0.61258618513449803</v>
      </c>
      <c r="AO1538" s="9">
        <v>0.74546012224596103</v>
      </c>
      <c r="AP1538" s="9">
        <v>342.81478660526</v>
      </c>
      <c r="AQ1538" s="9">
        <v>6.4682035208539697</v>
      </c>
      <c r="AR1538" s="9">
        <v>11.2676802733865</v>
      </c>
      <c r="AS1538" s="8" t="s">
        <v>169</v>
      </c>
      <c r="AT1538" s="8" t="s">
        <v>169</v>
      </c>
      <c r="AU1538" s="10" t="s">
        <v>169</v>
      </c>
      <c r="AV1538" s="10">
        <v>0</v>
      </c>
      <c r="AX1538" s="10" t="s">
        <v>169</v>
      </c>
      <c r="BF1538" s="12">
        <v>0.55000000000000004</v>
      </c>
      <c r="BG1538" s="13">
        <v>224.407369707074</v>
      </c>
      <c r="BH1538" s="96" t="str">
        <f>+VLOOKUP(G1538,Liste!$A$7:$G$50,3,FALSE)</f>
        <v>Chêne sessile</v>
      </c>
      <c r="BI1538" s="96" t="str">
        <f>+VLOOKUP(H1538,Liste!$B$7:$G$50,5,FALSE)</f>
        <v>Guide chênaie atlantique</v>
      </c>
      <c r="BJ1538" s="135">
        <f t="shared" si="456"/>
        <v>53</v>
      </c>
      <c r="BK1538" s="135" t="str">
        <f t="shared" si="458"/>
        <v>Chêne sessile_F2_Classique_Guide chênaie atlantique_53_</v>
      </c>
      <c r="BM1538" s="13">
        <v>58.745795709429402</v>
      </c>
      <c r="BN1538" s="13">
        <v>283.15316541650401</v>
      </c>
      <c r="BO1538" s="13" t="s">
        <v>169</v>
      </c>
      <c r="BP1538" s="13">
        <v>401.52059066910999</v>
      </c>
      <c r="BQ1538" s="13">
        <v>13.1686912705203</v>
      </c>
      <c r="BT1538" s="298" t="str">
        <f>+VLOOKUP(G1538,Liste!$A$7:$H$50,8,FALSE)</f>
        <v>Feuillus</v>
      </c>
      <c r="BU1538" s="298">
        <f t="shared" si="459"/>
        <v>1</v>
      </c>
      <c r="BV1538" s="300">
        <f t="shared" si="460"/>
        <v>0</v>
      </c>
      <c r="BW1538" s="321">
        <v>0</v>
      </c>
      <c r="BX1538" s="298">
        <f t="shared" si="461"/>
        <v>0.25</v>
      </c>
      <c r="BY1538">
        <f t="shared" si="462"/>
        <v>0</v>
      </c>
      <c r="BZ1538" s="304">
        <f t="shared" si="463"/>
        <v>0</v>
      </c>
      <c r="CB1538" s="299">
        <v>0.6</v>
      </c>
      <c r="CC1538" s="299">
        <v>0.4</v>
      </c>
      <c r="CD1538">
        <f t="shared" si="464"/>
        <v>0</v>
      </c>
      <c r="CE1538">
        <f t="shared" si="465"/>
        <v>0</v>
      </c>
      <c r="CF1538">
        <f t="shared" si="466"/>
        <v>0</v>
      </c>
      <c r="CG1538">
        <f t="shared" si="467"/>
        <v>0</v>
      </c>
      <c r="CH1538">
        <f t="shared" si="468"/>
        <v>0</v>
      </c>
      <c r="CI1538">
        <f t="shared" si="469"/>
        <v>0</v>
      </c>
      <c r="CJ1538">
        <f t="shared" si="470"/>
        <v>0</v>
      </c>
      <c r="CK1538">
        <f t="shared" si="471"/>
        <v>0</v>
      </c>
      <c r="CL1538">
        <f t="shared" si="472"/>
        <v>0</v>
      </c>
      <c r="CM1538">
        <f t="shared" si="474"/>
        <v>0</v>
      </c>
      <c r="CN1538">
        <f t="shared" si="473"/>
        <v>0</v>
      </c>
      <c r="CO1538">
        <f t="shared" si="457"/>
        <v>0</v>
      </c>
    </row>
    <row r="1539" spans="1:93" x14ac:dyDescent="0.25">
      <c r="A1539" s="4">
        <v>2021</v>
      </c>
      <c r="B1539" s="318">
        <v>44361</v>
      </c>
      <c r="C1539" s="4" t="s">
        <v>66</v>
      </c>
      <c r="D1539" s="4" t="s">
        <v>1525</v>
      </c>
      <c r="E1539" s="4" t="s">
        <v>87</v>
      </c>
      <c r="F1539" s="4" t="s">
        <v>90</v>
      </c>
      <c r="G1539" s="5" t="s">
        <v>17</v>
      </c>
      <c r="H1539" s="5" t="s">
        <v>20</v>
      </c>
      <c r="I1539" s="5" t="s">
        <v>18</v>
      </c>
      <c r="J1539" s="5" t="s">
        <v>10</v>
      </c>
      <c r="K1539" s="5">
        <v>18.18</v>
      </c>
      <c r="L1539" s="5" t="s">
        <v>193</v>
      </c>
      <c r="M1539" s="5">
        <v>1666</v>
      </c>
      <c r="N1539" s="5" t="s">
        <v>170</v>
      </c>
      <c r="O1539" s="6" t="s">
        <v>81</v>
      </c>
      <c r="P1539" s="6" t="s">
        <v>1505</v>
      </c>
      <c r="S1539" s="6">
        <v>42</v>
      </c>
      <c r="T1539" s="6">
        <v>16.02</v>
      </c>
      <c r="U1539" s="6">
        <v>1451</v>
      </c>
      <c r="V1539" s="6">
        <v>23.57</v>
      </c>
      <c r="W1539" s="6">
        <v>44</v>
      </c>
      <c r="X1539" s="6">
        <v>444</v>
      </c>
      <c r="Y1539" s="6">
        <v>742</v>
      </c>
      <c r="Z1539" s="6">
        <v>211</v>
      </c>
      <c r="AA1539" s="6">
        <v>10</v>
      </c>
      <c r="AB1539" s="6">
        <v>0</v>
      </c>
      <c r="AC1539" s="7">
        <v>56</v>
      </c>
      <c r="AD1539" s="7" t="s">
        <v>52</v>
      </c>
      <c r="AE1539" s="7">
        <v>19.64</v>
      </c>
      <c r="AF1539" s="7">
        <v>663</v>
      </c>
      <c r="AG1539" s="7">
        <v>23.23</v>
      </c>
      <c r="AH1539" s="7">
        <v>21.12</v>
      </c>
      <c r="AI1539" s="7">
        <v>26.51</v>
      </c>
      <c r="AJ1539" s="9">
        <v>214.90320632892201</v>
      </c>
      <c r="AK1539" s="9">
        <v>230.511142263685</v>
      </c>
      <c r="AL1539" s="9">
        <v>268.069107500011</v>
      </c>
      <c r="AM1539" s="9">
        <v>34.703448178866303</v>
      </c>
      <c r="AN1539" s="9">
        <v>0.61970443176546897</v>
      </c>
      <c r="AO1539" s="9">
        <v>0.73194599465087196</v>
      </c>
      <c r="AP1539" s="9">
        <v>376.61782742541999</v>
      </c>
      <c r="AQ1539" s="9">
        <v>6.7253183468825002</v>
      </c>
      <c r="AR1539" s="9">
        <v>11.3627394944606</v>
      </c>
      <c r="AS1539" s="8" t="s">
        <v>169</v>
      </c>
      <c r="AT1539" s="8" t="s">
        <v>169</v>
      </c>
      <c r="AU1539" s="10" t="s">
        <v>169</v>
      </c>
      <c r="AV1539" s="10">
        <v>0</v>
      </c>
      <c r="AX1539" s="10" t="s">
        <v>169</v>
      </c>
      <c r="BF1539" s="12">
        <v>0.55000000000000004</v>
      </c>
      <c r="BG1539" s="13">
        <v>256.78786589271903</v>
      </c>
      <c r="BH1539" s="96" t="str">
        <f>+VLOOKUP(G1539,Liste!$A$7:$G$50,3,FALSE)</f>
        <v>Chêne sessile</v>
      </c>
      <c r="BI1539" s="96" t="str">
        <f>+VLOOKUP(H1539,Liste!$B$7:$G$50,5,FALSE)</f>
        <v>Guide chênaie atlantique</v>
      </c>
      <c r="BJ1539" s="135">
        <f t="shared" ref="BJ1539:BJ1602" si="475">+AC1539</f>
        <v>56</v>
      </c>
      <c r="BK1539" s="135" t="str">
        <f t="shared" si="458"/>
        <v>Chêne sessile_F2_Classique_Guide chênaie atlantique_56_</v>
      </c>
      <c r="BM1539" s="13">
        <v>66.1759861649615</v>
      </c>
      <c r="BN1539" s="13">
        <v>322.96385205768001</v>
      </c>
      <c r="BO1539" s="13" t="s">
        <v>169</v>
      </c>
      <c r="BP1539" s="13">
        <v>401.52059066910999</v>
      </c>
      <c r="BQ1539" s="13">
        <v>13.2587226792566</v>
      </c>
      <c r="BT1539" s="298" t="str">
        <f>+VLOOKUP(G1539,Liste!$A$7:$H$50,8,FALSE)</f>
        <v>Feuillus</v>
      </c>
      <c r="BU1539" s="298">
        <f t="shared" si="459"/>
        <v>1</v>
      </c>
      <c r="BV1539" s="300">
        <f t="shared" si="460"/>
        <v>0</v>
      </c>
      <c r="BW1539" s="321">
        <v>0</v>
      </c>
      <c r="BX1539" s="298">
        <f t="shared" si="461"/>
        <v>0.25</v>
      </c>
      <c r="BY1539">
        <f t="shared" si="462"/>
        <v>0</v>
      </c>
      <c r="BZ1539" s="304">
        <f t="shared" si="463"/>
        <v>0</v>
      </c>
      <c r="CB1539" s="299">
        <v>0.6</v>
      </c>
      <c r="CC1539" s="299">
        <v>0.4</v>
      </c>
      <c r="CD1539">
        <f t="shared" si="464"/>
        <v>0</v>
      </c>
      <c r="CE1539">
        <f t="shared" si="465"/>
        <v>0</v>
      </c>
      <c r="CF1539">
        <f t="shared" si="466"/>
        <v>0</v>
      </c>
      <c r="CG1539">
        <f t="shared" si="467"/>
        <v>0</v>
      </c>
      <c r="CH1539">
        <f t="shared" si="468"/>
        <v>0</v>
      </c>
      <c r="CI1539">
        <f t="shared" si="469"/>
        <v>0</v>
      </c>
      <c r="CJ1539">
        <f t="shared" si="470"/>
        <v>0</v>
      </c>
      <c r="CK1539">
        <f t="shared" si="471"/>
        <v>0</v>
      </c>
      <c r="CL1539">
        <f t="shared" si="472"/>
        <v>0</v>
      </c>
      <c r="CM1539">
        <f t="shared" si="474"/>
        <v>0</v>
      </c>
      <c r="CN1539">
        <f t="shared" si="473"/>
        <v>0</v>
      </c>
      <c r="CO1539">
        <f t="shared" ref="CO1539:CO1602" si="476">+IF(BJ1539=30,CN1539/30,0)</f>
        <v>0</v>
      </c>
    </row>
    <row r="1540" spans="1:93" x14ac:dyDescent="0.25">
      <c r="A1540" s="4">
        <v>2021</v>
      </c>
      <c r="B1540" s="318">
        <v>44361</v>
      </c>
      <c r="C1540" s="4" t="s">
        <v>66</v>
      </c>
      <c r="D1540" s="4" t="s">
        <v>1525</v>
      </c>
      <c r="E1540" s="4" t="s">
        <v>87</v>
      </c>
      <c r="F1540" s="4" t="s">
        <v>90</v>
      </c>
      <c r="G1540" s="5" t="s">
        <v>17</v>
      </c>
      <c r="H1540" s="5" t="s">
        <v>20</v>
      </c>
      <c r="I1540" s="5" t="s">
        <v>18</v>
      </c>
      <c r="J1540" s="5" t="s">
        <v>10</v>
      </c>
      <c r="K1540" s="5">
        <v>18.18</v>
      </c>
      <c r="L1540" s="5" t="s">
        <v>193</v>
      </c>
      <c r="M1540" s="5">
        <v>1666</v>
      </c>
      <c r="N1540" s="5" t="s">
        <v>170</v>
      </c>
      <c r="O1540" s="6" t="s">
        <v>81</v>
      </c>
      <c r="P1540" s="6" t="s">
        <v>1505</v>
      </c>
      <c r="S1540" s="6">
        <v>42</v>
      </c>
      <c r="T1540" s="6">
        <v>16.02</v>
      </c>
      <c r="U1540" s="6">
        <v>1451</v>
      </c>
      <c r="V1540" s="6">
        <v>23.57</v>
      </c>
      <c r="W1540" s="6">
        <v>44</v>
      </c>
      <c r="X1540" s="6">
        <v>444</v>
      </c>
      <c r="Y1540" s="6">
        <v>742</v>
      </c>
      <c r="Z1540" s="6">
        <v>211</v>
      </c>
      <c r="AA1540" s="6">
        <v>10</v>
      </c>
      <c r="AB1540" s="6">
        <v>0</v>
      </c>
      <c r="AC1540" s="7">
        <v>58</v>
      </c>
      <c r="AD1540" s="7" t="s">
        <v>52</v>
      </c>
      <c r="AE1540" s="7">
        <v>20.100000000000001</v>
      </c>
      <c r="AF1540" s="7">
        <v>663</v>
      </c>
      <c r="AG1540" s="7">
        <v>24.69</v>
      </c>
      <c r="AH1540" s="7">
        <v>21.77</v>
      </c>
      <c r="AI1540" s="7">
        <v>27.32</v>
      </c>
      <c r="AJ1540" s="9">
        <v>234.218684596152</v>
      </c>
      <c r="AK1540" s="9">
        <v>251.46499488828201</v>
      </c>
      <c r="AL1540" s="9">
        <v>290.794586488932</v>
      </c>
      <c r="AM1540" s="9">
        <v>36.167340168168003</v>
      </c>
      <c r="AN1540" s="9">
        <v>0.62357483048565499</v>
      </c>
      <c r="AO1540" s="9">
        <v>0.68253362869547596</v>
      </c>
      <c r="AP1540" s="9">
        <v>399.34330641434099</v>
      </c>
      <c r="AQ1540" s="9">
        <v>6.8852294209369198</v>
      </c>
      <c r="AR1540" s="9">
        <v>10.782338358226299</v>
      </c>
      <c r="AS1540" s="8" t="s">
        <v>169</v>
      </c>
      <c r="AT1540" s="8" t="s">
        <v>169</v>
      </c>
      <c r="AU1540" s="10" t="s">
        <v>169</v>
      </c>
      <c r="AV1540" s="10">
        <v>0</v>
      </c>
      <c r="AX1540" s="10" t="s">
        <v>169</v>
      </c>
      <c r="BF1540" s="12">
        <v>0.55000000000000004</v>
      </c>
      <c r="BG1540" s="13">
        <v>278.55698097419003</v>
      </c>
      <c r="BH1540" s="96" t="str">
        <f>+VLOOKUP(G1540,Liste!$A$7:$G$50,3,FALSE)</f>
        <v>Chêne sessile</v>
      </c>
      <c r="BI1540" s="96" t="str">
        <f>+VLOOKUP(H1540,Liste!$B$7:$G$50,5,FALSE)</f>
        <v>Guide chênaie atlantique</v>
      </c>
      <c r="BJ1540" s="135">
        <f t="shared" si="475"/>
        <v>58</v>
      </c>
      <c r="BK1540" s="135" t="str">
        <f t="shared" ref="BK1540:BK1603" si="477">+_xlfn.CONCAT(BH1540,"_",J1540,"_",I1540,"_",BI1540,"_",BJ1540,"_")</f>
        <v>Chêne sessile_F2_Classique_Guide chênaie atlantique_58_</v>
      </c>
      <c r="BM1540" s="13">
        <v>71.109307185728397</v>
      </c>
      <c r="BN1540" s="13">
        <v>349.666288159918</v>
      </c>
      <c r="BO1540" s="13" t="s">
        <v>169</v>
      </c>
      <c r="BP1540" s="13">
        <v>401.52059066910999</v>
      </c>
      <c r="BQ1540" s="13">
        <v>12.5635983836953</v>
      </c>
      <c r="BT1540" s="298" t="str">
        <f>+VLOOKUP(G1540,Liste!$A$7:$H$50,8,FALSE)</f>
        <v>Feuillus</v>
      </c>
      <c r="BU1540" s="298">
        <f t="shared" ref="BU1540:BU1603" si="478">IF(BT1540="Résineux",0%,100%)</f>
        <v>1</v>
      </c>
      <c r="BV1540" s="300">
        <f t="shared" ref="BV1540:BV1603" si="479">+IF(BT1540="Résineux",100%,0%)</f>
        <v>0</v>
      </c>
      <c r="BW1540" s="321">
        <v>0</v>
      </c>
      <c r="BX1540" s="298">
        <f t="shared" ref="BX1540:BX1603" si="480">+IF(BV1540&lt;&gt;0,0.43,0.25)</f>
        <v>0.25</v>
      </c>
      <c r="BY1540">
        <f t="shared" ref="BY1540:BY1603" si="481">+IF(BJ1540&lt;=30,AV1540*BX1540,0)</f>
        <v>0</v>
      </c>
      <c r="BZ1540" s="304">
        <f t="shared" ref="BZ1540:BZ1603" si="482">+IF(BJ1540&gt;=31,0,BY1540+BZ1539)</f>
        <v>0</v>
      </c>
      <c r="CB1540" s="299">
        <v>0.6</v>
      </c>
      <c r="CC1540" s="299">
        <v>0.4</v>
      </c>
      <c r="CD1540">
        <f t="shared" ref="CD1540:CD1603" si="483">+IF(BJ1540&lt;=31,AV1540*CA1540*0.5,0)</f>
        <v>0</v>
      </c>
      <c r="CE1540">
        <f t="shared" ref="CE1540:CE1603" si="484">IF(BJ1540&lt;=31,AV1540*CB1540,0)</f>
        <v>0</v>
      </c>
      <c r="CF1540">
        <f t="shared" ref="CF1540:CF1603" si="485">IF(BJ1540&lt;=31,AV1540*CC1540,0)</f>
        <v>0</v>
      </c>
      <c r="CG1540">
        <f t="shared" ref="CG1540:CG1603" si="486">CD1540*44/12*0.475*BF1540</f>
        <v>0</v>
      </c>
      <c r="CH1540">
        <f t="shared" ref="CH1540:CH1603" si="487">CE1540*44/12*0.475*BF1540</f>
        <v>0</v>
      </c>
      <c r="CI1540">
        <f t="shared" ref="CI1540:CI1603" si="488">CF1540*44/12*0.475*BF1540</f>
        <v>0</v>
      </c>
      <c r="CJ1540">
        <f t="shared" ref="CJ1540:CJ1603" si="489">+IF(BJ1540&lt;=31,CJ1539*EXP(-$CJ$1)+CG1539*(1-EXP(-$CJ$1))/$CJ$1,0)</f>
        <v>0</v>
      </c>
      <c r="CK1540">
        <f t="shared" ref="CK1540:CK1603" si="490">+IF(BJ1540&lt;=31,CK1539*EXP(-$CK$1)+CH1539*(1-EXP(-$CK$1))/$CK$1,0)</f>
        <v>0</v>
      </c>
      <c r="CL1540">
        <f t="shared" ref="CL1540:CL1603" si="491">+IF(BJ1540&lt;=31,CL1539*EXP(-$CL$1)+CI1539*(1-EXP(-$CL$1))/$CL$1,0)</f>
        <v>0</v>
      </c>
      <c r="CM1540">
        <f t="shared" si="474"/>
        <v>0</v>
      </c>
      <c r="CN1540">
        <f t="shared" ref="CN1540:CN1603" si="492">+IF(BJ1540&lt;=31,CM1540+CN1539,0)</f>
        <v>0</v>
      </c>
      <c r="CO1540">
        <f t="shared" si="476"/>
        <v>0</v>
      </c>
    </row>
    <row r="1541" spans="1:93" x14ac:dyDescent="0.25">
      <c r="A1541" s="4">
        <v>2021</v>
      </c>
      <c r="B1541" s="318">
        <v>44361</v>
      </c>
      <c r="C1541" s="4" t="s">
        <v>66</v>
      </c>
      <c r="D1541" s="4" t="s">
        <v>1525</v>
      </c>
      <c r="E1541" s="4" t="s">
        <v>87</v>
      </c>
      <c r="F1541" s="4" t="s">
        <v>90</v>
      </c>
      <c r="G1541" s="5" t="s">
        <v>17</v>
      </c>
      <c r="H1541" s="5" t="s">
        <v>20</v>
      </c>
      <c r="I1541" s="5" t="s">
        <v>18</v>
      </c>
      <c r="J1541" s="5" t="s">
        <v>10</v>
      </c>
      <c r="K1541" s="5">
        <v>18.18</v>
      </c>
      <c r="L1541" s="5" t="s">
        <v>193</v>
      </c>
      <c r="M1541" s="5">
        <v>1666</v>
      </c>
      <c r="N1541" s="5" t="s">
        <v>170</v>
      </c>
      <c r="O1541" s="6" t="s">
        <v>81</v>
      </c>
      <c r="P1541" s="6" t="s">
        <v>1505</v>
      </c>
      <c r="S1541" s="6">
        <v>42</v>
      </c>
      <c r="T1541" s="6">
        <v>16.02</v>
      </c>
      <c r="U1541" s="6">
        <v>1451</v>
      </c>
      <c r="V1541" s="6">
        <v>23.57</v>
      </c>
      <c r="W1541" s="6">
        <v>44</v>
      </c>
      <c r="X1541" s="6">
        <v>444</v>
      </c>
      <c r="Y1541" s="6">
        <v>742</v>
      </c>
      <c r="Z1541" s="6">
        <v>211</v>
      </c>
      <c r="AA1541" s="6">
        <v>10</v>
      </c>
      <c r="AB1541" s="6">
        <v>0</v>
      </c>
      <c r="AC1541" s="7">
        <v>58</v>
      </c>
      <c r="AD1541" s="7" t="s">
        <v>53</v>
      </c>
      <c r="AE1541" s="7">
        <v>20.100000000000001</v>
      </c>
      <c r="AF1541" s="7">
        <v>500</v>
      </c>
      <c r="AG1541" s="7">
        <v>19.8</v>
      </c>
      <c r="AH1541" s="7">
        <v>22.45</v>
      </c>
      <c r="AI1541" s="7">
        <v>27.32</v>
      </c>
      <c r="AJ1541" s="9">
        <v>189.03131843758501</v>
      </c>
      <c r="AK1541" s="9">
        <v>203.69055593670799</v>
      </c>
      <c r="AL1541" s="9">
        <v>234.86178620891201</v>
      </c>
      <c r="AM1541" s="9">
        <v>36.167340168168003</v>
      </c>
      <c r="AN1541" s="9">
        <v>0.62357483048565499</v>
      </c>
      <c r="AO1541" s="9">
        <v>0.68253362869547596</v>
      </c>
      <c r="AP1541" s="9">
        <v>399.34330641434099</v>
      </c>
      <c r="AQ1541" s="9">
        <v>6.8852294209369198</v>
      </c>
      <c r="AR1541" s="9">
        <v>10.782338358226299</v>
      </c>
      <c r="AS1541" s="8">
        <v>163</v>
      </c>
      <c r="AT1541" s="8">
        <v>4.8900000000000006</v>
      </c>
      <c r="AU1541" s="10">
        <v>19.5441004761168</v>
      </c>
      <c r="AV1541" s="10">
        <v>45.187366158566988</v>
      </c>
      <c r="AW1541" s="8">
        <v>0.81</v>
      </c>
      <c r="AX1541" s="10">
        <v>0.27722310526728211</v>
      </c>
      <c r="BF1541" s="12">
        <v>0.55000000000000004</v>
      </c>
      <c r="BG1541" s="13">
        <v>224.97801937262</v>
      </c>
      <c r="BH1541" s="96" t="str">
        <f>+VLOOKUP(G1541,Liste!$A$7:$G$50,3,FALSE)</f>
        <v>Chêne sessile</v>
      </c>
      <c r="BI1541" s="96" t="str">
        <f>+VLOOKUP(H1541,Liste!$B$7:$G$50,5,FALSE)</f>
        <v>Guide chênaie atlantique</v>
      </c>
      <c r="BJ1541" s="135">
        <f t="shared" si="475"/>
        <v>58</v>
      </c>
      <c r="BK1541" s="135" t="str">
        <f t="shared" si="477"/>
        <v>Chêne sessile_F2_Classique_Guide chênaie atlantique_58_</v>
      </c>
      <c r="BM1541" s="13">
        <v>58.877773462715503</v>
      </c>
      <c r="BN1541" s="13">
        <v>283.85579283533599</v>
      </c>
      <c r="BO1541" s="13">
        <v>65.810495324582007</v>
      </c>
      <c r="BP1541" s="13">
        <v>401.52059066910999</v>
      </c>
      <c r="BQ1541" s="13">
        <v>12.5635983836953</v>
      </c>
      <c r="BT1541" s="298" t="str">
        <f>+VLOOKUP(G1541,Liste!$A$7:$H$50,8,FALSE)</f>
        <v>Feuillus</v>
      </c>
      <c r="BU1541" s="298">
        <f t="shared" si="478"/>
        <v>1</v>
      </c>
      <c r="BV1541" s="300">
        <f t="shared" si="479"/>
        <v>0</v>
      </c>
      <c r="BW1541" s="321">
        <v>0</v>
      </c>
      <c r="BX1541" s="298">
        <f t="shared" si="480"/>
        <v>0.25</v>
      </c>
      <c r="BY1541">
        <f t="shared" si="481"/>
        <v>0</v>
      </c>
      <c r="BZ1541" s="304">
        <f t="shared" si="482"/>
        <v>0</v>
      </c>
      <c r="CB1541" s="299">
        <v>0.6</v>
      </c>
      <c r="CC1541" s="299">
        <v>0.4</v>
      </c>
      <c r="CD1541">
        <f t="shared" si="483"/>
        <v>0</v>
      </c>
      <c r="CE1541">
        <f t="shared" si="484"/>
        <v>0</v>
      </c>
      <c r="CF1541">
        <f t="shared" si="485"/>
        <v>0</v>
      </c>
      <c r="CG1541">
        <f t="shared" si="486"/>
        <v>0</v>
      </c>
      <c r="CH1541">
        <f t="shared" si="487"/>
        <v>0</v>
      </c>
      <c r="CI1541">
        <f t="shared" si="488"/>
        <v>0</v>
      </c>
      <c r="CJ1541">
        <f t="shared" si="489"/>
        <v>0</v>
      </c>
      <c r="CK1541">
        <f t="shared" si="490"/>
        <v>0</v>
      </c>
      <c r="CL1541">
        <f t="shared" si="491"/>
        <v>0</v>
      </c>
      <c r="CM1541">
        <f t="shared" ref="CM1541:CM1604" si="493">+CJ1541+CK1541+CL1541</f>
        <v>0</v>
      </c>
      <c r="CN1541">
        <f t="shared" si="492"/>
        <v>0</v>
      </c>
      <c r="CO1541">
        <f t="shared" si="476"/>
        <v>0</v>
      </c>
    </row>
    <row r="1542" spans="1:93" x14ac:dyDescent="0.25">
      <c r="A1542" s="4">
        <v>2021</v>
      </c>
      <c r="B1542" s="318">
        <v>44361</v>
      </c>
      <c r="C1542" s="4" t="s">
        <v>66</v>
      </c>
      <c r="D1542" s="4" t="s">
        <v>1525</v>
      </c>
      <c r="E1542" s="4" t="s">
        <v>87</v>
      </c>
      <c r="F1542" s="4" t="s">
        <v>90</v>
      </c>
      <c r="G1542" s="5" t="s">
        <v>17</v>
      </c>
      <c r="H1542" s="5" t="s">
        <v>20</v>
      </c>
      <c r="I1542" s="5" t="s">
        <v>18</v>
      </c>
      <c r="J1542" s="5" t="s">
        <v>10</v>
      </c>
      <c r="K1542" s="5">
        <v>18.18</v>
      </c>
      <c r="L1542" s="5" t="s">
        <v>193</v>
      </c>
      <c r="M1542" s="5">
        <v>1666</v>
      </c>
      <c r="N1542" s="5" t="s">
        <v>170</v>
      </c>
      <c r="O1542" s="6" t="s">
        <v>81</v>
      </c>
      <c r="P1542" s="6" t="s">
        <v>1505</v>
      </c>
      <c r="S1542" s="6">
        <v>42</v>
      </c>
      <c r="T1542" s="6">
        <v>16.02</v>
      </c>
      <c r="U1542" s="6">
        <v>1451</v>
      </c>
      <c r="V1542" s="6">
        <v>23.57</v>
      </c>
      <c r="W1542" s="6">
        <v>44</v>
      </c>
      <c r="X1542" s="6">
        <v>444</v>
      </c>
      <c r="Y1542" s="6">
        <v>742</v>
      </c>
      <c r="Z1542" s="6">
        <v>211</v>
      </c>
      <c r="AA1542" s="6">
        <v>10</v>
      </c>
      <c r="AB1542" s="6">
        <v>0</v>
      </c>
      <c r="AC1542" s="7">
        <v>61</v>
      </c>
      <c r="AD1542" s="7" t="s">
        <v>52</v>
      </c>
      <c r="AE1542" s="7">
        <v>20.76</v>
      </c>
      <c r="AF1542" s="7">
        <v>500</v>
      </c>
      <c r="AG1542" s="7">
        <v>21.85</v>
      </c>
      <c r="AH1542" s="7">
        <v>23.59</v>
      </c>
      <c r="AI1542" s="7">
        <v>28.63</v>
      </c>
      <c r="AJ1542" s="9">
        <v>216.407488697921</v>
      </c>
      <c r="AK1542" s="9">
        <v>233.561012111249</v>
      </c>
      <c r="AL1542" s="9">
        <v>267.20880128359101</v>
      </c>
      <c r="AM1542" s="9">
        <v>38.214941054254403</v>
      </c>
      <c r="AN1542" s="9">
        <v>0.62647444351236803</v>
      </c>
      <c r="AO1542" s="9">
        <v>0.66777220896809597</v>
      </c>
      <c r="AP1542" s="9">
        <v>431.69032148901999</v>
      </c>
      <c r="AQ1542" s="9">
        <v>7.0768905162134397</v>
      </c>
      <c r="AR1542" s="9">
        <v>10.852951019080599</v>
      </c>
      <c r="AS1542" s="8" t="s">
        <v>169</v>
      </c>
      <c r="AT1542" s="8" t="s">
        <v>169</v>
      </c>
      <c r="AU1542" s="10" t="s">
        <v>169</v>
      </c>
      <c r="AV1542" s="10">
        <v>0</v>
      </c>
      <c r="AX1542" s="10" t="s">
        <v>169</v>
      </c>
      <c r="BF1542" s="12">
        <v>0.55000000000000004</v>
      </c>
      <c r="BG1542" s="13">
        <v>255.963764229573</v>
      </c>
      <c r="BH1542" s="96" t="str">
        <f>+VLOOKUP(G1542,Liste!$A$7:$G$50,3,FALSE)</f>
        <v>Chêne sessile</v>
      </c>
      <c r="BI1542" s="96" t="str">
        <f>+VLOOKUP(H1542,Liste!$B$7:$G$50,5,FALSE)</f>
        <v>Guide chênaie atlantique</v>
      </c>
      <c r="BJ1542" s="135">
        <f t="shared" si="475"/>
        <v>61</v>
      </c>
      <c r="BK1542" s="135" t="str">
        <f t="shared" si="477"/>
        <v>Chêne sessile_F2_Classique_Guide chênaie atlantique_61_</v>
      </c>
      <c r="BM1542" s="13">
        <v>65.988295087022806</v>
      </c>
      <c r="BN1542" s="13">
        <v>321.95205931659598</v>
      </c>
      <c r="BO1542" s="13" t="s">
        <v>169</v>
      </c>
      <c r="BP1542" s="13">
        <v>401.52059066910999</v>
      </c>
      <c r="BQ1542" s="13">
        <v>12.626260376242</v>
      </c>
      <c r="BT1542" s="298" t="str">
        <f>+VLOOKUP(G1542,Liste!$A$7:$H$50,8,FALSE)</f>
        <v>Feuillus</v>
      </c>
      <c r="BU1542" s="298">
        <f t="shared" si="478"/>
        <v>1</v>
      </c>
      <c r="BV1542" s="300">
        <f t="shared" si="479"/>
        <v>0</v>
      </c>
      <c r="BW1542" s="321">
        <v>0</v>
      </c>
      <c r="BX1542" s="298">
        <f t="shared" si="480"/>
        <v>0.25</v>
      </c>
      <c r="BY1542">
        <f t="shared" si="481"/>
        <v>0</v>
      </c>
      <c r="BZ1542" s="304">
        <f t="shared" si="482"/>
        <v>0</v>
      </c>
      <c r="CB1542" s="299">
        <v>0.6</v>
      </c>
      <c r="CC1542" s="299">
        <v>0.4</v>
      </c>
      <c r="CD1542">
        <f t="shared" si="483"/>
        <v>0</v>
      </c>
      <c r="CE1542">
        <f t="shared" si="484"/>
        <v>0</v>
      </c>
      <c r="CF1542">
        <f t="shared" si="485"/>
        <v>0</v>
      </c>
      <c r="CG1542">
        <f t="shared" si="486"/>
        <v>0</v>
      </c>
      <c r="CH1542">
        <f t="shared" si="487"/>
        <v>0</v>
      </c>
      <c r="CI1542">
        <f t="shared" si="488"/>
        <v>0</v>
      </c>
      <c r="CJ1542">
        <f t="shared" si="489"/>
        <v>0</v>
      </c>
      <c r="CK1542">
        <f t="shared" si="490"/>
        <v>0</v>
      </c>
      <c r="CL1542">
        <f t="shared" si="491"/>
        <v>0</v>
      </c>
      <c r="CM1542">
        <f t="shared" si="493"/>
        <v>0</v>
      </c>
      <c r="CN1542">
        <f t="shared" si="492"/>
        <v>0</v>
      </c>
      <c r="CO1542">
        <f t="shared" si="476"/>
        <v>0</v>
      </c>
    </row>
    <row r="1543" spans="1:93" x14ac:dyDescent="0.25">
      <c r="A1543" s="4">
        <v>2021</v>
      </c>
      <c r="B1543" s="318">
        <v>44361</v>
      </c>
      <c r="C1543" s="4" t="s">
        <v>66</v>
      </c>
      <c r="D1543" s="4" t="s">
        <v>1525</v>
      </c>
      <c r="E1543" s="4" t="s">
        <v>87</v>
      </c>
      <c r="F1543" s="4" t="s">
        <v>90</v>
      </c>
      <c r="G1543" s="5" t="s">
        <v>17</v>
      </c>
      <c r="H1543" s="5" t="s">
        <v>20</v>
      </c>
      <c r="I1543" s="5" t="s">
        <v>18</v>
      </c>
      <c r="J1543" s="5" t="s">
        <v>10</v>
      </c>
      <c r="K1543" s="5">
        <v>18.18</v>
      </c>
      <c r="L1543" s="5" t="s">
        <v>193</v>
      </c>
      <c r="M1543" s="5">
        <v>1666</v>
      </c>
      <c r="N1543" s="5" t="s">
        <v>170</v>
      </c>
      <c r="O1543" s="6" t="s">
        <v>81</v>
      </c>
      <c r="P1543" s="6" t="s">
        <v>1505</v>
      </c>
      <c r="S1543" s="6">
        <v>42</v>
      </c>
      <c r="T1543" s="6">
        <v>16.02</v>
      </c>
      <c r="U1543" s="6">
        <v>1451</v>
      </c>
      <c r="V1543" s="6">
        <v>23.57</v>
      </c>
      <c r="W1543" s="6">
        <v>44</v>
      </c>
      <c r="X1543" s="6">
        <v>444</v>
      </c>
      <c r="Y1543" s="6">
        <v>742</v>
      </c>
      <c r="Z1543" s="6">
        <v>211</v>
      </c>
      <c r="AA1543" s="6">
        <v>10</v>
      </c>
      <c r="AB1543" s="6">
        <v>0</v>
      </c>
      <c r="AC1543" s="7">
        <v>64</v>
      </c>
      <c r="AD1543" s="7" t="s">
        <v>52</v>
      </c>
      <c r="AE1543" s="7">
        <v>21.39</v>
      </c>
      <c r="AF1543" s="7">
        <v>500</v>
      </c>
      <c r="AG1543" s="7">
        <v>23.85</v>
      </c>
      <c r="AH1543" s="7">
        <v>24.65</v>
      </c>
      <c r="AI1543" s="7">
        <v>29.87</v>
      </c>
      <c r="AJ1543" s="9">
        <v>243.995747354342</v>
      </c>
      <c r="AK1543" s="9">
        <v>263.709663763349</v>
      </c>
      <c r="AL1543" s="9">
        <v>299.767654340832</v>
      </c>
      <c r="AM1543" s="9">
        <v>40.218257681158697</v>
      </c>
      <c r="AN1543" s="9">
        <v>0.62841027626810497</v>
      </c>
      <c r="AO1543" s="9">
        <v>0.65466697798283102</v>
      </c>
      <c r="AP1543" s="9">
        <v>464.249174546262</v>
      </c>
      <c r="AQ1543" s="9">
        <v>7.2538933522853402</v>
      </c>
      <c r="AR1543" s="9">
        <v>10.939628964688801</v>
      </c>
      <c r="AS1543" s="8" t="s">
        <v>169</v>
      </c>
      <c r="AT1543" s="8" t="s">
        <v>169</v>
      </c>
      <c r="AU1543" s="10" t="s">
        <v>169</v>
      </c>
      <c r="AV1543" s="10">
        <v>0</v>
      </c>
      <c r="AX1543" s="10" t="s">
        <v>169</v>
      </c>
      <c r="BF1543" s="12">
        <v>0.55000000000000004</v>
      </c>
      <c r="BG1543" s="13">
        <v>287.15243222065601</v>
      </c>
      <c r="BH1543" s="96" t="str">
        <f>+VLOOKUP(G1543,Liste!$A$7:$G$50,3,FALSE)</f>
        <v>Chêne sessile</v>
      </c>
      <c r="BI1543" s="96" t="str">
        <f>+VLOOKUP(H1543,Liste!$B$7:$G$50,5,FALSE)</f>
        <v>Guide chênaie atlantique</v>
      </c>
      <c r="BJ1543" s="135">
        <f t="shared" si="475"/>
        <v>64</v>
      </c>
      <c r="BK1543" s="135" t="str">
        <f t="shared" si="477"/>
        <v>Chêne sessile_F2_Classique_Guide chênaie atlantique_64_</v>
      </c>
      <c r="BM1543" s="13">
        <v>73.044681508511601</v>
      </c>
      <c r="BN1543" s="13">
        <v>360.19711372916697</v>
      </c>
      <c r="BO1543" s="13" t="s">
        <v>169</v>
      </c>
      <c r="BP1543" s="13">
        <v>401.52059066910999</v>
      </c>
      <c r="BQ1543" s="13">
        <v>12.7116818194665</v>
      </c>
      <c r="BT1543" s="298" t="str">
        <f>+VLOOKUP(G1543,Liste!$A$7:$H$50,8,FALSE)</f>
        <v>Feuillus</v>
      </c>
      <c r="BU1543" s="298">
        <f t="shared" si="478"/>
        <v>1</v>
      </c>
      <c r="BV1543" s="300">
        <f t="shared" si="479"/>
        <v>0</v>
      </c>
      <c r="BW1543" s="321">
        <v>0</v>
      </c>
      <c r="BX1543" s="298">
        <f t="shared" si="480"/>
        <v>0.25</v>
      </c>
      <c r="BY1543">
        <f t="shared" si="481"/>
        <v>0</v>
      </c>
      <c r="BZ1543" s="304">
        <f t="shared" si="482"/>
        <v>0</v>
      </c>
      <c r="CB1543" s="299">
        <v>0.6</v>
      </c>
      <c r="CC1543" s="299">
        <v>0.4</v>
      </c>
      <c r="CD1543">
        <f t="shared" si="483"/>
        <v>0</v>
      </c>
      <c r="CE1543">
        <f t="shared" si="484"/>
        <v>0</v>
      </c>
      <c r="CF1543">
        <f t="shared" si="485"/>
        <v>0</v>
      </c>
      <c r="CG1543">
        <f t="shared" si="486"/>
        <v>0</v>
      </c>
      <c r="CH1543">
        <f t="shared" si="487"/>
        <v>0</v>
      </c>
      <c r="CI1543">
        <f t="shared" si="488"/>
        <v>0</v>
      </c>
      <c r="CJ1543">
        <f t="shared" si="489"/>
        <v>0</v>
      </c>
      <c r="CK1543">
        <f t="shared" si="490"/>
        <v>0</v>
      </c>
      <c r="CL1543">
        <f t="shared" si="491"/>
        <v>0</v>
      </c>
      <c r="CM1543">
        <f t="shared" si="493"/>
        <v>0</v>
      </c>
      <c r="CN1543">
        <f t="shared" si="492"/>
        <v>0</v>
      </c>
      <c r="CO1543">
        <f t="shared" si="476"/>
        <v>0</v>
      </c>
    </row>
    <row r="1544" spans="1:93" x14ac:dyDescent="0.25">
      <c r="A1544" s="4">
        <v>2021</v>
      </c>
      <c r="B1544" s="318">
        <v>44361</v>
      </c>
      <c r="C1544" s="4" t="s">
        <v>66</v>
      </c>
      <c r="D1544" s="4" t="s">
        <v>1525</v>
      </c>
      <c r="E1544" s="4" t="s">
        <v>87</v>
      </c>
      <c r="F1544" s="4" t="s">
        <v>90</v>
      </c>
      <c r="G1544" s="5" t="s">
        <v>17</v>
      </c>
      <c r="H1544" s="5" t="s">
        <v>20</v>
      </c>
      <c r="I1544" s="5" t="s">
        <v>18</v>
      </c>
      <c r="J1544" s="5" t="s">
        <v>10</v>
      </c>
      <c r="K1544" s="5">
        <v>18.18</v>
      </c>
      <c r="L1544" s="5" t="s">
        <v>193</v>
      </c>
      <c r="M1544" s="5">
        <v>1666</v>
      </c>
      <c r="N1544" s="5" t="s">
        <v>170</v>
      </c>
      <c r="O1544" s="6" t="s">
        <v>81</v>
      </c>
      <c r="P1544" s="6" t="s">
        <v>1505</v>
      </c>
      <c r="S1544" s="6">
        <v>42</v>
      </c>
      <c r="T1544" s="6">
        <v>16.02</v>
      </c>
      <c r="U1544" s="6">
        <v>1451</v>
      </c>
      <c r="V1544" s="6">
        <v>23.57</v>
      </c>
      <c r="W1544" s="6">
        <v>44</v>
      </c>
      <c r="X1544" s="6">
        <v>444</v>
      </c>
      <c r="Y1544" s="6">
        <v>742</v>
      </c>
      <c r="Z1544" s="6">
        <v>211</v>
      </c>
      <c r="AA1544" s="6">
        <v>10</v>
      </c>
      <c r="AB1544" s="6">
        <v>0</v>
      </c>
      <c r="AC1544" s="7">
        <v>66</v>
      </c>
      <c r="AD1544" s="7" t="s">
        <v>52</v>
      </c>
      <c r="AE1544" s="7">
        <v>21.8</v>
      </c>
      <c r="AF1544" s="7">
        <v>500</v>
      </c>
      <c r="AG1544" s="7">
        <v>25.16</v>
      </c>
      <c r="AH1544" s="7">
        <v>25.31</v>
      </c>
      <c r="AI1544" s="7">
        <v>30.67</v>
      </c>
      <c r="AJ1544" s="9">
        <v>262.59178978668501</v>
      </c>
      <c r="AK1544" s="9">
        <v>284.02498030096598</v>
      </c>
      <c r="AL1544" s="9">
        <v>321.64691227021001</v>
      </c>
      <c r="AM1544" s="9">
        <v>41.527591637124402</v>
      </c>
      <c r="AN1544" s="9">
        <v>0.62920593389582402</v>
      </c>
      <c r="AO1544" s="9">
        <v>0.614427196019941</v>
      </c>
      <c r="AP1544" s="9">
        <v>486.12843247563899</v>
      </c>
      <c r="AQ1544" s="9">
        <v>7.3655823102369604</v>
      </c>
      <c r="AR1544" s="9">
        <v>10.4183904788033</v>
      </c>
      <c r="AS1544" s="8" t="s">
        <v>169</v>
      </c>
      <c r="AT1544" s="8" t="s">
        <v>169</v>
      </c>
      <c r="AU1544" s="10" t="s">
        <v>169</v>
      </c>
      <c r="AV1544" s="10">
        <v>0</v>
      </c>
      <c r="AX1544" s="10" t="s">
        <v>169</v>
      </c>
      <c r="BF1544" s="12">
        <v>0.55000000000000004</v>
      </c>
      <c r="BG1544" s="13">
        <v>308.11093804550501</v>
      </c>
      <c r="BH1544" s="96" t="str">
        <f>+VLOOKUP(G1544,Liste!$A$7:$G$50,3,FALSE)</f>
        <v>Chêne sessile</v>
      </c>
      <c r="BI1544" s="96" t="str">
        <f>+VLOOKUP(H1544,Liste!$B$7:$G$50,5,FALSE)</f>
        <v>Guide chênaie atlantique</v>
      </c>
      <c r="BJ1544" s="135">
        <f t="shared" si="475"/>
        <v>66</v>
      </c>
      <c r="BK1544" s="135" t="str">
        <f t="shared" si="477"/>
        <v>Chêne sessile_F2_Classique_Guide chênaie atlantique_66_</v>
      </c>
      <c r="BM1544" s="13">
        <v>77.735966650210401</v>
      </c>
      <c r="BN1544" s="13">
        <v>385.84690469571598</v>
      </c>
      <c r="BO1544" s="13" t="s">
        <v>169</v>
      </c>
      <c r="BP1544" s="13">
        <v>401.52059066910999</v>
      </c>
      <c r="BQ1544" s="13">
        <v>12.0926103429056</v>
      </c>
      <c r="BT1544" s="298" t="str">
        <f>+VLOOKUP(G1544,Liste!$A$7:$H$50,8,FALSE)</f>
        <v>Feuillus</v>
      </c>
      <c r="BU1544" s="298">
        <f t="shared" si="478"/>
        <v>1</v>
      </c>
      <c r="BV1544" s="300">
        <f t="shared" si="479"/>
        <v>0</v>
      </c>
      <c r="BW1544" s="321">
        <v>0</v>
      </c>
      <c r="BX1544" s="298">
        <f t="shared" si="480"/>
        <v>0.25</v>
      </c>
      <c r="BY1544">
        <f t="shared" si="481"/>
        <v>0</v>
      </c>
      <c r="BZ1544" s="304">
        <f t="shared" si="482"/>
        <v>0</v>
      </c>
      <c r="CB1544" s="299">
        <v>0.6</v>
      </c>
      <c r="CC1544" s="299">
        <v>0.4</v>
      </c>
      <c r="CD1544">
        <f t="shared" si="483"/>
        <v>0</v>
      </c>
      <c r="CE1544">
        <f t="shared" si="484"/>
        <v>0</v>
      </c>
      <c r="CF1544">
        <f t="shared" si="485"/>
        <v>0</v>
      </c>
      <c r="CG1544">
        <f t="shared" si="486"/>
        <v>0</v>
      </c>
      <c r="CH1544">
        <f t="shared" si="487"/>
        <v>0</v>
      </c>
      <c r="CI1544">
        <f t="shared" si="488"/>
        <v>0</v>
      </c>
      <c r="CJ1544">
        <f t="shared" si="489"/>
        <v>0</v>
      </c>
      <c r="CK1544">
        <f t="shared" si="490"/>
        <v>0</v>
      </c>
      <c r="CL1544">
        <f t="shared" si="491"/>
        <v>0</v>
      </c>
      <c r="CM1544">
        <f t="shared" si="493"/>
        <v>0</v>
      </c>
      <c r="CN1544">
        <f t="shared" si="492"/>
        <v>0</v>
      </c>
      <c r="CO1544">
        <f t="shared" si="476"/>
        <v>0</v>
      </c>
    </row>
    <row r="1545" spans="1:93" x14ac:dyDescent="0.25">
      <c r="A1545" s="4">
        <v>2021</v>
      </c>
      <c r="B1545" s="318">
        <v>44361</v>
      </c>
      <c r="C1545" s="4" t="s">
        <v>66</v>
      </c>
      <c r="D1545" s="4" t="s">
        <v>1525</v>
      </c>
      <c r="E1545" s="4" t="s">
        <v>87</v>
      </c>
      <c r="F1545" s="4" t="s">
        <v>90</v>
      </c>
      <c r="G1545" s="5" t="s">
        <v>17</v>
      </c>
      <c r="H1545" s="5" t="s">
        <v>20</v>
      </c>
      <c r="I1545" s="5" t="s">
        <v>18</v>
      </c>
      <c r="J1545" s="5" t="s">
        <v>10</v>
      </c>
      <c r="K1545" s="5">
        <v>18.18</v>
      </c>
      <c r="L1545" s="5" t="s">
        <v>193</v>
      </c>
      <c r="M1545" s="5">
        <v>1666</v>
      </c>
      <c r="N1545" s="5" t="s">
        <v>170</v>
      </c>
      <c r="O1545" s="6" t="s">
        <v>81</v>
      </c>
      <c r="P1545" s="6" t="s">
        <v>1505</v>
      </c>
      <c r="S1545" s="6">
        <v>42</v>
      </c>
      <c r="T1545" s="6">
        <v>16.02</v>
      </c>
      <c r="U1545" s="6">
        <v>1451</v>
      </c>
      <c r="V1545" s="6">
        <v>23.57</v>
      </c>
      <c r="W1545" s="6">
        <v>44</v>
      </c>
      <c r="X1545" s="6">
        <v>444</v>
      </c>
      <c r="Y1545" s="6">
        <v>742</v>
      </c>
      <c r="Z1545" s="6">
        <v>211</v>
      </c>
      <c r="AA1545" s="6">
        <v>10</v>
      </c>
      <c r="AB1545" s="6">
        <v>0</v>
      </c>
      <c r="AC1545" s="7">
        <v>66</v>
      </c>
      <c r="AD1545" s="7" t="s">
        <v>53</v>
      </c>
      <c r="AE1545" s="7">
        <v>21.8</v>
      </c>
      <c r="AF1545" s="7">
        <v>389</v>
      </c>
      <c r="AG1545" s="7">
        <v>20.57</v>
      </c>
      <c r="AH1545" s="7">
        <v>25.95</v>
      </c>
      <c r="AI1545" s="7">
        <v>30.56</v>
      </c>
      <c r="AJ1545" s="9">
        <v>215.65750771883199</v>
      </c>
      <c r="AK1545" s="9">
        <v>233.795588546489</v>
      </c>
      <c r="AL1545" s="9">
        <v>264.31845591448598</v>
      </c>
      <c r="AM1545" s="9">
        <v>41.527591637124402</v>
      </c>
      <c r="AN1545" s="9">
        <v>0.62920593389582402</v>
      </c>
      <c r="AO1545" s="9">
        <v>0.614427196019941</v>
      </c>
      <c r="AP1545" s="9">
        <v>486.12843247563899</v>
      </c>
      <c r="AQ1545" s="9">
        <v>7.3655823102369604</v>
      </c>
      <c r="AR1545" s="9">
        <v>10.4183904788033</v>
      </c>
      <c r="AS1545" s="8">
        <v>111</v>
      </c>
      <c r="AT1545" s="8">
        <v>4.59</v>
      </c>
      <c r="AU1545" s="10">
        <v>22.945626112350553</v>
      </c>
      <c r="AV1545" s="10">
        <v>46.934282067853019</v>
      </c>
      <c r="AW1545" s="8">
        <v>0.82</v>
      </c>
      <c r="AX1545" s="10">
        <v>0.42283136998065785</v>
      </c>
      <c r="BF1545" s="12">
        <v>0.55000000000000004</v>
      </c>
      <c r="BG1545" s="13">
        <v>253.19505422808399</v>
      </c>
      <c r="BH1545" s="96" t="str">
        <f>+VLOOKUP(G1545,Liste!$A$7:$G$50,3,FALSE)</f>
        <v>Chêne sessile</v>
      </c>
      <c r="BI1545" s="96" t="str">
        <f>+VLOOKUP(H1545,Liste!$B$7:$G$50,5,FALSE)</f>
        <v>Guide chênaie atlantique</v>
      </c>
      <c r="BJ1545" s="135">
        <f t="shared" si="475"/>
        <v>66</v>
      </c>
      <c r="BK1545" s="135" t="str">
        <f t="shared" si="477"/>
        <v>Chêne sessile_F2_Classique_Guide chênaie atlantique_66_</v>
      </c>
      <c r="BM1545" s="13">
        <v>65.357198224267094</v>
      </c>
      <c r="BN1545" s="13">
        <v>318.55225245235101</v>
      </c>
      <c r="BO1545" s="13">
        <v>67.294652243364965</v>
      </c>
      <c r="BP1545" s="13">
        <v>401.52059066910999</v>
      </c>
      <c r="BQ1545" s="13">
        <v>12.0926103429056</v>
      </c>
      <c r="BT1545" s="298" t="str">
        <f>+VLOOKUP(G1545,Liste!$A$7:$H$50,8,FALSE)</f>
        <v>Feuillus</v>
      </c>
      <c r="BU1545" s="298">
        <f t="shared" si="478"/>
        <v>1</v>
      </c>
      <c r="BV1545" s="300">
        <f t="shared" si="479"/>
        <v>0</v>
      </c>
      <c r="BW1545" s="321">
        <v>0</v>
      </c>
      <c r="BX1545" s="298">
        <f t="shared" si="480"/>
        <v>0.25</v>
      </c>
      <c r="BY1545">
        <f t="shared" si="481"/>
        <v>0</v>
      </c>
      <c r="BZ1545" s="304">
        <f t="shared" si="482"/>
        <v>0</v>
      </c>
      <c r="CB1545" s="299">
        <v>0.6</v>
      </c>
      <c r="CC1545" s="299">
        <v>0.4</v>
      </c>
      <c r="CD1545">
        <f t="shared" si="483"/>
        <v>0</v>
      </c>
      <c r="CE1545">
        <f t="shared" si="484"/>
        <v>0</v>
      </c>
      <c r="CF1545">
        <f t="shared" si="485"/>
        <v>0</v>
      </c>
      <c r="CG1545">
        <f t="shared" si="486"/>
        <v>0</v>
      </c>
      <c r="CH1545">
        <f t="shared" si="487"/>
        <v>0</v>
      </c>
      <c r="CI1545">
        <f t="shared" si="488"/>
        <v>0</v>
      </c>
      <c r="CJ1545">
        <f t="shared" si="489"/>
        <v>0</v>
      </c>
      <c r="CK1545">
        <f t="shared" si="490"/>
        <v>0</v>
      </c>
      <c r="CL1545">
        <f t="shared" si="491"/>
        <v>0</v>
      </c>
      <c r="CM1545">
        <f t="shared" si="493"/>
        <v>0</v>
      </c>
      <c r="CN1545">
        <f t="shared" si="492"/>
        <v>0</v>
      </c>
      <c r="CO1545">
        <f t="shared" si="476"/>
        <v>0</v>
      </c>
    </row>
    <row r="1546" spans="1:93" x14ac:dyDescent="0.25">
      <c r="A1546" s="4">
        <v>2021</v>
      </c>
      <c r="B1546" s="318">
        <v>44361</v>
      </c>
      <c r="C1546" s="4" t="s">
        <v>66</v>
      </c>
      <c r="D1546" s="4" t="s">
        <v>1525</v>
      </c>
      <c r="E1546" s="4" t="s">
        <v>87</v>
      </c>
      <c r="F1546" s="4" t="s">
        <v>90</v>
      </c>
      <c r="G1546" s="5" t="s">
        <v>17</v>
      </c>
      <c r="H1546" s="5" t="s">
        <v>20</v>
      </c>
      <c r="I1546" s="5" t="s">
        <v>18</v>
      </c>
      <c r="J1546" s="5" t="s">
        <v>10</v>
      </c>
      <c r="K1546" s="5">
        <v>18.18</v>
      </c>
      <c r="L1546" s="5" t="s">
        <v>193</v>
      </c>
      <c r="M1546" s="5">
        <v>1666</v>
      </c>
      <c r="N1546" s="5" t="s">
        <v>170</v>
      </c>
      <c r="O1546" s="6" t="s">
        <v>81</v>
      </c>
      <c r="P1546" s="6" t="s">
        <v>1505</v>
      </c>
      <c r="S1546" s="6">
        <v>42</v>
      </c>
      <c r="T1546" s="6">
        <v>16.02</v>
      </c>
      <c r="U1546" s="6">
        <v>1451</v>
      </c>
      <c r="V1546" s="6">
        <v>23.57</v>
      </c>
      <c r="W1546" s="6">
        <v>44</v>
      </c>
      <c r="X1546" s="6">
        <v>444</v>
      </c>
      <c r="Y1546" s="6">
        <v>742</v>
      </c>
      <c r="Z1546" s="6">
        <v>211</v>
      </c>
      <c r="AA1546" s="6">
        <v>10</v>
      </c>
      <c r="AB1546" s="6">
        <v>0</v>
      </c>
      <c r="AC1546" s="7">
        <v>69</v>
      </c>
      <c r="AD1546" s="7" t="s">
        <v>52</v>
      </c>
      <c r="AE1546" s="7">
        <v>22.39</v>
      </c>
      <c r="AF1546" s="7">
        <v>389</v>
      </c>
      <c r="AG1546" s="7">
        <v>22.42</v>
      </c>
      <c r="AH1546" s="7">
        <v>27.09</v>
      </c>
      <c r="AI1546" s="7">
        <v>31.85</v>
      </c>
      <c r="AJ1546" s="9">
        <v>242.139193267791</v>
      </c>
      <c r="AK1546" s="9">
        <v>262.84871570246401</v>
      </c>
      <c r="AL1546" s="9">
        <v>295.573627350896</v>
      </c>
      <c r="AM1546" s="9">
        <v>43.370873225184198</v>
      </c>
      <c r="AN1546" s="9">
        <v>0.62856338007513302</v>
      </c>
      <c r="AO1546" s="9">
        <v>0.60352599517569205</v>
      </c>
      <c r="AP1546" s="9">
        <v>517.38360391204901</v>
      </c>
      <c r="AQ1546" s="9">
        <v>7.4983131001746299</v>
      </c>
      <c r="AR1546" s="9">
        <v>10.5022396530784</v>
      </c>
      <c r="AS1546" s="8" t="s">
        <v>169</v>
      </c>
      <c r="AT1546" s="8" t="s">
        <v>169</v>
      </c>
      <c r="AU1546" s="10" t="s">
        <v>169</v>
      </c>
      <c r="AV1546" s="10">
        <v>0</v>
      </c>
      <c r="AX1546" s="10" t="s">
        <v>169</v>
      </c>
      <c r="BF1546" s="12">
        <v>0.55000000000000004</v>
      </c>
      <c r="BG1546" s="13">
        <v>283.13490386654502</v>
      </c>
      <c r="BH1546" s="96" t="str">
        <f>+VLOOKUP(G1546,Liste!$A$7:$G$50,3,FALSE)</f>
        <v>Chêne sessile</v>
      </c>
      <c r="BI1546" s="96" t="str">
        <f>+VLOOKUP(H1546,Liste!$B$7:$G$50,5,FALSE)</f>
        <v>Guide chênaie atlantique</v>
      </c>
      <c r="BJ1546" s="135">
        <f t="shared" si="475"/>
        <v>69</v>
      </c>
      <c r="BK1546" s="135" t="str">
        <f t="shared" si="477"/>
        <v>Chêne sessile_F2_Classique_Guide chênaie atlantique_69_</v>
      </c>
      <c r="BM1546" s="13">
        <v>72.140936104591304</v>
      </c>
      <c r="BN1546" s="13">
        <v>355.27583997113697</v>
      </c>
      <c r="BO1546" s="13" t="s">
        <v>169</v>
      </c>
      <c r="BP1546" s="13">
        <v>401.52059066910999</v>
      </c>
      <c r="BQ1546" s="13">
        <v>12.174944217922</v>
      </c>
      <c r="BT1546" s="298" t="str">
        <f>+VLOOKUP(G1546,Liste!$A$7:$H$50,8,FALSE)</f>
        <v>Feuillus</v>
      </c>
      <c r="BU1546" s="298">
        <f t="shared" si="478"/>
        <v>1</v>
      </c>
      <c r="BV1546" s="300">
        <f t="shared" si="479"/>
        <v>0</v>
      </c>
      <c r="BW1546" s="321">
        <v>0</v>
      </c>
      <c r="BX1546" s="298">
        <f t="shared" si="480"/>
        <v>0.25</v>
      </c>
      <c r="BY1546">
        <f t="shared" si="481"/>
        <v>0</v>
      </c>
      <c r="BZ1546" s="304">
        <f t="shared" si="482"/>
        <v>0</v>
      </c>
      <c r="CB1546" s="299">
        <v>0.6</v>
      </c>
      <c r="CC1546" s="299">
        <v>0.4</v>
      </c>
      <c r="CD1546">
        <f t="shared" si="483"/>
        <v>0</v>
      </c>
      <c r="CE1546">
        <f t="shared" si="484"/>
        <v>0</v>
      </c>
      <c r="CF1546">
        <f t="shared" si="485"/>
        <v>0</v>
      </c>
      <c r="CG1546">
        <f t="shared" si="486"/>
        <v>0</v>
      </c>
      <c r="CH1546">
        <f t="shared" si="487"/>
        <v>0</v>
      </c>
      <c r="CI1546">
        <f t="shared" si="488"/>
        <v>0</v>
      </c>
      <c r="CJ1546">
        <f t="shared" si="489"/>
        <v>0</v>
      </c>
      <c r="CK1546">
        <f t="shared" si="490"/>
        <v>0</v>
      </c>
      <c r="CL1546">
        <f t="shared" si="491"/>
        <v>0</v>
      </c>
      <c r="CM1546">
        <f t="shared" si="493"/>
        <v>0</v>
      </c>
      <c r="CN1546">
        <f t="shared" si="492"/>
        <v>0</v>
      </c>
      <c r="CO1546">
        <f t="shared" si="476"/>
        <v>0</v>
      </c>
    </row>
    <row r="1547" spans="1:93" x14ac:dyDescent="0.25">
      <c r="A1547" s="4">
        <v>2021</v>
      </c>
      <c r="B1547" s="318">
        <v>44361</v>
      </c>
      <c r="C1547" s="4" t="s">
        <v>66</v>
      </c>
      <c r="D1547" s="4" t="s">
        <v>1525</v>
      </c>
      <c r="E1547" s="4" t="s">
        <v>87</v>
      </c>
      <c r="F1547" s="4" t="s">
        <v>90</v>
      </c>
      <c r="G1547" s="5" t="s">
        <v>17</v>
      </c>
      <c r="H1547" s="5" t="s">
        <v>20</v>
      </c>
      <c r="I1547" s="5" t="s">
        <v>18</v>
      </c>
      <c r="J1547" s="5" t="s">
        <v>10</v>
      </c>
      <c r="K1547" s="5">
        <v>18.18</v>
      </c>
      <c r="L1547" s="5" t="s">
        <v>193</v>
      </c>
      <c r="M1547" s="5">
        <v>1666</v>
      </c>
      <c r="N1547" s="5" t="s">
        <v>170</v>
      </c>
      <c r="O1547" s="6" t="s">
        <v>81</v>
      </c>
      <c r="P1547" s="6" t="s">
        <v>1505</v>
      </c>
      <c r="S1547" s="6">
        <v>42</v>
      </c>
      <c r="T1547" s="6">
        <v>16.02</v>
      </c>
      <c r="U1547" s="6">
        <v>1451</v>
      </c>
      <c r="V1547" s="6">
        <v>23.57</v>
      </c>
      <c r="W1547" s="6">
        <v>44</v>
      </c>
      <c r="X1547" s="6">
        <v>444</v>
      </c>
      <c r="Y1547" s="6">
        <v>742</v>
      </c>
      <c r="Z1547" s="6">
        <v>211</v>
      </c>
      <c r="AA1547" s="6">
        <v>10</v>
      </c>
      <c r="AB1547" s="6">
        <v>0</v>
      </c>
      <c r="AC1547" s="7">
        <v>72</v>
      </c>
      <c r="AD1547" s="7" t="s">
        <v>52</v>
      </c>
      <c r="AE1547" s="7">
        <v>22.96</v>
      </c>
      <c r="AF1547" s="7">
        <v>389</v>
      </c>
      <c r="AG1547" s="7">
        <v>24.22</v>
      </c>
      <c r="AH1547" s="7">
        <v>28.16</v>
      </c>
      <c r="AI1547" s="7">
        <v>33.08</v>
      </c>
      <c r="AJ1547" s="9">
        <v>268.87933760945401</v>
      </c>
      <c r="AK1547" s="9">
        <v>292.20504470856201</v>
      </c>
      <c r="AL1547" s="9">
        <v>327.08034631013101</v>
      </c>
      <c r="AM1547" s="9">
        <v>45.181451210711302</v>
      </c>
      <c r="AN1547" s="9">
        <v>0.62752015570432296</v>
      </c>
      <c r="AO1547" s="9">
        <v>0.59228345767163404</v>
      </c>
      <c r="AP1547" s="9">
        <v>548.89032287128498</v>
      </c>
      <c r="AQ1547" s="9">
        <v>7.6234767065456204</v>
      </c>
      <c r="AR1547" s="9">
        <v>10.698283500225299</v>
      </c>
      <c r="AS1547" s="8" t="s">
        <v>169</v>
      </c>
      <c r="AT1547" s="8" t="s">
        <v>169</v>
      </c>
      <c r="AU1547" s="10" t="s">
        <v>169</v>
      </c>
      <c r="AV1547" s="10">
        <v>0</v>
      </c>
      <c r="AX1547" s="10" t="s">
        <v>169</v>
      </c>
      <c r="BF1547" s="12">
        <v>0.55000000000000004</v>
      </c>
      <c r="BG1547" s="13">
        <v>313.31571506957999</v>
      </c>
      <c r="BH1547" s="96" t="str">
        <f>+VLOOKUP(G1547,Liste!$A$7:$G$50,3,FALSE)</f>
        <v>Chêne sessile</v>
      </c>
      <c r="BI1547" s="96" t="str">
        <f>+VLOOKUP(H1547,Liste!$B$7:$G$50,5,FALSE)</f>
        <v>Guide chênaie atlantique</v>
      </c>
      <c r="BJ1547" s="135">
        <f t="shared" si="475"/>
        <v>72</v>
      </c>
      <c r="BK1547" s="135" t="str">
        <f t="shared" si="477"/>
        <v>Chêne sessile_F2_Classique_Guide chênaie atlantique_72_</v>
      </c>
      <c r="BM1547" s="13">
        <v>78.895139502006899</v>
      </c>
      <c r="BN1547" s="13">
        <v>392.21085457158603</v>
      </c>
      <c r="BO1547" s="13" t="s">
        <v>169</v>
      </c>
      <c r="BP1547" s="13">
        <v>401.52059066910999</v>
      </c>
      <c r="BQ1547" s="13">
        <v>12.390080952586001</v>
      </c>
      <c r="BT1547" s="298" t="str">
        <f>+VLOOKUP(G1547,Liste!$A$7:$H$50,8,FALSE)</f>
        <v>Feuillus</v>
      </c>
      <c r="BU1547" s="298">
        <f t="shared" si="478"/>
        <v>1</v>
      </c>
      <c r="BV1547" s="300">
        <f t="shared" si="479"/>
        <v>0</v>
      </c>
      <c r="BW1547" s="321">
        <v>0</v>
      </c>
      <c r="BX1547" s="298">
        <f t="shared" si="480"/>
        <v>0.25</v>
      </c>
      <c r="BY1547">
        <f t="shared" si="481"/>
        <v>0</v>
      </c>
      <c r="BZ1547" s="304">
        <f t="shared" si="482"/>
        <v>0</v>
      </c>
      <c r="CB1547" s="299">
        <v>0.6</v>
      </c>
      <c r="CC1547" s="299">
        <v>0.4</v>
      </c>
      <c r="CD1547">
        <f t="shared" si="483"/>
        <v>0</v>
      </c>
      <c r="CE1547">
        <f t="shared" si="484"/>
        <v>0</v>
      </c>
      <c r="CF1547">
        <f t="shared" si="485"/>
        <v>0</v>
      </c>
      <c r="CG1547">
        <f t="shared" si="486"/>
        <v>0</v>
      </c>
      <c r="CH1547">
        <f t="shared" si="487"/>
        <v>0</v>
      </c>
      <c r="CI1547">
        <f t="shared" si="488"/>
        <v>0</v>
      </c>
      <c r="CJ1547">
        <f t="shared" si="489"/>
        <v>0</v>
      </c>
      <c r="CK1547">
        <f t="shared" si="490"/>
        <v>0</v>
      </c>
      <c r="CL1547">
        <f t="shared" si="491"/>
        <v>0</v>
      </c>
      <c r="CM1547">
        <f t="shared" si="493"/>
        <v>0</v>
      </c>
      <c r="CN1547">
        <f t="shared" si="492"/>
        <v>0</v>
      </c>
      <c r="CO1547">
        <f t="shared" si="476"/>
        <v>0</v>
      </c>
    </row>
    <row r="1548" spans="1:93" x14ac:dyDescent="0.25">
      <c r="A1548" s="4">
        <v>2021</v>
      </c>
      <c r="B1548" s="318">
        <v>44361</v>
      </c>
      <c r="C1548" s="4" t="s">
        <v>66</v>
      </c>
      <c r="D1548" s="4" t="s">
        <v>1525</v>
      </c>
      <c r="E1548" s="4" t="s">
        <v>87</v>
      </c>
      <c r="F1548" s="4" t="s">
        <v>90</v>
      </c>
      <c r="G1548" s="5" t="s">
        <v>17</v>
      </c>
      <c r="H1548" s="5" t="s">
        <v>20</v>
      </c>
      <c r="I1548" s="5" t="s">
        <v>18</v>
      </c>
      <c r="J1548" s="5" t="s">
        <v>10</v>
      </c>
      <c r="K1548" s="5">
        <v>18.18</v>
      </c>
      <c r="L1548" s="5" t="s">
        <v>193</v>
      </c>
      <c r="M1548" s="5">
        <v>1666</v>
      </c>
      <c r="N1548" s="5" t="s">
        <v>170</v>
      </c>
      <c r="O1548" s="6" t="s">
        <v>81</v>
      </c>
      <c r="P1548" s="6" t="s">
        <v>1505</v>
      </c>
      <c r="S1548" s="6">
        <v>42</v>
      </c>
      <c r="T1548" s="6">
        <v>16.02</v>
      </c>
      <c r="U1548" s="6">
        <v>1451</v>
      </c>
      <c r="V1548" s="6">
        <v>23.57</v>
      </c>
      <c r="W1548" s="6">
        <v>44</v>
      </c>
      <c r="X1548" s="6">
        <v>444</v>
      </c>
      <c r="Y1548" s="6">
        <v>742</v>
      </c>
      <c r="Z1548" s="6">
        <v>211</v>
      </c>
      <c r="AA1548" s="6">
        <v>10</v>
      </c>
      <c r="AB1548" s="6">
        <v>0</v>
      </c>
      <c r="AC1548" s="7">
        <v>74</v>
      </c>
      <c r="AD1548" s="7" t="s">
        <v>52</v>
      </c>
      <c r="AE1548" s="7">
        <v>23.33</v>
      </c>
      <c r="AF1548" s="7">
        <v>389</v>
      </c>
      <c r="AG1548" s="7">
        <v>25.41</v>
      </c>
      <c r="AH1548" s="7">
        <v>28.84</v>
      </c>
      <c r="AI1548" s="7">
        <v>33.869999999999997</v>
      </c>
      <c r="AJ1548" s="9">
        <v>287.17206497803897</v>
      </c>
      <c r="AK1548" s="9">
        <v>312.21268855006701</v>
      </c>
      <c r="AL1548" s="9">
        <v>348.47691331058098</v>
      </c>
      <c r="AM1548" s="9">
        <v>46.366018126054598</v>
      </c>
      <c r="AN1548" s="9">
        <v>0.62656781251425098</v>
      </c>
      <c r="AO1548" s="9">
        <v>0.55897168468905101</v>
      </c>
      <c r="AP1548" s="9">
        <v>570.28688987173496</v>
      </c>
      <c r="AQ1548" s="9">
        <v>7.7065795928612904</v>
      </c>
      <c r="AR1548" s="9">
        <v>9.9259320452122193</v>
      </c>
      <c r="AS1548" s="8" t="s">
        <v>169</v>
      </c>
      <c r="AT1548" s="8" t="s">
        <v>169</v>
      </c>
      <c r="AU1548" s="10" t="s">
        <v>169</v>
      </c>
      <c r="AV1548" s="10">
        <v>0</v>
      </c>
      <c r="AX1548" s="10" t="s">
        <v>169</v>
      </c>
      <c r="BF1548" s="12">
        <v>0.55000000000000004</v>
      </c>
      <c r="BG1548" s="13">
        <v>333.81184320876099</v>
      </c>
      <c r="BH1548" s="96" t="str">
        <f>+VLOOKUP(G1548,Liste!$A$7:$G$50,3,FALSE)</f>
        <v>Chêne sessile</v>
      </c>
      <c r="BI1548" s="96" t="str">
        <f>+VLOOKUP(H1548,Liste!$B$7:$G$50,5,FALSE)</f>
        <v>Guide chênaie atlantique</v>
      </c>
      <c r="BJ1548" s="135">
        <f t="shared" si="475"/>
        <v>74</v>
      </c>
      <c r="BK1548" s="135" t="str">
        <f t="shared" si="477"/>
        <v>Chêne sessile_F2_Classique_Guide chênaie atlantique_74_</v>
      </c>
      <c r="BM1548" s="13">
        <v>83.438508776041004</v>
      </c>
      <c r="BN1548" s="13">
        <v>417.25035198480202</v>
      </c>
      <c r="BO1548" s="13" t="s">
        <v>169</v>
      </c>
      <c r="BP1548" s="13">
        <v>401.52059066910999</v>
      </c>
      <c r="BQ1548" s="13">
        <v>11.48528799378</v>
      </c>
      <c r="BT1548" s="298" t="str">
        <f>+VLOOKUP(G1548,Liste!$A$7:$H$50,8,FALSE)</f>
        <v>Feuillus</v>
      </c>
      <c r="BU1548" s="298">
        <f t="shared" si="478"/>
        <v>1</v>
      </c>
      <c r="BV1548" s="300">
        <f t="shared" si="479"/>
        <v>0</v>
      </c>
      <c r="BW1548" s="321">
        <v>0</v>
      </c>
      <c r="BX1548" s="298">
        <f t="shared" si="480"/>
        <v>0.25</v>
      </c>
      <c r="BY1548">
        <f t="shared" si="481"/>
        <v>0</v>
      </c>
      <c r="BZ1548" s="304">
        <f t="shared" si="482"/>
        <v>0</v>
      </c>
      <c r="CB1548" s="299">
        <v>0.6</v>
      </c>
      <c r="CC1548" s="299">
        <v>0.4</v>
      </c>
      <c r="CD1548">
        <f t="shared" si="483"/>
        <v>0</v>
      </c>
      <c r="CE1548">
        <f t="shared" si="484"/>
        <v>0</v>
      </c>
      <c r="CF1548">
        <f t="shared" si="485"/>
        <v>0</v>
      </c>
      <c r="CG1548">
        <f t="shared" si="486"/>
        <v>0</v>
      </c>
      <c r="CH1548">
        <f t="shared" si="487"/>
        <v>0</v>
      </c>
      <c r="CI1548">
        <f t="shared" si="488"/>
        <v>0</v>
      </c>
      <c r="CJ1548">
        <f t="shared" si="489"/>
        <v>0</v>
      </c>
      <c r="CK1548">
        <f t="shared" si="490"/>
        <v>0</v>
      </c>
      <c r="CL1548">
        <f t="shared" si="491"/>
        <v>0</v>
      </c>
      <c r="CM1548">
        <f t="shared" si="493"/>
        <v>0</v>
      </c>
      <c r="CN1548">
        <f t="shared" si="492"/>
        <v>0</v>
      </c>
      <c r="CO1548">
        <f t="shared" si="476"/>
        <v>0</v>
      </c>
    </row>
    <row r="1549" spans="1:93" x14ac:dyDescent="0.25">
      <c r="A1549" s="4">
        <v>2021</v>
      </c>
      <c r="B1549" s="318">
        <v>44361</v>
      </c>
      <c r="C1549" s="4" t="s">
        <v>66</v>
      </c>
      <c r="D1549" s="4" t="s">
        <v>1525</v>
      </c>
      <c r="E1549" s="4" t="s">
        <v>87</v>
      </c>
      <c r="F1549" s="4" t="s">
        <v>90</v>
      </c>
      <c r="G1549" s="5" t="s">
        <v>17</v>
      </c>
      <c r="H1549" s="5" t="s">
        <v>20</v>
      </c>
      <c r="I1549" s="5" t="s">
        <v>18</v>
      </c>
      <c r="J1549" s="5" t="s">
        <v>10</v>
      </c>
      <c r="K1549" s="5">
        <v>18.18</v>
      </c>
      <c r="L1549" s="5" t="s">
        <v>193</v>
      </c>
      <c r="M1549" s="5">
        <v>1666</v>
      </c>
      <c r="N1549" s="5" t="s">
        <v>170</v>
      </c>
      <c r="O1549" s="6" t="s">
        <v>81</v>
      </c>
      <c r="P1549" s="6" t="s">
        <v>1505</v>
      </c>
      <c r="S1549" s="6">
        <v>42</v>
      </c>
      <c r="T1549" s="6">
        <v>16.02</v>
      </c>
      <c r="U1549" s="6">
        <v>1451</v>
      </c>
      <c r="V1549" s="6">
        <v>23.57</v>
      </c>
      <c r="W1549" s="6">
        <v>44</v>
      </c>
      <c r="X1549" s="6">
        <v>444</v>
      </c>
      <c r="Y1549" s="6">
        <v>742</v>
      </c>
      <c r="Z1549" s="6">
        <v>211</v>
      </c>
      <c r="AA1549" s="6">
        <v>10</v>
      </c>
      <c r="AB1549" s="6">
        <v>0</v>
      </c>
      <c r="AC1549" s="7">
        <v>74</v>
      </c>
      <c r="AD1549" s="7" t="s">
        <v>53</v>
      </c>
      <c r="AE1549" s="7">
        <v>23.33</v>
      </c>
      <c r="AF1549" s="7">
        <v>315</v>
      </c>
      <c r="AG1549" s="7">
        <v>21.1</v>
      </c>
      <c r="AH1549" s="7">
        <v>29.2</v>
      </c>
      <c r="AI1549" s="7">
        <v>33.869999999999997</v>
      </c>
      <c r="AJ1549" s="9">
        <v>238.88184460424301</v>
      </c>
      <c r="AK1549" s="9">
        <v>260.07376443855202</v>
      </c>
      <c r="AL1549" s="9">
        <v>290.09891475959103</v>
      </c>
      <c r="AM1549" s="9">
        <v>46.366018126054499</v>
      </c>
      <c r="AN1549" s="9">
        <v>0.62656781251425098</v>
      </c>
      <c r="AO1549" s="9">
        <v>0.55897168468905101</v>
      </c>
      <c r="AP1549" s="9">
        <v>570.28688987173496</v>
      </c>
      <c r="AQ1549" s="9">
        <v>7.7065795928612904</v>
      </c>
      <c r="AR1549" s="9">
        <v>9.9259320452122193</v>
      </c>
      <c r="AS1549" s="8">
        <v>74</v>
      </c>
      <c r="AT1549" s="8">
        <v>4.3099999999999987</v>
      </c>
      <c r="AU1549" s="10">
        <v>27.231893160580359</v>
      </c>
      <c r="AV1549" s="10">
        <v>48.290220373795961</v>
      </c>
      <c r="AW1549" s="8">
        <v>0.89</v>
      </c>
      <c r="AX1549" s="10">
        <v>0.65257054559183736</v>
      </c>
      <c r="BF1549" s="12">
        <v>0.55000000000000004</v>
      </c>
      <c r="BG1549" s="13">
        <v>277.89058543012499</v>
      </c>
      <c r="BH1549" s="96" t="str">
        <f>+VLOOKUP(G1549,Liste!$A$7:$G$50,3,FALSE)</f>
        <v>Chêne sessile</v>
      </c>
      <c r="BI1549" s="96" t="str">
        <f>+VLOOKUP(H1549,Liste!$B$7:$G$50,5,FALSE)</f>
        <v>Guide chênaie atlantique</v>
      </c>
      <c r="BJ1549" s="135">
        <f t="shared" si="475"/>
        <v>74</v>
      </c>
      <c r="BK1549" s="135" t="str">
        <f t="shared" si="477"/>
        <v>Chêne sessile_F2_Classique_Guide chênaie atlantique_74_</v>
      </c>
      <c r="BM1549" s="13">
        <v>70.958971975318406</v>
      </c>
      <c r="BN1549" s="13">
        <v>348.84955740544302</v>
      </c>
      <c r="BO1549" s="13">
        <v>68.400794579359001</v>
      </c>
      <c r="BP1549" s="13">
        <v>401.52059066910999</v>
      </c>
      <c r="BQ1549" s="13">
        <v>11.48528799378</v>
      </c>
      <c r="BT1549" s="298" t="str">
        <f>+VLOOKUP(G1549,Liste!$A$7:$H$50,8,FALSE)</f>
        <v>Feuillus</v>
      </c>
      <c r="BU1549" s="298">
        <f t="shared" si="478"/>
        <v>1</v>
      </c>
      <c r="BV1549" s="300">
        <f t="shared" si="479"/>
        <v>0</v>
      </c>
      <c r="BW1549" s="321">
        <v>0</v>
      </c>
      <c r="BX1549" s="298">
        <f t="shared" si="480"/>
        <v>0.25</v>
      </c>
      <c r="BY1549">
        <f t="shared" si="481"/>
        <v>0</v>
      </c>
      <c r="BZ1549" s="304">
        <f t="shared" si="482"/>
        <v>0</v>
      </c>
      <c r="CB1549" s="299">
        <v>0.6</v>
      </c>
      <c r="CC1549" s="299">
        <v>0.4</v>
      </c>
      <c r="CD1549">
        <f t="shared" si="483"/>
        <v>0</v>
      </c>
      <c r="CE1549">
        <f t="shared" si="484"/>
        <v>0</v>
      </c>
      <c r="CF1549">
        <f t="shared" si="485"/>
        <v>0</v>
      </c>
      <c r="CG1549">
        <f t="shared" si="486"/>
        <v>0</v>
      </c>
      <c r="CH1549">
        <f t="shared" si="487"/>
        <v>0</v>
      </c>
      <c r="CI1549">
        <f t="shared" si="488"/>
        <v>0</v>
      </c>
      <c r="CJ1549">
        <f t="shared" si="489"/>
        <v>0</v>
      </c>
      <c r="CK1549">
        <f t="shared" si="490"/>
        <v>0</v>
      </c>
      <c r="CL1549">
        <f t="shared" si="491"/>
        <v>0</v>
      </c>
      <c r="CM1549">
        <f t="shared" si="493"/>
        <v>0</v>
      </c>
      <c r="CN1549">
        <f t="shared" si="492"/>
        <v>0</v>
      </c>
      <c r="CO1549">
        <f t="shared" si="476"/>
        <v>0</v>
      </c>
    </row>
    <row r="1550" spans="1:93" x14ac:dyDescent="0.25">
      <c r="A1550" s="4">
        <v>2021</v>
      </c>
      <c r="B1550" s="318">
        <v>44361</v>
      </c>
      <c r="C1550" s="4" t="s">
        <v>66</v>
      </c>
      <c r="D1550" s="4" t="s">
        <v>1525</v>
      </c>
      <c r="E1550" s="4" t="s">
        <v>87</v>
      </c>
      <c r="F1550" s="4" t="s">
        <v>90</v>
      </c>
      <c r="G1550" s="5" t="s">
        <v>17</v>
      </c>
      <c r="H1550" s="5" t="s">
        <v>20</v>
      </c>
      <c r="I1550" s="5" t="s">
        <v>18</v>
      </c>
      <c r="J1550" s="5" t="s">
        <v>10</v>
      </c>
      <c r="K1550" s="5">
        <v>18.18</v>
      </c>
      <c r="L1550" s="5" t="s">
        <v>193</v>
      </c>
      <c r="M1550" s="5">
        <v>1666</v>
      </c>
      <c r="N1550" s="5" t="s">
        <v>170</v>
      </c>
      <c r="O1550" s="6" t="s">
        <v>81</v>
      </c>
      <c r="P1550" s="6" t="s">
        <v>1505</v>
      </c>
      <c r="S1550" s="6">
        <v>42</v>
      </c>
      <c r="T1550" s="6">
        <v>16.02</v>
      </c>
      <c r="U1550" s="6">
        <v>1451</v>
      </c>
      <c r="V1550" s="6">
        <v>23.57</v>
      </c>
      <c r="W1550" s="6">
        <v>44</v>
      </c>
      <c r="X1550" s="6">
        <v>444</v>
      </c>
      <c r="Y1550" s="6">
        <v>742</v>
      </c>
      <c r="Z1550" s="6">
        <v>211</v>
      </c>
      <c r="AA1550" s="6">
        <v>10</v>
      </c>
      <c r="AB1550" s="6">
        <v>0</v>
      </c>
      <c r="AC1550" s="7">
        <v>77</v>
      </c>
      <c r="AD1550" s="7" t="s">
        <v>52</v>
      </c>
      <c r="AE1550" s="7">
        <v>23.86</v>
      </c>
      <c r="AF1550" s="7">
        <v>315</v>
      </c>
      <c r="AG1550" s="7">
        <v>22.78</v>
      </c>
      <c r="AH1550" s="7">
        <v>30.34</v>
      </c>
      <c r="AI1550" s="7">
        <v>35.14</v>
      </c>
      <c r="AJ1550" s="9">
        <v>264.02530248548999</v>
      </c>
      <c r="AK1550" s="9">
        <v>287.859470692115</v>
      </c>
      <c r="AL1550" s="9">
        <v>319.87671089522701</v>
      </c>
      <c r="AM1550" s="9">
        <v>48.0429331801217</v>
      </c>
      <c r="AN1550" s="9">
        <v>0.62393419714443799</v>
      </c>
      <c r="AO1550" s="9">
        <v>0.549907810274332</v>
      </c>
      <c r="AP1550" s="9">
        <v>600.06468600737196</v>
      </c>
      <c r="AQ1550" s="9">
        <v>7.7930478702256103</v>
      </c>
      <c r="AR1550" s="9">
        <v>10.124408266709199</v>
      </c>
      <c r="AS1550" s="8" t="s">
        <v>169</v>
      </c>
      <c r="AT1550" s="8" t="s">
        <v>169</v>
      </c>
      <c r="AU1550" s="10" t="s">
        <v>169</v>
      </c>
      <c r="AV1550" s="10">
        <v>0</v>
      </c>
      <c r="AX1550" s="10" t="s">
        <v>169</v>
      </c>
      <c r="BF1550" s="12">
        <v>0.55000000000000004</v>
      </c>
      <c r="BG1550" s="13">
        <v>306.41523264505298</v>
      </c>
      <c r="BH1550" s="96" t="str">
        <f>+VLOOKUP(G1550,Liste!$A$7:$G$50,3,FALSE)</f>
        <v>Chêne sessile</v>
      </c>
      <c r="BI1550" s="96" t="str">
        <f>+VLOOKUP(H1550,Liste!$B$7:$G$50,5,FALSE)</f>
        <v>Guide chênaie atlantique</v>
      </c>
      <c r="BJ1550" s="135">
        <f t="shared" si="475"/>
        <v>77</v>
      </c>
      <c r="BK1550" s="135" t="str">
        <f t="shared" si="477"/>
        <v>Chêne sessile_F2_Classique_Guide chênaie atlantique_77_</v>
      </c>
      <c r="BM1550" s="13">
        <v>77.3578199033403</v>
      </c>
      <c r="BN1550" s="13">
        <v>383.77305254839399</v>
      </c>
      <c r="BO1550" s="13" t="s">
        <v>169</v>
      </c>
      <c r="BP1550" s="13">
        <v>401.52059066910999</v>
      </c>
      <c r="BQ1550" s="13">
        <v>11.7032128050131</v>
      </c>
      <c r="BT1550" s="298" t="str">
        <f>+VLOOKUP(G1550,Liste!$A$7:$H$50,8,FALSE)</f>
        <v>Feuillus</v>
      </c>
      <c r="BU1550" s="298">
        <f t="shared" si="478"/>
        <v>1</v>
      </c>
      <c r="BV1550" s="300">
        <f t="shared" si="479"/>
        <v>0</v>
      </c>
      <c r="BW1550" s="321">
        <v>0</v>
      </c>
      <c r="BX1550" s="298">
        <f t="shared" si="480"/>
        <v>0.25</v>
      </c>
      <c r="BY1550">
        <f t="shared" si="481"/>
        <v>0</v>
      </c>
      <c r="BZ1550" s="304">
        <f t="shared" si="482"/>
        <v>0</v>
      </c>
      <c r="CB1550" s="299">
        <v>0.6</v>
      </c>
      <c r="CC1550" s="299">
        <v>0.4</v>
      </c>
      <c r="CD1550">
        <f t="shared" si="483"/>
        <v>0</v>
      </c>
      <c r="CE1550">
        <f t="shared" si="484"/>
        <v>0</v>
      </c>
      <c r="CF1550">
        <f t="shared" si="485"/>
        <v>0</v>
      </c>
      <c r="CG1550">
        <f t="shared" si="486"/>
        <v>0</v>
      </c>
      <c r="CH1550">
        <f t="shared" si="487"/>
        <v>0</v>
      </c>
      <c r="CI1550">
        <f t="shared" si="488"/>
        <v>0</v>
      </c>
      <c r="CJ1550">
        <f t="shared" si="489"/>
        <v>0</v>
      </c>
      <c r="CK1550">
        <f t="shared" si="490"/>
        <v>0</v>
      </c>
      <c r="CL1550">
        <f t="shared" si="491"/>
        <v>0</v>
      </c>
      <c r="CM1550">
        <f t="shared" si="493"/>
        <v>0</v>
      </c>
      <c r="CN1550">
        <f t="shared" si="492"/>
        <v>0</v>
      </c>
      <c r="CO1550">
        <f t="shared" si="476"/>
        <v>0</v>
      </c>
    </row>
    <row r="1551" spans="1:93" x14ac:dyDescent="0.25">
      <c r="A1551" s="4">
        <v>2021</v>
      </c>
      <c r="B1551" s="318">
        <v>44361</v>
      </c>
      <c r="C1551" s="4" t="s">
        <v>66</v>
      </c>
      <c r="D1551" s="4" t="s">
        <v>1525</v>
      </c>
      <c r="E1551" s="4" t="s">
        <v>87</v>
      </c>
      <c r="F1551" s="4" t="s">
        <v>90</v>
      </c>
      <c r="G1551" s="5" t="s">
        <v>17</v>
      </c>
      <c r="H1551" s="5" t="s">
        <v>20</v>
      </c>
      <c r="I1551" s="5" t="s">
        <v>18</v>
      </c>
      <c r="J1551" s="5" t="s">
        <v>10</v>
      </c>
      <c r="K1551" s="5">
        <v>18.18</v>
      </c>
      <c r="L1551" s="5" t="s">
        <v>193</v>
      </c>
      <c r="M1551" s="5">
        <v>1666</v>
      </c>
      <c r="N1551" s="5" t="s">
        <v>170</v>
      </c>
      <c r="O1551" s="6" t="s">
        <v>81</v>
      </c>
      <c r="P1551" s="6" t="s">
        <v>1505</v>
      </c>
      <c r="S1551" s="6">
        <v>42</v>
      </c>
      <c r="T1551" s="6">
        <v>16.02</v>
      </c>
      <c r="U1551" s="6">
        <v>1451</v>
      </c>
      <c r="V1551" s="6">
        <v>23.57</v>
      </c>
      <c r="W1551" s="6">
        <v>44</v>
      </c>
      <c r="X1551" s="6">
        <v>444</v>
      </c>
      <c r="Y1551" s="6">
        <v>742</v>
      </c>
      <c r="Z1551" s="6">
        <v>211</v>
      </c>
      <c r="AA1551" s="6">
        <v>10</v>
      </c>
      <c r="AB1551" s="6">
        <v>0</v>
      </c>
      <c r="AC1551" s="7">
        <v>80</v>
      </c>
      <c r="AD1551" s="7" t="s">
        <v>52</v>
      </c>
      <c r="AE1551" s="7">
        <v>24.38</v>
      </c>
      <c r="AF1551" s="7">
        <v>315</v>
      </c>
      <c r="AG1551" s="7">
        <v>24.42</v>
      </c>
      <c r="AH1551" s="7">
        <v>31.42</v>
      </c>
      <c r="AI1551" s="7">
        <v>36.369999999999997</v>
      </c>
      <c r="AJ1551" s="9">
        <v>289.83374907496301</v>
      </c>
      <c r="AK1551" s="9">
        <v>316.29554076092398</v>
      </c>
      <c r="AL1551" s="9">
        <v>350.24993569535502</v>
      </c>
      <c r="AM1551" s="9">
        <v>49.692656610944702</v>
      </c>
      <c r="AN1551" s="9">
        <v>0.62115820763680896</v>
      </c>
      <c r="AO1551" s="9">
        <v>0.54106017626345004</v>
      </c>
      <c r="AP1551" s="9">
        <v>630.43791080749997</v>
      </c>
      <c r="AQ1551" s="9">
        <v>7.8804738850937399</v>
      </c>
      <c r="AR1551" s="9">
        <v>10.223932093731699</v>
      </c>
      <c r="AS1551" s="8" t="s">
        <v>169</v>
      </c>
      <c r="AT1551" s="8" t="s">
        <v>169</v>
      </c>
      <c r="AU1551" s="10" t="s">
        <v>169</v>
      </c>
      <c r="AV1551" s="10">
        <v>0</v>
      </c>
      <c r="AX1551" s="10" t="s">
        <v>169</v>
      </c>
      <c r="BF1551" s="12">
        <v>0.55000000000000004</v>
      </c>
      <c r="BG1551" s="13">
        <v>335.51025090150898</v>
      </c>
      <c r="BH1551" s="96" t="str">
        <f>+VLOOKUP(G1551,Liste!$A$7:$G$50,3,FALSE)</f>
        <v>Chêne sessile</v>
      </c>
      <c r="BI1551" s="96" t="str">
        <f>+VLOOKUP(H1551,Liste!$B$7:$G$50,5,FALSE)</f>
        <v>Guide chênaie atlantique</v>
      </c>
      <c r="BJ1551" s="135">
        <f t="shared" si="475"/>
        <v>80</v>
      </c>
      <c r="BK1551" s="135" t="str">
        <f t="shared" si="477"/>
        <v>Chêne sessile_F2_Classique_Guide chênaie atlantique_80_</v>
      </c>
      <c r="BM1551" s="13">
        <v>83.813511195970193</v>
      </c>
      <c r="BN1551" s="13">
        <v>419.323762097479</v>
      </c>
      <c r="BO1551" s="13" t="s">
        <v>169</v>
      </c>
      <c r="BP1551" s="13">
        <v>401.52059066910999</v>
      </c>
      <c r="BQ1551" s="13">
        <v>11.805047740441101</v>
      </c>
      <c r="BT1551" s="298" t="str">
        <f>+VLOOKUP(G1551,Liste!$A$7:$H$50,8,FALSE)</f>
        <v>Feuillus</v>
      </c>
      <c r="BU1551" s="298">
        <f t="shared" si="478"/>
        <v>1</v>
      </c>
      <c r="BV1551" s="300">
        <f t="shared" si="479"/>
        <v>0</v>
      </c>
      <c r="BW1551" s="321">
        <v>0</v>
      </c>
      <c r="BX1551" s="298">
        <f t="shared" si="480"/>
        <v>0.25</v>
      </c>
      <c r="BY1551">
        <f t="shared" si="481"/>
        <v>0</v>
      </c>
      <c r="BZ1551" s="304">
        <f t="shared" si="482"/>
        <v>0</v>
      </c>
      <c r="CB1551" s="299">
        <v>0.6</v>
      </c>
      <c r="CC1551" s="299">
        <v>0.4</v>
      </c>
      <c r="CD1551">
        <f t="shared" si="483"/>
        <v>0</v>
      </c>
      <c r="CE1551">
        <f t="shared" si="484"/>
        <v>0</v>
      </c>
      <c r="CF1551">
        <f t="shared" si="485"/>
        <v>0</v>
      </c>
      <c r="CG1551">
        <f t="shared" si="486"/>
        <v>0</v>
      </c>
      <c r="CH1551">
        <f t="shared" si="487"/>
        <v>0</v>
      </c>
      <c r="CI1551">
        <f t="shared" si="488"/>
        <v>0</v>
      </c>
      <c r="CJ1551">
        <f t="shared" si="489"/>
        <v>0</v>
      </c>
      <c r="CK1551">
        <f t="shared" si="490"/>
        <v>0</v>
      </c>
      <c r="CL1551">
        <f t="shared" si="491"/>
        <v>0</v>
      </c>
      <c r="CM1551">
        <f t="shared" si="493"/>
        <v>0</v>
      </c>
      <c r="CN1551">
        <f t="shared" si="492"/>
        <v>0</v>
      </c>
      <c r="CO1551">
        <f t="shared" si="476"/>
        <v>0</v>
      </c>
    </row>
    <row r="1552" spans="1:93" x14ac:dyDescent="0.25">
      <c r="A1552" s="4">
        <v>2021</v>
      </c>
      <c r="B1552" s="318">
        <v>44361</v>
      </c>
      <c r="C1552" s="4" t="s">
        <v>66</v>
      </c>
      <c r="D1552" s="4" t="s">
        <v>1525</v>
      </c>
      <c r="E1552" s="4" t="s">
        <v>87</v>
      </c>
      <c r="F1552" s="4" t="s">
        <v>90</v>
      </c>
      <c r="G1552" s="5" t="s">
        <v>17</v>
      </c>
      <c r="H1552" s="5" t="s">
        <v>20</v>
      </c>
      <c r="I1552" s="5" t="s">
        <v>18</v>
      </c>
      <c r="J1552" s="5" t="s">
        <v>10</v>
      </c>
      <c r="K1552" s="5">
        <v>18.18</v>
      </c>
      <c r="L1552" s="5" t="s">
        <v>193</v>
      </c>
      <c r="M1552" s="5">
        <v>1666</v>
      </c>
      <c r="N1552" s="5" t="s">
        <v>170</v>
      </c>
      <c r="O1552" s="6" t="s">
        <v>81</v>
      </c>
      <c r="P1552" s="6" t="s">
        <v>1505</v>
      </c>
      <c r="S1552" s="6">
        <v>42</v>
      </c>
      <c r="T1552" s="6">
        <v>16.02</v>
      </c>
      <c r="U1552" s="6">
        <v>1451</v>
      </c>
      <c r="V1552" s="6">
        <v>23.57</v>
      </c>
      <c r="W1552" s="6">
        <v>44</v>
      </c>
      <c r="X1552" s="6">
        <v>444</v>
      </c>
      <c r="Y1552" s="6">
        <v>742</v>
      </c>
      <c r="Z1552" s="6">
        <v>211</v>
      </c>
      <c r="AA1552" s="6">
        <v>10</v>
      </c>
      <c r="AB1552" s="6">
        <v>0</v>
      </c>
      <c r="AC1552" s="7">
        <v>84</v>
      </c>
      <c r="AD1552" s="7" t="s">
        <v>52</v>
      </c>
      <c r="AE1552" s="7">
        <v>25.04</v>
      </c>
      <c r="AF1552" s="7">
        <v>315</v>
      </c>
      <c r="AG1552" s="7">
        <v>26.59</v>
      </c>
      <c r="AH1552" s="7">
        <v>32.78</v>
      </c>
      <c r="AI1552" s="7">
        <v>37.93</v>
      </c>
      <c r="AJ1552" s="9">
        <v>324.65901065322902</v>
      </c>
      <c r="AK1552" s="9">
        <v>354.66766131601599</v>
      </c>
      <c r="AL1552" s="9">
        <v>391.14566407028201</v>
      </c>
      <c r="AM1552" s="9">
        <v>51.856897315998502</v>
      </c>
      <c r="AN1552" s="9">
        <v>0.61734401566664898</v>
      </c>
      <c r="AO1552" s="9">
        <v>0.50162223804700101</v>
      </c>
      <c r="AP1552" s="9">
        <v>671.33363918242605</v>
      </c>
      <c r="AQ1552" s="9">
        <v>7.9920671331241202</v>
      </c>
      <c r="AR1552" s="9">
        <v>9.5826126887673109</v>
      </c>
      <c r="AS1552" s="8" t="s">
        <v>169</v>
      </c>
      <c r="AT1552" s="8" t="s">
        <v>169</v>
      </c>
      <c r="AU1552" s="10" t="s">
        <v>169</v>
      </c>
      <c r="AV1552" s="10">
        <v>0</v>
      </c>
      <c r="AX1552" s="10" t="s">
        <v>169</v>
      </c>
      <c r="BF1552" s="12">
        <v>0.55000000000000004</v>
      </c>
      <c r="BG1552" s="13">
        <v>374.68495070732399</v>
      </c>
      <c r="BH1552" s="96" t="str">
        <f>+VLOOKUP(G1552,Liste!$A$7:$G$50,3,FALSE)</f>
        <v>Chêne sessile</v>
      </c>
      <c r="BI1552" s="96" t="str">
        <f>+VLOOKUP(H1552,Liste!$B$7:$G$50,5,FALSE)</f>
        <v>Guide chênaie atlantique</v>
      </c>
      <c r="BJ1552" s="135">
        <f t="shared" si="475"/>
        <v>84</v>
      </c>
      <c r="BK1552" s="135" t="str">
        <f t="shared" si="477"/>
        <v>Chêne sessile_F2_Classique_Guide chênaie atlantique_84_</v>
      </c>
      <c r="BM1552" s="13">
        <v>92.4042388377853</v>
      </c>
      <c r="BN1552" s="13">
        <v>467.08918954510898</v>
      </c>
      <c r="BO1552" s="13" t="s">
        <v>169</v>
      </c>
      <c r="BP1552" s="13">
        <v>401.52059066910999</v>
      </c>
      <c r="BQ1552" s="13">
        <v>11.053125190242501</v>
      </c>
      <c r="BT1552" s="298" t="str">
        <f>+VLOOKUP(G1552,Liste!$A$7:$H$50,8,FALSE)</f>
        <v>Feuillus</v>
      </c>
      <c r="BU1552" s="298">
        <f t="shared" si="478"/>
        <v>1</v>
      </c>
      <c r="BV1552" s="300">
        <f t="shared" si="479"/>
        <v>0</v>
      </c>
      <c r="BW1552" s="321">
        <v>0</v>
      </c>
      <c r="BX1552" s="298">
        <f t="shared" si="480"/>
        <v>0.25</v>
      </c>
      <c r="BY1552">
        <f t="shared" si="481"/>
        <v>0</v>
      </c>
      <c r="BZ1552" s="304">
        <f t="shared" si="482"/>
        <v>0</v>
      </c>
      <c r="CB1552" s="299">
        <v>0.6</v>
      </c>
      <c r="CC1552" s="299">
        <v>0.4</v>
      </c>
      <c r="CD1552">
        <f t="shared" si="483"/>
        <v>0</v>
      </c>
      <c r="CE1552">
        <f t="shared" si="484"/>
        <v>0</v>
      </c>
      <c r="CF1552">
        <f t="shared" si="485"/>
        <v>0</v>
      </c>
      <c r="CG1552">
        <f t="shared" si="486"/>
        <v>0</v>
      </c>
      <c r="CH1552">
        <f t="shared" si="487"/>
        <v>0</v>
      </c>
      <c r="CI1552">
        <f t="shared" si="488"/>
        <v>0</v>
      </c>
      <c r="CJ1552">
        <f t="shared" si="489"/>
        <v>0</v>
      </c>
      <c r="CK1552">
        <f t="shared" si="490"/>
        <v>0</v>
      </c>
      <c r="CL1552">
        <f t="shared" si="491"/>
        <v>0</v>
      </c>
      <c r="CM1552">
        <f t="shared" si="493"/>
        <v>0</v>
      </c>
      <c r="CN1552">
        <f t="shared" si="492"/>
        <v>0</v>
      </c>
      <c r="CO1552">
        <f t="shared" si="476"/>
        <v>0</v>
      </c>
    </row>
    <row r="1553" spans="1:93" x14ac:dyDescent="0.25">
      <c r="A1553" s="4">
        <v>2021</v>
      </c>
      <c r="B1553" s="318">
        <v>44361</v>
      </c>
      <c r="C1553" s="4" t="s">
        <v>66</v>
      </c>
      <c r="D1553" s="4" t="s">
        <v>1525</v>
      </c>
      <c r="E1553" s="4" t="s">
        <v>87</v>
      </c>
      <c r="F1553" s="4" t="s">
        <v>90</v>
      </c>
      <c r="G1553" s="5" t="s">
        <v>17</v>
      </c>
      <c r="H1553" s="5" t="s">
        <v>20</v>
      </c>
      <c r="I1553" s="5" t="s">
        <v>18</v>
      </c>
      <c r="J1553" s="5" t="s">
        <v>10</v>
      </c>
      <c r="K1553" s="5">
        <v>18.18</v>
      </c>
      <c r="L1553" s="5" t="s">
        <v>193</v>
      </c>
      <c r="M1553" s="5">
        <v>1666</v>
      </c>
      <c r="N1553" s="5" t="s">
        <v>170</v>
      </c>
      <c r="O1553" s="6" t="s">
        <v>81</v>
      </c>
      <c r="P1553" s="6" t="s">
        <v>1505</v>
      </c>
      <c r="S1553" s="6">
        <v>42</v>
      </c>
      <c r="T1553" s="6">
        <v>16.02</v>
      </c>
      <c r="U1553" s="6">
        <v>1451</v>
      </c>
      <c r="V1553" s="6">
        <v>23.57</v>
      </c>
      <c r="W1553" s="6">
        <v>44</v>
      </c>
      <c r="X1553" s="6">
        <v>444</v>
      </c>
      <c r="Y1553" s="6">
        <v>742</v>
      </c>
      <c r="Z1553" s="6">
        <v>211</v>
      </c>
      <c r="AA1553" s="6">
        <v>10</v>
      </c>
      <c r="AB1553" s="6">
        <v>0</v>
      </c>
      <c r="AC1553" s="7">
        <v>84</v>
      </c>
      <c r="AD1553" s="7" t="s">
        <v>53</v>
      </c>
      <c r="AE1553" s="7">
        <v>25.04</v>
      </c>
      <c r="AF1553" s="7">
        <v>247</v>
      </c>
      <c r="AG1553" s="7">
        <v>21.54</v>
      </c>
      <c r="AH1553" s="7">
        <v>33.33</v>
      </c>
      <c r="AI1553" s="7">
        <v>37.630000000000003</v>
      </c>
      <c r="AJ1553" s="9">
        <v>263.53335193554102</v>
      </c>
      <c r="AK1553" s="9">
        <v>288.3532144687</v>
      </c>
      <c r="AL1553" s="9">
        <v>317.82393206101199</v>
      </c>
      <c r="AM1553" s="9">
        <v>51.856897315998502</v>
      </c>
      <c r="AN1553" s="9">
        <v>0.61734401566664898</v>
      </c>
      <c r="AO1553" s="9">
        <v>0.50162223804700101</v>
      </c>
      <c r="AP1553" s="9">
        <v>671.33363918242605</v>
      </c>
      <c r="AQ1553" s="9">
        <v>7.9920671331241202</v>
      </c>
      <c r="AR1553" s="9">
        <v>9.5826126887673109</v>
      </c>
      <c r="AS1553" s="8">
        <v>68</v>
      </c>
      <c r="AT1553" s="8">
        <v>5.0500000000000007</v>
      </c>
      <c r="AU1553" s="10">
        <v>30.750082976723466</v>
      </c>
      <c r="AV1553" s="10">
        <v>61.125658717687998</v>
      </c>
      <c r="AW1553" s="8">
        <v>0.88</v>
      </c>
      <c r="AX1553" s="10">
        <v>0.89890674584835295</v>
      </c>
      <c r="BF1553" s="12">
        <v>0.55000000000000004</v>
      </c>
      <c r="BG1553" s="13">
        <v>304.44884158677797</v>
      </c>
      <c r="BH1553" s="96" t="str">
        <f>+VLOOKUP(G1553,Liste!$A$7:$G$50,3,FALSE)</f>
        <v>Chêne sessile</v>
      </c>
      <c r="BI1553" s="96" t="str">
        <f>+VLOOKUP(H1553,Liste!$B$7:$G$50,5,FALSE)</f>
        <v>Guide chênaie atlantique</v>
      </c>
      <c r="BJ1553" s="135">
        <f t="shared" si="475"/>
        <v>84</v>
      </c>
      <c r="BK1553" s="135" t="str">
        <f t="shared" si="477"/>
        <v>Chêne sessile_F2_Classique_Guide chênaie atlantique_84_</v>
      </c>
      <c r="BM1553" s="13">
        <v>76.919004329299995</v>
      </c>
      <c r="BN1553" s="13">
        <v>381.36784591607801</v>
      </c>
      <c r="BO1553" s="13">
        <v>85.721343629030969</v>
      </c>
      <c r="BP1553" s="13">
        <v>401.52059066910999</v>
      </c>
      <c r="BQ1553" s="13">
        <v>11.053125190242501</v>
      </c>
      <c r="BT1553" s="298" t="str">
        <f>+VLOOKUP(G1553,Liste!$A$7:$H$50,8,FALSE)</f>
        <v>Feuillus</v>
      </c>
      <c r="BU1553" s="298">
        <f t="shared" si="478"/>
        <v>1</v>
      </c>
      <c r="BV1553" s="300">
        <f t="shared" si="479"/>
        <v>0</v>
      </c>
      <c r="BW1553" s="321">
        <v>0</v>
      </c>
      <c r="BX1553" s="298">
        <f t="shared" si="480"/>
        <v>0.25</v>
      </c>
      <c r="BY1553">
        <f t="shared" si="481"/>
        <v>0</v>
      </c>
      <c r="BZ1553" s="304">
        <f t="shared" si="482"/>
        <v>0</v>
      </c>
      <c r="CB1553" s="299">
        <v>0.6</v>
      </c>
      <c r="CC1553" s="299">
        <v>0.4</v>
      </c>
      <c r="CD1553">
        <f t="shared" si="483"/>
        <v>0</v>
      </c>
      <c r="CE1553">
        <f t="shared" si="484"/>
        <v>0</v>
      </c>
      <c r="CF1553">
        <f t="shared" si="485"/>
        <v>0</v>
      </c>
      <c r="CG1553">
        <f t="shared" si="486"/>
        <v>0</v>
      </c>
      <c r="CH1553">
        <f t="shared" si="487"/>
        <v>0</v>
      </c>
      <c r="CI1553">
        <f t="shared" si="488"/>
        <v>0</v>
      </c>
      <c r="CJ1553">
        <f t="shared" si="489"/>
        <v>0</v>
      </c>
      <c r="CK1553">
        <f t="shared" si="490"/>
        <v>0</v>
      </c>
      <c r="CL1553">
        <f t="shared" si="491"/>
        <v>0</v>
      </c>
      <c r="CM1553">
        <f t="shared" si="493"/>
        <v>0</v>
      </c>
      <c r="CN1553">
        <f t="shared" si="492"/>
        <v>0</v>
      </c>
      <c r="CO1553">
        <f t="shared" si="476"/>
        <v>0</v>
      </c>
    </row>
    <row r="1554" spans="1:93" x14ac:dyDescent="0.25">
      <c r="A1554" s="4">
        <v>2021</v>
      </c>
      <c r="B1554" s="318">
        <v>44361</v>
      </c>
      <c r="C1554" s="4" t="s">
        <v>66</v>
      </c>
      <c r="D1554" s="4" t="s">
        <v>1525</v>
      </c>
      <c r="E1554" s="4" t="s">
        <v>87</v>
      </c>
      <c r="F1554" s="4" t="s">
        <v>90</v>
      </c>
      <c r="G1554" s="5" t="s">
        <v>17</v>
      </c>
      <c r="H1554" s="5" t="s">
        <v>20</v>
      </c>
      <c r="I1554" s="5" t="s">
        <v>18</v>
      </c>
      <c r="J1554" s="5" t="s">
        <v>10</v>
      </c>
      <c r="K1554" s="5">
        <v>18.18</v>
      </c>
      <c r="L1554" s="5" t="s">
        <v>193</v>
      </c>
      <c r="M1554" s="5">
        <v>1666</v>
      </c>
      <c r="N1554" s="5" t="s">
        <v>170</v>
      </c>
      <c r="O1554" s="6" t="s">
        <v>81</v>
      </c>
      <c r="P1554" s="6" t="s">
        <v>1505</v>
      </c>
      <c r="S1554" s="6">
        <v>42</v>
      </c>
      <c r="T1554" s="6">
        <v>16.02</v>
      </c>
      <c r="U1554" s="6">
        <v>1451</v>
      </c>
      <c r="V1554" s="6">
        <v>23.57</v>
      </c>
      <c r="W1554" s="6">
        <v>44</v>
      </c>
      <c r="X1554" s="6">
        <v>444</v>
      </c>
      <c r="Y1554" s="6">
        <v>742</v>
      </c>
      <c r="Z1554" s="6">
        <v>211</v>
      </c>
      <c r="AA1554" s="6">
        <v>10</v>
      </c>
      <c r="AB1554" s="6">
        <v>0</v>
      </c>
      <c r="AC1554" s="7">
        <v>87</v>
      </c>
      <c r="AD1554" s="7" t="s">
        <v>52</v>
      </c>
      <c r="AE1554" s="7">
        <v>25.53</v>
      </c>
      <c r="AF1554" s="7">
        <v>247</v>
      </c>
      <c r="AG1554" s="7">
        <v>23.05</v>
      </c>
      <c r="AH1554" s="7">
        <v>34.47</v>
      </c>
      <c r="AI1554" s="7">
        <v>38.89</v>
      </c>
      <c r="AJ1554" s="9">
        <v>287.91588381216297</v>
      </c>
      <c r="AK1554" s="9">
        <v>315.34360977465599</v>
      </c>
      <c r="AL1554" s="9">
        <v>346.57177012731398</v>
      </c>
      <c r="AM1554" s="9">
        <v>53.361764030139497</v>
      </c>
      <c r="AN1554" s="9">
        <v>0.61335360954183304</v>
      </c>
      <c r="AO1554" s="9">
        <v>0.49811902975302802</v>
      </c>
      <c r="AP1554" s="9">
        <v>700.08147724872799</v>
      </c>
      <c r="AQ1554" s="9">
        <v>8.0469135315945799</v>
      </c>
      <c r="AR1554" s="9">
        <v>9.7024601144964109</v>
      </c>
      <c r="AS1554" s="8" t="s">
        <v>169</v>
      </c>
      <c r="AT1554" s="8" t="s">
        <v>169</v>
      </c>
      <c r="AU1554" s="10" t="s">
        <v>169</v>
      </c>
      <c r="AV1554" s="10">
        <v>0</v>
      </c>
      <c r="AX1554" s="10" t="s">
        <v>169</v>
      </c>
      <c r="BF1554" s="12">
        <v>0.55000000000000004</v>
      </c>
      <c r="BG1554" s="13">
        <v>331.98687480112301</v>
      </c>
      <c r="BH1554" s="96" t="str">
        <f>+VLOOKUP(G1554,Liste!$A$7:$G$50,3,FALSE)</f>
        <v>Chêne sessile</v>
      </c>
      <c r="BI1554" s="96" t="str">
        <f>+VLOOKUP(H1554,Liste!$B$7:$G$50,5,FALSE)</f>
        <v>Guide chênaie atlantique</v>
      </c>
      <c r="BJ1554" s="135">
        <f t="shared" si="475"/>
        <v>87</v>
      </c>
      <c r="BK1554" s="135" t="str">
        <f t="shared" si="477"/>
        <v>Chêne sessile_F2_Classique_Guide chênaie atlantique_87_</v>
      </c>
      <c r="BM1554" s="13">
        <v>83.0353145578556</v>
      </c>
      <c r="BN1554" s="13">
        <v>415.02218935897901</v>
      </c>
      <c r="BO1554" s="13" t="s">
        <v>169</v>
      </c>
      <c r="BP1554" s="13">
        <v>401.52059066910999</v>
      </c>
      <c r="BQ1554" s="13">
        <v>11.182259718752899</v>
      </c>
      <c r="BT1554" s="298" t="str">
        <f>+VLOOKUP(G1554,Liste!$A$7:$H$50,8,FALSE)</f>
        <v>Feuillus</v>
      </c>
      <c r="BU1554" s="298">
        <f t="shared" si="478"/>
        <v>1</v>
      </c>
      <c r="BV1554" s="300">
        <f t="shared" si="479"/>
        <v>0</v>
      </c>
      <c r="BW1554" s="321">
        <v>0</v>
      </c>
      <c r="BX1554" s="298">
        <f t="shared" si="480"/>
        <v>0.25</v>
      </c>
      <c r="BY1554">
        <f t="shared" si="481"/>
        <v>0</v>
      </c>
      <c r="BZ1554" s="304">
        <f t="shared" si="482"/>
        <v>0</v>
      </c>
      <c r="CB1554" s="299">
        <v>0.6</v>
      </c>
      <c r="CC1554" s="299">
        <v>0.4</v>
      </c>
      <c r="CD1554">
        <f t="shared" si="483"/>
        <v>0</v>
      </c>
      <c r="CE1554">
        <f t="shared" si="484"/>
        <v>0</v>
      </c>
      <c r="CF1554">
        <f t="shared" si="485"/>
        <v>0</v>
      </c>
      <c r="CG1554">
        <f t="shared" si="486"/>
        <v>0</v>
      </c>
      <c r="CH1554">
        <f t="shared" si="487"/>
        <v>0</v>
      </c>
      <c r="CI1554">
        <f t="shared" si="488"/>
        <v>0</v>
      </c>
      <c r="CJ1554">
        <f t="shared" si="489"/>
        <v>0</v>
      </c>
      <c r="CK1554">
        <f t="shared" si="490"/>
        <v>0</v>
      </c>
      <c r="CL1554">
        <f t="shared" si="491"/>
        <v>0</v>
      </c>
      <c r="CM1554">
        <f t="shared" si="493"/>
        <v>0</v>
      </c>
      <c r="CN1554">
        <f t="shared" si="492"/>
        <v>0</v>
      </c>
      <c r="CO1554">
        <f t="shared" si="476"/>
        <v>0</v>
      </c>
    </row>
    <row r="1555" spans="1:93" x14ac:dyDescent="0.25">
      <c r="A1555" s="4">
        <v>2021</v>
      </c>
      <c r="B1555" s="318">
        <v>44361</v>
      </c>
      <c r="C1555" s="4" t="s">
        <v>66</v>
      </c>
      <c r="D1555" s="4" t="s">
        <v>1525</v>
      </c>
      <c r="E1555" s="4" t="s">
        <v>87</v>
      </c>
      <c r="F1555" s="4" t="s">
        <v>90</v>
      </c>
      <c r="G1555" s="5" t="s">
        <v>17</v>
      </c>
      <c r="H1555" s="5" t="s">
        <v>20</v>
      </c>
      <c r="I1555" s="5" t="s">
        <v>18</v>
      </c>
      <c r="J1555" s="5" t="s">
        <v>10</v>
      </c>
      <c r="K1555" s="5">
        <v>18.18</v>
      </c>
      <c r="L1555" s="5" t="s">
        <v>193</v>
      </c>
      <c r="M1555" s="5">
        <v>1666</v>
      </c>
      <c r="N1555" s="5" t="s">
        <v>170</v>
      </c>
      <c r="O1555" s="6" t="s">
        <v>81</v>
      </c>
      <c r="P1555" s="6" t="s">
        <v>1505</v>
      </c>
      <c r="S1555" s="6">
        <v>42</v>
      </c>
      <c r="T1555" s="6">
        <v>16.02</v>
      </c>
      <c r="U1555" s="6">
        <v>1451</v>
      </c>
      <c r="V1555" s="6">
        <v>23.57</v>
      </c>
      <c r="W1555" s="6">
        <v>44</v>
      </c>
      <c r="X1555" s="6">
        <v>444</v>
      </c>
      <c r="Y1555" s="6">
        <v>742</v>
      </c>
      <c r="Z1555" s="6">
        <v>211</v>
      </c>
      <c r="AA1555" s="6">
        <v>10</v>
      </c>
      <c r="AB1555" s="6">
        <v>0</v>
      </c>
      <c r="AC1555" s="7">
        <v>90</v>
      </c>
      <c r="AD1555" s="7" t="s">
        <v>52</v>
      </c>
      <c r="AE1555" s="7">
        <v>26</v>
      </c>
      <c r="AF1555" s="7">
        <v>247</v>
      </c>
      <c r="AG1555" s="7">
        <v>24.54</v>
      </c>
      <c r="AH1555" s="7">
        <v>35.57</v>
      </c>
      <c r="AI1555" s="7">
        <v>40.1</v>
      </c>
      <c r="AJ1555" s="9">
        <v>312.632175615265</v>
      </c>
      <c r="AK1555" s="9">
        <v>342.71494923208297</v>
      </c>
      <c r="AL1555" s="9">
        <v>375.67915047080402</v>
      </c>
      <c r="AM1555" s="9">
        <v>54.856121119398601</v>
      </c>
      <c r="AN1555" s="9">
        <v>0.60951245688220601</v>
      </c>
      <c r="AO1555" s="9">
        <v>0.49325387952086802</v>
      </c>
      <c r="AP1555" s="9">
        <v>729.188857592217</v>
      </c>
      <c r="AQ1555" s="9">
        <v>8.1020984176913107</v>
      </c>
      <c r="AR1555" s="9">
        <v>9.8352783743447691</v>
      </c>
      <c r="AS1555" s="8" t="s">
        <v>169</v>
      </c>
      <c r="AT1555" s="8" t="s">
        <v>169</v>
      </c>
      <c r="AU1555" s="10" t="s">
        <v>169</v>
      </c>
      <c r="AV1555" s="10">
        <v>0</v>
      </c>
      <c r="AX1555" s="10" t="s">
        <v>169</v>
      </c>
      <c r="BF1555" s="12">
        <v>0.55000000000000004</v>
      </c>
      <c r="BG1555" s="13">
        <v>359.86931955515701</v>
      </c>
      <c r="BH1555" s="96" t="str">
        <f>+VLOOKUP(G1555,Liste!$A$7:$G$50,3,FALSE)</f>
        <v>Chêne sessile</v>
      </c>
      <c r="BI1555" s="96" t="str">
        <f>+VLOOKUP(H1555,Liste!$B$7:$G$50,5,FALSE)</f>
        <v>Guide chênaie atlantique</v>
      </c>
      <c r="BJ1555" s="135">
        <f t="shared" si="475"/>
        <v>90</v>
      </c>
      <c r="BK1555" s="135" t="str">
        <f t="shared" si="477"/>
        <v>Chêne sessile_F2_Classique_Guide chênaie atlantique_90_</v>
      </c>
      <c r="BM1555" s="13">
        <v>89.168192006479302</v>
      </c>
      <c r="BN1555" s="13">
        <v>449.03751156163702</v>
      </c>
      <c r="BO1555" s="13" t="s">
        <v>169</v>
      </c>
      <c r="BP1555" s="13">
        <v>401.52059066910999</v>
      </c>
      <c r="BQ1555" s="13">
        <v>11.32495315325</v>
      </c>
      <c r="BT1555" s="298" t="str">
        <f>+VLOOKUP(G1555,Liste!$A$7:$H$50,8,FALSE)</f>
        <v>Feuillus</v>
      </c>
      <c r="BU1555" s="298">
        <f t="shared" si="478"/>
        <v>1</v>
      </c>
      <c r="BV1555" s="300">
        <f t="shared" si="479"/>
        <v>0</v>
      </c>
      <c r="BW1555" s="321">
        <v>0</v>
      </c>
      <c r="BX1555" s="298">
        <f t="shared" si="480"/>
        <v>0.25</v>
      </c>
      <c r="BY1555">
        <f t="shared" si="481"/>
        <v>0</v>
      </c>
      <c r="BZ1555" s="304">
        <f t="shared" si="482"/>
        <v>0</v>
      </c>
      <c r="CB1555" s="299">
        <v>0.6</v>
      </c>
      <c r="CC1555" s="299">
        <v>0.4</v>
      </c>
      <c r="CD1555">
        <f t="shared" si="483"/>
        <v>0</v>
      </c>
      <c r="CE1555">
        <f t="shared" si="484"/>
        <v>0</v>
      </c>
      <c r="CF1555">
        <f t="shared" si="485"/>
        <v>0</v>
      </c>
      <c r="CG1555">
        <f t="shared" si="486"/>
        <v>0</v>
      </c>
      <c r="CH1555">
        <f t="shared" si="487"/>
        <v>0</v>
      </c>
      <c r="CI1555">
        <f t="shared" si="488"/>
        <v>0</v>
      </c>
      <c r="CJ1555">
        <f t="shared" si="489"/>
        <v>0</v>
      </c>
      <c r="CK1555">
        <f t="shared" si="490"/>
        <v>0</v>
      </c>
      <c r="CL1555">
        <f t="shared" si="491"/>
        <v>0</v>
      </c>
      <c r="CM1555">
        <f t="shared" si="493"/>
        <v>0</v>
      </c>
      <c r="CN1555">
        <f t="shared" si="492"/>
        <v>0</v>
      </c>
      <c r="CO1555">
        <f t="shared" si="476"/>
        <v>0</v>
      </c>
    </row>
    <row r="1556" spans="1:93" x14ac:dyDescent="0.25">
      <c r="A1556" s="4">
        <v>2021</v>
      </c>
      <c r="B1556" s="318">
        <v>44361</v>
      </c>
      <c r="C1556" s="4" t="s">
        <v>66</v>
      </c>
      <c r="D1556" s="4" t="s">
        <v>1525</v>
      </c>
      <c r="E1556" s="4" t="s">
        <v>87</v>
      </c>
      <c r="F1556" s="4" t="s">
        <v>90</v>
      </c>
      <c r="G1556" s="5" t="s">
        <v>17</v>
      </c>
      <c r="H1556" s="5" t="s">
        <v>20</v>
      </c>
      <c r="I1556" s="5" t="s">
        <v>18</v>
      </c>
      <c r="J1556" s="5" t="s">
        <v>10</v>
      </c>
      <c r="K1556" s="5">
        <v>18.18</v>
      </c>
      <c r="L1556" s="5" t="s">
        <v>193</v>
      </c>
      <c r="M1556" s="5">
        <v>1666</v>
      </c>
      <c r="N1556" s="5" t="s">
        <v>170</v>
      </c>
      <c r="O1556" s="6" t="s">
        <v>81</v>
      </c>
      <c r="P1556" s="6" t="s">
        <v>1505</v>
      </c>
      <c r="S1556" s="6">
        <v>42</v>
      </c>
      <c r="T1556" s="6">
        <v>16.02</v>
      </c>
      <c r="U1556" s="6">
        <v>1451</v>
      </c>
      <c r="V1556" s="6">
        <v>23.57</v>
      </c>
      <c r="W1556" s="6">
        <v>44</v>
      </c>
      <c r="X1556" s="6">
        <v>444</v>
      </c>
      <c r="Y1556" s="6">
        <v>742</v>
      </c>
      <c r="Z1556" s="6">
        <v>211</v>
      </c>
      <c r="AA1556" s="6">
        <v>10</v>
      </c>
      <c r="AB1556" s="6">
        <v>0</v>
      </c>
      <c r="AC1556" s="7">
        <v>94</v>
      </c>
      <c r="AD1556" s="7" t="s">
        <v>52</v>
      </c>
      <c r="AE1556" s="7">
        <v>26.61</v>
      </c>
      <c r="AF1556" s="7">
        <v>247</v>
      </c>
      <c r="AG1556" s="7">
        <v>26.52</v>
      </c>
      <c r="AH1556" s="7">
        <v>36.97</v>
      </c>
      <c r="AI1556" s="7">
        <v>41.67</v>
      </c>
      <c r="AJ1556" s="9">
        <v>346.10871663371199</v>
      </c>
      <c r="AK1556" s="9">
        <v>379.77813591001899</v>
      </c>
      <c r="AL1556" s="9">
        <v>415.02026396818297</v>
      </c>
      <c r="AM1556" s="9">
        <v>56.829136637482101</v>
      </c>
      <c r="AN1556" s="9">
        <v>0.60456528337746895</v>
      </c>
      <c r="AO1556" s="9">
        <v>0.46150757917452501</v>
      </c>
      <c r="AP1556" s="9">
        <v>768.52997108959698</v>
      </c>
      <c r="AQ1556" s="9">
        <v>8.1758507562723004</v>
      </c>
      <c r="AR1556" s="9">
        <v>9.3376121946588793</v>
      </c>
      <c r="AS1556" s="8" t="s">
        <v>169</v>
      </c>
      <c r="AT1556" s="8" t="s">
        <v>169</v>
      </c>
      <c r="AU1556" s="10" t="s">
        <v>169</v>
      </c>
      <c r="AV1556" s="10">
        <v>0</v>
      </c>
      <c r="AX1556" s="10" t="s">
        <v>169</v>
      </c>
      <c r="BF1556" s="12">
        <v>0.55000000000000004</v>
      </c>
      <c r="BG1556" s="13">
        <v>397.55482785952199</v>
      </c>
      <c r="BH1556" s="96" t="str">
        <f>+VLOOKUP(G1556,Liste!$A$7:$G$50,3,FALSE)</f>
        <v>Chêne sessile</v>
      </c>
      <c r="BI1556" s="96" t="str">
        <f>+VLOOKUP(H1556,Liste!$B$7:$G$50,5,FALSE)</f>
        <v>Guide chênaie atlantique</v>
      </c>
      <c r="BJ1556" s="135">
        <f t="shared" si="475"/>
        <v>94</v>
      </c>
      <c r="BK1556" s="135" t="str">
        <f t="shared" si="477"/>
        <v>Chêne sessile_F2_Classique_Guide chênaie atlantique_94_</v>
      </c>
      <c r="BM1556" s="13">
        <v>97.370547698937997</v>
      </c>
      <c r="BN1556" s="13">
        <v>494.92537555846002</v>
      </c>
      <c r="BO1556" s="13" t="s">
        <v>169</v>
      </c>
      <c r="BP1556" s="13">
        <v>401.52059066910999</v>
      </c>
      <c r="BQ1556" s="13">
        <v>10.742664761146999</v>
      </c>
      <c r="BT1556" s="298" t="str">
        <f>+VLOOKUP(G1556,Liste!$A$7:$H$50,8,FALSE)</f>
        <v>Feuillus</v>
      </c>
      <c r="BU1556" s="298">
        <f t="shared" si="478"/>
        <v>1</v>
      </c>
      <c r="BV1556" s="300">
        <f t="shared" si="479"/>
        <v>0</v>
      </c>
      <c r="BW1556" s="321">
        <v>0</v>
      </c>
      <c r="BX1556" s="298">
        <f t="shared" si="480"/>
        <v>0.25</v>
      </c>
      <c r="BY1556">
        <f t="shared" si="481"/>
        <v>0</v>
      </c>
      <c r="BZ1556" s="304">
        <f t="shared" si="482"/>
        <v>0</v>
      </c>
      <c r="CB1556" s="299">
        <v>0.6</v>
      </c>
      <c r="CC1556" s="299">
        <v>0.4</v>
      </c>
      <c r="CD1556">
        <f t="shared" si="483"/>
        <v>0</v>
      </c>
      <c r="CE1556">
        <f t="shared" si="484"/>
        <v>0</v>
      </c>
      <c r="CF1556">
        <f t="shared" si="485"/>
        <v>0</v>
      </c>
      <c r="CG1556">
        <f t="shared" si="486"/>
        <v>0</v>
      </c>
      <c r="CH1556">
        <f t="shared" si="487"/>
        <v>0</v>
      </c>
      <c r="CI1556">
        <f t="shared" si="488"/>
        <v>0</v>
      </c>
      <c r="CJ1556">
        <f t="shared" si="489"/>
        <v>0</v>
      </c>
      <c r="CK1556">
        <f t="shared" si="490"/>
        <v>0</v>
      </c>
      <c r="CL1556">
        <f t="shared" si="491"/>
        <v>0</v>
      </c>
      <c r="CM1556">
        <f t="shared" si="493"/>
        <v>0</v>
      </c>
      <c r="CN1556">
        <f t="shared" si="492"/>
        <v>0</v>
      </c>
      <c r="CO1556">
        <f t="shared" si="476"/>
        <v>0</v>
      </c>
    </row>
    <row r="1557" spans="1:93" x14ac:dyDescent="0.25">
      <c r="A1557" s="4">
        <v>2021</v>
      </c>
      <c r="B1557" s="318">
        <v>44361</v>
      </c>
      <c r="C1557" s="4" t="s">
        <v>66</v>
      </c>
      <c r="D1557" s="4" t="s">
        <v>1525</v>
      </c>
      <c r="E1557" s="4" t="s">
        <v>87</v>
      </c>
      <c r="F1557" s="4" t="s">
        <v>90</v>
      </c>
      <c r="G1557" s="5" t="s">
        <v>17</v>
      </c>
      <c r="H1557" s="5" t="s">
        <v>20</v>
      </c>
      <c r="I1557" s="5" t="s">
        <v>18</v>
      </c>
      <c r="J1557" s="5" t="s">
        <v>10</v>
      </c>
      <c r="K1557" s="5">
        <v>18.18</v>
      </c>
      <c r="L1557" s="5" t="s">
        <v>193</v>
      </c>
      <c r="M1557" s="5">
        <v>1666</v>
      </c>
      <c r="N1557" s="5" t="s">
        <v>170</v>
      </c>
      <c r="O1557" s="6" t="s">
        <v>81</v>
      </c>
      <c r="P1557" s="6" t="s">
        <v>1505</v>
      </c>
      <c r="S1557" s="6">
        <v>42</v>
      </c>
      <c r="T1557" s="6">
        <v>16.02</v>
      </c>
      <c r="U1557" s="6">
        <v>1451</v>
      </c>
      <c r="V1557" s="6">
        <v>23.57</v>
      </c>
      <c r="W1557" s="6">
        <v>44</v>
      </c>
      <c r="X1557" s="6">
        <v>444</v>
      </c>
      <c r="Y1557" s="6">
        <v>742</v>
      </c>
      <c r="Z1557" s="6">
        <v>211</v>
      </c>
      <c r="AA1557" s="6">
        <v>10</v>
      </c>
      <c r="AB1557" s="6">
        <v>0</v>
      </c>
      <c r="AC1557" s="7">
        <v>94</v>
      </c>
      <c r="AD1557" s="7" t="s">
        <v>53</v>
      </c>
      <c r="AE1557" s="7">
        <v>26.61</v>
      </c>
      <c r="AF1557" s="7">
        <v>198</v>
      </c>
      <c r="AG1557" s="7">
        <v>21.75</v>
      </c>
      <c r="AH1557" s="7">
        <v>37.4</v>
      </c>
      <c r="AI1557" s="7">
        <v>41.41</v>
      </c>
      <c r="AJ1557" s="9">
        <v>284.15787392932901</v>
      </c>
      <c r="AK1557" s="9">
        <v>312.165739585528</v>
      </c>
      <c r="AL1557" s="9">
        <v>341.02142527515798</v>
      </c>
      <c r="AM1557" s="9">
        <v>56.829136637482101</v>
      </c>
      <c r="AN1557" s="9">
        <v>0.60456528337746895</v>
      </c>
      <c r="AO1557" s="9">
        <v>0.46150757917452501</v>
      </c>
      <c r="AP1557" s="9">
        <v>768.52997108959698</v>
      </c>
      <c r="AQ1557" s="9">
        <v>8.1758507562723004</v>
      </c>
      <c r="AR1557" s="9">
        <v>9.3376121946588793</v>
      </c>
      <c r="AS1557" s="8">
        <v>49</v>
      </c>
      <c r="AT1557" s="8">
        <v>4.7699999999999996</v>
      </c>
      <c r="AU1557" s="10">
        <v>35.205961428129235</v>
      </c>
      <c r="AV1557" s="10">
        <v>61.950842704382978</v>
      </c>
      <c r="AW1557" s="8">
        <v>0.91</v>
      </c>
      <c r="AX1557" s="10">
        <v>1.2643029123343466</v>
      </c>
      <c r="BF1557" s="12">
        <v>0.55000000000000004</v>
      </c>
      <c r="BG1557" s="13">
        <v>326.67010696149498</v>
      </c>
      <c r="BH1557" s="96" t="str">
        <f>+VLOOKUP(G1557,Liste!$A$7:$G$50,3,FALSE)</f>
        <v>Chêne sessile</v>
      </c>
      <c r="BI1557" s="96" t="str">
        <f>+VLOOKUP(H1557,Liste!$B$7:$G$50,5,FALSE)</f>
        <v>Guide chênaie atlantique</v>
      </c>
      <c r="BJ1557" s="135">
        <f t="shared" si="475"/>
        <v>94</v>
      </c>
      <c r="BK1557" s="135" t="str">
        <f t="shared" si="477"/>
        <v>Chêne sessile_F2_Classique_Guide chênaie atlantique_94_</v>
      </c>
      <c r="BM1557" s="13">
        <v>81.859192590788595</v>
      </c>
      <c r="BN1557" s="13">
        <v>408.52929955228302</v>
      </c>
      <c r="BO1557" s="13">
        <v>86.396076006176997</v>
      </c>
      <c r="BP1557" s="13">
        <v>401.52059066910999</v>
      </c>
      <c r="BQ1557" s="13">
        <v>10.742664761146999</v>
      </c>
      <c r="BT1557" s="298" t="str">
        <f>+VLOOKUP(G1557,Liste!$A$7:$H$50,8,FALSE)</f>
        <v>Feuillus</v>
      </c>
      <c r="BU1557" s="298">
        <f t="shared" si="478"/>
        <v>1</v>
      </c>
      <c r="BV1557" s="300">
        <f t="shared" si="479"/>
        <v>0</v>
      </c>
      <c r="BW1557" s="321">
        <v>0</v>
      </c>
      <c r="BX1557" s="298">
        <f t="shared" si="480"/>
        <v>0.25</v>
      </c>
      <c r="BY1557">
        <f t="shared" si="481"/>
        <v>0</v>
      </c>
      <c r="BZ1557" s="304">
        <f t="shared" si="482"/>
        <v>0</v>
      </c>
      <c r="CB1557" s="299">
        <v>0.6</v>
      </c>
      <c r="CC1557" s="299">
        <v>0.4</v>
      </c>
      <c r="CD1557">
        <f t="shared" si="483"/>
        <v>0</v>
      </c>
      <c r="CE1557">
        <f t="shared" si="484"/>
        <v>0</v>
      </c>
      <c r="CF1557">
        <f t="shared" si="485"/>
        <v>0</v>
      </c>
      <c r="CG1557">
        <f t="shared" si="486"/>
        <v>0</v>
      </c>
      <c r="CH1557">
        <f t="shared" si="487"/>
        <v>0</v>
      </c>
      <c r="CI1557">
        <f t="shared" si="488"/>
        <v>0</v>
      </c>
      <c r="CJ1557">
        <f t="shared" si="489"/>
        <v>0</v>
      </c>
      <c r="CK1557">
        <f t="shared" si="490"/>
        <v>0</v>
      </c>
      <c r="CL1557">
        <f t="shared" si="491"/>
        <v>0</v>
      </c>
      <c r="CM1557">
        <f t="shared" si="493"/>
        <v>0</v>
      </c>
      <c r="CN1557">
        <f t="shared" si="492"/>
        <v>0</v>
      </c>
      <c r="CO1557">
        <f t="shared" si="476"/>
        <v>0</v>
      </c>
    </row>
    <row r="1558" spans="1:93" x14ac:dyDescent="0.25">
      <c r="A1558" s="4">
        <v>2021</v>
      </c>
      <c r="B1558" s="318">
        <v>44361</v>
      </c>
      <c r="C1558" s="4" t="s">
        <v>66</v>
      </c>
      <c r="D1558" s="4" t="s">
        <v>1525</v>
      </c>
      <c r="E1558" s="4" t="s">
        <v>87</v>
      </c>
      <c r="F1558" s="4" t="s">
        <v>90</v>
      </c>
      <c r="G1558" s="5" t="s">
        <v>17</v>
      </c>
      <c r="H1558" s="5" t="s">
        <v>20</v>
      </c>
      <c r="I1558" s="5" t="s">
        <v>18</v>
      </c>
      <c r="J1558" s="5" t="s">
        <v>10</v>
      </c>
      <c r="K1558" s="5">
        <v>18.18</v>
      </c>
      <c r="L1558" s="5" t="s">
        <v>193</v>
      </c>
      <c r="M1558" s="5">
        <v>1666</v>
      </c>
      <c r="N1558" s="5" t="s">
        <v>170</v>
      </c>
      <c r="O1558" s="6" t="s">
        <v>81</v>
      </c>
      <c r="P1558" s="6" t="s">
        <v>1505</v>
      </c>
      <c r="S1558" s="6">
        <v>42</v>
      </c>
      <c r="T1558" s="6">
        <v>16.02</v>
      </c>
      <c r="U1558" s="6">
        <v>1451</v>
      </c>
      <c r="V1558" s="6">
        <v>23.57</v>
      </c>
      <c r="W1558" s="6">
        <v>44</v>
      </c>
      <c r="X1558" s="6">
        <v>444</v>
      </c>
      <c r="Y1558" s="6">
        <v>742</v>
      </c>
      <c r="Z1558" s="6">
        <v>211</v>
      </c>
      <c r="AA1558" s="6">
        <v>10</v>
      </c>
      <c r="AB1558" s="6">
        <v>0</v>
      </c>
      <c r="AC1558" s="7">
        <v>97</v>
      </c>
      <c r="AD1558" s="7" t="s">
        <v>52</v>
      </c>
      <c r="AE1558" s="7">
        <v>27.06</v>
      </c>
      <c r="AF1558" s="7">
        <v>198</v>
      </c>
      <c r="AG1558" s="7">
        <v>23.13</v>
      </c>
      <c r="AH1558" s="7">
        <v>38.57</v>
      </c>
      <c r="AI1558" s="7">
        <v>42.67</v>
      </c>
      <c r="AJ1558" s="9">
        <v>307.96037984888102</v>
      </c>
      <c r="AK1558" s="9">
        <v>338.58359038154799</v>
      </c>
      <c r="AL1558" s="9">
        <v>369.03426185913401</v>
      </c>
      <c r="AM1558" s="9">
        <v>58.213659375005598</v>
      </c>
      <c r="AN1558" s="9">
        <v>0.60014081829902699</v>
      </c>
      <c r="AO1558" s="9">
        <v>0.46044976565815199</v>
      </c>
      <c r="AP1558" s="9">
        <v>796.54280767357295</v>
      </c>
      <c r="AQ1558" s="9">
        <v>8.2117815224079695</v>
      </c>
      <c r="AR1558" s="9">
        <v>9.3513124376940695</v>
      </c>
      <c r="AS1558" s="8" t="s">
        <v>169</v>
      </c>
      <c r="AT1558" s="8" t="s">
        <v>169</v>
      </c>
      <c r="AU1558" s="10" t="s">
        <v>169</v>
      </c>
      <c r="AV1558" s="10">
        <v>0</v>
      </c>
      <c r="AX1558" s="10" t="s">
        <v>169</v>
      </c>
      <c r="BF1558" s="12">
        <v>0.55000000000000004</v>
      </c>
      <c r="BG1558" s="13">
        <v>353.50407000589598</v>
      </c>
      <c r="BH1558" s="96" t="str">
        <f>+VLOOKUP(G1558,Liste!$A$7:$G$50,3,FALSE)</f>
        <v>Chêne sessile</v>
      </c>
      <c r="BI1558" s="96" t="str">
        <f>+VLOOKUP(H1558,Liste!$B$7:$G$50,5,FALSE)</f>
        <v>Guide chênaie atlantique</v>
      </c>
      <c r="BJ1558" s="135">
        <f t="shared" si="475"/>
        <v>97</v>
      </c>
      <c r="BK1558" s="135" t="str">
        <f t="shared" si="477"/>
        <v>Chêne sessile_F2_Classique_Guide chênaie atlantique_97_</v>
      </c>
      <c r="BM1558" s="13">
        <v>87.773153837919907</v>
      </c>
      <c r="BN1558" s="13">
        <v>441.27722384381599</v>
      </c>
      <c r="BO1558" s="13" t="s">
        <v>169</v>
      </c>
      <c r="BP1558" s="13">
        <v>401.52059066910999</v>
      </c>
      <c r="BQ1558" s="13">
        <v>10.751063658686601</v>
      </c>
      <c r="BT1558" s="298" t="str">
        <f>+VLOOKUP(G1558,Liste!$A$7:$H$50,8,FALSE)</f>
        <v>Feuillus</v>
      </c>
      <c r="BU1558" s="298">
        <f t="shared" si="478"/>
        <v>1</v>
      </c>
      <c r="BV1558" s="300">
        <f t="shared" si="479"/>
        <v>0</v>
      </c>
      <c r="BW1558" s="321">
        <v>0</v>
      </c>
      <c r="BX1558" s="298">
        <f t="shared" si="480"/>
        <v>0.25</v>
      </c>
      <c r="BY1558">
        <f t="shared" si="481"/>
        <v>0</v>
      </c>
      <c r="BZ1558" s="304">
        <f t="shared" si="482"/>
        <v>0</v>
      </c>
      <c r="CB1558" s="299">
        <v>0.6</v>
      </c>
      <c r="CC1558" s="299">
        <v>0.4</v>
      </c>
      <c r="CD1558">
        <f t="shared" si="483"/>
        <v>0</v>
      </c>
      <c r="CE1558">
        <f t="shared" si="484"/>
        <v>0</v>
      </c>
      <c r="CF1558">
        <f t="shared" si="485"/>
        <v>0</v>
      </c>
      <c r="CG1558">
        <f t="shared" si="486"/>
        <v>0</v>
      </c>
      <c r="CH1558">
        <f t="shared" si="487"/>
        <v>0</v>
      </c>
      <c r="CI1558">
        <f t="shared" si="488"/>
        <v>0</v>
      </c>
      <c r="CJ1558">
        <f t="shared" si="489"/>
        <v>0</v>
      </c>
      <c r="CK1558">
        <f t="shared" si="490"/>
        <v>0</v>
      </c>
      <c r="CL1558">
        <f t="shared" si="491"/>
        <v>0</v>
      </c>
      <c r="CM1558">
        <f t="shared" si="493"/>
        <v>0</v>
      </c>
      <c r="CN1558">
        <f t="shared" si="492"/>
        <v>0</v>
      </c>
      <c r="CO1558">
        <f t="shared" si="476"/>
        <v>0</v>
      </c>
    </row>
    <row r="1559" spans="1:93" x14ac:dyDescent="0.25">
      <c r="A1559" s="4">
        <v>2021</v>
      </c>
      <c r="B1559" s="318">
        <v>44361</v>
      </c>
      <c r="C1559" s="4" t="s">
        <v>66</v>
      </c>
      <c r="D1559" s="4" t="s">
        <v>1525</v>
      </c>
      <c r="E1559" s="4" t="s">
        <v>87</v>
      </c>
      <c r="F1559" s="4" t="s">
        <v>90</v>
      </c>
      <c r="G1559" s="5" t="s">
        <v>17</v>
      </c>
      <c r="H1559" s="5" t="s">
        <v>20</v>
      </c>
      <c r="I1559" s="5" t="s">
        <v>18</v>
      </c>
      <c r="J1559" s="5" t="s">
        <v>10</v>
      </c>
      <c r="K1559" s="5">
        <v>18.18</v>
      </c>
      <c r="L1559" s="5" t="s">
        <v>193</v>
      </c>
      <c r="M1559" s="5">
        <v>1666</v>
      </c>
      <c r="N1559" s="5" t="s">
        <v>170</v>
      </c>
      <c r="O1559" s="6" t="s">
        <v>81</v>
      </c>
      <c r="P1559" s="6" t="s">
        <v>1505</v>
      </c>
      <c r="S1559" s="6">
        <v>42</v>
      </c>
      <c r="T1559" s="6">
        <v>16.02</v>
      </c>
      <c r="U1559" s="6">
        <v>1451</v>
      </c>
      <c r="V1559" s="6">
        <v>23.57</v>
      </c>
      <c r="W1559" s="6">
        <v>44</v>
      </c>
      <c r="X1559" s="6">
        <v>444</v>
      </c>
      <c r="Y1559" s="6">
        <v>742</v>
      </c>
      <c r="Z1559" s="6">
        <v>211</v>
      </c>
      <c r="AA1559" s="6">
        <v>10</v>
      </c>
      <c r="AB1559" s="6">
        <v>0</v>
      </c>
      <c r="AC1559" s="7">
        <v>100</v>
      </c>
      <c r="AD1559" s="7" t="s">
        <v>52</v>
      </c>
      <c r="AE1559" s="7">
        <v>27.5</v>
      </c>
      <c r="AF1559" s="7">
        <v>198</v>
      </c>
      <c r="AG1559" s="7">
        <v>24.51</v>
      </c>
      <c r="AH1559" s="7">
        <v>39.700000000000003</v>
      </c>
      <c r="AI1559" s="7">
        <v>43.9</v>
      </c>
      <c r="AJ1559" s="9">
        <v>331.70803856494098</v>
      </c>
      <c r="AK1559" s="9">
        <v>365.042187183865</v>
      </c>
      <c r="AL1559" s="9">
        <v>397.08819917221598</v>
      </c>
      <c r="AM1559" s="9">
        <v>59.595008671980104</v>
      </c>
      <c r="AN1559" s="9">
        <v>0.59595008671980099</v>
      </c>
      <c r="AO1559" s="9">
        <v>0.45840686060485503</v>
      </c>
      <c r="AP1559" s="9">
        <v>824.59674498665504</v>
      </c>
      <c r="AQ1559" s="9">
        <v>8.2459674498665496</v>
      </c>
      <c r="AR1559" s="9">
        <v>9.5991847607297398</v>
      </c>
      <c r="AS1559" s="8" t="s">
        <v>169</v>
      </c>
      <c r="AT1559" s="8" t="s">
        <v>169</v>
      </c>
      <c r="AU1559" s="10" t="s">
        <v>169</v>
      </c>
      <c r="AV1559" s="10">
        <v>0</v>
      </c>
      <c r="AX1559" s="10" t="s">
        <v>169</v>
      </c>
      <c r="BF1559" s="12">
        <v>0.55000000000000004</v>
      </c>
      <c r="BG1559" s="13">
        <v>380.37740412371897</v>
      </c>
      <c r="BH1559" s="96" t="str">
        <f>+VLOOKUP(G1559,Liste!$A$7:$G$50,3,FALSE)</f>
        <v>Chêne sessile</v>
      </c>
      <c r="BI1559" s="96" t="str">
        <f>+VLOOKUP(H1559,Liste!$B$7:$G$50,5,FALSE)</f>
        <v>Guide chênaie atlantique</v>
      </c>
      <c r="BJ1559" s="135">
        <f t="shared" si="475"/>
        <v>100</v>
      </c>
      <c r="BK1559" s="135" t="str">
        <f t="shared" si="477"/>
        <v>Chêne sessile_F2_Classique_Guide chênaie atlantique_100_</v>
      </c>
      <c r="BM1559" s="13">
        <v>93.643602658385205</v>
      </c>
      <c r="BN1559" s="13">
        <v>474.021006782104</v>
      </c>
      <c r="BO1559" s="13" t="s">
        <v>169</v>
      </c>
      <c r="BP1559" s="13">
        <v>401.52059066910999</v>
      </c>
      <c r="BQ1559" s="13">
        <v>11.027459734560299</v>
      </c>
      <c r="BT1559" s="298" t="str">
        <f>+VLOOKUP(G1559,Liste!$A$7:$H$50,8,FALSE)</f>
        <v>Feuillus</v>
      </c>
      <c r="BU1559" s="298">
        <f t="shared" si="478"/>
        <v>1</v>
      </c>
      <c r="BV1559" s="300">
        <f t="shared" si="479"/>
        <v>0</v>
      </c>
      <c r="BW1559" s="321">
        <v>0</v>
      </c>
      <c r="BX1559" s="298">
        <f t="shared" si="480"/>
        <v>0.25</v>
      </c>
      <c r="BY1559">
        <f t="shared" si="481"/>
        <v>0</v>
      </c>
      <c r="BZ1559" s="304">
        <f t="shared" si="482"/>
        <v>0</v>
      </c>
      <c r="CB1559" s="299">
        <v>0.6</v>
      </c>
      <c r="CC1559" s="299">
        <v>0.4</v>
      </c>
      <c r="CD1559">
        <f t="shared" si="483"/>
        <v>0</v>
      </c>
      <c r="CE1559">
        <f t="shared" si="484"/>
        <v>0</v>
      </c>
      <c r="CF1559">
        <f t="shared" si="485"/>
        <v>0</v>
      </c>
      <c r="CG1559">
        <f t="shared" si="486"/>
        <v>0</v>
      </c>
      <c r="CH1559">
        <f t="shared" si="487"/>
        <v>0</v>
      </c>
      <c r="CI1559">
        <f t="shared" si="488"/>
        <v>0</v>
      </c>
      <c r="CJ1559">
        <f t="shared" si="489"/>
        <v>0</v>
      </c>
      <c r="CK1559">
        <f t="shared" si="490"/>
        <v>0</v>
      </c>
      <c r="CL1559">
        <f t="shared" si="491"/>
        <v>0</v>
      </c>
      <c r="CM1559">
        <f t="shared" si="493"/>
        <v>0</v>
      </c>
      <c r="CN1559">
        <f t="shared" si="492"/>
        <v>0</v>
      </c>
      <c r="CO1559">
        <f t="shared" si="476"/>
        <v>0</v>
      </c>
    </row>
    <row r="1560" spans="1:93" x14ac:dyDescent="0.25">
      <c r="A1560" s="4">
        <v>2021</v>
      </c>
      <c r="B1560" s="318">
        <v>44361</v>
      </c>
      <c r="C1560" s="4" t="s">
        <v>66</v>
      </c>
      <c r="D1560" s="4" t="s">
        <v>1525</v>
      </c>
      <c r="E1560" s="4" t="s">
        <v>87</v>
      </c>
      <c r="F1560" s="4" t="s">
        <v>90</v>
      </c>
      <c r="G1560" s="5" t="s">
        <v>17</v>
      </c>
      <c r="H1560" s="5" t="s">
        <v>20</v>
      </c>
      <c r="I1560" s="5" t="s">
        <v>18</v>
      </c>
      <c r="J1560" s="5" t="s">
        <v>10</v>
      </c>
      <c r="K1560" s="5">
        <v>18.18</v>
      </c>
      <c r="L1560" s="5" t="s">
        <v>193</v>
      </c>
      <c r="M1560" s="5">
        <v>1666</v>
      </c>
      <c r="N1560" s="5" t="s">
        <v>170</v>
      </c>
      <c r="O1560" s="6" t="s">
        <v>81</v>
      </c>
      <c r="P1560" s="6" t="s">
        <v>1505</v>
      </c>
      <c r="S1560" s="6">
        <v>42</v>
      </c>
      <c r="T1560" s="6">
        <v>16.02</v>
      </c>
      <c r="U1560" s="6">
        <v>1451</v>
      </c>
      <c r="V1560" s="6">
        <v>23.57</v>
      </c>
      <c r="W1560" s="6">
        <v>44</v>
      </c>
      <c r="X1560" s="6">
        <v>444</v>
      </c>
      <c r="Y1560" s="6">
        <v>742</v>
      </c>
      <c r="Z1560" s="6">
        <v>211</v>
      </c>
      <c r="AA1560" s="6">
        <v>10</v>
      </c>
      <c r="AB1560" s="6">
        <v>0</v>
      </c>
      <c r="AC1560" s="7">
        <v>104</v>
      </c>
      <c r="AD1560" s="7" t="s">
        <v>52</v>
      </c>
      <c r="AE1560" s="7">
        <v>28.08</v>
      </c>
      <c r="AF1560" s="7">
        <v>198</v>
      </c>
      <c r="AG1560" s="7">
        <v>26.35</v>
      </c>
      <c r="AH1560" s="7">
        <v>41.16</v>
      </c>
      <c r="AI1560" s="7">
        <v>45.49</v>
      </c>
      <c r="AJ1560" s="9">
        <v>364.38189114745802</v>
      </c>
      <c r="AK1560" s="9">
        <v>401.34548799007302</v>
      </c>
      <c r="AL1560" s="9">
        <v>435.484938215135</v>
      </c>
      <c r="AM1560" s="9">
        <v>61.428636114399502</v>
      </c>
      <c r="AN1560" s="9">
        <v>0.59065996263845699</v>
      </c>
      <c r="AO1560" s="9">
        <v>0.43393916116148101</v>
      </c>
      <c r="AP1560" s="9">
        <v>862.99348402957401</v>
      </c>
      <c r="AQ1560" s="9">
        <v>8.2980142695151393</v>
      </c>
      <c r="AR1560" s="9">
        <v>9.2383148583843795</v>
      </c>
      <c r="AS1560" s="8" t="s">
        <v>169</v>
      </c>
      <c r="AT1560" s="8" t="s">
        <v>169</v>
      </c>
      <c r="AU1560" s="10" t="s">
        <v>169</v>
      </c>
      <c r="AV1560" s="10">
        <v>0</v>
      </c>
      <c r="AX1560" s="10" t="s">
        <v>169</v>
      </c>
      <c r="BF1560" s="12">
        <v>0.55000000000000004</v>
      </c>
      <c r="BG1560" s="13">
        <v>417.15828039858201</v>
      </c>
      <c r="BH1560" s="96" t="str">
        <f>+VLOOKUP(G1560,Liste!$A$7:$G$50,3,FALSE)</f>
        <v>Chêne sessile</v>
      </c>
      <c r="BI1560" s="96" t="str">
        <f>+VLOOKUP(H1560,Liste!$B$7:$G$50,5,FALSE)</f>
        <v>Guide chênaie atlantique</v>
      </c>
      <c r="BJ1560" s="135">
        <f t="shared" si="475"/>
        <v>104</v>
      </c>
      <c r="BK1560" s="135" t="str">
        <f t="shared" si="477"/>
        <v>Chêne sessile_F2_Classique_Guide chênaie atlantique_104_</v>
      </c>
      <c r="BM1560" s="13">
        <v>101.60106094373999</v>
      </c>
      <c r="BN1560" s="13">
        <v>518.75934134232205</v>
      </c>
      <c r="BO1560" s="13" t="s">
        <v>169</v>
      </c>
      <c r="BP1560" s="13">
        <v>401.52059066910999</v>
      </c>
      <c r="BQ1560" s="13">
        <v>10.6050155602153</v>
      </c>
      <c r="BT1560" s="298" t="str">
        <f>+VLOOKUP(G1560,Liste!$A$7:$H$50,8,FALSE)</f>
        <v>Feuillus</v>
      </c>
      <c r="BU1560" s="298">
        <f t="shared" si="478"/>
        <v>1</v>
      </c>
      <c r="BV1560" s="300">
        <f t="shared" si="479"/>
        <v>0</v>
      </c>
      <c r="BW1560" s="321">
        <v>0</v>
      </c>
      <c r="BX1560" s="298">
        <f t="shared" si="480"/>
        <v>0.25</v>
      </c>
      <c r="BY1560">
        <f t="shared" si="481"/>
        <v>0</v>
      </c>
      <c r="BZ1560" s="304">
        <f t="shared" si="482"/>
        <v>0</v>
      </c>
      <c r="CB1560" s="299">
        <v>0.6</v>
      </c>
      <c r="CC1560" s="299">
        <v>0.4</v>
      </c>
      <c r="CD1560">
        <f t="shared" si="483"/>
        <v>0</v>
      </c>
      <c r="CE1560">
        <f t="shared" si="484"/>
        <v>0</v>
      </c>
      <c r="CF1560">
        <f t="shared" si="485"/>
        <v>0</v>
      </c>
      <c r="CG1560">
        <f t="shared" si="486"/>
        <v>0</v>
      </c>
      <c r="CH1560">
        <f t="shared" si="487"/>
        <v>0</v>
      </c>
      <c r="CI1560">
        <f t="shared" si="488"/>
        <v>0</v>
      </c>
      <c r="CJ1560">
        <f t="shared" si="489"/>
        <v>0</v>
      </c>
      <c r="CK1560">
        <f t="shared" si="490"/>
        <v>0</v>
      </c>
      <c r="CL1560">
        <f t="shared" si="491"/>
        <v>0</v>
      </c>
      <c r="CM1560">
        <f t="shared" si="493"/>
        <v>0</v>
      </c>
      <c r="CN1560">
        <f t="shared" si="492"/>
        <v>0</v>
      </c>
      <c r="CO1560">
        <f t="shared" si="476"/>
        <v>0</v>
      </c>
    </row>
    <row r="1561" spans="1:93" x14ac:dyDescent="0.25">
      <c r="A1561" s="4">
        <v>2021</v>
      </c>
      <c r="B1561" s="318">
        <v>44361</v>
      </c>
      <c r="C1561" s="4" t="s">
        <v>66</v>
      </c>
      <c r="D1561" s="4" t="s">
        <v>1525</v>
      </c>
      <c r="E1561" s="4" t="s">
        <v>87</v>
      </c>
      <c r="F1561" s="4" t="s">
        <v>90</v>
      </c>
      <c r="G1561" s="5" t="s">
        <v>17</v>
      </c>
      <c r="H1561" s="5" t="s">
        <v>20</v>
      </c>
      <c r="I1561" s="5" t="s">
        <v>18</v>
      </c>
      <c r="J1561" s="5" t="s">
        <v>10</v>
      </c>
      <c r="K1561" s="5">
        <v>18.18</v>
      </c>
      <c r="L1561" s="5" t="s">
        <v>193</v>
      </c>
      <c r="M1561" s="5">
        <v>1666</v>
      </c>
      <c r="N1561" s="5" t="s">
        <v>170</v>
      </c>
      <c r="O1561" s="6" t="s">
        <v>81</v>
      </c>
      <c r="P1561" s="6" t="s">
        <v>1505</v>
      </c>
      <c r="S1561" s="6">
        <v>42</v>
      </c>
      <c r="T1561" s="6">
        <v>16.02</v>
      </c>
      <c r="U1561" s="6">
        <v>1451</v>
      </c>
      <c r="V1561" s="6">
        <v>23.57</v>
      </c>
      <c r="W1561" s="6">
        <v>44</v>
      </c>
      <c r="X1561" s="6">
        <v>444</v>
      </c>
      <c r="Y1561" s="6">
        <v>742</v>
      </c>
      <c r="Z1561" s="6">
        <v>211</v>
      </c>
      <c r="AA1561" s="6">
        <v>10</v>
      </c>
      <c r="AB1561" s="6">
        <v>0</v>
      </c>
      <c r="AC1561" s="7">
        <v>104</v>
      </c>
      <c r="AD1561" s="7" t="s">
        <v>53</v>
      </c>
      <c r="AE1561" s="7">
        <v>28.08</v>
      </c>
      <c r="AF1561" s="7">
        <v>164</v>
      </c>
      <c r="AG1561" s="7">
        <v>22.16</v>
      </c>
      <c r="AH1561" s="7">
        <v>41.48</v>
      </c>
      <c r="AI1561" s="7">
        <v>44.9</v>
      </c>
      <c r="AJ1561" s="9">
        <v>306.70638570157899</v>
      </c>
      <c r="AK1561" s="9">
        <v>338.09039268945497</v>
      </c>
      <c r="AL1561" s="9">
        <v>366.78774001414098</v>
      </c>
      <c r="AM1561" s="9">
        <v>61.428636114399502</v>
      </c>
      <c r="AN1561" s="9">
        <v>0.59065996263845699</v>
      </c>
      <c r="AO1561" s="9">
        <v>0.43393916116148101</v>
      </c>
      <c r="AP1561" s="9">
        <v>862.99348402957401</v>
      </c>
      <c r="AQ1561" s="9">
        <v>8.2980142695151393</v>
      </c>
      <c r="AR1561" s="9">
        <v>9.2383148583843795</v>
      </c>
      <c r="AS1561" s="8">
        <v>34</v>
      </c>
      <c r="AT1561" s="8">
        <v>4.1900000000000013</v>
      </c>
      <c r="AU1561" s="10">
        <v>39.611620741602692</v>
      </c>
      <c r="AV1561" s="10">
        <v>57.675505445879026</v>
      </c>
      <c r="AW1561" s="8">
        <v>0.92</v>
      </c>
      <c r="AX1561" s="10">
        <v>1.6963383954670301</v>
      </c>
      <c r="BF1561" s="12">
        <v>0.55000000000000004</v>
      </c>
      <c r="BG1561" s="13">
        <v>351.35208928854598</v>
      </c>
      <c r="BH1561" s="96" t="str">
        <f>+VLOOKUP(G1561,Liste!$A$7:$G$50,3,FALSE)</f>
        <v>Chêne sessile</v>
      </c>
      <c r="BI1561" s="96" t="str">
        <f>+VLOOKUP(H1561,Liste!$B$7:$G$50,5,FALSE)</f>
        <v>Guide chênaie atlantique</v>
      </c>
      <c r="BJ1561" s="135">
        <f t="shared" si="475"/>
        <v>104</v>
      </c>
      <c r="BK1561" s="135" t="str">
        <f t="shared" si="477"/>
        <v>Chêne sessile_F2_Classique_Guide chênaie atlantique_104_</v>
      </c>
      <c r="BM1561" s="13">
        <v>87.300856432952301</v>
      </c>
      <c r="BN1561" s="13">
        <v>438.65294572149799</v>
      </c>
      <c r="BO1561" s="13">
        <v>80.10639562082406</v>
      </c>
      <c r="BP1561" s="13">
        <v>401.52059066910999</v>
      </c>
      <c r="BQ1561" s="13">
        <v>10.6050155602153</v>
      </c>
      <c r="BT1561" s="298" t="str">
        <f>+VLOOKUP(G1561,Liste!$A$7:$H$50,8,FALSE)</f>
        <v>Feuillus</v>
      </c>
      <c r="BU1561" s="298">
        <f t="shared" si="478"/>
        <v>1</v>
      </c>
      <c r="BV1561" s="300">
        <f t="shared" si="479"/>
        <v>0</v>
      </c>
      <c r="BW1561" s="321">
        <v>0</v>
      </c>
      <c r="BX1561" s="298">
        <f t="shared" si="480"/>
        <v>0.25</v>
      </c>
      <c r="BY1561">
        <f t="shared" si="481"/>
        <v>0</v>
      </c>
      <c r="BZ1561" s="304">
        <f t="shared" si="482"/>
        <v>0</v>
      </c>
      <c r="CB1561" s="299">
        <v>0.6</v>
      </c>
      <c r="CC1561" s="299">
        <v>0.4</v>
      </c>
      <c r="CD1561">
        <f t="shared" si="483"/>
        <v>0</v>
      </c>
      <c r="CE1561">
        <f t="shared" si="484"/>
        <v>0</v>
      </c>
      <c r="CF1561">
        <f t="shared" si="485"/>
        <v>0</v>
      </c>
      <c r="CG1561">
        <f t="shared" si="486"/>
        <v>0</v>
      </c>
      <c r="CH1561">
        <f t="shared" si="487"/>
        <v>0</v>
      </c>
      <c r="CI1561">
        <f t="shared" si="488"/>
        <v>0</v>
      </c>
      <c r="CJ1561">
        <f t="shared" si="489"/>
        <v>0</v>
      </c>
      <c r="CK1561">
        <f t="shared" si="490"/>
        <v>0</v>
      </c>
      <c r="CL1561">
        <f t="shared" si="491"/>
        <v>0</v>
      </c>
      <c r="CM1561">
        <f t="shared" si="493"/>
        <v>0</v>
      </c>
      <c r="CN1561">
        <f t="shared" si="492"/>
        <v>0</v>
      </c>
      <c r="CO1561">
        <f t="shared" si="476"/>
        <v>0</v>
      </c>
    </row>
    <row r="1562" spans="1:93" x14ac:dyDescent="0.25">
      <c r="A1562" s="4">
        <v>2021</v>
      </c>
      <c r="B1562" s="318">
        <v>44361</v>
      </c>
      <c r="C1562" s="4" t="s">
        <v>66</v>
      </c>
      <c r="D1562" s="4" t="s">
        <v>1525</v>
      </c>
      <c r="E1562" s="4" t="s">
        <v>87</v>
      </c>
      <c r="F1562" s="4" t="s">
        <v>90</v>
      </c>
      <c r="G1562" s="5" t="s">
        <v>17</v>
      </c>
      <c r="H1562" s="5" t="s">
        <v>20</v>
      </c>
      <c r="I1562" s="5" t="s">
        <v>18</v>
      </c>
      <c r="J1562" s="5" t="s">
        <v>10</v>
      </c>
      <c r="K1562" s="5">
        <v>18.18</v>
      </c>
      <c r="L1562" s="5" t="s">
        <v>193</v>
      </c>
      <c r="M1562" s="5">
        <v>1666</v>
      </c>
      <c r="N1562" s="5" t="s">
        <v>170</v>
      </c>
      <c r="O1562" s="6" t="s">
        <v>81</v>
      </c>
      <c r="P1562" s="6" t="s">
        <v>1505</v>
      </c>
      <c r="S1562" s="6">
        <v>42</v>
      </c>
      <c r="T1562" s="6">
        <v>16.02</v>
      </c>
      <c r="U1562" s="6">
        <v>1451</v>
      </c>
      <c r="V1562" s="6">
        <v>23.57</v>
      </c>
      <c r="W1562" s="6">
        <v>44</v>
      </c>
      <c r="X1562" s="6">
        <v>444</v>
      </c>
      <c r="Y1562" s="6">
        <v>742</v>
      </c>
      <c r="Z1562" s="6">
        <v>211</v>
      </c>
      <c r="AA1562" s="6">
        <v>10</v>
      </c>
      <c r="AB1562" s="6">
        <v>0</v>
      </c>
      <c r="AC1562" s="7">
        <v>107</v>
      </c>
      <c r="AD1562" s="7" t="s">
        <v>52</v>
      </c>
      <c r="AE1562" s="7">
        <v>28.5</v>
      </c>
      <c r="AF1562" s="7">
        <v>164</v>
      </c>
      <c r="AG1562" s="7">
        <v>23.46</v>
      </c>
      <c r="AH1562" s="7">
        <v>42.68</v>
      </c>
      <c r="AI1562" s="7">
        <v>46.18</v>
      </c>
      <c r="AJ1562" s="9">
        <v>330.28850030646998</v>
      </c>
      <c r="AK1562" s="9">
        <v>364.32410543409497</v>
      </c>
      <c r="AL1562" s="9">
        <v>394.50268458929401</v>
      </c>
      <c r="AM1562" s="9">
        <v>62.730453597883901</v>
      </c>
      <c r="AN1562" s="9">
        <v>0.58626592147555101</v>
      </c>
      <c r="AO1562" s="9">
        <v>0.43297677090396802</v>
      </c>
      <c r="AP1562" s="9">
        <v>890.70842860472703</v>
      </c>
      <c r="AQ1562" s="9">
        <v>8.3243778374273596</v>
      </c>
      <c r="AR1562" s="9">
        <v>9.2250930185174003</v>
      </c>
      <c r="AS1562" s="8" t="s">
        <v>169</v>
      </c>
      <c r="AT1562" s="8" t="s">
        <v>169</v>
      </c>
      <c r="AU1562" s="10" t="s">
        <v>169</v>
      </c>
      <c r="AV1562" s="10">
        <v>0</v>
      </c>
      <c r="AX1562" s="10" t="s">
        <v>169</v>
      </c>
      <c r="BF1562" s="12">
        <v>0.55000000000000004</v>
      </c>
      <c r="BG1562" s="13">
        <v>377.90069661282803</v>
      </c>
      <c r="BH1562" s="96" t="str">
        <f>+VLOOKUP(G1562,Liste!$A$7:$G$50,3,FALSE)</f>
        <v>Chêne sessile</v>
      </c>
      <c r="BI1562" s="96" t="str">
        <f>+VLOOKUP(H1562,Liste!$B$7:$G$50,5,FALSE)</f>
        <v>Guide chênaie atlantique</v>
      </c>
      <c r="BJ1562" s="135">
        <f t="shared" si="475"/>
        <v>107</v>
      </c>
      <c r="BK1562" s="135" t="str">
        <f t="shared" si="477"/>
        <v>Chêne sessile_F2_Classique_Guide chênaie atlantique_107_</v>
      </c>
      <c r="BM1562" s="13">
        <v>93.104639875507402</v>
      </c>
      <c r="BN1562" s="13">
        <v>471.00533648833499</v>
      </c>
      <c r="BO1562" s="13" t="s">
        <v>169</v>
      </c>
      <c r="BP1562" s="13">
        <v>401.52059066910999</v>
      </c>
      <c r="BQ1562" s="13">
        <v>10.583503540340301</v>
      </c>
      <c r="BT1562" s="298" t="str">
        <f>+VLOOKUP(G1562,Liste!$A$7:$H$50,8,FALSE)</f>
        <v>Feuillus</v>
      </c>
      <c r="BU1562" s="298">
        <f t="shared" si="478"/>
        <v>1</v>
      </c>
      <c r="BV1562" s="300">
        <f t="shared" si="479"/>
        <v>0</v>
      </c>
      <c r="BW1562" s="321">
        <v>0</v>
      </c>
      <c r="BX1562" s="298">
        <f t="shared" si="480"/>
        <v>0.25</v>
      </c>
      <c r="BY1562">
        <f t="shared" si="481"/>
        <v>0</v>
      </c>
      <c r="BZ1562" s="304">
        <f t="shared" si="482"/>
        <v>0</v>
      </c>
      <c r="CB1562" s="299">
        <v>0.6</v>
      </c>
      <c r="CC1562" s="299">
        <v>0.4</v>
      </c>
      <c r="CD1562">
        <f t="shared" si="483"/>
        <v>0</v>
      </c>
      <c r="CE1562">
        <f t="shared" si="484"/>
        <v>0</v>
      </c>
      <c r="CF1562">
        <f t="shared" si="485"/>
        <v>0</v>
      </c>
      <c r="CG1562">
        <f t="shared" si="486"/>
        <v>0</v>
      </c>
      <c r="CH1562">
        <f t="shared" si="487"/>
        <v>0</v>
      </c>
      <c r="CI1562">
        <f t="shared" si="488"/>
        <v>0</v>
      </c>
      <c r="CJ1562">
        <f t="shared" si="489"/>
        <v>0</v>
      </c>
      <c r="CK1562">
        <f t="shared" si="490"/>
        <v>0</v>
      </c>
      <c r="CL1562">
        <f t="shared" si="491"/>
        <v>0</v>
      </c>
      <c r="CM1562">
        <f t="shared" si="493"/>
        <v>0</v>
      </c>
      <c r="CN1562">
        <f t="shared" si="492"/>
        <v>0</v>
      </c>
      <c r="CO1562">
        <f t="shared" si="476"/>
        <v>0</v>
      </c>
    </row>
    <row r="1563" spans="1:93" x14ac:dyDescent="0.25">
      <c r="A1563" s="4">
        <v>2021</v>
      </c>
      <c r="B1563" s="318">
        <v>44361</v>
      </c>
      <c r="C1563" s="4" t="s">
        <v>66</v>
      </c>
      <c r="D1563" s="4" t="s">
        <v>1525</v>
      </c>
      <c r="E1563" s="4" t="s">
        <v>87</v>
      </c>
      <c r="F1563" s="4" t="s">
        <v>90</v>
      </c>
      <c r="G1563" s="5" t="s">
        <v>17</v>
      </c>
      <c r="H1563" s="5" t="s">
        <v>20</v>
      </c>
      <c r="I1563" s="5" t="s">
        <v>18</v>
      </c>
      <c r="J1563" s="5" t="s">
        <v>10</v>
      </c>
      <c r="K1563" s="5">
        <v>18.18</v>
      </c>
      <c r="L1563" s="5" t="s">
        <v>193</v>
      </c>
      <c r="M1563" s="5">
        <v>1666</v>
      </c>
      <c r="N1563" s="5" t="s">
        <v>170</v>
      </c>
      <c r="O1563" s="6" t="s">
        <v>81</v>
      </c>
      <c r="P1563" s="6" t="s">
        <v>1505</v>
      </c>
      <c r="S1563" s="6">
        <v>42</v>
      </c>
      <c r="T1563" s="6">
        <v>16.02</v>
      </c>
      <c r="U1563" s="6">
        <v>1451</v>
      </c>
      <c r="V1563" s="6">
        <v>23.57</v>
      </c>
      <c r="W1563" s="6">
        <v>44</v>
      </c>
      <c r="X1563" s="6">
        <v>444</v>
      </c>
      <c r="Y1563" s="6">
        <v>742</v>
      </c>
      <c r="Z1563" s="6">
        <v>211</v>
      </c>
      <c r="AA1563" s="6">
        <v>10</v>
      </c>
      <c r="AB1563" s="6">
        <v>0</v>
      </c>
      <c r="AC1563" s="7">
        <v>110</v>
      </c>
      <c r="AD1563" s="7" t="s">
        <v>52</v>
      </c>
      <c r="AE1563" s="7">
        <v>28.92</v>
      </c>
      <c r="AF1563" s="7">
        <v>164</v>
      </c>
      <c r="AG1563" s="7">
        <v>24.77</v>
      </c>
      <c r="AH1563" s="7">
        <v>43.85</v>
      </c>
      <c r="AI1563" s="7">
        <v>47.42</v>
      </c>
      <c r="AJ1563" s="9">
        <v>353.737124885924</v>
      </c>
      <c r="AK1563" s="9">
        <v>390.51688869678202</v>
      </c>
      <c r="AL1563" s="9">
        <v>422.17796364484599</v>
      </c>
      <c r="AM1563" s="9">
        <v>64.029383910595797</v>
      </c>
      <c r="AN1563" s="9">
        <v>0.58208530827814398</v>
      </c>
      <c r="AO1563" s="9">
        <v>0.43386912917074499</v>
      </c>
      <c r="AP1563" s="9">
        <v>918.38370766028004</v>
      </c>
      <c r="AQ1563" s="9">
        <v>8.3489427969116292</v>
      </c>
      <c r="AR1563" s="9">
        <v>9.5050077220820999</v>
      </c>
      <c r="AS1563" s="8" t="s">
        <v>169</v>
      </c>
      <c r="AT1563" s="8" t="s">
        <v>169</v>
      </c>
      <c r="AU1563" s="10" t="s">
        <v>169</v>
      </c>
      <c r="AV1563" s="10">
        <v>0</v>
      </c>
      <c r="AX1563" s="10" t="s">
        <v>169</v>
      </c>
      <c r="BF1563" s="12">
        <v>0.55000000000000004</v>
      </c>
      <c r="BG1563" s="13">
        <v>404.411307674792</v>
      </c>
      <c r="BH1563" s="96" t="str">
        <f>+VLOOKUP(G1563,Liste!$A$7:$G$50,3,FALSE)</f>
        <v>Chêne sessile</v>
      </c>
      <c r="BI1563" s="96" t="str">
        <f>+VLOOKUP(H1563,Liste!$B$7:$G$50,5,FALSE)</f>
        <v>Guide chênaie atlantique</v>
      </c>
      <c r="BJ1563" s="135">
        <f t="shared" si="475"/>
        <v>110</v>
      </c>
      <c r="BK1563" s="135" t="str">
        <f t="shared" si="477"/>
        <v>Chêne sessile_F2_Classique_Guide chênaie atlantique_110_</v>
      </c>
      <c r="BM1563" s="13">
        <v>98.852909181234295</v>
      </c>
      <c r="BN1563" s="13">
        <v>503.264216856026</v>
      </c>
      <c r="BO1563" s="13" t="s">
        <v>169</v>
      </c>
      <c r="BP1563" s="13">
        <v>401.52059066910999</v>
      </c>
      <c r="BQ1563" s="13">
        <v>10.897186450330199</v>
      </c>
      <c r="BT1563" s="298" t="str">
        <f>+VLOOKUP(G1563,Liste!$A$7:$H$50,8,FALSE)</f>
        <v>Feuillus</v>
      </c>
      <c r="BU1563" s="298">
        <f t="shared" si="478"/>
        <v>1</v>
      </c>
      <c r="BV1563" s="300">
        <f t="shared" si="479"/>
        <v>0</v>
      </c>
      <c r="BW1563" s="321">
        <v>0</v>
      </c>
      <c r="BX1563" s="298">
        <f t="shared" si="480"/>
        <v>0.25</v>
      </c>
      <c r="BY1563">
        <f t="shared" si="481"/>
        <v>0</v>
      </c>
      <c r="BZ1563" s="304">
        <f t="shared" si="482"/>
        <v>0</v>
      </c>
      <c r="CB1563" s="299">
        <v>0.6</v>
      </c>
      <c r="CC1563" s="299">
        <v>0.4</v>
      </c>
      <c r="CD1563">
        <f t="shared" si="483"/>
        <v>0</v>
      </c>
      <c r="CE1563">
        <f t="shared" si="484"/>
        <v>0</v>
      </c>
      <c r="CF1563">
        <f t="shared" si="485"/>
        <v>0</v>
      </c>
      <c r="CG1563">
        <f t="shared" si="486"/>
        <v>0</v>
      </c>
      <c r="CH1563">
        <f t="shared" si="487"/>
        <v>0</v>
      </c>
      <c r="CI1563">
        <f t="shared" si="488"/>
        <v>0</v>
      </c>
      <c r="CJ1563">
        <f t="shared" si="489"/>
        <v>0</v>
      </c>
      <c r="CK1563">
        <f t="shared" si="490"/>
        <v>0</v>
      </c>
      <c r="CL1563">
        <f t="shared" si="491"/>
        <v>0</v>
      </c>
      <c r="CM1563">
        <f t="shared" si="493"/>
        <v>0</v>
      </c>
      <c r="CN1563">
        <f t="shared" si="492"/>
        <v>0</v>
      </c>
      <c r="CO1563">
        <f t="shared" si="476"/>
        <v>0</v>
      </c>
    </row>
    <row r="1564" spans="1:93" x14ac:dyDescent="0.25">
      <c r="A1564" s="4">
        <v>2021</v>
      </c>
      <c r="B1564" s="318">
        <v>44361</v>
      </c>
      <c r="C1564" s="4" t="s">
        <v>66</v>
      </c>
      <c r="D1564" s="4" t="s">
        <v>1525</v>
      </c>
      <c r="E1564" s="4" t="s">
        <v>87</v>
      </c>
      <c r="F1564" s="4" t="s">
        <v>90</v>
      </c>
      <c r="G1564" s="5" t="s">
        <v>17</v>
      </c>
      <c r="H1564" s="5" t="s">
        <v>20</v>
      </c>
      <c r="I1564" s="5" t="s">
        <v>18</v>
      </c>
      <c r="J1564" s="5" t="s">
        <v>10</v>
      </c>
      <c r="K1564" s="5">
        <v>18.18</v>
      </c>
      <c r="L1564" s="5" t="s">
        <v>193</v>
      </c>
      <c r="M1564" s="5">
        <v>1666</v>
      </c>
      <c r="N1564" s="5" t="s">
        <v>170</v>
      </c>
      <c r="O1564" s="6" t="s">
        <v>81</v>
      </c>
      <c r="P1564" s="6" t="s">
        <v>1505</v>
      </c>
      <c r="S1564" s="6">
        <v>42</v>
      </c>
      <c r="T1564" s="6">
        <v>16.02</v>
      </c>
      <c r="U1564" s="6">
        <v>1451</v>
      </c>
      <c r="V1564" s="6">
        <v>23.57</v>
      </c>
      <c r="W1564" s="6">
        <v>44</v>
      </c>
      <c r="X1564" s="6">
        <v>444</v>
      </c>
      <c r="Y1564" s="6">
        <v>742</v>
      </c>
      <c r="Z1564" s="6">
        <v>211</v>
      </c>
      <c r="AA1564" s="6">
        <v>10</v>
      </c>
      <c r="AB1564" s="6">
        <v>0</v>
      </c>
      <c r="AC1564" s="7">
        <v>114</v>
      </c>
      <c r="AD1564" s="7" t="s">
        <v>52</v>
      </c>
      <c r="AE1564" s="7">
        <v>29.47</v>
      </c>
      <c r="AF1564" s="7">
        <v>164</v>
      </c>
      <c r="AG1564" s="7">
        <v>26.5</v>
      </c>
      <c r="AH1564" s="7">
        <v>45.36</v>
      </c>
      <c r="AI1564" s="7">
        <v>49.03</v>
      </c>
      <c r="AJ1564" s="9">
        <v>386.09917125766901</v>
      </c>
      <c r="AK1564" s="9">
        <v>426.57543611316601</v>
      </c>
      <c r="AL1564" s="9">
        <v>460.19799453317398</v>
      </c>
      <c r="AM1564" s="9">
        <v>65.764860427278805</v>
      </c>
      <c r="AN1564" s="9">
        <v>0.57688474059016503</v>
      </c>
      <c r="AO1564" s="9">
        <v>0.41373757371757802</v>
      </c>
      <c r="AP1564" s="9">
        <v>956.40373854860798</v>
      </c>
      <c r="AQ1564" s="9">
        <v>8.3895064784965605</v>
      </c>
      <c r="AR1564" s="9">
        <v>9.2090010311912192</v>
      </c>
      <c r="AS1564" s="8" t="s">
        <v>169</v>
      </c>
      <c r="AT1564" s="8" t="s">
        <v>169</v>
      </c>
      <c r="AU1564" s="10" t="s">
        <v>169</v>
      </c>
      <c r="AV1564" s="10">
        <v>0</v>
      </c>
      <c r="AX1564" s="10" t="s">
        <v>169</v>
      </c>
      <c r="BF1564" s="12">
        <v>0.55000000000000004</v>
      </c>
      <c r="BG1564" s="13">
        <v>440.83132892990301</v>
      </c>
      <c r="BH1564" s="96" t="str">
        <f>+VLOOKUP(G1564,Liste!$A$7:$G$50,3,FALSE)</f>
        <v>Chêne sessile</v>
      </c>
      <c r="BI1564" s="96" t="str">
        <f>+VLOOKUP(H1564,Liste!$B$7:$G$50,5,FALSE)</f>
        <v>Guide chênaie atlantique</v>
      </c>
      <c r="BJ1564" s="135">
        <f t="shared" si="475"/>
        <v>114</v>
      </c>
      <c r="BK1564" s="135" t="str">
        <f t="shared" si="477"/>
        <v>Chêne sessile_F2_Classique_Guide chênaie atlantique_114_</v>
      </c>
      <c r="BM1564" s="13">
        <v>106.679146772008</v>
      </c>
      <c r="BN1564" s="13">
        <v>547.51047570191099</v>
      </c>
      <c r="BO1564" s="13" t="s">
        <v>169</v>
      </c>
      <c r="BP1564" s="13">
        <v>401.52059066910999</v>
      </c>
      <c r="BQ1564" s="13">
        <v>10.5508743196356</v>
      </c>
      <c r="BT1564" s="298" t="str">
        <f>+VLOOKUP(G1564,Liste!$A$7:$H$50,8,FALSE)</f>
        <v>Feuillus</v>
      </c>
      <c r="BU1564" s="298">
        <f t="shared" si="478"/>
        <v>1</v>
      </c>
      <c r="BV1564" s="300">
        <f t="shared" si="479"/>
        <v>0</v>
      </c>
      <c r="BW1564" s="321">
        <v>0</v>
      </c>
      <c r="BX1564" s="298">
        <f t="shared" si="480"/>
        <v>0.25</v>
      </c>
      <c r="BY1564">
        <f t="shared" si="481"/>
        <v>0</v>
      </c>
      <c r="BZ1564" s="304">
        <f t="shared" si="482"/>
        <v>0</v>
      </c>
      <c r="CB1564" s="299">
        <v>0.6</v>
      </c>
      <c r="CC1564" s="299">
        <v>0.4</v>
      </c>
      <c r="CD1564">
        <f t="shared" si="483"/>
        <v>0</v>
      </c>
      <c r="CE1564">
        <f t="shared" si="484"/>
        <v>0</v>
      </c>
      <c r="CF1564">
        <f t="shared" si="485"/>
        <v>0</v>
      </c>
      <c r="CG1564">
        <f t="shared" si="486"/>
        <v>0</v>
      </c>
      <c r="CH1564">
        <f t="shared" si="487"/>
        <v>0</v>
      </c>
      <c r="CI1564">
        <f t="shared" si="488"/>
        <v>0</v>
      </c>
      <c r="CJ1564">
        <f t="shared" si="489"/>
        <v>0</v>
      </c>
      <c r="CK1564">
        <f t="shared" si="490"/>
        <v>0</v>
      </c>
      <c r="CL1564">
        <f t="shared" si="491"/>
        <v>0</v>
      </c>
      <c r="CM1564">
        <f t="shared" si="493"/>
        <v>0</v>
      </c>
      <c r="CN1564">
        <f t="shared" si="492"/>
        <v>0</v>
      </c>
      <c r="CO1564">
        <f t="shared" si="476"/>
        <v>0</v>
      </c>
    </row>
    <row r="1565" spans="1:93" x14ac:dyDescent="0.25">
      <c r="A1565" s="4">
        <v>2021</v>
      </c>
      <c r="B1565" s="318">
        <v>44361</v>
      </c>
      <c r="C1565" s="4" t="s">
        <v>66</v>
      </c>
      <c r="D1565" s="4" t="s">
        <v>1525</v>
      </c>
      <c r="E1565" s="4" t="s">
        <v>87</v>
      </c>
      <c r="F1565" s="4" t="s">
        <v>90</v>
      </c>
      <c r="G1565" s="5" t="s">
        <v>17</v>
      </c>
      <c r="H1565" s="5" t="s">
        <v>20</v>
      </c>
      <c r="I1565" s="5" t="s">
        <v>18</v>
      </c>
      <c r="J1565" s="5" t="s">
        <v>10</v>
      </c>
      <c r="K1565" s="5">
        <v>18.18</v>
      </c>
      <c r="L1565" s="5" t="s">
        <v>193</v>
      </c>
      <c r="M1565" s="5">
        <v>1666</v>
      </c>
      <c r="N1565" s="5" t="s">
        <v>170</v>
      </c>
      <c r="O1565" s="6" t="s">
        <v>81</v>
      </c>
      <c r="P1565" s="6" t="s">
        <v>1505</v>
      </c>
      <c r="S1565" s="6">
        <v>42</v>
      </c>
      <c r="T1565" s="6">
        <v>16.02</v>
      </c>
      <c r="U1565" s="6">
        <v>1451</v>
      </c>
      <c r="V1565" s="6">
        <v>23.57</v>
      </c>
      <c r="W1565" s="6">
        <v>44</v>
      </c>
      <c r="X1565" s="6">
        <v>444</v>
      </c>
      <c r="Y1565" s="6">
        <v>742</v>
      </c>
      <c r="Z1565" s="6">
        <v>211</v>
      </c>
      <c r="AA1565" s="6">
        <v>10</v>
      </c>
      <c r="AB1565" s="6">
        <v>0</v>
      </c>
      <c r="AC1565" s="7">
        <v>114</v>
      </c>
      <c r="AD1565" s="7" t="s">
        <v>53</v>
      </c>
      <c r="AE1565" s="7">
        <v>29.47</v>
      </c>
      <c r="AF1565" s="7">
        <v>139</v>
      </c>
      <c r="AG1565" s="7">
        <v>22.64</v>
      </c>
      <c r="AH1565" s="7">
        <v>45.54</v>
      </c>
      <c r="AI1565" s="7">
        <v>48.13</v>
      </c>
      <c r="AJ1565" s="9">
        <v>329.97095888755598</v>
      </c>
      <c r="AK1565" s="9">
        <v>364.65101441269798</v>
      </c>
      <c r="AL1565" s="9">
        <v>393.36901214655501</v>
      </c>
      <c r="AM1565" s="9">
        <v>65.764860427278805</v>
      </c>
      <c r="AN1565" s="9">
        <v>0.57688474059016503</v>
      </c>
      <c r="AO1565" s="9">
        <v>0.41373757371757802</v>
      </c>
      <c r="AP1565" s="9">
        <v>956.40373854860798</v>
      </c>
      <c r="AQ1565" s="9">
        <v>8.3895064784965605</v>
      </c>
      <c r="AR1565" s="9">
        <v>9.2090010311912192</v>
      </c>
      <c r="AS1565" s="8">
        <v>25</v>
      </c>
      <c r="AT1565" s="8">
        <v>3.8599999999999994</v>
      </c>
      <c r="AU1565" s="10">
        <v>44.338266284002252</v>
      </c>
      <c r="AV1565" s="10">
        <v>56.128212370113033</v>
      </c>
      <c r="AW1565" s="8">
        <v>0.96</v>
      </c>
      <c r="AX1565" s="10">
        <v>2.2451284948045211</v>
      </c>
      <c r="BF1565" s="12">
        <v>0.55000000000000004</v>
      </c>
      <c r="BG1565" s="13">
        <v>376.81473288538803</v>
      </c>
      <c r="BH1565" s="96" t="str">
        <f>+VLOOKUP(G1565,Liste!$A$7:$G$50,3,FALSE)</f>
        <v>Chêne sessile</v>
      </c>
      <c r="BI1565" s="96" t="str">
        <f>+VLOOKUP(H1565,Liste!$B$7:$G$50,5,FALSE)</f>
        <v>Guide chênaie atlantique</v>
      </c>
      <c r="BJ1565" s="135">
        <f t="shared" si="475"/>
        <v>114</v>
      </c>
      <c r="BK1565" s="135" t="str">
        <f t="shared" si="477"/>
        <v>Chêne sessile_F2_Classique_Guide chênaie atlantique_114_</v>
      </c>
      <c r="BM1565" s="13">
        <v>92.868190938796005</v>
      </c>
      <c r="BN1565" s="13">
        <v>469.682923824184</v>
      </c>
      <c r="BO1565" s="13">
        <v>77.827551877726989</v>
      </c>
      <c r="BP1565" s="13">
        <v>401.52059066910999</v>
      </c>
      <c r="BQ1565" s="13">
        <v>10.5508743196356</v>
      </c>
      <c r="BT1565" s="298" t="str">
        <f>+VLOOKUP(G1565,Liste!$A$7:$H$50,8,FALSE)</f>
        <v>Feuillus</v>
      </c>
      <c r="BU1565" s="298">
        <f t="shared" si="478"/>
        <v>1</v>
      </c>
      <c r="BV1565" s="300">
        <f t="shared" si="479"/>
        <v>0</v>
      </c>
      <c r="BW1565" s="321">
        <v>0</v>
      </c>
      <c r="BX1565" s="298">
        <f t="shared" si="480"/>
        <v>0.25</v>
      </c>
      <c r="BY1565">
        <f t="shared" si="481"/>
        <v>0</v>
      </c>
      <c r="BZ1565" s="304">
        <f t="shared" si="482"/>
        <v>0</v>
      </c>
      <c r="CB1565" s="299">
        <v>0.6</v>
      </c>
      <c r="CC1565" s="299">
        <v>0.4</v>
      </c>
      <c r="CD1565">
        <f t="shared" si="483"/>
        <v>0</v>
      </c>
      <c r="CE1565">
        <f t="shared" si="484"/>
        <v>0</v>
      </c>
      <c r="CF1565">
        <f t="shared" si="485"/>
        <v>0</v>
      </c>
      <c r="CG1565">
        <f t="shared" si="486"/>
        <v>0</v>
      </c>
      <c r="CH1565">
        <f t="shared" si="487"/>
        <v>0</v>
      </c>
      <c r="CI1565">
        <f t="shared" si="488"/>
        <v>0</v>
      </c>
      <c r="CJ1565">
        <f t="shared" si="489"/>
        <v>0</v>
      </c>
      <c r="CK1565">
        <f t="shared" si="490"/>
        <v>0</v>
      </c>
      <c r="CL1565">
        <f t="shared" si="491"/>
        <v>0</v>
      </c>
      <c r="CM1565">
        <f t="shared" si="493"/>
        <v>0</v>
      </c>
      <c r="CN1565">
        <f t="shared" si="492"/>
        <v>0</v>
      </c>
      <c r="CO1565">
        <f t="shared" si="476"/>
        <v>0</v>
      </c>
    </row>
    <row r="1566" spans="1:93" x14ac:dyDescent="0.25">
      <c r="A1566" s="4">
        <v>2021</v>
      </c>
      <c r="B1566" s="318">
        <v>44361</v>
      </c>
      <c r="C1566" s="4" t="s">
        <v>66</v>
      </c>
      <c r="D1566" s="4" t="s">
        <v>1525</v>
      </c>
      <c r="E1566" s="4" t="s">
        <v>87</v>
      </c>
      <c r="F1566" s="4" t="s">
        <v>90</v>
      </c>
      <c r="G1566" s="5" t="s">
        <v>17</v>
      </c>
      <c r="H1566" s="5" t="s">
        <v>20</v>
      </c>
      <c r="I1566" s="5" t="s">
        <v>18</v>
      </c>
      <c r="J1566" s="5" t="s">
        <v>10</v>
      </c>
      <c r="K1566" s="5">
        <v>18.18</v>
      </c>
      <c r="L1566" s="5" t="s">
        <v>193</v>
      </c>
      <c r="M1566" s="5">
        <v>1666</v>
      </c>
      <c r="N1566" s="5" t="s">
        <v>170</v>
      </c>
      <c r="O1566" s="6" t="s">
        <v>81</v>
      </c>
      <c r="P1566" s="6" t="s">
        <v>1505</v>
      </c>
      <c r="S1566" s="6">
        <v>42</v>
      </c>
      <c r="T1566" s="6">
        <v>16.02</v>
      </c>
      <c r="U1566" s="6">
        <v>1451</v>
      </c>
      <c r="V1566" s="6">
        <v>23.57</v>
      </c>
      <c r="W1566" s="6">
        <v>44</v>
      </c>
      <c r="X1566" s="6">
        <v>444</v>
      </c>
      <c r="Y1566" s="6">
        <v>742</v>
      </c>
      <c r="Z1566" s="6">
        <v>211</v>
      </c>
      <c r="AA1566" s="6">
        <v>10</v>
      </c>
      <c r="AB1566" s="6">
        <v>0</v>
      </c>
      <c r="AC1566" s="7">
        <v>117</v>
      </c>
      <c r="AD1566" s="7" t="s">
        <v>52</v>
      </c>
      <c r="AE1566" s="7">
        <v>29.88</v>
      </c>
      <c r="AF1566" s="7">
        <v>139</v>
      </c>
      <c r="AG1566" s="7">
        <v>23.88</v>
      </c>
      <c r="AH1566" s="7">
        <v>46.77</v>
      </c>
      <c r="AI1566" s="7">
        <v>49.42</v>
      </c>
      <c r="AJ1566" s="9">
        <v>353.500643748806</v>
      </c>
      <c r="AK1566" s="9">
        <v>390.88152429921502</v>
      </c>
      <c r="AL1566" s="9">
        <v>420.996015240129</v>
      </c>
      <c r="AM1566" s="9">
        <v>67.006073148431597</v>
      </c>
      <c r="AN1566" s="9">
        <v>0.57270147990112397</v>
      </c>
      <c r="AO1566" s="9">
        <v>0.41497651837638699</v>
      </c>
      <c r="AP1566" s="9">
        <v>984.03074164218197</v>
      </c>
      <c r="AQ1566" s="9">
        <v>8.4105191593348891</v>
      </c>
      <c r="AR1566" s="9">
        <v>9.2773540562979306</v>
      </c>
      <c r="AS1566" s="8" t="s">
        <v>169</v>
      </c>
      <c r="AT1566" s="8" t="s">
        <v>169</v>
      </c>
      <c r="AU1566" s="10" t="s">
        <v>169</v>
      </c>
      <c r="AV1566" s="10">
        <v>0</v>
      </c>
      <c r="AX1566" s="10" t="s">
        <v>169</v>
      </c>
      <c r="BF1566" s="12">
        <v>0.55000000000000004</v>
      </c>
      <c r="BG1566" s="13">
        <v>403.27909959877297</v>
      </c>
      <c r="BH1566" s="96" t="str">
        <f>+VLOOKUP(G1566,Liste!$A$7:$G$50,3,FALSE)</f>
        <v>Chêne sessile</v>
      </c>
      <c r="BI1566" s="96" t="str">
        <f>+VLOOKUP(H1566,Liste!$B$7:$G$50,5,FALSE)</f>
        <v>Guide chênaie atlantique</v>
      </c>
      <c r="BJ1566" s="135">
        <f t="shared" si="475"/>
        <v>117</v>
      </c>
      <c r="BK1566" s="135" t="str">
        <f t="shared" si="477"/>
        <v>Chêne sessile_F2_Classique_Guide chênaie atlantique_117_</v>
      </c>
      <c r="BM1566" s="13">
        <v>98.608330301277405</v>
      </c>
      <c r="BN1566" s="13">
        <v>501.88742990005102</v>
      </c>
      <c r="BO1566" s="13" t="s">
        <v>169</v>
      </c>
      <c r="BP1566" s="13">
        <v>401.52059066910999</v>
      </c>
      <c r="BQ1566" s="13">
        <v>10.623481488021699</v>
      </c>
      <c r="BT1566" s="298" t="str">
        <f>+VLOOKUP(G1566,Liste!$A$7:$H$50,8,FALSE)</f>
        <v>Feuillus</v>
      </c>
      <c r="BU1566" s="298">
        <f t="shared" si="478"/>
        <v>1</v>
      </c>
      <c r="BV1566" s="300">
        <f t="shared" si="479"/>
        <v>0</v>
      </c>
      <c r="BW1566" s="321">
        <v>0</v>
      </c>
      <c r="BX1566" s="298">
        <f t="shared" si="480"/>
        <v>0.25</v>
      </c>
      <c r="BY1566">
        <f t="shared" si="481"/>
        <v>0</v>
      </c>
      <c r="BZ1566" s="304">
        <f t="shared" si="482"/>
        <v>0</v>
      </c>
      <c r="CB1566" s="299">
        <v>0.6</v>
      </c>
      <c r="CC1566" s="299">
        <v>0.4</v>
      </c>
      <c r="CD1566">
        <f t="shared" si="483"/>
        <v>0</v>
      </c>
      <c r="CE1566">
        <f t="shared" si="484"/>
        <v>0</v>
      </c>
      <c r="CF1566">
        <f t="shared" si="485"/>
        <v>0</v>
      </c>
      <c r="CG1566">
        <f t="shared" si="486"/>
        <v>0</v>
      </c>
      <c r="CH1566">
        <f t="shared" si="487"/>
        <v>0</v>
      </c>
      <c r="CI1566">
        <f t="shared" si="488"/>
        <v>0</v>
      </c>
      <c r="CJ1566">
        <f t="shared" si="489"/>
        <v>0</v>
      </c>
      <c r="CK1566">
        <f t="shared" si="490"/>
        <v>0</v>
      </c>
      <c r="CL1566">
        <f t="shared" si="491"/>
        <v>0</v>
      </c>
      <c r="CM1566">
        <f t="shared" si="493"/>
        <v>0</v>
      </c>
      <c r="CN1566">
        <f t="shared" si="492"/>
        <v>0</v>
      </c>
      <c r="CO1566">
        <f t="shared" si="476"/>
        <v>0</v>
      </c>
    </row>
    <row r="1567" spans="1:93" x14ac:dyDescent="0.25">
      <c r="A1567" s="4">
        <v>2021</v>
      </c>
      <c r="B1567" s="318">
        <v>44361</v>
      </c>
      <c r="C1567" s="4" t="s">
        <v>66</v>
      </c>
      <c r="D1567" s="4" t="s">
        <v>1525</v>
      </c>
      <c r="E1567" s="4" t="s">
        <v>87</v>
      </c>
      <c r="F1567" s="4" t="s">
        <v>90</v>
      </c>
      <c r="G1567" s="5" t="s">
        <v>17</v>
      </c>
      <c r="H1567" s="5" t="s">
        <v>20</v>
      </c>
      <c r="I1567" s="5" t="s">
        <v>18</v>
      </c>
      <c r="J1567" s="5" t="s">
        <v>10</v>
      </c>
      <c r="K1567" s="5">
        <v>18.18</v>
      </c>
      <c r="L1567" s="5" t="s">
        <v>193</v>
      </c>
      <c r="M1567" s="5">
        <v>1666</v>
      </c>
      <c r="N1567" s="5" t="s">
        <v>170</v>
      </c>
      <c r="O1567" s="6" t="s">
        <v>81</v>
      </c>
      <c r="P1567" s="6" t="s">
        <v>1505</v>
      </c>
      <c r="S1567" s="6">
        <v>42</v>
      </c>
      <c r="T1567" s="6">
        <v>16.02</v>
      </c>
      <c r="U1567" s="6">
        <v>1451</v>
      </c>
      <c r="V1567" s="6">
        <v>23.57</v>
      </c>
      <c r="W1567" s="6">
        <v>44</v>
      </c>
      <c r="X1567" s="6">
        <v>444</v>
      </c>
      <c r="Y1567" s="6">
        <v>742</v>
      </c>
      <c r="Z1567" s="6">
        <v>211</v>
      </c>
      <c r="AA1567" s="6">
        <v>10</v>
      </c>
      <c r="AB1567" s="6">
        <v>0</v>
      </c>
      <c r="AC1567" s="7">
        <v>120</v>
      </c>
      <c r="AD1567" s="7" t="s">
        <v>52</v>
      </c>
      <c r="AE1567" s="7">
        <v>30.29</v>
      </c>
      <c r="AF1567" s="7">
        <v>139</v>
      </c>
      <c r="AG1567" s="7">
        <v>25.13</v>
      </c>
      <c r="AH1567" s="7">
        <v>47.98</v>
      </c>
      <c r="AI1567" s="7">
        <v>50.67</v>
      </c>
      <c r="AJ1567" s="9">
        <v>377.14332459037399</v>
      </c>
      <c r="AK1567" s="9">
        <v>417.31150921446999</v>
      </c>
      <c r="AL1567" s="9">
        <v>448.82807740902302</v>
      </c>
      <c r="AM1567" s="9">
        <v>68.251002703560701</v>
      </c>
      <c r="AN1567" s="9">
        <v>0.56875835586300605</v>
      </c>
      <c r="AO1567" s="9">
        <v>0.41553211820015101</v>
      </c>
      <c r="AP1567" s="9">
        <v>1011.86280381108</v>
      </c>
      <c r="AQ1567" s="9">
        <v>8.4321900317589602</v>
      </c>
      <c r="AR1567" s="9">
        <v>9.5528737626622195</v>
      </c>
      <c r="AS1567" s="8" t="s">
        <v>169</v>
      </c>
      <c r="AT1567" s="8" t="s">
        <v>169</v>
      </c>
      <c r="AU1567" s="10" t="s">
        <v>169</v>
      </c>
      <c r="AV1567" s="10">
        <v>0</v>
      </c>
      <c r="AX1567" s="10" t="s">
        <v>169</v>
      </c>
      <c r="BF1567" s="12">
        <v>0.55000000000000004</v>
      </c>
      <c r="BG1567" s="13">
        <v>429.93989581805999</v>
      </c>
      <c r="BH1567" s="96" t="str">
        <f>+VLOOKUP(G1567,Liste!$A$7:$G$50,3,FALSE)</f>
        <v>Chêne sessile</v>
      </c>
      <c r="BI1567" s="96" t="str">
        <f>+VLOOKUP(H1567,Liste!$B$7:$G$50,5,FALSE)</f>
        <v>Guide chênaie atlantique</v>
      </c>
      <c r="BJ1567" s="135">
        <f t="shared" si="475"/>
        <v>120</v>
      </c>
      <c r="BK1567" s="135" t="str">
        <f t="shared" si="477"/>
        <v>Chêne sessile_F2_Classique_Guide chênaie atlantique_120_</v>
      </c>
      <c r="BM1567" s="13">
        <v>104.34688302903901</v>
      </c>
      <c r="BN1567" s="13">
        <v>534.28677884709896</v>
      </c>
      <c r="BO1567" s="13" t="s">
        <v>169</v>
      </c>
      <c r="BP1567" s="13">
        <v>401.52059066910999</v>
      </c>
      <c r="BQ1567" s="13">
        <v>10.932221467807601</v>
      </c>
      <c r="BT1567" s="298" t="str">
        <f>+VLOOKUP(G1567,Liste!$A$7:$H$50,8,FALSE)</f>
        <v>Feuillus</v>
      </c>
      <c r="BU1567" s="298">
        <f t="shared" si="478"/>
        <v>1</v>
      </c>
      <c r="BV1567" s="300">
        <f t="shared" si="479"/>
        <v>0</v>
      </c>
      <c r="BW1567" s="321">
        <v>0</v>
      </c>
      <c r="BX1567" s="298">
        <f t="shared" si="480"/>
        <v>0.25</v>
      </c>
      <c r="BY1567">
        <f t="shared" si="481"/>
        <v>0</v>
      </c>
      <c r="BZ1567" s="304">
        <f t="shared" si="482"/>
        <v>0</v>
      </c>
      <c r="CB1567" s="299">
        <v>0.6</v>
      </c>
      <c r="CC1567" s="299">
        <v>0.4</v>
      </c>
      <c r="CD1567">
        <f t="shared" si="483"/>
        <v>0</v>
      </c>
      <c r="CE1567">
        <f t="shared" si="484"/>
        <v>0</v>
      </c>
      <c r="CF1567">
        <f t="shared" si="485"/>
        <v>0</v>
      </c>
      <c r="CG1567">
        <f t="shared" si="486"/>
        <v>0</v>
      </c>
      <c r="CH1567">
        <f t="shared" si="487"/>
        <v>0</v>
      </c>
      <c r="CI1567">
        <f t="shared" si="488"/>
        <v>0</v>
      </c>
      <c r="CJ1567">
        <f t="shared" si="489"/>
        <v>0</v>
      </c>
      <c r="CK1567">
        <f t="shared" si="490"/>
        <v>0</v>
      </c>
      <c r="CL1567">
        <f t="shared" si="491"/>
        <v>0</v>
      </c>
      <c r="CM1567">
        <f t="shared" si="493"/>
        <v>0</v>
      </c>
      <c r="CN1567">
        <f t="shared" si="492"/>
        <v>0</v>
      </c>
      <c r="CO1567">
        <f t="shared" si="476"/>
        <v>0</v>
      </c>
    </row>
    <row r="1568" spans="1:93" x14ac:dyDescent="0.25">
      <c r="A1568" s="4">
        <v>2021</v>
      </c>
      <c r="B1568" s="318">
        <v>44361</v>
      </c>
      <c r="C1568" s="4" t="s">
        <v>66</v>
      </c>
      <c r="D1568" s="4" t="s">
        <v>1525</v>
      </c>
      <c r="E1568" s="4" t="s">
        <v>87</v>
      </c>
      <c r="F1568" s="4" t="s">
        <v>90</v>
      </c>
      <c r="G1568" s="5" t="s">
        <v>17</v>
      </c>
      <c r="H1568" s="5" t="s">
        <v>20</v>
      </c>
      <c r="I1568" s="5" t="s">
        <v>18</v>
      </c>
      <c r="J1568" s="5" t="s">
        <v>10</v>
      </c>
      <c r="K1568" s="5">
        <v>18.18</v>
      </c>
      <c r="L1568" s="5" t="s">
        <v>193</v>
      </c>
      <c r="M1568" s="5">
        <v>1666</v>
      </c>
      <c r="N1568" s="5" t="s">
        <v>170</v>
      </c>
      <c r="O1568" s="6" t="s">
        <v>81</v>
      </c>
      <c r="P1568" s="6" t="s">
        <v>1505</v>
      </c>
      <c r="S1568" s="6">
        <v>42</v>
      </c>
      <c r="T1568" s="6">
        <v>16.02</v>
      </c>
      <c r="U1568" s="6">
        <v>1451</v>
      </c>
      <c r="V1568" s="6">
        <v>23.57</v>
      </c>
      <c r="W1568" s="6">
        <v>44</v>
      </c>
      <c r="X1568" s="6">
        <v>444</v>
      </c>
      <c r="Y1568" s="6">
        <v>742</v>
      </c>
      <c r="Z1568" s="6">
        <v>211</v>
      </c>
      <c r="AA1568" s="6">
        <v>10</v>
      </c>
      <c r="AB1568" s="6">
        <v>0</v>
      </c>
      <c r="AC1568" s="7">
        <v>124</v>
      </c>
      <c r="AD1568" s="7" t="s">
        <v>52</v>
      </c>
      <c r="AE1568" s="7">
        <v>30.83</v>
      </c>
      <c r="AF1568" s="7">
        <v>139</v>
      </c>
      <c r="AG1568" s="7">
        <v>26.79</v>
      </c>
      <c r="AH1568" s="7">
        <v>49.54</v>
      </c>
      <c r="AI1568" s="7">
        <v>52.31</v>
      </c>
      <c r="AJ1568" s="9">
        <v>409.76082907822001</v>
      </c>
      <c r="AK1568" s="9">
        <v>453.67102882025802</v>
      </c>
      <c r="AL1568" s="9">
        <v>487.03957245967098</v>
      </c>
      <c r="AM1568" s="9">
        <v>69.913131176361304</v>
      </c>
      <c r="AN1568" s="9">
        <v>0.56381557400291404</v>
      </c>
      <c r="AO1568" s="9">
        <v>0.40089947104664703</v>
      </c>
      <c r="AP1568" s="9">
        <v>1050.0742988617201</v>
      </c>
      <c r="AQ1568" s="9">
        <v>8.4683411198526208</v>
      </c>
      <c r="AR1568" s="9">
        <v>9.2961106755784204</v>
      </c>
      <c r="AS1568" s="8" t="s">
        <v>169</v>
      </c>
      <c r="AT1568" s="8" t="s">
        <v>169</v>
      </c>
      <c r="AU1568" s="10" t="s">
        <v>169</v>
      </c>
      <c r="AV1568" s="10">
        <v>0</v>
      </c>
      <c r="AX1568" s="10" t="s">
        <v>169</v>
      </c>
      <c r="BF1568" s="12">
        <v>0.55000000000000004</v>
      </c>
      <c r="BG1568" s="13">
        <v>466.543323785327</v>
      </c>
      <c r="BH1568" s="96" t="str">
        <f>+VLOOKUP(G1568,Liste!$A$7:$G$50,3,FALSE)</f>
        <v>Chêne sessile</v>
      </c>
      <c r="BI1568" s="96" t="str">
        <f>+VLOOKUP(H1568,Liste!$B$7:$G$50,5,FALSE)</f>
        <v>Guide chênaie atlantique</v>
      </c>
      <c r="BJ1568" s="135">
        <f t="shared" si="475"/>
        <v>124</v>
      </c>
      <c r="BK1568" s="135" t="str">
        <f t="shared" si="477"/>
        <v>Chêne sessile_F2_Classique_Guide chênaie atlantique_124_</v>
      </c>
      <c r="BM1568" s="13">
        <v>112.158798492252</v>
      </c>
      <c r="BN1568" s="13">
        <v>578.70212227757895</v>
      </c>
      <c r="BO1568" s="13" t="s">
        <v>169</v>
      </c>
      <c r="BP1568" s="13">
        <v>401.52059066910999</v>
      </c>
      <c r="BQ1568" s="13">
        <v>10.6320224914818</v>
      </c>
      <c r="BT1568" s="298" t="str">
        <f>+VLOOKUP(G1568,Liste!$A$7:$H$50,8,FALSE)</f>
        <v>Feuillus</v>
      </c>
      <c r="BU1568" s="298">
        <f t="shared" si="478"/>
        <v>1</v>
      </c>
      <c r="BV1568" s="300">
        <f t="shared" si="479"/>
        <v>0</v>
      </c>
      <c r="BW1568" s="321">
        <v>0</v>
      </c>
      <c r="BX1568" s="298">
        <f t="shared" si="480"/>
        <v>0.25</v>
      </c>
      <c r="BY1568">
        <f t="shared" si="481"/>
        <v>0</v>
      </c>
      <c r="BZ1568" s="304">
        <f t="shared" si="482"/>
        <v>0</v>
      </c>
      <c r="CB1568" s="299">
        <v>0.6</v>
      </c>
      <c r="CC1568" s="299">
        <v>0.4</v>
      </c>
      <c r="CD1568">
        <f t="shared" si="483"/>
        <v>0</v>
      </c>
      <c r="CE1568">
        <f t="shared" si="484"/>
        <v>0</v>
      </c>
      <c r="CF1568">
        <f t="shared" si="485"/>
        <v>0</v>
      </c>
      <c r="CG1568">
        <f t="shared" si="486"/>
        <v>0</v>
      </c>
      <c r="CH1568">
        <f t="shared" si="487"/>
        <v>0</v>
      </c>
      <c r="CI1568">
        <f t="shared" si="488"/>
        <v>0</v>
      </c>
      <c r="CJ1568">
        <f t="shared" si="489"/>
        <v>0</v>
      </c>
      <c r="CK1568">
        <f t="shared" si="490"/>
        <v>0</v>
      </c>
      <c r="CL1568">
        <f t="shared" si="491"/>
        <v>0</v>
      </c>
      <c r="CM1568">
        <f t="shared" si="493"/>
        <v>0</v>
      </c>
      <c r="CN1568">
        <f t="shared" si="492"/>
        <v>0</v>
      </c>
      <c r="CO1568">
        <f t="shared" si="476"/>
        <v>0</v>
      </c>
    </row>
    <row r="1569" spans="1:93" x14ac:dyDescent="0.25">
      <c r="A1569" s="4">
        <v>2021</v>
      </c>
      <c r="B1569" s="318">
        <v>44361</v>
      </c>
      <c r="C1569" s="4" t="s">
        <v>66</v>
      </c>
      <c r="D1569" s="4" t="s">
        <v>1525</v>
      </c>
      <c r="E1569" s="4" t="s">
        <v>87</v>
      </c>
      <c r="F1569" s="4" t="s">
        <v>90</v>
      </c>
      <c r="G1569" s="5" t="s">
        <v>17</v>
      </c>
      <c r="H1569" s="5" t="s">
        <v>20</v>
      </c>
      <c r="I1569" s="5" t="s">
        <v>18</v>
      </c>
      <c r="J1569" s="5" t="s">
        <v>10</v>
      </c>
      <c r="K1569" s="5">
        <v>18.18</v>
      </c>
      <c r="L1569" s="5" t="s">
        <v>193</v>
      </c>
      <c r="M1569" s="5">
        <v>1666</v>
      </c>
      <c r="N1569" s="5" t="s">
        <v>170</v>
      </c>
      <c r="O1569" s="6" t="s">
        <v>81</v>
      </c>
      <c r="P1569" s="6" t="s">
        <v>1505</v>
      </c>
      <c r="S1569" s="6">
        <v>42</v>
      </c>
      <c r="T1569" s="6">
        <v>16.02</v>
      </c>
      <c r="U1569" s="6">
        <v>1451</v>
      </c>
      <c r="V1569" s="6">
        <v>23.57</v>
      </c>
      <c r="W1569" s="6">
        <v>44</v>
      </c>
      <c r="X1569" s="6">
        <v>444</v>
      </c>
      <c r="Y1569" s="6">
        <v>742</v>
      </c>
      <c r="Z1569" s="6">
        <v>211</v>
      </c>
      <c r="AA1569" s="6">
        <v>10</v>
      </c>
      <c r="AB1569" s="6">
        <v>0</v>
      </c>
      <c r="AC1569" s="7">
        <v>124</v>
      </c>
      <c r="AD1569" s="7" t="s">
        <v>53</v>
      </c>
      <c r="AE1569" s="7">
        <v>30.83</v>
      </c>
      <c r="AF1569" s="7">
        <v>119</v>
      </c>
      <c r="AG1569" s="7">
        <v>23.26</v>
      </c>
      <c r="AH1569" s="7">
        <v>49.88</v>
      </c>
      <c r="AI1569" s="7">
        <v>51.3</v>
      </c>
      <c r="AJ1569" s="9">
        <v>355.91525623845303</v>
      </c>
      <c r="AK1569" s="9">
        <v>394.12072378518002</v>
      </c>
      <c r="AL1569" s="9">
        <v>423.07829734388298</v>
      </c>
      <c r="AM1569" s="9">
        <v>69.913131176361304</v>
      </c>
      <c r="AN1569" s="9">
        <v>0.56381557400291404</v>
      </c>
      <c r="AO1569" s="9">
        <v>0.40089947104664703</v>
      </c>
      <c r="AP1569" s="9">
        <v>1050.0742988617201</v>
      </c>
      <c r="AQ1569" s="9">
        <v>8.4683411198526208</v>
      </c>
      <c r="AR1569" s="9">
        <v>9.2961106755784204</v>
      </c>
      <c r="AS1569" s="8">
        <v>20</v>
      </c>
      <c r="AT1569" s="8">
        <v>3.5299999999999976</v>
      </c>
      <c r="AU1569" s="10">
        <v>47.405356200091575</v>
      </c>
      <c r="AV1569" s="10">
        <v>53.845572839766987</v>
      </c>
      <c r="AW1569" s="8">
        <v>0.92</v>
      </c>
      <c r="AX1569" s="10">
        <v>2.6922786419883495</v>
      </c>
      <c r="BF1569" s="12">
        <v>0.55000000000000004</v>
      </c>
      <c r="BG1569" s="13">
        <v>405.27375233066101</v>
      </c>
      <c r="BH1569" s="96" t="str">
        <f>+VLOOKUP(G1569,Liste!$A$7:$G$50,3,FALSE)</f>
        <v>Chêne sessile</v>
      </c>
      <c r="BI1569" s="96" t="str">
        <f>+VLOOKUP(H1569,Liste!$B$7:$G$50,5,FALSE)</f>
        <v>Guide chênaie atlantique</v>
      </c>
      <c r="BJ1569" s="135">
        <f t="shared" si="475"/>
        <v>124</v>
      </c>
      <c r="BK1569" s="135" t="str">
        <f t="shared" si="477"/>
        <v>Chêne sessile_F2_Classique_Guide chênaie atlantique_124_</v>
      </c>
      <c r="BM1569" s="13">
        <v>99.039160451448396</v>
      </c>
      <c r="BN1569" s="13">
        <v>504.31291278211</v>
      </c>
      <c r="BO1569" s="13">
        <v>74.389209495468947</v>
      </c>
      <c r="BP1569" s="13">
        <v>401.52059066910999</v>
      </c>
      <c r="BQ1569" s="13">
        <v>10.6320224914818</v>
      </c>
      <c r="BT1569" s="298" t="str">
        <f>+VLOOKUP(G1569,Liste!$A$7:$H$50,8,FALSE)</f>
        <v>Feuillus</v>
      </c>
      <c r="BU1569" s="298">
        <f t="shared" si="478"/>
        <v>1</v>
      </c>
      <c r="BV1569" s="300">
        <f t="shared" si="479"/>
        <v>0</v>
      </c>
      <c r="BW1569" s="321">
        <v>0</v>
      </c>
      <c r="BX1569" s="298">
        <f t="shared" si="480"/>
        <v>0.25</v>
      </c>
      <c r="BY1569">
        <f t="shared" si="481"/>
        <v>0</v>
      </c>
      <c r="BZ1569" s="304">
        <f t="shared" si="482"/>
        <v>0</v>
      </c>
      <c r="CB1569" s="299">
        <v>0.6</v>
      </c>
      <c r="CC1569" s="299">
        <v>0.4</v>
      </c>
      <c r="CD1569">
        <f t="shared" si="483"/>
        <v>0</v>
      </c>
      <c r="CE1569">
        <f t="shared" si="484"/>
        <v>0</v>
      </c>
      <c r="CF1569">
        <f t="shared" si="485"/>
        <v>0</v>
      </c>
      <c r="CG1569">
        <f t="shared" si="486"/>
        <v>0</v>
      </c>
      <c r="CH1569">
        <f t="shared" si="487"/>
        <v>0</v>
      </c>
      <c r="CI1569">
        <f t="shared" si="488"/>
        <v>0</v>
      </c>
      <c r="CJ1569">
        <f t="shared" si="489"/>
        <v>0</v>
      </c>
      <c r="CK1569">
        <f t="shared" si="490"/>
        <v>0</v>
      </c>
      <c r="CL1569">
        <f t="shared" si="491"/>
        <v>0</v>
      </c>
      <c r="CM1569">
        <f t="shared" si="493"/>
        <v>0</v>
      </c>
      <c r="CN1569">
        <f t="shared" si="492"/>
        <v>0</v>
      </c>
      <c r="CO1569">
        <f t="shared" si="476"/>
        <v>0</v>
      </c>
    </row>
    <row r="1570" spans="1:93" x14ac:dyDescent="0.25">
      <c r="A1570" s="4">
        <v>2021</v>
      </c>
      <c r="B1570" s="318">
        <v>44361</v>
      </c>
      <c r="C1570" s="4" t="s">
        <v>66</v>
      </c>
      <c r="D1570" s="4" t="s">
        <v>1525</v>
      </c>
      <c r="E1570" s="4" t="s">
        <v>87</v>
      </c>
      <c r="F1570" s="4" t="s">
        <v>90</v>
      </c>
      <c r="G1570" s="5" t="s">
        <v>17</v>
      </c>
      <c r="H1570" s="5" t="s">
        <v>20</v>
      </c>
      <c r="I1570" s="5" t="s">
        <v>18</v>
      </c>
      <c r="J1570" s="5" t="s">
        <v>10</v>
      </c>
      <c r="K1570" s="5">
        <v>18.18</v>
      </c>
      <c r="L1570" s="5" t="s">
        <v>193</v>
      </c>
      <c r="M1570" s="5">
        <v>1666</v>
      </c>
      <c r="N1570" s="5" t="s">
        <v>170</v>
      </c>
      <c r="O1570" s="6" t="s">
        <v>81</v>
      </c>
      <c r="P1570" s="6" t="s">
        <v>1505</v>
      </c>
      <c r="S1570" s="6">
        <v>42</v>
      </c>
      <c r="T1570" s="6">
        <v>16.02</v>
      </c>
      <c r="U1570" s="6">
        <v>1451</v>
      </c>
      <c r="V1570" s="6">
        <v>23.57</v>
      </c>
      <c r="W1570" s="6">
        <v>44</v>
      </c>
      <c r="X1570" s="6">
        <v>444</v>
      </c>
      <c r="Y1570" s="6">
        <v>742</v>
      </c>
      <c r="Z1570" s="6">
        <v>211</v>
      </c>
      <c r="AA1570" s="6">
        <v>10</v>
      </c>
      <c r="AB1570" s="6">
        <v>0</v>
      </c>
      <c r="AC1570" s="7">
        <v>127</v>
      </c>
      <c r="AD1570" s="7" t="s">
        <v>52</v>
      </c>
      <c r="AE1570" s="7">
        <v>31.23</v>
      </c>
      <c r="AF1570" s="7">
        <v>119</v>
      </c>
      <c r="AG1570" s="7">
        <v>24.46</v>
      </c>
      <c r="AH1570" s="7">
        <v>51.15</v>
      </c>
      <c r="AI1570" s="7">
        <v>52.59</v>
      </c>
      <c r="AJ1570" s="9">
        <v>379.67974611627699</v>
      </c>
      <c r="AK1570" s="9">
        <v>420.668987849193</v>
      </c>
      <c r="AL1570" s="9">
        <v>450.96662937061802</v>
      </c>
      <c r="AM1570" s="9">
        <v>71.115829589501303</v>
      </c>
      <c r="AN1570" s="9">
        <v>0.55996716212205699</v>
      </c>
      <c r="AO1570" s="9">
        <v>0.40066291173782498</v>
      </c>
      <c r="AP1570" s="9">
        <v>1077.9626308884599</v>
      </c>
      <c r="AQ1570" s="9">
        <v>8.4878947314051896</v>
      </c>
      <c r="AR1570" s="9">
        <v>9.3373619990748793</v>
      </c>
      <c r="AS1570" s="8" t="s">
        <v>169</v>
      </c>
      <c r="AT1570" s="8" t="s">
        <v>169</v>
      </c>
      <c r="AU1570" s="10" t="s">
        <v>169</v>
      </c>
      <c r="AV1570" s="10">
        <v>0</v>
      </c>
      <c r="AX1570" s="10" t="s">
        <v>169</v>
      </c>
      <c r="BF1570" s="12">
        <v>0.55000000000000004</v>
      </c>
      <c r="BG1570" s="13">
        <v>431.98845038460502</v>
      </c>
      <c r="BH1570" s="96" t="str">
        <f>+VLOOKUP(G1570,Liste!$A$7:$G$50,3,FALSE)</f>
        <v>Chêne sessile</v>
      </c>
      <c r="BI1570" s="96" t="str">
        <f>+VLOOKUP(H1570,Liste!$B$7:$G$50,5,FALSE)</f>
        <v>Guide chênaie atlantique</v>
      </c>
      <c r="BJ1570" s="135">
        <f t="shared" si="475"/>
        <v>127</v>
      </c>
      <c r="BK1570" s="135" t="str">
        <f t="shared" si="477"/>
        <v>Chêne sessile_F2_Classique_Guide chênaie atlantique_127_</v>
      </c>
      <c r="BM1570" s="13">
        <v>104.786075352417</v>
      </c>
      <c r="BN1570" s="13">
        <v>536.77452573702203</v>
      </c>
      <c r="BO1570" s="13" t="s">
        <v>169</v>
      </c>
      <c r="BP1570" s="13">
        <v>401.52059066910999</v>
      </c>
      <c r="BQ1570" s="13">
        <v>10.673973609362999</v>
      </c>
      <c r="BT1570" s="298" t="str">
        <f>+VLOOKUP(G1570,Liste!$A$7:$H$50,8,FALSE)</f>
        <v>Feuillus</v>
      </c>
      <c r="BU1570" s="298">
        <f t="shared" si="478"/>
        <v>1</v>
      </c>
      <c r="BV1570" s="300">
        <f t="shared" si="479"/>
        <v>0</v>
      </c>
      <c r="BW1570" s="321">
        <v>0</v>
      </c>
      <c r="BX1570" s="298">
        <f t="shared" si="480"/>
        <v>0.25</v>
      </c>
      <c r="BY1570">
        <f t="shared" si="481"/>
        <v>0</v>
      </c>
      <c r="BZ1570" s="304">
        <f t="shared" si="482"/>
        <v>0</v>
      </c>
      <c r="CB1570" s="299">
        <v>0.6</v>
      </c>
      <c r="CC1570" s="299">
        <v>0.4</v>
      </c>
      <c r="CD1570">
        <f t="shared" si="483"/>
        <v>0</v>
      </c>
      <c r="CE1570">
        <f t="shared" si="484"/>
        <v>0</v>
      </c>
      <c r="CF1570">
        <f t="shared" si="485"/>
        <v>0</v>
      </c>
      <c r="CG1570">
        <f t="shared" si="486"/>
        <v>0</v>
      </c>
      <c r="CH1570">
        <f t="shared" si="487"/>
        <v>0</v>
      </c>
      <c r="CI1570">
        <f t="shared" si="488"/>
        <v>0</v>
      </c>
      <c r="CJ1570">
        <f t="shared" si="489"/>
        <v>0</v>
      </c>
      <c r="CK1570">
        <f t="shared" si="490"/>
        <v>0</v>
      </c>
      <c r="CL1570">
        <f t="shared" si="491"/>
        <v>0</v>
      </c>
      <c r="CM1570">
        <f t="shared" si="493"/>
        <v>0</v>
      </c>
      <c r="CN1570">
        <f t="shared" si="492"/>
        <v>0</v>
      </c>
      <c r="CO1570">
        <f t="shared" si="476"/>
        <v>0</v>
      </c>
    </row>
    <row r="1571" spans="1:93" x14ac:dyDescent="0.25">
      <c r="A1571" s="4">
        <v>2021</v>
      </c>
      <c r="B1571" s="318">
        <v>44361</v>
      </c>
      <c r="C1571" s="4" t="s">
        <v>66</v>
      </c>
      <c r="D1571" s="4" t="s">
        <v>1525</v>
      </c>
      <c r="E1571" s="4" t="s">
        <v>87</v>
      </c>
      <c r="F1571" s="4" t="s">
        <v>90</v>
      </c>
      <c r="G1571" s="5" t="s">
        <v>17</v>
      </c>
      <c r="H1571" s="5" t="s">
        <v>20</v>
      </c>
      <c r="I1571" s="5" t="s">
        <v>18</v>
      </c>
      <c r="J1571" s="5" t="s">
        <v>10</v>
      </c>
      <c r="K1571" s="5">
        <v>18.18</v>
      </c>
      <c r="L1571" s="5" t="s">
        <v>193</v>
      </c>
      <c r="M1571" s="5">
        <v>1666</v>
      </c>
      <c r="N1571" s="5" t="s">
        <v>170</v>
      </c>
      <c r="O1571" s="6" t="s">
        <v>81</v>
      </c>
      <c r="P1571" s="6" t="s">
        <v>1505</v>
      </c>
      <c r="S1571" s="6">
        <v>42</v>
      </c>
      <c r="T1571" s="6">
        <v>16.02</v>
      </c>
      <c r="U1571" s="6">
        <v>1451</v>
      </c>
      <c r="V1571" s="6">
        <v>23.57</v>
      </c>
      <c r="W1571" s="6">
        <v>44</v>
      </c>
      <c r="X1571" s="6">
        <v>444</v>
      </c>
      <c r="Y1571" s="6">
        <v>742</v>
      </c>
      <c r="Z1571" s="6">
        <v>211</v>
      </c>
      <c r="AA1571" s="6">
        <v>10</v>
      </c>
      <c r="AB1571" s="6">
        <v>0</v>
      </c>
      <c r="AC1571" s="7">
        <v>130</v>
      </c>
      <c r="AD1571" s="7" t="s">
        <v>52</v>
      </c>
      <c r="AE1571" s="7">
        <v>31.63</v>
      </c>
      <c r="AF1571" s="7">
        <v>119</v>
      </c>
      <c r="AG1571" s="7">
        <v>25.66</v>
      </c>
      <c r="AH1571" s="7">
        <v>52.4</v>
      </c>
      <c r="AI1571" s="7">
        <v>53.86</v>
      </c>
      <c r="AJ1571" s="9">
        <v>403.50030232858597</v>
      </c>
      <c r="AK1571" s="9">
        <v>447.34207280133199</v>
      </c>
      <c r="AL1571" s="9">
        <v>478.97871536784299</v>
      </c>
      <c r="AM1571" s="9">
        <v>72.317818324714693</v>
      </c>
      <c r="AN1571" s="9">
        <v>0.55629091019011301</v>
      </c>
      <c r="AO1571" s="9">
        <v>0.40275715565107001</v>
      </c>
      <c r="AP1571" s="9">
        <v>1105.97471688568</v>
      </c>
      <c r="AQ1571" s="9">
        <v>8.5074978221975694</v>
      </c>
      <c r="AR1571" s="9">
        <v>9.5820756047706901</v>
      </c>
      <c r="AS1571" s="8" t="s">
        <v>169</v>
      </c>
      <c r="AT1571" s="8" t="s">
        <v>169</v>
      </c>
      <c r="AU1571" s="10" t="s">
        <v>169</v>
      </c>
      <c r="AV1571" s="10">
        <v>0</v>
      </c>
      <c r="AX1571" s="10" t="s">
        <v>169</v>
      </c>
      <c r="BF1571" s="12">
        <v>0.55000000000000004</v>
      </c>
      <c r="BG1571" s="13">
        <v>458.82169442944598</v>
      </c>
      <c r="BH1571" s="96" t="str">
        <f>+VLOOKUP(G1571,Liste!$A$7:$G$50,3,FALSE)</f>
        <v>Chêne sessile</v>
      </c>
      <c r="BI1571" s="96" t="str">
        <f>+VLOOKUP(H1571,Liste!$B$7:$G$50,5,FALSE)</f>
        <v>Guide chênaie atlantique</v>
      </c>
      <c r="BJ1571" s="135">
        <f t="shared" si="475"/>
        <v>130</v>
      </c>
      <c r="BK1571" s="135" t="str">
        <f t="shared" si="477"/>
        <v>Chêne sessile_F2_Classique_Guide chênaie atlantique_130_</v>
      </c>
      <c r="BM1571" s="13">
        <v>110.516973893417</v>
      </c>
      <c r="BN1571" s="13">
        <v>569.33866832286401</v>
      </c>
      <c r="BO1571" s="13" t="s">
        <v>169</v>
      </c>
      <c r="BP1571" s="13">
        <v>401.52059066910999</v>
      </c>
      <c r="BQ1571" s="13">
        <v>10.9475504398907</v>
      </c>
      <c r="BT1571" s="298" t="str">
        <f>+VLOOKUP(G1571,Liste!$A$7:$H$50,8,FALSE)</f>
        <v>Feuillus</v>
      </c>
      <c r="BU1571" s="298">
        <f t="shared" si="478"/>
        <v>1</v>
      </c>
      <c r="BV1571" s="300">
        <f t="shared" si="479"/>
        <v>0</v>
      </c>
      <c r="BW1571" s="321">
        <v>0</v>
      </c>
      <c r="BX1571" s="298">
        <f t="shared" si="480"/>
        <v>0.25</v>
      </c>
      <c r="BY1571">
        <f t="shared" si="481"/>
        <v>0</v>
      </c>
      <c r="BZ1571" s="304">
        <f t="shared" si="482"/>
        <v>0</v>
      </c>
      <c r="CB1571" s="299">
        <v>0.6</v>
      </c>
      <c r="CC1571" s="299">
        <v>0.4</v>
      </c>
      <c r="CD1571">
        <f t="shared" si="483"/>
        <v>0</v>
      </c>
      <c r="CE1571">
        <f t="shared" si="484"/>
        <v>0</v>
      </c>
      <c r="CF1571">
        <f t="shared" si="485"/>
        <v>0</v>
      </c>
      <c r="CG1571">
        <f t="shared" si="486"/>
        <v>0</v>
      </c>
      <c r="CH1571">
        <f t="shared" si="487"/>
        <v>0</v>
      </c>
      <c r="CI1571">
        <f t="shared" si="488"/>
        <v>0</v>
      </c>
      <c r="CJ1571">
        <f t="shared" si="489"/>
        <v>0</v>
      </c>
      <c r="CK1571">
        <f t="shared" si="490"/>
        <v>0</v>
      </c>
      <c r="CL1571">
        <f t="shared" si="491"/>
        <v>0</v>
      </c>
      <c r="CM1571">
        <f t="shared" si="493"/>
        <v>0</v>
      </c>
      <c r="CN1571">
        <f t="shared" si="492"/>
        <v>0</v>
      </c>
      <c r="CO1571">
        <f t="shared" si="476"/>
        <v>0</v>
      </c>
    </row>
    <row r="1572" spans="1:93" x14ac:dyDescent="0.25">
      <c r="A1572" s="4">
        <v>2021</v>
      </c>
      <c r="B1572" s="318">
        <v>44361</v>
      </c>
      <c r="C1572" s="4" t="s">
        <v>66</v>
      </c>
      <c r="D1572" s="4" t="s">
        <v>1525</v>
      </c>
      <c r="E1572" s="4" t="s">
        <v>87</v>
      </c>
      <c r="F1572" s="4" t="s">
        <v>90</v>
      </c>
      <c r="G1572" s="5" t="s">
        <v>17</v>
      </c>
      <c r="H1572" s="5" t="s">
        <v>20</v>
      </c>
      <c r="I1572" s="5" t="s">
        <v>18</v>
      </c>
      <c r="J1572" s="5" t="s">
        <v>10</v>
      </c>
      <c r="K1572" s="5">
        <v>18.18</v>
      </c>
      <c r="L1572" s="5" t="s">
        <v>193</v>
      </c>
      <c r="M1572" s="5">
        <v>1666</v>
      </c>
      <c r="N1572" s="5" t="s">
        <v>170</v>
      </c>
      <c r="O1572" s="6" t="s">
        <v>81</v>
      </c>
      <c r="P1572" s="6" t="s">
        <v>1505</v>
      </c>
      <c r="S1572" s="6">
        <v>42</v>
      </c>
      <c r="T1572" s="6">
        <v>16.02</v>
      </c>
      <c r="U1572" s="6">
        <v>1451</v>
      </c>
      <c r="V1572" s="6">
        <v>23.57</v>
      </c>
      <c r="W1572" s="6">
        <v>44</v>
      </c>
      <c r="X1572" s="6">
        <v>444</v>
      </c>
      <c r="Y1572" s="6">
        <v>742</v>
      </c>
      <c r="Z1572" s="6">
        <v>211</v>
      </c>
      <c r="AA1572" s="6">
        <v>10</v>
      </c>
      <c r="AB1572" s="6">
        <v>0</v>
      </c>
      <c r="AC1572" s="7">
        <v>134</v>
      </c>
      <c r="AD1572" s="7" t="s">
        <v>52</v>
      </c>
      <c r="AE1572" s="7">
        <v>32.159999999999997</v>
      </c>
      <c r="AF1572" s="7">
        <v>119</v>
      </c>
      <c r="AG1572" s="7">
        <v>27.27</v>
      </c>
      <c r="AH1572" s="7">
        <v>54.02</v>
      </c>
      <c r="AI1572" s="7">
        <v>55.52</v>
      </c>
      <c r="AJ1572" s="9">
        <v>436.18097811859599</v>
      </c>
      <c r="AK1572" s="9">
        <v>483.887699650797</v>
      </c>
      <c r="AL1572" s="9">
        <v>517.30701778692605</v>
      </c>
      <c r="AM1572" s="9">
        <v>73.928846947319002</v>
      </c>
      <c r="AN1572" s="9">
        <v>0.55170781303969396</v>
      </c>
      <c r="AO1572" s="9">
        <v>0.38845879031837199</v>
      </c>
      <c r="AP1572" s="9">
        <v>1144.30301930477</v>
      </c>
      <c r="AQ1572" s="9">
        <v>8.5395747709311003</v>
      </c>
      <c r="AR1572" s="9">
        <v>9.4222785117846506</v>
      </c>
      <c r="AS1572" s="8" t="s">
        <v>169</v>
      </c>
      <c r="AT1572" s="8" t="s">
        <v>169</v>
      </c>
      <c r="AU1572" s="10" t="s">
        <v>169</v>
      </c>
      <c r="AV1572" s="10">
        <v>0</v>
      </c>
      <c r="AX1572" s="10" t="s">
        <v>169</v>
      </c>
      <c r="BF1572" s="12">
        <v>0.55000000000000004</v>
      </c>
      <c r="BG1572" s="13">
        <v>495.53701412172597</v>
      </c>
      <c r="BH1572" s="96" t="str">
        <f>+VLOOKUP(G1572,Liste!$A$7:$G$50,3,FALSE)</f>
        <v>Chêne sessile</v>
      </c>
      <c r="BI1572" s="96" t="str">
        <f>+VLOOKUP(H1572,Liste!$B$7:$G$50,5,FALSE)</f>
        <v>Guide chênaie atlantique</v>
      </c>
      <c r="BJ1572" s="135">
        <f t="shared" si="475"/>
        <v>134</v>
      </c>
      <c r="BK1572" s="135" t="str">
        <f t="shared" si="477"/>
        <v>Chêne sessile_F2_Classique_Guide chênaie atlantique_134_</v>
      </c>
      <c r="BM1572" s="13">
        <v>118.295884865902</v>
      </c>
      <c r="BN1572" s="13">
        <v>613.83289898762803</v>
      </c>
      <c r="BO1572" s="13" t="s">
        <v>169</v>
      </c>
      <c r="BP1572" s="13">
        <v>401.52059066910999</v>
      </c>
      <c r="BQ1572" s="13">
        <v>10.759082209164299</v>
      </c>
      <c r="BT1572" s="298" t="str">
        <f>+VLOOKUP(G1572,Liste!$A$7:$H$50,8,FALSE)</f>
        <v>Feuillus</v>
      </c>
      <c r="BU1572" s="298">
        <f t="shared" si="478"/>
        <v>1</v>
      </c>
      <c r="BV1572" s="300">
        <f t="shared" si="479"/>
        <v>0</v>
      </c>
      <c r="BW1572" s="321">
        <v>0</v>
      </c>
      <c r="BX1572" s="298">
        <f t="shared" si="480"/>
        <v>0.25</v>
      </c>
      <c r="BY1572">
        <f t="shared" si="481"/>
        <v>0</v>
      </c>
      <c r="BZ1572" s="304">
        <f t="shared" si="482"/>
        <v>0</v>
      </c>
      <c r="CB1572" s="299">
        <v>0.6</v>
      </c>
      <c r="CC1572" s="299">
        <v>0.4</v>
      </c>
      <c r="CD1572">
        <f t="shared" si="483"/>
        <v>0</v>
      </c>
      <c r="CE1572">
        <f t="shared" si="484"/>
        <v>0</v>
      </c>
      <c r="CF1572">
        <f t="shared" si="485"/>
        <v>0</v>
      </c>
      <c r="CG1572">
        <f t="shared" si="486"/>
        <v>0</v>
      </c>
      <c r="CH1572">
        <f t="shared" si="487"/>
        <v>0</v>
      </c>
      <c r="CI1572">
        <f t="shared" si="488"/>
        <v>0</v>
      </c>
      <c r="CJ1572">
        <f t="shared" si="489"/>
        <v>0</v>
      </c>
      <c r="CK1572">
        <f t="shared" si="490"/>
        <v>0</v>
      </c>
      <c r="CL1572">
        <f t="shared" si="491"/>
        <v>0</v>
      </c>
      <c r="CM1572">
        <f t="shared" si="493"/>
        <v>0</v>
      </c>
      <c r="CN1572">
        <f t="shared" si="492"/>
        <v>0</v>
      </c>
      <c r="CO1572">
        <f t="shared" si="476"/>
        <v>0</v>
      </c>
    </row>
    <row r="1573" spans="1:93" x14ac:dyDescent="0.25">
      <c r="A1573" s="4">
        <v>2021</v>
      </c>
      <c r="B1573" s="318">
        <v>44361</v>
      </c>
      <c r="C1573" s="4" t="s">
        <v>66</v>
      </c>
      <c r="D1573" s="4" t="s">
        <v>1525</v>
      </c>
      <c r="E1573" s="4" t="s">
        <v>87</v>
      </c>
      <c r="F1573" s="4" t="s">
        <v>90</v>
      </c>
      <c r="G1573" s="5" t="s">
        <v>17</v>
      </c>
      <c r="H1573" s="5" t="s">
        <v>20</v>
      </c>
      <c r="I1573" s="5" t="s">
        <v>18</v>
      </c>
      <c r="J1573" s="5" t="s">
        <v>10</v>
      </c>
      <c r="K1573" s="5">
        <v>18.18</v>
      </c>
      <c r="L1573" s="5" t="s">
        <v>193</v>
      </c>
      <c r="M1573" s="5">
        <v>1666</v>
      </c>
      <c r="N1573" s="5" t="s">
        <v>170</v>
      </c>
      <c r="O1573" s="6" t="s">
        <v>81</v>
      </c>
      <c r="P1573" s="6" t="s">
        <v>1505</v>
      </c>
      <c r="S1573" s="6">
        <v>42</v>
      </c>
      <c r="T1573" s="6">
        <v>16.02</v>
      </c>
      <c r="U1573" s="6">
        <v>1451</v>
      </c>
      <c r="V1573" s="6">
        <v>23.57</v>
      </c>
      <c r="W1573" s="6">
        <v>44</v>
      </c>
      <c r="X1573" s="6">
        <v>444</v>
      </c>
      <c r="Y1573" s="6">
        <v>742</v>
      </c>
      <c r="Z1573" s="6">
        <v>211</v>
      </c>
      <c r="AA1573" s="6">
        <v>10</v>
      </c>
      <c r="AB1573" s="6">
        <v>0</v>
      </c>
      <c r="AC1573" s="7">
        <v>134</v>
      </c>
      <c r="AD1573" s="7" t="s">
        <v>53</v>
      </c>
      <c r="AE1573" s="7">
        <v>32.159999999999997</v>
      </c>
      <c r="AF1573" s="7">
        <v>103</v>
      </c>
      <c r="AG1573" s="7">
        <v>23.84</v>
      </c>
      <c r="AH1573" s="7">
        <v>54.28</v>
      </c>
      <c r="AI1573" s="7">
        <v>54.61</v>
      </c>
      <c r="AJ1573" s="9">
        <v>381.31312957059401</v>
      </c>
      <c r="AK1573" s="9">
        <v>423.26526755663002</v>
      </c>
      <c r="AL1573" s="9">
        <v>452.46804310226997</v>
      </c>
      <c r="AM1573" s="9">
        <v>73.928846947319002</v>
      </c>
      <c r="AN1573" s="9">
        <v>0.55170781303969396</v>
      </c>
      <c r="AO1573" s="9">
        <v>0.38845879031837199</v>
      </c>
      <c r="AP1573" s="9">
        <v>1144.30301930477</v>
      </c>
      <c r="AQ1573" s="9">
        <v>8.5395747709311003</v>
      </c>
      <c r="AR1573" s="9">
        <v>9.4222785117846506</v>
      </c>
      <c r="AS1573" s="8">
        <v>16</v>
      </c>
      <c r="AT1573" s="8">
        <v>3.4299999999999997</v>
      </c>
      <c r="AU1573" s="10">
        <v>52.24468656261616</v>
      </c>
      <c r="AV1573" s="10">
        <v>54.867848548001973</v>
      </c>
      <c r="AW1573" s="8">
        <v>0.94</v>
      </c>
      <c r="AX1573" s="10">
        <v>3.4292405342501233</v>
      </c>
      <c r="BF1573" s="12">
        <v>0.55000000000000004</v>
      </c>
      <c r="BG1573" s="13">
        <v>433.426679621716</v>
      </c>
      <c r="BH1573" s="96" t="str">
        <f>+VLOOKUP(G1573,Liste!$A$7:$G$50,3,FALSE)</f>
        <v>Chêne sessile</v>
      </c>
      <c r="BI1573" s="96" t="str">
        <f>+VLOOKUP(H1573,Liste!$B$7:$G$50,5,FALSE)</f>
        <v>Guide chênaie atlantique</v>
      </c>
      <c r="BJ1573" s="135">
        <f t="shared" si="475"/>
        <v>134</v>
      </c>
      <c r="BK1573" s="135" t="str">
        <f t="shared" si="477"/>
        <v>Chêne sessile_F2_Classique_Guide chênaie atlantique_134_</v>
      </c>
      <c r="BM1573" s="13">
        <v>105.094274336905</v>
      </c>
      <c r="BN1573" s="13">
        <v>538.52095395862102</v>
      </c>
      <c r="BO1573" s="13">
        <v>75.311945029007006</v>
      </c>
      <c r="BP1573" s="13">
        <v>401.52059066910999</v>
      </c>
      <c r="BQ1573" s="13">
        <v>10.759082209164299</v>
      </c>
      <c r="BT1573" s="298" t="str">
        <f>+VLOOKUP(G1573,Liste!$A$7:$H$50,8,FALSE)</f>
        <v>Feuillus</v>
      </c>
      <c r="BU1573" s="298">
        <f t="shared" si="478"/>
        <v>1</v>
      </c>
      <c r="BV1573" s="300">
        <f t="shared" si="479"/>
        <v>0</v>
      </c>
      <c r="BW1573" s="321">
        <v>0</v>
      </c>
      <c r="BX1573" s="298">
        <f t="shared" si="480"/>
        <v>0.25</v>
      </c>
      <c r="BY1573">
        <f t="shared" si="481"/>
        <v>0</v>
      </c>
      <c r="BZ1573" s="304">
        <f t="shared" si="482"/>
        <v>0</v>
      </c>
      <c r="CB1573" s="299">
        <v>0.6</v>
      </c>
      <c r="CC1573" s="299">
        <v>0.4</v>
      </c>
      <c r="CD1573">
        <f t="shared" si="483"/>
        <v>0</v>
      </c>
      <c r="CE1573">
        <f t="shared" si="484"/>
        <v>0</v>
      </c>
      <c r="CF1573">
        <f t="shared" si="485"/>
        <v>0</v>
      </c>
      <c r="CG1573">
        <f t="shared" si="486"/>
        <v>0</v>
      </c>
      <c r="CH1573">
        <f t="shared" si="487"/>
        <v>0</v>
      </c>
      <c r="CI1573">
        <f t="shared" si="488"/>
        <v>0</v>
      </c>
      <c r="CJ1573">
        <f t="shared" si="489"/>
        <v>0</v>
      </c>
      <c r="CK1573">
        <f t="shared" si="490"/>
        <v>0</v>
      </c>
      <c r="CL1573">
        <f t="shared" si="491"/>
        <v>0</v>
      </c>
      <c r="CM1573">
        <f t="shared" si="493"/>
        <v>0</v>
      </c>
      <c r="CN1573">
        <f t="shared" si="492"/>
        <v>0</v>
      </c>
      <c r="CO1573">
        <f t="shared" si="476"/>
        <v>0</v>
      </c>
    </row>
    <row r="1574" spans="1:93" x14ac:dyDescent="0.25">
      <c r="A1574" s="4">
        <v>2021</v>
      </c>
      <c r="B1574" s="318">
        <v>44361</v>
      </c>
      <c r="C1574" s="4" t="s">
        <v>66</v>
      </c>
      <c r="D1574" s="4" t="s">
        <v>1525</v>
      </c>
      <c r="E1574" s="4" t="s">
        <v>87</v>
      </c>
      <c r="F1574" s="4" t="s">
        <v>90</v>
      </c>
      <c r="G1574" s="5" t="s">
        <v>17</v>
      </c>
      <c r="H1574" s="5" t="s">
        <v>20</v>
      </c>
      <c r="I1574" s="5" t="s">
        <v>18</v>
      </c>
      <c r="J1574" s="5" t="s">
        <v>10</v>
      </c>
      <c r="K1574" s="5">
        <v>18.18</v>
      </c>
      <c r="L1574" s="5" t="s">
        <v>193</v>
      </c>
      <c r="M1574" s="5">
        <v>1666</v>
      </c>
      <c r="N1574" s="5" t="s">
        <v>170</v>
      </c>
      <c r="O1574" s="6" t="s">
        <v>81</v>
      </c>
      <c r="P1574" s="6" t="s">
        <v>1505</v>
      </c>
      <c r="S1574" s="6">
        <v>42</v>
      </c>
      <c r="T1574" s="6">
        <v>16.02</v>
      </c>
      <c r="U1574" s="6">
        <v>1451</v>
      </c>
      <c r="V1574" s="6">
        <v>23.57</v>
      </c>
      <c r="W1574" s="6">
        <v>44</v>
      </c>
      <c r="X1574" s="6">
        <v>444</v>
      </c>
      <c r="Y1574" s="6">
        <v>742</v>
      </c>
      <c r="Z1574" s="6">
        <v>211</v>
      </c>
      <c r="AA1574" s="6">
        <v>10</v>
      </c>
      <c r="AB1574" s="6">
        <v>0</v>
      </c>
      <c r="AC1574" s="7">
        <v>137</v>
      </c>
      <c r="AD1574" s="7" t="s">
        <v>52</v>
      </c>
      <c r="AE1574" s="7">
        <v>32.56</v>
      </c>
      <c r="AF1574" s="7">
        <v>103</v>
      </c>
      <c r="AG1574" s="7">
        <v>25</v>
      </c>
      <c r="AH1574" s="7">
        <v>55.59</v>
      </c>
      <c r="AI1574" s="7">
        <v>55.93</v>
      </c>
      <c r="AJ1574" s="9">
        <v>405.45698528707197</v>
      </c>
      <c r="AK1574" s="9">
        <v>450.25093305590201</v>
      </c>
      <c r="AL1574" s="9">
        <v>480.73487863762398</v>
      </c>
      <c r="AM1574" s="9">
        <v>75.094223318274103</v>
      </c>
      <c r="AN1574" s="9">
        <v>0.54813301692170902</v>
      </c>
      <c r="AO1574" s="9">
        <v>0.390337918256151</v>
      </c>
      <c r="AP1574" s="9">
        <v>1172.5698548401199</v>
      </c>
      <c r="AQ1574" s="9">
        <v>8.5589040499278894</v>
      </c>
      <c r="AR1574" s="9">
        <v>9.4206257034105292</v>
      </c>
      <c r="AS1574" s="8" t="s">
        <v>169</v>
      </c>
      <c r="AT1574" s="8" t="s">
        <v>169</v>
      </c>
      <c r="AU1574" s="10" t="s">
        <v>169</v>
      </c>
      <c r="AV1574" s="10">
        <v>0</v>
      </c>
      <c r="AX1574" s="10" t="s">
        <v>169</v>
      </c>
      <c r="BF1574" s="12">
        <v>0.55000000000000004</v>
      </c>
      <c r="BG1574" s="13">
        <v>460.50395249495699</v>
      </c>
      <c r="BH1574" s="96" t="str">
        <f>+VLOOKUP(G1574,Liste!$A$7:$G$50,3,FALSE)</f>
        <v>Chêne sessile</v>
      </c>
      <c r="BI1574" s="96" t="str">
        <f>+VLOOKUP(H1574,Liste!$B$7:$G$50,5,FALSE)</f>
        <v>Guide chênaie atlantique</v>
      </c>
      <c r="BJ1574" s="135">
        <f t="shared" si="475"/>
        <v>137</v>
      </c>
      <c r="BK1574" s="135" t="str">
        <f t="shared" si="477"/>
        <v>Chêne sessile_F2_Classique_Guide chênaie atlantique_137_</v>
      </c>
      <c r="BM1574" s="13">
        <v>110.874939094474</v>
      </c>
      <c r="BN1574" s="13">
        <v>571.37889158943096</v>
      </c>
      <c r="BO1574" s="13" t="s">
        <v>169</v>
      </c>
      <c r="BP1574" s="13">
        <v>401.52059066910999</v>
      </c>
      <c r="BQ1574" s="13">
        <v>10.752338745107901</v>
      </c>
      <c r="BT1574" s="298" t="str">
        <f>+VLOOKUP(G1574,Liste!$A$7:$H$50,8,FALSE)</f>
        <v>Feuillus</v>
      </c>
      <c r="BU1574" s="298">
        <f t="shared" si="478"/>
        <v>1</v>
      </c>
      <c r="BV1574" s="300">
        <f t="shared" si="479"/>
        <v>0</v>
      </c>
      <c r="BW1574" s="321">
        <v>0</v>
      </c>
      <c r="BX1574" s="298">
        <f t="shared" si="480"/>
        <v>0.25</v>
      </c>
      <c r="BY1574">
        <f t="shared" si="481"/>
        <v>0</v>
      </c>
      <c r="BZ1574" s="304">
        <f t="shared" si="482"/>
        <v>0</v>
      </c>
      <c r="CB1574" s="299">
        <v>0.6</v>
      </c>
      <c r="CC1574" s="299">
        <v>0.4</v>
      </c>
      <c r="CD1574">
        <f t="shared" si="483"/>
        <v>0</v>
      </c>
      <c r="CE1574">
        <f t="shared" si="484"/>
        <v>0</v>
      </c>
      <c r="CF1574">
        <f t="shared" si="485"/>
        <v>0</v>
      </c>
      <c r="CG1574">
        <f t="shared" si="486"/>
        <v>0</v>
      </c>
      <c r="CH1574">
        <f t="shared" si="487"/>
        <v>0</v>
      </c>
      <c r="CI1574">
        <f t="shared" si="488"/>
        <v>0</v>
      </c>
      <c r="CJ1574">
        <f t="shared" si="489"/>
        <v>0</v>
      </c>
      <c r="CK1574">
        <f t="shared" si="490"/>
        <v>0</v>
      </c>
      <c r="CL1574">
        <f t="shared" si="491"/>
        <v>0</v>
      </c>
      <c r="CM1574">
        <f t="shared" si="493"/>
        <v>0</v>
      </c>
      <c r="CN1574">
        <f t="shared" si="492"/>
        <v>0</v>
      </c>
      <c r="CO1574">
        <f t="shared" si="476"/>
        <v>0</v>
      </c>
    </row>
    <row r="1575" spans="1:93" x14ac:dyDescent="0.25">
      <c r="A1575" s="4">
        <v>2021</v>
      </c>
      <c r="B1575" s="318">
        <v>44361</v>
      </c>
      <c r="C1575" s="4" t="s">
        <v>66</v>
      </c>
      <c r="D1575" s="4" t="s">
        <v>1525</v>
      </c>
      <c r="E1575" s="4" t="s">
        <v>87</v>
      </c>
      <c r="F1575" s="4" t="s">
        <v>90</v>
      </c>
      <c r="G1575" s="5" t="s">
        <v>17</v>
      </c>
      <c r="H1575" s="5" t="s">
        <v>20</v>
      </c>
      <c r="I1575" s="5" t="s">
        <v>18</v>
      </c>
      <c r="J1575" s="5" t="s">
        <v>10</v>
      </c>
      <c r="K1575" s="5">
        <v>18.18</v>
      </c>
      <c r="L1575" s="5" t="s">
        <v>193</v>
      </c>
      <c r="M1575" s="5">
        <v>1666</v>
      </c>
      <c r="N1575" s="5" t="s">
        <v>170</v>
      </c>
      <c r="O1575" s="6" t="s">
        <v>81</v>
      </c>
      <c r="P1575" s="6" t="s">
        <v>1505</v>
      </c>
      <c r="S1575" s="6">
        <v>42</v>
      </c>
      <c r="T1575" s="6">
        <v>16.02</v>
      </c>
      <c r="U1575" s="6">
        <v>1451</v>
      </c>
      <c r="V1575" s="6">
        <v>23.57</v>
      </c>
      <c r="W1575" s="6">
        <v>44</v>
      </c>
      <c r="X1575" s="6">
        <v>444</v>
      </c>
      <c r="Y1575" s="6">
        <v>742</v>
      </c>
      <c r="Z1575" s="6">
        <v>211</v>
      </c>
      <c r="AA1575" s="6">
        <v>10</v>
      </c>
      <c r="AB1575" s="6">
        <v>0</v>
      </c>
      <c r="AC1575" s="7">
        <v>140</v>
      </c>
      <c r="AD1575" s="7" t="s">
        <v>52</v>
      </c>
      <c r="AE1575" s="7">
        <v>32.950000000000003</v>
      </c>
      <c r="AF1575" s="7">
        <v>103</v>
      </c>
      <c r="AG1575" s="7">
        <v>26.17</v>
      </c>
      <c r="AH1575" s="7">
        <v>56.88</v>
      </c>
      <c r="AI1575" s="7">
        <v>57.23</v>
      </c>
      <c r="AJ1575" s="9">
        <v>429.47395495477099</v>
      </c>
      <c r="AK1575" s="9">
        <v>477.21966383061499</v>
      </c>
      <c r="AL1575" s="9">
        <v>508.99675574785601</v>
      </c>
      <c r="AM1575" s="9">
        <v>76.265237073042599</v>
      </c>
      <c r="AN1575" s="9">
        <v>0.54475169337887597</v>
      </c>
      <c r="AO1575" s="9">
        <v>0.39151666672722701</v>
      </c>
      <c r="AP1575" s="9">
        <v>1200.8317319503501</v>
      </c>
      <c r="AQ1575" s="9">
        <v>8.5773695139310906</v>
      </c>
      <c r="AR1575" s="9">
        <v>9.7918228465603097</v>
      </c>
      <c r="AS1575" s="8" t="s">
        <v>169</v>
      </c>
      <c r="AT1575" s="8" t="s">
        <v>169</v>
      </c>
      <c r="AU1575" s="10" t="s">
        <v>169</v>
      </c>
      <c r="AV1575" s="10">
        <v>0</v>
      </c>
      <c r="AX1575" s="10" t="s">
        <v>169</v>
      </c>
      <c r="BF1575" s="12">
        <v>0.55000000000000004</v>
      </c>
      <c r="BG1575" s="13">
        <v>487.576475610133</v>
      </c>
      <c r="BH1575" s="96" t="str">
        <f>+VLOOKUP(G1575,Liste!$A$7:$G$50,3,FALSE)</f>
        <v>Chêne sessile</v>
      </c>
      <c r="BI1575" s="96" t="str">
        <f>+VLOOKUP(H1575,Liste!$B$7:$G$50,5,FALSE)</f>
        <v>Guide chênaie atlantique</v>
      </c>
      <c r="BJ1575" s="135">
        <f t="shared" si="475"/>
        <v>140</v>
      </c>
      <c r="BK1575" s="135" t="str">
        <f t="shared" si="477"/>
        <v>Chêne sessile_F2_Classique_Guide chênaie atlantique_140_</v>
      </c>
      <c r="BM1575" s="13">
        <v>116.615146966494</v>
      </c>
      <c r="BN1575" s="13">
        <v>604.19162257662799</v>
      </c>
      <c r="BO1575" s="13" t="s">
        <v>169</v>
      </c>
      <c r="BP1575" s="13">
        <v>401.52059066910999</v>
      </c>
      <c r="BQ1575" s="13">
        <v>11.1701655234979</v>
      </c>
      <c r="BT1575" s="298" t="str">
        <f>+VLOOKUP(G1575,Liste!$A$7:$H$50,8,FALSE)</f>
        <v>Feuillus</v>
      </c>
      <c r="BU1575" s="298">
        <f t="shared" si="478"/>
        <v>1</v>
      </c>
      <c r="BV1575" s="300">
        <f t="shared" si="479"/>
        <v>0</v>
      </c>
      <c r="BW1575" s="321">
        <v>0</v>
      </c>
      <c r="BX1575" s="298">
        <f t="shared" si="480"/>
        <v>0.25</v>
      </c>
      <c r="BY1575">
        <f t="shared" si="481"/>
        <v>0</v>
      </c>
      <c r="BZ1575" s="304">
        <f t="shared" si="482"/>
        <v>0</v>
      </c>
      <c r="CB1575" s="299">
        <v>0.6</v>
      </c>
      <c r="CC1575" s="299">
        <v>0.4</v>
      </c>
      <c r="CD1575">
        <f t="shared" si="483"/>
        <v>0</v>
      </c>
      <c r="CE1575">
        <f t="shared" si="484"/>
        <v>0</v>
      </c>
      <c r="CF1575">
        <f t="shared" si="485"/>
        <v>0</v>
      </c>
      <c r="CG1575">
        <f t="shared" si="486"/>
        <v>0</v>
      </c>
      <c r="CH1575">
        <f t="shared" si="487"/>
        <v>0</v>
      </c>
      <c r="CI1575">
        <f t="shared" si="488"/>
        <v>0</v>
      </c>
      <c r="CJ1575">
        <f t="shared" si="489"/>
        <v>0</v>
      </c>
      <c r="CK1575">
        <f t="shared" si="490"/>
        <v>0</v>
      </c>
      <c r="CL1575">
        <f t="shared" si="491"/>
        <v>0</v>
      </c>
      <c r="CM1575">
        <f t="shared" si="493"/>
        <v>0</v>
      </c>
      <c r="CN1575">
        <f t="shared" si="492"/>
        <v>0</v>
      </c>
      <c r="CO1575">
        <f t="shared" si="476"/>
        <v>0</v>
      </c>
    </row>
    <row r="1576" spans="1:93" x14ac:dyDescent="0.25">
      <c r="A1576" s="4">
        <v>2021</v>
      </c>
      <c r="B1576" s="318">
        <v>44361</v>
      </c>
      <c r="C1576" s="4" t="s">
        <v>66</v>
      </c>
      <c r="D1576" s="4" t="s">
        <v>1525</v>
      </c>
      <c r="E1576" s="4" t="s">
        <v>87</v>
      </c>
      <c r="F1576" s="4" t="s">
        <v>90</v>
      </c>
      <c r="G1576" s="5" t="s">
        <v>17</v>
      </c>
      <c r="H1576" s="5" t="s">
        <v>20</v>
      </c>
      <c r="I1576" s="5" t="s">
        <v>18</v>
      </c>
      <c r="J1576" s="5" t="s">
        <v>10</v>
      </c>
      <c r="K1576" s="5">
        <v>18.18</v>
      </c>
      <c r="L1576" s="5" t="s">
        <v>193</v>
      </c>
      <c r="M1576" s="5">
        <v>1666</v>
      </c>
      <c r="N1576" s="5" t="s">
        <v>170</v>
      </c>
      <c r="O1576" s="6" t="s">
        <v>81</v>
      </c>
      <c r="P1576" s="6" t="s">
        <v>1505</v>
      </c>
      <c r="S1576" s="6">
        <v>42</v>
      </c>
      <c r="T1576" s="6">
        <v>16.02</v>
      </c>
      <c r="U1576" s="6">
        <v>1451</v>
      </c>
      <c r="V1576" s="6">
        <v>23.57</v>
      </c>
      <c r="W1576" s="6">
        <v>44</v>
      </c>
      <c r="X1576" s="6">
        <v>444</v>
      </c>
      <c r="Y1576" s="6">
        <v>742</v>
      </c>
      <c r="Z1576" s="6">
        <v>211</v>
      </c>
      <c r="AA1576" s="6">
        <v>10</v>
      </c>
      <c r="AB1576" s="6">
        <v>0</v>
      </c>
      <c r="AC1576" s="7">
        <v>144</v>
      </c>
      <c r="AD1576" s="7" t="s">
        <v>52</v>
      </c>
      <c r="AE1576" s="7">
        <v>33.47</v>
      </c>
      <c r="AF1576" s="7">
        <v>103</v>
      </c>
      <c r="AG1576" s="7">
        <v>27.74</v>
      </c>
      <c r="AH1576" s="7">
        <v>58.56</v>
      </c>
      <c r="AI1576" s="7">
        <v>58.91</v>
      </c>
      <c r="AJ1576" s="9">
        <v>463.01546377455202</v>
      </c>
      <c r="AK1576" s="9">
        <v>514.68386814914095</v>
      </c>
      <c r="AL1576" s="9">
        <v>548.16404713409702</v>
      </c>
      <c r="AM1576" s="9">
        <v>77.831303739951494</v>
      </c>
      <c r="AN1576" s="9">
        <v>0.54049516486077398</v>
      </c>
      <c r="AO1576" s="9">
        <v>0.37865234550210403</v>
      </c>
      <c r="AP1576" s="9">
        <v>1239.99902333659</v>
      </c>
      <c r="AQ1576" s="9">
        <v>8.6111043287263502</v>
      </c>
      <c r="AR1576" s="9">
        <v>9.4624690503913698</v>
      </c>
      <c r="AS1576" s="8" t="s">
        <v>169</v>
      </c>
      <c r="AT1576" s="8" t="s">
        <v>169</v>
      </c>
      <c r="AU1576" s="10" t="s">
        <v>169</v>
      </c>
      <c r="AV1576" s="10">
        <v>0</v>
      </c>
      <c r="AX1576" s="10" t="s">
        <v>169</v>
      </c>
      <c r="BF1576" s="12">
        <v>0.55000000000000004</v>
      </c>
      <c r="BG1576" s="13">
        <v>525.09547681720403</v>
      </c>
      <c r="BH1576" s="96" t="str">
        <f>+VLOOKUP(G1576,Liste!$A$7:$G$50,3,FALSE)</f>
        <v>Chêne sessile</v>
      </c>
      <c r="BI1576" s="96" t="str">
        <f>+VLOOKUP(H1576,Liste!$B$7:$G$50,5,FALSE)</f>
        <v>Guide chênaie atlantique</v>
      </c>
      <c r="BJ1576" s="135">
        <f t="shared" si="475"/>
        <v>144</v>
      </c>
      <c r="BK1576" s="135" t="str">
        <f t="shared" si="477"/>
        <v>Chêne sessile_F2_Classique_Guide chênaie atlantique_144_</v>
      </c>
      <c r="BM1576" s="13">
        <v>124.50962850633999</v>
      </c>
      <c r="BN1576" s="13">
        <v>649.60510532354294</v>
      </c>
      <c r="BO1576" s="13" t="s">
        <v>169</v>
      </c>
      <c r="BP1576" s="13">
        <v>401.52059066910999</v>
      </c>
      <c r="BQ1576" s="13">
        <v>10.788956001051799</v>
      </c>
      <c r="BT1576" s="298" t="str">
        <f>+VLOOKUP(G1576,Liste!$A$7:$H$50,8,FALSE)</f>
        <v>Feuillus</v>
      </c>
      <c r="BU1576" s="298">
        <f t="shared" si="478"/>
        <v>1</v>
      </c>
      <c r="BV1576" s="300">
        <f t="shared" si="479"/>
        <v>0</v>
      </c>
      <c r="BW1576" s="321">
        <v>0</v>
      </c>
      <c r="BX1576" s="298">
        <f t="shared" si="480"/>
        <v>0.25</v>
      </c>
      <c r="BY1576">
        <f t="shared" si="481"/>
        <v>0</v>
      </c>
      <c r="BZ1576" s="304">
        <f t="shared" si="482"/>
        <v>0</v>
      </c>
      <c r="CB1576" s="299">
        <v>0.6</v>
      </c>
      <c r="CC1576" s="299">
        <v>0.4</v>
      </c>
      <c r="CD1576">
        <f t="shared" si="483"/>
        <v>0</v>
      </c>
      <c r="CE1576">
        <f t="shared" si="484"/>
        <v>0</v>
      </c>
      <c r="CF1576">
        <f t="shared" si="485"/>
        <v>0</v>
      </c>
      <c r="CG1576">
        <f t="shared" si="486"/>
        <v>0</v>
      </c>
      <c r="CH1576">
        <f t="shared" si="487"/>
        <v>0</v>
      </c>
      <c r="CI1576">
        <f t="shared" si="488"/>
        <v>0</v>
      </c>
      <c r="CJ1576">
        <f t="shared" si="489"/>
        <v>0</v>
      </c>
      <c r="CK1576">
        <f t="shared" si="490"/>
        <v>0</v>
      </c>
      <c r="CL1576">
        <f t="shared" si="491"/>
        <v>0</v>
      </c>
      <c r="CM1576">
        <f t="shared" si="493"/>
        <v>0</v>
      </c>
      <c r="CN1576">
        <f t="shared" si="492"/>
        <v>0</v>
      </c>
      <c r="CO1576">
        <f t="shared" si="476"/>
        <v>0</v>
      </c>
    </row>
    <row r="1577" spans="1:93" x14ac:dyDescent="0.25">
      <c r="A1577" s="4">
        <v>2021</v>
      </c>
      <c r="B1577" s="318">
        <v>44361</v>
      </c>
      <c r="C1577" s="4" t="s">
        <v>66</v>
      </c>
      <c r="D1577" s="4" t="s">
        <v>1525</v>
      </c>
      <c r="E1577" s="4" t="s">
        <v>87</v>
      </c>
      <c r="F1577" s="4" t="s">
        <v>90</v>
      </c>
      <c r="G1577" s="5" t="s">
        <v>17</v>
      </c>
      <c r="H1577" s="5" t="s">
        <v>20</v>
      </c>
      <c r="I1577" s="5" t="s">
        <v>18</v>
      </c>
      <c r="J1577" s="5" t="s">
        <v>10</v>
      </c>
      <c r="K1577" s="5">
        <v>18.18</v>
      </c>
      <c r="L1577" s="5" t="s">
        <v>193</v>
      </c>
      <c r="M1577" s="5">
        <v>1666</v>
      </c>
      <c r="N1577" s="5" t="s">
        <v>170</v>
      </c>
      <c r="O1577" s="6" t="s">
        <v>81</v>
      </c>
      <c r="P1577" s="6" t="s">
        <v>1505</v>
      </c>
      <c r="S1577" s="6">
        <v>42</v>
      </c>
      <c r="T1577" s="6">
        <v>16.02</v>
      </c>
      <c r="U1577" s="6">
        <v>1451</v>
      </c>
      <c r="V1577" s="6">
        <v>23.57</v>
      </c>
      <c r="W1577" s="6">
        <v>44</v>
      </c>
      <c r="X1577" s="6">
        <v>444</v>
      </c>
      <c r="Y1577" s="6">
        <v>742</v>
      </c>
      <c r="Z1577" s="6">
        <v>211</v>
      </c>
      <c r="AA1577" s="6">
        <v>10</v>
      </c>
      <c r="AB1577" s="6">
        <v>0</v>
      </c>
      <c r="AC1577" s="7">
        <v>144</v>
      </c>
      <c r="AD1577" s="7" t="s">
        <v>53</v>
      </c>
      <c r="AE1577" s="7">
        <v>33.47</v>
      </c>
      <c r="AF1577" s="7">
        <v>89</v>
      </c>
      <c r="AG1577" s="7">
        <v>24.25</v>
      </c>
      <c r="AH1577" s="7">
        <v>58.89</v>
      </c>
      <c r="AI1577" s="7">
        <v>58.89</v>
      </c>
      <c r="AJ1577" s="9">
        <v>404.785804033364</v>
      </c>
      <c r="AK1577" s="9">
        <v>450.20426217054199</v>
      </c>
      <c r="AL1577" s="9">
        <v>479.45913476669301</v>
      </c>
      <c r="AM1577" s="9">
        <v>77.831303739951494</v>
      </c>
      <c r="AN1577" s="9">
        <v>0.54049516486077398</v>
      </c>
      <c r="AO1577" s="9">
        <v>0.37865234550210403</v>
      </c>
      <c r="AP1577" s="9">
        <v>1239.99902333659</v>
      </c>
      <c r="AQ1577" s="9">
        <v>8.6111043287263502</v>
      </c>
      <c r="AR1577" s="9">
        <v>9.4624690503913698</v>
      </c>
      <c r="AS1577" s="8">
        <v>14</v>
      </c>
      <c r="AT1577" s="8">
        <v>3.4899999999999984</v>
      </c>
      <c r="AU1577" s="10">
        <v>56.338302190084022</v>
      </c>
      <c r="AV1577" s="10">
        <v>58.229659741188016</v>
      </c>
      <c r="AW1577" s="8">
        <v>0.93</v>
      </c>
      <c r="AX1577" s="10">
        <v>4.1592614100848584</v>
      </c>
      <c r="BF1577" s="12">
        <v>0.55000000000000004</v>
      </c>
      <c r="BG1577" s="13">
        <v>459.28189617859402</v>
      </c>
      <c r="BH1577" s="96" t="str">
        <f>+VLOOKUP(G1577,Liste!$A$7:$G$50,3,FALSE)</f>
        <v>Chêne sessile</v>
      </c>
      <c r="BI1577" s="96" t="str">
        <f>+VLOOKUP(H1577,Liste!$B$7:$G$50,5,FALSE)</f>
        <v>Guide chênaie atlantique</v>
      </c>
      <c r="BJ1577" s="135">
        <f t="shared" si="475"/>
        <v>144</v>
      </c>
      <c r="BK1577" s="135" t="str">
        <f t="shared" si="477"/>
        <v>Chêne sessile_F2_Classique_Guide chênaie atlantique_144_</v>
      </c>
      <c r="BM1577" s="13">
        <v>110.61491469844</v>
      </c>
      <c r="BN1577" s="13">
        <v>569.896810877034</v>
      </c>
      <c r="BO1577" s="13">
        <v>79.708294446508944</v>
      </c>
      <c r="BP1577" s="13">
        <v>401.52059066910999</v>
      </c>
      <c r="BQ1577" s="13">
        <v>10.788956001051799</v>
      </c>
      <c r="BT1577" s="298" t="str">
        <f>+VLOOKUP(G1577,Liste!$A$7:$H$50,8,FALSE)</f>
        <v>Feuillus</v>
      </c>
      <c r="BU1577" s="298">
        <f t="shared" si="478"/>
        <v>1</v>
      </c>
      <c r="BV1577" s="300">
        <f t="shared" si="479"/>
        <v>0</v>
      </c>
      <c r="BW1577" s="321">
        <v>0</v>
      </c>
      <c r="BX1577" s="298">
        <f t="shared" si="480"/>
        <v>0.25</v>
      </c>
      <c r="BY1577">
        <f t="shared" si="481"/>
        <v>0</v>
      </c>
      <c r="BZ1577" s="304">
        <f t="shared" si="482"/>
        <v>0</v>
      </c>
      <c r="CB1577" s="299">
        <v>0.6</v>
      </c>
      <c r="CC1577" s="299">
        <v>0.4</v>
      </c>
      <c r="CD1577">
        <f t="shared" si="483"/>
        <v>0</v>
      </c>
      <c r="CE1577">
        <f t="shared" si="484"/>
        <v>0</v>
      </c>
      <c r="CF1577">
        <f t="shared" si="485"/>
        <v>0</v>
      </c>
      <c r="CG1577">
        <f t="shared" si="486"/>
        <v>0</v>
      </c>
      <c r="CH1577">
        <f t="shared" si="487"/>
        <v>0</v>
      </c>
      <c r="CI1577">
        <f t="shared" si="488"/>
        <v>0</v>
      </c>
      <c r="CJ1577">
        <f t="shared" si="489"/>
        <v>0</v>
      </c>
      <c r="CK1577">
        <f t="shared" si="490"/>
        <v>0</v>
      </c>
      <c r="CL1577">
        <f t="shared" si="491"/>
        <v>0</v>
      </c>
      <c r="CM1577">
        <f t="shared" si="493"/>
        <v>0</v>
      </c>
      <c r="CN1577">
        <f t="shared" si="492"/>
        <v>0</v>
      </c>
      <c r="CO1577">
        <f t="shared" si="476"/>
        <v>0</v>
      </c>
    </row>
    <row r="1578" spans="1:93" x14ac:dyDescent="0.25">
      <c r="A1578" s="4">
        <v>2021</v>
      </c>
      <c r="B1578" s="318">
        <v>44361</v>
      </c>
      <c r="C1578" s="4" t="s">
        <v>66</v>
      </c>
      <c r="D1578" s="4" t="s">
        <v>1525</v>
      </c>
      <c r="E1578" s="4" t="s">
        <v>87</v>
      </c>
      <c r="F1578" s="4" t="s">
        <v>90</v>
      </c>
      <c r="G1578" s="5" t="s">
        <v>17</v>
      </c>
      <c r="H1578" s="5" t="s">
        <v>20</v>
      </c>
      <c r="I1578" s="5" t="s">
        <v>18</v>
      </c>
      <c r="J1578" s="5" t="s">
        <v>10</v>
      </c>
      <c r="K1578" s="5">
        <v>18.18</v>
      </c>
      <c r="L1578" s="5" t="s">
        <v>193</v>
      </c>
      <c r="M1578" s="5">
        <v>1666</v>
      </c>
      <c r="N1578" s="5" t="s">
        <v>170</v>
      </c>
      <c r="O1578" s="6" t="s">
        <v>81</v>
      </c>
      <c r="P1578" s="6" t="s">
        <v>1505</v>
      </c>
      <c r="S1578" s="6">
        <v>42</v>
      </c>
      <c r="T1578" s="6">
        <v>16.02</v>
      </c>
      <c r="U1578" s="6">
        <v>1451</v>
      </c>
      <c r="V1578" s="6">
        <v>23.57</v>
      </c>
      <c r="W1578" s="6">
        <v>44</v>
      </c>
      <c r="X1578" s="6">
        <v>444</v>
      </c>
      <c r="Y1578" s="6">
        <v>742</v>
      </c>
      <c r="Z1578" s="6">
        <v>211</v>
      </c>
      <c r="AA1578" s="6">
        <v>10</v>
      </c>
      <c r="AB1578" s="6">
        <v>0</v>
      </c>
      <c r="AC1578" s="7">
        <v>147</v>
      </c>
      <c r="AD1578" s="7" t="s">
        <v>52</v>
      </c>
      <c r="AE1578" s="7">
        <v>33.869999999999997</v>
      </c>
      <c r="AF1578" s="7">
        <v>89</v>
      </c>
      <c r="AG1578" s="7">
        <v>25.38</v>
      </c>
      <c r="AH1578" s="7">
        <v>60.26</v>
      </c>
      <c r="AI1578" s="7">
        <v>60.26</v>
      </c>
      <c r="AJ1578" s="9">
        <v>428.985126312413</v>
      </c>
      <c r="AK1578" s="9">
        <v>477.35141936078998</v>
      </c>
      <c r="AL1578" s="9">
        <v>507.846541917867</v>
      </c>
      <c r="AM1578" s="9">
        <v>78.967260776457806</v>
      </c>
      <c r="AN1578" s="9">
        <v>0.53719225017998495</v>
      </c>
      <c r="AO1578" s="9">
        <v>0.38068503710678703</v>
      </c>
      <c r="AP1578" s="9">
        <v>1268.38643048777</v>
      </c>
      <c r="AQ1578" s="9">
        <v>8.6284791189644103</v>
      </c>
      <c r="AR1578" s="9">
        <v>9.6697821156698591</v>
      </c>
      <c r="AS1578" s="8" t="s">
        <v>169</v>
      </c>
      <c r="AT1578" s="8" t="s">
        <v>169</v>
      </c>
      <c r="AU1578" s="10" t="s">
        <v>169</v>
      </c>
      <c r="AV1578" s="10">
        <v>0</v>
      </c>
      <c r="AX1578" s="10" t="s">
        <v>169</v>
      </c>
      <c r="BF1578" s="12">
        <v>0.55000000000000004</v>
      </c>
      <c r="BG1578" s="13">
        <v>486.474666612156</v>
      </c>
      <c r="BH1578" s="96" t="str">
        <f>+VLOOKUP(G1578,Liste!$A$7:$G$50,3,FALSE)</f>
        <v>Chêne sessile</v>
      </c>
      <c r="BI1578" s="96" t="str">
        <f>+VLOOKUP(H1578,Liste!$B$7:$G$50,5,FALSE)</f>
        <v>Guide chênaie atlantique</v>
      </c>
      <c r="BJ1578" s="135">
        <f t="shared" si="475"/>
        <v>147</v>
      </c>
      <c r="BK1578" s="135" t="str">
        <f t="shared" si="477"/>
        <v>Chêne sessile_F2_Classique_Guide chênaie atlantique_147_</v>
      </c>
      <c r="BM1578" s="13">
        <v>116.38226738919499</v>
      </c>
      <c r="BN1578" s="13">
        <v>602.85693400135096</v>
      </c>
      <c r="BO1578" s="13" t="s">
        <v>169</v>
      </c>
      <c r="BP1578" s="13">
        <v>401.52059066910999</v>
      </c>
      <c r="BQ1578" s="13">
        <v>11.020695735690699</v>
      </c>
      <c r="BT1578" s="298" t="str">
        <f>+VLOOKUP(G1578,Liste!$A$7:$H$50,8,FALSE)</f>
        <v>Feuillus</v>
      </c>
      <c r="BU1578" s="298">
        <f t="shared" si="478"/>
        <v>1</v>
      </c>
      <c r="BV1578" s="300">
        <f t="shared" si="479"/>
        <v>0</v>
      </c>
      <c r="BW1578" s="321">
        <v>0</v>
      </c>
      <c r="BX1578" s="298">
        <f t="shared" si="480"/>
        <v>0.25</v>
      </c>
      <c r="BY1578">
        <f t="shared" si="481"/>
        <v>0</v>
      </c>
      <c r="BZ1578" s="304">
        <f t="shared" si="482"/>
        <v>0</v>
      </c>
      <c r="CB1578" s="299">
        <v>0.6</v>
      </c>
      <c r="CC1578" s="299">
        <v>0.4</v>
      </c>
      <c r="CD1578">
        <f t="shared" si="483"/>
        <v>0</v>
      </c>
      <c r="CE1578">
        <f t="shared" si="484"/>
        <v>0</v>
      </c>
      <c r="CF1578">
        <f t="shared" si="485"/>
        <v>0</v>
      </c>
      <c r="CG1578">
        <f t="shared" si="486"/>
        <v>0</v>
      </c>
      <c r="CH1578">
        <f t="shared" si="487"/>
        <v>0</v>
      </c>
      <c r="CI1578">
        <f t="shared" si="488"/>
        <v>0</v>
      </c>
      <c r="CJ1578">
        <f t="shared" si="489"/>
        <v>0</v>
      </c>
      <c r="CK1578">
        <f t="shared" si="490"/>
        <v>0</v>
      </c>
      <c r="CL1578">
        <f t="shared" si="491"/>
        <v>0</v>
      </c>
      <c r="CM1578">
        <f t="shared" si="493"/>
        <v>0</v>
      </c>
      <c r="CN1578">
        <f t="shared" si="492"/>
        <v>0</v>
      </c>
      <c r="CO1578">
        <f t="shared" si="476"/>
        <v>0</v>
      </c>
    </row>
    <row r="1579" spans="1:93" x14ac:dyDescent="0.25">
      <c r="A1579" s="4">
        <v>2021</v>
      </c>
      <c r="B1579" s="318">
        <v>44361</v>
      </c>
      <c r="C1579" s="4" t="s">
        <v>66</v>
      </c>
      <c r="D1579" s="4" t="s">
        <v>1525</v>
      </c>
      <c r="E1579" s="4" t="s">
        <v>87</v>
      </c>
      <c r="F1579" s="4" t="s">
        <v>90</v>
      </c>
      <c r="G1579" s="5" t="s">
        <v>17</v>
      </c>
      <c r="H1579" s="5" t="s">
        <v>20</v>
      </c>
      <c r="I1579" s="5" t="s">
        <v>18</v>
      </c>
      <c r="J1579" s="5" t="s">
        <v>10</v>
      </c>
      <c r="K1579" s="5">
        <v>18.18</v>
      </c>
      <c r="L1579" s="5" t="s">
        <v>193</v>
      </c>
      <c r="M1579" s="5">
        <v>1666</v>
      </c>
      <c r="N1579" s="5" t="s">
        <v>170</v>
      </c>
      <c r="O1579" s="6" t="s">
        <v>81</v>
      </c>
      <c r="P1579" s="6" t="s">
        <v>1505</v>
      </c>
      <c r="S1579" s="6">
        <v>42</v>
      </c>
      <c r="T1579" s="6">
        <v>16.02</v>
      </c>
      <c r="U1579" s="6">
        <v>1451</v>
      </c>
      <c r="V1579" s="6">
        <v>23.57</v>
      </c>
      <c r="W1579" s="6">
        <v>44</v>
      </c>
      <c r="X1579" s="6">
        <v>444</v>
      </c>
      <c r="Y1579" s="6">
        <v>742</v>
      </c>
      <c r="Z1579" s="6">
        <v>211</v>
      </c>
      <c r="AA1579" s="6">
        <v>10</v>
      </c>
      <c r="AB1579" s="6">
        <v>0</v>
      </c>
      <c r="AC1579" s="7">
        <v>150</v>
      </c>
      <c r="AD1579" s="7" t="s">
        <v>52</v>
      </c>
      <c r="AE1579" s="7">
        <v>34.26</v>
      </c>
      <c r="AF1579" s="7">
        <v>89</v>
      </c>
      <c r="AG1579" s="7">
        <v>26.52</v>
      </c>
      <c r="AH1579" s="7">
        <v>61.6</v>
      </c>
      <c r="AI1579" s="7">
        <v>61.6</v>
      </c>
      <c r="AJ1579" s="9">
        <v>453.76299160435599</v>
      </c>
      <c r="AK1579" s="9">
        <v>505.12112144941801</v>
      </c>
      <c r="AL1579" s="9">
        <v>536.85588826487594</v>
      </c>
      <c r="AM1579" s="9">
        <v>80.109315887778195</v>
      </c>
      <c r="AN1579" s="9">
        <v>0.53406210591852099</v>
      </c>
      <c r="AO1579" s="9">
        <v>0.38240348370680999</v>
      </c>
      <c r="AP1579" s="9">
        <v>1297.39577683478</v>
      </c>
      <c r="AQ1579" s="9">
        <v>8.6493051788985191</v>
      </c>
      <c r="AR1579" s="9">
        <v>9.7885469153665703</v>
      </c>
      <c r="AS1579" s="8" t="s">
        <v>169</v>
      </c>
      <c r="AT1579" s="8" t="s">
        <v>169</v>
      </c>
      <c r="AU1579" s="10" t="s">
        <v>169</v>
      </c>
      <c r="AV1579" s="10">
        <v>0</v>
      </c>
      <c r="AX1579" s="10" t="s">
        <v>169</v>
      </c>
      <c r="BF1579" s="12">
        <v>0.55000000000000004</v>
      </c>
      <c r="BG1579" s="13">
        <v>514.26320296706297</v>
      </c>
      <c r="BH1579" s="96" t="str">
        <f>+VLOOKUP(G1579,Liste!$A$7:$G$50,3,FALSE)</f>
        <v>Chêne sessile</v>
      </c>
      <c r="BI1579" s="96" t="str">
        <f>+VLOOKUP(H1579,Liste!$B$7:$G$50,5,FALSE)</f>
        <v>Guide chênaie atlantique</v>
      </c>
      <c r="BJ1579" s="135">
        <f t="shared" si="475"/>
        <v>150</v>
      </c>
      <c r="BK1579" s="135" t="str">
        <f t="shared" si="477"/>
        <v>Chêne sessile_F2_Classique_Guide chênaie atlantique_150_</v>
      </c>
      <c r="BM1579" s="13">
        <v>122.237331225687</v>
      </c>
      <c r="BN1579" s="13">
        <v>636.500534192749</v>
      </c>
      <c r="BO1579" s="13" t="s">
        <v>169</v>
      </c>
      <c r="BP1579" s="13">
        <v>401.52059066910999</v>
      </c>
      <c r="BQ1579" s="13">
        <v>11.150633602538299</v>
      </c>
      <c r="BT1579" s="298" t="str">
        <f>+VLOOKUP(G1579,Liste!$A$7:$H$50,8,FALSE)</f>
        <v>Feuillus</v>
      </c>
      <c r="BU1579" s="298">
        <f t="shared" si="478"/>
        <v>1</v>
      </c>
      <c r="BV1579" s="300">
        <f t="shared" si="479"/>
        <v>0</v>
      </c>
      <c r="BW1579" s="321">
        <v>0</v>
      </c>
      <c r="BX1579" s="298">
        <f t="shared" si="480"/>
        <v>0.25</v>
      </c>
      <c r="BY1579">
        <f t="shared" si="481"/>
        <v>0</v>
      </c>
      <c r="BZ1579" s="304">
        <f t="shared" si="482"/>
        <v>0</v>
      </c>
      <c r="CB1579" s="299">
        <v>0.6</v>
      </c>
      <c r="CC1579" s="299">
        <v>0.4</v>
      </c>
      <c r="CD1579">
        <f t="shared" si="483"/>
        <v>0</v>
      </c>
      <c r="CE1579">
        <f t="shared" si="484"/>
        <v>0</v>
      </c>
      <c r="CF1579">
        <f t="shared" si="485"/>
        <v>0</v>
      </c>
      <c r="CG1579">
        <f t="shared" si="486"/>
        <v>0</v>
      </c>
      <c r="CH1579">
        <f t="shared" si="487"/>
        <v>0</v>
      </c>
      <c r="CI1579">
        <f t="shared" si="488"/>
        <v>0</v>
      </c>
      <c r="CJ1579">
        <f t="shared" si="489"/>
        <v>0</v>
      </c>
      <c r="CK1579">
        <f t="shared" si="490"/>
        <v>0</v>
      </c>
      <c r="CL1579">
        <f t="shared" si="491"/>
        <v>0</v>
      </c>
      <c r="CM1579">
        <f t="shared" si="493"/>
        <v>0</v>
      </c>
      <c r="CN1579">
        <f t="shared" si="492"/>
        <v>0</v>
      </c>
      <c r="CO1579">
        <f t="shared" si="476"/>
        <v>0</v>
      </c>
    </row>
    <row r="1580" spans="1:93" x14ac:dyDescent="0.25">
      <c r="A1580" s="4">
        <v>2021</v>
      </c>
      <c r="B1580" s="318">
        <v>44361</v>
      </c>
      <c r="C1580" s="4" t="s">
        <v>66</v>
      </c>
      <c r="D1580" s="4" t="s">
        <v>1525</v>
      </c>
      <c r="E1580" s="4" t="s">
        <v>87</v>
      </c>
      <c r="F1580" s="4" t="s">
        <v>90</v>
      </c>
      <c r="G1580" s="5" t="s">
        <v>17</v>
      </c>
      <c r="H1580" s="5" t="s">
        <v>20</v>
      </c>
      <c r="I1580" s="5" t="s">
        <v>18</v>
      </c>
      <c r="J1580" s="5" t="s">
        <v>10</v>
      </c>
      <c r="K1580" s="5">
        <v>18.18</v>
      </c>
      <c r="L1580" s="5" t="s">
        <v>193</v>
      </c>
      <c r="M1580" s="5">
        <v>1666</v>
      </c>
      <c r="N1580" s="5" t="s">
        <v>170</v>
      </c>
      <c r="O1580" s="6" t="s">
        <v>81</v>
      </c>
      <c r="P1580" s="6" t="s">
        <v>1505</v>
      </c>
      <c r="S1580" s="6">
        <v>42</v>
      </c>
      <c r="T1580" s="6">
        <v>16.02</v>
      </c>
      <c r="U1580" s="6">
        <v>1451</v>
      </c>
      <c r="V1580" s="6">
        <v>23.57</v>
      </c>
      <c r="W1580" s="6">
        <v>44</v>
      </c>
      <c r="X1580" s="6">
        <v>444</v>
      </c>
      <c r="Y1580" s="6">
        <v>742</v>
      </c>
      <c r="Z1580" s="6">
        <v>211</v>
      </c>
      <c r="AA1580" s="6">
        <v>10</v>
      </c>
      <c r="AB1580" s="6">
        <v>0</v>
      </c>
      <c r="AC1580" s="7">
        <v>154</v>
      </c>
      <c r="AD1580" s="7" t="s">
        <v>52</v>
      </c>
      <c r="AE1580" s="7">
        <v>34.78</v>
      </c>
      <c r="AF1580" s="7">
        <v>89</v>
      </c>
      <c r="AG1580" s="7">
        <v>28.05</v>
      </c>
      <c r="AH1580" s="7">
        <v>63.35</v>
      </c>
      <c r="AI1580" s="7">
        <v>63.35</v>
      </c>
      <c r="AJ1580" s="9">
        <v>487.16714496664298</v>
      </c>
      <c r="AK1580" s="9">
        <v>542.61733326568105</v>
      </c>
      <c r="AL1580" s="9">
        <v>576.01007592634198</v>
      </c>
      <c r="AM1580" s="9">
        <v>81.638929822605405</v>
      </c>
      <c r="AN1580" s="9">
        <v>0.53012292092600899</v>
      </c>
      <c r="AO1580" s="9">
        <v>0.37027459754092201</v>
      </c>
      <c r="AP1580" s="9">
        <v>1336.5499644962399</v>
      </c>
      <c r="AQ1580" s="9">
        <v>8.6788958733522303</v>
      </c>
      <c r="AR1580" s="9">
        <v>9.6255911415087194</v>
      </c>
      <c r="AS1580" s="8" t="s">
        <v>169</v>
      </c>
      <c r="AT1580" s="8" t="s">
        <v>169</v>
      </c>
      <c r="AU1580" s="10" t="s">
        <v>169</v>
      </c>
      <c r="AV1580" s="10">
        <v>0</v>
      </c>
      <c r="AX1580" s="10" t="s">
        <v>169</v>
      </c>
      <c r="BF1580" s="12">
        <v>0.55000000000000004</v>
      </c>
      <c r="BG1580" s="13">
        <v>551.76965189777502</v>
      </c>
      <c r="BH1580" s="96" t="str">
        <f>+VLOOKUP(G1580,Liste!$A$7:$G$50,3,FALSE)</f>
        <v>Chêne sessile</v>
      </c>
      <c r="BI1580" s="96" t="str">
        <f>+VLOOKUP(H1580,Liste!$B$7:$G$50,5,FALSE)</f>
        <v>Guide chênaie atlantique</v>
      </c>
      <c r="BJ1580" s="135">
        <f t="shared" si="475"/>
        <v>154</v>
      </c>
      <c r="BK1580" s="135" t="str">
        <f t="shared" si="477"/>
        <v>Chêne sessile_F2_Classique_Guide chênaie atlantique_154_</v>
      </c>
      <c r="BM1580" s="13">
        <v>130.082117085123</v>
      </c>
      <c r="BN1580" s="13">
        <v>681.85176898289797</v>
      </c>
      <c r="BO1580" s="13" t="s">
        <v>169</v>
      </c>
      <c r="BP1580" s="13">
        <v>401.52059066910999</v>
      </c>
      <c r="BQ1580" s="13">
        <v>10.9598279009374</v>
      </c>
      <c r="BT1580" s="298" t="str">
        <f>+VLOOKUP(G1580,Liste!$A$7:$H$50,8,FALSE)</f>
        <v>Feuillus</v>
      </c>
      <c r="BU1580" s="298">
        <f t="shared" si="478"/>
        <v>1</v>
      </c>
      <c r="BV1580" s="300">
        <f t="shared" si="479"/>
        <v>0</v>
      </c>
      <c r="BW1580" s="321">
        <v>0</v>
      </c>
      <c r="BX1580" s="298">
        <f t="shared" si="480"/>
        <v>0.25</v>
      </c>
      <c r="BY1580">
        <f t="shared" si="481"/>
        <v>0</v>
      </c>
      <c r="BZ1580" s="304">
        <f t="shared" si="482"/>
        <v>0</v>
      </c>
      <c r="CB1580" s="299">
        <v>0.6</v>
      </c>
      <c r="CC1580" s="299">
        <v>0.4</v>
      </c>
      <c r="CD1580">
        <f t="shared" si="483"/>
        <v>0</v>
      </c>
      <c r="CE1580">
        <f t="shared" si="484"/>
        <v>0</v>
      </c>
      <c r="CF1580">
        <f t="shared" si="485"/>
        <v>0</v>
      </c>
      <c r="CG1580">
        <f t="shared" si="486"/>
        <v>0</v>
      </c>
      <c r="CH1580">
        <f t="shared" si="487"/>
        <v>0</v>
      </c>
      <c r="CI1580">
        <f t="shared" si="488"/>
        <v>0</v>
      </c>
      <c r="CJ1580">
        <f t="shared" si="489"/>
        <v>0</v>
      </c>
      <c r="CK1580">
        <f t="shared" si="490"/>
        <v>0</v>
      </c>
      <c r="CL1580">
        <f t="shared" si="491"/>
        <v>0</v>
      </c>
      <c r="CM1580">
        <f t="shared" si="493"/>
        <v>0</v>
      </c>
      <c r="CN1580">
        <f t="shared" si="492"/>
        <v>0</v>
      </c>
      <c r="CO1580">
        <f t="shared" si="476"/>
        <v>0</v>
      </c>
    </row>
    <row r="1581" spans="1:93" x14ac:dyDescent="0.25">
      <c r="A1581" s="4">
        <v>2021</v>
      </c>
      <c r="B1581" s="318">
        <v>44361</v>
      </c>
      <c r="C1581" s="4" t="s">
        <v>66</v>
      </c>
      <c r="D1581" s="4" t="s">
        <v>1525</v>
      </c>
      <c r="E1581" s="4" t="s">
        <v>87</v>
      </c>
      <c r="F1581" s="4" t="s">
        <v>90</v>
      </c>
      <c r="G1581" s="5" t="s">
        <v>17</v>
      </c>
      <c r="H1581" s="5" t="s">
        <v>20</v>
      </c>
      <c r="I1581" s="5" t="s">
        <v>18</v>
      </c>
      <c r="J1581" s="5" t="s">
        <v>10</v>
      </c>
      <c r="K1581" s="5">
        <v>18.18</v>
      </c>
      <c r="L1581" s="5" t="s">
        <v>193</v>
      </c>
      <c r="M1581" s="5">
        <v>1666</v>
      </c>
      <c r="N1581" s="5" t="s">
        <v>170</v>
      </c>
      <c r="O1581" s="6" t="s">
        <v>81</v>
      </c>
      <c r="P1581" s="6" t="s">
        <v>1505</v>
      </c>
      <c r="S1581" s="6">
        <v>42</v>
      </c>
      <c r="T1581" s="6">
        <v>16.02</v>
      </c>
      <c r="U1581" s="6">
        <v>1451</v>
      </c>
      <c r="V1581" s="6">
        <v>23.57</v>
      </c>
      <c r="W1581" s="6">
        <v>44</v>
      </c>
      <c r="X1581" s="6">
        <v>444</v>
      </c>
      <c r="Y1581" s="6">
        <v>742</v>
      </c>
      <c r="Z1581" s="6">
        <v>211</v>
      </c>
      <c r="AA1581" s="6">
        <v>10</v>
      </c>
      <c r="AB1581" s="6">
        <v>0</v>
      </c>
      <c r="AC1581" s="7">
        <v>154</v>
      </c>
      <c r="AD1581" s="7" t="s">
        <v>53</v>
      </c>
      <c r="AE1581" s="7">
        <v>34.78</v>
      </c>
      <c r="AF1581" s="7">
        <v>78</v>
      </c>
      <c r="AG1581" s="7">
        <v>24.86</v>
      </c>
      <c r="AH1581" s="7">
        <v>63.7</v>
      </c>
      <c r="AI1581" s="7">
        <v>63.7</v>
      </c>
      <c r="AJ1581" s="9">
        <v>431.80881582446301</v>
      </c>
      <c r="AK1581" s="9">
        <v>481.20941729396299</v>
      </c>
      <c r="AL1581" s="9">
        <v>510.79665873387398</v>
      </c>
      <c r="AM1581" s="9">
        <v>81.638929822605405</v>
      </c>
      <c r="AN1581" s="9">
        <v>0.53012292092600899</v>
      </c>
      <c r="AO1581" s="9">
        <v>0.37027459754092201</v>
      </c>
      <c r="AP1581" s="9">
        <v>1336.5499644962399</v>
      </c>
      <c r="AQ1581" s="9">
        <v>8.6788958733522303</v>
      </c>
      <c r="AR1581" s="9">
        <v>9.6255911415087194</v>
      </c>
      <c r="AS1581" s="8">
        <v>11</v>
      </c>
      <c r="AT1581" s="8">
        <v>3.1900000000000013</v>
      </c>
      <c r="AU1581" s="10">
        <v>60.765077797465004</v>
      </c>
      <c r="AV1581" s="10">
        <v>55.358329142179969</v>
      </c>
      <c r="AW1581" s="8">
        <v>0.92</v>
      </c>
      <c r="AX1581" s="10">
        <v>5.0325753765618151</v>
      </c>
      <c r="BF1581" s="12">
        <v>0.55000000000000004</v>
      </c>
      <c r="BG1581" s="13">
        <v>489.300632678824</v>
      </c>
      <c r="BH1581" s="96" t="str">
        <f>+VLOOKUP(G1581,Liste!$A$7:$G$50,3,FALSE)</f>
        <v>Chêne sessile</v>
      </c>
      <c r="BI1581" s="96" t="str">
        <f>+VLOOKUP(H1581,Liste!$B$7:$G$50,5,FALSE)</f>
        <v>Guide chênaie atlantique</v>
      </c>
      <c r="BJ1581" s="135">
        <f t="shared" si="475"/>
        <v>154</v>
      </c>
      <c r="BK1581" s="135" t="str">
        <f t="shared" si="477"/>
        <v>Chêne sessile_F2_Classique_Guide chênaie atlantique_154_</v>
      </c>
      <c r="BM1581" s="13">
        <v>116.979443872171</v>
      </c>
      <c r="BN1581" s="13">
        <v>606.28007655099395</v>
      </c>
      <c r="BO1581" s="13">
        <v>75.571692431904012</v>
      </c>
      <c r="BP1581" s="13">
        <v>401.52059066910999</v>
      </c>
      <c r="BQ1581" s="13">
        <v>10.9598279009374</v>
      </c>
      <c r="BT1581" s="298" t="str">
        <f>+VLOOKUP(G1581,Liste!$A$7:$H$50,8,FALSE)</f>
        <v>Feuillus</v>
      </c>
      <c r="BU1581" s="298">
        <f t="shared" si="478"/>
        <v>1</v>
      </c>
      <c r="BV1581" s="300">
        <f t="shared" si="479"/>
        <v>0</v>
      </c>
      <c r="BW1581" s="321">
        <v>0</v>
      </c>
      <c r="BX1581" s="298">
        <f t="shared" si="480"/>
        <v>0.25</v>
      </c>
      <c r="BY1581">
        <f t="shared" si="481"/>
        <v>0</v>
      </c>
      <c r="BZ1581" s="304">
        <f t="shared" si="482"/>
        <v>0</v>
      </c>
      <c r="CB1581" s="299">
        <v>0.6</v>
      </c>
      <c r="CC1581" s="299">
        <v>0.4</v>
      </c>
      <c r="CD1581">
        <f t="shared" si="483"/>
        <v>0</v>
      </c>
      <c r="CE1581">
        <f t="shared" si="484"/>
        <v>0</v>
      </c>
      <c r="CF1581">
        <f t="shared" si="485"/>
        <v>0</v>
      </c>
      <c r="CG1581">
        <f t="shared" si="486"/>
        <v>0</v>
      </c>
      <c r="CH1581">
        <f t="shared" si="487"/>
        <v>0</v>
      </c>
      <c r="CI1581">
        <f t="shared" si="488"/>
        <v>0</v>
      </c>
      <c r="CJ1581">
        <f t="shared" si="489"/>
        <v>0</v>
      </c>
      <c r="CK1581">
        <f t="shared" si="490"/>
        <v>0</v>
      </c>
      <c r="CL1581">
        <f t="shared" si="491"/>
        <v>0</v>
      </c>
      <c r="CM1581">
        <f t="shared" si="493"/>
        <v>0</v>
      </c>
      <c r="CN1581">
        <f t="shared" si="492"/>
        <v>0</v>
      </c>
      <c r="CO1581">
        <f t="shared" si="476"/>
        <v>0</v>
      </c>
    </row>
    <row r="1582" spans="1:93" x14ac:dyDescent="0.25">
      <c r="A1582" s="4">
        <v>2021</v>
      </c>
      <c r="B1582" s="318">
        <v>44361</v>
      </c>
      <c r="C1582" s="4" t="s">
        <v>66</v>
      </c>
      <c r="D1582" s="4" t="s">
        <v>1525</v>
      </c>
      <c r="E1582" s="4" t="s">
        <v>87</v>
      </c>
      <c r="F1582" s="4" t="s">
        <v>90</v>
      </c>
      <c r="G1582" s="5" t="s">
        <v>17</v>
      </c>
      <c r="H1582" s="5" t="s">
        <v>20</v>
      </c>
      <c r="I1582" s="5" t="s">
        <v>18</v>
      </c>
      <c r="J1582" s="5" t="s">
        <v>10</v>
      </c>
      <c r="K1582" s="5">
        <v>18.18</v>
      </c>
      <c r="L1582" s="5" t="s">
        <v>193</v>
      </c>
      <c r="M1582" s="5">
        <v>1666</v>
      </c>
      <c r="N1582" s="5" t="s">
        <v>170</v>
      </c>
      <c r="O1582" s="6" t="s">
        <v>81</v>
      </c>
      <c r="P1582" s="6" t="s">
        <v>1505</v>
      </c>
      <c r="S1582" s="6">
        <v>42</v>
      </c>
      <c r="T1582" s="6">
        <v>16.02</v>
      </c>
      <c r="U1582" s="6">
        <v>1451</v>
      </c>
      <c r="V1582" s="6">
        <v>23.57</v>
      </c>
      <c r="W1582" s="6">
        <v>44</v>
      </c>
      <c r="X1582" s="6">
        <v>444</v>
      </c>
      <c r="Y1582" s="6">
        <v>742</v>
      </c>
      <c r="Z1582" s="6">
        <v>211</v>
      </c>
      <c r="AA1582" s="6">
        <v>10</v>
      </c>
      <c r="AB1582" s="6">
        <v>0</v>
      </c>
      <c r="AC1582" s="7">
        <v>157</v>
      </c>
      <c r="AD1582" s="7" t="s">
        <v>52</v>
      </c>
      <c r="AE1582" s="7">
        <v>35.17</v>
      </c>
      <c r="AF1582" s="7">
        <v>78</v>
      </c>
      <c r="AG1582" s="7">
        <v>25.97</v>
      </c>
      <c r="AH1582" s="7">
        <v>65.11</v>
      </c>
      <c r="AI1582" s="7">
        <v>65.11</v>
      </c>
      <c r="AJ1582" s="9">
        <v>456.46466954933101</v>
      </c>
      <c r="AK1582" s="9">
        <v>508.88805711406297</v>
      </c>
      <c r="AL1582" s="9">
        <v>539.67343215840106</v>
      </c>
      <c r="AM1582" s="9">
        <v>82.749753615228201</v>
      </c>
      <c r="AN1582" s="9">
        <v>0.52706849436451098</v>
      </c>
      <c r="AO1582" s="9">
        <v>0.37269873682622801</v>
      </c>
      <c r="AP1582" s="9">
        <v>1365.4267379207699</v>
      </c>
      <c r="AQ1582" s="9">
        <v>8.6969855918520391</v>
      </c>
      <c r="AR1582" s="9">
        <v>9.8066350403498692</v>
      </c>
      <c r="AS1582" s="8" t="s">
        <v>169</v>
      </c>
      <c r="AT1582" s="8" t="s">
        <v>169</v>
      </c>
      <c r="AU1582" s="10" t="s">
        <v>169</v>
      </c>
      <c r="AV1582" s="10">
        <v>0</v>
      </c>
      <c r="AX1582" s="10" t="s">
        <v>169</v>
      </c>
      <c r="BF1582" s="12">
        <v>0.55000000000000004</v>
      </c>
      <c r="BG1582" s="13">
        <v>516.96217522173504</v>
      </c>
      <c r="BH1582" s="96" t="str">
        <f>+VLOOKUP(G1582,Liste!$A$7:$G$50,3,FALSE)</f>
        <v>Chêne sessile</v>
      </c>
      <c r="BI1582" s="96" t="str">
        <f>+VLOOKUP(H1582,Liste!$B$7:$G$50,5,FALSE)</f>
        <v>Guide chênaie atlantique</v>
      </c>
      <c r="BJ1582" s="135">
        <f t="shared" si="475"/>
        <v>157</v>
      </c>
      <c r="BK1582" s="135" t="str">
        <f t="shared" si="477"/>
        <v>Chêne sessile_F2_Classique_Guide chênaie atlantique_157_</v>
      </c>
      <c r="BM1582" s="13">
        <v>122.804014142413</v>
      </c>
      <c r="BN1582" s="13">
        <v>639.76618936414798</v>
      </c>
      <c r="BO1582" s="13" t="s">
        <v>169</v>
      </c>
      <c r="BP1582" s="13">
        <v>401.52059066910999</v>
      </c>
      <c r="BQ1582" s="13">
        <v>11.1615694333157</v>
      </c>
      <c r="BT1582" s="298" t="str">
        <f>+VLOOKUP(G1582,Liste!$A$7:$H$50,8,FALSE)</f>
        <v>Feuillus</v>
      </c>
      <c r="BU1582" s="298">
        <f t="shared" si="478"/>
        <v>1</v>
      </c>
      <c r="BV1582" s="300">
        <f t="shared" si="479"/>
        <v>0</v>
      </c>
      <c r="BW1582" s="321">
        <v>0</v>
      </c>
      <c r="BX1582" s="298">
        <f t="shared" si="480"/>
        <v>0.25</v>
      </c>
      <c r="BY1582">
        <f t="shared" si="481"/>
        <v>0</v>
      </c>
      <c r="BZ1582" s="304">
        <f t="shared" si="482"/>
        <v>0</v>
      </c>
      <c r="CB1582" s="299">
        <v>0.6</v>
      </c>
      <c r="CC1582" s="299">
        <v>0.4</v>
      </c>
      <c r="CD1582">
        <f t="shared" si="483"/>
        <v>0</v>
      </c>
      <c r="CE1582">
        <f t="shared" si="484"/>
        <v>0</v>
      </c>
      <c r="CF1582">
        <f t="shared" si="485"/>
        <v>0</v>
      </c>
      <c r="CG1582">
        <f t="shared" si="486"/>
        <v>0</v>
      </c>
      <c r="CH1582">
        <f t="shared" si="487"/>
        <v>0</v>
      </c>
      <c r="CI1582">
        <f t="shared" si="488"/>
        <v>0</v>
      </c>
      <c r="CJ1582">
        <f t="shared" si="489"/>
        <v>0</v>
      </c>
      <c r="CK1582">
        <f t="shared" si="490"/>
        <v>0</v>
      </c>
      <c r="CL1582">
        <f t="shared" si="491"/>
        <v>0</v>
      </c>
      <c r="CM1582">
        <f t="shared" si="493"/>
        <v>0</v>
      </c>
      <c r="CN1582">
        <f t="shared" si="492"/>
        <v>0</v>
      </c>
      <c r="CO1582">
        <f t="shared" si="476"/>
        <v>0</v>
      </c>
    </row>
    <row r="1583" spans="1:93" x14ac:dyDescent="0.25">
      <c r="A1583" s="4">
        <v>2021</v>
      </c>
      <c r="B1583" s="318">
        <v>44361</v>
      </c>
      <c r="C1583" s="4" t="s">
        <v>66</v>
      </c>
      <c r="D1583" s="4" t="s">
        <v>1525</v>
      </c>
      <c r="E1583" s="4" t="s">
        <v>87</v>
      </c>
      <c r="F1583" s="4" t="s">
        <v>90</v>
      </c>
      <c r="G1583" s="5" t="s">
        <v>17</v>
      </c>
      <c r="H1583" s="5" t="s">
        <v>20</v>
      </c>
      <c r="I1583" s="5" t="s">
        <v>18</v>
      </c>
      <c r="J1583" s="5" t="s">
        <v>10</v>
      </c>
      <c r="K1583" s="5">
        <v>18.18</v>
      </c>
      <c r="L1583" s="5" t="s">
        <v>193</v>
      </c>
      <c r="M1583" s="5">
        <v>1666</v>
      </c>
      <c r="N1583" s="5" t="s">
        <v>170</v>
      </c>
      <c r="O1583" s="6" t="s">
        <v>81</v>
      </c>
      <c r="P1583" s="6" t="s">
        <v>1505</v>
      </c>
      <c r="S1583" s="6">
        <v>42</v>
      </c>
      <c r="T1583" s="6">
        <v>16.02</v>
      </c>
      <c r="U1583" s="6">
        <v>1451</v>
      </c>
      <c r="V1583" s="6">
        <v>23.57</v>
      </c>
      <c r="W1583" s="6">
        <v>44</v>
      </c>
      <c r="X1583" s="6">
        <v>444</v>
      </c>
      <c r="Y1583" s="6">
        <v>742</v>
      </c>
      <c r="Z1583" s="6">
        <v>211</v>
      </c>
      <c r="AA1583" s="6">
        <v>10</v>
      </c>
      <c r="AB1583" s="6">
        <v>0</v>
      </c>
      <c r="AC1583" s="7">
        <v>160</v>
      </c>
      <c r="AD1583" s="7" t="s">
        <v>52</v>
      </c>
      <c r="AE1583" s="7">
        <v>35.56</v>
      </c>
      <c r="AF1583" s="7">
        <v>78</v>
      </c>
      <c r="AG1583" s="7">
        <v>27.09</v>
      </c>
      <c r="AH1583" s="7">
        <v>66.5</v>
      </c>
      <c r="AI1583" s="7">
        <v>66.5</v>
      </c>
      <c r="AJ1583" s="9">
        <v>481.60376413608799</v>
      </c>
      <c r="AK1583" s="9">
        <v>537.10692572969901</v>
      </c>
      <c r="AL1583" s="9">
        <v>569.09333727945</v>
      </c>
      <c r="AM1583" s="9">
        <v>83.867849825706898</v>
      </c>
      <c r="AN1583" s="9">
        <v>0.52417406141066802</v>
      </c>
      <c r="AO1583" s="9">
        <v>0.37369357908135797</v>
      </c>
      <c r="AP1583" s="9">
        <v>1394.84664304182</v>
      </c>
      <c r="AQ1583" s="9">
        <v>8.7177915190113708</v>
      </c>
      <c r="AR1583" s="9">
        <v>9.9617344363793396</v>
      </c>
      <c r="AS1583" s="8" t="s">
        <v>169</v>
      </c>
      <c r="AT1583" s="8" t="s">
        <v>169</v>
      </c>
      <c r="AU1583" s="10" t="s">
        <v>169</v>
      </c>
      <c r="AV1583" s="10">
        <v>0</v>
      </c>
      <c r="AX1583" s="10" t="s">
        <v>169</v>
      </c>
      <c r="BF1583" s="12">
        <v>0.55000000000000004</v>
      </c>
      <c r="BG1583" s="13">
        <v>545.14399266893997</v>
      </c>
      <c r="BH1583" s="96" t="str">
        <f>+VLOOKUP(G1583,Liste!$A$7:$G$50,3,FALSE)</f>
        <v>Chêne sessile</v>
      </c>
      <c r="BI1583" s="96" t="str">
        <f>+VLOOKUP(H1583,Liste!$B$7:$G$50,5,FALSE)</f>
        <v>Guide chênaie atlantique</v>
      </c>
      <c r="BJ1583" s="135">
        <f t="shared" si="475"/>
        <v>160</v>
      </c>
      <c r="BK1583" s="135" t="str">
        <f t="shared" si="477"/>
        <v>Chêne sessile_F2_Classique_Guide chênaie atlantique_160_</v>
      </c>
      <c r="BM1583" s="13">
        <v>128.70094001087401</v>
      </c>
      <c r="BN1583" s="13">
        <v>673.84493267981395</v>
      </c>
      <c r="BO1583" s="13" t="s">
        <v>169</v>
      </c>
      <c r="BP1583" s="13">
        <v>401.52059066910999</v>
      </c>
      <c r="BQ1583" s="13">
        <v>11.3329287801654</v>
      </c>
      <c r="BT1583" s="298" t="str">
        <f>+VLOOKUP(G1583,Liste!$A$7:$H$50,8,FALSE)</f>
        <v>Feuillus</v>
      </c>
      <c r="BU1583" s="298">
        <f t="shared" si="478"/>
        <v>1</v>
      </c>
      <c r="BV1583" s="300">
        <f t="shared" si="479"/>
        <v>0</v>
      </c>
      <c r="BW1583" s="321">
        <v>0</v>
      </c>
      <c r="BX1583" s="298">
        <f t="shared" si="480"/>
        <v>0.25</v>
      </c>
      <c r="BY1583">
        <f t="shared" si="481"/>
        <v>0</v>
      </c>
      <c r="BZ1583" s="304">
        <f t="shared" si="482"/>
        <v>0</v>
      </c>
      <c r="CB1583" s="299">
        <v>0.6</v>
      </c>
      <c r="CC1583" s="299">
        <v>0.4</v>
      </c>
      <c r="CD1583">
        <f t="shared" si="483"/>
        <v>0</v>
      </c>
      <c r="CE1583">
        <f t="shared" si="484"/>
        <v>0</v>
      </c>
      <c r="CF1583">
        <f t="shared" si="485"/>
        <v>0</v>
      </c>
      <c r="CG1583">
        <f t="shared" si="486"/>
        <v>0</v>
      </c>
      <c r="CH1583">
        <f t="shared" si="487"/>
        <v>0</v>
      </c>
      <c r="CI1583">
        <f t="shared" si="488"/>
        <v>0</v>
      </c>
      <c r="CJ1583">
        <f t="shared" si="489"/>
        <v>0</v>
      </c>
      <c r="CK1583">
        <f t="shared" si="490"/>
        <v>0</v>
      </c>
      <c r="CL1583">
        <f t="shared" si="491"/>
        <v>0</v>
      </c>
      <c r="CM1583">
        <f t="shared" si="493"/>
        <v>0</v>
      </c>
      <c r="CN1583">
        <f t="shared" si="492"/>
        <v>0</v>
      </c>
      <c r="CO1583">
        <f t="shared" si="476"/>
        <v>0</v>
      </c>
    </row>
    <row r="1584" spans="1:93" x14ac:dyDescent="0.25">
      <c r="A1584" s="4">
        <v>2021</v>
      </c>
      <c r="B1584" s="318">
        <v>44361</v>
      </c>
      <c r="C1584" s="4" t="s">
        <v>66</v>
      </c>
      <c r="D1584" s="4" t="s">
        <v>1525</v>
      </c>
      <c r="E1584" s="4" t="s">
        <v>87</v>
      </c>
      <c r="F1584" s="4" t="s">
        <v>90</v>
      </c>
      <c r="G1584" s="5" t="s">
        <v>17</v>
      </c>
      <c r="H1584" s="5" t="s">
        <v>20</v>
      </c>
      <c r="I1584" s="5" t="s">
        <v>18</v>
      </c>
      <c r="J1584" s="5" t="s">
        <v>10</v>
      </c>
      <c r="K1584" s="5">
        <v>18.18</v>
      </c>
      <c r="L1584" s="5" t="s">
        <v>193</v>
      </c>
      <c r="M1584" s="5">
        <v>1666</v>
      </c>
      <c r="N1584" s="5" t="s">
        <v>170</v>
      </c>
      <c r="O1584" s="6" t="s">
        <v>81</v>
      </c>
      <c r="P1584" s="6" t="s">
        <v>1505</v>
      </c>
      <c r="S1584" s="6">
        <v>42</v>
      </c>
      <c r="T1584" s="6">
        <v>16.02</v>
      </c>
      <c r="U1584" s="6">
        <v>1451</v>
      </c>
      <c r="V1584" s="6">
        <v>23.57</v>
      </c>
      <c r="W1584" s="6">
        <v>44</v>
      </c>
      <c r="X1584" s="6">
        <v>444</v>
      </c>
      <c r="Y1584" s="6">
        <v>742</v>
      </c>
      <c r="Z1584" s="6">
        <v>211</v>
      </c>
      <c r="AA1584" s="6">
        <v>10</v>
      </c>
      <c r="AB1584" s="6">
        <v>0</v>
      </c>
      <c r="AC1584" s="7">
        <v>164</v>
      </c>
      <c r="AD1584" s="7" t="s">
        <v>52</v>
      </c>
      <c r="AE1584" s="7">
        <v>36.08</v>
      </c>
      <c r="AF1584" s="7">
        <v>78</v>
      </c>
      <c r="AG1584" s="7">
        <v>28.59</v>
      </c>
      <c r="AH1584" s="7">
        <v>68.31</v>
      </c>
      <c r="AI1584" s="7">
        <v>68.31</v>
      </c>
      <c r="AJ1584" s="9">
        <v>515.67654979266899</v>
      </c>
      <c r="AK1584" s="9">
        <v>575.35438456248198</v>
      </c>
      <c r="AL1584" s="9">
        <v>608.94027502496795</v>
      </c>
      <c r="AM1584" s="9">
        <v>85.362624142032303</v>
      </c>
      <c r="AN1584" s="9">
        <v>0.52050380574409905</v>
      </c>
      <c r="AO1584" s="9">
        <v>0.363680009715935</v>
      </c>
      <c r="AP1584" s="9">
        <v>1434.6935807873399</v>
      </c>
      <c r="AQ1584" s="9">
        <v>8.7481315901666896</v>
      </c>
      <c r="AR1584" s="9">
        <v>9.7813213135311798</v>
      </c>
      <c r="AS1584" s="8" t="s">
        <v>169</v>
      </c>
      <c r="AT1584" s="8" t="s">
        <v>169</v>
      </c>
      <c r="AU1584" s="10" t="s">
        <v>169</v>
      </c>
      <c r="AV1584" s="10">
        <v>0</v>
      </c>
      <c r="AX1584" s="10" t="s">
        <v>169</v>
      </c>
      <c r="BF1584" s="12">
        <v>0.55000000000000004</v>
      </c>
      <c r="BG1584" s="13">
        <v>583.31403845099999</v>
      </c>
      <c r="BH1584" s="96" t="str">
        <f>+VLOOKUP(G1584,Liste!$A$7:$G$50,3,FALSE)</f>
        <v>Chêne sessile</v>
      </c>
      <c r="BI1584" s="96" t="str">
        <f>+VLOOKUP(H1584,Liste!$B$7:$G$50,5,FALSE)</f>
        <v>Guide chênaie atlantique</v>
      </c>
      <c r="BJ1584" s="135">
        <f t="shared" si="475"/>
        <v>164</v>
      </c>
      <c r="BK1584" s="135" t="str">
        <f t="shared" si="477"/>
        <v>Chêne sessile_F2_Classique_Guide chênaie atlantique_164_</v>
      </c>
      <c r="BM1584" s="13">
        <v>136.631797367329</v>
      </c>
      <c r="BN1584" s="13">
        <v>719.94583581832899</v>
      </c>
      <c r="BO1584" s="13" t="s">
        <v>169</v>
      </c>
      <c r="BP1584" s="13">
        <v>401.52059066910999</v>
      </c>
      <c r="BQ1584" s="13">
        <v>11.1227421572887</v>
      </c>
      <c r="BT1584" s="298" t="str">
        <f>+VLOOKUP(G1584,Liste!$A$7:$H$50,8,FALSE)</f>
        <v>Feuillus</v>
      </c>
      <c r="BU1584" s="298">
        <f t="shared" si="478"/>
        <v>1</v>
      </c>
      <c r="BV1584" s="300">
        <f t="shared" si="479"/>
        <v>0</v>
      </c>
      <c r="BW1584" s="321">
        <v>0</v>
      </c>
      <c r="BX1584" s="298">
        <f t="shared" si="480"/>
        <v>0.25</v>
      </c>
      <c r="BY1584">
        <f t="shared" si="481"/>
        <v>0</v>
      </c>
      <c r="BZ1584" s="304">
        <f t="shared" si="482"/>
        <v>0</v>
      </c>
      <c r="CB1584" s="299">
        <v>0.6</v>
      </c>
      <c r="CC1584" s="299">
        <v>0.4</v>
      </c>
      <c r="CD1584">
        <f t="shared" si="483"/>
        <v>0</v>
      </c>
      <c r="CE1584">
        <f t="shared" si="484"/>
        <v>0</v>
      </c>
      <c r="CF1584">
        <f t="shared" si="485"/>
        <v>0</v>
      </c>
      <c r="CG1584">
        <f t="shared" si="486"/>
        <v>0</v>
      </c>
      <c r="CH1584">
        <f t="shared" si="487"/>
        <v>0</v>
      </c>
      <c r="CI1584">
        <f t="shared" si="488"/>
        <v>0</v>
      </c>
      <c r="CJ1584">
        <f t="shared" si="489"/>
        <v>0</v>
      </c>
      <c r="CK1584">
        <f t="shared" si="490"/>
        <v>0</v>
      </c>
      <c r="CL1584">
        <f t="shared" si="491"/>
        <v>0</v>
      </c>
      <c r="CM1584">
        <f t="shared" si="493"/>
        <v>0</v>
      </c>
      <c r="CN1584">
        <f t="shared" si="492"/>
        <v>0</v>
      </c>
      <c r="CO1584">
        <f t="shared" si="476"/>
        <v>0</v>
      </c>
    </row>
    <row r="1585" spans="1:93" x14ac:dyDescent="0.25">
      <c r="A1585" s="4">
        <v>2021</v>
      </c>
      <c r="B1585" s="318">
        <v>44361</v>
      </c>
      <c r="C1585" s="4" t="s">
        <v>66</v>
      </c>
      <c r="D1585" s="4" t="s">
        <v>1525</v>
      </c>
      <c r="E1585" s="4" t="s">
        <v>87</v>
      </c>
      <c r="F1585" s="4" t="s">
        <v>90</v>
      </c>
      <c r="G1585" s="5" t="s">
        <v>17</v>
      </c>
      <c r="H1585" s="5" t="s">
        <v>20</v>
      </c>
      <c r="I1585" s="5" t="s">
        <v>18</v>
      </c>
      <c r="J1585" s="5" t="s">
        <v>10</v>
      </c>
      <c r="K1585" s="5">
        <v>18.18</v>
      </c>
      <c r="L1585" s="5" t="s">
        <v>193</v>
      </c>
      <c r="M1585" s="5">
        <v>1666</v>
      </c>
      <c r="N1585" s="5" t="s">
        <v>170</v>
      </c>
      <c r="O1585" s="6" t="s">
        <v>81</v>
      </c>
      <c r="P1585" s="6" t="s">
        <v>1505</v>
      </c>
      <c r="S1585" s="6">
        <v>42</v>
      </c>
      <c r="T1585" s="6">
        <v>16.02</v>
      </c>
      <c r="U1585" s="6">
        <v>1451</v>
      </c>
      <c r="V1585" s="6">
        <v>23.57</v>
      </c>
      <c r="W1585" s="6">
        <v>44</v>
      </c>
      <c r="X1585" s="6">
        <v>444</v>
      </c>
      <c r="Y1585" s="6">
        <v>742</v>
      </c>
      <c r="Z1585" s="6">
        <v>211</v>
      </c>
      <c r="AA1585" s="6">
        <v>10</v>
      </c>
      <c r="AB1585" s="6">
        <v>0</v>
      </c>
      <c r="AC1585" s="7">
        <v>164</v>
      </c>
      <c r="AD1585" s="7" t="s">
        <v>53</v>
      </c>
      <c r="AE1585" s="7">
        <v>36.08</v>
      </c>
      <c r="AF1585" s="7">
        <v>69</v>
      </c>
      <c r="AG1585" s="7">
        <v>25.52</v>
      </c>
      <c r="AH1585" s="7">
        <v>68.63</v>
      </c>
      <c r="AI1585" s="7">
        <v>68.63</v>
      </c>
      <c r="AJ1585" s="9">
        <v>460.47776288903202</v>
      </c>
      <c r="AK1585" s="9">
        <v>514.015137230405</v>
      </c>
      <c r="AL1585" s="9">
        <v>543.99660086801805</v>
      </c>
      <c r="AM1585" s="9">
        <v>85.362624142032303</v>
      </c>
      <c r="AN1585" s="9">
        <v>0.52050380574409905</v>
      </c>
      <c r="AO1585" s="9">
        <v>0.363680009715935</v>
      </c>
      <c r="AP1585" s="9">
        <v>1434.6935807873399</v>
      </c>
      <c r="AQ1585" s="9">
        <v>8.7481315901666896</v>
      </c>
      <c r="AR1585" s="9">
        <v>9.7813213135311798</v>
      </c>
      <c r="AS1585" s="8">
        <v>9</v>
      </c>
      <c r="AT1585" s="8">
        <v>3.0700000000000003</v>
      </c>
      <c r="AU1585" s="10">
        <v>65.902667306810628</v>
      </c>
      <c r="AV1585" s="10">
        <v>55.198786903636972</v>
      </c>
      <c r="AW1585" s="8">
        <v>0.93</v>
      </c>
      <c r="AX1585" s="10">
        <v>6.1331985448485522</v>
      </c>
      <c r="BF1585" s="12">
        <v>0.55000000000000004</v>
      </c>
      <c r="BG1585" s="13">
        <v>521.10341058148902</v>
      </c>
      <c r="BH1585" s="96" t="str">
        <f>+VLOOKUP(G1585,Liste!$A$7:$G$50,3,FALSE)</f>
        <v>Chêne sessile</v>
      </c>
      <c r="BI1585" s="96" t="str">
        <f>+VLOOKUP(H1585,Liste!$B$7:$G$50,5,FALSE)</f>
        <v>Guide chênaie atlantique</v>
      </c>
      <c r="BJ1585" s="135">
        <f t="shared" si="475"/>
        <v>164</v>
      </c>
      <c r="BK1585" s="135" t="str">
        <f t="shared" si="477"/>
        <v>Chêne sessile_F2_Classique_Guide chênaie atlantique_164_</v>
      </c>
      <c r="BM1585" s="13">
        <v>123.672849510291</v>
      </c>
      <c r="BN1585" s="13">
        <v>644.77626009177902</v>
      </c>
      <c r="BO1585" s="13">
        <v>75.169575726549965</v>
      </c>
      <c r="BP1585" s="13">
        <v>401.52059066910999</v>
      </c>
      <c r="BQ1585" s="13">
        <v>11.1227421572887</v>
      </c>
      <c r="BT1585" s="298" t="str">
        <f>+VLOOKUP(G1585,Liste!$A$7:$H$50,8,FALSE)</f>
        <v>Feuillus</v>
      </c>
      <c r="BU1585" s="298">
        <f t="shared" si="478"/>
        <v>1</v>
      </c>
      <c r="BV1585" s="300">
        <f t="shared" si="479"/>
        <v>0</v>
      </c>
      <c r="BW1585" s="321">
        <v>0</v>
      </c>
      <c r="BX1585" s="298">
        <f t="shared" si="480"/>
        <v>0.25</v>
      </c>
      <c r="BY1585">
        <f t="shared" si="481"/>
        <v>0</v>
      </c>
      <c r="BZ1585" s="304">
        <f t="shared" si="482"/>
        <v>0</v>
      </c>
      <c r="CB1585" s="299">
        <v>0.6</v>
      </c>
      <c r="CC1585" s="299">
        <v>0.4</v>
      </c>
      <c r="CD1585">
        <f t="shared" si="483"/>
        <v>0</v>
      </c>
      <c r="CE1585">
        <f t="shared" si="484"/>
        <v>0</v>
      </c>
      <c r="CF1585">
        <f t="shared" si="485"/>
        <v>0</v>
      </c>
      <c r="CG1585">
        <f t="shared" si="486"/>
        <v>0</v>
      </c>
      <c r="CH1585">
        <f t="shared" si="487"/>
        <v>0</v>
      </c>
      <c r="CI1585">
        <f t="shared" si="488"/>
        <v>0</v>
      </c>
      <c r="CJ1585">
        <f t="shared" si="489"/>
        <v>0</v>
      </c>
      <c r="CK1585">
        <f t="shared" si="490"/>
        <v>0</v>
      </c>
      <c r="CL1585">
        <f t="shared" si="491"/>
        <v>0</v>
      </c>
      <c r="CM1585">
        <f t="shared" si="493"/>
        <v>0</v>
      </c>
      <c r="CN1585">
        <f t="shared" si="492"/>
        <v>0</v>
      </c>
      <c r="CO1585">
        <f t="shared" si="476"/>
        <v>0</v>
      </c>
    </row>
    <row r="1586" spans="1:93" x14ac:dyDescent="0.25">
      <c r="A1586" s="4">
        <v>2021</v>
      </c>
      <c r="B1586" s="318">
        <v>44361</v>
      </c>
      <c r="C1586" s="4" t="s">
        <v>66</v>
      </c>
      <c r="D1586" s="4" t="s">
        <v>1525</v>
      </c>
      <c r="E1586" s="4" t="s">
        <v>87</v>
      </c>
      <c r="F1586" s="4" t="s">
        <v>90</v>
      </c>
      <c r="G1586" s="5" t="s">
        <v>17</v>
      </c>
      <c r="H1586" s="5" t="s">
        <v>20</v>
      </c>
      <c r="I1586" s="5" t="s">
        <v>18</v>
      </c>
      <c r="J1586" s="5" t="s">
        <v>10</v>
      </c>
      <c r="K1586" s="5">
        <v>18.18</v>
      </c>
      <c r="L1586" s="5" t="s">
        <v>193</v>
      </c>
      <c r="M1586" s="5">
        <v>1666</v>
      </c>
      <c r="N1586" s="5" t="s">
        <v>170</v>
      </c>
      <c r="O1586" s="6" t="s">
        <v>81</v>
      </c>
      <c r="P1586" s="6" t="s">
        <v>1505</v>
      </c>
      <c r="S1586" s="6">
        <v>42</v>
      </c>
      <c r="T1586" s="6">
        <v>16.02</v>
      </c>
      <c r="U1586" s="6">
        <v>1451</v>
      </c>
      <c r="V1586" s="6">
        <v>23.57</v>
      </c>
      <c r="W1586" s="6">
        <v>44</v>
      </c>
      <c r="X1586" s="6">
        <v>444</v>
      </c>
      <c r="Y1586" s="6">
        <v>742</v>
      </c>
      <c r="Z1586" s="6">
        <v>211</v>
      </c>
      <c r="AA1586" s="6">
        <v>10</v>
      </c>
      <c r="AB1586" s="6">
        <v>0</v>
      </c>
      <c r="AC1586" s="7">
        <v>167</v>
      </c>
      <c r="AD1586" s="7" t="s">
        <v>52</v>
      </c>
      <c r="AE1586" s="7">
        <v>36.47</v>
      </c>
      <c r="AF1586" s="7">
        <v>69</v>
      </c>
      <c r="AG1586" s="7">
        <v>26.61</v>
      </c>
      <c r="AH1586" s="7">
        <v>70.08</v>
      </c>
      <c r="AI1586" s="7">
        <v>70.08</v>
      </c>
      <c r="AJ1586" s="9">
        <v>485.54239761918302</v>
      </c>
      <c r="AK1586" s="9">
        <v>542.19433017731899</v>
      </c>
      <c r="AL1586" s="9">
        <v>573.34056480861102</v>
      </c>
      <c r="AM1586" s="9">
        <v>86.453664171180094</v>
      </c>
      <c r="AN1586" s="9">
        <v>0.51768661180347397</v>
      </c>
      <c r="AO1586" s="9">
        <v>0.36527595187393103</v>
      </c>
      <c r="AP1586" s="9">
        <v>1464.03754472793</v>
      </c>
      <c r="AQ1586" s="9">
        <v>8.7666918845983908</v>
      </c>
      <c r="AR1586" s="9">
        <v>10.0104684189688</v>
      </c>
      <c r="AS1586" s="8" t="s">
        <v>169</v>
      </c>
      <c r="AT1586" s="8" t="s">
        <v>169</v>
      </c>
      <c r="AU1586" s="10" t="s">
        <v>169</v>
      </c>
      <c r="AV1586" s="10">
        <v>0</v>
      </c>
      <c r="AX1586" s="10" t="s">
        <v>169</v>
      </c>
      <c r="BF1586" s="12">
        <v>0.55000000000000004</v>
      </c>
      <c r="BG1586" s="13">
        <v>549.21248270624903</v>
      </c>
      <c r="BH1586" s="96" t="str">
        <f>+VLOOKUP(G1586,Liste!$A$7:$G$50,3,FALSE)</f>
        <v>Chêne sessile</v>
      </c>
      <c r="BI1586" s="96" t="str">
        <f>+VLOOKUP(H1586,Liste!$B$7:$G$50,5,FALSE)</f>
        <v>Guide chênaie atlantique</v>
      </c>
      <c r="BJ1586" s="135">
        <f t="shared" si="475"/>
        <v>167</v>
      </c>
      <c r="BK1586" s="135" t="str">
        <f t="shared" si="477"/>
        <v>Chêne sessile_F2_Classique_Guide chênaie atlantique_167_</v>
      </c>
      <c r="BM1586" s="13">
        <v>129.549282648927</v>
      </c>
      <c r="BN1586" s="13">
        <v>678.76176535517595</v>
      </c>
      <c r="BO1586" s="13" t="s">
        <v>169</v>
      </c>
      <c r="BP1586" s="13">
        <v>401.52059066910999</v>
      </c>
      <c r="BQ1586" s="13">
        <v>11.379085350938499</v>
      </c>
      <c r="BT1586" s="298" t="str">
        <f>+VLOOKUP(G1586,Liste!$A$7:$H$50,8,FALSE)</f>
        <v>Feuillus</v>
      </c>
      <c r="BU1586" s="298">
        <f t="shared" si="478"/>
        <v>1</v>
      </c>
      <c r="BV1586" s="300">
        <f t="shared" si="479"/>
        <v>0</v>
      </c>
      <c r="BW1586" s="321">
        <v>0</v>
      </c>
      <c r="BX1586" s="298">
        <f t="shared" si="480"/>
        <v>0.25</v>
      </c>
      <c r="BY1586">
        <f t="shared" si="481"/>
        <v>0</v>
      </c>
      <c r="BZ1586" s="304">
        <f t="shared" si="482"/>
        <v>0</v>
      </c>
      <c r="CB1586" s="299">
        <v>0.6</v>
      </c>
      <c r="CC1586" s="299">
        <v>0.4</v>
      </c>
      <c r="CD1586">
        <f t="shared" si="483"/>
        <v>0</v>
      </c>
      <c r="CE1586">
        <f t="shared" si="484"/>
        <v>0</v>
      </c>
      <c r="CF1586">
        <f t="shared" si="485"/>
        <v>0</v>
      </c>
      <c r="CG1586">
        <f t="shared" si="486"/>
        <v>0</v>
      </c>
      <c r="CH1586">
        <f t="shared" si="487"/>
        <v>0</v>
      </c>
      <c r="CI1586">
        <f t="shared" si="488"/>
        <v>0</v>
      </c>
      <c r="CJ1586">
        <f t="shared" si="489"/>
        <v>0</v>
      </c>
      <c r="CK1586">
        <f t="shared" si="490"/>
        <v>0</v>
      </c>
      <c r="CL1586">
        <f t="shared" si="491"/>
        <v>0</v>
      </c>
      <c r="CM1586">
        <f t="shared" si="493"/>
        <v>0</v>
      </c>
      <c r="CN1586">
        <f t="shared" si="492"/>
        <v>0</v>
      </c>
      <c r="CO1586">
        <f t="shared" si="476"/>
        <v>0</v>
      </c>
    </row>
    <row r="1587" spans="1:93" x14ac:dyDescent="0.25">
      <c r="A1587" s="4">
        <v>2021</v>
      </c>
      <c r="B1587" s="318">
        <v>44361</v>
      </c>
      <c r="C1587" s="4" t="s">
        <v>66</v>
      </c>
      <c r="D1587" s="4" t="s">
        <v>1525</v>
      </c>
      <c r="E1587" s="4" t="s">
        <v>87</v>
      </c>
      <c r="F1587" s="4" t="s">
        <v>90</v>
      </c>
      <c r="G1587" s="5" t="s">
        <v>17</v>
      </c>
      <c r="H1587" s="5" t="s">
        <v>20</v>
      </c>
      <c r="I1587" s="5" t="s">
        <v>18</v>
      </c>
      <c r="J1587" s="5" t="s">
        <v>10</v>
      </c>
      <c r="K1587" s="5">
        <v>18.18</v>
      </c>
      <c r="L1587" s="5" t="s">
        <v>193</v>
      </c>
      <c r="M1587" s="5">
        <v>1666</v>
      </c>
      <c r="N1587" s="5" t="s">
        <v>170</v>
      </c>
      <c r="O1587" s="6" t="s">
        <v>81</v>
      </c>
      <c r="P1587" s="6" t="s">
        <v>1505</v>
      </c>
      <c r="S1587" s="6">
        <v>42</v>
      </c>
      <c r="T1587" s="6">
        <v>16.02</v>
      </c>
      <c r="U1587" s="6">
        <v>1451</v>
      </c>
      <c r="V1587" s="6">
        <v>23.57</v>
      </c>
      <c r="W1587" s="6">
        <v>44</v>
      </c>
      <c r="X1587" s="6">
        <v>444</v>
      </c>
      <c r="Y1587" s="6">
        <v>742</v>
      </c>
      <c r="Z1587" s="6">
        <v>211</v>
      </c>
      <c r="AA1587" s="6">
        <v>10</v>
      </c>
      <c r="AB1587" s="6">
        <v>0</v>
      </c>
      <c r="AC1587" s="7">
        <v>170</v>
      </c>
      <c r="AD1587" s="7" t="s">
        <v>52</v>
      </c>
      <c r="AE1587" s="7">
        <v>36.86</v>
      </c>
      <c r="AF1587" s="7">
        <v>69</v>
      </c>
      <c r="AG1587" s="7">
        <v>27.71</v>
      </c>
      <c r="AH1587" s="7">
        <v>71.510000000000005</v>
      </c>
      <c r="AI1587" s="7">
        <v>71.510000000000005</v>
      </c>
      <c r="AJ1587" s="9">
        <v>511.27147118726703</v>
      </c>
      <c r="AK1587" s="9">
        <v>571.06409132562806</v>
      </c>
      <c r="AL1587" s="9">
        <v>603.37197006551798</v>
      </c>
      <c r="AM1587" s="9">
        <v>87.5494920268019</v>
      </c>
      <c r="AN1587" s="9">
        <v>0.51499701192236402</v>
      </c>
      <c r="AO1587" s="9">
        <v>0.36703929510547101</v>
      </c>
      <c r="AP1587" s="9">
        <v>1494.0689499848399</v>
      </c>
      <c r="AQ1587" s="9">
        <v>8.7886408822637492</v>
      </c>
      <c r="AR1587" s="9">
        <v>10.149773639474301</v>
      </c>
      <c r="AS1587" s="8" t="s">
        <v>169</v>
      </c>
      <c r="AT1587" s="8" t="s">
        <v>169</v>
      </c>
      <c r="AU1587" s="10" t="s">
        <v>169</v>
      </c>
      <c r="AV1587" s="10">
        <v>0</v>
      </c>
      <c r="AX1587" s="10" t="s">
        <v>169</v>
      </c>
      <c r="BF1587" s="12">
        <v>0.55000000000000004</v>
      </c>
      <c r="BG1587" s="13">
        <v>577.98006632526096</v>
      </c>
      <c r="BH1587" s="96" t="str">
        <f>+VLOOKUP(G1587,Liste!$A$7:$G$50,3,FALSE)</f>
        <v>Chêne sessile</v>
      </c>
      <c r="BI1587" s="96" t="str">
        <f>+VLOOKUP(H1587,Liste!$B$7:$G$50,5,FALSE)</f>
        <v>Guide chênaie atlantique</v>
      </c>
      <c r="BJ1587" s="135">
        <f t="shared" si="475"/>
        <v>170</v>
      </c>
      <c r="BK1587" s="135" t="str">
        <f t="shared" si="477"/>
        <v>Chêne sessile_F2_Classique_Guide chênaie atlantique_170_</v>
      </c>
      <c r="BM1587" s="13">
        <v>135.52724156872199</v>
      </c>
      <c r="BN1587" s="13">
        <v>713.50730789398301</v>
      </c>
      <c r="BO1587" s="13" t="s">
        <v>169</v>
      </c>
      <c r="BP1587" s="13">
        <v>401.52059066910999</v>
      </c>
      <c r="BQ1587" s="13">
        <v>11.532461474075699</v>
      </c>
      <c r="BT1587" s="298" t="str">
        <f>+VLOOKUP(G1587,Liste!$A$7:$H$50,8,FALSE)</f>
        <v>Feuillus</v>
      </c>
      <c r="BU1587" s="298">
        <f t="shared" si="478"/>
        <v>1</v>
      </c>
      <c r="BV1587" s="300">
        <f t="shared" si="479"/>
        <v>0</v>
      </c>
      <c r="BW1587" s="321">
        <v>0</v>
      </c>
      <c r="BX1587" s="298">
        <f t="shared" si="480"/>
        <v>0.25</v>
      </c>
      <c r="BY1587">
        <f t="shared" si="481"/>
        <v>0</v>
      </c>
      <c r="BZ1587" s="304">
        <f t="shared" si="482"/>
        <v>0</v>
      </c>
      <c r="CB1587" s="299">
        <v>0.6</v>
      </c>
      <c r="CC1587" s="299">
        <v>0.4</v>
      </c>
      <c r="CD1587">
        <f t="shared" si="483"/>
        <v>0</v>
      </c>
      <c r="CE1587">
        <f t="shared" si="484"/>
        <v>0</v>
      </c>
      <c r="CF1587">
        <f t="shared" si="485"/>
        <v>0</v>
      </c>
      <c r="CG1587">
        <f t="shared" si="486"/>
        <v>0</v>
      </c>
      <c r="CH1587">
        <f t="shared" si="487"/>
        <v>0</v>
      </c>
      <c r="CI1587">
        <f t="shared" si="488"/>
        <v>0</v>
      </c>
      <c r="CJ1587">
        <f t="shared" si="489"/>
        <v>0</v>
      </c>
      <c r="CK1587">
        <f t="shared" si="490"/>
        <v>0</v>
      </c>
      <c r="CL1587">
        <f t="shared" si="491"/>
        <v>0</v>
      </c>
      <c r="CM1587">
        <f t="shared" si="493"/>
        <v>0</v>
      </c>
      <c r="CN1587">
        <f t="shared" si="492"/>
        <v>0</v>
      </c>
      <c r="CO1587">
        <f t="shared" si="476"/>
        <v>0</v>
      </c>
    </row>
    <row r="1588" spans="1:93" x14ac:dyDescent="0.25">
      <c r="A1588" s="4">
        <v>2021</v>
      </c>
      <c r="B1588" s="318">
        <v>44361</v>
      </c>
      <c r="C1588" s="4" t="s">
        <v>66</v>
      </c>
      <c r="D1588" s="4" t="s">
        <v>1525</v>
      </c>
      <c r="E1588" s="4" t="s">
        <v>87</v>
      </c>
      <c r="F1588" s="4" t="s">
        <v>90</v>
      </c>
      <c r="G1588" s="5" t="s">
        <v>17</v>
      </c>
      <c r="H1588" s="5" t="s">
        <v>20</v>
      </c>
      <c r="I1588" s="5" t="s">
        <v>18</v>
      </c>
      <c r="J1588" s="5" t="s">
        <v>10</v>
      </c>
      <c r="K1588" s="5">
        <v>18.18</v>
      </c>
      <c r="L1588" s="5" t="s">
        <v>193</v>
      </c>
      <c r="M1588" s="5">
        <v>1666</v>
      </c>
      <c r="N1588" s="5" t="s">
        <v>170</v>
      </c>
      <c r="O1588" s="6" t="s">
        <v>81</v>
      </c>
      <c r="P1588" s="6" t="s">
        <v>1505</v>
      </c>
      <c r="S1588" s="6">
        <v>42</v>
      </c>
      <c r="T1588" s="6">
        <v>16.02</v>
      </c>
      <c r="U1588" s="6">
        <v>1451</v>
      </c>
      <c r="V1588" s="6">
        <v>23.57</v>
      </c>
      <c r="W1588" s="6">
        <v>44</v>
      </c>
      <c r="X1588" s="6">
        <v>444</v>
      </c>
      <c r="Y1588" s="6">
        <v>742</v>
      </c>
      <c r="Z1588" s="6">
        <v>211</v>
      </c>
      <c r="AA1588" s="6">
        <v>10</v>
      </c>
      <c r="AB1588" s="6">
        <v>0</v>
      </c>
      <c r="AC1588" s="7">
        <v>174</v>
      </c>
      <c r="AD1588" s="7" t="s">
        <v>52</v>
      </c>
      <c r="AE1588" s="7">
        <v>37.380000000000003</v>
      </c>
      <c r="AF1588" s="7">
        <v>69</v>
      </c>
      <c r="AG1588" s="7">
        <v>29.18</v>
      </c>
      <c r="AH1588" s="7">
        <v>73.38</v>
      </c>
      <c r="AI1588" s="7">
        <v>73.38</v>
      </c>
      <c r="AJ1588" s="9">
        <v>546.03915595340698</v>
      </c>
      <c r="AK1588" s="9">
        <v>610.11028850685898</v>
      </c>
      <c r="AL1588" s="9">
        <v>643.97106462341503</v>
      </c>
      <c r="AM1588" s="9">
        <v>89.017649207223798</v>
      </c>
      <c r="AN1588" s="9">
        <v>0.51159568509898701</v>
      </c>
      <c r="AO1588" s="9">
        <v>0.23797892647374899</v>
      </c>
      <c r="AP1588" s="9">
        <v>1534.6680445427301</v>
      </c>
      <c r="AQ1588" s="9">
        <v>8.8199312904754805</v>
      </c>
      <c r="AR1588" s="9">
        <v>6.2765296770308696</v>
      </c>
      <c r="AS1588" s="8" t="s">
        <v>169</v>
      </c>
      <c r="AT1588" s="8" t="s">
        <v>169</v>
      </c>
      <c r="AU1588" s="10" t="s">
        <v>169</v>
      </c>
      <c r="AV1588" s="10">
        <v>0</v>
      </c>
      <c r="AX1588" s="10" t="s">
        <v>169</v>
      </c>
      <c r="BF1588" s="12">
        <v>0.55000000000000004</v>
      </c>
      <c r="BG1588" s="13">
        <v>616.87061565384602</v>
      </c>
      <c r="BH1588" s="96" t="str">
        <f>+VLOOKUP(G1588,Liste!$A$7:$G$50,3,FALSE)</f>
        <v>Chêne sessile</v>
      </c>
      <c r="BI1588" s="96" t="str">
        <f>+VLOOKUP(H1588,Liste!$B$7:$G$50,5,FALSE)</f>
        <v>Guide chênaie atlantique</v>
      </c>
      <c r="BJ1588" s="135">
        <f t="shared" si="475"/>
        <v>174</v>
      </c>
      <c r="BK1588" s="135" t="str">
        <f t="shared" si="477"/>
        <v>Chêne sessile_F2_Classique_Guide chênaie atlantique_174_</v>
      </c>
      <c r="BM1588" s="13">
        <v>143.55419480294199</v>
      </c>
      <c r="BN1588" s="13">
        <v>760.42481045678903</v>
      </c>
      <c r="BO1588" s="13" t="s">
        <v>169</v>
      </c>
      <c r="BP1588" s="13">
        <v>401.52059066910999</v>
      </c>
      <c r="BQ1588" s="13">
        <v>7.1290395407324203</v>
      </c>
      <c r="BT1588" s="298" t="str">
        <f>+VLOOKUP(G1588,Liste!$A$7:$H$50,8,FALSE)</f>
        <v>Feuillus</v>
      </c>
      <c r="BU1588" s="298">
        <f t="shared" si="478"/>
        <v>1</v>
      </c>
      <c r="BV1588" s="300">
        <f t="shared" si="479"/>
        <v>0</v>
      </c>
      <c r="BW1588" s="321">
        <v>0</v>
      </c>
      <c r="BX1588" s="298">
        <f t="shared" si="480"/>
        <v>0.25</v>
      </c>
      <c r="BY1588">
        <f t="shared" si="481"/>
        <v>0</v>
      </c>
      <c r="BZ1588" s="304">
        <f t="shared" si="482"/>
        <v>0</v>
      </c>
      <c r="CB1588" s="299">
        <v>0.6</v>
      </c>
      <c r="CC1588" s="299">
        <v>0.4</v>
      </c>
      <c r="CD1588">
        <f t="shared" si="483"/>
        <v>0</v>
      </c>
      <c r="CE1588">
        <f t="shared" si="484"/>
        <v>0</v>
      </c>
      <c r="CF1588">
        <f t="shared" si="485"/>
        <v>0</v>
      </c>
      <c r="CG1588">
        <f t="shared" si="486"/>
        <v>0</v>
      </c>
      <c r="CH1588">
        <f t="shared" si="487"/>
        <v>0</v>
      </c>
      <c r="CI1588">
        <f t="shared" si="488"/>
        <v>0</v>
      </c>
      <c r="CJ1588">
        <f t="shared" si="489"/>
        <v>0</v>
      </c>
      <c r="CK1588">
        <f t="shared" si="490"/>
        <v>0</v>
      </c>
      <c r="CL1588">
        <f t="shared" si="491"/>
        <v>0</v>
      </c>
      <c r="CM1588">
        <f t="shared" si="493"/>
        <v>0</v>
      </c>
      <c r="CN1588">
        <f t="shared" si="492"/>
        <v>0</v>
      </c>
      <c r="CO1588">
        <f t="shared" si="476"/>
        <v>0</v>
      </c>
    </row>
    <row r="1589" spans="1:93" x14ac:dyDescent="0.25">
      <c r="A1589" s="4">
        <v>2021</v>
      </c>
      <c r="B1589" s="318">
        <v>44361</v>
      </c>
      <c r="C1589" s="4" t="s">
        <v>66</v>
      </c>
      <c r="D1589" s="4" t="s">
        <v>1525</v>
      </c>
      <c r="E1589" s="4" t="s">
        <v>87</v>
      </c>
      <c r="F1589" s="4" t="s">
        <v>90</v>
      </c>
      <c r="G1589" s="5" t="s">
        <v>17</v>
      </c>
      <c r="H1589" s="5" t="s">
        <v>20</v>
      </c>
      <c r="I1589" s="5" t="s">
        <v>18</v>
      </c>
      <c r="J1589" s="5" t="s">
        <v>10</v>
      </c>
      <c r="K1589" s="5">
        <v>18.18</v>
      </c>
      <c r="L1589" s="5" t="s">
        <v>193</v>
      </c>
      <c r="M1589" s="5">
        <v>1666</v>
      </c>
      <c r="N1589" s="5" t="s">
        <v>170</v>
      </c>
      <c r="O1589" s="6" t="s">
        <v>81</v>
      </c>
      <c r="P1589" s="6" t="s">
        <v>1505</v>
      </c>
      <c r="S1589" s="6">
        <v>42</v>
      </c>
      <c r="T1589" s="6">
        <v>16.02</v>
      </c>
      <c r="U1589" s="6">
        <v>1451</v>
      </c>
      <c r="V1589" s="6">
        <v>23.57</v>
      </c>
      <c r="W1589" s="6">
        <v>44</v>
      </c>
      <c r="X1589" s="6">
        <v>444</v>
      </c>
      <c r="Y1589" s="6">
        <v>742</v>
      </c>
      <c r="Z1589" s="6">
        <v>211</v>
      </c>
      <c r="AA1589" s="6">
        <v>10</v>
      </c>
      <c r="AB1589" s="6">
        <v>0</v>
      </c>
      <c r="AC1589" s="7">
        <v>174</v>
      </c>
      <c r="AD1589" s="7" t="s">
        <v>53</v>
      </c>
      <c r="AE1589" s="7">
        <v>37.380000000000003</v>
      </c>
      <c r="AF1589" s="7">
        <v>41</v>
      </c>
      <c r="AG1589" s="7">
        <v>17.7</v>
      </c>
      <c r="AH1589" s="7">
        <v>74.150000000000006</v>
      </c>
      <c r="AI1589" s="7">
        <v>74.150000000000006</v>
      </c>
      <c r="AJ1589" s="9">
        <v>331.40704419193901</v>
      </c>
      <c r="AK1589" s="9">
        <v>370.62006566047199</v>
      </c>
      <c r="AL1589" s="9">
        <v>391.16176187475799</v>
      </c>
      <c r="AM1589" s="9">
        <v>89.017649207223798</v>
      </c>
      <c r="AN1589" s="9">
        <v>0.51159568509898701</v>
      </c>
      <c r="AO1589" s="9">
        <v>0.23797892647374899</v>
      </c>
      <c r="AP1589" s="9">
        <v>1534.6680445427301</v>
      </c>
      <c r="AQ1589" s="9">
        <v>8.8199312904754805</v>
      </c>
      <c r="AR1589" s="9">
        <v>6.2765296770308696</v>
      </c>
      <c r="AS1589" s="8">
        <v>28</v>
      </c>
      <c r="AT1589" s="8">
        <v>11.48</v>
      </c>
      <c r="AU1589" s="10">
        <v>72.251519938435663</v>
      </c>
      <c r="AV1589" s="10">
        <v>214.63211176146797</v>
      </c>
      <c r="AW1589" s="8">
        <v>0.97</v>
      </c>
      <c r="AX1589" s="10">
        <v>7.6654325629095705</v>
      </c>
      <c r="BF1589" s="12">
        <v>0.55000000000000004</v>
      </c>
      <c r="BG1589" s="13">
        <v>374.70037106252897</v>
      </c>
      <c r="BH1589" s="96" t="str">
        <f>+VLOOKUP(G1589,Liste!$A$7:$G$50,3,FALSE)</f>
        <v>Chêne sessile</v>
      </c>
      <c r="BI1589" s="96" t="str">
        <f>+VLOOKUP(H1589,Liste!$B$7:$G$50,5,FALSE)</f>
        <v>Guide chênaie atlantique</v>
      </c>
      <c r="BJ1589" s="135">
        <f t="shared" si="475"/>
        <v>174</v>
      </c>
      <c r="BK1589" s="135" t="str">
        <f t="shared" si="477"/>
        <v>Chêne sessile_F2_Classique_Guide chênaie atlantique_174_</v>
      </c>
      <c r="BM1589" s="13">
        <v>92.407599111762707</v>
      </c>
      <c r="BN1589" s="13">
        <v>467.10797017429098</v>
      </c>
      <c r="BO1589" s="13">
        <v>293.31684028249805</v>
      </c>
      <c r="BP1589" s="13">
        <v>401.52059066910999</v>
      </c>
      <c r="BQ1589" s="13">
        <v>7.1290395407324203</v>
      </c>
      <c r="BT1589" s="298" t="str">
        <f>+VLOOKUP(G1589,Liste!$A$7:$H$50,8,FALSE)</f>
        <v>Feuillus</v>
      </c>
      <c r="BU1589" s="298">
        <f t="shared" si="478"/>
        <v>1</v>
      </c>
      <c r="BV1589" s="300">
        <f t="shared" si="479"/>
        <v>0</v>
      </c>
      <c r="BW1589" s="321">
        <v>0</v>
      </c>
      <c r="BX1589" s="298">
        <f t="shared" si="480"/>
        <v>0.25</v>
      </c>
      <c r="BY1589">
        <f t="shared" si="481"/>
        <v>0</v>
      </c>
      <c r="BZ1589" s="304">
        <f t="shared" si="482"/>
        <v>0</v>
      </c>
      <c r="CB1589" s="299">
        <v>0.6</v>
      </c>
      <c r="CC1589" s="299">
        <v>0.4</v>
      </c>
      <c r="CD1589">
        <f t="shared" si="483"/>
        <v>0</v>
      </c>
      <c r="CE1589">
        <f t="shared" si="484"/>
        <v>0</v>
      </c>
      <c r="CF1589">
        <f t="shared" si="485"/>
        <v>0</v>
      </c>
      <c r="CG1589">
        <f t="shared" si="486"/>
        <v>0</v>
      </c>
      <c r="CH1589">
        <f t="shared" si="487"/>
        <v>0</v>
      </c>
      <c r="CI1589">
        <f t="shared" si="488"/>
        <v>0</v>
      </c>
      <c r="CJ1589">
        <f t="shared" si="489"/>
        <v>0</v>
      </c>
      <c r="CK1589">
        <f t="shared" si="490"/>
        <v>0</v>
      </c>
      <c r="CL1589">
        <f t="shared" si="491"/>
        <v>0</v>
      </c>
      <c r="CM1589">
        <f t="shared" si="493"/>
        <v>0</v>
      </c>
      <c r="CN1589">
        <f t="shared" si="492"/>
        <v>0</v>
      </c>
      <c r="CO1589">
        <f t="shared" si="476"/>
        <v>0</v>
      </c>
    </row>
    <row r="1590" spans="1:93" x14ac:dyDescent="0.25">
      <c r="A1590" s="4">
        <v>2021</v>
      </c>
      <c r="B1590" s="318">
        <v>44361</v>
      </c>
      <c r="C1590" s="4" t="s">
        <v>66</v>
      </c>
      <c r="D1590" s="4" t="s">
        <v>1525</v>
      </c>
      <c r="E1590" s="4" t="s">
        <v>87</v>
      </c>
      <c r="F1590" s="4" t="s">
        <v>90</v>
      </c>
      <c r="G1590" s="5" t="s">
        <v>17</v>
      </c>
      <c r="H1590" s="5" t="s">
        <v>20</v>
      </c>
      <c r="I1590" s="5" t="s">
        <v>18</v>
      </c>
      <c r="J1590" s="5" t="s">
        <v>10</v>
      </c>
      <c r="K1590" s="5">
        <v>18.18</v>
      </c>
      <c r="L1590" s="5" t="s">
        <v>193</v>
      </c>
      <c r="M1590" s="5">
        <v>1666</v>
      </c>
      <c r="N1590" s="5" t="s">
        <v>170</v>
      </c>
      <c r="O1590" s="6" t="s">
        <v>81</v>
      </c>
      <c r="P1590" s="6" t="s">
        <v>1505</v>
      </c>
      <c r="S1590" s="6">
        <v>42</v>
      </c>
      <c r="T1590" s="6">
        <v>16.02</v>
      </c>
      <c r="U1590" s="6">
        <v>1451</v>
      </c>
      <c r="V1590" s="6">
        <v>23.57</v>
      </c>
      <c r="W1590" s="6">
        <v>44</v>
      </c>
      <c r="X1590" s="6">
        <v>444</v>
      </c>
      <c r="Y1590" s="6">
        <v>742</v>
      </c>
      <c r="Z1590" s="6">
        <v>211</v>
      </c>
      <c r="AA1590" s="6">
        <v>10</v>
      </c>
      <c r="AB1590" s="6">
        <v>0</v>
      </c>
      <c r="AC1590" s="7">
        <v>177</v>
      </c>
      <c r="AD1590" s="7" t="s">
        <v>52</v>
      </c>
      <c r="AE1590" s="7">
        <v>37.67</v>
      </c>
      <c r="AF1590" s="7">
        <v>41</v>
      </c>
      <c r="AG1590" s="7">
        <v>18.420000000000002</v>
      </c>
      <c r="AH1590" s="7">
        <v>75.63</v>
      </c>
      <c r="AI1590" s="7">
        <v>75.63</v>
      </c>
      <c r="AJ1590" s="9">
        <v>347.216426060998</v>
      </c>
      <c r="AK1590" s="9">
        <v>388.67700078282098</v>
      </c>
      <c r="AL1590" s="9">
        <v>409.99135090585003</v>
      </c>
      <c r="AM1590" s="9">
        <v>89.731585986645001</v>
      </c>
      <c r="AN1590" s="9">
        <v>0.50695811291889803</v>
      </c>
      <c r="AO1590" s="9">
        <v>0.14835495078758701</v>
      </c>
      <c r="AP1590" s="9">
        <v>1553.4976335738299</v>
      </c>
      <c r="AQ1590" s="9">
        <v>8.7768227885526908</v>
      </c>
      <c r="AR1590" s="9">
        <v>3.8476041097304301</v>
      </c>
      <c r="AS1590" s="8" t="s">
        <v>169</v>
      </c>
      <c r="AT1590" s="8" t="s">
        <v>169</v>
      </c>
      <c r="AU1590" s="10" t="s">
        <v>169</v>
      </c>
      <c r="AV1590" s="10">
        <v>0</v>
      </c>
      <c r="AX1590" s="10" t="s">
        <v>169</v>
      </c>
      <c r="BF1590" s="12">
        <v>0.55000000000000004</v>
      </c>
      <c r="BG1590" s="13">
        <v>392.73754822189602</v>
      </c>
      <c r="BH1590" s="96" t="str">
        <f>+VLOOKUP(G1590,Liste!$A$7:$G$50,3,FALSE)</f>
        <v>Chêne sessile</v>
      </c>
      <c r="BI1590" s="96" t="str">
        <f>+VLOOKUP(H1590,Liste!$B$7:$G$50,5,FALSE)</f>
        <v>Guide chênaie atlantique</v>
      </c>
      <c r="BJ1590" s="135">
        <f t="shared" si="475"/>
        <v>177</v>
      </c>
      <c r="BK1590" s="135" t="str">
        <f t="shared" si="477"/>
        <v>Chêne sessile_F2_Classique_Guide chênaie atlantique_177_</v>
      </c>
      <c r="BM1590" s="13">
        <v>96.327280142137099</v>
      </c>
      <c r="BN1590" s="13">
        <v>489.06482836403302</v>
      </c>
      <c r="BO1590" s="13" t="s">
        <v>169</v>
      </c>
      <c r="BP1590" s="13">
        <v>401.52059066910999</v>
      </c>
      <c r="BQ1590" s="13">
        <v>4.3694253548264097</v>
      </c>
      <c r="BT1590" s="298" t="str">
        <f>+VLOOKUP(G1590,Liste!$A$7:$H$50,8,FALSE)</f>
        <v>Feuillus</v>
      </c>
      <c r="BU1590" s="298">
        <f t="shared" si="478"/>
        <v>1</v>
      </c>
      <c r="BV1590" s="300">
        <f t="shared" si="479"/>
        <v>0</v>
      </c>
      <c r="BW1590" s="321">
        <v>0</v>
      </c>
      <c r="BX1590" s="298">
        <f t="shared" si="480"/>
        <v>0.25</v>
      </c>
      <c r="BY1590">
        <f t="shared" si="481"/>
        <v>0</v>
      </c>
      <c r="BZ1590" s="304">
        <f t="shared" si="482"/>
        <v>0</v>
      </c>
      <c r="CB1590" s="299">
        <v>0.6</v>
      </c>
      <c r="CC1590" s="299">
        <v>0.4</v>
      </c>
      <c r="CD1590">
        <f t="shared" si="483"/>
        <v>0</v>
      </c>
      <c r="CE1590">
        <f t="shared" si="484"/>
        <v>0</v>
      </c>
      <c r="CF1590">
        <f t="shared" si="485"/>
        <v>0</v>
      </c>
      <c r="CG1590">
        <f t="shared" si="486"/>
        <v>0</v>
      </c>
      <c r="CH1590">
        <f t="shared" si="487"/>
        <v>0</v>
      </c>
      <c r="CI1590">
        <f t="shared" si="488"/>
        <v>0</v>
      </c>
      <c r="CJ1590">
        <f t="shared" si="489"/>
        <v>0</v>
      </c>
      <c r="CK1590">
        <f t="shared" si="490"/>
        <v>0</v>
      </c>
      <c r="CL1590">
        <f t="shared" si="491"/>
        <v>0</v>
      </c>
      <c r="CM1590">
        <f t="shared" si="493"/>
        <v>0</v>
      </c>
      <c r="CN1590">
        <f t="shared" si="492"/>
        <v>0</v>
      </c>
      <c r="CO1590">
        <f t="shared" si="476"/>
        <v>0</v>
      </c>
    </row>
    <row r="1591" spans="1:93" x14ac:dyDescent="0.25">
      <c r="A1591" s="4">
        <v>2021</v>
      </c>
      <c r="B1591" s="318">
        <v>44361</v>
      </c>
      <c r="C1591" s="4" t="s">
        <v>66</v>
      </c>
      <c r="D1591" s="4" t="s">
        <v>1525</v>
      </c>
      <c r="E1591" s="4" t="s">
        <v>87</v>
      </c>
      <c r="F1591" s="4" t="s">
        <v>90</v>
      </c>
      <c r="G1591" s="5" t="s">
        <v>17</v>
      </c>
      <c r="H1591" s="5" t="s">
        <v>20</v>
      </c>
      <c r="I1591" s="5" t="s">
        <v>18</v>
      </c>
      <c r="J1591" s="5" t="s">
        <v>10</v>
      </c>
      <c r="K1591" s="5">
        <v>18.18</v>
      </c>
      <c r="L1591" s="5" t="s">
        <v>193</v>
      </c>
      <c r="M1591" s="5">
        <v>1666</v>
      </c>
      <c r="N1591" s="5" t="s">
        <v>170</v>
      </c>
      <c r="O1591" s="6" t="s">
        <v>81</v>
      </c>
      <c r="P1591" s="6" t="s">
        <v>1505</v>
      </c>
      <c r="S1591" s="6">
        <v>42</v>
      </c>
      <c r="T1591" s="6">
        <v>16.02</v>
      </c>
      <c r="U1591" s="6">
        <v>1451</v>
      </c>
      <c r="V1591" s="6">
        <v>23.57</v>
      </c>
      <c r="W1591" s="6">
        <v>44</v>
      </c>
      <c r="X1591" s="6">
        <v>444</v>
      </c>
      <c r="Y1591" s="6">
        <v>742</v>
      </c>
      <c r="Z1591" s="6">
        <v>211</v>
      </c>
      <c r="AA1591" s="6">
        <v>10</v>
      </c>
      <c r="AB1591" s="6">
        <v>0</v>
      </c>
      <c r="AC1591" s="7">
        <v>177</v>
      </c>
      <c r="AD1591" s="7" t="s">
        <v>53</v>
      </c>
      <c r="AE1591" s="7">
        <v>37.67</v>
      </c>
      <c r="AF1591" s="7">
        <v>27</v>
      </c>
      <c r="AG1591" s="7">
        <v>12.29</v>
      </c>
      <c r="AH1591" s="7">
        <v>76.13</v>
      </c>
      <c r="AI1591" s="7">
        <v>76.13</v>
      </c>
      <c r="AJ1591" s="9">
        <v>231.739183897065</v>
      </c>
      <c r="AK1591" s="9">
        <v>259.571015192044</v>
      </c>
      <c r="AL1591" s="9">
        <v>273.79151007971399</v>
      </c>
      <c r="AM1591" s="9">
        <v>89.731585986645001</v>
      </c>
      <c r="AN1591" s="9">
        <v>0.50695811291889803</v>
      </c>
      <c r="AO1591" s="9">
        <v>0.14835495078758701</v>
      </c>
      <c r="AP1591" s="9">
        <v>1553.4976335738299</v>
      </c>
      <c r="AQ1591" s="9">
        <v>8.7768227885526908</v>
      </c>
      <c r="AR1591" s="9">
        <v>3.8476041097304301</v>
      </c>
      <c r="AS1591" s="8">
        <v>14</v>
      </c>
      <c r="AT1591" s="8">
        <v>6.1300000000000026</v>
      </c>
      <c r="AU1591" s="10">
        <v>74.665723677633238</v>
      </c>
      <c r="AV1591" s="10">
        <v>115.477242163933</v>
      </c>
      <c r="AW1591" s="8">
        <v>0.97</v>
      </c>
      <c r="AX1591" s="10">
        <v>8.2483744402809283</v>
      </c>
      <c r="BF1591" s="12">
        <v>0.55000000000000004</v>
      </c>
      <c r="BG1591" s="13">
        <v>262.26945069719301</v>
      </c>
      <c r="BH1591" s="96" t="str">
        <f>+VLOOKUP(G1591,Liste!$A$7:$G$50,3,FALSE)</f>
        <v>Chêne sessile</v>
      </c>
      <c r="BI1591" s="96" t="str">
        <f>+VLOOKUP(H1591,Liste!$B$7:$G$50,5,FALSE)</f>
        <v>Guide chênaie atlantique</v>
      </c>
      <c r="BJ1591" s="135">
        <f t="shared" si="475"/>
        <v>177</v>
      </c>
      <c r="BK1591" s="135" t="str">
        <f t="shared" si="477"/>
        <v>Chêne sessile_F2_Classique_Guide chênaie atlantique_177_</v>
      </c>
      <c r="BM1591" s="13">
        <v>67.422657913292895</v>
      </c>
      <c r="BN1591" s="13">
        <v>329.692108610486</v>
      </c>
      <c r="BO1591" s="13">
        <v>159.37271975354702</v>
      </c>
      <c r="BP1591" s="13">
        <v>401.52059066910999</v>
      </c>
      <c r="BQ1591" s="13">
        <v>4.3694253548264097</v>
      </c>
      <c r="BT1591" s="298" t="str">
        <f>+VLOOKUP(G1591,Liste!$A$7:$H$50,8,FALSE)</f>
        <v>Feuillus</v>
      </c>
      <c r="BU1591" s="298">
        <f t="shared" si="478"/>
        <v>1</v>
      </c>
      <c r="BV1591" s="300">
        <f t="shared" si="479"/>
        <v>0</v>
      </c>
      <c r="BW1591" s="321">
        <v>0</v>
      </c>
      <c r="BX1591" s="298">
        <f t="shared" si="480"/>
        <v>0.25</v>
      </c>
      <c r="BY1591">
        <f t="shared" si="481"/>
        <v>0</v>
      </c>
      <c r="BZ1591" s="304">
        <f t="shared" si="482"/>
        <v>0</v>
      </c>
      <c r="CB1591" s="299">
        <v>0.6</v>
      </c>
      <c r="CC1591" s="299">
        <v>0.4</v>
      </c>
      <c r="CD1591">
        <f t="shared" si="483"/>
        <v>0</v>
      </c>
      <c r="CE1591">
        <f t="shared" si="484"/>
        <v>0</v>
      </c>
      <c r="CF1591">
        <f t="shared" si="485"/>
        <v>0</v>
      </c>
      <c r="CG1591">
        <f t="shared" si="486"/>
        <v>0</v>
      </c>
      <c r="CH1591">
        <f t="shared" si="487"/>
        <v>0</v>
      </c>
      <c r="CI1591">
        <f t="shared" si="488"/>
        <v>0</v>
      </c>
      <c r="CJ1591">
        <f t="shared" si="489"/>
        <v>0</v>
      </c>
      <c r="CK1591">
        <f t="shared" si="490"/>
        <v>0</v>
      </c>
      <c r="CL1591">
        <f t="shared" si="491"/>
        <v>0</v>
      </c>
      <c r="CM1591">
        <f t="shared" si="493"/>
        <v>0</v>
      </c>
      <c r="CN1591">
        <f t="shared" si="492"/>
        <v>0</v>
      </c>
      <c r="CO1591">
        <f t="shared" si="476"/>
        <v>0</v>
      </c>
    </row>
    <row r="1592" spans="1:93" x14ac:dyDescent="0.25">
      <c r="A1592" s="4">
        <v>2021</v>
      </c>
      <c r="B1592" s="318">
        <v>44361</v>
      </c>
      <c r="C1592" s="4" t="s">
        <v>66</v>
      </c>
      <c r="D1592" s="4" t="s">
        <v>1525</v>
      </c>
      <c r="E1592" s="4" t="s">
        <v>87</v>
      </c>
      <c r="F1592" s="4" t="s">
        <v>90</v>
      </c>
      <c r="G1592" s="5" t="s">
        <v>17</v>
      </c>
      <c r="H1592" s="5" t="s">
        <v>20</v>
      </c>
      <c r="I1592" s="5" t="s">
        <v>18</v>
      </c>
      <c r="J1592" s="5" t="s">
        <v>10</v>
      </c>
      <c r="K1592" s="5">
        <v>18.18</v>
      </c>
      <c r="L1592" s="5" t="s">
        <v>193</v>
      </c>
      <c r="M1592" s="5">
        <v>1666</v>
      </c>
      <c r="N1592" s="5" t="s">
        <v>170</v>
      </c>
      <c r="O1592" s="6" t="s">
        <v>81</v>
      </c>
      <c r="P1592" s="6" t="s">
        <v>1505</v>
      </c>
      <c r="S1592" s="6">
        <v>42</v>
      </c>
      <c r="T1592" s="6">
        <v>16.02</v>
      </c>
      <c r="U1592" s="6">
        <v>1451</v>
      </c>
      <c r="V1592" s="6">
        <v>23.57</v>
      </c>
      <c r="W1592" s="6">
        <v>44</v>
      </c>
      <c r="X1592" s="6">
        <v>444</v>
      </c>
      <c r="Y1592" s="6">
        <v>742</v>
      </c>
      <c r="Z1592" s="6">
        <v>211</v>
      </c>
      <c r="AA1592" s="6">
        <v>10</v>
      </c>
      <c r="AB1592" s="6">
        <v>0</v>
      </c>
      <c r="AC1592" s="7">
        <v>180</v>
      </c>
      <c r="AD1592" s="7" t="s">
        <v>52</v>
      </c>
      <c r="AE1592" s="7">
        <v>37.86</v>
      </c>
      <c r="AF1592" s="7">
        <v>27</v>
      </c>
      <c r="AG1592" s="7">
        <v>12.74</v>
      </c>
      <c r="AH1592" s="7">
        <v>77.5</v>
      </c>
      <c r="AI1592" s="7">
        <v>77.5</v>
      </c>
      <c r="AJ1592" s="9">
        <v>241.339308393837</v>
      </c>
      <c r="AK1592" s="9">
        <v>270.62859678758298</v>
      </c>
      <c r="AL1592" s="9">
        <v>285.334322408905</v>
      </c>
      <c r="AM1592" s="9">
        <v>90.176650839007806</v>
      </c>
      <c r="AN1592" s="9">
        <v>0.50098139355004301</v>
      </c>
      <c r="AO1592" s="9">
        <v>9.2324017492288094E-2</v>
      </c>
      <c r="AP1592" s="9">
        <v>1565.0404459030201</v>
      </c>
      <c r="AQ1592" s="9">
        <v>8.6946691439056494</v>
      </c>
      <c r="AR1592" s="9">
        <v>2.3458757126037</v>
      </c>
      <c r="AS1592" s="8" t="s">
        <v>169</v>
      </c>
      <c r="AT1592" s="8" t="s">
        <v>169</v>
      </c>
      <c r="AU1592" s="10" t="s">
        <v>169</v>
      </c>
      <c r="AV1592" s="10">
        <v>0</v>
      </c>
      <c r="AX1592" s="10" t="s">
        <v>169</v>
      </c>
      <c r="BF1592" s="12">
        <v>0.55000000000000004</v>
      </c>
      <c r="BG1592" s="13">
        <v>273.32650300753102</v>
      </c>
      <c r="BH1592" s="96" t="str">
        <f>+VLOOKUP(G1592,Liste!$A$7:$G$50,3,FALSE)</f>
        <v>Chêne sessile</v>
      </c>
      <c r="BI1592" s="96" t="str">
        <f>+VLOOKUP(H1592,Liste!$B$7:$G$50,5,FALSE)</f>
        <v>Guide chênaie atlantique</v>
      </c>
      <c r="BJ1592" s="135">
        <f t="shared" si="475"/>
        <v>180</v>
      </c>
      <c r="BK1592" s="135" t="str">
        <f t="shared" si="477"/>
        <v>Chêne sessile_F2_Classique_Guide chênaie atlantique_180_</v>
      </c>
      <c r="BM1592" s="13">
        <v>69.928205799965198</v>
      </c>
      <c r="BN1592" s="13">
        <v>343.254708807496</v>
      </c>
      <c r="BO1592" s="13" t="s">
        <v>169</v>
      </c>
      <c r="BP1592" s="13">
        <v>401.52059066910999</v>
      </c>
      <c r="BQ1592" s="13">
        <v>2.6637407396704802</v>
      </c>
      <c r="BT1592" s="298" t="str">
        <f>+VLOOKUP(G1592,Liste!$A$7:$H$50,8,FALSE)</f>
        <v>Feuillus</v>
      </c>
      <c r="BU1592" s="298">
        <f t="shared" si="478"/>
        <v>1</v>
      </c>
      <c r="BV1592" s="300">
        <f t="shared" si="479"/>
        <v>0</v>
      </c>
      <c r="BW1592" s="321">
        <v>0</v>
      </c>
      <c r="BX1592" s="298">
        <f t="shared" si="480"/>
        <v>0.25</v>
      </c>
      <c r="BY1592">
        <f t="shared" si="481"/>
        <v>0</v>
      </c>
      <c r="BZ1592" s="304">
        <f t="shared" si="482"/>
        <v>0</v>
      </c>
      <c r="CB1592" s="299">
        <v>0.6</v>
      </c>
      <c r="CC1592" s="299">
        <v>0.4</v>
      </c>
      <c r="CD1592">
        <f t="shared" si="483"/>
        <v>0</v>
      </c>
      <c r="CE1592">
        <f t="shared" si="484"/>
        <v>0</v>
      </c>
      <c r="CF1592">
        <f t="shared" si="485"/>
        <v>0</v>
      </c>
      <c r="CG1592">
        <f t="shared" si="486"/>
        <v>0</v>
      </c>
      <c r="CH1592">
        <f t="shared" si="487"/>
        <v>0</v>
      </c>
      <c r="CI1592">
        <f t="shared" si="488"/>
        <v>0</v>
      </c>
      <c r="CJ1592">
        <f t="shared" si="489"/>
        <v>0</v>
      </c>
      <c r="CK1592">
        <f t="shared" si="490"/>
        <v>0</v>
      </c>
      <c r="CL1592">
        <f t="shared" si="491"/>
        <v>0</v>
      </c>
      <c r="CM1592">
        <f t="shared" si="493"/>
        <v>0</v>
      </c>
      <c r="CN1592">
        <f t="shared" si="492"/>
        <v>0</v>
      </c>
      <c r="CO1592">
        <f t="shared" si="476"/>
        <v>0</v>
      </c>
    </row>
    <row r="1593" spans="1:93" x14ac:dyDescent="0.25">
      <c r="A1593" s="4">
        <v>2021</v>
      </c>
      <c r="B1593" s="318">
        <v>44361</v>
      </c>
      <c r="C1593" s="4" t="s">
        <v>66</v>
      </c>
      <c r="D1593" s="4" t="s">
        <v>1525</v>
      </c>
      <c r="E1593" s="4" t="s">
        <v>87</v>
      </c>
      <c r="F1593" s="4" t="s">
        <v>90</v>
      </c>
      <c r="G1593" s="5" t="s">
        <v>17</v>
      </c>
      <c r="H1593" s="5" t="s">
        <v>20</v>
      </c>
      <c r="I1593" s="5" t="s">
        <v>18</v>
      </c>
      <c r="J1593" s="5" t="s">
        <v>10</v>
      </c>
      <c r="K1593" s="5">
        <v>18.18</v>
      </c>
      <c r="L1593" s="5" t="s">
        <v>193</v>
      </c>
      <c r="M1593" s="5">
        <v>1666</v>
      </c>
      <c r="N1593" s="5" t="s">
        <v>170</v>
      </c>
      <c r="O1593" s="6" t="s">
        <v>81</v>
      </c>
      <c r="P1593" s="6" t="s">
        <v>1505</v>
      </c>
      <c r="S1593" s="6">
        <v>42</v>
      </c>
      <c r="T1593" s="6">
        <v>16.02</v>
      </c>
      <c r="U1593" s="6">
        <v>1451</v>
      </c>
      <c r="V1593" s="6">
        <v>23.57</v>
      </c>
      <c r="W1593" s="6">
        <v>44</v>
      </c>
      <c r="X1593" s="6">
        <v>444</v>
      </c>
      <c r="Y1593" s="6">
        <v>742</v>
      </c>
      <c r="Z1593" s="6">
        <v>211</v>
      </c>
      <c r="AA1593" s="6">
        <v>10</v>
      </c>
      <c r="AB1593" s="6">
        <v>0</v>
      </c>
      <c r="AC1593" s="7">
        <v>180</v>
      </c>
      <c r="AD1593" s="7" t="s">
        <v>53</v>
      </c>
      <c r="AE1593" s="7">
        <v>37.86</v>
      </c>
      <c r="AF1593" s="7">
        <v>18</v>
      </c>
      <c r="AG1593" s="7">
        <v>8.56</v>
      </c>
      <c r="AH1593" s="7">
        <v>77.819999999999993</v>
      </c>
      <c r="AI1593" s="7">
        <v>77.819999999999993</v>
      </c>
      <c r="AJ1593" s="9">
        <v>162.29983825006099</v>
      </c>
      <c r="AK1593" s="9">
        <v>182.06557038471601</v>
      </c>
      <c r="AL1593" s="9">
        <v>191.951048291456</v>
      </c>
      <c r="AM1593" s="9">
        <v>90.176650839007806</v>
      </c>
      <c r="AN1593" s="9">
        <v>0.50098139355004301</v>
      </c>
      <c r="AO1593" s="9">
        <v>9.2324017492288094E-2</v>
      </c>
      <c r="AP1593" s="9">
        <v>1565.0404459030201</v>
      </c>
      <c r="AQ1593" s="9">
        <v>8.6946691439056494</v>
      </c>
      <c r="AR1593" s="9">
        <v>2.3458757126037</v>
      </c>
      <c r="AS1593" s="8">
        <v>9</v>
      </c>
      <c r="AT1593" s="8">
        <v>4.18</v>
      </c>
      <c r="AU1593" s="10">
        <v>76.899221907586295</v>
      </c>
      <c r="AV1593" s="10">
        <v>79.039470143776015</v>
      </c>
      <c r="AW1593" s="8">
        <v>0.98</v>
      </c>
      <c r="AX1593" s="10">
        <v>8.7821633493084459</v>
      </c>
      <c r="BF1593" s="12">
        <v>0.55000000000000004</v>
      </c>
      <c r="BG1593" s="13">
        <v>183.87310834252401</v>
      </c>
      <c r="BH1593" s="96" t="str">
        <f>+VLOOKUP(G1593,Liste!$A$7:$G$50,3,FALSE)</f>
        <v>Chêne sessile</v>
      </c>
      <c r="BI1593" s="96" t="str">
        <f>+VLOOKUP(H1593,Liste!$B$7:$G$50,5,FALSE)</f>
        <v>Guide chênaie atlantique</v>
      </c>
      <c r="BJ1593" s="135">
        <f t="shared" si="475"/>
        <v>180</v>
      </c>
      <c r="BK1593" s="135" t="str">
        <f t="shared" si="477"/>
        <v>Chêne sessile_F2_Classique_Guide chênaie atlantique_180_</v>
      </c>
      <c r="BM1593" s="13">
        <v>49.263888973428401</v>
      </c>
      <c r="BN1593" s="13">
        <v>233.13699731595199</v>
      </c>
      <c r="BO1593" s="13">
        <v>110.11771149154401</v>
      </c>
      <c r="BP1593" s="13">
        <v>401.52059066910999</v>
      </c>
      <c r="BQ1593" s="13">
        <v>2.6637407396704802</v>
      </c>
      <c r="BT1593" s="298" t="str">
        <f>+VLOOKUP(G1593,Liste!$A$7:$H$50,8,FALSE)</f>
        <v>Feuillus</v>
      </c>
      <c r="BU1593" s="298">
        <f t="shared" si="478"/>
        <v>1</v>
      </c>
      <c r="BV1593" s="300">
        <f t="shared" si="479"/>
        <v>0</v>
      </c>
      <c r="BW1593" s="321">
        <v>0</v>
      </c>
      <c r="BX1593" s="298">
        <f t="shared" si="480"/>
        <v>0.25</v>
      </c>
      <c r="BY1593">
        <f t="shared" si="481"/>
        <v>0</v>
      </c>
      <c r="BZ1593" s="304">
        <f t="shared" si="482"/>
        <v>0</v>
      </c>
      <c r="CB1593" s="299">
        <v>0.6</v>
      </c>
      <c r="CC1593" s="299">
        <v>0.4</v>
      </c>
      <c r="CD1593">
        <f t="shared" si="483"/>
        <v>0</v>
      </c>
      <c r="CE1593">
        <f t="shared" si="484"/>
        <v>0</v>
      </c>
      <c r="CF1593">
        <f t="shared" si="485"/>
        <v>0</v>
      </c>
      <c r="CG1593">
        <f t="shared" si="486"/>
        <v>0</v>
      </c>
      <c r="CH1593">
        <f t="shared" si="487"/>
        <v>0</v>
      </c>
      <c r="CI1593">
        <f t="shared" si="488"/>
        <v>0</v>
      </c>
      <c r="CJ1593">
        <f t="shared" si="489"/>
        <v>0</v>
      </c>
      <c r="CK1593">
        <f t="shared" si="490"/>
        <v>0</v>
      </c>
      <c r="CL1593">
        <f t="shared" si="491"/>
        <v>0</v>
      </c>
      <c r="CM1593">
        <f t="shared" si="493"/>
        <v>0</v>
      </c>
      <c r="CN1593">
        <f t="shared" si="492"/>
        <v>0</v>
      </c>
      <c r="CO1593">
        <f t="shared" si="476"/>
        <v>0</v>
      </c>
    </row>
    <row r="1594" spans="1:93" x14ac:dyDescent="0.25">
      <c r="A1594" s="4">
        <v>2021</v>
      </c>
      <c r="B1594" s="318">
        <v>44361</v>
      </c>
      <c r="C1594" s="4" t="s">
        <v>66</v>
      </c>
      <c r="D1594" s="4" t="s">
        <v>1525</v>
      </c>
      <c r="E1594" s="4" t="s">
        <v>87</v>
      </c>
      <c r="F1594" s="4" t="s">
        <v>90</v>
      </c>
      <c r="G1594" s="5" t="s">
        <v>17</v>
      </c>
      <c r="H1594" s="5" t="s">
        <v>20</v>
      </c>
      <c r="I1594" s="5" t="s">
        <v>18</v>
      </c>
      <c r="J1594" s="5" t="s">
        <v>10</v>
      </c>
      <c r="K1594" s="5">
        <v>18.18</v>
      </c>
      <c r="L1594" s="5" t="s">
        <v>193</v>
      </c>
      <c r="M1594" s="5">
        <v>1666</v>
      </c>
      <c r="N1594" s="5" t="s">
        <v>170</v>
      </c>
      <c r="O1594" s="6" t="s">
        <v>81</v>
      </c>
      <c r="P1594" s="6" t="s">
        <v>1505</v>
      </c>
      <c r="S1594" s="6">
        <v>42</v>
      </c>
      <c r="T1594" s="6">
        <v>16.02</v>
      </c>
      <c r="U1594" s="6">
        <v>1451</v>
      </c>
      <c r="V1594" s="6">
        <v>23.57</v>
      </c>
      <c r="W1594" s="6">
        <v>44</v>
      </c>
      <c r="X1594" s="6">
        <v>444</v>
      </c>
      <c r="Y1594" s="6">
        <v>742</v>
      </c>
      <c r="Z1594" s="6">
        <v>211</v>
      </c>
      <c r="AA1594" s="6">
        <v>10</v>
      </c>
      <c r="AB1594" s="6">
        <v>0</v>
      </c>
      <c r="AC1594" s="7">
        <v>183</v>
      </c>
      <c r="AD1594" s="7" t="s">
        <v>52</v>
      </c>
      <c r="AE1594" s="7">
        <v>38</v>
      </c>
      <c r="AF1594" s="7">
        <v>18</v>
      </c>
      <c r="AG1594" s="7">
        <v>8.84</v>
      </c>
      <c r="AH1594" s="7">
        <v>79.069999999999993</v>
      </c>
      <c r="AI1594" s="7">
        <v>79.069999999999993</v>
      </c>
      <c r="AJ1594" s="9">
        <v>168.09186309068599</v>
      </c>
      <c r="AK1594" s="9">
        <v>188.79869972441301</v>
      </c>
      <c r="AL1594" s="9">
        <v>198.988675429267</v>
      </c>
      <c r="AM1594" s="9">
        <v>90.453622891484599</v>
      </c>
      <c r="AN1594" s="9">
        <v>0.49428209230319498</v>
      </c>
      <c r="AP1594" s="9">
        <v>1572.0780730408301</v>
      </c>
      <c r="AQ1594" s="9">
        <v>8.5905905630646409</v>
      </c>
      <c r="AS1594" s="8" t="s">
        <v>169</v>
      </c>
      <c r="AT1594" s="8" t="s">
        <v>169</v>
      </c>
      <c r="AU1594" s="10" t="s">
        <v>169</v>
      </c>
      <c r="AV1594" s="10">
        <v>0</v>
      </c>
      <c r="AX1594" s="10" t="s">
        <v>169</v>
      </c>
      <c r="BF1594" s="12">
        <v>0.55000000000000004</v>
      </c>
      <c r="BG1594" s="13">
        <v>190.614568671619</v>
      </c>
      <c r="BH1594" s="96" t="str">
        <f>+VLOOKUP(G1594,Liste!$A$7:$G$50,3,FALSE)</f>
        <v>Chêne sessile</v>
      </c>
      <c r="BI1594" s="96" t="str">
        <f>+VLOOKUP(H1594,Liste!$B$7:$G$50,5,FALSE)</f>
        <v>Guide chênaie atlantique</v>
      </c>
      <c r="BJ1594" s="135">
        <f t="shared" si="475"/>
        <v>183</v>
      </c>
      <c r="BK1594" s="135" t="str">
        <f t="shared" si="477"/>
        <v>Chêne sessile_F2_Classique_Guide chênaie atlantique_183_</v>
      </c>
      <c r="BM1594" s="13">
        <v>50.856482320916697</v>
      </c>
      <c r="BN1594" s="13">
        <v>241.471050992535</v>
      </c>
      <c r="BO1594" s="13" t="s">
        <v>169</v>
      </c>
      <c r="BP1594" s="13">
        <v>401.52059066910999</v>
      </c>
      <c r="BT1594" s="298" t="str">
        <f>+VLOOKUP(G1594,Liste!$A$7:$H$50,8,FALSE)</f>
        <v>Feuillus</v>
      </c>
      <c r="BU1594" s="298">
        <f t="shared" si="478"/>
        <v>1</v>
      </c>
      <c r="BV1594" s="300">
        <f t="shared" si="479"/>
        <v>0</v>
      </c>
      <c r="BW1594" s="321">
        <v>0</v>
      </c>
      <c r="BX1594" s="298">
        <f t="shared" si="480"/>
        <v>0.25</v>
      </c>
      <c r="BY1594">
        <f t="shared" si="481"/>
        <v>0</v>
      </c>
      <c r="BZ1594" s="304">
        <f t="shared" si="482"/>
        <v>0</v>
      </c>
      <c r="CB1594" s="299">
        <v>0.6</v>
      </c>
      <c r="CC1594" s="299">
        <v>0.4</v>
      </c>
      <c r="CD1594">
        <f t="shared" si="483"/>
        <v>0</v>
      </c>
      <c r="CE1594">
        <f t="shared" si="484"/>
        <v>0</v>
      </c>
      <c r="CF1594">
        <f t="shared" si="485"/>
        <v>0</v>
      </c>
      <c r="CG1594">
        <f t="shared" si="486"/>
        <v>0</v>
      </c>
      <c r="CH1594">
        <f t="shared" si="487"/>
        <v>0</v>
      </c>
      <c r="CI1594">
        <f t="shared" si="488"/>
        <v>0</v>
      </c>
      <c r="CJ1594">
        <f t="shared" si="489"/>
        <v>0</v>
      </c>
      <c r="CK1594">
        <f t="shared" si="490"/>
        <v>0</v>
      </c>
      <c r="CL1594">
        <f t="shared" si="491"/>
        <v>0</v>
      </c>
      <c r="CM1594">
        <f t="shared" si="493"/>
        <v>0</v>
      </c>
      <c r="CN1594">
        <f t="shared" si="492"/>
        <v>0</v>
      </c>
      <c r="CO1594">
        <f t="shared" si="476"/>
        <v>0</v>
      </c>
    </row>
    <row r="1595" spans="1:93" x14ac:dyDescent="0.25">
      <c r="A1595" s="4">
        <v>2021</v>
      </c>
      <c r="B1595" s="318">
        <v>44361</v>
      </c>
      <c r="C1595" s="4" t="s">
        <v>66</v>
      </c>
      <c r="D1595" s="4" t="s">
        <v>1525</v>
      </c>
      <c r="E1595" s="4" t="s">
        <v>87</v>
      </c>
      <c r="F1595" s="4" t="s">
        <v>90</v>
      </c>
      <c r="G1595" s="5" t="s">
        <v>17</v>
      </c>
      <c r="H1595" s="5" t="s">
        <v>20</v>
      </c>
      <c r="I1595" s="5" t="s">
        <v>18</v>
      </c>
      <c r="J1595" s="5" t="s">
        <v>10</v>
      </c>
      <c r="K1595" s="5">
        <v>18.18</v>
      </c>
      <c r="L1595" s="5" t="s">
        <v>193</v>
      </c>
      <c r="M1595" s="5">
        <v>1666</v>
      </c>
      <c r="N1595" s="5" t="s">
        <v>170</v>
      </c>
      <c r="O1595" s="6" t="s">
        <v>81</v>
      </c>
      <c r="P1595" s="6" t="s">
        <v>1505</v>
      </c>
      <c r="S1595" s="6">
        <v>42</v>
      </c>
      <c r="T1595" s="6">
        <v>16.02</v>
      </c>
      <c r="U1595" s="6">
        <v>1451</v>
      </c>
      <c r="V1595" s="6">
        <v>23.57</v>
      </c>
      <c r="W1595" s="6">
        <v>44</v>
      </c>
      <c r="X1595" s="6">
        <v>444</v>
      </c>
      <c r="Y1595" s="6">
        <v>742</v>
      </c>
      <c r="Z1595" s="6">
        <v>211</v>
      </c>
      <c r="AA1595" s="6">
        <v>10</v>
      </c>
      <c r="AB1595" s="6">
        <v>0</v>
      </c>
      <c r="AC1595" s="7">
        <v>183</v>
      </c>
      <c r="AD1595" s="7" t="s">
        <v>53</v>
      </c>
      <c r="AE1595" s="7">
        <v>38</v>
      </c>
      <c r="AF1595" s="7">
        <v>0</v>
      </c>
      <c r="AG1595" s="7">
        <v>0</v>
      </c>
      <c r="AH1595" s="7">
        <v>0</v>
      </c>
      <c r="AI1595" s="7">
        <v>0</v>
      </c>
      <c r="AJ1595" s="9">
        <v>0</v>
      </c>
      <c r="AK1595" s="9">
        <v>0</v>
      </c>
      <c r="AL1595" s="9">
        <v>0</v>
      </c>
      <c r="AM1595" s="9">
        <v>90.453622891484599</v>
      </c>
      <c r="AN1595" s="9">
        <v>0.49428209230319498</v>
      </c>
      <c r="AP1595" s="9">
        <v>1572.0780730408301</v>
      </c>
      <c r="AQ1595" s="9">
        <v>8.5905905630646409</v>
      </c>
      <c r="AS1595" s="8">
        <v>18</v>
      </c>
      <c r="AT1595" s="8">
        <v>8.84</v>
      </c>
      <c r="AU1595" s="10">
        <v>79.07604488879619</v>
      </c>
      <c r="AV1595" s="10">
        <v>168.09186309068599</v>
      </c>
      <c r="AW1595" s="8">
        <v>1</v>
      </c>
      <c r="AX1595" s="10">
        <v>9.3384368383714431</v>
      </c>
      <c r="BF1595" s="12">
        <v>0.55000000000000004</v>
      </c>
      <c r="BG1595" s="13">
        <v>0</v>
      </c>
      <c r="BH1595" s="96" t="str">
        <f>+VLOOKUP(G1595,Liste!$A$7:$G$50,3,FALSE)</f>
        <v>Chêne sessile</v>
      </c>
      <c r="BI1595" s="96" t="str">
        <f>+VLOOKUP(H1595,Liste!$B$7:$G$50,5,FALSE)</f>
        <v>Guide chênaie atlantique</v>
      </c>
      <c r="BJ1595" s="135">
        <f t="shared" si="475"/>
        <v>183</v>
      </c>
      <c r="BK1595" s="135" t="str">
        <f t="shared" si="477"/>
        <v>Chêne sessile_F2_Classique_Guide chênaie atlantique_183_</v>
      </c>
      <c r="BM1595" s="13">
        <v>0</v>
      </c>
      <c r="BN1595" s="13">
        <v>0</v>
      </c>
      <c r="BO1595" s="13">
        <v>241.471050992535</v>
      </c>
      <c r="BP1595" s="13">
        <v>401.52059066910999</v>
      </c>
      <c r="BT1595" s="298" t="str">
        <f>+VLOOKUP(G1595,Liste!$A$7:$H$50,8,FALSE)</f>
        <v>Feuillus</v>
      </c>
      <c r="BU1595" s="298">
        <f t="shared" si="478"/>
        <v>1</v>
      </c>
      <c r="BV1595" s="300">
        <f t="shared" si="479"/>
        <v>0</v>
      </c>
      <c r="BW1595" s="321">
        <v>0</v>
      </c>
      <c r="BX1595" s="298">
        <f t="shared" si="480"/>
        <v>0.25</v>
      </c>
      <c r="BY1595">
        <f t="shared" si="481"/>
        <v>0</v>
      </c>
      <c r="BZ1595" s="304">
        <f t="shared" si="482"/>
        <v>0</v>
      </c>
      <c r="CB1595" s="299">
        <v>0.6</v>
      </c>
      <c r="CC1595" s="299">
        <v>0.4</v>
      </c>
      <c r="CD1595">
        <f t="shared" si="483"/>
        <v>0</v>
      </c>
      <c r="CE1595">
        <f t="shared" si="484"/>
        <v>0</v>
      </c>
      <c r="CF1595">
        <f t="shared" si="485"/>
        <v>0</v>
      </c>
      <c r="CG1595">
        <f t="shared" si="486"/>
        <v>0</v>
      </c>
      <c r="CH1595">
        <f t="shared" si="487"/>
        <v>0</v>
      </c>
      <c r="CI1595">
        <f t="shared" si="488"/>
        <v>0</v>
      </c>
      <c r="CJ1595">
        <f t="shared" si="489"/>
        <v>0</v>
      </c>
      <c r="CK1595">
        <f t="shared" si="490"/>
        <v>0</v>
      </c>
      <c r="CL1595">
        <f t="shared" si="491"/>
        <v>0</v>
      </c>
      <c r="CM1595">
        <f t="shared" si="493"/>
        <v>0</v>
      </c>
      <c r="CN1595">
        <f t="shared" si="492"/>
        <v>0</v>
      </c>
      <c r="CO1595">
        <f t="shared" si="476"/>
        <v>0</v>
      </c>
    </row>
    <row r="1596" spans="1:93" x14ac:dyDescent="0.25">
      <c r="A1596" s="4">
        <v>2021</v>
      </c>
      <c r="B1596" s="318">
        <v>44372</v>
      </c>
      <c r="C1596" s="4" t="s">
        <v>1524</v>
      </c>
      <c r="D1596" s="4" t="s">
        <v>1525</v>
      </c>
      <c r="F1596" s="4" t="s">
        <v>90</v>
      </c>
      <c r="G1596" s="5" t="s">
        <v>1514</v>
      </c>
      <c r="H1596" s="5" t="s">
        <v>1527</v>
      </c>
      <c r="I1596" s="5" t="s">
        <v>18</v>
      </c>
      <c r="J1596" s="5" t="s">
        <v>10</v>
      </c>
      <c r="K1596" s="5">
        <v>12</v>
      </c>
      <c r="L1596" s="5" t="s">
        <v>1528</v>
      </c>
      <c r="M1596" s="5">
        <v>1100</v>
      </c>
      <c r="N1596" s="5" t="s">
        <v>170</v>
      </c>
      <c r="O1596" s="6" t="s">
        <v>81</v>
      </c>
      <c r="P1596" s="6" t="s">
        <v>1530</v>
      </c>
      <c r="S1596" s="6">
        <v>18</v>
      </c>
      <c r="T1596" s="6">
        <v>4.34</v>
      </c>
      <c r="U1596" s="6">
        <v>1101</v>
      </c>
      <c r="V1596" s="6">
        <v>4.92</v>
      </c>
      <c r="W1596" s="6">
        <v>569</v>
      </c>
      <c r="X1596" s="6">
        <v>532</v>
      </c>
      <c r="Y1596" s="6">
        <v>0</v>
      </c>
      <c r="Z1596" s="6">
        <v>0</v>
      </c>
      <c r="AA1596" s="6">
        <v>0</v>
      </c>
      <c r="AB1596" s="6">
        <v>0</v>
      </c>
      <c r="AC1596" s="7">
        <v>18</v>
      </c>
      <c r="AD1596" s="7" t="s">
        <v>52</v>
      </c>
      <c r="AE1596" s="7">
        <v>4.34</v>
      </c>
      <c r="AF1596" s="7">
        <v>1101</v>
      </c>
      <c r="AG1596" s="7">
        <v>4.92</v>
      </c>
      <c r="AH1596" s="7">
        <v>7.55</v>
      </c>
      <c r="AI1596" s="7">
        <v>9.52</v>
      </c>
      <c r="AJ1596" s="9">
        <v>8.0882942243768792</v>
      </c>
      <c r="AK1596" s="9">
        <v>8.4616298584397995</v>
      </c>
      <c r="AL1596" s="9">
        <v>27.343647575731101</v>
      </c>
      <c r="AM1596" s="9">
        <v>4.9238636797948496</v>
      </c>
      <c r="AN1596" s="9">
        <v>0.27354798221082499</v>
      </c>
      <c r="AO1596" s="9">
        <v>0.61507817852366198</v>
      </c>
      <c r="AP1596" s="9">
        <v>27.343647575731101</v>
      </c>
      <c r="AQ1596" s="9">
        <v>1.51909153198506</v>
      </c>
      <c r="AR1596" s="9">
        <v>3.08991050035424</v>
      </c>
      <c r="AV1596" s="10">
        <v>0</v>
      </c>
      <c r="BF1596" s="12">
        <v>0.45</v>
      </c>
      <c r="BG1596" s="13">
        <v>21.4305837874792</v>
      </c>
      <c r="BH1596" s="96" t="str">
        <f>+VLOOKUP(G1596,Liste!$A$7:$G$50,3,FALSE)</f>
        <v>Pin d'Alep</v>
      </c>
      <c r="BI1596" s="96" t="str">
        <f>+VLOOKUP(H1596,Liste!$B$7:$G$50,5,FALSE)</f>
        <v>Pin d'Alep</v>
      </c>
      <c r="BJ1596" s="135">
        <f t="shared" si="475"/>
        <v>18</v>
      </c>
      <c r="BK1596" s="135" t="str">
        <f t="shared" si="477"/>
        <v>Pin d'Alep_F2_Classique_Pin d'Alep_18_</v>
      </c>
      <c r="BM1596" s="13">
        <v>7.3739814283672196</v>
      </c>
      <c r="BN1596" s="13">
        <v>28.804565215846399</v>
      </c>
      <c r="BP1596" s="13">
        <v>134.534925639471</v>
      </c>
      <c r="BQ1596" s="13">
        <v>3.1533543323664999</v>
      </c>
      <c r="BT1596" s="298" t="str">
        <f>+VLOOKUP(G1596,Liste!$A$7:$H$50,8,FALSE)</f>
        <v>Résineux</v>
      </c>
      <c r="BU1596" s="298">
        <f t="shared" si="478"/>
        <v>0</v>
      </c>
      <c r="BV1596" s="300">
        <f t="shared" si="479"/>
        <v>1</v>
      </c>
      <c r="BW1596" s="321">
        <v>0</v>
      </c>
      <c r="BX1596" s="298">
        <f t="shared" si="480"/>
        <v>0.43</v>
      </c>
      <c r="BY1596">
        <f t="shared" si="481"/>
        <v>0</v>
      </c>
      <c r="BZ1596" s="304">
        <f t="shared" si="482"/>
        <v>0</v>
      </c>
      <c r="CB1596" s="299">
        <v>0.6</v>
      </c>
      <c r="CC1596" s="299">
        <v>0.4</v>
      </c>
      <c r="CD1596">
        <f t="shared" si="483"/>
        <v>0</v>
      </c>
      <c r="CE1596">
        <f t="shared" si="484"/>
        <v>0</v>
      </c>
      <c r="CF1596">
        <f t="shared" si="485"/>
        <v>0</v>
      </c>
      <c r="CG1596">
        <f t="shared" si="486"/>
        <v>0</v>
      </c>
      <c r="CH1596">
        <f t="shared" si="487"/>
        <v>0</v>
      </c>
      <c r="CI1596">
        <f t="shared" si="488"/>
        <v>0</v>
      </c>
      <c r="CJ1596">
        <f t="shared" si="489"/>
        <v>0</v>
      </c>
      <c r="CK1596">
        <f t="shared" si="490"/>
        <v>0</v>
      </c>
      <c r="CL1596">
        <f t="shared" si="491"/>
        <v>0</v>
      </c>
      <c r="CM1596">
        <f t="shared" si="493"/>
        <v>0</v>
      </c>
      <c r="CN1596">
        <f t="shared" si="492"/>
        <v>0</v>
      </c>
      <c r="CO1596">
        <f t="shared" si="476"/>
        <v>0</v>
      </c>
    </row>
    <row r="1597" spans="1:93" x14ac:dyDescent="0.25">
      <c r="B1597" s="318">
        <v>44372</v>
      </c>
      <c r="C1597" s="4" t="s">
        <v>1524</v>
      </c>
      <c r="D1597" s="4" t="s">
        <v>1525</v>
      </c>
      <c r="F1597" s="4" t="s">
        <v>90</v>
      </c>
      <c r="G1597" s="5" t="s">
        <v>1514</v>
      </c>
      <c r="H1597" s="5" t="s">
        <v>1527</v>
      </c>
      <c r="I1597" s="5" t="s">
        <v>18</v>
      </c>
      <c r="J1597" s="5" t="s">
        <v>10</v>
      </c>
      <c r="K1597" s="5">
        <v>12</v>
      </c>
      <c r="L1597" s="5" t="s">
        <v>1528</v>
      </c>
      <c r="M1597" s="5">
        <v>1100</v>
      </c>
      <c r="N1597" s="5" t="s">
        <v>170</v>
      </c>
      <c r="O1597" s="6" t="s">
        <v>81</v>
      </c>
      <c r="P1597" s="6" t="s">
        <v>1530</v>
      </c>
      <c r="S1597" s="6">
        <v>18</v>
      </c>
      <c r="T1597" s="6">
        <v>4.34</v>
      </c>
      <c r="U1597" s="6">
        <v>1101</v>
      </c>
      <c r="V1597" s="6">
        <v>4.92</v>
      </c>
      <c r="W1597" s="6">
        <v>569</v>
      </c>
      <c r="X1597" s="6">
        <v>532</v>
      </c>
      <c r="Y1597" s="6">
        <v>0</v>
      </c>
      <c r="Z1597" s="6">
        <v>0</v>
      </c>
      <c r="AA1597" s="6">
        <v>0</v>
      </c>
      <c r="AB1597" s="6">
        <v>0</v>
      </c>
      <c r="AC1597" s="7">
        <v>19</v>
      </c>
      <c r="AD1597" s="7" t="s">
        <v>52</v>
      </c>
      <c r="AE1597" s="7">
        <v>4.6500000000000004</v>
      </c>
      <c r="AF1597" s="7">
        <v>1101</v>
      </c>
      <c r="AG1597" s="7">
        <v>5.54</v>
      </c>
      <c r="AH1597" s="7">
        <v>8</v>
      </c>
      <c r="AI1597" s="7">
        <v>10.01</v>
      </c>
      <c r="AJ1597" s="9">
        <v>10.710395292531199</v>
      </c>
      <c r="AK1597" s="9">
        <v>11.093812815738</v>
      </c>
      <c r="AL1597" s="9">
        <v>30.433558076085301</v>
      </c>
      <c r="AM1597" s="9">
        <v>5.5389418583185099</v>
      </c>
      <c r="AN1597" s="9">
        <v>0.29152325570097398</v>
      </c>
      <c r="AO1597" s="9">
        <v>0.64377426336573196</v>
      </c>
      <c r="AP1597" s="9">
        <v>30.433558076085301</v>
      </c>
      <c r="AQ1597" s="9">
        <v>1.60176621453081</v>
      </c>
      <c r="AR1597" s="9">
        <v>3.5380673953553701</v>
      </c>
      <c r="AS1597" s="8" t="s">
        <v>169</v>
      </c>
      <c r="AT1597" s="8" t="s">
        <v>169</v>
      </c>
      <c r="AU1597" s="8" t="s">
        <v>169</v>
      </c>
      <c r="AV1597" s="10">
        <v>0</v>
      </c>
      <c r="AW1597" s="8" t="s">
        <v>169</v>
      </c>
      <c r="AX1597" s="8" t="s">
        <v>169</v>
      </c>
      <c r="BF1597" s="12">
        <v>0.45</v>
      </c>
      <c r="BG1597" s="13">
        <v>23.8523011421319</v>
      </c>
      <c r="BH1597" s="96" t="str">
        <f>+VLOOKUP(G1597,Liste!$A$7:$G$50,3,FALSE)</f>
        <v>Pin d'Alep</v>
      </c>
      <c r="BI1597" s="96" t="str">
        <f>+VLOOKUP(H1597,Liste!$B$7:$G$50,5,FALSE)</f>
        <v>Pin d'Alep</v>
      </c>
      <c r="BJ1597" s="135">
        <f t="shared" si="475"/>
        <v>19</v>
      </c>
      <c r="BK1597" s="135" t="str">
        <f t="shared" si="477"/>
        <v>Pin d'Alep_F2_Classique_Pin d'Alep_19_</v>
      </c>
      <c r="BM1597" s="13">
        <v>8.1056184060810796</v>
      </c>
      <c r="BN1597" s="13">
        <v>31.957919548212899</v>
      </c>
      <c r="BO1597" s="12" t="s">
        <v>169</v>
      </c>
      <c r="BP1597" s="13">
        <v>134.534925639471</v>
      </c>
      <c r="BQ1597" s="13">
        <v>3.6001924836400701</v>
      </c>
      <c r="BT1597" s="298" t="str">
        <f>+VLOOKUP(G1597,Liste!$A$7:$H$50,8,FALSE)</f>
        <v>Résineux</v>
      </c>
      <c r="BU1597" s="298">
        <f t="shared" si="478"/>
        <v>0</v>
      </c>
      <c r="BV1597" s="300">
        <f t="shared" si="479"/>
        <v>1</v>
      </c>
      <c r="BW1597" s="321">
        <v>0</v>
      </c>
      <c r="BX1597" s="298">
        <f t="shared" si="480"/>
        <v>0.43</v>
      </c>
      <c r="BY1597">
        <f>+IF(BJ1597&lt;=30,AV1597*BX1597,0)</f>
        <v>0</v>
      </c>
      <c r="BZ1597" s="304">
        <f t="shared" si="482"/>
        <v>0</v>
      </c>
      <c r="CB1597" s="299">
        <v>0.6</v>
      </c>
      <c r="CC1597" s="299">
        <v>0.4</v>
      </c>
      <c r="CD1597">
        <f t="shared" si="483"/>
        <v>0</v>
      </c>
      <c r="CE1597">
        <f t="shared" si="484"/>
        <v>0</v>
      </c>
      <c r="CF1597">
        <f t="shared" si="485"/>
        <v>0</v>
      </c>
      <c r="CG1597">
        <f t="shared" si="486"/>
        <v>0</v>
      </c>
      <c r="CH1597">
        <f t="shared" si="487"/>
        <v>0</v>
      </c>
      <c r="CI1597">
        <f t="shared" si="488"/>
        <v>0</v>
      </c>
      <c r="CJ1597">
        <f t="shared" si="489"/>
        <v>0</v>
      </c>
      <c r="CK1597">
        <f t="shared" si="490"/>
        <v>0</v>
      </c>
      <c r="CL1597">
        <f t="shared" si="491"/>
        <v>0</v>
      </c>
      <c r="CM1597">
        <f t="shared" si="493"/>
        <v>0</v>
      </c>
      <c r="CN1597">
        <f t="shared" si="492"/>
        <v>0</v>
      </c>
      <c r="CO1597">
        <f t="shared" si="476"/>
        <v>0</v>
      </c>
    </row>
    <row r="1598" spans="1:93" x14ac:dyDescent="0.25">
      <c r="B1598" s="318">
        <v>44372</v>
      </c>
      <c r="C1598" s="4" t="s">
        <v>1524</v>
      </c>
      <c r="D1598" s="4" t="s">
        <v>1525</v>
      </c>
      <c r="F1598" s="4" t="s">
        <v>90</v>
      </c>
      <c r="G1598" s="5" t="s">
        <v>1514</v>
      </c>
      <c r="H1598" s="5" t="s">
        <v>1527</v>
      </c>
      <c r="I1598" s="5" t="s">
        <v>18</v>
      </c>
      <c r="J1598" s="5" t="s">
        <v>10</v>
      </c>
      <c r="K1598" s="5">
        <v>12</v>
      </c>
      <c r="L1598" s="5" t="s">
        <v>1528</v>
      </c>
      <c r="M1598" s="5">
        <v>1100</v>
      </c>
      <c r="N1598" s="5" t="s">
        <v>170</v>
      </c>
      <c r="O1598" s="6" t="s">
        <v>81</v>
      </c>
      <c r="P1598" s="6" t="s">
        <v>1530</v>
      </c>
      <c r="S1598" s="6">
        <v>18</v>
      </c>
      <c r="T1598" s="6">
        <v>4.34</v>
      </c>
      <c r="U1598" s="6">
        <v>1101</v>
      </c>
      <c r="V1598" s="6">
        <v>4.92</v>
      </c>
      <c r="W1598" s="6">
        <v>569</v>
      </c>
      <c r="X1598" s="6">
        <v>532</v>
      </c>
      <c r="Y1598" s="6">
        <v>0</v>
      </c>
      <c r="Z1598" s="6">
        <v>0</v>
      </c>
      <c r="AA1598" s="6">
        <v>0</v>
      </c>
      <c r="AB1598" s="6">
        <v>0</v>
      </c>
      <c r="AC1598" s="7">
        <v>20</v>
      </c>
      <c r="AD1598" s="7" t="s">
        <v>52</v>
      </c>
      <c r="AE1598" s="7">
        <v>4.95</v>
      </c>
      <c r="AF1598" s="7">
        <v>1101</v>
      </c>
      <c r="AG1598" s="7">
        <v>6.18</v>
      </c>
      <c r="AH1598" s="7">
        <v>8.4600000000000009</v>
      </c>
      <c r="AI1598" s="7">
        <v>10.5</v>
      </c>
      <c r="AJ1598" s="9">
        <v>13.3730002782087</v>
      </c>
      <c r="AK1598" s="9">
        <v>13.7990589763843</v>
      </c>
      <c r="AL1598" s="9">
        <v>33.971625471440703</v>
      </c>
      <c r="AM1598" s="9">
        <v>6.1827161216842503</v>
      </c>
      <c r="AN1598" s="9">
        <v>0.30913580608421198</v>
      </c>
      <c r="AO1598" s="9">
        <v>0.67126490339865796</v>
      </c>
      <c r="AP1598" s="9">
        <v>33.971625471440703</v>
      </c>
      <c r="AQ1598" s="9">
        <v>1.69858127357203</v>
      </c>
      <c r="AR1598" s="9">
        <v>3.8565325753206801</v>
      </c>
      <c r="AS1598" s="8" t="s">
        <v>169</v>
      </c>
      <c r="AT1598" s="8" t="s">
        <v>169</v>
      </c>
      <c r="AU1598" s="8" t="s">
        <v>169</v>
      </c>
      <c r="AV1598" s="10">
        <v>0</v>
      </c>
      <c r="AW1598" s="8" t="s">
        <v>169</v>
      </c>
      <c r="AX1598" s="8" t="s">
        <v>169</v>
      </c>
      <c r="BF1598" s="12">
        <v>0.45</v>
      </c>
      <c r="BG1598" s="13">
        <v>26.6252614632416</v>
      </c>
      <c r="BH1598" s="96" t="str">
        <f>+VLOOKUP(G1598,Liste!$A$7:$G$50,3,FALSE)</f>
        <v>Pin d'Alep</v>
      </c>
      <c r="BI1598" s="96" t="str">
        <f>+VLOOKUP(H1598,Liste!$B$7:$G$50,5,FALSE)</f>
        <v>Pin d'Alep</v>
      </c>
      <c r="BJ1598" s="135">
        <f t="shared" si="475"/>
        <v>20</v>
      </c>
      <c r="BK1598" s="135" t="str">
        <f t="shared" si="477"/>
        <v>Pin d'Alep_F2_Classique_Pin d'Alep_20_</v>
      </c>
      <c r="BM1598" s="13">
        <v>8.9328505686113804</v>
      </c>
      <c r="BN1598" s="13">
        <v>35.558112031853</v>
      </c>
      <c r="BO1598" s="12" t="s">
        <v>169</v>
      </c>
      <c r="BP1598" s="13">
        <v>134.534925639471</v>
      </c>
      <c r="BQ1598" s="13">
        <v>3.91291140459079</v>
      </c>
      <c r="BT1598" s="298" t="str">
        <f>+VLOOKUP(G1598,Liste!$A$7:$H$50,8,FALSE)</f>
        <v>Résineux</v>
      </c>
      <c r="BU1598" s="298">
        <f t="shared" si="478"/>
        <v>0</v>
      </c>
      <c r="BV1598" s="300">
        <f t="shared" si="479"/>
        <v>1</v>
      </c>
      <c r="BW1598" s="321">
        <v>0</v>
      </c>
      <c r="BX1598" s="298">
        <f t="shared" si="480"/>
        <v>0.43</v>
      </c>
      <c r="BY1598">
        <f t="shared" si="481"/>
        <v>0</v>
      </c>
      <c r="BZ1598" s="304">
        <f t="shared" si="482"/>
        <v>0</v>
      </c>
      <c r="CB1598" s="299">
        <v>0.6</v>
      </c>
      <c r="CC1598" s="299">
        <v>0.4</v>
      </c>
      <c r="CD1598">
        <f t="shared" si="483"/>
        <v>0</v>
      </c>
      <c r="CE1598">
        <f t="shared" si="484"/>
        <v>0</v>
      </c>
      <c r="CF1598">
        <f t="shared" si="485"/>
        <v>0</v>
      </c>
      <c r="CG1598">
        <f t="shared" si="486"/>
        <v>0</v>
      </c>
      <c r="CH1598">
        <f t="shared" si="487"/>
        <v>0</v>
      </c>
      <c r="CI1598">
        <f t="shared" si="488"/>
        <v>0</v>
      </c>
      <c r="CJ1598">
        <f t="shared" si="489"/>
        <v>0</v>
      </c>
      <c r="CK1598">
        <f t="shared" si="490"/>
        <v>0</v>
      </c>
      <c r="CL1598">
        <f t="shared" si="491"/>
        <v>0</v>
      </c>
      <c r="CM1598">
        <f t="shared" si="493"/>
        <v>0</v>
      </c>
      <c r="CN1598">
        <f t="shared" si="492"/>
        <v>0</v>
      </c>
      <c r="CO1598">
        <f t="shared" si="476"/>
        <v>0</v>
      </c>
    </row>
    <row r="1599" spans="1:93" x14ac:dyDescent="0.25">
      <c r="B1599" s="318">
        <v>44372</v>
      </c>
      <c r="C1599" s="4" t="s">
        <v>1524</v>
      </c>
      <c r="D1599" s="4" t="s">
        <v>1525</v>
      </c>
      <c r="F1599" s="4" t="s">
        <v>90</v>
      </c>
      <c r="G1599" s="5" t="s">
        <v>1514</v>
      </c>
      <c r="H1599" s="5" t="s">
        <v>1527</v>
      </c>
      <c r="I1599" s="5" t="s">
        <v>18</v>
      </c>
      <c r="J1599" s="5" t="s">
        <v>10</v>
      </c>
      <c r="K1599" s="5">
        <v>12</v>
      </c>
      <c r="L1599" s="5" t="s">
        <v>1528</v>
      </c>
      <c r="M1599" s="5">
        <v>1100</v>
      </c>
      <c r="N1599" s="5" t="s">
        <v>170</v>
      </c>
      <c r="O1599" s="6" t="s">
        <v>81</v>
      </c>
      <c r="P1599" s="6" t="s">
        <v>1530</v>
      </c>
      <c r="S1599" s="6">
        <v>18</v>
      </c>
      <c r="T1599" s="6">
        <v>4.34</v>
      </c>
      <c r="U1599" s="6">
        <v>1101</v>
      </c>
      <c r="V1599" s="6">
        <v>4.92</v>
      </c>
      <c r="W1599" s="6">
        <v>569</v>
      </c>
      <c r="X1599" s="6">
        <v>532</v>
      </c>
      <c r="Y1599" s="6">
        <v>0</v>
      </c>
      <c r="Z1599" s="6">
        <v>0</v>
      </c>
      <c r="AA1599" s="6">
        <v>0</v>
      </c>
      <c r="AB1599" s="6">
        <v>0</v>
      </c>
      <c r="AC1599" s="7">
        <v>21</v>
      </c>
      <c r="AD1599" s="7" t="s">
        <v>52</v>
      </c>
      <c r="AE1599" s="7">
        <v>5.25</v>
      </c>
      <c r="AF1599" s="7">
        <v>1101</v>
      </c>
      <c r="AG1599" s="7">
        <v>6.85</v>
      </c>
      <c r="AH1599" s="7">
        <v>8.9</v>
      </c>
      <c r="AI1599" s="7">
        <v>10.98</v>
      </c>
      <c r="AJ1599" s="9">
        <v>15.9851970261814</v>
      </c>
      <c r="AK1599" s="9">
        <v>16.461813844387802</v>
      </c>
      <c r="AL1599" s="9">
        <v>37.828158046761303</v>
      </c>
      <c r="AM1599" s="9">
        <v>6.8539810250829003</v>
      </c>
      <c r="AN1599" s="9">
        <v>0.32638004881347199</v>
      </c>
      <c r="AO1599" s="9">
        <v>0.69605750439077196</v>
      </c>
      <c r="AP1599" s="9">
        <v>37.828158046761303</v>
      </c>
      <c r="AQ1599" s="9">
        <v>1.8013408593695901</v>
      </c>
      <c r="AR1599" s="9">
        <v>4.1623944245534297</v>
      </c>
      <c r="AS1599" s="8" t="s">
        <v>169</v>
      </c>
      <c r="AT1599" s="8" t="s">
        <v>169</v>
      </c>
      <c r="AU1599" s="8" t="s">
        <v>169</v>
      </c>
      <c r="AV1599" s="10">
        <v>0</v>
      </c>
      <c r="AW1599" s="8" t="s">
        <v>169</v>
      </c>
      <c r="AX1599" s="8" t="s">
        <v>169</v>
      </c>
      <c r="BF1599" s="12">
        <v>0.45</v>
      </c>
      <c r="BG1599" s="13">
        <v>29.647818869149202</v>
      </c>
      <c r="BH1599" s="96" t="str">
        <f>+VLOOKUP(G1599,Liste!$A$7:$G$50,3,FALSE)</f>
        <v>Pin d'Alep</v>
      </c>
      <c r="BI1599" s="96" t="str">
        <f>+VLOOKUP(H1599,Liste!$B$7:$G$50,5,FALSE)</f>
        <v>Pin d'Alep</v>
      </c>
      <c r="BJ1599" s="135">
        <f t="shared" si="475"/>
        <v>21</v>
      </c>
      <c r="BK1599" s="135" t="str">
        <f t="shared" si="477"/>
        <v>Pin d'Alep_F2_Classique_Pin d'Alep_21_</v>
      </c>
      <c r="BM1599" s="13">
        <v>9.8232045672945905</v>
      </c>
      <c r="BN1599" s="13">
        <v>39.471023436443801</v>
      </c>
      <c r="BO1599" s="12" t="s">
        <v>169</v>
      </c>
      <c r="BP1599" s="13">
        <v>134.534925639471</v>
      </c>
      <c r="BQ1599" s="13">
        <v>4.2114709381533304</v>
      </c>
      <c r="BT1599" s="298" t="str">
        <f>+VLOOKUP(G1599,Liste!$A$7:$H$50,8,FALSE)</f>
        <v>Résineux</v>
      </c>
      <c r="BU1599" s="298">
        <f t="shared" si="478"/>
        <v>0</v>
      </c>
      <c r="BV1599" s="300">
        <f t="shared" si="479"/>
        <v>1</v>
      </c>
      <c r="BW1599" s="321">
        <v>0</v>
      </c>
      <c r="BX1599" s="298">
        <f t="shared" si="480"/>
        <v>0.43</v>
      </c>
      <c r="BY1599">
        <f t="shared" si="481"/>
        <v>0</v>
      </c>
      <c r="BZ1599" s="304">
        <f t="shared" si="482"/>
        <v>0</v>
      </c>
      <c r="CB1599" s="299">
        <v>0.6</v>
      </c>
      <c r="CC1599" s="299">
        <v>0.4</v>
      </c>
      <c r="CD1599">
        <f t="shared" si="483"/>
        <v>0</v>
      </c>
      <c r="CE1599">
        <f t="shared" si="484"/>
        <v>0</v>
      </c>
      <c r="CF1599">
        <f t="shared" si="485"/>
        <v>0</v>
      </c>
      <c r="CG1599">
        <f t="shared" si="486"/>
        <v>0</v>
      </c>
      <c r="CH1599">
        <f t="shared" si="487"/>
        <v>0</v>
      </c>
      <c r="CI1599">
        <f t="shared" si="488"/>
        <v>0</v>
      </c>
      <c r="CJ1599">
        <f t="shared" si="489"/>
        <v>0</v>
      </c>
      <c r="CK1599">
        <f t="shared" si="490"/>
        <v>0</v>
      </c>
      <c r="CL1599">
        <f t="shared" si="491"/>
        <v>0</v>
      </c>
      <c r="CM1599">
        <f t="shared" si="493"/>
        <v>0</v>
      </c>
      <c r="CN1599">
        <f t="shared" si="492"/>
        <v>0</v>
      </c>
      <c r="CO1599">
        <f t="shared" si="476"/>
        <v>0</v>
      </c>
    </row>
    <row r="1600" spans="1:93" x14ac:dyDescent="0.25">
      <c r="B1600" s="318">
        <v>44372</v>
      </c>
      <c r="C1600" s="4" t="s">
        <v>1524</v>
      </c>
      <c r="D1600" s="4" t="s">
        <v>1525</v>
      </c>
      <c r="F1600" s="4" t="s">
        <v>90</v>
      </c>
      <c r="G1600" s="5" t="s">
        <v>1514</v>
      </c>
      <c r="H1600" s="5" t="s">
        <v>1527</v>
      </c>
      <c r="I1600" s="5" t="s">
        <v>18</v>
      </c>
      <c r="J1600" s="5" t="s">
        <v>10</v>
      </c>
      <c r="K1600" s="5">
        <v>12</v>
      </c>
      <c r="L1600" s="5" t="s">
        <v>1528</v>
      </c>
      <c r="M1600" s="5">
        <v>1100</v>
      </c>
      <c r="N1600" s="5" t="s">
        <v>170</v>
      </c>
      <c r="O1600" s="6" t="s">
        <v>81</v>
      </c>
      <c r="P1600" s="6" t="s">
        <v>1530</v>
      </c>
      <c r="S1600" s="6">
        <v>18</v>
      </c>
      <c r="T1600" s="6">
        <v>4.34</v>
      </c>
      <c r="U1600" s="6">
        <v>1101</v>
      </c>
      <c r="V1600" s="6">
        <v>4.92</v>
      </c>
      <c r="W1600" s="6">
        <v>569</v>
      </c>
      <c r="X1600" s="6">
        <v>532</v>
      </c>
      <c r="Y1600" s="6">
        <v>0</v>
      </c>
      <c r="Z1600" s="6">
        <v>0</v>
      </c>
      <c r="AA1600" s="6">
        <v>0</v>
      </c>
      <c r="AB1600" s="6">
        <v>0</v>
      </c>
      <c r="AC1600" s="7">
        <v>22</v>
      </c>
      <c r="AD1600" s="7" t="s">
        <v>52</v>
      </c>
      <c r="AE1600" s="7">
        <v>5.55</v>
      </c>
      <c r="AF1600" s="7">
        <v>1101</v>
      </c>
      <c r="AG1600" s="7">
        <v>7.55</v>
      </c>
      <c r="AH1600" s="7">
        <v>9.34</v>
      </c>
      <c r="AI1600" s="7">
        <v>11.45</v>
      </c>
      <c r="AJ1600" s="9">
        <v>18.733266743551599</v>
      </c>
      <c r="AK1600" s="9">
        <v>19.268714381326099</v>
      </c>
      <c r="AL1600" s="9">
        <v>41.9905524713148</v>
      </c>
      <c r="AM1600" s="9">
        <v>7.5500385294736798</v>
      </c>
      <c r="AN1600" s="9">
        <v>0.34318356952153101</v>
      </c>
      <c r="AO1600" s="9">
        <v>0.71972434707139898</v>
      </c>
      <c r="AP1600" s="9">
        <v>41.9905524713148</v>
      </c>
      <c r="AQ1600" s="9">
        <v>1.9086614759688501</v>
      </c>
      <c r="AR1600" s="9">
        <v>4.4628851536059697</v>
      </c>
      <c r="AS1600" s="8" t="s">
        <v>169</v>
      </c>
      <c r="AT1600" s="8" t="s">
        <v>169</v>
      </c>
      <c r="AU1600" s="8" t="s">
        <v>169</v>
      </c>
      <c r="AV1600" s="10">
        <v>0</v>
      </c>
      <c r="AW1600" s="8" t="s">
        <v>169</v>
      </c>
      <c r="AX1600" s="8" t="s">
        <v>169</v>
      </c>
      <c r="BF1600" s="12">
        <v>0.45</v>
      </c>
      <c r="BG1600" s="13">
        <v>32.910095499393002</v>
      </c>
      <c r="BH1600" s="96" t="str">
        <f>+VLOOKUP(G1600,Liste!$A$7:$G$50,3,FALSE)</f>
        <v>Pin d'Alep</v>
      </c>
      <c r="BI1600" s="96" t="str">
        <f>+VLOOKUP(H1600,Liste!$B$7:$G$50,5,FALSE)</f>
        <v>Pin d'Alep</v>
      </c>
      <c r="BJ1600" s="135">
        <f t="shared" si="475"/>
        <v>22</v>
      </c>
      <c r="BK1600" s="135" t="str">
        <f t="shared" si="477"/>
        <v>Pin d'Alep_F2_Classique_Pin d'Alep_22_</v>
      </c>
      <c r="BM1600" s="13">
        <v>10.7723988752042</v>
      </c>
      <c r="BN1600" s="13">
        <v>43.682494374597098</v>
      </c>
      <c r="BO1600" s="12" t="s">
        <v>169</v>
      </c>
      <c r="BP1600" s="13">
        <v>134.534925639471</v>
      </c>
      <c r="BQ1600" s="13">
        <v>4.5034175056084402</v>
      </c>
      <c r="BT1600" s="298" t="str">
        <f>+VLOOKUP(G1600,Liste!$A$7:$H$50,8,FALSE)</f>
        <v>Résineux</v>
      </c>
      <c r="BU1600" s="298">
        <f t="shared" si="478"/>
        <v>0</v>
      </c>
      <c r="BV1600" s="300">
        <f t="shared" si="479"/>
        <v>1</v>
      </c>
      <c r="BW1600" s="321">
        <v>0</v>
      </c>
      <c r="BX1600" s="298">
        <f t="shared" si="480"/>
        <v>0.43</v>
      </c>
      <c r="BY1600">
        <f t="shared" si="481"/>
        <v>0</v>
      </c>
      <c r="BZ1600" s="304">
        <f t="shared" si="482"/>
        <v>0</v>
      </c>
      <c r="CB1600" s="299">
        <v>0.6</v>
      </c>
      <c r="CC1600" s="299">
        <v>0.4</v>
      </c>
      <c r="CD1600">
        <f t="shared" si="483"/>
        <v>0</v>
      </c>
      <c r="CE1600">
        <f t="shared" si="484"/>
        <v>0</v>
      </c>
      <c r="CF1600">
        <f t="shared" si="485"/>
        <v>0</v>
      </c>
      <c r="CG1600">
        <f t="shared" si="486"/>
        <v>0</v>
      </c>
      <c r="CH1600">
        <f t="shared" si="487"/>
        <v>0</v>
      </c>
      <c r="CI1600">
        <f t="shared" si="488"/>
        <v>0</v>
      </c>
      <c r="CJ1600">
        <f t="shared" si="489"/>
        <v>0</v>
      </c>
      <c r="CK1600">
        <f t="shared" si="490"/>
        <v>0</v>
      </c>
      <c r="CL1600">
        <f t="shared" si="491"/>
        <v>0</v>
      </c>
      <c r="CM1600">
        <f t="shared" si="493"/>
        <v>0</v>
      </c>
      <c r="CN1600">
        <f t="shared" si="492"/>
        <v>0</v>
      </c>
      <c r="CO1600">
        <f t="shared" si="476"/>
        <v>0</v>
      </c>
    </row>
    <row r="1601" spans="2:93" x14ac:dyDescent="0.25">
      <c r="B1601" s="318">
        <v>44372</v>
      </c>
      <c r="C1601" s="4" t="s">
        <v>1524</v>
      </c>
      <c r="D1601" s="4" t="s">
        <v>1525</v>
      </c>
      <c r="F1601" s="4" t="s">
        <v>90</v>
      </c>
      <c r="G1601" s="5" t="s">
        <v>1514</v>
      </c>
      <c r="H1601" s="5" t="s">
        <v>1527</v>
      </c>
      <c r="I1601" s="5" t="s">
        <v>18</v>
      </c>
      <c r="J1601" s="5" t="s">
        <v>10</v>
      </c>
      <c r="K1601" s="5">
        <v>12</v>
      </c>
      <c r="L1601" s="5" t="s">
        <v>1528</v>
      </c>
      <c r="M1601" s="5">
        <v>1100</v>
      </c>
      <c r="N1601" s="5" t="s">
        <v>170</v>
      </c>
      <c r="O1601" s="6" t="s">
        <v>81</v>
      </c>
      <c r="P1601" s="6" t="s">
        <v>1530</v>
      </c>
      <c r="S1601" s="6">
        <v>18</v>
      </c>
      <c r="T1601" s="6">
        <v>4.34</v>
      </c>
      <c r="U1601" s="6">
        <v>1101</v>
      </c>
      <c r="V1601" s="6">
        <v>4.92</v>
      </c>
      <c r="W1601" s="6">
        <v>569</v>
      </c>
      <c r="X1601" s="6">
        <v>532</v>
      </c>
      <c r="Y1601" s="6">
        <v>0</v>
      </c>
      <c r="Z1601" s="6">
        <v>0</v>
      </c>
      <c r="AA1601" s="6">
        <v>0</v>
      </c>
      <c r="AB1601" s="6">
        <v>0</v>
      </c>
      <c r="AC1601" s="7">
        <v>23</v>
      </c>
      <c r="AD1601" s="7" t="s">
        <v>52</v>
      </c>
      <c r="AE1601" s="7">
        <v>5.84</v>
      </c>
      <c r="AF1601" s="7">
        <v>1101</v>
      </c>
      <c r="AG1601" s="7">
        <v>8.27</v>
      </c>
      <c r="AH1601" s="7">
        <v>9.7799999999999994</v>
      </c>
      <c r="AI1601" s="7">
        <v>11.92</v>
      </c>
      <c r="AJ1601" s="9">
        <v>21.611145537869302</v>
      </c>
      <c r="AK1601" s="9">
        <v>22.213214615556101</v>
      </c>
      <c r="AL1601" s="9">
        <v>46.453437624920703</v>
      </c>
      <c r="AM1601" s="9">
        <v>8.2697628765450695</v>
      </c>
      <c r="AN1601" s="9">
        <v>0.359554907675873</v>
      </c>
      <c r="AO1601" s="9">
        <v>0.74123906526662797</v>
      </c>
      <c r="AP1601" s="9">
        <v>46.453437624920703</v>
      </c>
      <c r="AQ1601" s="9">
        <v>2.0197146793443799</v>
      </c>
      <c r="AR1601" s="9">
        <v>4.7513811915164403</v>
      </c>
      <c r="AS1601" s="8" t="s">
        <v>169</v>
      </c>
      <c r="AT1601" s="8" t="s">
        <v>169</v>
      </c>
      <c r="AU1601" s="8" t="s">
        <v>169</v>
      </c>
      <c r="AV1601" s="10">
        <v>0</v>
      </c>
      <c r="AW1601" s="8" t="s">
        <v>169</v>
      </c>
      <c r="AX1601" s="8" t="s">
        <v>169</v>
      </c>
      <c r="BF1601" s="12">
        <v>0.45</v>
      </c>
      <c r="BG1601" s="13">
        <v>36.4078817385316</v>
      </c>
      <c r="BH1601" s="96" t="str">
        <f>+VLOOKUP(G1601,Liste!$A$7:$G$50,3,FALSE)</f>
        <v>Pin d'Alep</v>
      </c>
      <c r="BI1601" s="96" t="str">
        <f>+VLOOKUP(H1601,Liste!$B$7:$G$50,5,FALSE)</f>
        <v>Pin d'Alep</v>
      </c>
      <c r="BJ1601" s="135">
        <f t="shared" si="475"/>
        <v>23</v>
      </c>
      <c r="BK1601" s="135" t="str">
        <f t="shared" si="477"/>
        <v>Pin d'Alep_F2_Classique_Pin d'Alep_23_</v>
      </c>
      <c r="BM1601" s="13">
        <v>11.7780301416739</v>
      </c>
      <c r="BN1601" s="13">
        <v>48.185911880205602</v>
      </c>
      <c r="BO1601" s="12" t="s">
        <v>169</v>
      </c>
      <c r="BP1601" s="13">
        <v>134.534925639471</v>
      </c>
      <c r="BQ1601" s="13">
        <v>4.7822498809384104</v>
      </c>
      <c r="BT1601" s="298" t="str">
        <f>+VLOOKUP(G1601,Liste!$A$7:$H$50,8,FALSE)</f>
        <v>Résineux</v>
      </c>
      <c r="BU1601" s="298">
        <f t="shared" si="478"/>
        <v>0</v>
      </c>
      <c r="BV1601" s="300">
        <f t="shared" si="479"/>
        <v>1</v>
      </c>
      <c r="BW1601" s="321">
        <v>0</v>
      </c>
      <c r="BX1601" s="298">
        <f t="shared" si="480"/>
        <v>0.43</v>
      </c>
      <c r="BY1601">
        <f t="shared" si="481"/>
        <v>0</v>
      </c>
      <c r="BZ1601" s="304">
        <f t="shared" si="482"/>
        <v>0</v>
      </c>
      <c r="CB1601" s="299">
        <v>0.6</v>
      </c>
      <c r="CC1601" s="299">
        <v>0.4</v>
      </c>
      <c r="CD1601">
        <f t="shared" si="483"/>
        <v>0</v>
      </c>
      <c r="CE1601">
        <f t="shared" si="484"/>
        <v>0</v>
      </c>
      <c r="CF1601">
        <f t="shared" si="485"/>
        <v>0</v>
      </c>
      <c r="CG1601">
        <f t="shared" si="486"/>
        <v>0</v>
      </c>
      <c r="CH1601">
        <f t="shared" si="487"/>
        <v>0</v>
      </c>
      <c r="CI1601">
        <f t="shared" si="488"/>
        <v>0</v>
      </c>
      <c r="CJ1601">
        <f t="shared" si="489"/>
        <v>0</v>
      </c>
      <c r="CK1601">
        <f t="shared" si="490"/>
        <v>0</v>
      </c>
      <c r="CL1601">
        <f t="shared" si="491"/>
        <v>0</v>
      </c>
      <c r="CM1601">
        <f t="shared" si="493"/>
        <v>0</v>
      </c>
      <c r="CN1601">
        <f t="shared" si="492"/>
        <v>0</v>
      </c>
      <c r="CO1601">
        <f t="shared" si="476"/>
        <v>0</v>
      </c>
    </row>
    <row r="1602" spans="2:93" x14ac:dyDescent="0.25">
      <c r="B1602" s="318">
        <v>44372</v>
      </c>
      <c r="C1602" s="4" t="s">
        <v>1524</v>
      </c>
      <c r="D1602" s="4" t="s">
        <v>1525</v>
      </c>
      <c r="F1602" s="4" t="s">
        <v>90</v>
      </c>
      <c r="G1602" s="5" t="s">
        <v>1514</v>
      </c>
      <c r="H1602" s="5" t="s">
        <v>1527</v>
      </c>
      <c r="I1602" s="5" t="s">
        <v>18</v>
      </c>
      <c r="J1602" s="5" t="s">
        <v>10</v>
      </c>
      <c r="K1602" s="5">
        <v>12</v>
      </c>
      <c r="L1602" s="5" t="s">
        <v>1528</v>
      </c>
      <c r="M1602" s="5">
        <v>1100</v>
      </c>
      <c r="N1602" s="5" t="s">
        <v>170</v>
      </c>
      <c r="O1602" s="6" t="s">
        <v>81</v>
      </c>
      <c r="P1602" s="6" t="s">
        <v>1530</v>
      </c>
      <c r="S1602" s="6">
        <v>18</v>
      </c>
      <c r="T1602" s="6">
        <v>4.34</v>
      </c>
      <c r="U1602" s="6">
        <v>1101</v>
      </c>
      <c r="V1602" s="6">
        <v>4.92</v>
      </c>
      <c r="W1602" s="6">
        <v>569</v>
      </c>
      <c r="X1602" s="6">
        <v>532</v>
      </c>
      <c r="Y1602" s="6">
        <v>0</v>
      </c>
      <c r="Z1602" s="6">
        <v>0</v>
      </c>
      <c r="AA1602" s="6">
        <v>0</v>
      </c>
      <c r="AB1602" s="6">
        <v>0</v>
      </c>
      <c r="AC1602" s="7">
        <v>24</v>
      </c>
      <c r="AD1602" s="7" t="s">
        <v>52</v>
      </c>
      <c r="AE1602" s="7">
        <v>6.13</v>
      </c>
      <c r="AF1602" s="7">
        <v>1101</v>
      </c>
      <c r="AG1602" s="7">
        <v>9.01</v>
      </c>
      <c r="AH1602" s="7">
        <v>10.210000000000001</v>
      </c>
      <c r="AI1602" s="7">
        <v>12.39</v>
      </c>
      <c r="AJ1602" s="9">
        <v>24.721411111031799</v>
      </c>
      <c r="AK1602" s="9">
        <v>25.3980763198579</v>
      </c>
      <c r="AL1602" s="9">
        <v>51.204818816437196</v>
      </c>
      <c r="AM1602" s="9">
        <v>9.0110019418116991</v>
      </c>
      <c r="AN1602" s="9">
        <v>0.37545841424215398</v>
      </c>
      <c r="AO1602" s="9">
        <v>0.76111503448596596</v>
      </c>
      <c r="AP1602" s="9">
        <v>51.204818816437196</v>
      </c>
      <c r="AQ1602" s="9">
        <v>2.1335341173515499</v>
      </c>
      <c r="AR1602" s="9">
        <v>5.0323694742994904</v>
      </c>
      <c r="AS1602" s="8" t="s">
        <v>169</v>
      </c>
      <c r="AT1602" s="8" t="s">
        <v>169</v>
      </c>
      <c r="AU1602" s="8" t="s">
        <v>169</v>
      </c>
      <c r="AV1602" s="10">
        <v>0</v>
      </c>
      <c r="AW1602" s="8" t="s">
        <v>169</v>
      </c>
      <c r="AX1602" s="8" t="s">
        <v>169</v>
      </c>
      <c r="BF1602" s="12">
        <v>0.45</v>
      </c>
      <c r="BG1602" s="13">
        <v>40.131776747382602</v>
      </c>
      <c r="BH1602" s="96" t="str">
        <f>+VLOOKUP(G1602,Liste!$A$7:$G$50,3,FALSE)</f>
        <v>Pin d'Alep</v>
      </c>
      <c r="BI1602" s="96" t="str">
        <f>+VLOOKUP(H1602,Liste!$B$7:$G$50,5,FALSE)</f>
        <v>Pin d'Alep</v>
      </c>
      <c r="BJ1602" s="135">
        <f t="shared" si="475"/>
        <v>24</v>
      </c>
      <c r="BK1602" s="135" t="str">
        <f t="shared" si="477"/>
        <v>Pin d'Alep_F2_Classique_Pin d'Alep_24_</v>
      </c>
      <c r="BM1602" s="13">
        <v>12.8363850137613</v>
      </c>
      <c r="BN1602" s="13">
        <v>52.968161761144003</v>
      </c>
      <c r="BO1602" s="12" t="s">
        <v>169</v>
      </c>
      <c r="BP1602" s="13">
        <v>134.534925639471</v>
      </c>
      <c r="BQ1602" s="13">
        <v>5.0526708427261902</v>
      </c>
      <c r="BT1602" s="298" t="str">
        <f>+VLOOKUP(G1602,Liste!$A$7:$H$50,8,FALSE)</f>
        <v>Résineux</v>
      </c>
      <c r="BU1602" s="298">
        <f t="shared" si="478"/>
        <v>0</v>
      </c>
      <c r="BV1602" s="300">
        <f t="shared" si="479"/>
        <v>1</v>
      </c>
      <c r="BW1602" s="321">
        <v>0</v>
      </c>
      <c r="BX1602" s="298">
        <f t="shared" si="480"/>
        <v>0.43</v>
      </c>
      <c r="BY1602">
        <f t="shared" si="481"/>
        <v>0</v>
      </c>
      <c r="BZ1602" s="304">
        <f t="shared" si="482"/>
        <v>0</v>
      </c>
      <c r="CB1602" s="299">
        <v>0.6</v>
      </c>
      <c r="CC1602" s="299">
        <v>0.4</v>
      </c>
      <c r="CD1602">
        <f t="shared" si="483"/>
        <v>0</v>
      </c>
      <c r="CE1602">
        <f t="shared" si="484"/>
        <v>0</v>
      </c>
      <c r="CF1602">
        <f t="shared" si="485"/>
        <v>0</v>
      </c>
      <c r="CG1602">
        <f t="shared" si="486"/>
        <v>0</v>
      </c>
      <c r="CH1602">
        <f t="shared" si="487"/>
        <v>0</v>
      </c>
      <c r="CI1602">
        <f t="shared" si="488"/>
        <v>0</v>
      </c>
      <c r="CJ1602">
        <f t="shared" si="489"/>
        <v>0</v>
      </c>
      <c r="CK1602">
        <f t="shared" si="490"/>
        <v>0</v>
      </c>
      <c r="CL1602">
        <f t="shared" si="491"/>
        <v>0</v>
      </c>
      <c r="CM1602">
        <f t="shared" si="493"/>
        <v>0</v>
      </c>
      <c r="CN1602">
        <f t="shared" si="492"/>
        <v>0</v>
      </c>
      <c r="CO1602">
        <f t="shared" si="476"/>
        <v>0</v>
      </c>
    </row>
    <row r="1603" spans="2:93" x14ac:dyDescent="0.25">
      <c r="B1603" s="318">
        <v>44372</v>
      </c>
      <c r="C1603" s="4" t="s">
        <v>1524</v>
      </c>
      <c r="D1603" s="4" t="s">
        <v>1525</v>
      </c>
      <c r="F1603" s="4" t="s">
        <v>90</v>
      </c>
      <c r="G1603" s="5" t="s">
        <v>1514</v>
      </c>
      <c r="H1603" s="5" t="s">
        <v>1527</v>
      </c>
      <c r="I1603" s="5" t="s">
        <v>18</v>
      </c>
      <c r="J1603" s="5" t="s">
        <v>10</v>
      </c>
      <c r="K1603" s="5">
        <v>12</v>
      </c>
      <c r="L1603" s="5" t="s">
        <v>1528</v>
      </c>
      <c r="M1603" s="5">
        <v>1100</v>
      </c>
      <c r="N1603" s="5" t="s">
        <v>170</v>
      </c>
      <c r="O1603" s="6" t="s">
        <v>81</v>
      </c>
      <c r="P1603" s="6" t="s">
        <v>1530</v>
      </c>
      <c r="S1603" s="6">
        <v>18</v>
      </c>
      <c r="T1603" s="6">
        <v>4.34</v>
      </c>
      <c r="U1603" s="6">
        <v>1101</v>
      </c>
      <c r="V1603" s="6">
        <v>4.92</v>
      </c>
      <c r="W1603" s="6">
        <v>569</v>
      </c>
      <c r="X1603" s="6">
        <v>532</v>
      </c>
      <c r="Y1603" s="6">
        <v>0</v>
      </c>
      <c r="Z1603" s="6">
        <v>0</v>
      </c>
      <c r="AA1603" s="6">
        <v>0</v>
      </c>
      <c r="AB1603" s="6">
        <v>0</v>
      </c>
      <c r="AC1603" s="7">
        <v>25</v>
      </c>
      <c r="AD1603" s="7" t="s">
        <v>52</v>
      </c>
      <c r="AE1603" s="7">
        <v>6.41</v>
      </c>
      <c r="AF1603" s="7">
        <v>1101</v>
      </c>
      <c r="AG1603" s="7">
        <v>9.77</v>
      </c>
      <c r="AH1603" s="7">
        <v>10.63</v>
      </c>
      <c r="AI1603" s="7">
        <v>12.85</v>
      </c>
      <c r="AJ1603" s="9">
        <v>27.981453965666201</v>
      </c>
      <c r="AK1603" s="9">
        <v>28.7402337738421</v>
      </c>
      <c r="AL1603" s="9">
        <v>56.237188290736697</v>
      </c>
      <c r="AM1603" s="9">
        <v>9.7721169762976707</v>
      </c>
      <c r="AN1603" s="9">
        <v>0.39088467905190699</v>
      </c>
      <c r="AO1603" s="9">
        <v>0.77849535391722002</v>
      </c>
      <c r="AP1603" s="9">
        <v>56.237188290736697</v>
      </c>
      <c r="AQ1603" s="9">
        <v>2.24948753162947</v>
      </c>
      <c r="AR1603" s="9">
        <v>5.3053004110059296</v>
      </c>
      <c r="AS1603" s="8" t="s">
        <v>169</v>
      </c>
      <c r="AT1603" s="8" t="s">
        <v>169</v>
      </c>
      <c r="AU1603" s="8" t="s">
        <v>169</v>
      </c>
      <c r="AV1603" s="10">
        <v>0</v>
      </c>
      <c r="AW1603" s="8" t="s">
        <v>169</v>
      </c>
      <c r="AX1603" s="8" t="s">
        <v>169</v>
      </c>
      <c r="BF1603" s="12">
        <v>0.45</v>
      </c>
      <c r="BG1603" s="13">
        <v>44.075896322864899</v>
      </c>
      <c r="BH1603" s="96" t="str">
        <f>+VLOOKUP(G1603,Liste!$A$7:$G$50,3,FALSE)</f>
        <v>Pin d'Alep</v>
      </c>
      <c r="BI1603" s="96" t="str">
        <f>+VLOOKUP(H1603,Liste!$B$7:$G$50,5,FALSE)</f>
        <v>Pin d'Alep</v>
      </c>
      <c r="BJ1603" s="135">
        <f t="shared" ref="BJ1603:BJ1666" si="494">+AC1603</f>
        <v>25</v>
      </c>
      <c r="BK1603" s="135" t="str">
        <f t="shared" si="477"/>
        <v>Pin d'Alep_F2_Classique_Pin d'Alep_25_</v>
      </c>
      <c r="BM1603" s="13">
        <v>13.944936281005299</v>
      </c>
      <c r="BN1603" s="13">
        <v>58.020832603870197</v>
      </c>
      <c r="BO1603" s="12" t="s">
        <v>169</v>
      </c>
      <c r="BP1603" s="13">
        <v>134.534925639471</v>
      </c>
      <c r="BQ1603" s="13">
        <v>5.3142686090848796</v>
      </c>
      <c r="BT1603" s="298" t="str">
        <f>+VLOOKUP(G1603,Liste!$A$7:$H$50,8,FALSE)</f>
        <v>Résineux</v>
      </c>
      <c r="BU1603" s="298">
        <f t="shared" si="478"/>
        <v>0</v>
      </c>
      <c r="BV1603" s="300">
        <f t="shared" si="479"/>
        <v>1</v>
      </c>
      <c r="BW1603" s="321">
        <v>0</v>
      </c>
      <c r="BX1603" s="298">
        <f t="shared" si="480"/>
        <v>0.43</v>
      </c>
      <c r="BY1603">
        <f t="shared" si="481"/>
        <v>0</v>
      </c>
      <c r="BZ1603" s="304">
        <f t="shared" si="482"/>
        <v>0</v>
      </c>
      <c r="CB1603" s="299">
        <v>0.6</v>
      </c>
      <c r="CC1603" s="299">
        <v>0.4</v>
      </c>
      <c r="CD1603">
        <f t="shared" si="483"/>
        <v>0</v>
      </c>
      <c r="CE1603">
        <f t="shared" si="484"/>
        <v>0</v>
      </c>
      <c r="CF1603">
        <f t="shared" si="485"/>
        <v>0</v>
      </c>
      <c r="CG1603">
        <f t="shared" si="486"/>
        <v>0</v>
      </c>
      <c r="CH1603">
        <f t="shared" si="487"/>
        <v>0</v>
      </c>
      <c r="CI1603">
        <f t="shared" si="488"/>
        <v>0</v>
      </c>
      <c r="CJ1603">
        <f t="shared" si="489"/>
        <v>0</v>
      </c>
      <c r="CK1603">
        <f t="shared" si="490"/>
        <v>0</v>
      </c>
      <c r="CL1603">
        <f t="shared" si="491"/>
        <v>0</v>
      </c>
      <c r="CM1603">
        <f t="shared" si="493"/>
        <v>0</v>
      </c>
      <c r="CN1603">
        <f t="shared" si="492"/>
        <v>0</v>
      </c>
      <c r="CO1603">
        <f t="shared" ref="CO1603:CO1666" si="495">+IF(BJ1603=30,CN1603/30,0)</f>
        <v>0</v>
      </c>
    </row>
    <row r="1604" spans="2:93" x14ac:dyDescent="0.25">
      <c r="B1604" s="318">
        <v>44372</v>
      </c>
      <c r="C1604" s="4" t="s">
        <v>1524</v>
      </c>
      <c r="D1604" s="4" t="s">
        <v>1525</v>
      </c>
      <c r="F1604" s="4" t="s">
        <v>90</v>
      </c>
      <c r="G1604" s="5" t="s">
        <v>1514</v>
      </c>
      <c r="H1604" s="5" t="s">
        <v>1527</v>
      </c>
      <c r="I1604" s="5" t="s">
        <v>18</v>
      </c>
      <c r="J1604" s="5" t="s">
        <v>10</v>
      </c>
      <c r="K1604" s="5">
        <v>12</v>
      </c>
      <c r="L1604" s="5" t="s">
        <v>1528</v>
      </c>
      <c r="M1604" s="5">
        <v>1100</v>
      </c>
      <c r="N1604" s="5" t="s">
        <v>170</v>
      </c>
      <c r="O1604" s="6" t="s">
        <v>81</v>
      </c>
      <c r="P1604" s="6" t="s">
        <v>1530</v>
      </c>
      <c r="S1604" s="6">
        <v>18</v>
      </c>
      <c r="T1604" s="6">
        <v>4.34</v>
      </c>
      <c r="U1604" s="6">
        <v>1101</v>
      </c>
      <c r="V1604" s="6">
        <v>4.92</v>
      </c>
      <c r="W1604" s="6">
        <v>569</v>
      </c>
      <c r="X1604" s="6">
        <v>532</v>
      </c>
      <c r="Y1604" s="6">
        <v>0</v>
      </c>
      <c r="Z1604" s="6">
        <v>0</v>
      </c>
      <c r="AA1604" s="6">
        <v>0</v>
      </c>
      <c r="AB1604" s="6">
        <v>0</v>
      </c>
      <c r="AC1604" s="7">
        <v>26</v>
      </c>
      <c r="AD1604" s="7" t="s">
        <v>52</v>
      </c>
      <c r="AE1604" s="7">
        <v>6.69</v>
      </c>
      <c r="AF1604" s="7">
        <v>1101</v>
      </c>
      <c r="AG1604" s="7">
        <v>10.55</v>
      </c>
      <c r="AH1604" s="7">
        <v>11.05</v>
      </c>
      <c r="AI1604" s="7">
        <v>13.31</v>
      </c>
      <c r="AJ1604" s="9">
        <v>31.427543411049399</v>
      </c>
      <c r="AK1604" s="9">
        <v>32.275095543744797</v>
      </c>
      <c r="AL1604" s="9">
        <v>61.542488701742599</v>
      </c>
      <c r="AM1604" s="9">
        <v>10.5506123302149</v>
      </c>
      <c r="AN1604" s="9">
        <v>0.40579278193134199</v>
      </c>
      <c r="AO1604" s="9">
        <v>0.79395494286997503</v>
      </c>
      <c r="AP1604" s="9">
        <v>61.542488701742599</v>
      </c>
      <c r="AQ1604" s="9">
        <v>2.36701879622087</v>
      </c>
      <c r="AR1604" s="9">
        <v>5.5591297356345102</v>
      </c>
      <c r="AS1604" s="8" t="s">
        <v>169</v>
      </c>
      <c r="AT1604" s="8" t="s">
        <v>169</v>
      </c>
      <c r="AU1604" s="8" t="s">
        <v>169</v>
      </c>
      <c r="AV1604" s="10">
        <v>0</v>
      </c>
      <c r="AW1604" s="8" t="s">
        <v>169</v>
      </c>
      <c r="AX1604" s="8" t="s">
        <v>169</v>
      </c>
      <c r="BF1604" s="12">
        <v>0.45</v>
      </c>
      <c r="BG1604" s="13">
        <v>48.233925519990798</v>
      </c>
      <c r="BH1604" s="96" t="str">
        <f>+VLOOKUP(G1604,Liste!$A$7:$G$50,3,FALSE)</f>
        <v>Pin d'Alep</v>
      </c>
      <c r="BI1604" s="96" t="str">
        <f>+VLOOKUP(H1604,Liste!$B$7:$G$50,5,FALSE)</f>
        <v>Pin d'Alep</v>
      </c>
      <c r="BJ1604" s="135">
        <f t="shared" si="494"/>
        <v>26</v>
      </c>
      <c r="BK1604" s="135" t="str">
        <f t="shared" ref="BK1604:BK1667" si="496">+_xlfn.CONCAT(BH1604,"_",J1604,"_",I1604,"_",BI1604,"_",BJ1604,"_")</f>
        <v>Pin d'Alep_F2_Classique_Pin d'Alep_26_</v>
      </c>
      <c r="BM1604" s="13">
        <v>15.101175692964301</v>
      </c>
      <c r="BN1604" s="13">
        <v>63.335101212955003</v>
      </c>
      <c r="BO1604" s="12" t="s">
        <v>169</v>
      </c>
      <c r="BP1604" s="13">
        <v>134.534925639471</v>
      </c>
      <c r="BQ1604" s="13">
        <v>5.5561432491179703</v>
      </c>
      <c r="BT1604" s="298" t="str">
        <f>+VLOOKUP(G1604,Liste!$A$7:$H$50,8,FALSE)</f>
        <v>Résineux</v>
      </c>
      <c r="BU1604" s="298">
        <f t="shared" ref="BU1604:BU1667" si="497">IF(BT1604="Résineux",0%,100%)</f>
        <v>0</v>
      </c>
      <c r="BV1604" s="300">
        <f t="shared" ref="BV1604:BV1667" si="498">+IF(BT1604="Résineux",100%,0%)</f>
        <v>1</v>
      </c>
      <c r="BW1604" s="321">
        <v>0</v>
      </c>
      <c r="BX1604" s="298">
        <f t="shared" ref="BX1604:BX1667" si="499">+IF(BV1604&lt;&gt;0,0.43,0.25)</f>
        <v>0.43</v>
      </c>
      <c r="BY1604">
        <f t="shared" ref="BY1604:BY1667" si="500">+IF(BJ1604&lt;=30,AV1604*BX1604,0)</f>
        <v>0</v>
      </c>
      <c r="BZ1604" s="304">
        <f t="shared" ref="BZ1604:BZ1667" si="501">+IF(BJ1604&gt;=31,0,BY1604+BZ1603)</f>
        <v>0</v>
      </c>
      <c r="CB1604" s="299">
        <v>0.6</v>
      </c>
      <c r="CC1604" s="299">
        <v>0.4</v>
      </c>
      <c r="CD1604">
        <f t="shared" ref="CD1604:CD1667" si="502">+IF(BJ1604&lt;=31,AV1604*CA1604*0.5,0)</f>
        <v>0</v>
      </c>
      <c r="CE1604">
        <f t="shared" ref="CE1604:CE1667" si="503">IF(BJ1604&lt;=31,AV1604*CB1604,0)</f>
        <v>0</v>
      </c>
      <c r="CF1604">
        <f t="shared" ref="CF1604:CF1667" si="504">IF(BJ1604&lt;=31,AV1604*CC1604,0)</f>
        <v>0</v>
      </c>
      <c r="CG1604">
        <f t="shared" ref="CG1604:CG1667" si="505">CD1604*44/12*0.475*BF1604</f>
        <v>0</v>
      </c>
      <c r="CH1604">
        <f t="shared" ref="CH1604:CH1667" si="506">CE1604*44/12*0.475*BF1604</f>
        <v>0</v>
      </c>
      <c r="CI1604">
        <f t="shared" ref="CI1604:CI1667" si="507">CF1604*44/12*0.475*BF1604</f>
        <v>0</v>
      </c>
      <c r="CJ1604">
        <f t="shared" ref="CJ1604:CJ1667" si="508">+IF(BJ1604&lt;=31,CJ1603*EXP(-$CJ$1)+CG1603*(1-EXP(-$CJ$1))/$CJ$1,0)</f>
        <v>0</v>
      </c>
      <c r="CK1604">
        <f t="shared" ref="CK1604:CK1667" si="509">+IF(BJ1604&lt;=31,CK1603*EXP(-$CK$1)+CH1603*(1-EXP(-$CK$1))/$CK$1,0)</f>
        <v>0</v>
      </c>
      <c r="CL1604">
        <f t="shared" ref="CL1604:CL1667" si="510">+IF(BJ1604&lt;=31,CL1603*EXP(-$CL$1)+CI1603*(1-EXP(-$CL$1))/$CL$1,0)</f>
        <v>0</v>
      </c>
      <c r="CM1604">
        <f t="shared" si="493"/>
        <v>0</v>
      </c>
      <c r="CN1604">
        <f t="shared" ref="CN1604:CN1667" si="511">+IF(BJ1604&lt;=31,CM1604+CN1603,0)</f>
        <v>0</v>
      </c>
      <c r="CO1604">
        <f t="shared" si="495"/>
        <v>0</v>
      </c>
    </row>
    <row r="1605" spans="2:93" x14ac:dyDescent="0.25">
      <c r="B1605" s="318">
        <v>44372</v>
      </c>
      <c r="C1605" s="4" t="s">
        <v>1524</v>
      </c>
      <c r="D1605" s="4" t="s">
        <v>1525</v>
      </c>
      <c r="F1605" s="4" t="s">
        <v>90</v>
      </c>
      <c r="G1605" s="5" t="s">
        <v>1514</v>
      </c>
      <c r="H1605" s="5" t="s">
        <v>1527</v>
      </c>
      <c r="I1605" s="5" t="s">
        <v>18</v>
      </c>
      <c r="J1605" s="5" t="s">
        <v>10</v>
      </c>
      <c r="K1605" s="5">
        <v>12</v>
      </c>
      <c r="L1605" s="5" t="s">
        <v>1528</v>
      </c>
      <c r="M1605" s="5">
        <v>1100</v>
      </c>
      <c r="N1605" s="5" t="s">
        <v>170</v>
      </c>
      <c r="O1605" s="6" t="s">
        <v>81</v>
      </c>
      <c r="P1605" s="6" t="s">
        <v>1530</v>
      </c>
      <c r="S1605" s="6">
        <v>18</v>
      </c>
      <c r="T1605" s="6">
        <v>4.34</v>
      </c>
      <c r="U1605" s="6">
        <v>1101</v>
      </c>
      <c r="V1605" s="6">
        <v>4.92</v>
      </c>
      <c r="W1605" s="6">
        <v>569</v>
      </c>
      <c r="X1605" s="6">
        <v>532</v>
      </c>
      <c r="Y1605" s="6">
        <v>0</v>
      </c>
      <c r="Z1605" s="6">
        <v>0</v>
      </c>
      <c r="AA1605" s="6">
        <v>0</v>
      </c>
      <c r="AB1605" s="6">
        <v>0</v>
      </c>
      <c r="AC1605" s="7">
        <v>27</v>
      </c>
      <c r="AD1605" s="7" t="s">
        <v>52</v>
      </c>
      <c r="AE1605" s="7">
        <v>6.96</v>
      </c>
      <c r="AF1605" s="7">
        <v>1101</v>
      </c>
      <c r="AG1605" s="7">
        <v>11.34</v>
      </c>
      <c r="AH1605" s="7">
        <v>11.45</v>
      </c>
      <c r="AI1605" s="7">
        <v>13.77</v>
      </c>
      <c r="AJ1605" s="9">
        <v>35.022355733190203</v>
      </c>
      <c r="AK1605" s="9">
        <v>35.966113437214098</v>
      </c>
      <c r="AL1605" s="9">
        <v>67.101618437377098</v>
      </c>
      <c r="AM1605" s="9">
        <v>11.3445672730849</v>
      </c>
      <c r="AN1605" s="9">
        <v>0.42016915826240198</v>
      </c>
      <c r="AO1605" s="9">
        <v>0.80722311386722001</v>
      </c>
      <c r="AP1605" s="9">
        <v>67.101618437377098</v>
      </c>
      <c r="AQ1605" s="9">
        <v>2.48524512731026</v>
      </c>
      <c r="AR1605" s="9">
        <v>5.7981165833553003</v>
      </c>
      <c r="AS1605" s="8" t="s">
        <v>169</v>
      </c>
      <c r="AT1605" s="8" t="s">
        <v>169</v>
      </c>
      <c r="AU1605" s="8" t="s">
        <v>169</v>
      </c>
      <c r="AV1605" s="10">
        <v>0</v>
      </c>
      <c r="AW1605" s="8" t="s">
        <v>169</v>
      </c>
      <c r="AX1605" s="8" t="s">
        <v>169</v>
      </c>
      <c r="BF1605" s="12">
        <v>0.45</v>
      </c>
      <c r="BG1605" s="13">
        <v>52.590893450294303</v>
      </c>
      <c r="BH1605" s="96" t="str">
        <f>+VLOOKUP(G1605,Liste!$A$7:$G$50,3,FALSE)</f>
        <v>Pin d'Alep</v>
      </c>
      <c r="BI1605" s="96" t="str">
        <f>+VLOOKUP(H1605,Liste!$B$7:$G$50,5,FALSE)</f>
        <v>Pin d'Alep</v>
      </c>
      <c r="BJ1605" s="135">
        <f t="shared" si="494"/>
        <v>27</v>
      </c>
      <c r="BK1605" s="135" t="str">
        <f t="shared" si="496"/>
        <v>Pin d'Alep_F2_Classique_Pin d'Alep_27_</v>
      </c>
      <c r="BM1605" s="13">
        <v>16.300351011778702</v>
      </c>
      <c r="BN1605" s="13">
        <v>68.891244462073004</v>
      </c>
      <c r="BO1605" s="12" t="s">
        <v>169</v>
      </c>
      <c r="BP1605" s="13">
        <v>134.534925639471</v>
      </c>
      <c r="BQ1605" s="13">
        <v>5.7827412576226598</v>
      </c>
      <c r="BT1605" s="298" t="str">
        <f>+VLOOKUP(G1605,Liste!$A$7:$H$50,8,FALSE)</f>
        <v>Résineux</v>
      </c>
      <c r="BU1605" s="298">
        <f t="shared" si="497"/>
        <v>0</v>
      </c>
      <c r="BV1605" s="300">
        <f t="shared" si="498"/>
        <v>1</v>
      </c>
      <c r="BW1605" s="321">
        <v>0</v>
      </c>
      <c r="BX1605" s="298">
        <f t="shared" si="499"/>
        <v>0.43</v>
      </c>
      <c r="BY1605">
        <f t="shared" si="500"/>
        <v>0</v>
      </c>
      <c r="BZ1605" s="304">
        <f t="shared" si="501"/>
        <v>0</v>
      </c>
      <c r="CB1605" s="299">
        <v>0.6</v>
      </c>
      <c r="CC1605" s="299">
        <v>0.4</v>
      </c>
      <c r="CD1605">
        <f t="shared" si="502"/>
        <v>0</v>
      </c>
      <c r="CE1605">
        <f t="shared" si="503"/>
        <v>0</v>
      </c>
      <c r="CF1605">
        <f t="shared" si="504"/>
        <v>0</v>
      </c>
      <c r="CG1605">
        <f t="shared" si="505"/>
        <v>0</v>
      </c>
      <c r="CH1605">
        <f t="shared" si="506"/>
        <v>0</v>
      </c>
      <c r="CI1605">
        <f t="shared" si="507"/>
        <v>0</v>
      </c>
      <c r="CJ1605">
        <f t="shared" si="508"/>
        <v>0</v>
      </c>
      <c r="CK1605">
        <f t="shared" si="509"/>
        <v>0</v>
      </c>
      <c r="CL1605">
        <f t="shared" si="510"/>
        <v>0</v>
      </c>
      <c r="CM1605">
        <f t="shared" ref="CM1605:CM1668" si="512">+CJ1605+CK1605+CL1605</f>
        <v>0</v>
      </c>
      <c r="CN1605">
        <f t="shared" si="511"/>
        <v>0</v>
      </c>
      <c r="CO1605">
        <f t="shared" si="495"/>
        <v>0</v>
      </c>
    </row>
    <row r="1606" spans="2:93" x14ac:dyDescent="0.25">
      <c r="B1606" s="318">
        <v>44372</v>
      </c>
      <c r="C1606" s="4" t="s">
        <v>1524</v>
      </c>
      <c r="D1606" s="4" t="s">
        <v>1525</v>
      </c>
      <c r="F1606" s="4" t="s">
        <v>90</v>
      </c>
      <c r="G1606" s="5" t="s">
        <v>1514</v>
      </c>
      <c r="H1606" s="5" t="s">
        <v>1527</v>
      </c>
      <c r="I1606" s="5" t="s">
        <v>18</v>
      </c>
      <c r="J1606" s="5" t="s">
        <v>10</v>
      </c>
      <c r="K1606" s="5">
        <v>12</v>
      </c>
      <c r="L1606" s="5" t="s">
        <v>1528</v>
      </c>
      <c r="M1606" s="5">
        <v>1100</v>
      </c>
      <c r="N1606" s="5" t="s">
        <v>170</v>
      </c>
      <c r="O1606" s="6" t="s">
        <v>81</v>
      </c>
      <c r="P1606" s="6" t="s">
        <v>1530</v>
      </c>
      <c r="S1606" s="6">
        <v>18</v>
      </c>
      <c r="T1606" s="6">
        <v>4.34</v>
      </c>
      <c r="U1606" s="6">
        <v>1101</v>
      </c>
      <c r="V1606" s="6">
        <v>4.92</v>
      </c>
      <c r="W1606" s="6">
        <v>569</v>
      </c>
      <c r="X1606" s="6">
        <v>532</v>
      </c>
      <c r="Y1606" s="6">
        <v>0</v>
      </c>
      <c r="Z1606" s="6">
        <v>0</v>
      </c>
      <c r="AA1606" s="6">
        <v>0</v>
      </c>
      <c r="AB1606" s="6">
        <v>0</v>
      </c>
      <c r="AC1606" s="7">
        <v>28</v>
      </c>
      <c r="AD1606" s="7" t="s">
        <v>52</v>
      </c>
      <c r="AE1606" s="7">
        <v>7.22</v>
      </c>
      <c r="AF1606" s="7">
        <v>1100</v>
      </c>
      <c r="AG1606" s="7">
        <v>12.15</v>
      </c>
      <c r="AH1606" s="7">
        <v>11.86</v>
      </c>
      <c r="AI1606" s="7">
        <v>14.21</v>
      </c>
      <c r="AJ1606" s="9">
        <v>38.778621460695199</v>
      </c>
      <c r="AK1606" s="9">
        <v>39.825525033114303</v>
      </c>
      <c r="AL1606" s="9">
        <v>72.861267641300302</v>
      </c>
      <c r="AM1606" s="9">
        <v>12.151790386952101</v>
      </c>
      <c r="AN1606" s="9">
        <v>0.43399251381971699</v>
      </c>
      <c r="AO1606" s="9">
        <v>0.81991937362984202</v>
      </c>
      <c r="AP1606" s="9">
        <v>72.899735020732393</v>
      </c>
      <c r="AQ1606" s="9">
        <v>2.6035619650261599</v>
      </c>
      <c r="AR1606" s="9">
        <v>6.0424640863250101</v>
      </c>
      <c r="AS1606" s="8" t="s">
        <v>169</v>
      </c>
      <c r="AT1606" s="8" t="s">
        <v>169</v>
      </c>
      <c r="AU1606" s="8" t="s">
        <v>169</v>
      </c>
      <c r="AV1606" s="10">
        <v>0</v>
      </c>
      <c r="AW1606" s="8" t="s">
        <v>169</v>
      </c>
      <c r="AX1606" s="8" t="s">
        <v>169</v>
      </c>
      <c r="BF1606" s="12">
        <v>0.45</v>
      </c>
      <c r="BG1606" s="13">
        <v>57.105018513869098</v>
      </c>
      <c r="BH1606" s="96" t="str">
        <f>+VLOOKUP(G1606,Liste!$A$7:$G$50,3,FALSE)</f>
        <v>Pin d'Alep</v>
      </c>
      <c r="BI1606" s="96" t="str">
        <f>+VLOOKUP(H1606,Liste!$B$7:$G$50,5,FALSE)</f>
        <v>Pin d'Alep</v>
      </c>
      <c r="BJ1606" s="135">
        <f t="shared" si="494"/>
        <v>28</v>
      </c>
      <c r="BK1606" s="135" t="str">
        <f t="shared" si="496"/>
        <v>Pin d'Alep_F2_Classique_Pin d'Alep_28_</v>
      </c>
      <c r="BM1606" s="13">
        <v>17.530640605766799</v>
      </c>
      <c r="BN1606" s="13">
        <v>74.635659119635903</v>
      </c>
      <c r="BO1606" s="12" t="s">
        <v>169</v>
      </c>
      <c r="BP1606" s="13">
        <v>134.534925639471</v>
      </c>
      <c r="BQ1606" s="13">
        <v>6.0142975135171799</v>
      </c>
      <c r="BT1606" s="298" t="str">
        <f>+VLOOKUP(G1606,Liste!$A$7:$H$50,8,FALSE)</f>
        <v>Résineux</v>
      </c>
      <c r="BU1606" s="298">
        <f t="shared" si="497"/>
        <v>0</v>
      </c>
      <c r="BV1606" s="300">
        <f t="shared" si="498"/>
        <v>1</v>
      </c>
      <c r="BW1606" s="321">
        <v>0</v>
      </c>
      <c r="BX1606" s="298">
        <f t="shared" si="499"/>
        <v>0.43</v>
      </c>
      <c r="BY1606">
        <f t="shared" si="500"/>
        <v>0</v>
      </c>
      <c r="BZ1606" s="304">
        <f t="shared" si="501"/>
        <v>0</v>
      </c>
      <c r="CB1606" s="299">
        <v>0.6</v>
      </c>
      <c r="CC1606" s="299">
        <v>0.4</v>
      </c>
      <c r="CD1606">
        <f t="shared" si="502"/>
        <v>0</v>
      </c>
      <c r="CE1606">
        <f t="shared" si="503"/>
        <v>0</v>
      </c>
      <c r="CF1606">
        <f t="shared" si="504"/>
        <v>0</v>
      </c>
      <c r="CG1606">
        <f t="shared" si="505"/>
        <v>0</v>
      </c>
      <c r="CH1606">
        <f t="shared" si="506"/>
        <v>0</v>
      </c>
      <c r="CI1606">
        <f t="shared" si="507"/>
        <v>0</v>
      </c>
      <c r="CJ1606">
        <f t="shared" si="508"/>
        <v>0</v>
      </c>
      <c r="CK1606">
        <f t="shared" si="509"/>
        <v>0</v>
      </c>
      <c r="CL1606">
        <f t="shared" si="510"/>
        <v>0</v>
      </c>
      <c r="CM1606">
        <f t="shared" si="512"/>
        <v>0</v>
      </c>
      <c r="CN1606">
        <f t="shared" si="511"/>
        <v>0</v>
      </c>
      <c r="CO1606">
        <f t="shared" si="495"/>
        <v>0</v>
      </c>
    </row>
    <row r="1607" spans="2:93" x14ac:dyDescent="0.25">
      <c r="B1607" s="318">
        <v>44372</v>
      </c>
      <c r="C1607" s="4" t="s">
        <v>1524</v>
      </c>
      <c r="D1607" s="4" t="s">
        <v>1525</v>
      </c>
      <c r="F1607" s="4" t="s">
        <v>90</v>
      </c>
      <c r="G1607" s="5" t="s">
        <v>1514</v>
      </c>
      <c r="H1607" s="5" t="s">
        <v>1527</v>
      </c>
      <c r="I1607" s="5" t="s">
        <v>18</v>
      </c>
      <c r="J1607" s="5" t="s">
        <v>10</v>
      </c>
      <c r="K1607" s="5">
        <v>12</v>
      </c>
      <c r="L1607" s="5" t="s">
        <v>1528</v>
      </c>
      <c r="M1607" s="5">
        <v>1100</v>
      </c>
      <c r="N1607" s="5" t="s">
        <v>170</v>
      </c>
      <c r="O1607" s="6" t="s">
        <v>81</v>
      </c>
      <c r="P1607" s="6" t="s">
        <v>1530</v>
      </c>
      <c r="S1607" s="6">
        <v>18</v>
      </c>
      <c r="T1607" s="6">
        <v>4.34</v>
      </c>
      <c r="U1607" s="6">
        <v>1101</v>
      </c>
      <c r="V1607" s="6">
        <v>4.92</v>
      </c>
      <c r="W1607" s="6">
        <v>569</v>
      </c>
      <c r="X1607" s="6">
        <v>532</v>
      </c>
      <c r="Y1607" s="6">
        <v>0</v>
      </c>
      <c r="Z1607" s="6">
        <v>0</v>
      </c>
      <c r="AA1607" s="6">
        <v>0</v>
      </c>
      <c r="AB1607" s="6">
        <v>0</v>
      </c>
      <c r="AC1607" s="7">
        <v>29</v>
      </c>
      <c r="AD1607" s="7" t="s">
        <v>52</v>
      </c>
      <c r="AE1607" s="7">
        <v>7.49</v>
      </c>
      <c r="AF1607" s="7">
        <v>1100</v>
      </c>
      <c r="AG1607" s="7">
        <v>12.97</v>
      </c>
      <c r="AH1607" s="7">
        <v>12.25</v>
      </c>
      <c r="AI1607" s="7">
        <v>14.66</v>
      </c>
      <c r="AJ1607" s="9">
        <v>42.7419957319646</v>
      </c>
      <c r="AK1607" s="9">
        <v>43.898615992100702</v>
      </c>
      <c r="AL1607" s="9">
        <v>78.903731727625299</v>
      </c>
      <c r="AM1607" s="9">
        <v>12.9717097605819</v>
      </c>
      <c r="AN1607" s="9">
        <v>0.44730033657179102</v>
      </c>
      <c r="AO1607" s="9">
        <v>0.82958749935755804</v>
      </c>
      <c r="AP1607" s="9">
        <v>78.942199107057405</v>
      </c>
      <c r="AQ1607" s="9">
        <v>2.7221447967950798</v>
      </c>
      <c r="AR1607" s="9">
        <v>6.2597150624911997</v>
      </c>
      <c r="AS1607" s="8" t="s">
        <v>169</v>
      </c>
      <c r="AT1607" s="8" t="s">
        <v>169</v>
      </c>
      <c r="AU1607" s="8" t="s">
        <v>169</v>
      </c>
      <c r="AV1607" s="10">
        <v>0</v>
      </c>
      <c r="AW1607" s="8" t="s">
        <v>169</v>
      </c>
      <c r="AX1607" s="8" t="s">
        <v>169</v>
      </c>
      <c r="BF1607" s="12">
        <v>0.45</v>
      </c>
      <c r="BG1607" s="13">
        <v>61.840799741526297</v>
      </c>
      <c r="BH1607" s="96" t="str">
        <f>+VLOOKUP(G1607,Liste!$A$7:$G$50,3,FALSE)</f>
        <v>Pin d'Alep</v>
      </c>
      <c r="BI1607" s="96" t="str">
        <f>+VLOOKUP(H1607,Liste!$B$7:$G$50,5,FALSE)</f>
        <v>Pin d'Alep</v>
      </c>
      <c r="BJ1607" s="135">
        <f t="shared" si="494"/>
        <v>29</v>
      </c>
      <c r="BK1607" s="135" t="str">
        <f t="shared" si="496"/>
        <v>Pin d'Alep_F2_Classique_Pin d'Alep_29_</v>
      </c>
      <c r="BM1607" s="13">
        <v>18.809232360736399</v>
      </c>
      <c r="BN1607" s="13">
        <v>80.650032102262699</v>
      </c>
      <c r="BO1607" s="12" t="s">
        <v>169</v>
      </c>
      <c r="BP1607" s="13">
        <v>134.534925639471</v>
      </c>
      <c r="BQ1607" s="13">
        <v>6.2185758362941401</v>
      </c>
      <c r="BT1607" s="298" t="str">
        <f>+VLOOKUP(G1607,Liste!$A$7:$H$50,8,FALSE)</f>
        <v>Résineux</v>
      </c>
      <c r="BU1607" s="298">
        <f t="shared" si="497"/>
        <v>0</v>
      </c>
      <c r="BV1607" s="300">
        <f t="shared" si="498"/>
        <v>1</v>
      </c>
      <c r="BW1607" s="321">
        <v>0</v>
      </c>
      <c r="BX1607" s="298">
        <f t="shared" si="499"/>
        <v>0.43</v>
      </c>
      <c r="BY1607">
        <f t="shared" si="500"/>
        <v>0</v>
      </c>
      <c r="BZ1607" s="304">
        <f t="shared" si="501"/>
        <v>0</v>
      </c>
      <c r="CB1607" s="299">
        <v>0.6</v>
      </c>
      <c r="CC1607" s="299">
        <v>0.4</v>
      </c>
      <c r="CD1607">
        <f t="shared" si="502"/>
        <v>0</v>
      </c>
      <c r="CE1607">
        <f t="shared" si="503"/>
        <v>0</v>
      </c>
      <c r="CF1607">
        <f t="shared" si="504"/>
        <v>0</v>
      </c>
      <c r="CG1607">
        <f t="shared" si="505"/>
        <v>0</v>
      </c>
      <c r="CH1607">
        <f t="shared" si="506"/>
        <v>0</v>
      </c>
      <c r="CI1607">
        <f t="shared" si="507"/>
        <v>0</v>
      </c>
      <c r="CJ1607">
        <f t="shared" si="508"/>
        <v>0</v>
      </c>
      <c r="CK1607">
        <f t="shared" si="509"/>
        <v>0</v>
      </c>
      <c r="CL1607">
        <f t="shared" si="510"/>
        <v>0</v>
      </c>
      <c r="CM1607">
        <f t="shared" si="512"/>
        <v>0</v>
      </c>
      <c r="CN1607">
        <f t="shared" si="511"/>
        <v>0</v>
      </c>
      <c r="CO1607">
        <f t="shared" si="495"/>
        <v>0</v>
      </c>
    </row>
    <row r="1608" spans="2:93" x14ac:dyDescent="0.25">
      <c r="B1608" s="318">
        <v>44372</v>
      </c>
      <c r="C1608" s="4" t="s">
        <v>1524</v>
      </c>
      <c r="D1608" s="4" t="s">
        <v>1525</v>
      </c>
      <c r="F1608" s="4" t="s">
        <v>90</v>
      </c>
      <c r="G1608" s="5" t="s">
        <v>1514</v>
      </c>
      <c r="H1608" s="5" t="s">
        <v>1527</v>
      </c>
      <c r="I1608" s="5" t="s">
        <v>18</v>
      </c>
      <c r="J1608" s="5" t="s">
        <v>10</v>
      </c>
      <c r="K1608" s="5">
        <v>12</v>
      </c>
      <c r="L1608" s="5" t="s">
        <v>1528</v>
      </c>
      <c r="M1608" s="5">
        <v>1100</v>
      </c>
      <c r="N1608" s="5" t="s">
        <v>170</v>
      </c>
      <c r="O1608" s="6" t="s">
        <v>81</v>
      </c>
      <c r="P1608" s="6" t="s">
        <v>1530</v>
      </c>
      <c r="S1608" s="6">
        <v>18</v>
      </c>
      <c r="T1608" s="6">
        <v>4.34</v>
      </c>
      <c r="U1608" s="6">
        <v>1101</v>
      </c>
      <c r="V1608" s="6">
        <v>4.92</v>
      </c>
      <c r="W1608" s="6">
        <v>569</v>
      </c>
      <c r="X1608" s="6">
        <v>532</v>
      </c>
      <c r="Y1608" s="6">
        <v>0</v>
      </c>
      <c r="Z1608" s="6">
        <v>0</v>
      </c>
      <c r="AA1608" s="6">
        <v>0</v>
      </c>
      <c r="AB1608" s="6">
        <v>0</v>
      </c>
      <c r="AC1608" s="7">
        <v>30</v>
      </c>
      <c r="AD1608" s="7" t="s">
        <v>52</v>
      </c>
      <c r="AE1608" s="7">
        <v>7.75</v>
      </c>
      <c r="AF1608" s="7">
        <v>1099</v>
      </c>
      <c r="AG1608" s="7">
        <v>13.78</v>
      </c>
      <c r="AH1608" s="7">
        <v>12.64</v>
      </c>
      <c r="AI1608" s="7">
        <v>15.1</v>
      </c>
      <c r="AJ1608" s="9">
        <v>46.831424700057298</v>
      </c>
      <c r="AK1608" s="9">
        <v>48.103107120154398</v>
      </c>
      <c r="AL1608" s="9">
        <v>85.087819930685299</v>
      </c>
      <c r="AM1608" s="9">
        <v>13.801297259939499</v>
      </c>
      <c r="AN1608" s="9">
        <v>0.46004324199798302</v>
      </c>
      <c r="AO1608" s="9">
        <v>0.83855005479120603</v>
      </c>
      <c r="AP1608" s="9">
        <v>85.201914169548601</v>
      </c>
      <c r="AQ1608" s="9">
        <v>2.8400638056516199</v>
      </c>
      <c r="AR1608" s="9">
        <v>6.4713363240674102</v>
      </c>
      <c r="AS1608" s="8" t="s">
        <v>169</v>
      </c>
      <c r="AT1608" s="8" t="s">
        <v>169</v>
      </c>
      <c r="AU1608" s="8" t="s">
        <v>169</v>
      </c>
      <c r="AV1608" s="10">
        <v>0</v>
      </c>
      <c r="AW1608" s="8" t="s">
        <v>169</v>
      </c>
      <c r="AX1608" s="8" t="s">
        <v>169</v>
      </c>
      <c r="BF1608" s="12">
        <v>0.45</v>
      </c>
      <c r="BG1608" s="13">
        <v>66.687578870674599</v>
      </c>
      <c r="BH1608" s="96" t="str">
        <f>+VLOOKUP(G1608,Liste!$A$7:$G$50,3,FALSE)</f>
        <v>Pin d'Alep</v>
      </c>
      <c r="BI1608" s="96" t="str">
        <f>+VLOOKUP(H1608,Liste!$B$7:$G$50,5,FALSE)</f>
        <v>Pin d'Alep</v>
      </c>
      <c r="BJ1608" s="135">
        <f t="shared" si="494"/>
        <v>30</v>
      </c>
      <c r="BK1608" s="135" t="str">
        <f t="shared" si="496"/>
        <v>Pin d'Alep_F2_Classique_Pin d'Alep_30_</v>
      </c>
      <c r="BM1608" s="13">
        <v>20.106038679749599</v>
      </c>
      <c r="BN1608" s="13">
        <v>86.793617550424202</v>
      </c>
      <c r="BO1608" s="12" t="s">
        <v>169</v>
      </c>
      <c r="BP1608" s="13">
        <v>134.534925639471</v>
      </c>
      <c r="BQ1608" s="13">
        <v>6.4170558494113799</v>
      </c>
      <c r="BT1608" s="298" t="str">
        <f>+VLOOKUP(G1608,Liste!$A$7:$H$50,8,FALSE)</f>
        <v>Résineux</v>
      </c>
      <c r="BU1608" s="298">
        <f t="shared" si="497"/>
        <v>0</v>
      </c>
      <c r="BV1608" s="300">
        <f t="shared" si="498"/>
        <v>1</v>
      </c>
      <c r="BW1608" s="321">
        <v>0</v>
      </c>
      <c r="BX1608" s="298">
        <f t="shared" si="499"/>
        <v>0.43</v>
      </c>
      <c r="BY1608">
        <f t="shared" si="500"/>
        <v>0</v>
      </c>
      <c r="BZ1608" s="304">
        <f t="shared" si="501"/>
        <v>0</v>
      </c>
      <c r="CB1608" s="299">
        <v>0.6</v>
      </c>
      <c r="CC1608" s="299">
        <v>0.4</v>
      </c>
      <c r="CD1608">
        <f t="shared" si="502"/>
        <v>0</v>
      </c>
      <c r="CE1608">
        <f t="shared" si="503"/>
        <v>0</v>
      </c>
      <c r="CF1608">
        <f t="shared" si="504"/>
        <v>0</v>
      </c>
      <c r="CG1608">
        <f t="shared" si="505"/>
        <v>0</v>
      </c>
      <c r="CH1608">
        <f t="shared" si="506"/>
        <v>0</v>
      </c>
      <c r="CI1608">
        <f t="shared" si="507"/>
        <v>0</v>
      </c>
      <c r="CJ1608">
        <f t="shared" si="508"/>
        <v>0</v>
      </c>
      <c r="CK1608">
        <f t="shared" si="509"/>
        <v>0</v>
      </c>
      <c r="CL1608">
        <f t="shared" si="510"/>
        <v>0</v>
      </c>
      <c r="CM1608">
        <f t="shared" si="512"/>
        <v>0</v>
      </c>
      <c r="CN1608">
        <f t="shared" si="511"/>
        <v>0</v>
      </c>
      <c r="CO1608">
        <f t="shared" si="495"/>
        <v>0</v>
      </c>
    </row>
    <row r="1609" spans="2:93" x14ac:dyDescent="0.25">
      <c r="B1609" s="318">
        <v>44372</v>
      </c>
      <c r="C1609" s="4" t="s">
        <v>1524</v>
      </c>
      <c r="D1609" s="4" t="s">
        <v>1525</v>
      </c>
      <c r="F1609" s="4" t="s">
        <v>90</v>
      </c>
      <c r="G1609" s="5" t="s">
        <v>1514</v>
      </c>
      <c r="H1609" s="5" t="s">
        <v>1527</v>
      </c>
      <c r="I1609" s="5" t="s">
        <v>18</v>
      </c>
      <c r="J1609" s="5" t="s">
        <v>10</v>
      </c>
      <c r="K1609" s="5">
        <v>12</v>
      </c>
      <c r="L1609" s="5" t="s">
        <v>1528</v>
      </c>
      <c r="M1609" s="5">
        <v>1100</v>
      </c>
      <c r="N1609" s="5" t="s">
        <v>170</v>
      </c>
      <c r="O1609" s="6" t="s">
        <v>81</v>
      </c>
      <c r="P1609" s="6" t="s">
        <v>1530</v>
      </c>
      <c r="S1609" s="6">
        <v>18</v>
      </c>
      <c r="T1609" s="6">
        <v>4.34</v>
      </c>
      <c r="U1609" s="6">
        <v>1101</v>
      </c>
      <c r="V1609" s="6">
        <v>4.92</v>
      </c>
      <c r="W1609" s="6">
        <v>569</v>
      </c>
      <c r="X1609" s="6">
        <v>532</v>
      </c>
      <c r="Y1609" s="6">
        <v>0</v>
      </c>
      <c r="Z1609" s="6">
        <v>0</v>
      </c>
      <c r="AA1609" s="6">
        <v>0</v>
      </c>
      <c r="AB1609" s="6">
        <v>0</v>
      </c>
      <c r="AC1609" s="7">
        <v>31</v>
      </c>
      <c r="AD1609" s="7" t="s">
        <v>52</v>
      </c>
      <c r="AE1609" s="7">
        <v>8</v>
      </c>
      <c r="AF1609" s="7">
        <v>1099</v>
      </c>
      <c r="AG1609" s="7">
        <v>14.62</v>
      </c>
      <c r="AH1609" s="7">
        <v>13.01</v>
      </c>
      <c r="AI1609" s="7">
        <v>15.53</v>
      </c>
      <c r="AJ1609" s="9">
        <v>51.125276293389298</v>
      </c>
      <c r="AK1609" s="9">
        <v>52.5194767553185</v>
      </c>
      <c r="AL1609" s="9">
        <v>91.559156254752693</v>
      </c>
      <c r="AM1609" s="9">
        <v>14.6398473147307</v>
      </c>
      <c r="AN1609" s="9">
        <v>0.472253139184861</v>
      </c>
      <c r="AO1609" s="9">
        <v>0.84439830230345903</v>
      </c>
      <c r="AP1609" s="9">
        <v>91.673250493615996</v>
      </c>
      <c r="AQ1609" s="9">
        <v>2.9572016288263199</v>
      </c>
      <c r="AR1609" s="9">
        <v>6.6609958441815298</v>
      </c>
      <c r="AS1609" s="8" t="s">
        <v>169</v>
      </c>
      <c r="AT1609" s="8" t="s">
        <v>169</v>
      </c>
      <c r="AU1609" s="8" t="s">
        <v>169</v>
      </c>
      <c r="AV1609" s="10">
        <v>0</v>
      </c>
      <c r="AW1609" s="8" t="s">
        <v>169</v>
      </c>
      <c r="AX1609" s="8" t="s">
        <v>169</v>
      </c>
      <c r="BF1609" s="12">
        <v>0.45</v>
      </c>
      <c r="BG1609" s="13">
        <v>71.759488714662396</v>
      </c>
      <c r="BH1609" s="96" t="str">
        <f>+VLOOKUP(G1609,Liste!$A$7:$G$50,3,FALSE)</f>
        <v>Pin d'Alep</v>
      </c>
      <c r="BI1609" s="96" t="str">
        <f>+VLOOKUP(H1609,Liste!$B$7:$G$50,5,FALSE)</f>
        <v>Pin d'Alep</v>
      </c>
      <c r="BJ1609" s="135">
        <f t="shared" si="494"/>
        <v>31</v>
      </c>
      <c r="BK1609" s="135" t="str">
        <f t="shared" si="496"/>
        <v>Pin d'Alep_F2_Classique_Pin d'Alep_31_</v>
      </c>
      <c r="BM1609" s="13">
        <v>21.4513869307129</v>
      </c>
      <c r="BN1609" s="13">
        <v>93.210875645375296</v>
      </c>
      <c r="BO1609" s="12" t="s">
        <v>169</v>
      </c>
      <c r="BP1609" s="13">
        <v>134.534925639471</v>
      </c>
      <c r="BQ1609" s="13">
        <v>6.5936268064546102</v>
      </c>
      <c r="BT1609" s="298" t="str">
        <f>+VLOOKUP(G1609,Liste!$A$7:$H$50,8,FALSE)</f>
        <v>Résineux</v>
      </c>
      <c r="BU1609" s="298">
        <f t="shared" si="497"/>
        <v>0</v>
      </c>
      <c r="BV1609" s="300">
        <f t="shared" si="498"/>
        <v>1</v>
      </c>
      <c r="BW1609" s="321">
        <v>0</v>
      </c>
      <c r="BX1609" s="298">
        <f t="shared" si="499"/>
        <v>0.43</v>
      </c>
      <c r="BY1609">
        <f t="shared" si="500"/>
        <v>0</v>
      </c>
      <c r="BZ1609" s="304">
        <f t="shared" si="501"/>
        <v>0</v>
      </c>
      <c r="CB1609" s="299">
        <v>0.6</v>
      </c>
      <c r="CC1609" s="299">
        <v>0.4</v>
      </c>
      <c r="CD1609">
        <f t="shared" si="502"/>
        <v>0</v>
      </c>
      <c r="CE1609">
        <f t="shared" si="503"/>
        <v>0</v>
      </c>
      <c r="CF1609">
        <f t="shared" si="504"/>
        <v>0</v>
      </c>
      <c r="CG1609">
        <f t="shared" si="505"/>
        <v>0</v>
      </c>
      <c r="CH1609">
        <f t="shared" si="506"/>
        <v>0</v>
      </c>
      <c r="CI1609">
        <f t="shared" si="507"/>
        <v>0</v>
      </c>
      <c r="CJ1609">
        <f t="shared" si="508"/>
        <v>0</v>
      </c>
      <c r="CK1609">
        <f t="shared" si="509"/>
        <v>0</v>
      </c>
      <c r="CL1609">
        <f t="shared" si="510"/>
        <v>0</v>
      </c>
      <c r="CM1609">
        <f t="shared" si="512"/>
        <v>0</v>
      </c>
      <c r="CN1609">
        <f t="shared" si="511"/>
        <v>0</v>
      </c>
      <c r="CO1609">
        <f t="shared" si="495"/>
        <v>0</v>
      </c>
    </row>
    <row r="1610" spans="2:93" x14ac:dyDescent="0.25">
      <c r="B1610" s="318">
        <v>44372</v>
      </c>
      <c r="C1610" s="4" t="s">
        <v>1524</v>
      </c>
      <c r="D1610" s="4" t="s">
        <v>1525</v>
      </c>
      <c r="F1610" s="4" t="s">
        <v>90</v>
      </c>
      <c r="G1610" s="5" t="s">
        <v>1514</v>
      </c>
      <c r="H1610" s="5" t="s">
        <v>1527</v>
      </c>
      <c r="I1610" s="5" t="s">
        <v>18</v>
      </c>
      <c r="J1610" s="5" t="s">
        <v>10</v>
      </c>
      <c r="K1610" s="5">
        <v>12</v>
      </c>
      <c r="L1610" s="5" t="s">
        <v>1528</v>
      </c>
      <c r="M1610" s="5">
        <v>1100</v>
      </c>
      <c r="N1610" s="5" t="s">
        <v>170</v>
      </c>
      <c r="O1610" s="6" t="s">
        <v>81</v>
      </c>
      <c r="P1610" s="6" t="s">
        <v>1530</v>
      </c>
      <c r="S1610" s="6">
        <v>18</v>
      </c>
      <c r="T1610" s="6">
        <v>4.34</v>
      </c>
      <c r="U1610" s="6">
        <v>1101</v>
      </c>
      <c r="V1610" s="6">
        <v>4.92</v>
      </c>
      <c r="W1610" s="6">
        <v>569</v>
      </c>
      <c r="X1610" s="6">
        <v>532</v>
      </c>
      <c r="Y1610" s="6">
        <v>0</v>
      </c>
      <c r="Z1610" s="6">
        <v>0</v>
      </c>
      <c r="AA1610" s="6">
        <v>0</v>
      </c>
      <c r="AB1610" s="6">
        <v>0</v>
      </c>
      <c r="AC1610" s="7">
        <v>32</v>
      </c>
      <c r="AD1610" s="7" t="s">
        <v>52</v>
      </c>
      <c r="AE1610" s="7">
        <v>8.25</v>
      </c>
      <c r="AF1610" s="7">
        <v>1098</v>
      </c>
      <c r="AG1610" s="7">
        <v>15.45</v>
      </c>
      <c r="AH1610" s="7">
        <v>13.39</v>
      </c>
      <c r="AI1610" s="7">
        <v>15.96</v>
      </c>
      <c r="AJ1610" s="9">
        <v>55.532299217643001</v>
      </c>
      <c r="AK1610" s="9">
        <v>57.053918792569803</v>
      </c>
      <c r="AL1610" s="9">
        <v>98.1531997048601</v>
      </c>
      <c r="AM1610" s="9">
        <v>15.4842456170341</v>
      </c>
      <c r="AN1610" s="9">
        <v>0.48388267553231701</v>
      </c>
      <c r="AO1610" s="9">
        <v>0.84959742608764599</v>
      </c>
      <c r="AP1610" s="9">
        <v>98.334246337797595</v>
      </c>
      <c r="AQ1610" s="9">
        <v>3.0729451980561699</v>
      </c>
      <c r="AR1610" s="9">
        <v>6.8405619517194802</v>
      </c>
      <c r="AS1610" s="8" t="s">
        <v>169</v>
      </c>
      <c r="AT1610" s="8" t="s">
        <v>169</v>
      </c>
      <c r="AU1610" s="8" t="s">
        <v>169</v>
      </c>
      <c r="AV1610" s="10">
        <v>0</v>
      </c>
      <c r="AW1610" s="8" t="s">
        <v>169</v>
      </c>
      <c r="AX1610" s="8" t="s">
        <v>169</v>
      </c>
      <c r="BF1610" s="12">
        <v>0.45</v>
      </c>
      <c r="BG1610" s="13">
        <v>76.927570268684093</v>
      </c>
      <c r="BH1610" s="96" t="str">
        <f>+VLOOKUP(G1610,Liste!$A$7:$G$50,3,FALSE)</f>
        <v>Pin d'Alep</v>
      </c>
      <c r="BI1610" s="96" t="str">
        <f>+VLOOKUP(H1610,Liste!$B$7:$G$50,5,FALSE)</f>
        <v>Pin d'Alep</v>
      </c>
      <c r="BJ1610" s="135">
        <f t="shared" si="494"/>
        <v>32</v>
      </c>
      <c r="BK1610" s="135" t="str">
        <f t="shared" si="496"/>
        <v>Pin d'Alep_F2_Classique_Pin d'Alep_32_</v>
      </c>
      <c r="BM1610" s="13">
        <v>22.810902305787</v>
      </c>
      <c r="BN1610" s="13">
        <v>99.738472574471103</v>
      </c>
      <c r="BO1610" s="12" t="s">
        <v>169</v>
      </c>
      <c r="BP1610" s="13">
        <v>134.534925639471</v>
      </c>
      <c r="BQ1610" s="13">
        <v>6.76015137522353</v>
      </c>
      <c r="BT1610" s="298" t="str">
        <f>+VLOOKUP(G1610,Liste!$A$7:$H$50,8,FALSE)</f>
        <v>Résineux</v>
      </c>
      <c r="BU1610" s="298">
        <f t="shared" si="497"/>
        <v>0</v>
      </c>
      <c r="BV1610" s="300">
        <f t="shared" si="498"/>
        <v>1</v>
      </c>
      <c r="BW1610" s="321">
        <v>0</v>
      </c>
      <c r="BX1610" s="298">
        <f t="shared" si="499"/>
        <v>0.43</v>
      </c>
      <c r="BY1610">
        <f t="shared" si="500"/>
        <v>0</v>
      </c>
      <c r="BZ1610" s="304">
        <f t="shared" si="501"/>
        <v>0</v>
      </c>
      <c r="CB1610" s="299">
        <v>0.6</v>
      </c>
      <c r="CC1610" s="299">
        <v>0.4</v>
      </c>
      <c r="CD1610">
        <f t="shared" si="502"/>
        <v>0</v>
      </c>
      <c r="CE1610">
        <f t="shared" si="503"/>
        <v>0</v>
      </c>
      <c r="CF1610">
        <f t="shared" si="504"/>
        <v>0</v>
      </c>
      <c r="CG1610">
        <f t="shared" si="505"/>
        <v>0</v>
      </c>
      <c r="CH1610">
        <f t="shared" si="506"/>
        <v>0</v>
      </c>
      <c r="CI1610">
        <f t="shared" si="507"/>
        <v>0</v>
      </c>
      <c r="CJ1610">
        <f t="shared" si="508"/>
        <v>0</v>
      </c>
      <c r="CK1610">
        <f t="shared" si="509"/>
        <v>0</v>
      </c>
      <c r="CL1610">
        <f t="shared" si="510"/>
        <v>0</v>
      </c>
      <c r="CM1610">
        <f t="shared" si="512"/>
        <v>0</v>
      </c>
      <c r="CN1610">
        <f t="shared" si="511"/>
        <v>0</v>
      </c>
      <c r="CO1610">
        <f t="shared" si="495"/>
        <v>0</v>
      </c>
    </row>
    <row r="1611" spans="2:93" x14ac:dyDescent="0.25">
      <c r="B1611" s="318">
        <v>44372</v>
      </c>
      <c r="C1611" s="4" t="s">
        <v>1524</v>
      </c>
      <c r="D1611" s="4" t="s">
        <v>1525</v>
      </c>
      <c r="F1611" s="4" t="s">
        <v>90</v>
      </c>
      <c r="G1611" s="5" t="s">
        <v>1514</v>
      </c>
      <c r="H1611" s="5" t="s">
        <v>1527</v>
      </c>
      <c r="I1611" s="5" t="s">
        <v>18</v>
      </c>
      <c r="J1611" s="5" t="s">
        <v>10</v>
      </c>
      <c r="K1611" s="5">
        <v>12</v>
      </c>
      <c r="L1611" s="5" t="s">
        <v>1528</v>
      </c>
      <c r="M1611" s="5">
        <v>1100</v>
      </c>
      <c r="N1611" s="5" t="s">
        <v>170</v>
      </c>
      <c r="O1611" s="6" t="s">
        <v>81</v>
      </c>
      <c r="P1611" s="6" t="s">
        <v>1530</v>
      </c>
      <c r="S1611" s="6">
        <v>18</v>
      </c>
      <c r="T1611" s="6">
        <v>4.34</v>
      </c>
      <c r="U1611" s="6">
        <v>1101</v>
      </c>
      <c r="V1611" s="6">
        <v>4.92</v>
      </c>
      <c r="W1611" s="6">
        <v>569</v>
      </c>
      <c r="X1611" s="6">
        <v>532</v>
      </c>
      <c r="Y1611" s="6">
        <v>0</v>
      </c>
      <c r="Z1611" s="6">
        <v>0</v>
      </c>
      <c r="AA1611" s="6">
        <v>0</v>
      </c>
      <c r="AB1611" s="6">
        <v>0</v>
      </c>
      <c r="AC1611" s="7">
        <v>33</v>
      </c>
      <c r="AD1611" s="7" t="s">
        <v>52</v>
      </c>
      <c r="AE1611" s="7">
        <v>8.49</v>
      </c>
      <c r="AF1611" s="7">
        <v>1096</v>
      </c>
      <c r="AG1611" s="7">
        <v>16.28</v>
      </c>
      <c r="AH1611" s="7">
        <v>13.75</v>
      </c>
      <c r="AI1611" s="7">
        <v>16.38</v>
      </c>
      <c r="AJ1611" s="9">
        <v>60.022345627844601</v>
      </c>
      <c r="AK1611" s="9">
        <v>61.6756918111491</v>
      </c>
      <c r="AL1611" s="9">
        <v>104.827504223335</v>
      </c>
      <c r="AM1611" s="9">
        <v>16.333843043121799</v>
      </c>
      <c r="AN1611" s="9">
        <v>0.49496494070065999</v>
      </c>
      <c r="AO1611" s="9">
        <v>0.85239603536327702</v>
      </c>
      <c r="AP1611" s="9">
        <v>105.174808289517</v>
      </c>
      <c r="AQ1611" s="9">
        <v>3.18711540271264</v>
      </c>
      <c r="AR1611" s="9">
        <v>7.0006702274413604</v>
      </c>
      <c r="AS1611" s="8" t="s">
        <v>169</v>
      </c>
      <c r="AT1611" s="8" t="s">
        <v>169</v>
      </c>
      <c r="AU1611" s="8" t="s">
        <v>169</v>
      </c>
      <c r="AV1611" s="10">
        <v>0</v>
      </c>
      <c r="AW1611" s="8" t="s">
        <v>169</v>
      </c>
      <c r="AX1611" s="8" t="s">
        <v>169</v>
      </c>
      <c r="BF1611" s="12">
        <v>0.45</v>
      </c>
      <c r="BG1611" s="13">
        <v>82.158556435038506</v>
      </c>
      <c r="BH1611" s="96" t="str">
        <f>+VLOOKUP(G1611,Liste!$A$7:$G$50,3,FALSE)</f>
        <v>Pin d'Alep</v>
      </c>
      <c r="BI1611" s="96" t="str">
        <f>+VLOOKUP(H1611,Liste!$B$7:$G$50,5,FALSE)</f>
        <v>Pin d'Alep</v>
      </c>
      <c r="BJ1611" s="135">
        <f t="shared" si="494"/>
        <v>33</v>
      </c>
      <c r="BK1611" s="135" t="str">
        <f t="shared" si="496"/>
        <v>Pin d'Alep_F2_Classique_Pin d'Alep_33_</v>
      </c>
      <c r="BM1611" s="13">
        <v>24.176176049891001</v>
      </c>
      <c r="BN1611" s="13">
        <v>106.33473248493</v>
      </c>
      <c r="BO1611" s="12" t="s">
        <v>169</v>
      </c>
      <c r="BP1611" s="13">
        <v>134.534925639471</v>
      </c>
      <c r="BQ1611" s="13">
        <v>6.9074518445140702</v>
      </c>
      <c r="BT1611" s="298" t="str">
        <f>+VLOOKUP(G1611,Liste!$A$7:$H$50,8,FALSE)</f>
        <v>Résineux</v>
      </c>
      <c r="BU1611" s="298">
        <f t="shared" si="497"/>
        <v>0</v>
      </c>
      <c r="BV1611" s="300">
        <f t="shared" si="498"/>
        <v>1</v>
      </c>
      <c r="BW1611" s="321">
        <v>0</v>
      </c>
      <c r="BX1611" s="298">
        <f t="shared" si="499"/>
        <v>0.43</v>
      </c>
      <c r="BY1611">
        <f t="shared" si="500"/>
        <v>0</v>
      </c>
      <c r="BZ1611" s="304">
        <f t="shared" si="501"/>
        <v>0</v>
      </c>
      <c r="CB1611" s="299">
        <v>0.6</v>
      </c>
      <c r="CC1611" s="299">
        <v>0.4</v>
      </c>
      <c r="CD1611">
        <f t="shared" si="502"/>
        <v>0</v>
      </c>
      <c r="CE1611">
        <f t="shared" si="503"/>
        <v>0</v>
      </c>
      <c r="CF1611">
        <f t="shared" si="504"/>
        <v>0</v>
      </c>
      <c r="CG1611">
        <f t="shared" si="505"/>
        <v>0</v>
      </c>
      <c r="CH1611">
        <f t="shared" si="506"/>
        <v>0</v>
      </c>
      <c r="CI1611">
        <f t="shared" si="507"/>
        <v>0</v>
      </c>
      <c r="CJ1611">
        <f t="shared" si="508"/>
        <v>0</v>
      </c>
      <c r="CK1611">
        <f t="shared" si="509"/>
        <v>0</v>
      </c>
      <c r="CL1611">
        <f t="shared" si="510"/>
        <v>0</v>
      </c>
      <c r="CM1611">
        <f t="shared" si="512"/>
        <v>0</v>
      </c>
      <c r="CN1611">
        <f t="shared" si="511"/>
        <v>0</v>
      </c>
      <c r="CO1611">
        <f t="shared" si="495"/>
        <v>0</v>
      </c>
    </row>
    <row r="1612" spans="2:93" x14ac:dyDescent="0.25">
      <c r="B1612" s="318">
        <v>44372</v>
      </c>
      <c r="C1612" s="4" t="s">
        <v>1524</v>
      </c>
      <c r="D1612" s="4" t="s">
        <v>1525</v>
      </c>
      <c r="F1612" s="4" t="s">
        <v>90</v>
      </c>
      <c r="G1612" s="5" t="s">
        <v>1514</v>
      </c>
      <c r="H1612" s="5" t="s">
        <v>1527</v>
      </c>
      <c r="I1612" s="5" t="s">
        <v>18</v>
      </c>
      <c r="J1612" s="5" t="s">
        <v>10</v>
      </c>
      <c r="K1612" s="5">
        <v>12</v>
      </c>
      <c r="L1612" s="5" t="s">
        <v>1528</v>
      </c>
      <c r="M1612" s="5">
        <v>1100</v>
      </c>
      <c r="N1612" s="5" t="s">
        <v>170</v>
      </c>
      <c r="O1612" s="6" t="s">
        <v>81</v>
      </c>
      <c r="P1612" s="6" t="s">
        <v>1530</v>
      </c>
      <c r="S1612" s="6">
        <v>18</v>
      </c>
      <c r="T1612" s="6">
        <v>4.34</v>
      </c>
      <c r="U1612" s="6">
        <v>1101</v>
      </c>
      <c r="V1612" s="6">
        <v>4.92</v>
      </c>
      <c r="W1612" s="6">
        <v>569</v>
      </c>
      <c r="X1612" s="6">
        <v>532</v>
      </c>
      <c r="Y1612" s="6">
        <v>0</v>
      </c>
      <c r="Z1612" s="6">
        <v>0</v>
      </c>
      <c r="AA1612" s="6">
        <v>0</v>
      </c>
      <c r="AB1612" s="6">
        <v>0</v>
      </c>
      <c r="AC1612" s="7">
        <v>34</v>
      </c>
      <c r="AD1612" s="7" t="s">
        <v>52</v>
      </c>
      <c r="AE1612" s="7">
        <v>8.73</v>
      </c>
      <c r="AF1612" s="7">
        <v>1095</v>
      </c>
      <c r="AG1612" s="7">
        <v>17.12</v>
      </c>
      <c r="AH1612" s="7">
        <v>14.11</v>
      </c>
      <c r="AI1612" s="7">
        <v>16.79</v>
      </c>
      <c r="AJ1612" s="9">
        <v>64.7018359089558</v>
      </c>
      <c r="AK1612" s="9">
        <v>66.493952576236893</v>
      </c>
      <c r="AL1612" s="9">
        <v>111.768724342506</v>
      </c>
      <c r="AM1612" s="9">
        <v>17.186239078485102</v>
      </c>
      <c r="AN1612" s="9">
        <v>0.50547761995544305</v>
      </c>
      <c r="AO1612" s="9">
        <v>0.85476832266184399</v>
      </c>
      <c r="AP1612" s="9">
        <v>112.17547851695799</v>
      </c>
      <c r="AQ1612" s="9">
        <v>3.2992787799105399</v>
      </c>
      <c r="AR1612" s="9">
        <v>7.1602232241005899</v>
      </c>
      <c r="AS1612" s="8" t="s">
        <v>169</v>
      </c>
      <c r="AT1612" s="8" t="s">
        <v>169</v>
      </c>
      <c r="AU1612" s="8" t="s">
        <v>169</v>
      </c>
      <c r="AV1612" s="10">
        <v>0</v>
      </c>
      <c r="AW1612" s="8" t="s">
        <v>169</v>
      </c>
      <c r="AX1612" s="8" t="s">
        <v>169</v>
      </c>
      <c r="BF1612" s="12">
        <v>0.45</v>
      </c>
      <c r="BG1612" s="13">
        <v>87.5987377034388</v>
      </c>
      <c r="BH1612" s="96" t="str">
        <f>+VLOOKUP(G1612,Liste!$A$7:$G$50,3,FALSE)</f>
        <v>Pin d'Alep</v>
      </c>
      <c r="BI1612" s="96" t="str">
        <f>+VLOOKUP(H1612,Liste!$B$7:$G$50,5,FALSE)</f>
        <v>Pin d'Alep</v>
      </c>
      <c r="BJ1612" s="135">
        <f t="shared" si="494"/>
        <v>34</v>
      </c>
      <c r="BK1612" s="135" t="str">
        <f t="shared" si="496"/>
        <v>Pin d'Alep_F2_Classique_Pin d'Alep_34_</v>
      </c>
      <c r="BM1612" s="13">
        <v>25.5853577581194</v>
      </c>
      <c r="BN1612" s="13">
        <v>113.184095461558</v>
      </c>
      <c r="BO1612" s="12" t="s">
        <v>169</v>
      </c>
      <c r="BP1612" s="13">
        <v>134.534925639471</v>
      </c>
      <c r="BQ1612" s="13">
        <v>7.0542413984595198</v>
      </c>
      <c r="BT1612" s="298" t="str">
        <f>+VLOOKUP(G1612,Liste!$A$7:$H$50,8,FALSE)</f>
        <v>Résineux</v>
      </c>
      <c r="BU1612" s="298">
        <f t="shared" si="497"/>
        <v>0</v>
      </c>
      <c r="BV1612" s="300">
        <f t="shared" si="498"/>
        <v>1</v>
      </c>
      <c r="BW1612" s="321">
        <v>0</v>
      </c>
      <c r="BX1612" s="298">
        <f t="shared" si="499"/>
        <v>0.43</v>
      </c>
      <c r="BY1612">
        <f t="shared" si="500"/>
        <v>0</v>
      </c>
      <c r="BZ1612" s="304">
        <f t="shared" si="501"/>
        <v>0</v>
      </c>
      <c r="CB1612" s="299">
        <v>0.6</v>
      </c>
      <c r="CC1612" s="299">
        <v>0.4</v>
      </c>
      <c r="CD1612">
        <f t="shared" si="502"/>
        <v>0</v>
      </c>
      <c r="CE1612">
        <f t="shared" si="503"/>
        <v>0</v>
      </c>
      <c r="CF1612">
        <f t="shared" si="504"/>
        <v>0</v>
      </c>
      <c r="CG1612">
        <f t="shared" si="505"/>
        <v>0</v>
      </c>
      <c r="CH1612">
        <f t="shared" si="506"/>
        <v>0</v>
      </c>
      <c r="CI1612">
        <f t="shared" si="507"/>
        <v>0</v>
      </c>
      <c r="CJ1612">
        <f t="shared" si="508"/>
        <v>0</v>
      </c>
      <c r="CK1612">
        <f t="shared" si="509"/>
        <v>0</v>
      </c>
      <c r="CL1612">
        <f t="shared" si="510"/>
        <v>0</v>
      </c>
      <c r="CM1612">
        <f t="shared" si="512"/>
        <v>0</v>
      </c>
      <c r="CN1612">
        <f t="shared" si="511"/>
        <v>0</v>
      </c>
      <c r="CO1612">
        <f t="shared" si="495"/>
        <v>0</v>
      </c>
    </row>
    <row r="1613" spans="2:93" x14ac:dyDescent="0.25">
      <c r="B1613" s="318">
        <v>44372</v>
      </c>
      <c r="C1613" s="4" t="s">
        <v>1524</v>
      </c>
      <c r="D1613" s="4" t="s">
        <v>1525</v>
      </c>
      <c r="F1613" s="4" t="s">
        <v>90</v>
      </c>
      <c r="G1613" s="5" t="s">
        <v>1514</v>
      </c>
      <c r="H1613" s="5" t="s">
        <v>1527</v>
      </c>
      <c r="I1613" s="5" t="s">
        <v>18</v>
      </c>
      <c r="J1613" s="5" t="s">
        <v>10</v>
      </c>
      <c r="K1613" s="5">
        <v>12</v>
      </c>
      <c r="L1613" s="5" t="s">
        <v>1528</v>
      </c>
      <c r="M1613" s="5">
        <v>1100</v>
      </c>
      <c r="N1613" s="5" t="s">
        <v>170</v>
      </c>
      <c r="O1613" s="6" t="s">
        <v>81</v>
      </c>
      <c r="P1613" s="6" t="s">
        <v>1530</v>
      </c>
      <c r="S1613" s="6">
        <v>18</v>
      </c>
      <c r="T1613" s="6">
        <v>4.34</v>
      </c>
      <c r="U1613" s="6">
        <v>1101</v>
      </c>
      <c r="V1613" s="6">
        <v>4.92</v>
      </c>
      <c r="W1613" s="6">
        <v>569</v>
      </c>
      <c r="X1613" s="6">
        <v>532</v>
      </c>
      <c r="Y1613" s="6">
        <v>0</v>
      </c>
      <c r="Z1613" s="6">
        <v>0</v>
      </c>
      <c r="AA1613" s="6">
        <v>0</v>
      </c>
      <c r="AB1613" s="6">
        <v>0</v>
      </c>
      <c r="AC1613" s="7">
        <v>35</v>
      </c>
      <c r="AD1613" s="7" t="s">
        <v>52</v>
      </c>
      <c r="AE1613" s="7">
        <v>8.9600000000000009</v>
      </c>
      <c r="AF1613" s="7">
        <v>1093</v>
      </c>
      <c r="AG1613" s="7">
        <v>17.940000000000001</v>
      </c>
      <c r="AH1613" s="7">
        <v>14.46</v>
      </c>
      <c r="AI1613" s="7">
        <v>17.2</v>
      </c>
      <c r="AJ1613" s="9">
        <v>69.429257758879004</v>
      </c>
      <c r="AK1613" s="9">
        <v>71.362641557463604</v>
      </c>
      <c r="AL1613" s="9">
        <v>118.733307697039</v>
      </c>
      <c r="AM1613" s="9">
        <v>18.041007401146899</v>
      </c>
      <c r="AN1613" s="9">
        <v>0.51545735431848305</v>
      </c>
      <c r="AO1613" s="9">
        <v>0.85575361251180504</v>
      </c>
      <c r="AP1613" s="9">
        <v>119.335701741059</v>
      </c>
      <c r="AQ1613" s="9">
        <v>3.4095914783159702</v>
      </c>
      <c r="AR1613" s="9">
        <v>7.3002409743380996</v>
      </c>
      <c r="AS1613" s="8" t="s">
        <v>169</v>
      </c>
      <c r="AT1613" s="8" t="s">
        <v>169</v>
      </c>
      <c r="AU1613" s="8" t="s">
        <v>169</v>
      </c>
      <c r="AV1613" s="10">
        <v>0</v>
      </c>
      <c r="AW1613" s="8" t="s">
        <v>169</v>
      </c>
      <c r="AX1613" s="8" t="s">
        <v>169</v>
      </c>
      <c r="BF1613" s="12">
        <v>0.45</v>
      </c>
      <c r="BG1613" s="13">
        <v>93.057229907554202</v>
      </c>
      <c r="BH1613" s="96" t="str">
        <f>+VLOOKUP(G1613,Liste!$A$7:$G$50,3,FALSE)</f>
        <v>Pin d'Alep</v>
      </c>
      <c r="BI1613" s="96" t="str">
        <f>+VLOOKUP(H1613,Liste!$B$7:$G$50,5,FALSE)</f>
        <v>Pin d'Alep</v>
      </c>
      <c r="BJ1613" s="135">
        <f t="shared" si="494"/>
        <v>35</v>
      </c>
      <c r="BK1613" s="135" t="str">
        <f t="shared" si="496"/>
        <v>Pin d'Alep_F2_Classique_Pin d'Alep_35_</v>
      </c>
      <c r="BM1613" s="13">
        <v>26.989075112088798</v>
      </c>
      <c r="BN1613" s="13">
        <v>120.046305019643</v>
      </c>
      <c r="BO1613" s="12" t="s">
        <v>169</v>
      </c>
      <c r="BP1613" s="13">
        <v>134.534925639471</v>
      </c>
      <c r="BQ1613" s="13">
        <v>7.1818492708941504</v>
      </c>
      <c r="BT1613" s="298" t="str">
        <f>+VLOOKUP(G1613,Liste!$A$7:$H$50,8,FALSE)</f>
        <v>Résineux</v>
      </c>
      <c r="BU1613" s="298">
        <f t="shared" si="497"/>
        <v>0</v>
      </c>
      <c r="BV1613" s="300">
        <f t="shared" si="498"/>
        <v>1</v>
      </c>
      <c r="BW1613" s="321">
        <v>0</v>
      </c>
      <c r="BX1613" s="298">
        <f t="shared" si="499"/>
        <v>0.43</v>
      </c>
      <c r="BY1613">
        <f t="shared" si="500"/>
        <v>0</v>
      </c>
      <c r="BZ1613" s="304">
        <f t="shared" si="501"/>
        <v>0</v>
      </c>
      <c r="CB1613" s="299">
        <v>0.6</v>
      </c>
      <c r="CC1613" s="299">
        <v>0.4</v>
      </c>
      <c r="CD1613">
        <f t="shared" si="502"/>
        <v>0</v>
      </c>
      <c r="CE1613">
        <f t="shared" si="503"/>
        <v>0</v>
      </c>
      <c r="CF1613">
        <f t="shared" si="504"/>
        <v>0</v>
      </c>
      <c r="CG1613">
        <f t="shared" si="505"/>
        <v>0</v>
      </c>
      <c r="CH1613">
        <f t="shared" si="506"/>
        <v>0</v>
      </c>
      <c r="CI1613">
        <f t="shared" si="507"/>
        <v>0</v>
      </c>
      <c r="CJ1613">
        <f t="shared" si="508"/>
        <v>0</v>
      </c>
      <c r="CK1613">
        <f t="shared" si="509"/>
        <v>0</v>
      </c>
      <c r="CL1613">
        <f t="shared" si="510"/>
        <v>0</v>
      </c>
      <c r="CM1613">
        <f t="shared" si="512"/>
        <v>0</v>
      </c>
      <c r="CN1613">
        <f t="shared" si="511"/>
        <v>0</v>
      </c>
      <c r="CO1613">
        <f t="shared" si="495"/>
        <v>0</v>
      </c>
    </row>
    <row r="1614" spans="2:93" x14ac:dyDescent="0.25">
      <c r="B1614" s="318">
        <v>44372</v>
      </c>
      <c r="C1614" s="4" t="s">
        <v>1524</v>
      </c>
      <c r="D1614" s="4" t="s">
        <v>1525</v>
      </c>
      <c r="F1614" s="4" t="s">
        <v>90</v>
      </c>
      <c r="G1614" s="5" t="s">
        <v>1514</v>
      </c>
      <c r="H1614" s="5" t="s">
        <v>1527</v>
      </c>
      <c r="I1614" s="5" t="s">
        <v>18</v>
      </c>
      <c r="J1614" s="5" t="s">
        <v>10</v>
      </c>
      <c r="K1614" s="5">
        <v>12</v>
      </c>
      <c r="L1614" s="5" t="s">
        <v>1528</v>
      </c>
      <c r="M1614" s="5">
        <v>1100</v>
      </c>
      <c r="N1614" s="5" t="s">
        <v>170</v>
      </c>
      <c r="O1614" s="6" t="s">
        <v>81</v>
      </c>
      <c r="P1614" s="6" t="s">
        <v>1530</v>
      </c>
      <c r="S1614" s="6">
        <v>18</v>
      </c>
      <c r="T1614" s="6">
        <v>4.34</v>
      </c>
      <c r="U1614" s="6">
        <v>1101</v>
      </c>
      <c r="V1614" s="6">
        <v>4.92</v>
      </c>
      <c r="W1614" s="6">
        <v>569</v>
      </c>
      <c r="X1614" s="6">
        <v>532</v>
      </c>
      <c r="Y1614" s="6">
        <v>0</v>
      </c>
      <c r="Z1614" s="6">
        <v>0</v>
      </c>
      <c r="AA1614" s="6">
        <v>0</v>
      </c>
      <c r="AB1614" s="6">
        <v>0</v>
      </c>
      <c r="AC1614" s="7">
        <v>36</v>
      </c>
      <c r="AD1614" s="7" t="s">
        <v>52</v>
      </c>
      <c r="AE1614" s="7">
        <v>9.19</v>
      </c>
      <c r="AF1614" s="7">
        <v>1093</v>
      </c>
      <c r="AG1614" s="7">
        <v>18.8</v>
      </c>
      <c r="AH1614" s="7">
        <v>14.8</v>
      </c>
      <c r="AI1614" s="7">
        <v>17.61</v>
      </c>
      <c r="AJ1614" s="9">
        <v>74.382915413537802</v>
      </c>
      <c r="AK1614" s="9">
        <v>76.465356701118296</v>
      </c>
      <c r="AL1614" s="9">
        <v>126.03354867137701</v>
      </c>
      <c r="AM1614" s="9">
        <v>18.896761013658701</v>
      </c>
      <c r="AN1614" s="9">
        <v>0.52491002815718701</v>
      </c>
      <c r="AO1614" s="9">
        <v>0.85522616266721097</v>
      </c>
      <c r="AP1614" s="9">
        <v>126.63594271539699</v>
      </c>
      <c r="AQ1614" s="9">
        <v>3.5176650754277001</v>
      </c>
      <c r="AR1614" s="9">
        <v>7.4278976858514199</v>
      </c>
      <c r="AS1614" s="8" t="s">
        <v>169</v>
      </c>
      <c r="AT1614" s="8" t="s">
        <v>169</v>
      </c>
      <c r="AU1614" s="8" t="s">
        <v>169</v>
      </c>
      <c r="AV1614" s="10">
        <v>0</v>
      </c>
      <c r="AW1614" s="8" t="s">
        <v>169</v>
      </c>
      <c r="AX1614" s="8" t="s">
        <v>169</v>
      </c>
      <c r="BF1614" s="12">
        <v>0.45</v>
      </c>
      <c r="BG1614" s="13">
        <v>98.778793771191701</v>
      </c>
      <c r="BH1614" s="96" t="str">
        <f>+VLOOKUP(G1614,Liste!$A$7:$G$50,3,FALSE)</f>
        <v>Pin d'Alep</v>
      </c>
      <c r="BI1614" s="96" t="str">
        <f>+VLOOKUP(H1614,Liste!$B$7:$G$50,5,FALSE)</f>
        <v>Pin d'Alep</v>
      </c>
      <c r="BJ1614" s="135">
        <f t="shared" si="494"/>
        <v>36</v>
      </c>
      <c r="BK1614" s="135" t="str">
        <f t="shared" si="496"/>
        <v>Pin d'Alep_F2_Classique_Pin d'Alep_36_</v>
      </c>
      <c r="BM1614" s="13">
        <v>28.450195640335998</v>
      </c>
      <c r="BN1614" s="13">
        <v>127.228989411528</v>
      </c>
      <c r="BO1614" s="12" t="s">
        <v>169</v>
      </c>
      <c r="BP1614" s="13">
        <v>134.534925639471</v>
      </c>
      <c r="BQ1614" s="13">
        <v>7.2974098895116004</v>
      </c>
      <c r="BT1614" s="298" t="str">
        <f>+VLOOKUP(G1614,Liste!$A$7:$H$50,8,FALSE)</f>
        <v>Résineux</v>
      </c>
      <c r="BU1614" s="298">
        <f t="shared" si="497"/>
        <v>0</v>
      </c>
      <c r="BV1614" s="300">
        <f t="shared" si="498"/>
        <v>1</v>
      </c>
      <c r="BW1614" s="321">
        <v>0</v>
      </c>
      <c r="BX1614" s="298">
        <f t="shared" si="499"/>
        <v>0.43</v>
      </c>
      <c r="BY1614">
        <f t="shared" si="500"/>
        <v>0</v>
      </c>
      <c r="BZ1614" s="304">
        <f t="shared" si="501"/>
        <v>0</v>
      </c>
      <c r="CB1614" s="299">
        <v>0.6</v>
      </c>
      <c r="CC1614" s="299">
        <v>0.4</v>
      </c>
      <c r="CD1614">
        <f t="shared" si="502"/>
        <v>0</v>
      </c>
      <c r="CE1614">
        <f t="shared" si="503"/>
        <v>0</v>
      </c>
      <c r="CF1614">
        <f t="shared" si="504"/>
        <v>0</v>
      </c>
      <c r="CG1614">
        <f t="shared" si="505"/>
        <v>0</v>
      </c>
      <c r="CH1614">
        <f t="shared" si="506"/>
        <v>0</v>
      </c>
      <c r="CI1614">
        <f t="shared" si="507"/>
        <v>0</v>
      </c>
      <c r="CJ1614">
        <f t="shared" si="508"/>
        <v>0</v>
      </c>
      <c r="CK1614">
        <f t="shared" si="509"/>
        <v>0</v>
      </c>
      <c r="CL1614">
        <f t="shared" si="510"/>
        <v>0</v>
      </c>
      <c r="CM1614">
        <f t="shared" si="512"/>
        <v>0</v>
      </c>
      <c r="CN1614">
        <f t="shared" si="511"/>
        <v>0</v>
      </c>
      <c r="CO1614">
        <f t="shared" si="495"/>
        <v>0</v>
      </c>
    </row>
    <row r="1615" spans="2:93" x14ac:dyDescent="0.25">
      <c r="B1615" s="318">
        <v>44372</v>
      </c>
      <c r="C1615" s="4" t="s">
        <v>1524</v>
      </c>
      <c r="D1615" s="4" t="s">
        <v>1525</v>
      </c>
      <c r="F1615" s="4" t="s">
        <v>90</v>
      </c>
      <c r="G1615" s="5" t="s">
        <v>1514</v>
      </c>
      <c r="H1615" s="5" t="s">
        <v>1527</v>
      </c>
      <c r="I1615" s="5" t="s">
        <v>18</v>
      </c>
      <c r="J1615" s="5" t="s">
        <v>10</v>
      </c>
      <c r="K1615" s="5">
        <v>12</v>
      </c>
      <c r="L1615" s="5" t="s">
        <v>1528</v>
      </c>
      <c r="M1615" s="5">
        <v>1100</v>
      </c>
      <c r="N1615" s="5" t="s">
        <v>170</v>
      </c>
      <c r="O1615" s="6" t="s">
        <v>81</v>
      </c>
      <c r="P1615" s="6" t="s">
        <v>1530</v>
      </c>
      <c r="S1615" s="6">
        <v>18</v>
      </c>
      <c r="T1615" s="6">
        <v>4.34</v>
      </c>
      <c r="U1615" s="6">
        <v>1101</v>
      </c>
      <c r="V1615" s="6">
        <v>4.92</v>
      </c>
      <c r="W1615" s="6">
        <v>569</v>
      </c>
      <c r="X1615" s="6">
        <v>532</v>
      </c>
      <c r="Y1615" s="6">
        <v>0</v>
      </c>
      <c r="Z1615" s="6">
        <v>0</v>
      </c>
      <c r="AA1615" s="6">
        <v>0</v>
      </c>
      <c r="AB1615" s="6">
        <v>0</v>
      </c>
      <c r="AC1615" s="7">
        <v>37</v>
      </c>
      <c r="AD1615" s="7" t="s">
        <v>52</v>
      </c>
      <c r="AE1615" s="7">
        <v>9.42</v>
      </c>
      <c r="AF1615" s="7">
        <v>1092</v>
      </c>
      <c r="AG1615" s="7">
        <v>19.64</v>
      </c>
      <c r="AH1615" s="7">
        <v>15.13</v>
      </c>
      <c r="AI1615" s="7">
        <v>18.010000000000002</v>
      </c>
      <c r="AJ1615" s="9">
        <v>79.381152719272194</v>
      </c>
      <c r="AK1615" s="9">
        <v>81.615525742675601</v>
      </c>
      <c r="AL1615" s="9">
        <v>133.35796341370701</v>
      </c>
      <c r="AM1615" s="9">
        <v>19.751987176325901</v>
      </c>
      <c r="AN1615" s="9">
        <v>0.53383749125205204</v>
      </c>
      <c r="AO1615" s="9">
        <v>0.85290004107269402</v>
      </c>
      <c r="AP1615" s="9">
        <v>134.063840401249</v>
      </c>
      <c r="AQ1615" s="9">
        <v>3.62334703787158</v>
      </c>
      <c r="AR1615" s="9">
        <v>7.5435915373447502</v>
      </c>
      <c r="AS1615" s="8" t="s">
        <v>169</v>
      </c>
      <c r="AT1615" s="8" t="s">
        <v>169</v>
      </c>
      <c r="AU1615" s="8" t="s">
        <v>169</v>
      </c>
      <c r="AV1615" s="10">
        <v>0</v>
      </c>
      <c r="AW1615" s="8" t="s">
        <v>169</v>
      </c>
      <c r="AX1615" s="8" t="s">
        <v>169</v>
      </c>
      <c r="BF1615" s="12">
        <v>0.45</v>
      </c>
      <c r="BG1615" s="13">
        <v>104.519303825493</v>
      </c>
      <c r="BH1615" s="96" t="str">
        <f>+VLOOKUP(G1615,Liste!$A$7:$G$50,3,FALSE)</f>
        <v>Pin d'Alep</v>
      </c>
      <c r="BI1615" s="96" t="str">
        <f>+VLOOKUP(H1615,Liste!$B$7:$G$50,5,FALSE)</f>
        <v>Pin d'Alep</v>
      </c>
      <c r="BJ1615" s="135">
        <f t="shared" si="494"/>
        <v>37</v>
      </c>
      <c r="BK1615" s="135" t="str">
        <f t="shared" si="496"/>
        <v>Pin d'Alep_F2_Classique_Pin d'Alep_37_</v>
      </c>
      <c r="BM1615" s="13">
        <v>29.906282423706699</v>
      </c>
      <c r="BN1615" s="13">
        <v>134.425586249199</v>
      </c>
      <c r="BO1615" s="12" t="s">
        <v>169</v>
      </c>
      <c r="BP1615" s="13">
        <v>134.534925639471</v>
      </c>
      <c r="BQ1615" s="13">
        <v>7.4013591972440897</v>
      </c>
      <c r="BT1615" s="298" t="str">
        <f>+VLOOKUP(G1615,Liste!$A$7:$H$50,8,FALSE)</f>
        <v>Résineux</v>
      </c>
      <c r="BU1615" s="298">
        <f t="shared" si="497"/>
        <v>0</v>
      </c>
      <c r="BV1615" s="300">
        <f t="shared" si="498"/>
        <v>1</v>
      </c>
      <c r="BW1615" s="321">
        <v>0</v>
      </c>
      <c r="BX1615" s="298">
        <f t="shared" si="499"/>
        <v>0.43</v>
      </c>
      <c r="BY1615">
        <f t="shared" si="500"/>
        <v>0</v>
      </c>
      <c r="BZ1615" s="304">
        <f t="shared" si="501"/>
        <v>0</v>
      </c>
      <c r="CB1615" s="299">
        <v>0.6</v>
      </c>
      <c r="CC1615" s="299">
        <v>0.4</v>
      </c>
      <c r="CD1615">
        <f t="shared" si="502"/>
        <v>0</v>
      </c>
      <c r="CE1615">
        <f t="shared" si="503"/>
        <v>0</v>
      </c>
      <c r="CF1615">
        <f t="shared" si="504"/>
        <v>0</v>
      </c>
      <c r="CG1615">
        <f t="shared" si="505"/>
        <v>0</v>
      </c>
      <c r="CH1615">
        <f t="shared" si="506"/>
        <v>0</v>
      </c>
      <c r="CI1615">
        <f t="shared" si="507"/>
        <v>0</v>
      </c>
      <c r="CJ1615">
        <f t="shared" si="508"/>
        <v>0</v>
      </c>
      <c r="CK1615">
        <f t="shared" si="509"/>
        <v>0</v>
      </c>
      <c r="CL1615">
        <f t="shared" si="510"/>
        <v>0</v>
      </c>
      <c r="CM1615">
        <f t="shared" si="512"/>
        <v>0</v>
      </c>
      <c r="CN1615">
        <f t="shared" si="511"/>
        <v>0</v>
      </c>
      <c r="CO1615">
        <f t="shared" si="495"/>
        <v>0</v>
      </c>
    </row>
    <row r="1616" spans="2:93" x14ac:dyDescent="0.25">
      <c r="B1616" s="318">
        <v>44372</v>
      </c>
      <c r="C1616" s="4" t="s">
        <v>1524</v>
      </c>
      <c r="D1616" s="4" t="s">
        <v>1525</v>
      </c>
      <c r="F1616" s="4" t="s">
        <v>90</v>
      </c>
      <c r="G1616" s="5" t="s">
        <v>1514</v>
      </c>
      <c r="H1616" s="5" t="s">
        <v>1527</v>
      </c>
      <c r="I1616" s="5" t="s">
        <v>18</v>
      </c>
      <c r="J1616" s="5" t="s">
        <v>10</v>
      </c>
      <c r="K1616" s="5">
        <v>12</v>
      </c>
      <c r="L1616" s="5" t="s">
        <v>1528</v>
      </c>
      <c r="M1616" s="5">
        <v>1100</v>
      </c>
      <c r="N1616" s="5" t="s">
        <v>170</v>
      </c>
      <c r="O1616" s="6" t="s">
        <v>81</v>
      </c>
      <c r="P1616" s="6" t="s">
        <v>1530</v>
      </c>
      <c r="S1616" s="6">
        <v>18</v>
      </c>
      <c r="T1616" s="6">
        <v>4.34</v>
      </c>
      <c r="U1616" s="6">
        <v>1101</v>
      </c>
      <c r="V1616" s="6">
        <v>4.92</v>
      </c>
      <c r="W1616" s="6">
        <v>569</v>
      </c>
      <c r="X1616" s="6">
        <v>532</v>
      </c>
      <c r="Y1616" s="6">
        <v>0</v>
      </c>
      <c r="Z1616" s="6">
        <v>0</v>
      </c>
      <c r="AA1616" s="6">
        <v>0</v>
      </c>
      <c r="AB1616" s="6">
        <v>0</v>
      </c>
      <c r="AC1616" s="7">
        <v>38</v>
      </c>
      <c r="AD1616" s="7" t="s">
        <v>52</v>
      </c>
      <c r="AE1616" s="7">
        <v>9.64</v>
      </c>
      <c r="AF1616" s="7">
        <v>1090</v>
      </c>
      <c r="AG1616" s="7">
        <v>20.47</v>
      </c>
      <c r="AH1616" s="7">
        <v>15.46</v>
      </c>
      <c r="AI1616" s="7">
        <v>18.399999999999999</v>
      </c>
      <c r="AJ1616" s="9">
        <v>84.443803431190105</v>
      </c>
      <c r="AK1616" s="9">
        <v>86.833544480519706</v>
      </c>
      <c r="AL1616" s="9">
        <v>140.73652487192399</v>
      </c>
      <c r="AM1616" s="9">
        <v>20.604887217398598</v>
      </c>
      <c r="AN1616" s="9">
        <v>0.54223387414206903</v>
      </c>
      <c r="AO1616" s="9">
        <v>0.85130430050023198</v>
      </c>
      <c r="AP1616" s="9">
        <v>141.60743193859301</v>
      </c>
      <c r="AQ1616" s="9">
        <v>3.7265113668050902</v>
      </c>
      <c r="AR1616" s="9">
        <v>7.6533120949274602</v>
      </c>
      <c r="AS1616" s="8" t="s">
        <v>169</v>
      </c>
      <c r="AT1616" s="8" t="s">
        <v>169</v>
      </c>
      <c r="AU1616" s="8" t="s">
        <v>169</v>
      </c>
      <c r="AV1616" s="10">
        <v>0</v>
      </c>
      <c r="AW1616" s="8" t="s">
        <v>169</v>
      </c>
      <c r="AX1616" s="8" t="s">
        <v>169</v>
      </c>
      <c r="BF1616" s="12">
        <v>0.45</v>
      </c>
      <c r="BG1616" s="13">
        <v>110.302251368371</v>
      </c>
      <c r="BH1616" s="96" t="str">
        <f>+VLOOKUP(G1616,Liste!$A$7:$G$50,3,FALSE)</f>
        <v>Pin d'Alep</v>
      </c>
      <c r="BI1616" s="96" t="str">
        <f>+VLOOKUP(H1616,Liste!$B$7:$G$50,5,FALSE)</f>
        <v>Pin d'Alep</v>
      </c>
      <c r="BJ1616" s="135">
        <f t="shared" si="494"/>
        <v>38</v>
      </c>
      <c r="BK1616" s="135" t="str">
        <f t="shared" si="496"/>
        <v>Pin d'Alep_F2_Classique_Pin d'Alep_38_</v>
      </c>
      <c r="BM1616" s="13">
        <v>31.3637476525296</v>
      </c>
      <c r="BN1616" s="13">
        <v>141.66599902089999</v>
      </c>
      <c r="BO1616" s="12" t="s">
        <v>169</v>
      </c>
      <c r="BP1616" s="13">
        <v>134.534925639471</v>
      </c>
      <c r="BQ1616" s="13">
        <v>7.49960234958181</v>
      </c>
      <c r="BT1616" s="298" t="str">
        <f>+VLOOKUP(G1616,Liste!$A$7:$H$50,8,FALSE)</f>
        <v>Résineux</v>
      </c>
      <c r="BU1616" s="298">
        <f t="shared" si="497"/>
        <v>0</v>
      </c>
      <c r="BV1616" s="300">
        <f t="shared" si="498"/>
        <v>1</v>
      </c>
      <c r="BW1616" s="321">
        <v>0</v>
      </c>
      <c r="BX1616" s="298">
        <f t="shared" si="499"/>
        <v>0.43</v>
      </c>
      <c r="BY1616">
        <f t="shared" si="500"/>
        <v>0</v>
      </c>
      <c r="BZ1616" s="304">
        <f t="shared" si="501"/>
        <v>0</v>
      </c>
      <c r="CB1616" s="299">
        <v>0.6</v>
      </c>
      <c r="CC1616" s="299">
        <v>0.4</v>
      </c>
      <c r="CD1616">
        <f t="shared" si="502"/>
        <v>0</v>
      </c>
      <c r="CE1616">
        <f t="shared" si="503"/>
        <v>0</v>
      </c>
      <c r="CF1616">
        <f t="shared" si="504"/>
        <v>0</v>
      </c>
      <c r="CG1616">
        <f t="shared" si="505"/>
        <v>0</v>
      </c>
      <c r="CH1616">
        <f t="shared" si="506"/>
        <v>0</v>
      </c>
      <c r="CI1616">
        <f t="shared" si="507"/>
        <v>0</v>
      </c>
      <c r="CJ1616">
        <f t="shared" si="508"/>
        <v>0</v>
      </c>
      <c r="CK1616">
        <f t="shared" si="509"/>
        <v>0</v>
      </c>
      <c r="CL1616">
        <f t="shared" si="510"/>
        <v>0</v>
      </c>
      <c r="CM1616">
        <f t="shared" si="512"/>
        <v>0</v>
      </c>
      <c r="CN1616">
        <f t="shared" si="511"/>
        <v>0</v>
      </c>
      <c r="CO1616">
        <f t="shared" si="495"/>
        <v>0</v>
      </c>
    </row>
    <row r="1617" spans="2:93" x14ac:dyDescent="0.25">
      <c r="B1617" s="318">
        <v>44372</v>
      </c>
      <c r="C1617" s="4" t="s">
        <v>1524</v>
      </c>
      <c r="D1617" s="4" t="s">
        <v>1525</v>
      </c>
      <c r="F1617" s="4" t="s">
        <v>90</v>
      </c>
      <c r="G1617" s="5" t="s">
        <v>1514</v>
      </c>
      <c r="H1617" s="5" t="s">
        <v>1527</v>
      </c>
      <c r="I1617" s="5" t="s">
        <v>18</v>
      </c>
      <c r="J1617" s="5" t="s">
        <v>10</v>
      </c>
      <c r="K1617" s="5">
        <v>12</v>
      </c>
      <c r="L1617" s="5" t="s">
        <v>1528</v>
      </c>
      <c r="M1617" s="5">
        <v>1100</v>
      </c>
      <c r="N1617" s="5" t="s">
        <v>170</v>
      </c>
      <c r="O1617" s="6" t="s">
        <v>81</v>
      </c>
      <c r="P1617" s="6" t="s">
        <v>1530</v>
      </c>
      <c r="S1617" s="6">
        <v>18</v>
      </c>
      <c r="T1617" s="6">
        <v>4.34</v>
      </c>
      <c r="U1617" s="6">
        <v>1101</v>
      </c>
      <c r="V1617" s="6">
        <v>4.92</v>
      </c>
      <c r="W1617" s="6">
        <v>569</v>
      </c>
      <c r="X1617" s="6">
        <v>532</v>
      </c>
      <c r="Y1617" s="6">
        <v>0</v>
      </c>
      <c r="Z1617" s="6">
        <v>0</v>
      </c>
      <c r="AA1617" s="6">
        <v>0</v>
      </c>
      <c r="AB1617" s="6">
        <v>0</v>
      </c>
      <c r="AC1617" s="7">
        <v>39</v>
      </c>
      <c r="AD1617" s="7" t="s">
        <v>52</v>
      </c>
      <c r="AE1617" s="7">
        <v>9.86</v>
      </c>
      <c r="AF1617" s="7">
        <v>1090</v>
      </c>
      <c r="AG1617" s="7">
        <v>21.32</v>
      </c>
      <c r="AH1617" s="7">
        <v>15.78</v>
      </c>
      <c r="AI1617" s="7">
        <v>18.79</v>
      </c>
      <c r="AJ1617" s="9">
        <v>89.693003510569397</v>
      </c>
      <c r="AK1617" s="9">
        <v>92.2440379852832</v>
      </c>
      <c r="AL1617" s="9">
        <v>148.38983696685199</v>
      </c>
      <c r="AM1617" s="9">
        <v>21.456191517898901</v>
      </c>
      <c r="AN1617" s="9">
        <v>0.55015875686920102</v>
      </c>
      <c r="AO1617" s="9">
        <v>0.84581315782490996</v>
      </c>
      <c r="AP1617" s="9">
        <v>149.26074403352101</v>
      </c>
      <c r="AQ1617" s="9">
        <v>3.8271985649620701</v>
      </c>
      <c r="AR1617" s="9">
        <v>7.7239524459195597</v>
      </c>
      <c r="AS1617" s="8" t="s">
        <v>169</v>
      </c>
      <c r="AT1617" s="8" t="s">
        <v>169</v>
      </c>
      <c r="AU1617" s="8" t="s">
        <v>169</v>
      </c>
      <c r="AV1617" s="10">
        <v>0</v>
      </c>
      <c r="AW1617" s="8" t="s">
        <v>169</v>
      </c>
      <c r="AX1617" s="8" t="s">
        <v>169</v>
      </c>
      <c r="BF1617" s="12">
        <v>0.45</v>
      </c>
      <c r="BG1617" s="13">
        <v>116.30053472277</v>
      </c>
      <c r="BH1617" s="96" t="str">
        <f>+VLOOKUP(G1617,Liste!$A$7:$G$50,3,FALSE)</f>
        <v>Pin d'Alep</v>
      </c>
      <c r="BI1617" s="96" t="str">
        <f>+VLOOKUP(H1617,Liste!$B$7:$G$50,5,FALSE)</f>
        <v>Pin d'Alep</v>
      </c>
      <c r="BJ1617" s="135">
        <f t="shared" si="494"/>
        <v>39</v>
      </c>
      <c r="BK1617" s="135" t="str">
        <f t="shared" si="496"/>
        <v>Pin d'Alep_F2_Classique_Pin d'Alep_39_</v>
      </c>
      <c r="BM1617" s="13">
        <v>32.866116914497503</v>
      </c>
      <c r="BN1617" s="13">
        <v>149.16665163726799</v>
      </c>
      <c r="BO1617" s="12" t="s">
        <v>169</v>
      </c>
      <c r="BP1617" s="13">
        <v>134.534925639471</v>
      </c>
      <c r="BQ1617" s="13">
        <v>7.5597634845144599</v>
      </c>
      <c r="BT1617" s="298" t="str">
        <f>+VLOOKUP(G1617,Liste!$A$7:$H$50,8,FALSE)</f>
        <v>Résineux</v>
      </c>
      <c r="BU1617" s="298">
        <f t="shared" si="497"/>
        <v>0</v>
      </c>
      <c r="BV1617" s="300">
        <f t="shared" si="498"/>
        <v>1</v>
      </c>
      <c r="BW1617" s="321">
        <v>0</v>
      </c>
      <c r="BX1617" s="298">
        <f t="shared" si="499"/>
        <v>0.43</v>
      </c>
      <c r="BY1617">
        <f t="shared" si="500"/>
        <v>0</v>
      </c>
      <c r="BZ1617" s="304">
        <f t="shared" si="501"/>
        <v>0</v>
      </c>
      <c r="CB1617" s="299">
        <v>0.6</v>
      </c>
      <c r="CC1617" s="299">
        <v>0.4</v>
      </c>
      <c r="CD1617">
        <f t="shared" si="502"/>
        <v>0</v>
      </c>
      <c r="CE1617">
        <f t="shared" si="503"/>
        <v>0</v>
      </c>
      <c r="CF1617">
        <f t="shared" si="504"/>
        <v>0</v>
      </c>
      <c r="CG1617">
        <f t="shared" si="505"/>
        <v>0</v>
      </c>
      <c r="CH1617">
        <f t="shared" si="506"/>
        <v>0</v>
      </c>
      <c r="CI1617">
        <f t="shared" si="507"/>
        <v>0</v>
      </c>
      <c r="CJ1617">
        <f t="shared" si="508"/>
        <v>0</v>
      </c>
      <c r="CK1617">
        <f t="shared" si="509"/>
        <v>0</v>
      </c>
      <c r="CL1617">
        <f t="shared" si="510"/>
        <v>0</v>
      </c>
      <c r="CM1617">
        <f t="shared" si="512"/>
        <v>0</v>
      </c>
      <c r="CN1617">
        <f t="shared" si="511"/>
        <v>0</v>
      </c>
      <c r="CO1617">
        <f t="shared" si="495"/>
        <v>0</v>
      </c>
    </row>
    <row r="1618" spans="2:93" x14ac:dyDescent="0.25">
      <c r="B1618" s="318">
        <v>44372</v>
      </c>
      <c r="C1618" s="4" t="s">
        <v>1524</v>
      </c>
      <c r="D1618" s="4" t="s">
        <v>1525</v>
      </c>
      <c r="F1618" s="4" t="s">
        <v>90</v>
      </c>
      <c r="G1618" s="5" t="s">
        <v>1514</v>
      </c>
      <c r="H1618" s="5" t="s">
        <v>1527</v>
      </c>
      <c r="I1618" s="5" t="s">
        <v>18</v>
      </c>
      <c r="J1618" s="5" t="s">
        <v>10</v>
      </c>
      <c r="K1618" s="5">
        <v>12</v>
      </c>
      <c r="L1618" s="5" t="s">
        <v>1528</v>
      </c>
      <c r="M1618" s="5">
        <v>1100</v>
      </c>
      <c r="N1618" s="5" t="s">
        <v>170</v>
      </c>
      <c r="O1618" s="6" t="s">
        <v>81</v>
      </c>
      <c r="P1618" s="6" t="s">
        <v>1530</v>
      </c>
      <c r="S1618" s="6">
        <v>18</v>
      </c>
      <c r="T1618" s="6">
        <v>4.34</v>
      </c>
      <c r="U1618" s="6">
        <v>1101</v>
      </c>
      <c r="V1618" s="6">
        <v>4.92</v>
      </c>
      <c r="W1618" s="6">
        <v>569</v>
      </c>
      <c r="X1618" s="6">
        <v>532</v>
      </c>
      <c r="Y1618" s="6">
        <v>0</v>
      </c>
      <c r="Z1618" s="6">
        <v>0</v>
      </c>
      <c r="AA1618" s="6">
        <v>0</v>
      </c>
      <c r="AB1618" s="6">
        <v>0</v>
      </c>
      <c r="AC1618" s="7">
        <v>40</v>
      </c>
      <c r="AD1618" s="7" t="s">
        <v>52</v>
      </c>
      <c r="AE1618" s="7">
        <v>10.07</v>
      </c>
      <c r="AF1618" s="7">
        <v>1088</v>
      </c>
      <c r="AG1618" s="7">
        <v>22.13</v>
      </c>
      <c r="AH1618" s="7">
        <v>16.09</v>
      </c>
      <c r="AI1618" s="7">
        <v>19.18</v>
      </c>
      <c r="AJ1618" s="9">
        <v>95.016155065883098</v>
      </c>
      <c r="AK1618" s="9">
        <v>97.714381309520206</v>
      </c>
      <c r="AL1618" s="9">
        <v>155.894163463702</v>
      </c>
      <c r="AM1618" s="9">
        <v>22.302004675723801</v>
      </c>
      <c r="AN1618" s="9">
        <v>0.55755011689309397</v>
      </c>
      <c r="AO1618" s="9">
        <v>0.84190928912985197</v>
      </c>
      <c r="AP1618" s="9">
        <v>156.98469647944</v>
      </c>
      <c r="AQ1618" s="9">
        <v>3.9246174119860102</v>
      </c>
      <c r="AR1618" s="9">
        <v>7.8128367007831203</v>
      </c>
      <c r="AS1618" s="8" t="s">
        <v>169</v>
      </c>
      <c r="AT1618" s="8" t="s">
        <v>169</v>
      </c>
      <c r="AU1618" s="8" t="s">
        <v>169</v>
      </c>
      <c r="AV1618" s="10">
        <v>0</v>
      </c>
      <c r="AW1618" s="8" t="s">
        <v>169</v>
      </c>
      <c r="AX1618" s="8" t="s">
        <v>169</v>
      </c>
      <c r="BF1618" s="12">
        <v>0.45</v>
      </c>
      <c r="BG1618" s="13">
        <v>122.182050614676</v>
      </c>
      <c r="BH1618" s="96" t="str">
        <f>+VLOOKUP(G1618,Liste!$A$7:$G$50,3,FALSE)</f>
        <v>Pin d'Alep</v>
      </c>
      <c r="BI1618" s="96" t="str">
        <f>+VLOOKUP(H1618,Liste!$B$7:$G$50,5,FALSE)</f>
        <v>Pin d'Alep</v>
      </c>
      <c r="BJ1618" s="135">
        <f t="shared" si="494"/>
        <v>40</v>
      </c>
      <c r="BK1618" s="135" t="str">
        <f t="shared" si="496"/>
        <v>Pin d'Alep_F2_Classique_Pin d'Alep_40_</v>
      </c>
      <c r="BM1618" s="13">
        <v>34.330501115251998</v>
      </c>
      <c r="BN1618" s="13">
        <v>156.51255172992799</v>
      </c>
      <c r="BO1618" s="12" t="s">
        <v>169</v>
      </c>
      <c r="BP1618" s="13">
        <v>134.534925639471</v>
      </c>
      <c r="BQ1618" s="13">
        <v>7.6380063175660098</v>
      </c>
      <c r="BT1618" s="298" t="str">
        <f>+VLOOKUP(G1618,Liste!$A$7:$H$50,8,FALSE)</f>
        <v>Résineux</v>
      </c>
      <c r="BU1618" s="298">
        <f t="shared" si="497"/>
        <v>0</v>
      </c>
      <c r="BV1618" s="300">
        <f t="shared" si="498"/>
        <v>1</v>
      </c>
      <c r="BW1618" s="321">
        <v>0</v>
      </c>
      <c r="BX1618" s="298">
        <f t="shared" si="499"/>
        <v>0.43</v>
      </c>
      <c r="BY1618">
        <f t="shared" si="500"/>
        <v>0</v>
      </c>
      <c r="BZ1618" s="304">
        <f t="shared" si="501"/>
        <v>0</v>
      </c>
      <c r="CB1618" s="299">
        <v>0.6</v>
      </c>
      <c r="CC1618" s="299">
        <v>0.4</v>
      </c>
      <c r="CD1618">
        <f t="shared" si="502"/>
        <v>0</v>
      </c>
      <c r="CE1618">
        <f t="shared" si="503"/>
        <v>0</v>
      </c>
      <c r="CF1618">
        <f t="shared" si="504"/>
        <v>0</v>
      </c>
      <c r="CG1618">
        <f t="shared" si="505"/>
        <v>0</v>
      </c>
      <c r="CH1618">
        <f t="shared" si="506"/>
        <v>0</v>
      </c>
      <c r="CI1618">
        <f t="shared" si="507"/>
        <v>0</v>
      </c>
      <c r="CJ1618">
        <f t="shared" si="508"/>
        <v>0</v>
      </c>
      <c r="CK1618">
        <f t="shared" si="509"/>
        <v>0</v>
      </c>
      <c r="CL1618">
        <f t="shared" si="510"/>
        <v>0</v>
      </c>
      <c r="CM1618">
        <f t="shared" si="512"/>
        <v>0</v>
      </c>
      <c r="CN1618">
        <f t="shared" si="511"/>
        <v>0</v>
      </c>
      <c r="CO1618">
        <f t="shared" si="495"/>
        <v>0</v>
      </c>
    </row>
    <row r="1619" spans="2:93" x14ac:dyDescent="0.25">
      <c r="B1619" s="318">
        <v>44372</v>
      </c>
      <c r="C1619" s="4" t="s">
        <v>1524</v>
      </c>
      <c r="D1619" s="4" t="s">
        <v>1525</v>
      </c>
      <c r="F1619" s="4" t="s">
        <v>90</v>
      </c>
      <c r="G1619" s="5" t="s">
        <v>1514</v>
      </c>
      <c r="H1619" s="5" t="s">
        <v>1527</v>
      </c>
      <c r="I1619" s="5" t="s">
        <v>18</v>
      </c>
      <c r="J1619" s="5" t="s">
        <v>10</v>
      </c>
      <c r="K1619" s="5">
        <v>12</v>
      </c>
      <c r="L1619" s="5" t="s">
        <v>1528</v>
      </c>
      <c r="M1619" s="5">
        <v>1100</v>
      </c>
      <c r="N1619" s="5" t="s">
        <v>170</v>
      </c>
      <c r="O1619" s="6" t="s">
        <v>81</v>
      </c>
      <c r="P1619" s="6" t="s">
        <v>1530</v>
      </c>
      <c r="S1619" s="6">
        <v>18</v>
      </c>
      <c r="T1619" s="6">
        <v>4.34</v>
      </c>
      <c r="U1619" s="6">
        <v>1101</v>
      </c>
      <c r="V1619" s="6">
        <v>4.92</v>
      </c>
      <c r="W1619" s="6">
        <v>569</v>
      </c>
      <c r="X1619" s="6">
        <v>532</v>
      </c>
      <c r="Y1619" s="6">
        <v>0</v>
      </c>
      <c r="Z1619" s="6">
        <v>0</v>
      </c>
      <c r="AA1619" s="6">
        <v>0</v>
      </c>
      <c r="AB1619" s="6">
        <v>0</v>
      </c>
      <c r="AC1619" s="7">
        <v>41</v>
      </c>
      <c r="AD1619" s="7" t="s">
        <v>52</v>
      </c>
      <c r="AE1619" s="7">
        <v>10.28</v>
      </c>
      <c r="AF1619" s="7">
        <v>1087</v>
      </c>
      <c r="AG1619" s="7">
        <v>22.96</v>
      </c>
      <c r="AH1619" s="7">
        <v>16.399999999999999</v>
      </c>
      <c r="AI1619" s="7">
        <v>19.559999999999999</v>
      </c>
      <c r="AJ1619" s="9">
        <v>100.56637139628501</v>
      </c>
      <c r="AK1619" s="9">
        <v>103.409350072831</v>
      </c>
      <c r="AL1619" s="9">
        <v>163.60387099783401</v>
      </c>
      <c r="AM1619" s="9">
        <v>23.143913964853599</v>
      </c>
      <c r="AN1619" s="9">
        <v>0.56448570645984397</v>
      </c>
      <c r="AO1619" s="9">
        <v>0.83590197492757001</v>
      </c>
      <c r="AP1619" s="9">
        <v>164.79753318022301</v>
      </c>
      <c r="AQ1619" s="9">
        <v>4.0194520287859401</v>
      </c>
      <c r="AR1619" s="9">
        <v>7.88078591620868</v>
      </c>
      <c r="AS1619" s="8" t="s">
        <v>169</v>
      </c>
      <c r="AT1619" s="8" t="s">
        <v>169</v>
      </c>
      <c r="AU1619" s="8" t="s">
        <v>169</v>
      </c>
      <c r="AV1619" s="10">
        <v>0</v>
      </c>
      <c r="AW1619" s="8" t="s">
        <v>169</v>
      </c>
      <c r="AX1619" s="8" t="s">
        <v>169</v>
      </c>
      <c r="BF1619" s="12">
        <v>0.45</v>
      </c>
      <c r="BG1619" s="13">
        <v>128.22453389455299</v>
      </c>
      <c r="BH1619" s="96" t="str">
        <f>+VLOOKUP(G1619,Liste!$A$7:$G$50,3,FALSE)</f>
        <v>Pin d'Alep</v>
      </c>
      <c r="BI1619" s="96" t="str">
        <f>+VLOOKUP(H1619,Liste!$B$7:$G$50,5,FALSE)</f>
        <v>Pin d'Alep</v>
      </c>
      <c r="BJ1619" s="135">
        <f t="shared" si="494"/>
        <v>41</v>
      </c>
      <c r="BK1619" s="135" t="str">
        <f t="shared" si="496"/>
        <v>Pin d'Alep_F2_Classique_Pin d'Alep_41_</v>
      </c>
      <c r="BM1619" s="13">
        <v>35.826442458633899</v>
      </c>
      <c r="BN1619" s="13">
        <v>164.050976353186</v>
      </c>
      <c r="BO1619" s="12" t="s">
        <v>169</v>
      </c>
      <c r="BP1619" s="13">
        <v>134.534925639471</v>
      </c>
      <c r="BQ1619" s="13">
        <v>7.6959882416788599</v>
      </c>
      <c r="BT1619" s="298" t="str">
        <f>+VLOOKUP(G1619,Liste!$A$7:$H$50,8,FALSE)</f>
        <v>Résineux</v>
      </c>
      <c r="BU1619" s="298">
        <f t="shared" si="497"/>
        <v>0</v>
      </c>
      <c r="BV1619" s="300">
        <f t="shared" si="498"/>
        <v>1</v>
      </c>
      <c r="BW1619" s="321">
        <v>0</v>
      </c>
      <c r="BX1619" s="298">
        <f t="shared" si="499"/>
        <v>0.43</v>
      </c>
      <c r="BY1619">
        <f t="shared" si="500"/>
        <v>0</v>
      </c>
      <c r="BZ1619" s="304">
        <f t="shared" si="501"/>
        <v>0</v>
      </c>
      <c r="CB1619" s="299">
        <v>0.6</v>
      </c>
      <c r="CC1619" s="299">
        <v>0.4</v>
      </c>
      <c r="CD1619">
        <f t="shared" si="502"/>
        <v>0</v>
      </c>
      <c r="CE1619">
        <f t="shared" si="503"/>
        <v>0</v>
      </c>
      <c r="CF1619">
        <f t="shared" si="504"/>
        <v>0</v>
      </c>
      <c r="CG1619">
        <f t="shared" si="505"/>
        <v>0</v>
      </c>
      <c r="CH1619">
        <f t="shared" si="506"/>
        <v>0</v>
      </c>
      <c r="CI1619">
        <f t="shared" si="507"/>
        <v>0</v>
      </c>
      <c r="CJ1619">
        <f t="shared" si="508"/>
        <v>0</v>
      </c>
      <c r="CK1619">
        <f t="shared" si="509"/>
        <v>0</v>
      </c>
      <c r="CL1619">
        <f t="shared" si="510"/>
        <v>0</v>
      </c>
      <c r="CM1619">
        <f t="shared" si="512"/>
        <v>0</v>
      </c>
      <c r="CN1619">
        <f t="shared" si="511"/>
        <v>0</v>
      </c>
      <c r="CO1619">
        <f t="shared" si="495"/>
        <v>0</v>
      </c>
    </row>
    <row r="1620" spans="2:93" x14ac:dyDescent="0.25">
      <c r="B1620" s="318">
        <v>44372</v>
      </c>
      <c r="C1620" s="4" t="s">
        <v>1524</v>
      </c>
      <c r="D1620" s="4" t="s">
        <v>1525</v>
      </c>
      <c r="F1620" s="4" t="s">
        <v>90</v>
      </c>
      <c r="G1620" s="5" t="s">
        <v>1514</v>
      </c>
      <c r="H1620" s="5" t="s">
        <v>1527</v>
      </c>
      <c r="I1620" s="5" t="s">
        <v>18</v>
      </c>
      <c r="J1620" s="5" t="s">
        <v>10</v>
      </c>
      <c r="K1620" s="5">
        <v>12</v>
      </c>
      <c r="L1620" s="5" t="s">
        <v>1528</v>
      </c>
      <c r="M1620" s="5">
        <v>1100</v>
      </c>
      <c r="N1620" s="5" t="s">
        <v>170</v>
      </c>
      <c r="O1620" s="6" t="s">
        <v>81</v>
      </c>
      <c r="P1620" s="6" t="s">
        <v>1530</v>
      </c>
      <c r="S1620" s="6">
        <v>18</v>
      </c>
      <c r="T1620" s="6">
        <v>4.34</v>
      </c>
      <c r="U1620" s="6">
        <v>1101</v>
      </c>
      <c r="V1620" s="6">
        <v>4.92</v>
      </c>
      <c r="W1620" s="6">
        <v>569</v>
      </c>
      <c r="X1620" s="6">
        <v>532</v>
      </c>
      <c r="Y1620" s="6">
        <v>0</v>
      </c>
      <c r="Z1620" s="6">
        <v>0</v>
      </c>
      <c r="AA1620" s="6">
        <v>0</v>
      </c>
      <c r="AB1620" s="6">
        <v>0</v>
      </c>
      <c r="AC1620" s="7">
        <v>42</v>
      </c>
      <c r="AD1620" s="7" t="s">
        <v>52</v>
      </c>
      <c r="AE1620" s="7">
        <v>10.48</v>
      </c>
      <c r="AF1620" s="7">
        <v>1085</v>
      </c>
      <c r="AG1620" s="7">
        <v>23.76</v>
      </c>
      <c r="AH1620" s="7">
        <v>16.7</v>
      </c>
      <c r="AI1620" s="7">
        <v>19.93</v>
      </c>
      <c r="AJ1620" s="9">
        <v>106.122227754069</v>
      </c>
      <c r="AK1620" s="9">
        <v>109.111208581401</v>
      </c>
      <c r="AL1620" s="9">
        <v>171.273986327427</v>
      </c>
      <c r="AM1620" s="9">
        <v>23.979815939781201</v>
      </c>
      <c r="AN1620" s="9">
        <v>0.57094799856621903</v>
      </c>
      <c r="AO1620" s="9">
        <v>0.82952068553579705</v>
      </c>
      <c r="AP1620" s="9">
        <v>172.67831909643201</v>
      </c>
      <c r="AQ1620" s="9">
        <v>4.1113885499150502</v>
      </c>
      <c r="AR1620" s="9">
        <v>7.9347103551975202</v>
      </c>
      <c r="AS1620" s="8" t="s">
        <v>169</v>
      </c>
      <c r="AT1620" s="8" t="s">
        <v>169</v>
      </c>
      <c r="AU1620" s="8" t="s">
        <v>169</v>
      </c>
      <c r="AV1620" s="10">
        <v>0</v>
      </c>
      <c r="AW1620" s="8" t="s">
        <v>169</v>
      </c>
      <c r="AX1620" s="8" t="s">
        <v>169</v>
      </c>
      <c r="BF1620" s="12">
        <v>0.45</v>
      </c>
      <c r="BG1620" s="13">
        <v>134.235986784121</v>
      </c>
      <c r="BH1620" s="96" t="str">
        <f>+VLOOKUP(G1620,Liste!$A$7:$G$50,3,FALSE)</f>
        <v>Pin d'Alep</v>
      </c>
      <c r="BI1620" s="96" t="str">
        <f>+VLOOKUP(H1620,Liste!$B$7:$G$50,5,FALSE)</f>
        <v>Pin d'Alep</v>
      </c>
      <c r="BJ1620" s="135">
        <f t="shared" si="494"/>
        <v>42</v>
      </c>
      <c r="BK1620" s="135" t="str">
        <f t="shared" si="496"/>
        <v>Pin d'Alep_F2_Classique_Pin d'Alep_42_</v>
      </c>
      <c r="BM1620" s="13">
        <v>37.306577462733799</v>
      </c>
      <c r="BN1620" s="13">
        <v>171.54256424685499</v>
      </c>
      <c r="BO1620" s="12" t="s">
        <v>169</v>
      </c>
      <c r="BP1620" s="13">
        <v>134.534925639471</v>
      </c>
      <c r="BQ1620" s="13">
        <v>7.7405130608809998</v>
      </c>
      <c r="BT1620" s="298" t="str">
        <f>+VLOOKUP(G1620,Liste!$A$7:$H$50,8,FALSE)</f>
        <v>Résineux</v>
      </c>
      <c r="BU1620" s="298">
        <f t="shared" si="497"/>
        <v>0</v>
      </c>
      <c r="BV1620" s="300">
        <f t="shared" si="498"/>
        <v>1</v>
      </c>
      <c r="BW1620" s="321">
        <v>0</v>
      </c>
      <c r="BX1620" s="298">
        <f t="shared" si="499"/>
        <v>0.43</v>
      </c>
      <c r="BY1620">
        <f t="shared" si="500"/>
        <v>0</v>
      </c>
      <c r="BZ1620" s="304">
        <f t="shared" si="501"/>
        <v>0</v>
      </c>
      <c r="CB1620" s="299">
        <v>0.6</v>
      </c>
      <c r="CC1620" s="299">
        <v>0.4</v>
      </c>
      <c r="CD1620">
        <f t="shared" si="502"/>
        <v>0</v>
      </c>
      <c r="CE1620">
        <f t="shared" si="503"/>
        <v>0</v>
      </c>
      <c r="CF1620">
        <f t="shared" si="504"/>
        <v>0</v>
      </c>
      <c r="CG1620">
        <f t="shared" si="505"/>
        <v>0</v>
      </c>
      <c r="CH1620">
        <f t="shared" si="506"/>
        <v>0</v>
      </c>
      <c r="CI1620">
        <f t="shared" si="507"/>
        <v>0</v>
      </c>
      <c r="CJ1620">
        <f t="shared" si="508"/>
        <v>0</v>
      </c>
      <c r="CK1620">
        <f t="shared" si="509"/>
        <v>0</v>
      </c>
      <c r="CL1620">
        <f t="shared" si="510"/>
        <v>0</v>
      </c>
      <c r="CM1620">
        <f t="shared" si="512"/>
        <v>0</v>
      </c>
      <c r="CN1620">
        <f t="shared" si="511"/>
        <v>0</v>
      </c>
      <c r="CO1620">
        <f t="shared" si="495"/>
        <v>0</v>
      </c>
    </row>
    <row r="1621" spans="2:93" x14ac:dyDescent="0.25">
      <c r="B1621" s="318">
        <v>44372</v>
      </c>
      <c r="C1621" s="4" t="s">
        <v>1524</v>
      </c>
      <c r="D1621" s="4" t="s">
        <v>1525</v>
      </c>
      <c r="F1621" s="4" t="s">
        <v>90</v>
      </c>
      <c r="G1621" s="5" t="s">
        <v>1514</v>
      </c>
      <c r="H1621" s="5" t="s">
        <v>1527</v>
      </c>
      <c r="I1621" s="5" t="s">
        <v>18</v>
      </c>
      <c r="J1621" s="5" t="s">
        <v>10</v>
      </c>
      <c r="K1621" s="5">
        <v>12</v>
      </c>
      <c r="L1621" s="5" t="s">
        <v>1528</v>
      </c>
      <c r="M1621" s="5">
        <v>1100</v>
      </c>
      <c r="N1621" s="5" t="s">
        <v>170</v>
      </c>
      <c r="O1621" s="6" t="s">
        <v>81</v>
      </c>
      <c r="P1621" s="6" t="s">
        <v>1530</v>
      </c>
      <c r="S1621" s="6">
        <v>18</v>
      </c>
      <c r="T1621" s="6">
        <v>4.34</v>
      </c>
      <c r="U1621" s="6">
        <v>1101</v>
      </c>
      <c r="V1621" s="6">
        <v>4.92</v>
      </c>
      <c r="W1621" s="6">
        <v>569</v>
      </c>
      <c r="X1621" s="6">
        <v>532</v>
      </c>
      <c r="Y1621" s="6">
        <v>0</v>
      </c>
      <c r="Z1621" s="6">
        <v>0</v>
      </c>
      <c r="AA1621" s="6">
        <v>0</v>
      </c>
      <c r="AB1621" s="6">
        <v>0</v>
      </c>
      <c r="AC1621" s="7">
        <v>43</v>
      </c>
      <c r="AD1621" s="7" t="s">
        <v>52</v>
      </c>
      <c r="AE1621" s="7">
        <v>10.68</v>
      </c>
      <c r="AF1621" s="7">
        <v>1085</v>
      </c>
      <c r="AG1621" s="7">
        <v>24.59</v>
      </c>
      <c r="AH1621" s="7">
        <v>16.989999999999998</v>
      </c>
      <c r="AI1621" s="7">
        <v>20.3</v>
      </c>
      <c r="AJ1621" s="9">
        <v>111.860979871659</v>
      </c>
      <c r="AK1621" s="9">
        <v>115.00124696710699</v>
      </c>
      <c r="AL1621" s="9">
        <v>179.20869668262401</v>
      </c>
      <c r="AM1621" s="9">
        <v>24.809336625316998</v>
      </c>
      <c r="AN1621" s="9">
        <v>0.57696131686783703</v>
      </c>
      <c r="AO1621" s="9">
        <v>0.82273889020458302</v>
      </c>
      <c r="AP1621" s="9">
        <v>180.61302945163001</v>
      </c>
      <c r="AQ1621" s="9">
        <v>4.2003030105030099</v>
      </c>
      <c r="AR1621" s="9">
        <v>7.9785219086361101</v>
      </c>
      <c r="AS1621" s="8" t="s">
        <v>169</v>
      </c>
      <c r="AT1621" s="8" t="s">
        <v>169</v>
      </c>
      <c r="AU1621" s="8" t="s">
        <v>169</v>
      </c>
      <c r="AV1621" s="10">
        <v>0</v>
      </c>
      <c r="AW1621" s="8" t="s">
        <v>169</v>
      </c>
      <c r="AX1621" s="8" t="s">
        <v>169</v>
      </c>
      <c r="BF1621" s="12">
        <v>0.45</v>
      </c>
      <c r="BG1621" s="13">
        <v>140.45481602500701</v>
      </c>
      <c r="BH1621" s="96" t="str">
        <f>+VLOOKUP(G1621,Liste!$A$7:$G$50,3,FALSE)</f>
        <v>Pin d'Alep</v>
      </c>
      <c r="BI1621" s="96" t="str">
        <f>+VLOOKUP(H1621,Liste!$B$7:$G$50,5,FALSE)</f>
        <v>Pin d'Alep</v>
      </c>
      <c r="BJ1621" s="135">
        <f t="shared" si="494"/>
        <v>43</v>
      </c>
      <c r="BK1621" s="135" t="str">
        <f t="shared" si="496"/>
        <v>Pin d'Alep_F2_Classique_Pin d'Alep_43_</v>
      </c>
      <c r="BM1621" s="13">
        <v>38.829675970138702</v>
      </c>
      <c r="BN1621" s="13">
        <v>179.284491995146</v>
      </c>
      <c r="BO1621" s="12" t="s">
        <v>169</v>
      </c>
      <c r="BP1621" s="13">
        <v>134.534925639471</v>
      </c>
      <c r="BQ1621" s="13">
        <v>7.7754244148943297</v>
      </c>
      <c r="BT1621" s="298" t="str">
        <f>+VLOOKUP(G1621,Liste!$A$7:$H$50,8,FALSE)</f>
        <v>Résineux</v>
      </c>
      <c r="BU1621" s="298">
        <f t="shared" si="497"/>
        <v>0</v>
      </c>
      <c r="BV1621" s="300">
        <f t="shared" si="498"/>
        <v>1</v>
      </c>
      <c r="BW1621" s="321">
        <v>0</v>
      </c>
      <c r="BX1621" s="298">
        <f t="shared" si="499"/>
        <v>0.43</v>
      </c>
      <c r="BY1621">
        <f t="shared" si="500"/>
        <v>0</v>
      </c>
      <c r="BZ1621" s="304">
        <f t="shared" si="501"/>
        <v>0</v>
      </c>
      <c r="CB1621" s="299">
        <v>0.6</v>
      </c>
      <c r="CC1621" s="299">
        <v>0.4</v>
      </c>
      <c r="CD1621">
        <f t="shared" si="502"/>
        <v>0</v>
      </c>
      <c r="CE1621">
        <f t="shared" si="503"/>
        <v>0</v>
      </c>
      <c r="CF1621">
        <f t="shared" si="504"/>
        <v>0</v>
      </c>
      <c r="CG1621">
        <f t="shared" si="505"/>
        <v>0</v>
      </c>
      <c r="CH1621">
        <f t="shared" si="506"/>
        <v>0</v>
      </c>
      <c r="CI1621">
        <f t="shared" si="507"/>
        <v>0</v>
      </c>
      <c r="CJ1621">
        <f t="shared" si="508"/>
        <v>0</v>
      </c>
      <c r="CK1621">
        <f t="shared" si="509"/>
        <v>0</v>
      </c>
      <c r="CL1621">
        <f t="shared" si="510"/>
        <v>0</v>
      </c>
      <c r="CM1621">
        <f t="shared" si="512"/>
        <v>0</v>
      </c>
      <c r="CN1621">
        <f t="shared" si="511"/>
        <v>0</v>
      </c>
      <c r="CO1621">
        <f t="shared" si="495"/>
        <v>0</v>
      </c>
    </row>
    <row r="1622" spans="2:93" x14ac:dyDescent="0.25">
      <c r="B1622" s="318">
        <v>44372</v>
      </c>
      <c r="C1622" s="4" t="s">
        <v>1524</v>
      </c>
      <c r="D1622" s="4" t="s">
        <v>1525</v>
      </c>
      <c r="F1622" s="4" t="s">
        <v>90</v>
      </c>
      <c r="G1622" s="5" t="s">
        <v>1514</v>
      </c>
      <c r="H1622" s="5" t="s">
        <v>1527</v>
      </c>
      <c r="I1622" s="5" t="s">
        <v>18</v>
      </c>
      <c r="J1622" s="5" t="s">
        <v>10</v>
      </c>
      <c r="K1622" s="5">
        <v>12</v>
      </c>
      <c r="L1622" s="5" t="s">
        <v>1528</v>
      </c>
      <c r="M1622" s="5">
        <v>1100</v>
      </c>
      <c r="N1622" s="5" t="s">
        <v>170</v>
      </c>
      <c r="O1622" s="6" t="s">
        <v>81</v>
      </c>
      <c r="P1622" s="6" t="s">
        <v>1530</v>
      </c>
      <c r="S1622" s="6">
        <v>18</v>
      </c>
      <c r="T1622" s="6">
        <v>4.34</v>
      </c>
      <c r="U1622" s="6">
        <v>1101</v>
      </c>
      <c r="V1622" s="6">
        <v>4.92</v>
      </c>
      <c r="W1622" s="6">
        <v>569</v>
      </c>
      <c r="X1622" s="6">
        <v>532</v>
      </c>
      <c r="Y1622" s="6">
        <v>0</v>
      </c>
      <c r="Z1622" s="6">
        <v>0</v>
      </c>
      <c r="AA1622" s="6">
        <v>0</v>
      </c>
      <c r="AB1622" s="6">
        <v>0</v>
      </c>
      <c r="AC1622" s="7">
        <v>44</v>
      </c>
      <c r="AD1622" s="7" t="s">
        <v>52</v>
      </c>
      <c r="AE1622" s="7">
        <v>10.88</v>
      </c>
      <c r="AF1622" s="7">
        <v>1084</v>
      </c>
      <c r="AG1622" s="7">
        <v>25.4</v>
      </c>
      <c r="AH1622" s="7">
        <v>17.27</v>
      </c>
      <c r="AI1622" s="7">
        <v>20.66</v>
      </c>
      <c r="AJ1622" s="9">
        <v>117.546393756839</v>
      </c>
      <c r="AK1622" s="9">
        <v>120.840342671762</v>
      </c>
      <c r="AL1622" s="9">
        <v>187.057455437247</v>
      </c>
      <c r="AM1622" s="9">
        <v>25.632075515521599</v>
      </c>
      <c r="AN1622" s="9">
        <v>0.582547170807308</v>
      </c>
      <c r="AO1622" s="9">
        <v>0.81419752809800605</v>
      </c>
      <c r="AP1622" s="9">
        <v>188.59155136026601</v>
      </c>
      <c r="AQ1622" s="9">
        <v>4.2861716218242201</v>
      </c>
      <c r="AR1622" s="9">
        <v>8.0217071038882999</v>
      </c>
      <c r="AS1622" s="8" t="s">
        <v>169</v>
      </c>
      <c r="AT1622" s="8" t="s">
        <v>169</v>
      </c>
      <c r="AU1622" s="8" t="s">
        <v>169</v>
      </c>
      <c r="AV1622" s="10">
        <v>0</v>
      </c>
      <c r="AW1622" s="8" t="s">
        <v>169</v>
      </c>
      <c r="AX1622" s="8" t="s">
        <v>169</v>
      </c>
      <c r="BF1622" s="12">
        <v>0.45</v>
      </c>
      <c r="BG1622" s="13">
        <v>146.60628069894199</v>
      </c>
      <c r="BH1622" s="96" t="str">
        <f>+VLOOKUP(G1622,Liste!$A$7:$G$50,3,FALSE)</f>
        <v>Pin d'Alep</v>
      </c>
      <c r="BI1622" s="96" t="str">
        <f>+VLOOKUP(H1622,Liste!$B$7:$G$50,5,FALSE)</f>
        <v>Pin d'Alep</v>
      </c>
      <c r="BJ1622" s="135">
        <f t="shared" si="494"/>
        <v>44</v>
      </c>
      <c r="BK1622" s="135" t="str">
        <f t="shared" si="496"/>
        <v>Pin d'Alep_F2_Classique_Pin d'Alep_44_</v>
      </c>
      <c r="BM1622" s="13">
        <v>40.328568983751403</v>
      </c>
      <c r="BN1622" s="13">
        <v>186.93484968269399</v>
      </c>
      <c r="BO1622" s="12" t="s">
        <v>169</v>
      </c>
      <c r="BP1622" s="13">
        <v>134.534925639471</v>
      </c>
      <c r="BQ1622" s="13">
        <v>7.80996996204399</v>
      </c>
      <c r="BT1622" s="298" t="str">
        <f>+VLOOKUP(G1622,Liste!$A$7:$H$50,8,FALSE)</f>
        <v>Résineux</v>
      </c>
      <c r="BU1622" s="298">
        <f t="shared" si="497"/>
        <v>0</v>
      </c>
      <c r="BV1622" s="300">
        <f t="shared" si="498"/>
        <v>1</v>
      </c>
      <c r="BW1622" s="321">
        <v>0</v>
      </c>
      <c r="BX1622" s="298">
        <f t="shared" si="499"/>
        <v>0.43</v>
      </c>
      <c r="BY1622">
        <f t="shared" si="500"/>
        <v>0</v>
      </c>
      <c r="BZ1622" s="304">
        <f t="shared" si="501"/>
        <v>0</v>
      </c>
      <c r="CB1622" s="299">
        <v>0.6</v>
      </c>
      <c r="CC1622" s="299">
        <v>0.4</v>
      </c>
      <c r="CD1622">
        <f t="shared" si="502"/>
        <v>0</v>
      </c>
      <c r="CE1622">
        <f t="shared" si="503"/>
        <v>0</v>
      </c>
      <c r="CF1622">
        <f t="shared" si="504"/>
        <v>0</v>
      </c>
      <c r="CG1622">
        <f t="shared" si="505"/>
        <v>0</v>
      </c>
      <c r="CH1622">
        <f t="shared" si="506"/>
        <v>0</v>
      </c>
      <c r="CI1622">
        <f t="shared" si="507"/>
        <v>0</v>
      </c>
      <c r="CJ1622">
        <f t="shared" si="508"/>
        <v>0</v>
      </c>
      <c r="CK1622">
        <f t="shared" si="509"/>
        <v>0</v>
      </c>
      <c r="CL1622">
        <f t="shared" si="510"/>
        <v>0</v>
      </c>
      <c r="CM1622">
        <f t="shared" si="512"/>
        <v>0</v>
      </c>
      <c r="CN1622">
        <f t="shared" si="511"/>
        <v>0</v>
      </c>
      <c r="CO1622">
        <f t="shared" si="495"/>
        <v>0</v>
      </c>
    </row>
    <row r="1623" spans="2:93" x14ac:dyDescent="0.25">
      <c r="B1623" s="318">
        <v>44372</v>
      </c>
      <c r="C1623" s="4" t="s">
        <v>1524</v>
      </c>
      <c r="D1623" s="4" t="s">
        <v>1525</v>
      </c>
      <c r="F1623" s="4" t="s">
        <v>90</v>
      </c>
      <c r="G1623" s="5" t="s">
        <v>1514</v>
      </c>
      <c r="H1623" s="5" t="s">
        <v>1527</v>
      </c>
      <c r="I1623" s="5" t="s">
        <v>18</v>
      </c>
      <c r="J1623" s="5" t="s">
        <v>10</v>
      </c>
      <c r="K1623" s="5">
        <v>12</v>
      </c>
      <c r="L1623" s="5" t="s">
        <v>1528</v>
      </c>
      <c r="M1623" s="5">
        <v>1100</v>
      </c>
      <c r="N1623" s="5" t="s">
        <v>170</v>
      </c>
      <c r="O1623" s="6" t="s">
        <v>81</v>
      </c>
      <c r="P1623" s="6" t="s">
        <v>1530</v>
      </c>
      <c r="S1623" s="6">
        <v>18</v>
      </c>
      <c r="T1623" s="6">
        <v>4.34</v>
      </c>
      <c r="U1623" s="6">
        <v>1101</v>
      </c>
      <c r="V1623" s="6">
        <v>4.92</v>
      </c>
      <c r="W1623" s="6">
        <v>569</v>
      </c>
      <c r="X1623" s="6">
        <v>532</v>
      </c>
      <c r="Y1623" s="6">
        <v>0</v>
      </c>
      <c r="Z1623" s="6">
        <v>0</v>
      </c>
      <c r="AA1623" s="6">
        <v>0</v>
      </c>
      <c r="AB1623" s="6">
        <v>0</v>
      </c>
      <c r="AC1623" s="7">
        <v>45</v>
      </c>
      <c r="AD1623" s="7" t="s">
        <v>52</v>
      </c>
      <c r="AE1623" s="7">
        <v>11.08</v>
      </c>
      <c r="AF1623" s="7">
        <v>1084</v>
      </c>
      <c r="AG1623" s="7">
        <v>26.21</v>
      </c>
      <c r="AH1623" s="7">
        <v>17.55</v>
      </c>
      <c r="AI1623" s="7">
        <v>21.02</v>
      </c>
      <c r="AJ1623" s="9">
        <v>123.338429607791</v>
      </c>
      <c r="AK1623" s="9">
        <v>126.791422707084</v>
      </c>
      <c r="AL1623" s="9">
        <v>195.07916254113499</v>
      </c>
      <c r="AM1623" s="9">
        <v>26.446273043619598</v>
      </c>
      <c r="AN1623" s="9">
        <v>0.58769495652487902</v>
      </c>
      <c r="AO1623" s="9">
        <v>0.80551934963136396</v>
      </c>
      <c r="AP1623" s="9">
        <v>196.613258464154</v>
      </c>
      <c r="AQ1623" s="9">
        <v>4.3691835214256498</v>
      </c>
      <c r="AR1623" s="9">
        <v>8.0408704878833195</v>
      </c>
      <c r="AS1623" s="8" t="s">
        <v>169</v>
      </c>
      <c r="AT1623" s="8" t="s">
        <v>169</v>
      </c>
      <c r="AU1623" s="8" t="s">
        <v>169</v>
      </c>
      <c r="AV1623" s="10">
        <v>0</v>
      </c>
      <c r="AW1623" s="8" t="s">
        <v>169</v>
      </c>
      <c r="AX1623" s="8" t="s">
        <v>169</v>
      </c>
      <c r="BF1623" s="12">
        <v>0.45</v>
      </c>
      <c r="BG1623" s="13">
        <v>152.893293641615</v>
      </c>
      <c r="BH1623" s="96" t="str">
        <f>+VLOOKUP(G1623,Liste!$A$7:$G$50,3,FALSE)</f>
        <v>Pin d'Alep</v>
      </c>
      <c r="BI1623" s="96" t="str">
        <f>+VLOOKUP(H1623,Liste!$B$7:$G$50,5,FALSE)</f>
        <v>Pin d'Alep</v>
      </c>
      <c r="BJ1623" s="135">
        <f t="shared" si="494"/>
        <v>45</v>
      </c>
      <c r="BK1623" s="135" t="str">
        <f t="shared" si="496"/>
        <v>Pin d'Alep_F2_Classique_Pin d'Alep_45_</v>
      </c>
      <c r="BM1623" s="13">
        <v>41.852944536786197</v>
      </c>
      <c r="BN1623" s="13">
        <v>194.746238178401</v>
      </c>
      <c r="BO1623" s="12" t="s">
        <v>169</v>
      </c>
      <c r="BP1623" s="13">
        <v>134.534925639471</v>
      </c>
      <c r="BQ1623" s="13">
        <v>7.8213843207470299</v>
      </c>
      <c r="BT1623" s="298" t="str">
        <f>+VLOOKUP(G1623,Liste!$A$7:$H$50,8,FALSE)</f>
        <v>Résineux</v>
      </c>
      <c r="BU1623" s="298">
        <f t="shared" si="497"/>
        <v>0</v>
      </c>
      <c r="BV1623" s="300">
        <f t="shared" si="498"/>
        <v>1</v>
      </c>
      <c r="BW1623" s="321">
        <v>0</v>
      </c>
      <c r="BX1623" s="298">
        <f t="shared" si="499"/>
        <v>0.43</v>
      </c>
      <c r="BY1623">
        <f t="shared" si="500"/>
        <v>0</v>
      </c>
      <c r="BZ1623" s="304">
        <f t="shared" si="501"/>
        <v>0</v>
      </c>
      <c r="CB1623" s="299">
        <v>0.6</v>
      </c>
      <c r="CC1623" s="299">
        <v>0.4</v>
      </c>
      <c r="CD1623">
        <f t="shared" si="502"/>
        <v>0</v>
      </c>
      <c r="CE1623">
        <f t="shared" si="503"/>
        <v>0</v>
      </c>
      <c r="CF1623">
        <f t="shared" si="504"/>
        <v>0</v>
      </c>
      <c r="CG1623">
        <f t="shared" si="505"/>
        <v>0</v>
      </c>
      <c r="CH1623">
        <f t="shared" si="506"/>
        <v>0</v>
      </c>
      <c r="CI1623">
        <f t="shared" si="507"/>
        <v>0</v>
      </c>
      <c r="CJ1623">
        <f t="shared" si="508"/>
        <v>0</v>
      </c>
      <c r="CK1623">
        <f t="shared" si="509"/>
        <v>0</v>
      </c>
      <c r="CL1623">
        <f t="shared" si="510"/>
        <v>0</v>
      </c>
      <c r="CM1623">
        <f t="shared" si="512"/>
        <v>0</v>
      </c>
      <c r="CN1623">
        <f t="shared" si="511"/>
        <v>0</v>
      </c>
      <c r="CO1623">
        <f t="shared" si="495"/>
        <v>0</v>
      </c>
    </row>
    <row r="1624" spans="2:93" x14ac:dyDescent="0.25">
      <c r="B1624" s="318">
        <v>44372</v>
      </c>
      <c r="C1624" s="4" t="s">
        <v>1524</v>
      </c>
      <c r="D1624" s="4" t="s">
        <v>1525</v>
      </c>
      <c r="F1624" s="4" t="s">
        <v>90</v>
      </c>
      <c r="G1624" s="5" t="s">
        <v>1514</v>
      </c>
      <c r="H1624" s="5" t="s">
        <v>1527</v>
      </c>
      <c r="I1624" s="5" t="s">
        <v>18</v>
      </c>
      <c r="J1624" s="5" t="s">
        <v>10</v>
      </c>
      <c r="K1624" s="5">
        <v>12</v>
      </c>
      <c r="L1624" s="5" t="s">
        <v>1528</v>
      </c>
      <c r="M1624" s="5">
        <v>1100</v>
      </c>
      <c r="N1624" s="5" t="s">
        <v>170</v>
      </c>
      <c r="O1624" s="6" t="s">
        <v>81</v>
      </c>
      <c r="P1624" s="6" t="s">
        <v>1530</v>
      </c>
      <c r="S1624" s="6">
        <v>18</v>
      </c>
      <c r="T1624" s="6">
        <v>4.34</v>
      </c>
      <c r="U1624" s="6">
        <v>1101</v>
      </c>
      <c r="V1624" s="6">
        <v>4.92</v>
      </c>
      <c r="W1624" s="6">
        <v>569</v>
      </c>
      <c r="X1624" s="6">
        <v>532</v>
      </c>
      <c r="Y1624" s="6">
        <v>0</v>
      </c>
      <c r="Z1624" s="6">
        <v>0</v>
      </c>
      <c r="AA1624" s="6">
        <v>0</v>
      </c>
      <c r="AB1624" s="6">
        <v>0</v>
      </c>
      <c r="AC1624" s="7">
        <v>46</v>
      </c>
      <c r="AD1624" s="7" t="s">
        <v>52</v>
      </c>
      <c r="AE1624" s="7">
        <v>11.27</v>
      </c>
      <c r="AF1624" s="7">
        <v>1082</v>
      </c>
      <c r="AG1624" s="7">
        <v>26.99</v>
      </c>
      <c r="AH1624" s="7">
        <v>17.82</v>
      </c>
      <c r="AI1624" s="7">
        <v>21.37</v>
      </c>
      <c r="AJ1624" s="9">
        <v>128.98965998151201</v>
      </c>
      <c r="AK1624" s="9">
        <v>132.60473221359899</v>
      </c>
      <c r="AL1624" s="9">
        <v>202.91543609076899</v>
      </c>
      <c r="AM1624" s="9">
        <v>27.251792393250899</v>
      </c>
      <c r="AN1624" s="9">
        <v>0.59243026941849897</v>
      </c>
      <c r="AO1624" s="9">
        <v>0.79625970948843205</v>
      </c>
      <c r="AP1624" s="9">
        <v>204.65412895203701</v>
      </c>
      <c r="AQ1624" s="9">
        <v>4.4490028033051603</v>
      </c>
      <c r="AR1624" s="9">
        <v>8.0503555054385494</v>
      </c>
      <c r="AS1624" s="8" t="s">
        <v>169</v>
      </c>
      <c r="AT1624" s="8" t="s">
        <v>169</v>
      </c>
      <c r="AU1624" s="8" t="s">
        <v>169</v>
      </c>
      <c r="AV1624" s="10">
        <v>0</v>
      </c>
      <c r="AW1624" s="8" t="s">
        <v>169</v>
      </c>
      <c r="AX1624" s="8" t="s">
        <v>169</v>
      </c>
      <c r="BF1624" s="12">
        <v>0.45</v>
      </c>
      <c r="BG1624" s="13">
        <v>159.03497303614</v>
      </c>
      <c r="BH1624" s="96" t="str">
        <f>+VLOOKUP(G1624,Liste!$A$7:$G$50,3,FALSE)</f>
        <v>Pin d'Alep</v>
      </c>
      <c r="BI1624" s="96" t="str">
        <f>+VLOOKUP(H1624,Liste!$B$7:$G$50,5,FALSE)</f>
        <v>Pin d'Alep</v>
      </c>
      <c r="BJ1624" s="135">
        <f t="shared" si="494"/>
        <v>46</v>
      </c>
      <c r="BK1624" s="135" t="str">
        <f t="shared" si="496"/>
        <v>Pin d'Alep_F2_Classique_Pin d'Alep_46_</v>
      </c>
      <c r="BM1624" s="13">
        <v>43.335048989946102</v>
      </c>
      <c r="BN1624" s="13">
        <v>202.37002202608599</v>
      </c>
      <c r="BO1624" s="12" t="s">
        <v>169</v>
      </c>
      <c r="BP1624" s="13">
        <v>134.534925639471</v>
      </c>
      <c r="BQ1624" s="13">
        <v>7.8236637089429504</v>
      </c>
      <c r="BT1624" s="298" t="str">
        <f>+VLOOKUP(G1624,Liste!$A$7:$H$50,8,FALSE)</f>
        <v>Résineux</v>
      </c>
      <c r="BU1624" s="298">
        <f t="shared" si="497"/>
        <v>0</v>
      </c>
      <c r="BV1624" s="300">
        <f t="shared" si="498"/>
        <v>1</v>
      </c>
      <c r="BW1624" s="321">
        <v>0</v>
      </c>
      <c r="BX1624" s="298">
        <f t="shared" si="499"/>
        <v>0.43</v>
      </c>
      <c r="BY1624">
        <f t="shared" si="500"/>
        <v>0</v>
      </c>
      <c r="BZ1624" s="304">
        <f t="shared" si="501"/>
        <v>0</v>
      </c>
      <c r="CB1624" s="299">
        <v>0.6</v>
      </c>
      <c r="CC1624" s="299">
        <v>0.4</v>
      </c>
      <c r="CD1624">
        <f t="shared" si="502"/>
        <v>0</v>
      </c>
      <c r="CE1624">
        <f t="shared" si="503"/>
        <v>0</v>
      </c>
      <c r="CF1624">
        <f t="shared" si="504"/>
        <v>0</v>
      </c>
      <c r="CG1624">
        <f t="shared" si="505"/>
        <v>0</v>
      </c>
      <c r="CH1624">
        <f t="shared" si="506"/>
        <v>0</v>
      </c>
      <c r="CI1624">
        <f t="shared" si="507"/>
        <v>0</v>
      </c>
      <c r="CJ1624">
        <f t="shared" si="508"/>
        <v>0</v>
      </c>
      <c r="CK1624">
        <f t="shared" si="509"/>
        <v>0</v>
      </c>
      <c r="CL1624">
        <f t="shared" si="510"/>
        <v>0</v>
      </c>
      <c r="CM1624">
        <f t="shared" si="512"/>
        <v>0</v>
      </c>
      <c r="CN1624">
        <f t="shared" si="511"/>
        <v>0</v>
      </c>
      <c r="CO1624">
        <f t="shared" si="495"/>
        <v>0</v>
      </c>
    </row>
    <row r="1625" spans="2:93" x14ac:dyDescent="0.25">
      <c r="B1625" s="318">
        <v>44372</v>
      </c>
      <c r="C1625" s="4" t="s">
        <v>1524</v>
      </c>
      <c r="D1625" s="4" t="s">
        <v>1525</v>
      </c>
      <c r="F1625" s="4" t="s">
        <v>90</v>
      </c>
      <c r="G1625" s="5" t="s">
        <v>1514</v>
      </c>
      <c r="H1625" s="5" t="s">
        <v>1527</v>
      </c>
      <c r="I1625" s="5" t="s">
        <v>18</v>
      </c>
      <c r="J1625" s="5" t="s">
        <v>10</v>
      </c>
      <c r="K1625" s="5">
        <v>12</v>
      </c>
      <c r="L1625" s="5" t="s">
        <v>1528</v>
      </c>
      <c r="M1625" s="5">
        <v>1100</v>
      </c>
      <c r="N1625" s="5" t="s">
        <v>170</v>
      </c>
      <c r="O1625" s="6" t="s">
        <v>81</v>
      </c>
      <c r="P1625" s="6" t="s">
        <v>1530</v>
      </c>
      <c r="S1625" s="6">
        <v>18</v>
      </c>
      <c r="T1625" s="6">
        <v>4.34</v>
      </c>
      <c r="U1625" s="6">
        <v>1101</v>
      </c>
      <c r="V1625" s="6">
        <v>4.92</v>
      </c>
      <c r="W1625" s="6">
        <v>569</v>
      </c>
      <c r="X1625" s="6">
        <v>532</v>
      </c>
      <c r="Y1625" s="6">
        <v>0</v>
      </c>
      <c r="Z1625" s="6">
        <v>0</v>
      </c>
      <c r="AA1625" s="6">
        <v>0</v>
      </c>
      <c r="AB1625" s="6">
        <v>0</v>
      </c>
      <c r="AC1625" s="7">
        <v>47</v>
      </c>
      <c r="AD1625" s="7" t="s">
        <v>52</v>
      </c>
      <c r="AE1625" s="7">
        <v>11.45</v>
      </c>
      <c r="AF1625" s="7">
        <v>1080</v>
      </c>
      <c r="AG1625" s="7">
        <v>27.74</v>
      </c>
      <c r="AH1625" s="7">
        <v>18.079999999999998</v>
      </c>
      <c r="AI1625" s="7">
        <v>21.72</v>
      </c>
      <c r="AJ1625" s="9">
        <v>134.55751591728799</v>
      </c>
      <c r="AK1625" s="9">
        <v>138.33562239858901</v>
      </c>
      <c r="AL1625" s="9">
        <v>210.64924661261301</v>
      </c>
      <c r="AM1625" s="9">
        <v>28.048052102739401</v>
      </c>
      <c r="AN1625" s="9">
        <v>0.59676706601573104</v>
      </c>
      <c r="AO1625" s="9">
        <v>0.78663936738497098</v>
      </c>
      <c r="AP1625" s="9">
        <v>212.70448445747601</v>
      </c>
      <c r="AQ1625" s="9">
        <v>4.5256273288824698</v>
      </c>
      <c r="AR1625" s="9">
        <v>8.0423071504612302</v>
      </c>
      <c r="AS1625" s="8" t="s">
        <v>169</v>
      </c>
      <c r="AT1625" s="8" t="s">
        <v>169</v>
      </c>
      <c r="AU1625" s="8" t="s">
        <v>169</v>
      </c>
      <c r="AV1625" s="10">
        <v>0</v>
      </c>
      <c r="AW1625" s="8" t="s">
        <v>169</v>
      </c>
      <c r="AX1625" s="8" t="s">
        <v>169</v>
      </c>
      <c r="BF1625" s="12">
        <v>0.45</v>
      </c>
      <c r="BG1625" s="13">
        <v>165.09634703263501</v>
      </c>
      <c r="BH1625" s="96" t="str">
        <f>+VLOOKUP(G1625,Liste!$A$7:$G$50,3,FALSE)</f>
        <v>Pin d'Alep</v>
      </c>
      <c r="BI1625" s="96" t="str">
        <f>+VLOOKUP(H1625,Liste!$B$7:$G$50,5,FALSE)</f>
        <v>Pin d'Alep</v>
      </c>
      <c r="BJ1625" s="135">
        <f t="shared" si="494"/>
        <v>47</v>
      </c>
      <c r="BK1625" s="135" t="str">
        <f t="shared" si="496"/>
        <v>Pin d'Alep_F2_Classique_Pin d'Alep_47_</v>
      </c>
      <c r="BM1625" s="13">
        <v>44.791253732942401</v>
      </c>
      <c r="BN1625" s="13">
        <v>209.88760076557799</v>
      </c>
      <c r="BO1625" s="12" t="s">
        <v>169</v>
      </c>
      <c r="BP1625" s="13">
        <v>134.534925639471</v>
      </c>
      <c r="BQ1625" s="13">
        <v>7.8091941329813599</v>
      </c>
      <c r="BT1625" s="298" t="str">
        <f>+VLOOKUP(G1625,Liste!$A$7:$H$50,8,FALSE)</f>
        <v>Résineux</v>
      </c>
      <c r="BU1625" s="298">
        <f t="shared" si="497"/>
        <v>0</v>
      </c>
      <c r="BV1625" s="300">
        <f t="shared" si="498"/>
        <v>1</v>
      </c>
      <c r="BW1625" s="321">
        <v>0</v>
      </c>
      <c r="BX1625" s="298">
        <f t="shared" si="499"/>
        <v>0.43</v>
      </c>
      <c r="BY1625">
        <f t="shared" si="500"/>
        <v>0</v>
      </c>
      <c r="BZ1625" s="304">
        <f t="shared" si="501"/>
        <v>0</v>
      </c>
      <c r="CB1625" s="299">
        <v>0.6</v>
      </c>
      <c r="CC1625" s="299">
        <v>0.4</v>
      </c>
      <c r="CD1625">
        <f t="shared" si="502"/>
        <v>0</v>
      </c>
      <c r="CE1625">
        <f t="shared" si="503"/>
        <v>0</v>
      </c>
      <c r="CF1625">
        <f t="shared" si="504"/>
        <v>0</v>
      </c>
      <c r="CG1625">
        <f t="shared" si="505"/>
        <v>0</v>
      </c>
      <c r="CH1625">
        <f t="shared" si="506"/>
        <v>0</v>
      </c>
      <c r="CI1625">
        <f t="shared" si="507"/>
        <v>0</v>
      </c>
      <c r="CJ1625">
        <f t="shared" si="508"/>
        <v>0</v>
      </c>
      <c r="CK1625">
        <f t="shared" si="509"/>
        <v>0</v>
      </c>
      <c r="CL1625">
        <f t="shared" si="510"/>
        <v>0</v>
      </c>
      <c r="CM1625">
        <f t="shared" si="512"/>
        <v>0</v>
      </c>
      <c r="CN1625">
        <f t="shared" si="511"/>
        <v>0</v>
      </c>
      <c r="CO1625">
        <f t="shared" si="495"/>
        <v>0</v>
      </c>
    </row>
    <row r="1626" spans="2:93" x14ac:dyDescent="0.25">
      <c r="B1626" s="318">
        <v>44372</v>
      </c>
      <c r="C1626" s="4" t="s">
        <v>1524</v>
      </c>
      <c r="D1626" s="4" t="s">
        <v>1525</v>
      </c>
      <c r="F1626" s="4" t="s">
        <v>90</v>
      </c>
      <c r="G1626" s="5" t="s">
        <v>1514</v>
      </c>
      <c r="H1626" s="5" t="s">
        <v>1527</v>
      </c>
      <c r="I1626" s="5" t="s">
        <v>18</v>
      </c>
      <c r="J1626" s="5" t="s">
        <v>10</v>
      </c>
      <c r="K1626" s="5">
        <v>12</v>
      </c>
      <c r="L1626" s="5" t="s">
        <v>1528</v>
      </c>
      <c r="M1626" s="5">
        <v>1100</v>
      </c>
      <c r="N1626" s="5" t="s">
        <v>170</v>
      </c>
      <c r="O1626" s="6" t="s">
        <v>81</v>
      </c>
      <c r="P1626" s="6" t="s">
        <v>1530</v>
      </c>
      <c r="S1626" s="6">
        <v>18</v>
      </c>
      <c r="T1626" s="6">
        <v>4.34</v>
      </c>
      <c r="U1626" s="6">
        <v>1101</v>
      </c>
      <c r="V1626" s="6">
        <v>4.92</v>
      </c>
      <c r="W1626" s="6">
        <v>569</v>
      </c>
      <c r="X1626" s="6">
        <v>532</v>
      </c>
      <c r="Y1626" s="6">
        <v>0</v>
      </c>
      <c r="Z1626" s="6">
        <v>0</v>
      </c>
      <c r="AA1626" s="6">
        <v>0</v>
      </c>
      <c r="AB1626" s="6">
        <v>0</v>
      </c>
      <c r="AC1626" s="7">
        <v>48</v>
      </c>
      <c r="AD1626" s="7" t="s">
        <v>52</v>
      </c>
      <c r="AE1626" s="7">
        <v>11.63</v>
      </c>
      <c r="AF1626" s="7">
        <v>1079</v>
      </c>
      <c r="AG1626" s="7">
        <v>28.51</v>
      </c>
      <c r="AH1626" s="7">
        <v>18.34</v>
      </c>
      <c r="AI1626" s="7">
        <v>22.06</v>
      </c>
      <c r="AJ1626" s="9">
        <v>140.22522337680499</v>
      </c>
      <c r="AK1626" s="9">
        <v>144.17068870365699</v>
      </c>
      <c r="AL1626" s="9">
        <v>218.53644879453299</v>
      </c>
      <c r="AM1626" s="9">
        <v>28.834691470124302</v>
      </c>
      <c r="AN1626" s="9">
        <v>0.60072273896092399</v>
      </c>
      <c r="AO1626" s="9">
        <v>0.77629432268818699</v>
      </c>
      <c r="AP1626" s="9">
        <v>220.74679160793701</v>
      </c>
      <c r="AQ1626" s="9">
        <v>4.5988914918320196</v>
      </c>
      <c r="AR1626" s="9">
        <v>8.0602571876920308</v>
      </c>
      <c r="AS1626" s="8" t="s">
        <v>169</v>
      </c>
      <c r="AT1626" s="8" t="s">
        <v>169</v>
      </c>
      <c r="AU1626" s="8" t="s">
        <v>169</v>
      </c>
      <c r="AV1626" s="10">
        <v>0</v>
      </c>
      <c r="AW1626" s="8" t="s">
        <v>169</v>
      </c>
      <c r="AX1626" s="8" t="s">
        <v>169</v>
      </c>
      <c r="BF1626" s="12">
        <v>0.45</v>
      </c>
      <c r="BG1626" s="13">
        <v>171.277941742715</v>
      </c>
      <c r="BH1626" s="96" t="str">
        <f>+VLOOKUP(G1626,Liste!$A$7:$G$50,3,FALSE)</f>
        <v>Pin d'Alep</v>
      </c>
      <c r="BI1626" s="96" t="str">
        <f>+VLOOKUP(H1626,Liste!$B$7:$G$50,5,FALSE)</f>
        <v>Pin d'Alep</v>
      </c>
      <c r="BJ1626" s="135">
        <f t="shared" si="494"/>
        <v>48</v>
      </c>
      <c r="BK1626" s="135" t="str">
        <f t="shared" si="496"/>
        <v>Pin d'Alep_F2_Classique_Pin d'Alep_48_</v>
      </c>
      <c r="BM1626" s="13">
        <v>46.269945060270501</v>
      </c>
      <c r="BN1626" s="13">
        <v>217.547886802986</v>
      </c>
      <c r="BO1626" s="12" t="s">
        <v>169</v>
      </c>
      <c r="BP1626" s="13">
        <v>134.534925639471</v>
      </c>
      <c r="BQ1626" s="13">
        <v>7.8202280676366298</v>
      </c>
      <c r="BT1626" s="298" t="str">
        <f>+VLOOKUP(G1626,Liste!$A$7:$H$50,8,FALSE)</f>
        <v>Résineux</v>
      </c>
      <c r="BU1626" s="298">
        <f t="shared" si="497"/>
        <v>0</v>
      </c>
      <c r="BV1626" s="300">
        <f t="shared" si="498"/>
        <v>1</v>
      </c>
      <c r="BW1626" s="321">
        <v>0</v>
      </c>
      <c r="BX1626" s="298">
        <f t="shared" si="499"/>
        <v>0.43</v>
      </c>
      <c r="BY1626">
        <f t="shared" si="500"/>
        <v>0</v>
      </c>
      <c r="BZ1626" s="304">
        <f t="shared" si="501"/>
        <v>0</v>
      </c>
      <c r="CB1626" s="299">
        <v>0.6</v>
      </c>
      <c r="CC1626" s="299">
        <v>0.4</v>
      </c>
      <c r="CD1626">
        <f t="shared" si="502"/>
        <v>0</v>
      </c>
      <c r="CE1626">
        <f t="shared" si="503"/>
        <v>0</v>
      </c>
      <c r="CF1626">
        <f t="shared" si="504"/>
        <v>0</v>
      </c>
      <c r="CG1626">
        <f t="shared" si="505"/>
        <v>0</v>
      </c>
      <c r="CH1626">
        <f t="shared" si="506"/>
        <v>0</v>
      </c>
      <c r="CI1626">
        <f t="shared" si="507"/>
        <v>0</v>
      </c>
      <c r="CJ1626">
        <f t="shared" si="508"/>
        <v>0</v>
      </c>
      <c r="CK1626">
        <f t="shared" si="509"/>
        <v>0</v>
      </c>
      <c r="CL1626">
        <f t="shared" si="510"/>
        <v>0</v>
      </c>
      <c r="CM1626">
        <f t="shared" si="512"/>
        <v>0</v>
      </c>
      <c r="CN1626">
        <f t="shared" si="511"/>
        <v>0</v>
      </c>
      <c r="CO1626">
        <f t="shared" si="495"/>
        <v>0</v>
      </c>
    </row>
    <row r="1627" spans="2:93" x14ac:dyDescent="0.25">
      <c r="B1627" s="318">
        <v>44372</v>
      </c>
      <c r="C1627" s="4" t="s">
        <v>1524</v>
      </c>
      <c r="D1627" s="4" t="s">
        <v>1525</v>
      </c>
      <c r="F1627" s="4" t="s">
        <v>90</v>
      </c>
      <c r="G1627" s="5" t="s">
        <v>1514</v>
      </c>
      <c r="H1627" s="5" t="s">
        <v>1527</v>
      </c>
      <c r="I1627" s="5" t="s">
        <v>18</v>
      </c>
      <c r="J1627" s="5" t="s">
        <v>10</v>
      </c>
      <c r="K1627" s="5">
        <v>12</v>
      </c>
      <c r="L1627" s="5" t="s">
        <v>1528</v>
      </c>
      <c r="M1627" s="5">
        <v>1100</v>
      </c>
      <c r="N1627" s="5" t="s">
        <v>170</v>
      </c>
      <c r="O1627" s="6" t="s">
        <v>81</v>
      </c>
      <c r="P1627" s="6" t="s">
        <v>1530</v>
      </c>
      <c r="S1627" s="6">
        <v>18</v>
      </c>
      <c r="T1627" s="6">
        <v>4.34</v>
      </c>
      <c r="U1627" s="6">
        <v>1101</v>
      </c>
      <c r="V1627" s="6">
        <v>4.92</v>
      </c>
      <c r="W1627" s="6">
        <v>569</v>
      </c>
      <c r="X1627" s="6">
        <v>532</v>
      </c>
      <c r="Y1627" s="6">
        <v>0</v>
      </c>
      <c r="Z1627" s="6">
        <v>0</v>
      </c>
      <c r="AA1627" s="6">
        <v>0</v>
      </c>
      <c r="AB1627" s="6">
        <v>0</v>
      </c>
      <c r="AC1627" s="7">
        <v>49</v>
      </c>
      <c r="AD1627" s="7" t="s">
        <v>52</v>
      </c>
      <c r="AE1627" s="7">
        <v>11.81</v>
      </c>
      <c r="AF1627" s="7">
        <v>1078</v>
      </c>
      <c r="AG1627" s="7">
        <v>29.26</v>
      </c>
      <c r="AH1627" s="7">
        <v>18.59</v>
      </c>
      <c r="AI1627" s="7">
        <v>22.4</v>
      </c>
      <c r="AJ1627" s="9">
        <v>145.87756272567199</v>
      </c>
      <c r="AK1627" s="9">
        <v>149.98928807014701</v>
      </c>
      <c r="AL1627" s="9">
        <v>226.38014456268499</v>
      </c>
      <c r="AM1627" s="9">
        <v>29.6109857928125</v>
      </c>
      <c r="AN1627" s="9">
        <v>0.60430583250637804</v>
      </c>
      <c r="AO1627" s="9">
        <v>0.76588680742148396</v>
      </c>
      <c r="AP1627" s="9">
        <v>228.80704879562899</v>
      </c>
      <c r="AQ1627" s="9">
        <v>4.6695316080740596</v>
      </c>
      <c r="AR1627" s="9">
        <v>8.0561094320318301</v>
      </c>
      <c r="AS1627" s="8" t="s">
        <v>169</v>
      </c>
      <c r="AT1627" s="8" t="s">
        <v>169</v>
      </c>
      <c r="AU1627" s="8" t="s">
        <v>169</v>
      </c>
      <c r="AV1627" s="10">
        <v>0</v>
      </c>
      <c r="AW1627" s="8" t="s">
        <v>169</v>
      </c>
      <c r="AX1627" s="8" t="s">
        <v>169</v>
      </c>
      <c r="BF1627" s="12">
        <v>0.45</v>
      </c>
      <c r="BG1627" s="13">
        <v>177.42543830100499</v>
      </c>
      <c r="BH1627" s="96" t="str">
        <f>+VLOOKUP(G1627,Liste!$A$7:$G$50,3,FALSE)</f>
        <v>Pin d'Alep</v>
      </c>
      <c r="BI1627" s="96" t="str">
        <f>+VLOOKUP(H1627,Liste!$B$7:$G$50,5,FALSE)</f>
        <v>Pin d'Alep</v>
      </c>
      <c r="BJ1627" s="135">
        <f t="shared" si="494"/>
        <v>49</v>
      </c>
      <c r="BK1627" s="135" t="str">
        <f t="shared" si="496"/>
        <v>Pin d'Alep_F2_Classique_Pin d'Alep_49_</v>
      </c>
      <c r="BM1627" s="13">
        <v>47.734330208127098</v>
      </c>
      <c r="BN1627" s="13">
        <v>225.15976850913199</v>
      </c>
      <c r="BO1627" s="12" t="s">
        <v>169</v>
      </c>
      <c r="BP1627" s="13">
        <v>134.534925639471</v>
      </c>
      <c r="BQ1627" s="13">
        <v>7.8100568144703901</v>
      </c>
      <c r="BT1627" s="298" t="str">
        <f>+VLOOKUP(G1627,Liste!$A$7:$H$50,8,FALSE)</f>
        <v>Résineux</v>
      </c>
      <c r="BU1627" s="298">
        <f t="shared" si="497"/>
        <v>0</v>
      </c>
      <c r="BV1627" s="300">
        <f t="shared" si="498"/>
        <v>1</v>
      </c>
      <c r="BW1627" s="321">
        <v>0</v>
      </c>
      <c r="BX1627" s="298">
        <f t="shared" si="499"/>
        <v>0.43</v>
      </c>
      <c r="BY1627">
        <f t="shared" si="500"/>
        <v>0</v>
      </c>
      <c r="BZ1627" s="304">
        <f t="shared" si="501"/>
        <v>0</v>
      </c>
      <c r="CB1627" s="299">
        <v>0.6</v>
      </c>
      <c r="CC1627" s="299">
        <v>0.4</v>
      </c>
      <c r="CD1627">
        <f t="shared" si="502"/>
        <v>0</v>
      </c>
      <c r="CE1627">
        <f t="shared" si="503"/>
        <v>0</v>
      </c>
      <c r="CF1627">
        <f t="shared" si="504"/>
        <v>0</v>
      </c>
      <c r="CG1627">
        <f t="shared" si="505"/>
        <v>0</v>
      </c>
      <c r="CH1627">
        <f t="shared" si="506"/>
        <v>0</v>
      </c>
      <c r="CI1627">
        <f t="shared" si="507"/>
        <v>0</v>
      </c>
      <c r="CJ1627">
        <f t="shared" si="508"/>
        <v>0</v>
      </c>
      <c r="CK1627">
        <f t="shared" si="509"/>
        <v>0</v>
      </c>
      <c r="CL1627">
        <f t="shared" si="510"/>
        <v>0</v>
      </c>
      <c r="CM1627">
        <f t="shared" si="512"/>
        <v>0</v>
      </c>
      <c r="CN1627">
        <f t="shared" si="511"/>
        <v>0</v>
      </c>
      <c r="CO1627">
        <f t="shared" si="495"/>
        <v>0</v>
      </c>
    </row>
    <row r="1628" spans="2:93" x14ac:dyDescent="0.25">
      <c r="B1628" s="318">
        <v>44372</v>
      </c>
      <c r="C1628" s="4" t="s">
        <v>1524</v>
      </c>
      <c r="D1628" s="4" t="s">
        <v>1525</v>
      </c>
      <c r="F1628" s="4" t="s">
        <v>90</v>
      </c>
      <c r="G1628" s="5" t="s">
        <v>1514</v>
      </c>
      <c r="H1628" s="5" t="s">
        <v>1527</v>
      </c>
      <c r="I1628" s="5" t="s">
        <v>18</v>
      </c>
      <c r="J1628" s="5" t="s">
        <v>10</v>
      </c>
      <c r="K1628" s="5">
        <v>12</v>
      </c>
      <c r="L1628" s="5" t="s">
        <v>1528</v>
      </c>
      <c r="M1628" s="5">
        <v>1100</v>
      </c>
      <c r="N1628" s="5" t="s">
        <v>170</v>
      </c>
      <c r="O1628" s="6" t="s">
        <v>81</v>
      </c>
      <c r="P1628" s="6" t="s">
        <v>1530</v>
      </c>
      <c r="S1628" s="6">
        <v>18</v>
      </c>
      <c r="T1628" s="6">
        <v>4.34</v>
      </c>
      <c r="U1628" s="6">
        <v>1101</v>
      </c>
      <c r="V1628" s="6">
        <v>4.92</v>
      </c>
      <c r="W1628" s="6">
        <v>569</v>
      </c>
      <c r="X1628" s="6">
        <v>532</v>
      </c>
      <c r="Y1628" s="6">
        <v>0</v>
      </c>
      <c r="Z1628" s="6">
        <v>0</v>
      </c>
      <c r="AA1628" s="6">
        <v>0</v>
      </c>
      <c r="AB1628" s="6">
        <v>0</v>
      </c>
      <c r="AC1628" s="7">
        <v>50</v>
      </c>
      <c r="AD1628" s="7" t="s">
        <v>52</v>
      </c>
      <c r="AE1628" s="7">
        <v>11.99</v>
      </c>
      <c r="AF1628" s="7">
        <v>1077</v>
      </c>
      <c r="AG1628" s="7">
        <v>30</v>
      </c>
      <c r="AH1628" s="7">
        <v>18.829999999999998</v>
      </c>
      <c r="AI1628" s="7">
        <v>22.73</v>
      </c>
      <c r="AJ1628" s="9">
        <v>151.553138903801</v>
      </c>
      <c r="AK1628" s="9">
        <v>155.83267591592201</v>
      </c>
      <c r="AL1628" s="9">
        <v>234.24538317995999</v>
      </c>
      <c r="AM1628" s="9">
        <v>30.376872600234002</v>
      </c>
      <c r="AN1628" s="9">
        <v>0.60753745200468001</v>
      </c>
      <c r="AO1628" s="9">
        <v>0.68857140325653499</v>
      </c>
      <c r="AP1628" s="9">
        <v>236.86315822766099</v>
      </c>
      <c r="AQ1628" s="9">
        <v>4.7372631645532204</v>
      </c>
      <c r="AR1628" s="9">
        <v>7.08192843622572</v>
      </c>
      <c r="AS1628" s="8" t="s">
        <v>169</v>
      </c>
      <c r="AT1628" s="8" t="s">
        <v>169</v>
      </c>
      <c r="AU1628" s="8" t="s">
        <v>169</v>
      </c>
      <c r="AV1628" s="10">
        <v>0</v>
      </c>
      <c r="AW1628" s="8" t="s">
        <v>169</v>
      </c>
      <c r="AX1628" s="8" t="s">
        <v>169</v>
      </c>
      <c r="BF1628" s="12">
        <v>0.45</v>
      </c>
      <c r="BG1628" s="13">
        <v>183.589819067294</v>
      </c>
      <c r="BH1628" s="96" t="str">
        <f>+VLOOKUP(G1628,Liste!$A$7:$G$50,3,FALSE)</f>
        <v>Pin d'Alep</v>
      </c>
      <c r="BI1628" s="96" t="str">
        <f>+VLOOKUP(H1628,Liste!$B$7:$G$50,5,FALSE)</f>
        <v>Pin d'Alep</v>
      </c>
      <c r="BJ1628" s="135">
        <f t="shared" si="494"/>
        <v>50</v>
      </c>
      <c r="BK1628" s="135" t="str">
        <f t="shared" si="496"/>
        <v>Pin d'Alep_F2_Classique_Pin d'Alep_50_</v>
      </c>
      <c r="BM1628" s="13">
        <v>49.196817896729897</v>
      </c>
      <c r="BN1628" s="13">
        <v>232.78663696402299</v>
      </c>
      <c r="BO1628" s="12" t="s">
        <v>169</v>
      </c>
      <c r="BP1628" s="13">
        <v>134.534925639471</v>
      </c>
      <c r="BQ1628" s="13">
        <v>6.8607390389492204</v>
      </c>
      <c r="BT1628" s="298" t="str">
        <f>+VLOOKUP(G1628,Liste!$A$7:$H$50,8,FALSE)</f>
        <v>Résineux</v>
      </c>
      <c r="BU1628" s="298">
        <f t="shared" si="497"/>
        <v>0</v>
      </c>
      <c r="BV1628" s="300">
        <f t="shared" si="498"/>
        <v>1</v>
      </c>
      <c r="BW1628" s="321">
        <v>0</v>
      </c>
      <c r="BX1628" s="298">
        <f t="shared" si="499"/>
        <v>0.43</v>
      </c>
      <c r="BY1628">
        <f t="shared" si="500"/>
        <v>0</v>
      </c>
      <c r="BZ1628" s="304">
        <f t="shared" si="501"/>
        <v>0</v>
      </c>
      <c r="CB1628" s="299">
        <v>0.6</v>
      </c>
      <c r="CC1628" s="299">
        <v>0.4</v>
      </c>
      <c r="CD1628">
        <f t="shared" si="502"/>
        <v>0</v>
      </c>
      <c r="CE1628">
        <f t="shared" si="503"/>
        <v>0</v>
      </c>
      <c r="CF1628">
        <f t="shared" si="504"/>
        <v>0</v>
      </c>
      <c r="CG1628">
        <f t="shared" si="505"/>
        <v>0</v>
      </c>
      <c r="CH1628">
        <f t="shared" si="506"/>
        <v>0</v>
      </c>
      <c r="CI1628">
        <f t="shared" si="507"/>
        <v>0</v>
      </c>
      <c r="CJ1628">
        <f t="shared" si="508"/>
        <v>0</v>
      </c>
      <c r="CK1628">
        <f t="shared" si="509"/>
        <v>0</v>
      </c>
      <c r="CL1628">
        <f t="shared" si="510"/>
        <v>0</v>
      </c>
      <c r="CM1628">
        <f t="shared" si="512"/>
        <v>0</v>
      </c>
      <c r="CN1628">
        <f t="shared" si="511"/>
        <v>0</v>
      </c>
      <c r="CO1628">
        <f t="shared" si="495"/>
        <v>0</v>
      </c>
    </row>
    <row r="1629" spans="2:93" x14ac:dyDescent="0.25">
      <c r="B1629" s="318">
        <v>44372</v>
      </c>
      <c r="C1629" s="4" t="s">
        <v>1524</v>
      </c>
      <c r="D1629" s="4" t="s">
        <v>1525</v>
      </c>
      <c r="F1629" s="4" t="s">
        <v>90</v>
      </c>
      <c r="G1629" s="5" t="s">
        <v>1514</v>
      </c>
      <c r="H1629" s="5" t="s">
        <v>1527</v>
      </c>
      <c r="I1629" s="5" t="s">
        <v>18</v>
      </c>
      <c r="J1629" s="5" t="s">
        <v>10</v>
      </c>
      <c r="K1629" s="5">
        <v>12</v>
      </c>
      <c r="L1629" s="5" t="s">
        <v>1528</v>
      </c>
      <c r="M1629" s="5">
        <v>1100</v>
      </c>
      <c r="N1629" s="5" t="s">
        <v>170</v>
      </c>
      <c r="O1629" s="6" t="s">
        <v>81</v>
      </c>
      <c r="P1629" s="6" t="s">
        <v>1530</v>
      </c>
      <c r="S1629" s="6">
        <v>18</v>
      </c>
      <c r="T1629" s="6">
        <v>4.34</v>
      </c>
      <c r="U1629" s="6">
        <v>1101</v>
      </c>
      <c r="V1629" s="6">
        <v>4.92</v>
      </c>
      <c r="W1629" s="6">
        <v>569</v>
      </c>
      <c r="X1629" s="6">
        <v>532</v>
      </c>
      <c r="Y1629" s="6">
        <v>0</v>
      </c>
      <c r="Z1629" s="6">
        <v>0</v>
      </c>
      <c r="AA1629" s="6">
        <v>0</v>
      </c>
      <c r="AB1629" s="6">
        <v>0</v>
      </c>
      <c r="AC1629" s="7">
        <v>50</v>
      </c>
      <c r="AD1629" s="7" t="s">
        <v>53</v>
      </c>
      <c r="AE1629" s="7">
        <v>11.99</v>
      </c>
      <c r="AF1629" s="7">
        <v>701</v>
      </c>
      <c r="AG1629" s="7">
        <v>21.65</v>
      </c>
      <c r="AH1629" s="7">
        <v>19.829999999999998</v>
      </c>
      <c r="AI1629" s="7">
        <v>22.73</v>
      </c>
      <c r="AJ1629" s="9">
        <v>110.941037333919</v>
      </c>
      <c r="AK1629" s="9">
        <v>114.267360699802</v>
      </c>
      <c r="AL1629" s="9">
        <v>171.02794818350199</v>
      </c>
      <c r="AM1629" s="9">
        <v>30.376872600234002</v>
      </c>
      <c r="AN1629" s="9">
        <v>0.60753745200468001</v>
      </c>
      <c r="AO1629" s="9">
        <v>0.68857140325653499</v>
      </c>
      <c r="AP1629" s="9">
        <v>236.86315822766099</v>
      </c>
      <c r="AQ1629" s="9">
        <v>4.7372631645532204</v>
      </c>
      <c r="AR1629" s="9">
        <v>7.08192843622572</v>
      </c>
      <c r="AS1629" s="8">
        <v>376</v>
      </c>
      <c r="AT1629" s="8">
        <v>8.3500000000000014</v>
      </c>
      <c r="AU1629" s="10">
        <v>16.815290501266528</v>
      </c>
      <c r="AV1629" s="10">
        <v>40.612101569882</v>
      </c>
      <c r="AW1629" s="8">
        <v>0.8</v>
      </c>
      <c r="AX1629" s="10">
        <v>0.10801090843053723</v>
      </c>
      <c r="BF1629" s="12">
        <v>0.45</v>
      </c>
      <c r="BG1629" s="13">
        <v>134.04315438882</v>
      </c>
      <c r="BH1629" s="96" t="str">
        <f>+VLOOKUP(G1629,Liste!$A$7:$G$50,3,FALSE)</f>
        <v>Pin d'Alep</v>
      </c>
      <c r="BI1629" s="96" t="str">
        <f>+VLOOKUP(H1629,Liste!$B$7:$G$50,5,FALSE)</f>
        <v>Pin d'Alep</v>
      </c>
      <c r="BJ1629" s="135">
        <f t="shared" si="494"/>
        <v>50</v>
      </c>
      <c r="BK1629" s="135" t="str">
        <f t="shared" si="496"/>
        <v>Pin d'Alep_F2_Classique_Pin d'Alep_50_</v>
      </c>
      <c r="BM1629" s="13">
        <v>37.259219994238897</v>
      </c>
      <c r="BN1629" s="13">
        <v>171.302374383059</v>
      </c>
      <c r="BO1629" s="13">
        <v>61.484262580963986</v>
      </c>
      <c r="BP1629" s="13">
        <v>134.534925639471</v>
      </c>
      <c r="BQ1629" s="13">
        <v>6.8607390389492204</v>
      </c>
      <c r="BT1629" s="298" t="str">
        <f>+VLOOKUP(G1629,Liste!$A$7:$H$50,8,FALSE)</f>
        <v>Résineux</v>
      </c>
      <c r="BU1629" s="298">
        <f t="shared" si="497"/>
        <v>0</v>
      </c>
      <c r="BV1629" s="300">
        <f t="shared" si="498"/>
        <v>1</v>
      </c>
      <c r="BW1629" s="321">
        <v>0</v>
      </c>
      <c r="BX1629" s="298">
        <f t="shared" si="499"/>
        <v>0.43</v>
      </c>
      <c r="BY1629">
        <f t="shared" si="500"/>
        <v>0</v>
      </c>
      <c r="BZ1629" s="304">
        <f t="shared" si="501"/>
        <v>0</v>
      </c>
      <c r="CB1629" s="299">
        <v>0.6</v>
      </c>
      <c r="CC1629" s="299">
        <v>0.4</v>
      </c>
      <c r="CD1629">
        <f t="shared" si="502"/>
        <v>0</v>
      </c>
      <c r="CE1629">
        <f t="shared" si="503"/>
        <v>0</v>
      </c>
      <c r="CF1629">
        <f t="shared" si="504"/>
        <v>0</v>
      </c>
      <c r="CG1629">
        <f t="shared" si="505"/>
        <v>0</v>
      </c>
      <c r="CH1629">
        <f t="shared" si="506"/>
        <v>0</v>
      </c>
      <c r="CI1629">
        <f t="shared" si="507"/>
        <v>0</v>
      </c>
      <c r="CJ1629">
        <f t="shared" si="508"/>
        <v>0</v>
      </c>
      <c r="CK1629">
        <f t="shared" si="509"/>
        <v>0</v>
      </c>
      <c r="CL1629">
        <f t="shared" si="510"/>
        <v>0</v>
      </c>
      <c r="CM1629">
        <f t="shared" si="512"/>
        <v>0</v>
      </c>
      <c r="CN1629">
        <f t="shared" si="511"/>
        <v>0</v>
      </c>
      <c r="CO1629">
        <f t="shared" si="495"/>
        <v>0</v>
      </c>
    </row>
    <row r="1630" spans="2:93" x14ac:dyDescent="0.25">
      <c r="B1630" s="318">
        <v>44372</v>
      </c>
      <c r="C1630" s="4" t="s">
        <v>1524</v>
      </c>
      <c r="D1630" s="4" t="s">
        <v>1525</v>
      </c>
      <c r="F1630" s="4" t="s">
        <v>90</v>
      </c>
      <c r="G1630" s="5" t="s">
        <v>1514</v>
      </c>
      <c r="H1630" s="5" t="s">
        <v>1527</v>
      </c>
      <c r="I1630" s="5" t="s">
        <v>18</v>
      </c>
      <c r="J1630" s="5" t="s">
        <v>10</v>
      </c>
      <c r="K1630" s="5">
        <v>12</v>
      </c>
      <c r="L1630" s="5" t="s">
        <v>1528</v>
      </c>
      <c r="M1630" s="5">
        <v>1100</v>
      </c>
      <c r="N1630" s="5" t="s">
        <v>170</v>
      </c>
      <c r="O1630" s="6" t="s">
        <v>81</v>
      </c>
      <c r="P1630" s="6" t="s">
        <v>1530</v>
      </c>
      <c r="S1630" s="6">
        <v>18</v>
      </c>
      <c r="T1630" s="6">
        <v>4.34</v>
      </c>
      <c r="U1630" s="6">
        <v>1101</v>
      </c>
      <c r="V1630" s="6">
        <v>4.92</v>
      </c>
      <c r="W1630" s="6">
        <v>569</v>
      </c>
      <c r="X1630" s="6">
        <v>532</v>
      </c>
      <c r="Y1630" s="6">
        <v>0</v>
      </c>
      <c r="Z1630" s="6">
        <v>0</v>
      </c>
      <c r="AA1630" s="6">
        <v>0</v>
      </c>
      <c r="AB1630" s="6">
        <v>0</v>
      </c>
      <c r="AC1630" s="7">
        <v>51</v>
      </c>
      <c r="AD1630" s="7" t="s">
        <v>52</v>
      </c>
      <c r="AE1630" s="7">
        <v>12.16</v>
      </c>
      <c r="AF1630" s="7">
        <v>701</v>
      </c>
      <c r="AG1630" s="7">
        <v>22.34</v>
      </c>
      <c r="AH1630" s="7">
        <v>20.14</v>
      </c>
      <c r="AI1630" s="7">
        <v>23.11</v>
      </c>
      <c r="AJ1630" s="9">
        <v>115.94325740759599</v>
      </c>
      <c r="AK1630" s="9">
        <v>119.44155112451</v>
      </c>
      <c r="AL1630" s="9">
        <v>178.109876619728</v>
      </c>
      <c r="AM1630" s="9">
        <v>31.065444003490601</v>
      </c>
      <c r="AN1630" s="9">
        <v>0.60912635300961904</v>
      </c>
      <c r="AO1630" s="9">
        <v>0.684833646273034</v>
      </c>
      <c r="AP1630" s="9">
        <v>243.945086663887</v>
      </c>
      <c r="AQ1630" s="9">
        <v>4.78323699340954</v>
      </c>
      <c r="AR1630" s="9">
        <v>7.1185880645038804</v>
      </c>
      <c r="AS1630" s="8" t="s">
        <v>169</v>
      </c>
      <c r="AT1630" s="8" t="s">
        <v>169</v>
      </c>
      <c r="AU1630" s="10" t="s">
        <v>169</v>
      </c>
      <c r="AV1630" s="10">
        <v>0</v>
      </c>
      <c r="AX1630" s="10" t="s">
        <v>169</v>
      </c>
      <c r="BF1630" s="12">
        <v>0.45</v>
      </c>
      <c r="BG1630" s="13">
        <v>139.593615800712</v>
      </c>
      <c r="BH1630" s="96" t="str">
        <f>+VLOOKUP(G1630,Liste!$A$7:$G$50,3,FALSE)</f>
        <v>Pin d'Alep</v>
      </c>
      <c r="BI1630" s="96" t="str">
        <f>+VLOOKUP(H1630,Liste!$B$7:$G$50,5,FALSE)</f>
        <v>Pin d'Alep</v>
      </c>
      <c r="BJ1630" s="135">
        <f t="shared" si="494"/>
        <v>51</v>
      </c>
      <c r="BK1630" s="135" t="str">
        <f t="shared" si="496"/>
        <v>Pin d'Alep_F2_Classique_Pin d'Alep_51_</v>
      </c>
      <c r="BM1630" s="13">
        <v>38.619229192920997</v>
      </c>
      <c r="BN1630" s="13">
        <v>178.21284499363301</v>
      </c>
      <c r="BO1630" s="13" t="s">
        <v>169</v>
      </c>
      <c r="BP1630" s="13">
        <v>134.534925639471</v>
      </c>
      <c r="BQ1630" s="13">
        <v>6.8917986799107203</v>
      </c>
      <c r="BT1630" s="298" t="str">
        <f>+VLOOKUP(G1630,Liste!$A$7:$H$50,8,FALSE)</f>
        <v>Résineux</v>
      </c>
      <c r="BU1630" s="298">
        <f t="shared" si="497"/>
        <v>0</v>
      </c>
      <c r="BV1630" s="300">
        <f t="shared" si="498"/>
        <v>1</v>
      </c>
      <c r="BW1630" s="321">
        <v>0</v>
      </c>
      <c r="BX1630" s="298">
        <f t="shared" si="499"/>
        <v>0.43</v>
      </c>
      <c r="BY1630">
        <f t="shared" si="500"/>
        <v>0</v>
      </c>
      <c r="BZ1630" s="304">
        <f t="shared" si="501"/>
        <v>0</v>
      </c>
      <c r="CB1630" s="299">
        <v>0.6</v>
      </c>
      <c r="CC1630" s="299">
        <v>0.4</v>
      </c>
      <c r="CD1630">
        <f t="shared" si="502"/>
        <v>0</v>
      </c>
      <c r="CE1630">
        <f t="shared" si="503"/>
        <v>0</v>
      </c>
      <c r="CF1630">
        <f t="shared" si="504"/>
        <v>0</v>
      </c>
      <c r="CG1630">
        <f t="shared" si="505"/>
        <v>0</v>
      </c>
      <c r="CH1630">
        <f t="shared" si="506"/>
        <v>0</v>
      </c>
      <c r="CI1630">
        <f t="shared" si="507"/>
        <v>0</v>
      </c>
      <c r="CJ1630">
        <f t="shared" si="508"/>
        <v>0</v>
      </c>
      <c r="CK1630">
        <f t="shared" si="509"/>
        <v>0</v>
      </c>
      <c r="CL1630">
        <f t="shared" si="510"/>
        <v>0</v>
      </c>
      <c r="CM1630">
        <f t="shared" si="512"/>
        <v>0</v>
      </c>
      <c r="CN1630">
        <f t="shared" si="511"/>
        <v>0</v>
      </c>
      <c r="CO1630">
        <f t="shared" si="495"/>
        <v>0</v>
      </c>
    </row>
    <row r="1631" spans="2:93" x14ac:dyDescent="0.25">
      <c r="B1631" s="318">
        <v>44372</v>
      </c>
      <c r="C1631" s="4" t="s">
        <v>1524</v>
      </c>
      <c r="D1631" s="4" t="s">
        <v>1525</v>
      </c>
      <c r="F1631" s="4" t="s">
        <v>90</v>
      </c>
      <c r="G1631" s="5" t="s">
        <v>1514</v>
      </c>
      <c r="H1631" s="5" t="s">
        <v>1527</v>
      </c>
      <c r="I1631" s="5" t="s">
        <v>18</v>
      </c>
      <c r="J1631" s="5" t="s">
        <v>10</v>
      </c>
      <c r="K1631" s="5">
        <v>12</v>
      </c>
      <c r="L1631" s="5" t="s">
        <v>1528</v>
      </c>
      <c r="M1631" s="5">
        <v>1100</v>
      </c>
      <c r="N1631" s="5" t="s">
        <v>170</v>
      </c>
      <c r="O1631" s="6" t="s">
        <v>81</v>
      </c>
      <c r="P1631" s="6" t="s">
        <v>1530</v>
      </c>
      <c r="S1631" s="6">
        <v>18</v>
      </c>
      <c r="T1631" s="6">
        <v>4.34</v>
      </c>
      <c r="U1631" s="6">
        <v>1101</v>
      </c>
      <c r="V1631" s="6">
        <v>4.92</v>
      </c>
      <c r="W1631" s="6">
        <v>569</v>
      </c>
      <c r="X1631" s="6">
        <v>532</v>
      </c>
      <c r="Y1631" s="6">
        <v>0</v>
      </c>
      <c r="Z1631" s="6">
        <v>0</v>
      </c>
      <c r="AA1631" s="6">
        <v>0</v>
      </c>
      <c r="AB1631" s="6">
        <v>0</v>
      </c>
      <c r="AC1631" s="7">
        <v>52</v>
      </c>
      <c r="AD1631" s="7" t="s">
        <v>52</v>
      </c>
      <c r="AE1631" s="7">
        <v>12.33</v>
      </c>
      <c r="AF1631" s="7">
        <v>700</v>
      </c>
      <c r="AG1631" s="7">
        <v>23</v>
      </c>
      <c r="AH1631" s="7">
        <v>20.45</v>
      </c>
      <c r="AI1631" s="7">
        <v>23.48</v>
      </c>
      <c r="AJ1631" s="9">
        <v>120.849163754288</v>
      </c>
      <c r="AK1631" s="9">
        <v>124.518258582087</v>
      </c>
      <c r="AL1631" s="9">
        <v>185.02841418902599</v>
      </c>
      <c r="AM1631" s="9">
        <v>31.7502776497636</v>
      </c>
      <c r="AN1631" s="9">
        <v>0.610582262495454</v>
      </c>
      <c r="AO1631" s="9">
        <v>0.68130028130758202</v>
      </c>
      <c r="AP1631" s="9">
        <v>251.06367472839099</v>
      </c>
      <c r="AQ1631" s="9">
        <v>4.8281475909305902</v>
      </c>
      <c r="AR1631" s="9">
        <v>7.1534141982277202</v>
      </c>
      <c r="AS1631" s="8" t="s">
        <v>169</v>
      </c>
      <c r="AT1631" s="8" t="s">
        <v>169</v>
      </c>
      <c r="AU1631" s="10" t="s">
        <v>169</v>
      </c>
      <c r="AV1631" s="10">
        <v>0</v>
      </c>
      <c r="AX1631" s="10" t="s">
        <v>169</v>
      </c>
      <c r="BF1631" s="12">
        <v>0.45</v>
      </c>
      <c r="BG1631" s="13">
        <v>145.01601962064899</v>
      </c>
      <c r="BH1631" s="96" t="str">
        <f>+VLOOKUP(G1631,Liste!$A$7:$G$50,3,FALSE)</f>
        <v>Pin d'Alep</v>
      </c>
      <c r="BI1631" s="96" t="str">
        <f>+VLOOKUP(H1631,Liste!$B$7:$G$50,5,FALSE)</f>
        <v>Pin d'Alep</v>
      </c>
      <c r="BJ1631" s="135">
        <f t="shared" si="494"/>
        <v>52</v>
      </c>
      <c r="BK1631" s="135" t="str">
        <f t="shared" si="496"/>
        <v>Pin d'Alep_F2_Classique_Pin d'Alep_52_</v>
      </c>
      <c r="BM1631" s="13">
        <v>39.941792936685303</v>
      </c>
      <c r="BN1631" s="13">
        <v>184.95781255733499</v>
      </c>
      <c r="BO1631" s="13" t="s">
        <v>169</v>
      </c>
      <c r="BP1631" s="13">
        <v>134.534925639471</v>
      </c>
      <c r="BQ1631" s="13">
        <v>6.9211581653819101</v>
      </c>
      <c r="BT1631" s="298" t="str">
        <f>+VLOOKUP(G1631,Liste!$A$7:$H$50,8,FALSE)</f>
        <v>Résineux</v>
      </c>
      <c r="BU1631" s="298">
        <f t="shared" si="497"/>
        <v>0</v>
      </c>
      <c r="BV1631" s="300">
        <f t="shared" si="498"/>
        <v>1</v>
      </c>
      <c r="BW1631" s="321">
        <v>0</v>
      </c>
      <c r="BX1631" s="298">
        <f t="shared" si="499"/>
        <v>0.43</v>
      </c>
      <c r="BY1631">
        <f t="shared" si="500"/>
        <v>0</v>
      </c>
      <c r="BZ1631" s="304">
        <f t="shared" si="501"/>
        <v>0</v>
      </c>
      <c r="CB1631" s="299">
        <v>0.6</v>
      </c>
      <c r="CC1631" s="299">
        <v>0.4</v>
      </c>
      <c r="CD1631">
        <f t="shared" si="502"/>
        <v>0</v>
      </c>
      <c r="CE1631">
        <f t="shared" si="503"/>
        <v>0</v>
      </c>
      <c r="CF1631">
        <f t="shared" si="504"/>
        <v>0</v>
      </c>
      <c r="CG1631">
        <f t="shared" si="505"/>
        <v>0</v>
      </c>
      <c r="CH1631">
        <f t="shared" si="506"/>
        <v>0</v>
      </c>
      <c r="CI1631">
        <f t="shared" si="507"/>
        <v>0</v>
      </c>
      <c r="CJ1631">
        <f t="shared" si="508"/>
        <v>0</v>
      </c>
      <c r="CK1631">
        <f t="shared" si="509"/>
        <v>0</v>
      </c>
      <c r="CL1631">
        <f t="shared" si="510"/>
        <v>0</v>
      </c>
      <c r="CM1631">
        <f t="shared" si="512"/>
        <v>0</v>
      </c>
      <c r="CN1631">
        <f t="shared" si="511"/>
        <v>0</v>
      </c>
      <c r="CO1631">
        <f t="shared" si="495"/>
        <v>0</v>
      </c>
    </row>
    <row r="1632" spans="2:93" x14ac:dyDescent="0.25">
      <c r="B1632" s="318">
        <v>44372</v>
      </c>
      <c r="C1632" s="4" t="s">
        <v>1524</v>
      </c>
      <c r="D1632" s="4" t="s">
        <v>1525</v>
      </c>
      <c r="F1632" s="4" t="s">
        <v>90</v>
      </c>
      <c r="G1632" s="5" t="s">
        <v>1514</v>
      </c>
      <c r="H1632" s="5" t="s">
        <v>1527</v>
      </c>
      <c r="I1632" s="5" t="s">
        <v>18</v>
      </c>
      <c r="J1632" s="5" t="s">
        <v>10</v>
      </c>
      <c r="K1632" s="5">
        <v>12</v>
      </c>
      <c r="L1632" s="5" t="s">
        <v>1528</v>
      </c>
      <c r="M1632" s="5">
        <v>1100</v>
      </c>
      <c r="N1632" s="5" t="s">
        <v>170</v>
      </c>
      <c r="O1632" s="6" t="s">
        <v>81</v>
      </c>
      <c r="P1632" s="6" t="s">
        <v>1530</v>
      </c>
      <c r="S1632" s="6">
        <v>18</v>
      </c>
      <c r="T1632" s="6">
        <v>4.34</v>
      </c>
      <c r="U1632" s="6">
        <v>1101</v>
      </c>
      <c r="V1632" s="6">
        <v>4.92</v>
      </c>
      <c r="W1632" s="6">
        <v>569</v>
      </c>
      <c r="X1632" s="6">
        <v>532</v>
      </c>
      <c r="Y1632" s="6">
        <v>0</v>
      </c>
      <c r="Z1632" s="6">
        <v>0</v>
      </c>
      <c r="AA1632" s="6">
        <v>0</v>
      </c>
      <c r="AB1632" s="6">
        <v>0</v>
      </c>
      <c r="AC1632" s="7">
        <v>53</v>
      </c>
      <c r="AD1632" s="7" t="s">
        <v>52</v>
      </c>
      <c r="AE1632" s="7">
        <v>12.5</v>
      </c>
      <c r="AF1632" s="7">
        <v>700</v>
      </c>
      <c r="AG1632" s="7">
        <v>23.68</v>
      </c>
      <c r="AH1632" s="7">
        <v>20.75</v>
      </c>
      <c r="AI1632" s="7">
        <v>23.85</v>
      </c>
      <c r="AJ1632" s="9">
        <v>125.916930612031</v>
      </c>
      <c r="AK1632" s="9">
        <v>129.76221728384601</v>
      </c>
      <c r="AL1632" s="9">
        <v>192.181828387254</v>
      </c>
      <c r="AM1632" s="9">
        <v>32.431577931071203</v>
      </c>
      <c r="AN1632" s="9">
        <v>0.61191656473719203</v>
      </c>
      <c r="AO1632" s="9">
        <v>0.67717682314001604</v>
      </c>
      <c r="AP1632" s="9">
        <v>258.21708892661798</v>
      </c>
      <c r="AQ1632" s="9">
        <v>4.8720205457852499</v>
      </c>
      <c r="AR1632" s="9">
        <v>7.2008014357494998</v>
      </c>
      <c r="AS1632" s="8" t="s">
        <v>169</v>
      </c>
      <c r="AT1632" s="8" t="s">
        <v>169</v>
      </c>
      <c r="AU1632" s="10" t="s">
        <v>169</v>
      </c>
      <c r="AV1632" s="10">
        <v>0</v>
      </c>
      <c r="AX1632" s="10" t="s">
        <v>169</v>
      </c>
      <c r="BF1632" s="12">
        <v>0.45</v>
      </c>
      <c r="BG1632" s="13">
        <v>150.62250799851</v>
      </c>
      <c r="BH1632" s="96" t="str">
        <f>+VLOOKUP(G1632,Liste!$A$7:$G$50,3,FALSE)</f>
        <v>Pin d'Alep</v>
      </c>
      <c r="BI1632" s="96" t="str">
        <f>+VLOOKUP(H1632,Liste!$B$7:$G$50,5,FALSE)</f>
        <v>Pin d'Alep</v>
      </c>
      <c r="BJ1632" s="135">
        <f t="shared" si="494"/>
        <v>53</v>
      </c>
      <c r="BK1632" s="135" t="str">
        <f t="shared" si="496"/>
        <v>Pin d'Alep_F2_Classique_Pin d'Alep_53_</v>
      </c>
      <c r="BM1632" s="13">
        <v>41.303217931128401</v>
      </c>
      <c r="BN1632" s="13">
        <v>191.92572592963899</v>
      </c>
      <c r="BO1632" s="13" t="s">
        <v>169</v>
      </c>
      <c r="BP1632" s="13">
        <v>134.534925639471</v>
      </c>
      <c r="BQ1632" s="13">
        <v>6.9627318906989304</v>
      </c>
      <c r="BT1632" s="298" t="str">
        <f>+VLOOKUP(G1632,Liste!$A$7:$H$50,8,FALSE)</f>
        <v>Résineux</v>
      </c>
      <c r="BU1632" s="298">
        <f t="shared" si="497"/>
        <v>0</v>
      </c>
      <c r="BV1632" s="300">
        <f t="shared" si="498"/>
        <v>1</v>
      </c>
      <c r="BW1632" s="321">
        <v>0</v>
      </c>
      <c r="BX1632" s="298">
        <f t="shared" si="499"/>
        <v>0.43</v>
      </c>
      <c r="BY1632">
        <f t="shared" si="500"/>
        <v>0</v>
      </c>
      <c r="BZ1632" s="304">
        <f t="shared" si="501"/>
        <v>0</v>
      </c>
      <c r="CB1632" s="299">
        <v>0.6</v>
      </c>
      <c r="CC1632" s="299">
        <v>0.4</v>
      </c>
      <c r="CD1632">
        <f t="shared" si="502"/>
        <v>0</v>
      </c>
      <c r="CE1632">
        <f t="shared" si="503"/>
        <v>0</v>
      </c>
      <c r="CF1632">
        <f t="shared" si="504"/>
        <v>0</v>
      </c>
      <c r="CG1632">
        <f t="shared" si="505"/>
        <v>0</v>
      </c>
      <c r="CH1632">
        <f t="shared" si="506"/>
        <v>0</v>
      </c>
      <c r="CI1632">
        <f t="shared" si="507"/>
        <v>0</v>
      </c>
      <c r="CJ1632">
        <f t="shared" si="508"/>
        <v>0</v>
      </c>
      <c r="CK1632">
        <f t="shared" si="509"/>
        <v>0</v>
      </c>
      <c r="CL1632">
        <f t="shared" si="510"/>
        <v>0</v>
      </c>
      <c r="CM1632">
        <f t="shared" si="512"/>
        <v>0</v>
      </c>
      <c r="CN1632">
        <f t="shared" si="511"/>
        <v>0</v>
      </c>
      <c r="CO1632">
        <f t="shared" si="495"/>
        <v>0</v>
      </c>
    </row>
    <row r="1633" spans="2:93" x14ac:dyDescent="0.25">
      <c r="B1633" s="318">
        <v>44372</v>
      </c>
      <c r="C1633" s="4" t="s">
        <v>1524</v>
      </c>
      <c r="D1633" s="4" t="s">
        <v>1525</v>
      </c>
      <c r="F1633" s="4" t="s">
        <v>90</v>
      </c>
      <c r="G1633" s="5" t="s">
        <v>1514</v>
      </c>
      <c r="H1633" s="5" t="s">
        <v>1527</v>
      </c>
      <c r="I1633" s="5" t="s">
        <v>18</v>
      </c>
      <c r="J1633" s="5" t="s">
        <v>10</v>
      </c>
      <c r="K1633" s="5">
        <v>12</v>
      </c>
      <c r="L1633" s="5" t="s">
        <v>1528</v>
      </c>
      <c r="M1633" s="5">
        <v>1100</v>
      </c>
      <c r="N1633" s="5" t="s">
        <v>170</v>
      </c>
      <c r="O1633" s="6" t="s">
        <v>81</v>
      </c>
      <c r="P1633" s="6" t="s">
        <v>1530</v>
      </c>
      <c r="S1633" s="6">
        <v>18</v>
      </c>
      <c r="T1633" s="6">
        <v>4.34</v>
      </c>
      <c r="U1633" s="6">
        <v>1101</v>
      </c>
      <c r="V1633" s="6">
        <v>4.92</v>
      </c>
      <c r="W1633" s="6">
        <v>569</v>
      </c>
      <c r="X1633" s="6">
        <v>532</v>
      </c>
      <c r="Y1633" s="6">
        <v>0</v>
      </c>
      <c r="Z1633" s="6">
        <v>0</v>
      </c>
      <c r="AA1633" s="6">
        <v>0</v>
      </c>
      <c r="AB1633" s="6">
        <v>0</v>
      </c>
      <c r="AC1633" s="7">
        <v>54</v>
      </c>
      <c r="AD1633" s="7" t="s">
        <v>52</v>
      </c>
      <c r="AE1633" s="7">
        <v>12.66</v>
      </c>
      <c r="AF1633" s="7">
        <v>700</v>
      </c>
      <c r="AG1633" s="7">
        <v>24.36</v>
      </c>
      <c r="AH1633" s="7">
        <v>21.05</v>
      </c>
      <c r="AI1633" s="7">
        <v>24.22</v>
      </c>
      <c r="AJ1633" s="9">
        <v>131.032593656534</v>
      </c>
      <c r="AK1633" s="9">
        <v>135.05542516120201</v>
      </c>
      <c r="AL1633" s="9">
        <v>199.38262982300299</v>
      </c>
      <c r="AM1633" s="9">
        <v>33.108754754211198</v>
      </c>
      <c r="AN1633" s="9">
        <v>0.61312508804094801</v>
      </c>
      <c r="AO1633" s="9">
        <v>0.67155169939199799</v>
      </c>
      <c r="AP1633" s="9">
        <v>265.41789036236798</v>
      </c>
      <c r="AQ1633" s="9">
        <v>4.9151461178216298</v>
      </c>
      <c r="AR1633" s="9">
        <v>7.18995282488976</v>
      </c>
      <c r="AS1633" s="8" t="s">
        <v>169</v>
      </c>
      <c r="AT1633" s="8" t="s">
        <v>169</v>
      </c>
      <c r="AU1633" s="10" t="s">
        <v>169</v>
      </c>
      <c r="AV1633" s="10">
        <v>0</v>
      </c>
      <c r="AW1633" s="8" t="s">
        <v>169</v>
      </c>
      <c r="AX1633" s="10" t="s">
        <v>169</v>
      </c>
      <c r="BF1633" s="12">
        <v>0.45</v>
      </c>
      <c r="BG1633" s="13">
        <v>156.26613612377901</v>
      </c>
      <c r="BH1633" s="96" t="str">
        <f>+VLOOKUP(G1633,Liste!$A$7:$G$50,3,FALSE)</f>
        <v>Pin d'Alep</v>
      </c>
      <c r="BI1633" s="96" t="str">
        <f>+VLOOKUP(H1633,Liste!$B$7:$G$50,5,FALSE)</f>
        <v>Pin d'Alep</v>
      </c>
      <c r="BJ1633" s="135">
        <f t="shared" si="494"/>
        <v>54</v>
      </c>
      <c r="BK1633" s="135" t="str">
        <f t="shared" si="496"/>
        <v>Pin d'Alep_F2_Classique_Pin d'Alep_54_</v>
      </c>
      <c r="BM1633" s="13">
        <v>42.6677162263653</v>
      </c>
      <c r="BN1633" s="13">
        <v>198.93385235014401</v>
      </c>
      <c r="BO1633" s="13" t="s">
        <v>169</v>
      </c>
      <c r="BP1633" s="13">
        <v>134.534925639471</v>
      </c>
      <c r="BQ1633" s="13">
        <v>6.9480916679785301</v>
      </c>
      <c r="BT1633" s="298" t="str">
        <f>+VLOOKUP(G1633,Liste!$A$7:$H$50,8,FALSE)</f>
        <v>Résineux</v>
      </c>
      <c r="BU1633" s="298">
        <f t="shared" si="497"/>
        <v>0</v>
      </c>
      <c r="BV1633" s="300">
        <f t="shared" si="498"/>
        <v>1</v>
      </c>
      <c r="BW1633" s="321">
        <v>0</v>
      </c>
      <c r="BX1633" s="298">
        <f t="shared" si="499"/>
        <v>0.43</v>
      </c>
      <c r="BY1633">
        <f t="shared" si="500"/>
        <v>0</v>
      </c>
      <c r="BZ1633" s="304">
        <f t="shared" si="501"/>
        <v>0</v>
      </c>
      <c r="CB1633" s="299">
        <v>0.6</v>
      </c>
      <c r="CC1633" s="299">
        <v>0.4</v>
      </c>
      <c r="CD1633">
        <f t="shared" si="502"/>
        <v>0</v>
      </c>
      <c r="CE1633">
        <f t="shared" si="503"/>
        <v>0</v>
      </c>
      <c r="CF1633">
        <f t="shared" si="504"/>
        <v>0</v>
      </c>
      <c r="CG1633">
        <f t="shared" si="505"/>
        <v>0</v>
      </c>
      <c r="CH1633">
        <f t="shared" si="506"/>
        <v>0</v>
      </c>
      <c r="CI1633">
        <f t="shared" si="507"/>
        <v>0</v>
      </c>
      <c r="CJ1633">
        <f t="shared" si="508"/>
        <v>0</v>
      </c>
      <c r="CK1633">
        <f t="shared" si="509"/>
        <v>0</v>
      </c>
      <c r="CL1633">
        <f t="shared" si="510"/>
        <v>0</v>
      </c>
      <c r="CM1633">
        <f t="shared" si="512"/>
        <v>0</v>
      </c>
      <c r="CN1633">
        <f t="shared" si="511"/>
        <v>0</v>
      </c>
      <c r="CO1633">
        <f t="shared" si="495"/>
        <v>0</v>
      </c>
    </row>
    <row r="1634" spans="2:93" x14ac:dyDescent="0.25">
      <c r="B1634" s="318">
        <v>44372</v>
      </c>
      <c r="C1634" s="4" t="s">
        <v>1524</v>
      </c>
      <c r="D1634" s="4" t="s">
        <v>1525</v>
      </c>
      <c r="F1634" s="4" t="s">
        <v>90</v>
      </c>
      <c r="G1634" s="5" t="s">
        <v>1514</v>
      </c>
      <c r="H1634" s="5" t="s">
        <v>1527</v>
      </c>
      <c r="I1634" s="5" t="s">
        <v>18</v>
      </c>
      <c r="J1634" s="5" t="s">
        <v>10</v>
      </c>
      <c r="K1634" s="5">
        <v>12</v>
      </c>
      <c r="L1634" s="5" t="s">
        <v>1528</v>
      </c>
      <c r="M1634" s="5">
        <v>1100</v>
      </c>
      <c r="N1634" s="5" t="s">
        <v>170</v>
      </c>
      <c r="O1634" s="6" t="s">
        <v>81</v>
      </c>
      <c r="P1634" s="6" t="s">
        <v>1530</v>
      </c>
      <c r="S1634" s="6">
        <v>18</v>
      </c>
      <c r="T1634" s="6">
        <v>4.34</v>
      </c>
      <c r="U1634" s="6">
        <v>1101</v>
      </c>
      <c r="V1634" s="6">
        <v>4.92</v>
      </c>
      <c r="W1634" s="6">
        <v>569</v>
      </c>
      <c r="X1634" s="6">
        <v>532</v>
      </c>
      <c r="Y1634" s="6">
        <v>0</v>
      </c>
      <c r="Z1634" s="6">
        <v>0</v>
      </c>
      <c r="AA1634" s="6">
        <v>0</v>
      </c>
      <c r="AB1634" s="6">
        <v>0</v>
      </c>
      <c r="AC1634" s="7">
        <v>55</v>
      </c>
      <c r="AD1634" s="7" t="s">
        <v>52</v>
      </c>
      <c r="AE1634" s="7">
        <v>12.82</v>
      </c>
      <c r="AF1634" s="7">
        <v>700</v>
      </c>
      <c r="AG1634" s="7">
        <v>25.03</v>
      </c>
      <c r="AH1634" s="7">
        <v>21.34</v>
      </c>
      <c r="AI1634" s="7">
        <v>24.58</v>
      </c>
      <c r="AJ1634" s="9">
        <v>136.14103029844799</v>
      </c>
      <c r="AK1634" s="9">
        <v>140.343218820793</v>
      </c>
      <c r="AL1634" s="9">
        <v>206.572582647893</v>
      </c>
      <c r="AM1634" s="9">
        <v>33.780306453603202</v>
      </c>
      <c r="AN1634" s="9">
        <v>0.61418739006551204</v>
      </c>
      <c r="AO1634" s="9">
        <v>0.66697294590912304</v>
      </c>
      <c r="AP1634" s="9">
        <v>272.60784318725803</v>
      </c>
      <c r="AQ1634" s="9">
        <v>4.9565062397683199</v>
      </c>
      <c r="AR1634" s="9">
        <v>7.23278981599191</v>
      </c>
      <c r="AS1634" s="8" t="s">
        <v>169</v>
      </c>
      <c r="AT1634" s="8" t="s">
        <v>169</v>
      </c>
      <c r="AU1634" s="10" t="s">
        <v>169</v>
      </c>
      <c r="AV1634" s="10">
        <v>0</v>
      </c>
      <c r="AW1634" s="8" t="s">
        <v>169</v>
      </c>
      <c r="AX1634" s="10" t="s">
        <v>169</v>
      </c>
      <c r="BF1634" s="12">
        <v>0.45</v>
      </c>
      <c r="BG1634" s="13">
        <v>161.90126165028599</v>
      </c>
      <c r="BH1634" s="96" t="str">
        <f>+VLOOKUP(G1634,Liste!$A$7:$G$50,3,FALSE)</f>
        <v>Pin d'Alep</v>
      </c>
      <c r="BI1634" s="96" t="str">
        <f>+VLOOKUP(H1634,Liste!$B$7:$G$50,5,FALSE)</f>
        <v>Pin d'Alep</v>
      </c>
      <c r="BJ1634" s="135">
        <f t="shared" si="494"/>
        <v>55</v>
      </c>
      <c r="BK1634" s="135" t="str">
        <f t="shared" si="496"/>
        <v>Pin d'Alep_F2_Classique_Pin d'Alep_55_</v>
      </c>
      <c r="BM1634" s="13">
        <v>44.0244461978575</v>
      </c>
      <c r="BN1634" s="13">
        <v>205.92570784814399</v>
      </c>
      <c r="BO1634" s="13" t="s">
        <v>169</v>
      </c>
      <c r="BP1634" s="13">
        <v>134.534925639471</v>
      </c>
      <c r="BQ1634" s="13">
        <v>6.9854267266888401</v>
      </c>
      <c r="BT1634" s="298" t="str">
        <f>+VLOOKUP(G1634,Liste!$A$7:$H$50,8,FALSE)</f>
        <v>Résineux</v>
      </c>
      <c r="BU1634" s="298">
        <f t="shared" si="497"/>
        <v>0</v>
      </c>
      <c r="BV1634" s="300">
        <f t="shared" si="498"/>
        <v>1</v>
      </c>
      <c r="BW1634" s="321">
        <v>0</v>
      </c>
      <c r="BX1634" s="298">
        <f t="shared" si="499"/>
        <v>0.43</v>
      </c>
      <c r="BY1634">
        <f t="shared" si="500"/>
        <v>0</v>
      </c>
      <c r="BZ1634" s="304">
        <f t="shared" si="501"/>
        <v>0</v>
      </c>
      <c r="CB1634" s="299">
        <v>0.6</v>
      </c>
      <c r="CC1634" s="299">
        <v>0.4</v>
      </c>
      <c r="CD1634">
        <f t="shared" si="502"/>
        <v>0</v>
      </c>
      <c r="CE1634">
        <f t="shared" si="503"/>
        <v>0</v>
      </c>
      <c r="CF1634">
        <f t="shared" si="504"/>
        <v>0</v>
      </c>
      <c r="CG1634">
        <f t="shared" si="505"/>
        <v>0</v>
      </c>
      <c r="CH1634">
        <f t="shared" si="506"/>
        <v>0</v>
      </c>
      <c r="CI1634">
        <f t="shared" si="507"/>
        <v>0</v>
      </c>
      <c r="CJ1634">
        <f t="shared" si="508"/>
        <v>0</v>
      </c>
      <c r="CK1634">
        <f t="shared" si="509"/>
        <v>0</v>
      </c>
      <c r="CL1634">
        <f t="shared" si="510"/>
        <v>0</v>
      </c>
      <c r="CM1634">
        <f t="shared" si="512"/>
        <v>0</v>
      </c>
      <c r="CN1634">
        <f t="shared" si="511"/>
        <v>0</v>
      </c>
      <c r="CO1634">
        <f t="shared" si="495"/>
        <v>0</v>
      </c>
    </row>
    <row r="1635" spans="2:93" x14ac:dyDescent="0.25">
      <c r="B1635" s="318">
        <v>44372</v>
      </c>
      <c r="C1635" s="4" t="s">
        <v>1524</v>
      </c>
      <c r="D1635" s="4" t="s">
        <v>1525</v>
      </c>
      <c r="F1635" s="4" t="s">
        <v>90</v>
      </c>
      <c r="G1635" s="5" t="s">
        <v>1514</v>
      </c>
      <c r="H1635" s="5" t="s">
        <v>1527</v>
      </c>
      <c r="I1635" s="5" t="s">
        <v>18</v>
      </c>
      <c r="J1635" s="5" t="s">
        <v>10</v>
      </c>
      <c r="K1635" s="5">
        <v>12</v>
      </c>
      <c r="L1635" s="5" t="s">
        <v>1528</v>
      </c>
      <c r="M1635" s="5">
        <v>1100</v>
      </c>
      <c r="N1635" s="5" t="s">
        <v>170</v>
      </c>
      <c r="O1635" s="6" t="s">
        <v>81</v>
      </c>
      <c r="P1635" s="6" t="s">
        <v>1530</v>
      </c>
      <c r="S1635" s="6">
        <v>18</v>
      </c>
      <c r="T1635" s="6">
        <v>4.34</v>
      </c>
      <c r="U1635" s="6">
        <v>1101</v>
      </c>
      <c r="V1635" s="6">
        <v>4.92</v>
      </c>
      <c r="W1635" s="6">
        <v>569</v>
      </c>
      <c r="X1635" s="6">
        <v>532</v>
      </c>
      <c r="Y1635" s="6">
        <v>0</v>
      </c>
      <c r="Z1635" s="6">
        <v>0</v>
      </c>
      <c r="AA1635" s="6">
        <v>0</v>
      </c>
      <c r="AB1635" s="6">
        <v>0</v>
      </c>
      <c r="AC1635" s="7">
        <v>56</v>
      </c>
      <c r="AD1635" s="7" t="s">
        <v>52</v>
      </c>
      <c r="AE1635" s="7">
        <v>12.98</v>
      </c>
      <c r="AF1635" s="7">
        <v>699</v>
      </c>
      <c r="AG1635" s="7">
        <v>25.65</v>
      </c>
      <c r="AH1635" s="7">
        <v>21.62</v>
      </c>
      <c r="AI1635" s="7">
        <v>24.93</v>
      </c>
      <c r="AJ1635" s="9">
        <v>141.074526645774</v>
      </c>
      <c r="AK1635" s="9">
        <v>145.44983641220901</v>
      </c>
      <c r="AL1635" s="9">
        <v>213.47125331566099</v>
      </c>
      <c r="AM1635" s="9">
        <v>34.447279399512297</v>
      </c>
      <c r="AN1635" s="9">
        <v>0.61512998927700502</v>
      </c>
      <c r="AO1635" s="9">
        <v>0.66108971676267503</v>
      </c>
      <c r="AP1635" s="9">
        <v>279.84063300324902</v>
      </c>
      <c r="AQ1635" s="9">
        <v>4.9971541607723102</v>
      </c>
      <c r="AR1635" s="9">
        <v>7.2279372554132202</v>
      </c>
      <c r="AS1635" s="8" t="s">
        <v>169</v>
      </c>
      <c r="AT1635" s="8" t="s">
        <v>169</v>
      </c>
      <c r="AU1635" s="10" t="s">
        <v>169</v>
      </c>
      <c r="AV1635" s="10">
        <v>0</v>
      </c>
      <c r="AW1635" s="8" t="s">
        <v>169</v>
      </c>
      <c r="AX1635" s="10" t="s">
        <v>169</v>
      </c>
      <c r="BF1635" s="12">
        <v>0.45</v>
      </c>
      <c r="BG1635" s="13">
        <v>167.30809478614901</v>
      </c>
      <c r="BH1635" s="96" t="str">
        <f>+VLOOKUP(G1635,Liste!$A$7:$G$50,3,FALSE)</f>
        <v>Pin d'Alep</v>
      </c>
      <c r="BI1635" s="96" t="str">
        <f>+VLOOKUP(H1635,Liste!$B$7:$G$50,5,FALSE)</f>
        <v>Pin d'Alep</v>
      </c>
      <c r="BJ1635" s="135">
        <f t="shared" si="494"/>
        <v>56</v>
      </c>
      <c r="BK1635" s="135" t="str">
        <f t="shared" si="496"/>
        <v>Pin d'Alep_F2_Classique_Pin d'Alep_56_</v>
      </c>
      <c r="BM1635" s="13">
        <v>45.321051334433498</v>
      </c>
      <c r="BN1635" s="13">
        <v>212.62914612058299</v>
      </c>
      <c r="BO1635" s="13" t="s">
        <v>169</v>
      </c>
      <c r="BP1635" s="13">
        <v>134.534925639471</v>
      </c>
      <c r="BQ1635" s="13">
        <v>6.9767882098606702</v>
      </c>
      <c r="BT1635" s="298" t="str">
        <f>+VLOOKUP(G1635,Liste!$A$7:$H$50,8,FALSE)</f>
        <v>Résineux</v>
      </c>
      <c r="BU1635" s="298">
        <f t="shared" si="497"/>
        <v>0</v>
      </c>
      <c r="BV1635" s="300">
        <f t="shared" si="498"/>
        <v>1</v>
      </c>
      <c r="BW1635" s="321">
        <v>0</v>
      </c>
      <c r="BX1635" s="298">
        <f t="shared" si="499"/>
        <v>0.43</v>
      </c>
      <c r="BY1635">
        <f t="shared" si="500"/>
        <v>0</v>
      </c>
      <c r="BZ1635" s="304">
        <f t="shared" si="501"/>
        <v>0</v>
      </c>
      <c r="CB1635" s="299">
        <v>0.6</v>
      </c>
      <c r="CC1635" s="299">
        <v>0.4</v>
      </c>
      <c r="CD1635">
        <f t="shared" si="502"/>
        <v>0</v>
      </c>
      <c r="CE1635">
        <f t="shared" si="503"/>
        <v>0</v>
      </c>
      <c r="CF1635">
        <f t="shared" si="504"/>
        <v>0</v>
      </c>
      <c r="CG1635">
        <f t="shared" si="505"/>
        <v>0</v>
      </c>
      <c r="CH1635">
        <f t="shared" si="506"/>
        <v>0</v>
      </c>
      <c r="CI1635">
        <f t="shared" si="507"/>
        <v>0</v>
      </c>
      <c r="CJ1635">
        <f t="shared" si="508"/>
        <v>0</v>
      </c>
      <c r="CK1635">
        <f t="shared" si="509"/>
        <v>0</v>
      </c>
      <c r="CL1635">
        <f t="shared" si="510"/>
        <v>0</v>
      </c>
      <c r="CM1635">
        <f t="shared" si="512"/>
        <v>0</v>
      </c>
      <c r="CN1635">
        <f t="shared" si="511"/>
        <v>0</v>
      </c>
      <c r="CO1635">
        <f t="shared" si="495"/>
        <v>0</v>
      </c>
    </row>
    <row r="1636" spans="2:93" x14ac:dyDescent="0.25">
      <c r="B1636" s="318">
        <v>44372</v>
      </c>
      <c r="C1636" s="4" t="s">
        <v>1524</v>
      </c>
      <c r="D1636" s="4" t="s">
        <v>1525</v>
      </c>
      <c r="F1636" s="4" t="s">
        <v>90</v>
      </c>
      <c r="G1636" s="5" t="s">
        <v>1514</v>
      </c>
      <c r="H1636" s="5" t="s">
        <v>1527</v>
      </c>
      <c r="I1636" s="5" t="s">
        <v>18</v>
      </c>
      <c r="J1636" s="5" t="s">
        <v>10</v>
      </c>
      <c r="K1636" s="5">
        <v>12</v>
      </c>
      <c r="L1636" s="5" t="s">
        <v>1528</v>
      </c>
      <c r="M1636" s="5">
        <v>1100</v>
      </c>
      <c r="N1636" s="5" t="s">
        <v>170</v>
      </c>
      <c r="O1636" s="6" t="s">
        <v>81</v>
      </c>
      <c r="P1636" s="6" t="s">
        <v>1530</v>
      </c>
      <c r="S1636" s="6">
        <v>18</v>
      </c>
      <c r="T1636" s="6">
        <v>4.34</v>
      </c>
      <c r="U1636" s="6">
        <v>1101</v>
      </c>
      <c r="V1636" s="6">
        <v>4.92</v>
      </c>
      <c r="W1636" s="6">
        <v>569</v>
      </c>
      <c r="X1636" s="6">
        <v>532</v>
      </c>
      <c r="Y1636" s="6">
        <v>0</v>
      </c>
      <c r="Z1636" s="6">
        <v>0</v>
      </c>
      <c r="AA1636" s="6">
        <v>0</v>
      </c>
      <c r="AB1636" s="6">
        <v>0</v>
      </c>
      <c r="AC1636" s="7">
        <v>57</v>
      </c>
      <c r="AD1636" s="7" t="s">
        <v>52</v>
      </c>
      <c r="AE1636" s="7">
        <v>13.13</v>
      </c>
      <c r="AF1636" s="7">
        <v>699</v>
      </c>
      <c r="AG1636" s="7">
        <v>26.32</v>
      </c>
      <c r="AH1636" s="7">
        <v>21.89</v>
      </c>
      <c r="AI1636" s="7">
        <v>25.28</v>
      </c>
      <c r="AJ1636" s="9">
        <v>146.22963755168499</v>
      </c>
      <c r="AK1636" s="9">
        <v>150.786502088687</v>
      </c>
      <c r="AL1636" s="9">
        <v>220.69919057107401</v>
      </c>
      <c r="AM1636" s="9">
        <v>35.108369116275</v>
      </c>
      <c r="AN1636" s="9">
        <v>0.61593630028552604</v>
      </c>
      <c r="AO1636" s="9">
        <v>0.655156512731082</v>
      </c>
      <c r="AP1636" s="9">
        <v>287.06857025866299</v>
      </c>
      <c r="AQ1636" s="9">
        <v>5.0362907062923297</v>
      </c>
      <c r="AR1636" s="9">
        <v>7.2409866291614504</v>
      </c>
      <c r="AS1636" s="8" t="s">
        <v>169</v>
      </c>
      <c r="AT1636" s="8" t="s">
        <v>169</v>
      </c>
      <c r="AU1636" s="10" t="s">
        <v>169</v>
      </c>
      <c r="AV1636" s="10">
        <v>0</v>
      </c>
      <c r="AW1636" s="8" t="s">
        <v>169</v>
      </c>
      <c r="AX1636" s="10" t="s">
        <v>169</v>
      </c>
      <c r="BF1636" s="12">
        <v>0.45</v>
      </c>
      <c r="BG1636" s="13">
        <v>172.97299061007899</v>
      </c>
      <c r="BH1636" s="96" t="str">
        <f>+VLOOKUP(G1636,Liste!$A$7:$G$50,3,FALSE)</f>
        <v>Pin d'Alep</v>
      </c>
      <c r="BI1636" s="96" t="str">
        <f>+VLOOKUP(H1636,Liste!$B$7:$G$50,5,FALSE)</f>
        <v>Pin d'Alep</v>
      </c>
      <c r="BJ1636" s="135">
        <f t="shared" si="494"/>
        <v>57</v>
      </c>
      <c r="BK1636" s="135" t="str">
        <f t="shared" si="496"/>
        <v>Pin d'Alep_F2_Classique_Pin d'Alep_57_</v>
      </c>
      <c r="BM1636" s="13">
        <v>46.674321813451499</v>
      </c>
      <c r="BN1636" s="13">
        <v>219.64731242353099</v>
      </c>
      <c r="BO1636" s="13" t="s">
        <v>169</v>
      </c>
      <c r="BP1636" s="13">
        <v>134.534925639471</v>
      </c>
      <c r="BQ1636" s="13">
        <v>6.9855341623519402</v>
      </c>
      <c r="BT1636" s="298" t="str">
        <f>+VLOOKUP(G1636,Liste!$A$7:$H$50,8,FALSE)</f>
        <v>Résineux</v>
      </c>
      <c r="BU1636" s="298">
        <f t="shared" si="497"/>
        <v>0</v>
      </c>
      <c r="BV1636" s="300">
        <f t="shared" si="498"/>
        <v>1</v>
      </c>
      <c r="BW1636" s="321">
        <v>0</v>
      </c>
      <c r="BX1636" s="298">
        <f t="shared" si="499"/>
        <v>0.43</v>
      </c>
      <c r="BY1636">
        <f t="shared" si="500"/>
        <v>0</v>
      </c>
      <c r="BZ1636" s="304">
        <f t="shared" si="501"/>
        <v>0</v>
      </c>
      <c r="CB1636" s="299">
        <v>0.6</v>
      </c>
      <c r="CC1636" s="299">
        <v>0.4</v>
      </c>
      <c r="CD1636">
        <f t="shared" si="502"/>
        <v>0</v>
      </c>
      <c r="CE1636">
        <f t="shared" si="503"/>
        <v>0</v>
      </c>
      <c r="CF1636">
        <f t="shared" si="504"/>
        <v>0</v>
      </c>
      <c r="CG1636">
        <f t="shared" si="505"/>
        <v>0</v>
      </c>
      <c r="CH1636">
        <f t="shared" si="506"/>
        <v>0</v>
      </c>
      <c r="CI1636">
        <f t="shared" si="507"/>
        <v>0</v>
      </c>
      <c r="CJ1636">
        <f t="shared" si="508"/>
        <v>0</v>
      </c>
      <c r="CK1636">
        <f t="shared" si="509"/>
        <v>0</v>
      </c>
      <c r="CL1636">
        <f t="shared" si="510"/>
        <v>0</v>
      </c>
      <c r="CM1636">
        <f t="shared" si="512"/>
        <v>0</v>
      </c>
      <c r="CN1636">
        <f t="shared" si="511"/>
        <v>0</v>
      </c>
      <c r="CO1636">
        <f t="shared" si="495"/>
        <v>0</v>
      </c>
    </row>
    <row r="1637" spans="2:93" x14ac:dyDescent="0.25">
      <c r="B1637" s="318">
        <v>44372</v>
      </c>
      <c r="C1637" s="4" t="s">
        <v>1524</v>
      </c>
      <c r="D1637" s="4" t="s">
        <v>1525</v>
      </c>
      <c r="F1637" s="4" t="s">
        <v>90</v>
      </c>
      <c r="G1637" s="5" t="s">
        <v>1514</v>
      </c>
      <c r="H1637" s="5" t="s">
        <v>1527</v>
      </c>
      <c r="I1637" s="5" t="s">
        <v>18</v>
      </c>
      <c r="J1637" s="5" t="s">
        <v>10</v>
      </c>
      <c r="K1637" s="5">
        <v>12</v>
      </c>
      <c r="L1637" s="5" t="s">
        <v>1528</v>
      </c>
      <c r="M1637" s="5">
        <v>1100</v>
      </c>
      <c r="N1637" s="5" t="s">
        <v>170</v>
      </c>
      <c r="O1637" s="6" t="s">
        <v>81</v>
      </c>
      <c r="P1637" s="6" t="s">
        <v>1530</v>
      </c>
      <c r="S1637" s="6">
        <v>18</v>
      </c>
      <c r="T1637" s="6">
        <v>4.34</v>
      </c>
      <c r="U1637" s="6">
        <v>1101</v>
      </c>
      <c r="V1637" s="6">
        <v>4.92</v>
      </c>
      <c r="W1637" s="6">
        <v>569</v>
      </c>
      <c r="X1637" s="6">
        <v>532</v>
      </c>
      <c r="Y1637" s="6">
        <v>0</v>
      </c>
      <c r="Z1637" s="6">
        <v>0</v>
      </c>
      <c r="AA1637" s="6">
        <v>0</v>
      </c>
      <c r="AB1637" s="6">
        <v>0</v>
      </c>
      <c r="AC1637" s="7">
        <v>58</v>
      </c>
      <c r="AD1637" s="7" t="s">
        <v>52</v>
      </c>
      <c r="AE1637" s="7">
        <v>13.29</v>
      </c>
      <c r="AF1637" s="7">
        <v>698</v>
      </c>
      <c r="AG1637" s="7">
        <v>26.94</v>
      </c>
      <c r="AH1637" s="7">
        <v>22.17</v>
      </c>
      <c r="AI1637" s="7">
        <v>25.63</v>
      </c>
      <c r="AJ1637" s="9">
        <v>151.22759095524401</v>
      </c>
      <c r="AK1637" s="9">
        <v>155.96173458771401</v>
      </c>
      <c r="AL1637" s="9">
        <v>227.672003831453</v>
      </c>
      <c r="AM1637" s="9">
        <v>35.763525629006097</v>
      </c>
      <c r="AN1637" s="9">
        <v>0.61661251084493196</v>
      </c>
      <c r="AO1637" s="9">
        <v>0.64882070574695705</v>
      </c>
      <c r="AP1637" s="9">
        <v>294.30955688782399</v>
      </c>
      <c r="AQ1637" s="9">
        <v>5.0743027049624896</v>
      </c>
      <c r="AR1637" s="9">
        <v>7.2242453777254196</v>
      </c>
      <c r="AS1637" s="8" t="s">
        <v>169</v>
      </c>
      <c r="AT1637" s="8" t="s">
        <v>169</v>
      </c>
      <c r="AU1637" s="10" t="s">
        <v>169</v>
      </c>
      <c r="AV1637" s="10">
        <v>0</v>
      </c>
      <c r="AW1637" s="8" t="s">
        <v>169</v>
      </c>
      <c r="AX1637" s="10" t="s">
        <v>169</v>
      </c>
      <c r="BF1637" s="12">
        <v>0.45</v>
      </c>
      <c r="BG1637" s="13">
        <v>178.43793300290201</v>
      </c>
      <c r="BH1637" s="96" t="str">
        <f>+VLOOKUP(G1637,Liste!$A$7:$G$50,3,FALSE)</f>
        <v>Pin d'Alep</v>
      </c>
      <c r="BI1637" s="96" t="str">
        <f>+VLOOKUP(H1637,Liste!$B$7:$G$50,5,FALSE)</f>
        <v>Pin d'Alep</v>
      </c>
      <c r="BJ1637" s="135">
        <f t="shared" si="494"/>
        <v>58</v>
      </c>
      <c r="BK1637" s="135" t="str">
        <f t="shared" si="496"/>
        <v>Pin d'Alep_F2_Classique_Pin d'Alep_58_</v>
      </c>
      <c r="BM1637" s="13">
        <v>47.974943411411402</v>
      </c>
      <c r="BN1637" s="13">
        <v>226.41287641431299</v>
      </c>
      <c r="BO1637" s="13" t="s">
        <v>169</v>
      </c>
      <c r="BP1637" s="13">
        <v>134.534925639471</v>
      </c>
      <c r="BQ1637" s="13">
        <v>6.9656486120945802</v>
      </c>
      <c r="BT1637" s="298" t="str">
        <f>+VLOOKUP(G1637,Liste!$A$7:$H$50,8,FALSE)</f>
        <v>Résineux</v>
      </c>
      <c r="BU1637" s="298">
        <f t="shared" si="497"/>
        <v>0</v>
      </c>
      <c r="BV1637" s="300">
        <f t="shared" si="498"/>
        <v>1</v>
      </c>
      <c r="BW1637" s="321">
        <v>0</v>
      </c>
      <c r="BX1637" s="298">
        <f t="shared" si="499"/>
        <v>0.43</v>
      </c>
      <c r="BY1637">
        <f t="shared" si="500"/>
        <v>0</v>
      </c>
      <c r="BZ1637" s="304">
        <f t="shared" si="501"/>
        <v>0</v>
      </c>
      <c r="CB1637" s="299">
        <v>0.6</v>
      </c>
      <c r="CC1637" s="299">
        <v>0.4</v>
      </c>
      <c r="CD1637">
        <f t="shared" si="502"/>
        <v>0</v>
      </c>
      <c r="CE1637">
        <f t="shared" si="503"/>
        <v>0</v>
      </c>
      <c r="CF1637">
        <f t="shared" si="504"/>
        <v>0</v>
      </c>
      <c r="CG1637">
        <f t="shared" si="505"/>
        <v>0</v>
      </c>
      <c r="CH1637">
        <f t="shared" si="506"/>
        <v>0</v>
      </c>
      <c r="CI1637">
        <f t="shared" si="507"/>
        <v>0</v>
      </c>
      <c r="CJ1637">
        <f t="shared" si="508"/>
        <v>0</v>
      </c>
      <c r="CK1637">
        <f t="shared" si="509"/>
        <v>0</v>
      </c>
      <c r="CL1637">
        <f t="shared" si="510"/>
        <v>0</v>
      </c>
      <c r="CM1637">
        <f t="shared" si="512"/>
        <v>0</v>
      </c>
      <c r="CN1637">
        <f t="shared" si="511"/>
        <v>0</v>
      </c>
      <c r="CO1637">
        <f t="shared" si="495"/>
        <v>0</v>
      </c>
    </row>
    <row r="1638" spans="2:93" x14ac:dyDescent="0.25">
      <c r="B1638" s="318">
        <v>44372</v>
      </c>
      <c r="C1638" s="4" t="s">
        <v>1524</v>
      </c>
      <c r="D1638" s="4" t="s">
        <v>1525</v>
      </c>
      <c r="F1638" s="4" t="s">
        <v>90</v>
      </c>
      <c r="G1638" s="5" t="s">
        <v>1514</v>
      </c>
      <c r="H1638" s="5" t="s">
        <v>1527</v>
      </c>
      <c r="I1638" s="5" t="s">
        <v>18</v>
      </c>
      <c r="J1638" s="5" t="s">
        <v>10</v>
      </c>
      <c r="K1638" s="5">
        <v>12</v>
      </c>
      <c r="L1638" s="5" t="s">
        <v>1528</v>
      </c>
      <c r="M1638" s="5">
        <v>1100</v>
      </c>
      <c r="N1638" s="5" t="s">
        <v>170</v>
      </c>
      <c r="O1638" s="6" t="s">
        <v>81</v>
      </c>
      <c r="P1638" s="6" t="s">
        <v>1530</v>
      </c>
      <c r="S1638" s="6">
        <v>18</v>
      </c>
      <c r="T1638" s="6">
        <v>4.34</v>
      </c>
      <c r="U1638" s="6">
        <v>1101</v>
      </c>
      <c r="V1638" s="6">
        <v>4.92</v>
      </c>
      <c r="W1638" s="6">
        <v>569</v>
      </c>
      <c r="X1638" s="6">
        <v>532</v>
      </c>
      <c r="Y1638" s="6">
        <v>0</v>
      </c>
      <c r="Z1638" s="6">
        <v>0</v>
      </c>
      <c r="AA1638" s="6">
        <v>0</v>
      </c>
      <c r="AB1638" s="6">
        <v>0</v>
      </c>
      <c r="AC1638" s="7">
        <v>59</v>
      </c>
      <c r="AD1638" s="7" t="s">
        <v>52</v>
      </c>
      <c r="AE1638" s="7">
        <v>13.44</v>
      </c>
      <c r="AF1638" s="7">
        <v>697</v>
      </c>
      <c r="AG1638" s="7">
        <v>27.56</v>
      </c>
      <c r="AH1638" s="7">
        <v>22.44</v>
      </c>
      <c r="AI1638" s="7">
        <v>25.97</v>
      </c>
      <c r="AJ1638" s="9">
        <v>156.237388388998</v>
      </c>
      <c r="AK1638" s="9">
        <v>161.150755645929</v>
      </c>
      <c r="AL1638" s="9">
        <v>234.65890420859299</v>
      </c>
      <c r="AM1638" s="9">
        <v>36.412346334753003</v>
      </c>
      <c r="AN1638" s="9">
        <v>0.61715841245344105</v>
      </c>
      <c r="AO1638" s="9">
        <v>0.64224766139359002</v>
      </c>
      <c r="AP1638" s="9">
        <v>301.53380226554998</v>
      </c>
      <c r="AQ1638" s="9">
        <v>5.1107424112805004</v>
      </c>
      <c r="AR1638" s="9">
        <v>7.2296632808669896</v>
      </c>
      <c r="AS1638" s="8" t="s">
        <v>169</v>
      </c>
      <c r="AT1638" s="8" t="s">
        <v>169</v>
      </c>
      <c r="AU1638" s="10" t="s">
        <v>169</v>
      </c>
      <c r="AV1638" s="10">
        <v>0</v>
      </c>
      <c r="AW1638" s="8" t="s">
        <v>169</v>
      </c>
      <c r="AX1638" s="10" t="s">
        <v>169</v>
      </c>
      <c r="BF1638" s="12">
        <v>0.45</v>
      </c>
      <c r="BG1638" s="13">
        <v>183.91391617348501</v>
      </c>
      <c r="BH1638" s="96" t="str">
        <f>+VLOOKUP(G1638,Liste!$A$7:$G$50,3,FALSE)</f>
        <v>Pin d'Alep</v>
      </c>
      <c r="BI1638" s="96" t="str">
        <f>+VLOOKUP(H1638,Liste!$B$7:$G$50,5,FALSE)</f>
        <v>Pin d'Alep</v>
      </c>
      <c r="BJ1638" s="135">
        <f t="shared" si="494"/>
        <v>59</v>
      </c>
      <c r="BK1638" s="135" t="str">
        <f t="shared" si="496"/>
        <v>Pin d'Alep_F2_Classique_Pin d'Alep_59_</v>
      </c>
      <c r="BM1638" s="13">
        <v>49.273549573075698</v>
      </c>
      <c r="BN1638" s="13">
        <v>233.18746574656001</v>
      </c>
      <c r="BO1638" s="13" t="s">
        <v>169</v>
      </c>
      <c r="BP1638" s="13">
        <v>134.534925639471</v>
      </c>
      <c r="BQ1638" s="13">
        <v>6.9672376710810804</v>
      </c>
      <c r="BT1638" s="298" t="str">
        <f>+VLOOKUP(G1638,Liste!$A$7:$H$50,8,FALSE)</f>
        <v>Résineux</v>
      </c>
      <c r="BU1638" s="298">
        <f t="shared" si="497"/>
        <v>0</v>
      </c>
      <c r="BV1638" s="300">
        <f t="shared" si="498"/>
        <v>1</v>
      </c>
      <c r="BW1638" s="321">
        <v>0</v>
      </c>
      <c r="BX1638" s="298">
        <f t="shared" si="499"/>
        <v>0.43</v>
      </c>
      <c r="BY1638">
        <f t="shared" si="500"/>
        <v>0</v>
      </c>
      <c r="BZ1638" s="304">
        <f t="shared" si="501"/>
        <v>0</v>
      </c>
      <c r="CB1638" s="299">
        <v>0.6</v>
      </c>
      <c r="CC1638" s="299">
        <v>0.4</v>
      </c>
      <c r="CD1638">
        <f t="shared" si="502"/>
        <v>0</v>
      </c>
      <c r="CE1638">
        <f t="shared" si="503"/>
        <v>0</v>
      </c>
      <c r="CF1638">
        <f t="shared" si="504"/>
        <v>0</v>
      </c>
      <c r="CG1638">
        <f t="shared" si="505"/>
        <v>0</v>
      </c>
      <c r="CH1638">
        <f t="shared" si="506"/>
        <v>0</v>
      </c>
      <c r="CI1638">
        <f t="shared" si="507"/>
        <v>0</v>
      </c>
      <c r="CJ1638">
        <f t="shared" si="508"/>
        <v>0</v>
      </c>
      <c r="CK1638">
        <f t="shared" si="509"/>
        <v>0</v>
      </c>
      <c r="CL1638">
        <f t="shared" si="510"/>
        <v>0</v>
      </c>
      <c r="CM1638">
        <f t="shared" si="512"/>
        <v>0</v>
      </c>
      <c r="CN1638">
        <f t="shared" si="511"/>
        <v>0</v>
      </c>
      <c r="CO1638">
        <f t="shared" si="495"/>
        <v>0</v>
      </c>
    </row>
    <row r="1639" spans="2:93" x14ac:dyDescent="0.25">
      <c r="B1639" s="318">
        <v>44372</v>
      </c>
      <c r="C1639" s="4" t="s">
        <v>1524</v>
      </c>
      <c r="D1639" s="4" t="s">
        <v>1525</v>
      </c>
      <c r="F1639" s="4" t="s">
        <v>90</v>
      </c>
      <c r="G1639" s="5" t="s">
        <v>1514</v>
      </c>
      <c r="H1639" s="5" t="s">
        <v>1527</v>
      </c>
      <c r="I1639" s="5" t="s">
        <v>18</v>
      </c>
      <c r="J1639" s="5" t="s">
        <v>10</v>
      </c>
      <c r="K1639" s="5">
        <v>12</v>
      </c>
      <c r="L1639" s="5" t="s">
        <v>1528</v>
      </c>
      <c r="M1639" s="5">
        <v>1100</v>
      </c>
      <c r="N1639" s="5" t="s">
        <v>170</v>
      </c>
      <c r="O1639" s="6" t="s">
        <v>81</v>
      </c>
      <c r="P1639" s="6" t="s">
        <v>1530</v>
      </c>
      <c r="S1639" s="6">
        <v>18</v>
      </c>
      <c r="T1639" s="6">
        <v>4.34</v>
      </c>
      <c r="U1639" s="6">
        <v>1101</v>
      </c>
      <c r="V1639" s="6">
        <v>4.92</v>
      </c>
      <c r="W1639" s="6">
        <v>569</v>
      </c>
      <c r="X1639" s="6">
        <v>532</v>
      </c>
      <c r="Y1639" s="6">
        <v>0</v>
      </c>
      <c r="Z1639" s="6">
        <v>0</v>
      </c>
      <c r="AA1639" s="6">
        <v>0</v>
      </c>
      <c r="AB1639" s="6">
        <v>0</v>
      </c>
      <c r="AC1639" s="7">
        <v>60</v>
      </c>
      <c r="AD1639" s="7" t="s">
        <v>52</v>
      </c>
      <c r="AE1639" s="7">
        <v>13.58</v>
      </c>
      <c r="AF1639" s="7">
        <v>696</v>
      </c>
      <c r="AG1639" s="7">
        <v>28.16</v>
      </c>
      <c r="AH1639" s="7">
        <v>22.7</v>
      </c>
      <c r="AI1639" s="7">
        <v>26.31</v>
      </c>
      <c r="AJ1639" s="9">
        <v>161.198234329575</v>
      </c>
      <c r="AK1639" s="9">
        <v>166.28835436428199</v>
      </c>
      <c r="AL1639" s="9">
        <v>241.55675392759599</v>
      </c>
      <c r="AM1639" s="9">
        <v>37.0545939961466</v>
      </c>
      <c r="AN1639" s="9">
        <v>0.61757656660244298</v>
      </c>
      <c r="AO1639" s="9">
        <v>0.63629299243019899</v>
      </c>
      <c r="AP1639" s="9">
        <v>308.76346554641702</v>
      </c>
      <c r="AQ1639" s="9">
        <v>5.1460577591069399</v>
      </c>
      <c r="AR1639" s="9">
        <v>7.1934480719531297</v>
      </c>
      <c r="AS1639" s="8" t="s">
        <v>169</v>
      </c>
      <c r="AT1639" s="8" t="s">
        <v>169</v>
      </c>
      <c r="AU1639" s="10" t="s">
        <v>169</v>
      </c>
      <c r="AV1639" s="10">
        <v>0</v>
      </c>
      <c r="AW1639" s="8" t="s">
        <v>169</v>
      </c>
      <c r="AX1639" s="10" t="s">
        <v>169</v>
      </c>
      <c r="BF1639" s="12">
        <v>0.45</v>
      </c>
      <c r="BG1639" s="13">
        <v>189.32010589075301</v>
      </c>
      <c r="BH1639" s="96" t="str">
        <f>+VLOOKUP(G1639,Liste!$A$7:$G$50,3,FALSE)</f>
        <v>Pin d'Alep</v>
      </c>
      <c r="BI1639" s="96" t="str">
        <f>+VLOOKUP(H1639,Liste!$B$7:$G$50,5,FALSE)</f>
        <v>Pin d'Alep</v>
      </c>
      <c r="BJ1639" s="135">
        <f t="shared" si="494"/>
        <v>60</v>
      </c>
      <c r="BK1639" s="135" t="str">
        <f t="shared" si="496"/>
        <v>Pin d'Alep_F2_Classique_Pin d'Alep_60_</v>
      </c>
      <c r="BM1639" s="13">
        <v>50.551195854788702</v>
      </c>
      <c r="BN1639" s="13">
        <v>239.87130174554201</v>
      </c>
      <c r="BO1639" s="13" t="s">
        <v>169</v>
      </c>
      <c r="BP1639" s="13">
        <v>134.534925639471</v>
      </c>
      <c r="BQ1639" s="13">
        <v>6.9288220800756903</v>
      </c>
      <c r="BT1639" s="298" t="str">
        <f>+VLOOKUP(G1639,Liste!$A$7:$H$50,8,FALSE)</f>
        <v>Résineux</v>
      </c>
      <c r="BU1639" s="298">
        <f t="shared" si="497"/>
        <v>0</v>
      </c>
      <c r="BV1639" s="300">
        <f t="shared" si="498"/>
        <v>1</v>
      </c>
      <c r="BW1639" s="321">
        <v>0</v>
      </c>
      <c r="BX1639" s="298">
        <f t="shared" si="499"/>
        <v>0.43</v>
      </c>
      <c r="BY1639">
        <f t="shared" si="500"/>
        <v>0</v>
      </c>
      <c r="BZ1639" s="304">
        <f t="shared" si="501"/>
        <v>0</v>
      </c>
      <c r="CB1639" s="299">
        <v>0.6</v>
      </c>
      <c r="CC1639" s="299">
        <v>0.4</v>
      </c>
      <c r="CD1639">
        <f t="shared" si="502"/>
        <v>0</v>
      </c>
      <c r="CE1639">
        <f t="shared" si="503"/>
        <v>0</v>
      </c>
      <c r="CF1639">
        <f t="shared" si="504"/>
        <v>0</v>
      </c>
      <c r="CG1639">
        <f t="shared" si="505"/>
        <v>0</v>
      </c>
      <c r="CH1639">
        <f t="shared" si="506"/>
        <v>0</v>
      </c>
      <c r="CI1639">
        <f t="shared" si="507"/>
        <v>0</v>
      </c>
      <c r="CJ1639">
        <f t="shared" si="508"/>
        <v>0</v>
      </c>
      <c r="CK1639">
        <f t="shared" si="509"/>
        <v>0</v>
      </c>
      <c r="CL1639">
        <f t="shared" si="510"/>
        <v>0</v>
      </c>
      <c r="CM1639">
        <f t="shared" si="512"/>
        <v>0</v>
      </c>
      <c r="CN1639">
        <f t="shared" si="511"/>
        <v>0</v>
      </c>
      <c r="CO1639">
        <f t="shared" si="495"/>
        <v>0</v>
      </c>
    </row>
    <row r="1640" spans="2:93" x14ac:dyDescent="0.25">
      <c r="B1640" s="318">
        <v>44372</v>
      </c>
      <c r="C1640" s="4" t="s">
        <v>1524</v>
      </c>
      <c r="D1640" s="4" t="s">
        <v>1525</v>
      </c>
      <c r="F1640" s="4" t="s">
        <v>90</v>
      </c>
      <c r="G1640" s="5" t="s">
        <v>1514</v>
      </c>
      <c r="H1640" s="5" t="s">
        <v>1527</v>
      </c>
      <c r="I1640" s="5" t="s">
        <v>18</v>
      </c>
      <c r="J1640" s="5" t="s">
        <v>10</v>
      </c>
      <c r="K1640" s="5">
        <v>12</v>
      </c>
      <c r="L1640" s="5" t="s">
        <v>1528</v>
      </c>
      <c r="M1640" s="5">
        <v>1100</v>
      </c>
      <c r="N1640" s="5" t="s">
        <v>170</v>
      </c>
      <c r="O1640" s="6" t="s">
        <v>81</v>
      </c>
      <c r="P1640" s="6" t="s">
        <v>1530</v>
      </c>
      <c r="S1640" s="6">
        <v>18</v>
      </c>
      <c r="T1640" s="6">
        <v>4.34</v>
      </c>
      <c r="U1640" s="6">
        <v>1101</v>
      </c>
      <c r="V1640" s="6">
        <v>4.92</v>
      </c>
      <c r="W1640" s="6">
        <v>569</v>
      </c>
      <c r="X1640" s="6">
        <v>532</v>
      </c>
      <c r="Y1640" s="6">
        <v>0</v>
      </c>
      <c r="Z1640" s="6">
        <v>0</v>
      </c>
      <c r="AA1640" s="6">
        <v>0</v>
      </c>
      <c r="AB1640" s="6">
        <v>0</v>
      </c>
      <c r="AC1640" s="7">
        <v>61</v>
      </c>
      <c r="AD1640" s="7" t="s">
        <v>52</v>
      </c>
      <c r="AE1640" s="7">
        <v>13.73</v>
      </c>
      <c r="AF1640" s="7">
        <v>696</v>
      </c>
      <c r="AG1640" s="7">
        <v>28.8</v>
      </c>
      <c r="AH1640" s="7">
        <v>22.95</v>
      </c>
      <c r="AI1640" s="7">
        <v>26.64</v>
      </c>
      <c r="AJ1640" s="9">
        <v>166.35231286343901</v>
      </c>
      <c r="AK1640" s="9">
        <v>171.627135396564</v>
      </c>
      <c r="AL1640" s="9">
        <v>248.75020199954901</v>
      </c>
      <c r="AM1640" s="9">
        <v>37.6908869885768</v>
      </c>
      <c r="AN1640" s="9">
        <v>0.61788339325535702</v>
      </c>
      <c r="AO1640" s="9">
        <v>0.62881490235722004</v>
      </c>
      <c r="AP1640" s="9">
        <v>315.95691361836998</v>
      </c>
      <c r="AQ1640" s="9">
        <v>5.17962153472737</v>
      </c>
      <c r="AR1640" s="9">
        <v>7.2146906778008297</v>
      </c>
      <c r="AS1640" s="8" t="s">
        <v>169</v>
      </c>
      <c r="AT1640" s="8" t="s">
        <v>169</v>
      </c>
      <c r="AU1640" s="10" t="s">
        <v>169</v>
      </c>
      <c r="AV1640" s="10">
        <v>0</v>
      </c>
      <c r="AW1640" s="8" t="s">
        <v>169</v>
      </c>
      <c r="AX1640" s="10" t="s">
        <v>169</v>
      </c>
      <c r="BF1640" s="12">
        <v>0.45</v>
      </c>
      <c r="BG1640" s="13">
        <v>194.95797081714599</v>
      </c>
      <c r="BH1640" s="96" t="str">
        <f>+VLOOKUP(G1640,Liste!$A$7:$G$50,3,FALSE)</f>
        <v>Pin d'Alep</v>
      </c>
      <c r="BI1640" s="96" t="str">
        <f>+VLOOKUP(H1640,Liste!$B$7:$G$50,5,FALSE)</f>
        <v>Pin d'Alep</v>
      </c>
      <c r="BJ1640" s="135">
        <f t="shared" si="494"/>
        <v>61</v>
      </c>
      <c r="BK1640" s="135" t="str">
        <f t="shared" si="496"/>
        <v>Pin d'Alep_F2_Classique_Pin d'Alep_61_</v>
      </c>
      <c r="BM1640" s="13">
        <v>51.879079239797797</v>
      </c>
      <c r="BN1640" s="13">
        <v>246.83705005694401</v>
      </c>
      <c r="BO1640" s="13" t="s">
        <v>169</v>
      </c>
      <c r="BP1640" s="13">
        <v>134.534925639471</v>
      </c>
      <c r="BQ1640" s="13">
        <v>6.9458512185996097</v>
      </c>
      <c r="BT1640" s="298" t="str">
        <f>+VLOOKUP(G1640,Liste!$A$7:$H$50,8,FALSE)</f>
        <v>Résineux</v>
      </c>
      <c r="BU1640" s="298">
        <f t="shared" si="497"/>
        <v>0</v>
      </c>
      <c r="BV1640" s="300">
        <f t="shared" si="498"/>
        <v>1</v>
      </c>
      <c r="BW1640" s="321">
        <v>0</v>
      </c>
      <c r="BX1640" s="298">
        <f t="shared" si="499"/>
        <v>0.43</v>
      </c>
      <c r="BY1640">
        <f t="shared" si="500"/>
        <v>0</v>
      </c>
      <c r="BZ1640" s="304">
        <f t="shared" si="501"/>
        <v>0</v>
      </c>
      <c r="CB1640" s="299">
        <v>0.6</v>
      </c>
      <c r="CC1640" s="299">
        <v>0.4</v>
      </c>
      <c r="CD1640">
        <f t="shared" si="502"/>
        <v>0</v>
      </c>
      <c r="CE1640">
        <f t="shared" si="503"/>
        <v>0</v>
      </c>
      <c r="CF1640">
        <f t="shared" si="504"/>
        <v>0</v>
      </c>
      <c r="CG1640">
        <f t="shared" si="505"/>
        <v>0</v>
      </c>
      <c r="CH1640">
        <f t="shared" si="506"/>
        <v>0</v>
      </c>
      <c r="CI1640">
        <f t="shared" si="507"/>
        <v>0</v>
      </c>
      <c r="CJ1640">
        <f t="shared" si="508"/>
        <v>0</v>
      </c>
      <c r="CK1640">
        <f t="shared" si="509"/>
        <v>0</v>
      </c>
      <c r="CL1640">
        <f t="shared" si="510"/>
        <v>0</v>
      </c>
      <c r="CM1640">
        <f t="shared" si="512"/>
        <v>0</v>
      </c>
      <c r="CN1640">
        <f t="shared" si="511"/>
        <v>0</v>
      </c>
      <c r="CO1640">
        <f t="shared" si="495"/>
        <v>0</v>
      </c>
    </row>
    <row r="1641" spans="2:93" x14ac:dyDescent="0.25">
      <c r="B1641" s="318">
        <v>44372</v>
      </c>
      <c r="C1641" s="4" t="s">
        <v>1524</v>
      </c>
      <c r="D1641" s="4" t="s">
        <v>1525</v>
      </c>
      <c r="F1641" s="4" t="s">
        <v>90</v>
      </c>
      <c r="G1641" s="5" t="s">
        <v>1514</v>
      </c>
      <c r="H1641" s="5" t="s">
        <v>1527</v>
      </c>
      <c r="I1641" s="5" t="s">
        <v>18</v>
      </c>
      <c r="J1641" s="5" t="s">
        <v>10</v>
      </c>
      <c r="K1641" s="5">
        <v>12</v>
      </c>
      <c r="L1641" s="5" t="s">
        <v>1528</v>
      </c>
      <c r="M1641" s="5">
        <v>1100</v>
      </c>
      <c r="N1641" s="5" t="s">
        <v>170</v>
      </c>
      <c r="O1641" s="6" t="s">
        <v>81</v>
      </c>
      <c r="P1641" s="6" t="s">
        <v>1530</v>
      </c>
      <c r="S1641" s="6">
        <v>18</v>
      </c>
      <c r="T1641" s="6">
        <v>4.34</v>
      </c>
      <c r="U1641" s="6">
        <v>1101</v>
      </c>
      <c r="V1641" s="6">
        <v>4.92</v>
      </c>
      <c r="W1641" s="6">
        <v>569</v>
      </c>
      <c r="X1641" s="6">
        <v>532</v>
      </c>
      <c r="Y1641" s="6">
        <v>0</v>
      </c>
      <c r="Z1641" s="6">
        <v>0</v>
      </c>
      <c r="AA1641" s="6">
        <v>0</v>
      </c>
      <c r="AB1641" s="6">
        <v>0</v>
      </c>
      <c r="AC1641" s="7">
        <v>62</v>
      </c>
      <c r="AD1641" s="7" t="s">
        <v>52</v>
      </c>
      <c r="AE1641" s="7">
        <v>13.87</v>
      </c>
      <c r="AF1641" s="7">
        <v>696</v>
      </c>
      <c r="AG1641" s="7">
        <v>29.43</v>
      </c>
      <c r="AH1641" s="7">
        <v>23.2</v>
      </c>
      <c r="AI1641" s="7">
        <v>26.97</v>
      </c>
      <c r="AJ1641" s="9">
        <v>171.541998620264</v>
      </c>
      <c r="AK1641" s="9">
        <v>177.000738245614</v>
      </c>
      <c r="AL1641" s="9">
        <v>255.96489267735001</v>
      </c>
      <c r="AM1641" s="9">
        <v>38.319701890933999</v>
      </c>
      <c r="AN1641" s="9">
        <v>0.61805970791829101</v>
      </c>
      <c r="AO1641" s="9">
        <v>0.62161091624328402</v>
      </c>
      <c r="AP1641" s="9">
        <v>323.17160429617098</v>
      </c>
      <c r="AQ1641" s="9">
        <v>5.2124452305834001</v>
      </c>
      <c r="AR1641" s="9">
        <v>7.1631476831479404</v>
      </c>
      <c r="AS1641" s="8" t="s">
        <v>169</v>
      </c>
      <c r="AT1641" s="8" t="s">
        <v>169</v>
      </c>
      <c r="AU1641" s="10" t="s">
        <v>169</v>
      </c>
      <c r="AV1641" s="10">
        <v>0</v>
      </c>
      <c r="AW1641" s="8" t="s">
        <v>169</v>
      </c>
      <c r="AX1641" s="10" t="s">
        <v>169</v>
      </c>
      <c r="BF1641" s="12">
        <v>0.45</v>
      </c>
      <c r="BG1641" s="13">
        <v>200.61248463587299</v>
      </c>
      <c r="BH1641" s="96" t="str">
        <f>+VLOOKUP(G1641,Liste!$A$7:$G$50,3,FALSE)</f>
        <v>Pin d'Alep</v>
      </c>
      <c r="BI1641" s="96" t="str">
        <f>+VLOOKUP(H1641,Liste!$B$7:$G$50,5,FALSE)</f>
        <v>Pin d'Alep</v>
      </c>
      <c r="BJ1641" s="135">
        <f t="shared" si="494"/>
        <v>62</v>
      </c>
      <c r="BK1641" s="135" t="str">
        <f t="shared" si="496"/>
        <v>Pin d'Alep_F2_Classique_Pin d'Alep_62_</v>
      </c>
      <c r="BM1641" s="13">
        <v>53.206401354369298</v>
      </c>
      <c r="BN1641" s="13">
        <v>253.81888599024199</v>
      </c>
      <c r="BO1641" s="13" t="s">
        <v>169</v>
      </c>
      <c r="BP1641" s="13">
        <v>134.534925639471</v>
      </c>
      <c r="BQ1641" s="13">
        <v>6.8929129033965104</v>
      </c>
      <c r="BT1641" s="298" t="str">
        <f>+VLOOKUP(G1641,Liste!$A$7:$H$50,8,FALSE)</f>
        <v>Résineux</v>
      </c>
      <c r="BU1641" s="298">
        <f t="shared" si="497"/>
        <v>0</v>
      </c>
      <c r="BV1641" s="300">
        <f t="shared" si="498"/>
        <v>1</v>
      </c>
      <c r="BW1641" s="321">
        <v>0</v>
      </c>
      <c r="BX1641" s="298">
        <f t="shared" si="499"/>
        <v>0.43</v>
      </c>
      <c r="BY1641">
        <f t="shared" si="500"/>
        <v>0</v>
      </c>
      <c r="BZ1641" s="304">
        <f t="shared" si="501"/>
        <v>0</v>
      </c>
      <c r="CB1641" s="299">
        <v>0.6</v>
      </c>
      <c r="CC1641" s="299">
        <v>0.4</v>
      </c>
      <c r="CD1641">
        <f t="shared" si="502"/>
        <v>0</v>
      </c>
      <c r="CE1641">
        <f t="shared" si="503"/>
        <v>0</v>
      </c>
      <c r="CF1641">
        <f t="shared" si="504"/>
        <v>0</v>
      </c>
      <c r="CG1641">
        <f t="shared" si="505"/>
        <v>0</v>
      </c>
      <c r="CH1641">
        <f t="shared" si="506"/>
        <v>0</v>
      </c>
      <c r="CI1641">
        <f t="shared" si="507"/>
        <v>0</v>
      </c>
      <c r="CJ1641">
        <f t="shared" si="508"/>
        <v>0</v>
      </c>
      <c r="CK1641">
        <f t="shared" si="509"/>
        <v>0</v>
      </c>
      <c r="CL1641">
        <f t="shared" si="510"/>
        <v>0</v>
      </c>
      <c r="CM1641">
        <f t="shared" si="512"/>
        <v>0</v>
      </c>
      <c r="CN1641">
        <f t="shared" si="511"/>
        <v>0</v>
      </c>
      <c r="CO1641">
        <f t="shared" si="495"/>
        <v>0</v>
      </c>
    </row>
    <row r="1642" spans="2:93" x14ac:dyDescent="0.25">
      <c r="B1642" s="318">
        <v>44372</v>
      </c>
      <c r="C1642" s="4" t="s">
        <v>1524</v>
      </c>
      <c r="D1642" s="4" t="s">
        <v>1525</v>
      </c>
      <c r="F1642" s="4" t="s">
        <v>90</v>
      </c>
      <c r="G1642" s="5" t="s">
        <v>1514</v>
      </c>
      <c r="H1642" s="5" t="s">
        <v>1527</v>
      </c>
      <c r="I1642" s="5" t="s">
        <v>18</v>
      </c>
      <c r="J1642" s="5" t="s">
        <v>10</v>
      </c>
      <c r="K1642" s="5">
        <v>12</v>
      </c>
      <c r="L1642" s="5" t="s">
        <v>1528</v>
      </c>
      <c r="M1642" s="5">
        <v>1100</v>
      </c>
      <c r="N1642" s="5" t="s">
        <v>170</v>
      </c>
      <c r="O1642" s="6" t="s">
        <v>81</v>
      </c>
      <c r="P1642" s="6" t="s">
        <v>1530</v>
      </c>
      <c r="S1642" s="6">
        <v>18</v>
      </c>
      <c r="T1642" s="6">
        <v>4.34</v>
      </c>
      <c r="U1642" s="6">
        <v>1101</v>
      </c>
      <c r="V1642" s="6">
        <v>4.92</v>
      </c>
      <c r="W1642" s="6">
        <v>569</v>
      </c>
      <c r="X1642" s="6">
        <v>532</v>
      </c>
      <c r="Y1642" s="6">
        <v>0</v>
      </c>
      <c r="Z1642" s="6">
        <v>0</v>
      </c>
      <c r="AA1642" s="6">
        <v>0</v>
      </c>
      <c r="AB1642" s="6">
        <v>0</v>
      </c>
      <c r="AC1642" s="7">
        <v>63</v>
      </c>
      <c r="AD1642" s="7" t="s">
        <v>52</v>
      </c>
      <c r="AE1642" s="7">
        <v>14.01</v>
      </c>
      <c r="AF1642" s="7">
        <v>695</v>
      </c>
      <c r="AG1642" s="7">
        <v>30.01</v>
      </c>
      <c r="AH1642" s="7">
        <v>23.45</v>
      </c>
      <c r="AI1642" s="7">
        <v>27.3</v>
      </c>
      <c r="AJ1642" s="9">
        <v>176.48200654382899</v>
      </c>
      <c r="AK1642" s="9">
        <v>182.11929388148599</v>
      </c>
      <c r="AL1642" s="9">
        <v>262.81371013882801</v>
      </c>
      <c r="AM1642" s="9">
        <v>38.941312807177297</v>
      </c>
      <c r="AN1642" s="9">
        <v>0.61811607630440202</v>
      </c>
      <c r="AO1642" s="9">
        <v>0.497685249111399</v>
      </c>
      <c r="AP1642" s="9">
        <v>330.33475197931801</v>
      </c>
      <c r="AQ1642" s="9">
        <v>5.2434087615764797</v>
      </c>
      <c r="AR1642" s="9">
        <v>5.6312083832668201</v>
      </c>
      <c r="AS1642" s="8" t="s">
        <v>169</v>
      </c>
      <c r="AT1642" s="8" t="s">
        <v>169</v>
      </c>
      <c r="AU1642" s="10" t="s">
        <v>169</v>
      </c>
      <c r="AV1642" s="10">
        <v>0</v>
      </c>
      <c r="AW1642" s="8" t="s">
        <v>169</v>
      </c>
      <c r="AX1642" s="10" t="s">
        <v>169</v>
      </c>
      <c r="BF1642" s="12">
        <v>0.45</v>
      </c>
      <c r="BG1642" s="13">
        <v>205.980245321306</v>
      </c>
      <c r="BH1642" s="96" t="str">
        <f>+VLOOKUP(G1642,Liste!$A$7:$G$50,3,FALSE)</f>
        <v>Pin d'Alep</v>
      </c>
      <c r="BI1642" s="96" t="str">
        <f>+VLOOKUP(H1642,Liste!$B$7:$G$50,5,FALSE)</f>
        <v>Pin d'Alep</v>
      </c>
      <c r="BJ1642" s="135">
        <f t="shared" si="494"/>
        <v>63</v>
      </c>
      <c r="BK1642" s="135" t="str">
        <f t="shared" si="496"/>
        <v>Pin d'Alep_F2_Classique_Pin d'Alep_63_</v>
      </c>
      <c r="BM1642" s="13">
        <v>54.462386781217198</v>
      </c>
      <c r="BN1642" s="13">
        <v>260.44263210252302</v>
      </c>
      <c r="BO1642" s="13" t="s">
        <v>169</v>
      </c>
      <c r="BP1642" s="13">
        <v>134.534925639471</v>
      </c>
      <c r="BQ1642" s="13">
        <v>5.4164997518984697</v>
      </c>
      <c r="BT1642" s="298" t="str">
        <f>+VLOOKUP(G1642,Liste!$A$7:$H$50,8,FALSE)</f>
        <v>Résineux</v>
      </c>
      <c r="BU1642" s="298">
        <f t="shared" si="497"/>
        <v>0</v>
      </c>
      <c r="BV1642" s="300">
        <f t="shared" si="498"/>
        <v>1</v>
      </c>
      <c r="BW1642" s="321">
        <v>0</v>
      </c>
      <c r="BX1642" s="298">
        <f t="shared" si="499"/>
        <v>0.43</v>
      </c>
      <c r="BY1642">
        <f t="shared" si="500"/>
        <v>0</v>
      </c>
      <c r="BZ1642" s="304">
        <f t="shared" si="501"/>
        <v>0</v>
      </c>
      <c r="CB1642" s="299">
        <v>0.6</v>
      </c>
      <c r="CC1642" s="299">
        <v>0.4</v>
      </c>
      <c r="CD1642">
        <f t="shared" si="502"/>
        <v>0</v>
      </c>
      <c r="CE1642">
        <f t="shared" si="503"/>
        <v>0</v>
      </c>
      <c r="CF1642">
        <f t="shared" si="504"/>
        <v>0</v>
      </c>
      <c r="CG1642">
        <f t="shared" si="505"/>
        <v>0</v>
      </c>
      <c r="CH1642">
        <f t="shared" si="506"/>
        <v>0</v>
      </c>
      <c r="CI1642">
        <f t="shared" si="507"/>
        <v>0</v>
      </c>
      <c r="CJ1642">
        <f t="shared" si="508"/>
        <v>0</v>
      </c>
      <c r="CK1642">
        <f t="shared" si="509"/>
        <v>0</v>
      </c>
      <c r="CL1642">
        <f t="shared" si="510"/>
        <v>0</v>
      </c>
      <c r="CM1642">
        <f t="shared" si="512"/>
        <v>0</v>
      </c>
      <c r="CN1642">
        <f t="shared" si="511"/>
        <v>0</v>
      </c>
      <c r="CO1642">
        <f t="shared" si="495"/>
        <v>0</v>
      </c>
    </row>
    <row r="1643" spans="2:93" x14ac:dyDescent="0.25">
      <c r="B1643" s="318">
        <v>44372</v>
      </c>
      <c r="C1643" s="4" t="s">
        <v>1524</v>
      </c>
      <c r="D1643" s="4" t="s">
        <v>1525</v>
      </c>
      <c r="F1643" s="4" t="s">
        <v>90</v>
      </c>
      <c r="G1643" s="5" t="s">
        <v>1514</v>
      </c>
      <c r="H1643" s="5" t="s">
        <v>1527</v>
      </c>
      <c r="I1643" s="5" t="s">
        <v>18</v>
      </c>
      <c r="J1643" s="5" t="s">
        <v>10</v>
      </c>
      <c r="K1643" s="5">
        <v>12</v>
      </c>
      <c r="L1643" s="5" t="s">
        <v>1528</v>
      </c>
      <c r="M1643" s="5">
        <v>1100</v>
      </c>
      <c r="N1643" s="5" t="s">
        <v>170</v>
      </c>
      <c r="O1643" s="6" t="s">
        <v>81</v>
      </c>
      <c r="P1643" s="6" t="s">
        <v>1530</v>
      </c>
      <c r="S1643" s="6">
        <v>18</v>
      </c>
      <c r="T1643" s="6">
        <v>4.34</v>
      </c>
      <c r="U1643" s="6">
        <v>1101</v>
      </c>
      <c r="V1643" s="6">
        <v>4.92</v>
      </c>
      <c r="W1643" s="6">
        <v>569</v>
      </c>
      <c r="X1643" s="6">
        <v>532</v>
      </c>
      <c r="Y1643" s="6">
        <v>0</v>
      </c>
      <c r="Z1643" s="6">
        <v>0</v>
      </c>
      <c r="AA1643" s="6">
        <v>0</v>
      </c>
      <c r="AB1643" s="6">
        <v>0</v>
      </c>
      <c r="AC1643" s="7">
        <v>63</v>
      </c>
      <c r="AD1643" s="7" t="s">
        <v>53</v>
      </c>
      <c r="AE1643" s="7">
        <v>14.01</v>
      </c>
      <c r="AF1643" s="7">
        <v>351</v>
      </c>
      <c r="AG1643" s="7">
        <v>18</v>
      </c>
      <c r="AH1643" s="7">
        <v>25.55</v>
      </c>
      <c r="AI1643" s="7">
        <v>27.3</v>
      </c>
      <c r="AJ1643" s="9">
        <v>107.780150337462</v>
      </c>
      <c r="AK1643" s="9">
        <v>111.53860669171</v>
      </c>
      <c r="AL1643" s="9">
        <v>160.54068991813901</v>
      </c>
      <c r="AM1643" s="9">
        <v>38.941312807177297</v>
      </c>
      <c r="AN1643" s="9">
        <v>0.61811607630440202</v>
      </c>
      <c r="AO1643" s="9">
        <v>0.497685249111399</v>
      </c>
      <c r="AP1643" s="9">
        <v>330.33475197931801</v>
      </c>
      <c r="AQ1643" s="9">
        <v>5.2434087615764797</v>
      </c>
      <c r="AR1643" s="9">
        <v>5.6312083832668201</v>
      </c>
      <c r="AS1643" s="8">
        <v>344</v>
      </c>
      <c r="AT1643" s="8">
        <v>12.010000000000002</v>
      </c>
      <c r="AU1643" s="10">
        <v>21.083724939711438</v>
      </c>
      <c r="AV1643" s="10">
        <v>68.701856206366983</v>
      </c>
      <c r="AW1643" s="8">
        <v>0.81</v>
      </c>
      <c r="AX1643" s="10">
        <v>0.19971469827432262</v>
      </c>
      <c r="BF1643" s="12">
        <v>0.45</v>
      </c>
      <c r="BG1643" s="13">
        <v>125.823765723341</v>
      </c>
      <c r="BH1643" s="96" t="str">
        <f>+VLOOKUP(G1643,Liste!$A$7:$G$50,3,FALSE)</f>
        <v>Pin d'Alep</v>
      </c>
      <c r="BI1643" s="96" t="str">
        <f>+VLOOKUP(H1643,Liste!$B$7:$G$50,5,FALSE)</f>
        <v>Pin d'Alep</v>
      </c>
      <c r="BJ1643" s="135">
        <f t="shared" si="494"/>
        <v>63</v>
      </c>
      <c r="BK1643" s="135" t="str">
        <f t="shared" si="496"/>
        <v>Pin d'Alep_F2_Classique_Pin d'Alep_63_</v>
      </c>
      <c r="BM1643" s="13">
        <v>35.2330871906887</v>
      </c>
      <c r="BN1643" s="13">
        <v>161.05685291403</v>
      </c>
      <c r="BO1643" s="13">
        <v>99.385779188493018</v>
      </c>
      <c r="BP1643" s="13">
        <v>134.534925639471</v>
      </c>
      <c r="BQ1643" s="13">
        <v>5.4164997518984697</v>
      </c>
      <c r="BT1643" s="298" t="str">
        <f>+VLOOKUP(G1643,Liste!$A$7:$H$50,8,FALSE)</f>
        <v>Résineux</v>
      </c>
      <c r="BU1643" s="298">
        <f t="shared" si="497"/>
        <v>0</v>
      </c>
      <c r="BV1643" s="300">
        <f t="shared" si="498"/>
        <v>1</v>
      </c>
      <c r="BW1643" s="321">
        <v>0</v>
      </c>
      <c r="BX1643" s="298">
        <f t="shared" si="499"/>
        <v>0.43</v>
      </c>
      <c r="BY1643">
        <f t="shared" si="500"/>
        <v>0</v>
      </c>
      <c r="BZ1643" s="304">
        <f t="shared" si="501"/>
        <v>0</v>
      </c>
      <c r="CB1643" s="299">
        <v>0.6</v>
      </c>
      <c r="CC1643" s="299">
        <v>0.4</v>
      </c>
      <c r="CD1643">
        <f t="shared" si="502"/>
        <v>0</v>
      </c>
      <c r="CE1643">
        <f t="shared" si="503"/>
        <v>0</v>
      </c>
      <c r="CF1643">
        <f t="shared" si="504"/>
        <v>0</v>
      </c>
      <c r="CG1643">
        <f t="shared" si="505"/>
        <v>0</v>
      </c>
      <c r="CH1643">
        <f t="shared" si="506"/>
        <v>0</v>
      </c>
      <c r="CI1643">
        <f t="shared" si="507"/>
        <v>0</v>
      </c>
      <c r="CJ1643">
        <f t="shared" si="508"/>
        <v>0</v>
      </c>
      <c r="CK1643">
        <f t="shared" si="509"/>
        <v>0</v>
      </c>
      <c r="CL1643">
        <f t="shared" si="510"/>
        <v>0</v>
      </c>
      <c r="CM1643">
        <f t="shared" si="512"/>
        <v>0</v>
      </c>
      <c r="CN1643">
        <f t="shared" si="511"/>
        <v>0</v>
      </c>
      <c r="CO1643">
        <f t="shared" si="495"/>
        <v>0</v>
      </c>
    </row>
    <row r="1644" spans="2:93" x14ac:dyDescent="0.25">
      <c r="B1644" s="318">
        <v>44372</v>
      </c>
      <c r="C1644" s="4" t="s">
        <v>1524</v>
      </c>
      <c r="D1644" s="4" t="s">
        <v>1525</v>
      </c>
      <c r="F1644" s="4" t="s">
        <v>90</v>
      </c>
      <c r="G1644" s="5" t="s">
        <v>1514</v>
      </c>
      <c r="H1644" s="5" t="s">
        <v>1527</v>
      </c>
      <c r="I1644" s="5" t="s">
        <v>18</v>
      </c>
      <c r="J1644" s="5" t="s">
        <v>10</v>
      </c>
      <c r="K1644" s="5">
        <v>12</v>
      </c>
      <c r="L1644" s="5" t="s">
        <v>1528</v>
      </c>
      <c r="M1644" s="5">
        <v>1100</v>
      </c>
      <c r="N1644" s="5" t="s">
        <v>170</v>
      </c>
      <c r="O1644" s="6" t="s">
        <v>81</v>
      </c>
      <c r="P1644" s="6" t="s">
        <v>1530</v>
      </c>
      <c r="S1644" s="6">
        <v>18</v>
      </c>
      <c r="T1644" s="6">
        <v>4.34</v>
      </c>
      <c r="U1644" s="6">
        <v>1101</v>
      </c>
      <c r="V1644" s="6">
        <v>4.92</v>
      </c>
      <c r="W1644" s="6">
        <v>569</v>
      </c>
      <c r="X1644" s="6">
        <v>532</v>
      </c>
      <c r="Y1644" s="6">
        <v>0</v>
      </c>
      <c r="Z1644" s="6">
        <v>0</v>
      </c>
      <c r="AA1644" s="6">
        <v>0</v>
      </c>
      <c r="AB1644" s="6">
        <v>0</v>
      </c>
      <c r="AC1644" s="7">
        <v>64</v>
      </c>
      <c r="AD1644" s="7" t="s">
        <v>52</v>
      </c>
      <c r="AE1644" s="7">
        <v>14.14</v>
      </c>
      <c r="AF1644" s="7">
        <v>351</v>
      </c>
      <c r="AG1644" s="7">
        <v>18.5</v>
      </c>
      <c r="AH1644" s="7">
        <v>25.9</v>
      </c>
      <c r="AI1644" s="7">
        <v>27.69</v>
      </c>
      <c r="AJ1644" s="9">
        <v>111.748285219534</v>
      </c>
      <c r="AK1644" s="9">
        <v>115.67268786048901</v>
      </c>
      <c r="AL1644" s="9">
        <v>166.17189830140501</v>
      </c>
      <c r="AM1644" s="9">
        <v>39.438998056288703</v>
      </c>
      <c r="AN1644" s="9">
        <v>0.61623434462951099</v>
      </c>
      <c r="AO1644" s="9">
        <v>0.49793422818316901</v>
      </c>
      <c r="AP1644" s="9">
        <v>335.96596036258501</v>
      </c>
      <c r="AQ1644" s="9">
        <v>5.2494681306653899</v>
      </c>
      <c r="AR1644" s="9">
        <v>5.6445578101247502</v>
      </c>
      <c r="AS1644" s="8" t="s">
        <v>169</v>
      </c>
      <c r="AT1644" s="8" t="s">
        <v>169</v>
      </c>
      <c r="AU1644" s="10" t="s">
        <v>169</v>
      </c>
      <c r="AV1644" s="10">
        <v>0</v>
      </c>
      <c r="AX1644" s="10" t="s">
        <v>169</v>
      </c>
      <c r="BF1644" s="12">
        <v>0.45</v>
      </c>
      <c r="BG1644" s="13">
        <v>130.237225293726</v>
      </c>
      <c r="BH1644" s="96" t="str">
        <f>+VLOOKUP(G1644,Liste!$A$7:$G$50,3,FALSE)</f>
        <v>Pin d'Alep</v>
      </c>
      <c r="BI1644" s="96" t="str">
        <f>+VLOOKUP(H1644,Liste!$B$7:$G$50,5,FALSE)</f>
        <v>Pin d'Alep</v>
      </c>
      <c r="BJ1644" s="135">
        <f t="shared" si="494"/>
        <v>64</v>
      </c>
      <c r="BK1644" s="135" t="str">
        <f t="shared" si="496"/>
        <v>Pin d'Alep_F2_Classique_Pin d'Alep_64_</v>
      </c>
      <c r="BM1644" s="13">
        <v>36.3228870991191</v>
      </c>
      <c r="BN1644" s="13">
        <v>166.56011239284601</v>
      </c>
      <c r="BO1644" s="13" t="s">
        <v>169</v>
      </c>
      <c r="BP1644" s="13">
        <v>134.534925639471</v>
      </c>
      <c r="BQ1644" s="13">
        <v>5.4273781286642002</v>
      </c>
      <c r="BT1644" s="298" t="str">
        <f>+VLOOKUP(G1644,Liste!$A$7:$H$50,8,FALSE)</f>
        <v>Résineux</v>
      </c>
      <c r="BU1644" s="298">
        <f t="shared" si="497"/>
        <v>0</v>
      </c>
      <c r="BV1644" s="300">
        <f t="shared" si="498"/>
        <v>1</v>
      </c>
      <c r="BW1644" s="321">
        <v>0</v>
      </c>
      <c r="BX1644" s="298">
        <f t="shared" si="499"/>
        <v>0.43</v>
      </c>
      <c r="BY1644">
        <f t="shared" si="500"/>
        <v>0</v>
      </c>
      <c r="BZ1644" s="304">
        <f t="shared" si="501"/>
        <v>0</v>
      </c>
      <c r="CB1644" s="299">
        <v>0.6</v>
      </c>
      <c r="CC1644" s="299">
        <v>0.4</v>
      </c>
      <c r="CD1644">
        <f t="shared" si="502"/>
        <v>0</v>
      </c>
      <c r="CE1644">
        <f t="shared" si="503"/>
        <v>0</v>
      </c>
      <c r="CF1644">
        <f t="shared" si="504"/>
        <v>0</v>
      </c>
      <c r="CG1644">
        <f t="shared" si="505"/>
        <v>0</v>
      </c>
      <c r="CH1644">
        <f t="shared" si="506"/>
        <v>0</v>
      </c>
      <c r="CI1644">
        <f t="shared" si="507"/>
        <v>0</v>
      </c>
      <c r="CJ1644">
        <f t="shared" si="508"/>
        <v>0</v>
      </c>
      <c r="CK1644">
        <f t="shared" si="509"/>
        <v>0</v>
      </c>
      <c r="CL1644">
        <f t="shared" si="510"/>
        <v>0</v>
      </c>
      <c r="CM1644">
        <f t="shared" si="512"/>
        <v>0</v>
      </c>
      <c r="CN1644">
        <f t="shared" si="511"/>
        <v>0</v>
      </c>
      <c r="CO1644">
        <f t="shared" si="495"/>
        <v>0</v>
      </c>
    </row>
    <row r="1645" spans="2:93" x14ac:dyDescent="0.25">
      <c r="B1645" s="318">
        <v>44372</v>
      </c>
      <c r="C1645" s="4" t="s">
        <v>1524</v>
      </c>
      <c r="D1645" s="4" t="s">
        <v>1525</v>
      </c>
      <c r="F1645" s="4" t="s">
        <v>90</v>
      </c>
      <c r="G1645" s="5" t="s">
        <v>1514</v>
      </c>
      <c r="H1645" s="5" t="s">
        <v>1527</v>
      </c>
      <c r="I1645" s="5" t="s">
        <v>18</v>
      </c>
      <c r="J1645" s="5" t="s">
        <v>10</v>
      </c>
      <c r="K1645" s="5">
        <v>12</v>
      </c>
      <c r="L1645" s="5" t="s">
        <v>1528</v>
      </c>
      <c r="M1645" s="5">
        <v>1100</v>
      </c>
      <c r="N1645" s="5" t="s">
        <v>170</v>
      </c>
      <c r="O1645" s="6" t="s">
        <v>81</v>
      </c>
      <c r="P1645" s="6" t="s">
        <v>1530</v>
      </c>
      <c r="S1645" s="6">
        <v>18</v>
      </c>
      <c r="T1645" s="6">
        <v>4.34</v>
      </c>
      <c r="U1645" s="6">
        <v>1101</v>
      </c>
      <c r="V1645" s="6">
        <v>4.92</v>
      </c>
      <c r="W1645" s="6">
        <v>569</v>
      </c>
      <c r="X1645" s="6">
        <v>532</v>
      </c>
      <c r="Y1645" s="6">
        <v>0</v>
      </c>
      <c r="Z1645" s="6">
        <v>0</v>
      </c>
      <c r="AA1645" s="6">
        <v>0</v>
      </c>
      <c r="AB1645" s="6">
        <v>0</v>
      </c>
      <c r="AC1645" s="7">
        <v>65</v>
      </c>
      <c r="AD1645" s="7" t="s">
        <v>52</v>
      </c>
      <c r="AE1645" s="7">
        <v>14.28</v>
      </c>
      <c r="AF1645" s="7">
        <v>351</v>
      </c>
      <c r="AG1645" s="7">
        <v>19</v>
      </c>
      <c r="AH1645" s="7">
        <v>26.25</v>
      </c>
      <c r="AI1645" s="7">
        <v>28.08</v>
      </c>
      <c r="AJ1645" s="9">
        <v>115.718777780579</v>
      </c>
      <c r="AK1645" s="9">
        <v>119.812143025203</v>
      </c>
      <c r="AL1645" s="9">
        <v>171.81645611152999</v>
      </c>
      <c r="AM1645" s="9">
        <v>39.936932284471901</v>
      </c>
      <c r="AN1645" s="9">
        <v>0.61441434283802898</v>
      </c>
      <c r="AO1645" s="9">
        <v>0.496804731376429</v>
      </c>
      <c r="AP1645" s="9">
        <v>341.61051817270999</v>
      </c>
      <c r="AQ1645" s="9">
        <v>5.2555464334263098</v>
      </c>
      <c r="AR1645" s="9">
        <v>5.6449585806947802</v>
      </c>
      <c r="AS1645" s="8" t="s">
        <v>169</v>
      </c>
      <c r="AT1645" s="8" t="s">
        <v>169</v>
      </c>
      <c r="AU1645" s="10" t="s">
        <v>169</v>
      </c>
      <c r="AV1645" s="10">
        <v>0</v>
      </c>
      <c r="AX1645" s="10" t="s">
        <v>169</v>
      </c>
      <c r="BF1645" s="12">
        <v>0.45</v>
      </c>
      <c r="BG1645" s="13">
        <v>134.66114747741199</v>
      </c>
      <c r="BH1645" s="96" t="str">
        <f>+VLOOKUP(G1645,Liste!$A$7:$G$50,3,FALSE)</f>
        <v>Pin d'Alep</v>
      </c>
      <c r="BI1645" s="96" t="str">
        <f>+VLOOKUP(H1645,Liste!$B$7:$G$50,5,FALSE)</f>
        <v>Pin d'Alep</v>
      </c>
      <c r="BJ1645" s="135">
        <f t="shared" si="494"/>
        <v>65</v>
      </c>
      <c r="BK1645" s="135" t="str">
        <f t="shared" si="496"/>
        <v>Pin d'Alep_F2_Classique_Pin d'Alep_65_</v>
      </c>
      <c r="BM1645" s="13">
        <v>37.410964192856298</v>
      </c>
      <c r="BN1645" s="13">
        <v>172.07211167026799</v>
      </c>
      <c r="BO1645" s="13" t="s">
        <v>169</v>
      </c>
      <c r="BP1645" s="13">
        <v>134.534925639471</v>
      </c>
      <c r="BQ1645" s="13">
        <v>5.42583506926292</v>
      </c>
      <c r="BT1645" s="298" t="str">
        <f>+VLOOKUP(G1645,Liste!$A$7:$H$50,8,FALSE)</f>
        <v>Résineux</v>
      </c>
      <c r="BU1645" s="298">
        <f t="shared" si="497"/>
        <v>0</v>
      </c>
      <c r="BV1645" s="300">
        <f t="shared" si="498"/>
        <v>1</v>
      </c>
      <c r="BW1645" s="321">
        <v>0</v>
      </c>
      <c r="BX1645" s="298">
        <f t="shared" si="499"/>
        <v>0.43</v>
      </c>
      <c r="BY1645">
        <f t="shared" si="500"/>
        <v>0</v>
      </c>
      <c r="BZ1645" s="304">
        <f t="shared" si="501"/>
        <v>0</v>
      </c>
      <c r="CB1645" s="299">
        <v>0.6</v>
      </c>
      <c r="CC1645" s="299">
        <v>0.4</v>
      </c>
      <c r="CD1645">
        <f t="shared" si="502"/>
        <v>0</v>
      </c>
      <c r="CE1645">
        <f t="shared" si="503"/>
        <v>0</v>
      </c>
      <c r="CF1645">
        <f t="shared" si="504"/>
        <v>0</v>
      </c>
      <c r="CG1645">
        <f t="shared" si="505"/>
        <v>0</v>
      </c>
      <c r="CH1645">
        <f t="shared" si="506"/>
        <v>0</v>
      </c>
      <c r="CI1645">
        <f t="shared" si="507"/>
        <v>0</v>
      </c>
      <c r="CJ1645">
        <f t="shared" si="508"/>
        <v>0</v>
      </c>
      <c r="CK1645">
        <f t="shared" si="509"/>
        <v>0</v>
      </c>
      <c r="CL1645">
        <f t="shared" si="510"/>
        <v>0</v>
      </c>
      <c r="CM1645">
        <f t="shared" si="512"/>
        <v>0</v>
      </c>
      <c r="CN1645">
        <f t="shared" si="511"/>
        <v>0</v>
      </c>
      <c r="CO1645">
        <f t="shared" si="495"/>
        <v>0</v>
      </c>
    </row>
    <row r="1646" spans="2:93" x14ac:dyDescent="0.25">
      <c r="B1646" s="318">
        <v>44372</v>
      </c>
      <c r="C1646" s="4" t="s">
        <v>1524</v>
      </c>
      <c r="D1646" s="4" t="s">
        <v>1525</v>
      </c>
      <c r="F1646" s="4" t="s">
        <v>90</v>
      </c>
      <c r="G1646" s="5" t="s">
        <v>1514</v>
      </c>
      <c r="H1646" s="5" t="s">
        <v>1527</v>
      </c>
      <c r="I1646" s="5" t="s">
        <v>18</v>
      </c>
      <c r="J1646" s="5" t="s">
        <v>10</v>
      </c>
      <c r="K1646" s="5">
        <v>12</v>
      </c>
      <c r="L1646" s="5" t="s">
        <v>1528</v>
      </c>
      <c r="M1646" s="5">
        <v>1100</v>
      </c>
      <c r="N1646" s="5" t="s">
        <v>170</v>
      </c>
      <c r="O1646" s="6" t="s">
        <v>81</v>
      </c>
      <c r="P1646" s="6" t="s">
        <v>1530</v>
      </c>
      <c r="S1646" s="6">
        <v>18</v>
      </c>
      <c r="T1646" s="6">
        <v>4.34</v>
      </c>
      <c r="U1646" s="6">
        <v>1101</v>
      </c>
      <c r="V1646" s="6">
        <v>4.92</v>
      </c>
      <c r="W1646" s="6">
        <v>569</v>
      </c>
      <c r="X1646" s="6">
        <v>532</v>
      </c>
      <c r="Y1646" s="6">
        <v>0</v>
      </c>
      <c r="Z1646" s="6">
        <v>0</v>
      </c>
      <c r="AA1646" s="6">
        <v>0</v>
      </c>
      <c r="AB1646" s="6">
        <v>0</v>
      </c>
      <c r="AC1646" s="7">
        <v>66</v>
      </c>
      <c r="AD1646" s="7" t="s">
        <v>52</v>
      </c>
      <c r="AE1646" s="7">
        <v>14.41</v>
      </c>
      <c r="AF1646" s="7">
        <v>351</v>
      </c>
      <c r="AG1646" s="7">
        <v>19.489999999999998</v>
      </c>
      <c r="AH1646" s="7">
        <v>26.59</v>
      </c>
      <c r="AI1646" s="7">
        <v>28.47</v>
      </c>
      <c r="AJ1646" s="9">
        <v>119.684129054249</v>
      </c>
      <c r="AK1646" s="9">
        <v>123.948845537982</v>
      </c>
      <c r="AL1646" s="9">
        <v>177.46141469222499</v>
      </c>
      <c r="AM1646" s="9">
        <v>40.433737015848301</v>
      </c>
      <c r="AN1646" s="9">
        <v>0.61263237902800505</v>
      </c>
      <c r="AO1646" s="9">
        <v>0.49694863202793699</v>
      </c>
      <c r="AP1646" s="9">
        <v>347.25547675340499</v>
      </c>
      <c r="AQ1646" s="9">
        <v>5.2614466174758299</v>
      </c>
      <c r="AR1646" s="9">
        <v>5.6930615737931003</v>
      </c>
      <c r="AS1646" s="8" t="s">
        <v>169</v>
      </c>
      <c r="AT1646" s="8" t="s">
        <v>169</v>
      </c>
      <c r="AU1646" s="10" t="s">
        <v>169</v>
      </c>
      <c r="AV1646" s="10">
        <v>0</v>
      </c>
      <c r="AW1646" s="8" t="s">
        <v>169</v>
      </c>
      <c r="AX1646" s="10" t="s">
        <v>169</v>
      </c>
      <c r="BF1646" s="12">
        <v>0.45</v>
      </c>
      <c r="BG1646" s="13">
        <v>139.085383765031</v>
      </c>
      <c r="BH1646" s="96" t="str">
        <f>+VLOOKUP(G1646,Liste!$A$7:$G$50,3,FALSE)</f>
        <v>Pin d'Alep</v>
      </c>
      <c r="BI1646" s="96" t="str">
        <f>+VLOOKUP(H1646,Liste!$B$7:$G$50,5,FALSE)</f>
        <v>Pin d'Alep</v>
      </c>
      <c r="BJ1646" s="135">
        <f t="shared" si="494"/>
        <v>66</v>
      </c>
      <c r="BK1646" s="135" t="str">
        <f t="shared" si="496"/>
        <v>Pin d'Alep_F2_Classique_Pin d'Alep_66_</v>
      </c>
      <c r="BM1646" s="13">
        <v>38.494964449235901</v>
      </c>
      <c r="BN1646" s="13">
        <v>177.58034821426699</v>
      </c>
      <c r="BO1646" s="13" t="s">
        <v>169</v>
      </c>
      <c r="BP1646" s="13">
        <v>134.534925639471</v>
      </c>
      <c r="BQ1646" s="13">
        <v>5.4701531368177099</v>
      </c>
      <c r="BT1646" s="298" t="str">
        <f>+VLOOKUP(G1646,Liste!$A$7:$H$50,8,FALSE)</f>
        <v>Résineux</v>
      </c>
      <c r="BU1646" s="298">
        <f t="shared" si="497"/>
        <v>0</v>
      </c>
      <c r="BV1646" s="300">
        <f t="shared" si="498"/>
        <v>1</v>
      </c>
      <c r="BW1646" s="321">
        <v>0</v>
      </c>
      <c r="BX1646" s="298">
        <f t="shared" si="499"/>
        <v>0.43</v>
      </c>
      <c r="BY1646">
        <f t="shared" si="500"/>
        <v>0</v>
      </c>
      <c r="BZ1646" s="304">
        <f t="shared" si="501"/>
        <v>0</v>
      </c>
      <c r="CB1646" s="299">
        <v>0.6</v>
      </c>
      <c r="CC1646" s="299">
        <v>0.4</v>
      </c>
      <c r="CD1646">
        <f t="shared" si="502"/>
        <v>0</v>
      </c>
      <c r="CE1646">
        <f t="shared" si="503"/>
        <v>0</v>
      </c>
      <c r="CF1646">
        <f t="shared" si="504"/>
        <v>0</v>
      </c>
      <c r="CG1646">
        <f t="shared" si="505"/>
        <v>0</v>
      </c>
      <c r="CH1646">
        <f t="shared" si="506"/>
        <v>0</v>
      </c>
      <c r="CI1646">
        <f t="shared" si="507"/>
        <v>0</v>
      </c>
      <c r="CJ1646">
        <f t="shared" si="508"/>
        <v>0</v>
      </c>
      <c r="CK1646">
        <f t="shared" si="509"/>
        <v>0</v>
      </c>
      <c r="CL1646">
        <f t="shared" si="510"/>
        <v>0</v>
      </c>
      <c r="CM1646">
        <f t="shared" si="512"/>
        <v>0</v>
      </c>
      <c r="CN1646">
        <f t="shared" si="511"/>
        <v>0</v>
      </c>
      <c r="CO1646">
        <f t="shared" si="495"/>
        <v>0</v>
      </c>
    </row>
    <row r="1647" spans="2:93" x14ac:dyDescent="0.25">
      <c r="B1647" s="318">
        <v>44372</v>
      </c>
      <c r="C1647" s="4" t="s">
        <v>1524</v>
      </c>
      <c r="D1647" s="4" t="s">
        <v>1525</v>
      </c>
      <c r="F1647" s="4" t="s">
        <v>90</v>
      </c>
      <c r="G1647" s="5" t="s">
        <v>1514</v>
      </c>
      <c r="H1647" s="5" t="s">
        <v>1527</v>
      </c>
      <c r="I1647" s="5" t="s">
        <v>18</v>
      </c>
      <c r="J1647" s="5" t="s">
        <v>10</v>
      </c>
      <c r="K1647" s="5">
        <v>12</v>
      </c>
      <c r="L1647" s="5" t="s">
        <v>1528</v>
      </c>
      <c r="M1647" s="5">
        <v>1100</v>
      </c>
      <c r="N1647" s="5" t="s">
        <v>170</v>
      </c>
      <c r="O1647" s="6" t="s">
        <v>81</v>
      </c>
      <c r="P1647" s="6" t="s">
        <v>1530</v>
      </c>
      <c r="S1647" s="6">
        <v>18</v>
      </c>
      <c r="T1647" s="6">
        <v>4.34</v>
      </c>
      <c r="U1647" s="6">
        <v>1101</v>
      </c>
      <c r="V1647" s="6">
        <v>4.92</v>
      </c>
      <c r="W1647" s="6">
        <v>569</v>
      </c>
      <c r="X1647" s="6">
        <v>532</v>
      </c>
      <c r="Y1647" s="6">
        <v>0</v>
      </c>
      <c r="Z1647" s="6">
        <v>0</v>
      </c>
      <c r="AA1647" s="6">
        <v>0</v>
      </c>
      <c r="AB1647" s="6">
        <v>0</v>
      </c>
      <c r="AC1647" s="7">
        <v>67</v>
      </c>
      <c r="AD1647" s="7" t="s">
        <v>52</v>
      </c>
      <c r="AE1647" s="7">
        <v>14.54</v>
      </c>
      <c r="AF1647" s="7">
        <v>351</v>
      </c>
      <c r="AG1647" s="7">
        <v>19.989999999999998</v>
      </c>
      <c r="AH1647" s="7">
        <v>26.93</v>
      </c>
      <c r="AI1647" s="7">
        <v>28.85</v>
      </c>
      <c r="AJ1647" s="9">
        <v>123.68844608645</v>
      </c>
      <c r="AK1647" s="9">
        <v>128.12665051769801</v>
      </c>
      <c r="AL1647" s="9">
        <v>183.15447626601801</v>
      </c>
      <c r="AM1647" s="9">
        <v>40.930685647876203</v>
      </c>
      <c r="AN1647" s="9">
        <v>0.61090575593845098</v>
      </c>
      <c r="AO1647" s="9">
        <v>0.49512920220453799</v>
      </c>
      <c r="AP1647" s="9">
        <v>352.94853832719798</v>
      </c>
      <c r="AQ1647" s="9">
        <v>5.2678886317492202</v>
      </c>
      <c r="AR1647" s="9">
        <v>5.7231310593301101</v>
      </c>
      <c r="AS1647" s="8" t="s">
        <v>169</v>
      </c>
      <c r="AT1647" s="8" t="s">
        <v>169</v>
      </c>
      <c r="AU1647" s="10" t="s">
        <v>169</v>
      </c>
      <c r="AV1647" s="10">
        <v>0</v>
      </c>
      <c r="AW1647" s="8" t="s">
        <v>169</v>
      </c>
      <c r="AX1647" s="10" t="s">
        <v>169</v>
      </c>
      <c r="BF1647" s="12">
        <v>0.45</v>
      </c>
      <c r="BG1647" s="13">
        <v>143.547320773492</v>
      </c>
      <c r="BH1647" s="96" t="str">
        <f>+VLOOKUP(G1647,Liste!$A$7:$G$50,3,FALSE)</f>
        <v>Pin d'Alep</v>
      </c>
      <c r="BI1647" s="96" t="str">
        <f>+VLOOKUP(H1647,Liste!$B$7:$G$50,5,FALSE)</f>
        <v>Pin d'Alep</v>
      </c>
      <c r="BJ1647" s="135">
        <f t="shared" si="494"/>
        <v>67</v>
      </c>
      <c r="BK1647" s="135" t="str">
        <f t="shared" si="496"/>
        <v>Pin d'Alep_F2_Classique_Pin d'Alep_67_</v>
      </c>
      <c r="BM1647" s="13">
        <v>39.584144013973699</v>
      </c>
      <c r="BN1647" s="13">
        <v>183.13146478746501</v>
      </c>
      <c r="BO1647" s="13" t="s">
        <v>169</v>
      </c>
      <c r="BP1647" s="13">
        <v>134.534925639471</v>
      </c>
      <c r="BQ1647" s="13">
        <v>5.4971390498296797</v>
      </c>
      <c r="BT1647" s="298" t="str">
        <f>+VLOOKUP(G1647,Liste!$A$7:$H$50,8,FALSE)</f>
        <v>Résineux</v>
      </c>
      <c r="BU1647" s="298">
        <f t="shared" si="497"/>
        <v>0</v>
      </c>
      <c r="BV1647" s="300">
        <f t="shared" si="498"/>
        <v>1</v>
      </c>
      <c r="BW1647" s="321">
        <v>0</v>
      </c>
      <c r="BX1647" s="298">
        <f t="shared" si="499"/>
        <v>0.43</v>
      </c>
      <c r="BY1647">
        <f t="shared" si="500"/>
        <v>0</v>
      </c>
      <c r="BZ1647" s="304">
        <f t="shared" si="501"/>
        <v>0</v>
      </c>
      <c r="CB1647" s="299">
        <v>0.6</v>
      </c>
      <c r="CC1647" s="299">
        <v>0.4</v>
      </c>
      <c r="CD1647">
        <f t="shared" si="502"/>
        <v>0</v>
      </c>
      <c r="CE1647">
        <f t="shared" si="503"/>
        <v>0</v>
      </c>
      <c r="CF1647">
        <f t="shared" si="504"/>
        <v>0</v>
      </c>
      <c r="CG1647">
        <f t="shared" si="505"/>
        <v>0</v>
      </c>
      <c r="CH1647">
        <f t="shared" si="506"/>
        <v>0</v>
      </c>
      <c r="CI1647">
        <f t="shared" si="507"/>
        <v>0</v>
      </c>
      <c r="CJ1647">
        <f t="shared" si="508"/>
        <v>0</v>
      </c>
      <c r="CK1647">
        <f t="shared" si="509"/>
        <v>0</v>
      </c>
      <c r="CL1647">
        <f t="shared" si="510"/>
        <v>0</v>
      </c>
      <c r="CM1647">
        <f t="shared" si="512"/>
        <v>0</v>
      </c>
      <c r="CN1647">
        <f t="shared" si="511"/>
        <v>0</v>
      </c>
      <c r="CO1647">
        <f t="shared" si="495"/>
        <v>0</v>
      </c>
    </row>
    <row r="1648" spans="2:93" x14ac:dyDescent="0.25">
      <c r="B1648" s="318">
        <v>44372</v>
      </c>
      <c r="C1648" s="4" t="s">
        <v>1524</v>
      </c>
      <c r="D1648" s="4" t="s">
        <v>1525</v>
      </c>
      <c r="F1648" s="4" t="s">
        <v>90</v>
      </c>
      <c r="G1648" s="5" t="s">
        <v>1514</v>
      </c>
      <c r="H1648" s="5" t="s">
        <v>1527</v>
      </c>
      <c r="I1648" s="5" t="s">
        <v>18</v>
      </c>
      <c r="J1648" s="5" t="s">
        <v>10</v>
      </c>
      <c r="K1648" s="5">
        <v>12</v>
      </c>
      <c r="L1648" s="5" t="s">
        <v>1528</v>
      </c>
      <c r="M1648" s="5">
        <v>1100</v>
      </c>
      <c r="N1648" s="5" t="s">
        <v>170</v>
      </c>
      <c r="O1648" s="6" t="s">
        <v>81</v>
      </c>
      <c r="P1648" s="6" t="s">
        <v>1530</v>
      </c>
      <c r="S1648" s="6">
        <v>18</v>
      </c>
      <c r="T1648" s="6">
        <v>4.34</v>
      </c>
      <c r="U1648" s="6">
        <v>1101</v>
      </c>
      <c r="V1648" s="6">
        <v>4.92</v>
      </c>
      <c r="W1648" s="6">
        <v>569</v>
      </c>
      <c r="X1648" s="6">
        <v>532</v>
      </c>
      <c r="Y1648" s="6">
        <v>0</v>
      </c>
      <c r="Z1648" s="6">
        <v>0</v>
      </c>
      <c r="AA1648" s="6">
        <v>0</v>
      </c>
      <c r="AB1648" s="6">
        <v>0</v>
      </c>
      <c r="AC1648" s="7">
        <v>68</v>
      </c>
      <c r="AD1648" s="7" t="s">
        <v>52</v>
      </c>
      <c r="AE1648" s="7">
        <v>14.67</v>
      </c>
      <c r="AF1648" s="7">
        <v>351</v>
      </c>
      <c r="AG1648" s="7">
        <v>20.49</v>
      </c>
      <c r="AH1648" s="7">
        <v>27.26</v>
      </c>
      <c r="AI1648" s="7">
        <v>29.23</v>
      </c>
      <c r="AJ1648" s="9">
        <v>127.720252831141</v>
      </c>
      <c r="AK1648" s="9">
        <v>132.33330263741999</v>
      </c>
      <c r="AL1648" s="9">
        <v>188.87760732534801</v>
      </c>
      <c r="AM1648" s="9">
        <v>41.425814850080798</v>
      </c>
      <c r="AN1648" s="9">
        <v>0.60920315956001103</v>
      </c>
      <c r="AO1648" s="9">
        <v>0.49429812528396899</v>
      </c>
      <c r="AP1648" s="9">
        <v>358.67166938652798</v>
      </c>
      <c r="AQ1648" s="9">
        <v>5.2745833733312901</v>
      </c>
      <c r="AR1648" s="9">
        <v>5.7454715076212297</v>
      </c>
      <c r="AS1648" s="8" t="s">
        <v>169</v>
      </c>
      <c r="AT1648" s="8" t="s">
        <v>169</v>
      </c>
      <c r="AU1648" s="10" t="s">
        <v>169</v>
      </c>
      <c r="AV1648" s="10">
        <v>0</v>
      </c>
      <c r="AW1648" s="8" t="s">
        <v>169</v>
      </c>
      <c r="AX1648" s="10" t="s">
        <v>169</v>
      </c>
      <c r="BF1648" s="12">
        <v>0.45</v>
      </c>
      <c r="BG1648" s="13">
        <v>148.032824741242</v>
      </c>
      <c r="BH1648" s="96" t="str">
        <f>+VLOOKUP(G1648,Liste!$A$7:$G$50,3,FALSE)</f>
        <v>Pin d'Alep</v>
      </c>
      <c r="BI1648" s="96" t="str">
        <f>+VLOOKUP(H1648,Liste!$B$7:$G$50,5,FALSE)</f>
        <v>Pin d'Alep</v>
      </c>
      <c r="BJ1648" s="135">
        <f t="shared" si="494"/>
        <v>68</v>
      </c>
      <c r="BK1648" s="135" t="str">
        <f t="shared" si="496"/>
        <v>Pin d'Alep_F2_Classique_Pin d'Alep_68_</v>
      </c>
      <c r="BM1648" s="13">
        <v>40.675111079894002</v>
      </c>
      <c r="BN1648" s="13">
        <v>188.70793582113501</v>
      </c>
      <c r="BO1648" s="13" t="s">
        <v>169</v>
      </c>
      <c r="BP1648" s="13">
        <v>134.534925639471</v>
      </c>
      <c r="BQ1648" s="13">
        <v>5.5167090843592597</v>
      </c>
      <c r="BT1648" s="298" t="str">
        <f>+VLOOKUP(G1648,Liste!$A$7:$H$50,8,FALSE)</f>
        <v>Résineux</v>
      </c>
      <c r="BU1648" s="298">
        <f t="shared" si="497"/>
        <v>0</v>
      </c>
      <c r="BV1648" s="300">
        <f t="shared" si="498"/>
        <v>1</v>
      </c>
      <c r="BW1648" s="321">
        <v>0</v>
      </c>
      <c r="BX1648" s="298">
        <f t="shared" si="499"/>
        <v>0.43</v>
      </c>
      <c r="BY1648">
        <f t="shared" si="500"/>
        <v>0</v>
      </c>
      <c r="BZ1648" s="304">
        <f t="shared" si="501"/>
        <v>0</v>
      </c>
      <c r="CB1648" s="299">
        <v>0.6</v>
      </c>
      <c r="CC1648" s="299">
        <v>0.4</v>
      </c>
      <c r="CD1648">
        <f t="shared" si="502"/>
        <v>0</v>
      </c>
      <c r="CE1648">
        <f t="shared" si="503"/>
        <v>0</v>
      </c>
      <c r="CF1648">
        <f t="shared" si="504"/>
        <v>0</v>
      </c>
      <c r="CG1648">
        <f t="shared" si="505"/>
        <v>0</v>
      </c>
      <c r="CH1648">
        <f t="shared" si="506"/>
        <v>0</v>
      </c>
      <c r="CI1648">
        <f t="shared" si="507"/>
        <v>0</v>
      </c>
      <c r="CJ1648">
        <f t="shared" si="508"/>
        <v>0</v>
      </c>
      <c r="CK1648">
        <f t="shared" si="509"/>
        <v>0</v>
      </c>
      <c r="CL1648">
        <f t="shared" si="510"/>
        <v>0</v>
      </c>
      <c r="CM1648">
        <f t="shared" si="512"/>
        <v>0</v>
      </c>
      <c r="CN1648">
        <f t="shared" si="511"/>
        <v>0</v>
      </c>
      <c r="CO1648">
        <f t="shared" si="495"/>
        <v>0</v>
      </c>
    </row>
    <row r="1649" spans="2:93" x14ac:dyDescent="0.25">
      <c r="B1649" s="318">
        <v>44372</v>
      </c>
      <c r="C1649" s="4" t="s">
        <v>1524</v>
      </c>
      <c r="D1649" s="4" t="s">
        <v>1525</v>
      </c>
      <c r="F1649" s="4" t="s">
        <v>90</v>
      </c>
      <c r="G1649" s="5" t="s">
        <v>1514</v>
      </c>
      <c r="H1649" s="5" t="s">
        <v>1527</v>
      </c>
      <c r="I1649" s="5" t="s">
        <v>18</v>
      </c>
      <c r="J1649" s="5" t="s">
        <v>10</v>
      </c>
      <c r="K1649" s="5">
        <v>12</v>
      </c>
      <c r="L1649" s="5" t="s">
        <v>1528</v>
      </c>
      <c r="M1649" s="5">
        <v>1100</v>
      </c>
      <c r="N1649" s="5" t="s">
        <v>170</v>
      </c>
      <c r="O1649" s="6" t="s">
        <v>81</v>
      </c>
      <c r="P1649" s="6" t="s">
        <v>1530</v>
      </c>
      <c r="S1649" s="6">
        <v>18</v>
      </c>
      <c r="T1649" s="6">
        <v>4.34</v>
      </c>
      <c r="U1649" s="6">
        <v>1101</v>
      </c>
      <c r="V1649" s="6">
        <v>4.92</v>
      </c>
      <c r="W1649" s="6">
        <v>569</v>
      </c>
      <c r="X1649" s="6">
        <v>532</v>
      </c>
      <c r="Y1649" s="6">
        <v>0</v>
      </c>
      <c r="Z1649" s="6">
        <v>0</v>
      </c>
      <c r="AA1649" s="6">
        <v>0</v>
      </c>
      <c r="AB1649" s="6">
        <v>0</v>
      </c>
      <c r="AC1649" s="7">
        <v>69</v>
      </c>
      <c r="AD1649" s="7" t="s">
        <v>52</v>
      </c>
      <c r="AE1649" s="7">
        <v>14.79</v>
      </c>
      <c r="AF1649" s="7">
        <v>351</v>
      </c>
      <c r="AG1649" s="7">
        <v>20.98</v>
      </c>
      <c r="AH1649" s="7">
        <v>27.59</v>
      </c>
      <c r="AI1649" s="7">
        <v>29.61</v>
      </c>
      <c r="AJ1649" s="9">
        <v>131.768550449277</v>
      </c>
      <c r="AK1649" s="9">
        <v>136.55840140230401</v>
      </c>
      <c r="AL1649" s="9">
        <v>194.62307883296899</v>
      </c>
      <c r="AM1649" s="9">
        <v>41.920112975364802</v>
      </c>
      <c r="AN1649" s="9">
        <v>0.60753786920818498</v>
      </c>
      <c r="AO1649" s="9">
        <v>0.49238906582217401</v>
      </c>
      <c r="AP1649" s="9">
        <v>364.41714089414899</v>
      </c>
      <c r="AQ1649" s="9">
        <v>5.2814078390456398</v>
      </c>
      <c r="AR1649" s="9">
        <v>5.77894527848935</v>
      </c>
      <c r="AS1649" s="8" t="s">
        <v>169</v>
      </c>
      <c r="AT1649" s="8" t="s">
        <v>169</v>
      </c>
      <c r="AU1649" s="10" t="s">
        <v>169</v>
      </c>
      <c r="AV1649" s="10">
        <v>0</v>
      </c>
      <c r="AW1649" s="8" t="s">
        <v>169</v>
      </c>
      <c r="AX1649" s="10" t="s">
        <v>169</v>
      </c>
      <c r="BF1649" s="12">
        <v>0.45</v>
      </c>
      <c r="BG1649" s="13">
        <v>152.53583803533999</v>
      </c>
      <c r="BH1649" s="96" t="str">
        <f>+VLOOKUP(G1649,Liste!$A$7:$G$50,3,FALSE)</f>
        <v>Pin d'Alep</v>
      </c>
      <c r="BI1649" s="96" t="str">
        <f>+VLOOKUP(H1649,Liste!$B$7:$G$50,5,FALSE)</f>
        <v>Pin d'Alep</v>
      </c>
      <c r="BJ1649" s="135">
        <f t="shared" si="494"/>
        <v>69</v>
      </c>
      <c r="BK1649" s="135" t="str">
        <f t="shared" si="496"/>
        <v>Pin d'Alep_F2_Classique_Pin d'Alep_69_</v>
      </c>
      <c r="BM1649" s="13">
        <v>41.766472728152898</v>
      </c>
      <c r="BN1649" s="13">
        <v>194.30231076349301</v>
      </c>
      <c r="BO1649" s="13" t="s">
        <v>169</v>
      </c>
      <c r="BP1649" s="13">
        <v>134.534925639471</v>
      </c>
      <c r="BQ1649" s="13">
        <v>5.5469751530910703</v>
      </c>
      <c r="BT1649" s="298" t="str">
        <f>+VLOOKUP(G1649,Liste!$A$7:$H$50,8,FALSE)</f>
        <v>Résineux</v>
      </c>
      <c r="BU1649" s="298">
        <f t="shared" si="497"/>
        <v>0</v>
      </c>
      <c r="BV1649" s="300">
        <f t="shared" si="498"/>
        <v>1</v>
      </c>
      <c r="BW1649" s="321">
        <v>0</v>
      </c>
      <c r="BX1649" s="298">
        <f t="shared" si="499"/>
        <v>0.43</v>
      </c>
      <c r="BY1649">
        <f t="shared" si="500"/>
        <v>0</v>
      </c>
      <c r="BZ1649" s="304">
        <f t="shared" si="501"/>
        <v>0</v>
      </c>
      <c r="CB1649" s="299">
        <v>0.6</v>
      </c>
      <c r="CC1649" s="299">
        <v>0.4</v>
      </c>
      <c r="CD1649">
        <f t="shared" si="502"/>
        <v>0</v>
      </c>
      <c r="CE1649">
        <f t="shared" si="503"/>
        <v>0</v>
      </c>
      <c r="CF1649">
        <f t="shared" si="504"/>
        <v>0</v>
      </c>
      <c r="CG1649">
        <f t="shared" si="505"/>
        <v>0</v>
      </c>
      <c r="CH1649">
        <f t="shared" si="506"/>
        <v>0</v>
      </c>
      <c r="CI1649">
        <f t="shared" si="507"/>
        <v>0</v>
      </c>
      <c r="CJ1649">
        <f t="shared" si="508"/>
        <v>0</v>
      </c>
      <c r="CK1649">
        <f t="shared" si="509"/>
        <v>0</v>
      </c>
      <c r="CL1649">
        <f t="shared" si="510"/>
        <v>0</v>
      </c>
      <c r="CM1649">
        <f t="shared" si="512"/>
        <v>0</v>
      </c>
      <c r="CN1649">
        <f t="shared" si="511"/>
        <v>0</v>
      </c>
      <c r="CO1649">
        <f t="shared" si="495"/>
        <v>0</v>
      </c>
    </row>
    <row r="1650" spans="2:93" x14ac:dyDescent="0.25">
      <c r="B1650" s="318">
        <v>44372</v>
      </c>
      <c r="C1650" s="4" t="s">
        <v>1524</v>
      </c>
      <c r="D1650" s="4" t="s">
        <v>1525</v>
      </c>
      <c r="F1650" s="4" t="s">
        <v>90</v>
      </c>
      <c r="G1650" s="5" t="s">
        <v>1514</v>
      </c>
      <c r="H1650" s="5" t="s">
        <v>1527</v>
      </c>
      <c r="I1650" s="5" t="s">
        <v>18</v>
      </c>
      <c r="J1650" s="5" t="s">
        <v>10</v>
      </c>
      <c r="K1650" s="5">
        <v>12</v>
      </c>
      <c r="L1650" s="5" t="s">
        <v>1528</v>
      </c>
      <c r="M1650" s="5">
        <v>1100</v>
      </c>
      <c r="N1650" s="5" t="s">
        <v>170</v>
      </c>
      <c r="O1650" s="6" t="s">
        <v>81</v>
      </c>
      <c r="P1650" s="6" t="s">
        <v>1530</v>
      </c>
      <c r="S1650" s="6">
        <v>18</v>
      </c>
      <c r="T1650" s="6">
        <v>4.34</v>
      </c>
      <c r="U1650" s="6">
        <v>1101</v>
      </c>
      <c r="V1650" s="6">
        <v>4.92</v>
      </c>
      <c r="W1650" s="6">
        <v>569</v>
      </c>
      <c r="X1650" s="6">
        <v>532</v>
      </c>
      <c r="Y1650" s="6">
        <v>0</v>
      </c>
      <c r="Z1650" s="6">
        <v>0</v>
      </c>
      <c r="AA1650" s="6">
        <v>0</v>
      </c>
      <c r="AB1650" s="6">
        <v>0</v>
      </c>
      <c r="AC1650" s="7">
        <v>70</v>
      </c>
      <c r="AD1650" s="7" t="s">
        <v>52</v>
      </c>
      <c r="AE1650" s="7">
        <v>14.91</v>
      </c>
      <c r="AF1650" s="7">
        <v>351</v>
      </c>
      <c r="AG1650" s="7">
        <v>21.47</v>
      </c>
      <c r="AH1650" s="7">
        <v>27.91</v>
      </c>
      <c r="AI1650" s="7">
        <v>29.98</v>
      </c>
      <c r="AJ1650" s="9">
        <v>135.84874289073699</v>
      </c>
      <c r="AK1650" s="9">
        <v>140.816509187782</v>
      </c>
      <c r="AL1650" s="9">
        <v>200.40202411145901</v>
      </c>
      <c r="AM1650" s="9">
        <v>42.412502041186897</v>
      </c>
      <c r="AN1650" s="9">
        <v>0.60589288630267002</v>
      </c>
      <c r="AO1650" s="9">
        <v>0.49103837733067501</v>
      </c>
      <c r="AP1650" s="9">
        <v>370.19608617263901</v>
      </c>
      <c r="AQ1650" s="9">
        <v>5.2885155167519802</v>
      </c>
      <c r="AR1650" s="9">
        <v>5.7853794806413203</v>
      </c>
      <c r="AS1650" s="8" t="s">
        <v>169</v>
      </c>
      <c r="AT1650" s="8" t="s">
        <v>169</v>
      </c>
      <c r="AU1650" s="10" t="s">
        <v>169</v>
      </c>
      <c r="AV1650" s="10">
        <v>0</v>
      </c>
      <c r="AW1650" s="8" t="s">
        <v>169</v>
      </c>
      <c r="AX1650" s="10" t="s">
        <v>169</v>
      </c>
      <c r="BF1650" s="12">
        <v>0.45</v>
      </c>
      <c r="BG1650" s="13">
        <v>157.065086397356</v>
      </c>
      <c r="BH1650" s="96" t="str">
        <f>+VLOOKUP(G1650,Liste!$A$7:$G$50,3,FALSE)</f>
        <v>Pin d'Alep</v>
      </c>
      <c r="BI1650" s="96" t="str">
        <f>+VLOOKUP(H1650,Liste!$B$7:$G$50,5,FALSE)</f>
        <v>Pin d'Alep</v>
      </c>
      <c r="BJ1650" s="135">
        <f t="shared" si="494"/>
        <v>70</v>
      </c>
      <c r="BK1650" s="135" t="str">
        <f t="shared" si="496"/>
        <v>Pin d'Alep_F2_Classique_Pin d'Alep_70_</v>
      </c>
      <c r="BM1650" s="13">
        <v>42.860415899338101</v>
      </c>
      <c r="BN1650" s="13">
        <v>199.92550229669399</v>
      </c>
      <c r="BO1650" s="13" t="s">
        <v>169</v>
      </c>
      <c r="BP1650" s="13">
        <v>134.534925639471</v>
      </c>
      <c r="BQ1650" s="13">
        <v>5.55130033481396</v>
      </c>
      <c r="BT1650" s="298" t="str">
        <f>+VLOOKUP(G1650,Liste!$A$7:$H$50,8,FALSE)</f>
        <v>Résineux</v>
      </c>
      <c r="BU1650" s="298">
        <f t="shared" si="497"/>
        <v>0</v>
      </c>
      <c r="BV1650" s="300">
        <f t="shared" si="498"/>
        <v>1</v>
      </c>
      <c r="BW1650" s="321">
        <v>0</v>
      </c>
      <c r="BX1650" s="298">
        <f t="shared" si="499"/>
        <v>0.43</v>
      </c>
      <c r="BY1650">
        <f t="shared" si="500"/>
        <v>0</v>
      </c>
      <c r="BZ1650" s="304">
        <f t="shared" si="501"/>
        <v>0</v>
      </c>
      <c r="CB1650" s="299">
        <v>0.6</v>
      </c>
      <c r="CC1650" s="299">
        <v>0.4</v>
      </c>
      <c r="CD1650">
        <f t="shared" si="502"/>
        <v>0</v>
      </c>
      <c r="CE1650">
        <f t="shared" si="503"/>
        <v>0</v>
      </c>
      <c r="CF1650">
        <f t="shared" si="504"/>
        <v>0</v>
      </c>
      <c r="CG1650">
        <f t="shared" si="505"/>
        <v>0</v>
      </c>
      <c r="CH1650">
        <f t="shared" si="506"/>
        <v>0</v>
      </c>
      <c r="CI1650">
        <f t="shared" si="507"/>
        <v>0</v>
      </c>
      <c r="CJ1650">
        <f t="shared" si="508"/>
        <v>0</v>
      </c>
      <c r="CK1650">
        <f t="shared" si="509"/>
        <v>0</v>
      </c>
      <c r="CL1650">
        <f t="shared" si="510"/>
        <v>0</v>
      </c>
      <c r="CM1650">
        <f t="shared" si="512"/>
        <v>0</v>
      </c>
      <c r="CN1650">
        <f t="shared" si="511"/>
        <v>0</v>
      </c>
      <c r="CO1650">
        <f t="shared" si="495"/>
        <v>0</v>
      </c>
    </row>
    <row r="1651" spans="2:93" x14ac:dyDescent="0.25">
      <c r="B1651" s="318">
        <v>44372</v>
      </c>
      <c r="C1651" s="4" t="s">
        <v>1524</v>
      </c>
      <c r="D1651" s="4" t="s">
        <v>1525</v>
      </c>
      <c r="F1651" s="4" t="s">
        <v>90</v>
      </c>
      <c r="G1651" s="5" t="s">
        <v>1514</v>
      </c>
      <c r="H1651" s="5" t="s">
        <v>1527</v>
      </c>
      <c r="I1651" s="5" t="s">
        <v>18</v>
      </c>
      <c r="J1651" s="5" t="s">
        <v>10</v>
      </c>
      <c r="K1651" s="5">
        <v>12</v>
      </c>
      <c r="L1651" s="5" t="s">
        <v>1528</v>
      </c>
      <c r="M1651" s="5">
        <v>1100</v>
      </c>
      <c r="N1651" s="5" t="s">
        <v>170</v>
      </c>
      <c r="O1651" s="6" t="s">
        <v>81</v>
      </c>
      <c r="P1651" s="6" t="s">
        <v>1530</v>
      </c>
      <c r="S1651" s="6">
        <v>18</v>
      </c>
      <c r="T1651" s="6">
        <v>4.34</v>
      </c>
      <c r="U1651" s="6">
        <v>1101</v>
      </c>
      <c r="V1651" s="6">
        <v>4.92</v>
      </c>
      <c r="W1651" s="6">
        <v>569</v>
      </c>
      <c r="X1651" s="6">
        <v>532</v>
      </c>
      <c r="Y1651" s="6">
        <v>0</v>
      </c>
      <c r="Z1651" s="6">
        <v>0</v>
      </c>
      <c r="AA1651" s="6">
        <v>0</v>
      </c>
      <c r="AB1651" s="6">
        <v>0</v>
      </c>
      <c r="AC1651" s="7">
        <v>71</v>
      </c>
      <c r="AD1651" s="7" t="s">
        <v>52</v>
      </c>
      <c r="AE1651" s="7">
        <v>15.03</v>
      </c>
      <c r="AF1651" s="7">
        <v>351</v>
      </c>
      <c r="AG1651" s="7">
        <v>21.96</v>
      </c>
      <c r="AH1651" s="7">
        <v>28.23</v>
      </c>
      <c r="AI1651" s="7">
        <v>30.34</v>
      </c>
      <c r="AJ1651" s="9">
        <v>139.93176977065499</v>
      </c>
      <c r="AK1651" s="9">
        <v>145.07926478366801</v>
      </c>
      <c r="AL1651" s="9">
        <v>206.1874035921</v>
      </c>
      <c r="AM1651" s="9">
        <v>42.903540418517601</v>
      </c>
      <c r="AN1651" s="9">
        <v>0.60427521716221999</v>
      </c>
      <c r="AO1651" s="9">
        <v>0.48920720580475302</v>
      </c>
      <c r="AP1651" s="9">
        <v>375.98146565328</v>
      </c>
      <c r="AQ1651" s="9">
        <v>5.2955136007504198</v>
      </c>
      <c r="AR1651" s="9">
        <v>5.8095723071046503</v>
      </c>
      <c r="AS1651" s="8" t="s">
        <v>169</v>
      </c>
      <c r="AT1651" s="8" t="s">
        <v>169</v>
      </c>
      <c r="AU1651" s="10" t="s">
        <v>169</v>
      </c>
      <c r="AV1651" s="10">
        <v>0</v>
      </c>
      <c r="AW1651" s="8" t="s">
        <v>169</v>
      </c>
      <c r="AX1651" s="10" t="s">
        <v>169</v>
      </c>
      <c r="BF1651" s="12">
        <v>0.45</v>
      </c>
      <c r="BG1651" s="13">
        <v>161.599377565308</v>
      </c>
      <c r="BH1651" s="96" t="str">
        <f>+VLOOKUP(G1651,Liste!$A$7:$G$50,3,FALSE)</f>
        <v>Pin d'Alep</v>
      </c>
      <c r="BI1651" s="96" t="str">
        <f>+VLOOKUP(H1651,Liste!$B$7:$G$50,5,FALSE)</f>
        <v>Pin d'Alep</v>
      </c>
      <c r="BJ1651" s="135">
        <f t="shared" si="494"/>
        <v>71</v>
      </c>
      <c r="BK1651" s="135" t="str">
        <f t="shared" si="496"/>
        <v>Pin d'Alep_F2_Classique_Pin d'Alep_71_</v>
      </c>
      <c r="BM1651" s="13">
        <v>43.951904660739501</v>
      </c>
      <c r="BN1651" s="13">
        <v>205.55128222604799</v>
      </c>
      <c r="BO1651" s="13" t="s">
        <v>169</v>
      </c>
      <c r="BP1651" s="13">
        <v>134.534925639471</v>
      </c>
      <c r="BQ1651" s="13">
        <v>5.5726829150269701</v>
      </c>
      <c r="BT1651" s="298" t="str">
        <f>+VLOOKUP(G1651,Liste!$A$7:$H$50,8,FALSE)</f>
        <v>Résineux</v>
      </c>
      <c r="BU1651" s="298">
        <f t="shared" si="497"/>
        <v>0</v>
      </c>
      <c r="BV1651" s="300">
        <f t="shared" si="498"/>
        <v>1</v>
      </c>
      <c r="BW1651" s="321">
        <v>0</v>
      </c>
      <c r="BX1651" s="298">
        <f t="shared" si="499"/>
        <v>0.43</v>
      </c>
      <c r="BY1651">
        <f t="shared" si="500"/>
        <v>0</v>
      </c>
      <c r="BZ1651" s="304">
        <f t="shared" si="501"/>
        <v>0</v>
      </c>
      <c r="CB1651" s="299">
        <v>0.6</v>
      </c>
      <c r="CC1651" s="299">
        <v>0.4</v>
      </c>
      <c r="CD1651">
        <f t="shared" si="502"/>
        <v>0</v>
      </c>
      <c r="CE1651">
        <f t="shared" si="503"/>
        <v>0</v>
      </c>
      <c r="CF1651">
        <f t="shared" si="504"/>
        <v>0</v>
      </c>
      <c r="CG1651">
        <f t="shared" si="505"/>
        <v>0</v>
      </c>
      <c r="CH1651">
        <f t="shared" si="506"/>
        <v>0</v>
      </c>
      <c r="CI1651">
        <f t="shared" si="507"/>
        <v>0</v>
      </c>
      <c r="CJ1651">
        <f t="shared" si="508"/>
        <v>0</v>
      </c>
      <c r="CK1651">
        <f t="shared" si="509"/>
        <v>0</v>
      </c>
      <c r="CL1651">
        <f t="shared" si="510"/>
        <v>0</v>
      </c>
      <c r="CM1651">
        <f t="shared" si="512"/>
        <v>0</v>
      </c>
      <c r="CN1651">
        <f t="shared" si="511"/>
        <v>0</v>
      </c>
      <c r="CO1651">
        <f t="shared" si="495"/>
        <v>0</v>
      </c>
    </row>
    <row r="1652" spans="2:93" x14ac:dyDescent="0.25">
      <c r="B1652" s="318">
        <v>44372</v>
      </c>
      <c r="C1652" s="4" t="s">
        <v>1524</v>
      </c>
      <c r="D1652" s="4" t="s">
        <v>1525</v>
      </c>
      <c r="F1652" s="4" t="s">
        <v>90</v>
      </c>
      <c r="G1652" s="5" t="s">
        <v>1514</v>
      </c>
      <c r="H1652" s="5" t="s">
        <v>1527</v>
      </c>
      <c r="I1652" s="5" t="s">
        <v>18</v>
      </c>
      <c r="J1652" s="5" t="s">
        <v>10</v>
      </c>
      <c r="K1652" s="5">
        <v>12</v>
      </c>
      <c r="L1652" s="5" t="s">
        <v>1528</v>
      </c>
      <c r="M1652" s="5">
        <v>1100</v>
      </c>
      <c r="N1652" s="5" t="s">
        <v>170</v>
      </c>
      <c r="O1652" s="6" t="s">
        <v>81</v>
      </c>
      <c r="P1652" s="6" t="s">
        <v>1530</v>
      </c>
      <c r="S1652" s="6">
        <v>18</v>
      </c>
      <c r="T1652" s="6">
        <v>4.34</v>
      </c>
      <c r="U1652" s="6">
        <v>1101</v>
      </c>
      <c r="V1652" s="6">
        <v>4.92</v>
      </c>
      <c r="W1652" s="6">
        <v>569</v>
      </c>
      <c r="X1652" s="6">
        <v>532</v>
      </c>
      <c r="Y1652" s="6">
        <v>0</v>
      </c>
      <c r="Z1652" s="6">
        <v>0</v>
      </c>
      <c r="AA1652" s="6">
        <v>0</v>
      </c>
      <c r="AB1652" s="6">
        <v>0</v>
      </c>
      <c r="AC1652" s="7">
        <v>72</v>
      </c>
      <c r="AD1652" s="7" t="s">
        <v>52</v>
      </c>
      <c r="AE1652" s="7">
        <v>15.15</v>
      </c>
      <c r="AF1652" s="7">
        <v>351</v>
      </c>
      <c r="AG1652" s="7">
        <v>22.45</v>
      </c>
      <c r="AH1652" s="7">
        <v>28.54</v>
      </c>
      <c r="AI1652" s="7">
        <v>30.71</v>
      </c>
      <c r="AJ1652" s="9">
        <v>144.03743484885601</v>
      </c>
      <c r="AK1652" s="9">
        <v>149.36586271393</v>
      </c>
      <c r="AL1652" s="9">
        <v>211.99697589920501</v>
      </c>
      <c r="AM1652" s="9">
        <v>43.392747624322404</v>
      </c>
      <c r="AN1652" s="9">
        <v>0.60267705033781005</v>
      </c>
      <c r="AO1652" s="9">
        <v>0.48647224519627502</v>
      </c>
      <c r="AP1652" s="9">
        <v>381.79103796038498</v>
      </c>
      <c r="AQ1652" s="9">
        <v>5.3026533050053404</v>
      </c>
      <c r="AR1652" s="9">
        <v>5.8072402903917499</v>
      </c>
      <c r="AS1652" s="8" t="s">
        <v>169</v>
      </c>
      <c r="AT1652" s="8" t="s">
        <v>169</v>
      </c>
      <c r="AU1652" s="10" t="s">
        <v>169</v>
      </c>
      <c r="AV1652" s="10">
        <v>0</v>
      </c>
      <c r="AW1652" s="8" t="s">
        <v>169</v>
      </c>
      <c r="AX1652" s="10" t="s">
        <v>169</v>
      </c>
      <c r="BF1652" s="12">
        <v>0.45</v>
      </c>
      <c r="BG1652" s="13">
        <v>166.152629861002</v>
      </c>
      <c r="BH1652" s="96" t="str">
        <f>+VLOOKUP(G1652,Liste!$A$7:$G$50,3,FALSE)</f>
        <v>Pin d'Alep</v>
      </c>
      <c r="BI1652" s="96" t="str">
        <f>+VLOOKUP(H1652,Liste!$B$7:$G$50,5,FALSE)</f>
        <v>Pin d'Alep</v>
      </c>
      <c r="BJ1652" s="135">
        <f t="shared" si="494"/>
        <v>72</v>
      </c>
      <c r="BK1652" s="135" t="str">
        <f t="shared" si="496"/>
        <v>Pin d'Alep_F2_Classique_Pin d'Alep_72_</v>
      </c>
      <c r="BM1652" s="13">
        <v>45.044375981872101</v>
      </c>
      <c r="BN1652" s="13">
        <v>211.19700584287401</v>
      </c>
      <c r="BO1652" s="13" t="s">
        <v>169</v>
      </c>
      <c r="BP1652" s="13">
        <v>134.534925639471</v>
      </c>
      <c r="BQ1652" s="13">
        <v>5.5686429631779797</v>
      </c>
      <c r="BT1652" s="298" t="str">
        <f>+VLOOKUP(G1652,Liste!$A$7:$H$50,8,FALSE)</f>
        <v>Résineux</v>
      </c>
      <c r="BU1652" s="298">
        <f t="shared" si="497"/>
        <v>0</v>
      </c>
      <c r="BV1652" s="300">
        <f t="shared" si="498"/>
        <v>1</v>
      </c>
      <c r="BW1652" s="321">
        <v>0</v>
      </c>
      <c r="BX1652" s="298">
        <f t="shared" si="499"/>
        <v>0.43</v>
      </c>
      <c r="BY1652">
        <f t="shared" si="500"/>
        <v>0</v>
      </c>
      <c r="BZ1652" s="304">
        <f t="shared" si="501"/>
        <v>0</v>
      </c>
      <c r="CB1652" s="299">
        <v>0.6</v>
      </c>
      <c r="CC1652" s="299">
        <v>0.4</v>
      </c>
      <c r="CD1652">
        <f t="shared" si="502"/>
        <v>0</v>
      </c>
      <c r="CE1652">
        <f t="shared" si="503"/>
        <v>0</v>
      </c>
      <c r="CF1652">
        <f t="shared" si="504"/>
        <v>0</v>
      </c>
      <c r="CG1652">
        <f t="shared" si="505"/>
        <v>0</v>
      </c>
      <c r="CH1652">
        <f t="shared" si="506"/>
        <v>0</v>
      </c>
      <c r="CI1652">
        <f t="shared" si="507"/>
        <v>0</v>
      </c>
      <c r="CJ1652">
        <f t="shared" si="508"/>
        <v>0</v>
      </c>
      <c r="CK1652">
        <f t="shared" si="509"/>
        <v>0</v>
      </c>
      <c r="CL1652">
        <f t="shared" si="510"/>
        <v>0</v>
      </c>
      <c r="CM1652">
        <f t="shared" si="512"/>
        <v>0</v>
      </c>
      <c r="CN1652">
        <f t="shared" si="511"/>
        <v>0</v>
      </c>
      <c r="CO1652">
        <f t="shared" si="495"/>
        <v>0</v>
      </c>
    </row>
    <row r="1653" spans="2:93" x14ac:dyDescent="0.25">
      <c r="B1653" s="318">
        <v>44372</v>
      </c>
      <c r="C1653" s="4" t="s">
        <v>1524</v>
      </c>
      <c r="D1653" s="4" t="s">
        <v>1525</v>
      </c>
      <c r="F1653" s="4" t="s">
        <v>90</v>
      </c>
      <c r="G1653" s="5" t="s">
        <v>1514</v>
      </c>
      <c r="H1653" s="5" t="s">
        <v>1527</v>
      </c>
      <c r="I1653" s="5" t="s">
        <v>18</v>
      </c>
      <c r="J1653" s="5" t="s">
        <v>10</v>
      </c>
      <c r="K1653" s="5">
        <v>12</v>
      </c>
      <c r="L1653" s="5" t="s">
        <v>1528</v>
      </c>
      <c r="M1653" s="5">
        <v>1100</v>
      </c>
      <c r="N1653" s="5" t="s">
        <v>170</v>
      </c>
      <c r="O1653" s="6" t="s">
        <v>81</v>
      </c>
      <c r="P1653" s="6" t="s">
        <v>1530</v>
      </c>
      <c r="S1653" s="6">
        <v>18</v>
      </c>
      <c r="T1653" s="6">
        <v>4.34</v>
      </c>
      <c r="U1653" s="6">
        <v>1101</v>
      </c>
      <c r="V1653" s="6">
        <v>4.92</v>
      </c>
      <c r="W1653" s="6">
        <v>569</v>
      </c>
      <c r="X1653" s="6">
        <v>532</v>
      </c>
      <c r="Y1653" s="6">
        <v>0</v>
      </c>
      <c r="Z1653" s="6">
        <v>0</v>
      </c>
      <c r="AA1653" s="6">
        <v>0</v>
      </c>
      <c r="AB1653" s="6">
        <v>0</v>
      </c>
      <c r="AC1653" s="7">
        <v>73</v>
      </c>
      <c r="AD1653" s="7" t="s">
        <v>52</v>
      </c>
      <c r="AE1653" s="7">
        <v>15.27</v>
      </c>
      <c r="AF1653" s="7">
        <v>351</v>
      </c>
      <c r="AG1653" s="7">
        <v>22.94</v>
      </c>
      <c r="AH1653" s="7">
        <v>28.85</v>
      </c>
      <c r="AI1653" s="7">
        <v>31.06</v>
      </c>
      <c r="AJ1653" s="9">
        <v>148.142420779101</v>
      </c>
      <c r="AK1653" s="9">
        <v>153.65281546596799</v>
      </c>
      <c r="AL1653" s="9">
        <v>217.80421618959599</v>
      </c>
      <c r="AM1653" s="9">
        <v>43.8792198695186</v>
      </c>
      <c r="AN1653" s="9">
        <v>0.601085203692036</v>
      </c>
      <c r="AO1653" s="9">
        <v>0.48429552989438202</v>
      </c>
      <c r="AP1653" s="9">
        <v>387.59827825077599</v>
      </c>
      <c r="AQ1653" s="9">
        <v>5.3095654554900902</v>
      </c>
      <c r="AR1653" s="9">
        <v>5.7944951473095303</v>
      </c>
      <c r="AS1653" s="8" t="s">
        <v>169</v>
      </c>
      <c r="AT1653" s="8" t="s">
        <v>169</v>
      </c>
      <c r="AU1653" s="10" t="s">
        <v>169</v>
      </c>
      <c r="AV1653" s="10">
        <v>0</v>
      </c>
      <c r="AW1653" s="8" t="s">
        <v>169</v>
      </c>
      <c r="AX1653" s="10" t="s">
        <v>169</v>
      </c>
      <c r="BF1653" s="12">
        <v>0.45</v>
      </c>
      <c r="BG1653" s="13">
        <v>170.70405443859599</v>
      </c>
      <c r="BH1653" s="96" t="str">
        <f>+VLOOKUP(G1653,Liste!$A$7:$G$50,3,FALSE)</f>
        <v>Pin d'Alep</v>
      </c>
      <c r="BI1653" s="96" t="str">
        <f>+VLOOKUP(H1653,Liste!$B$7:$G$50,5,FALSE)</f>
        <v>Pin d'Alep</v>
      </c>
      <c r="BJ1653" s="135">
        <f t="shared" si="494"/>
        <v>73</v>
      </c>
      <c r="BK1653" s="135" t="str">
        <f t="shared" si="496"/>
        <v>Pin d'Alep_F2_Classique_Pin d'Alep_73_</v>
      </c>
      <c r="BM1653" s="13">
        <v>46.132931150180198</v>
      </c>
      <c r="BN1653" s="13">
        <v>216.836985588776</v>
      </c>
      <c r="BO1653" s="13" t="s">
        <v>169</v>
      </c>
      <c r="BP1653" s="13">
        <v>134.534925639471</v>
      </c>
      <c r="BQ1653" s="13">
        <v>5.5546547485655502</v>
      </c>
      <c r="BT1653" s="298" t="str">
        <f>+VLOOKUP(G1653,Liste!$A$7:$H$50,8,FALSE)</f>
        <v>Résineux</v>
      </c>
      <c r="BU1653" s="298">
        <f t="shared" si="497"/>
        <v>0</v>
      </c>
      <c r="BV1653" s="300">
        <f t="shared" si="498"/>
        <v>1</v>
      </c>
      <c r="BW1653" s="321">
        <v>0</v>
      </c>
      <c r="BX1653" s="298">
        <f t="shared" si="499"/>
        <v>0.43</v>
      </c>
      <c r="BY1653">
        <f t="shared" si="500"/>
        <v>0</v>
      </c>
      <c r="BZ1653" s="304">
        <f t="shared" si="501"/>
        <v>0</v>
      </c>
      <c r="CB1653" s="299">
        <v>0.6</v>
      </c>
      <c r="CC1653" s="299">
        <v>0.4</v>
      </c>
      <c r="CD1653">
        <f t="shared" si="502"/>
        <v>0</v>
      </c>
      <c r="CE1653">
        <f t="shared" si="503"/>
        <v>0</v>
      </c>
      <c r="CF1653">
        <f t="shared" si="504"/>
        <v>0</v>
      </c>
      <c r="CG1653">
        <f t="shared" si="505"/>
        <v>0</v>
      </c>
      <c r="CH1653">
        <f t="shared" si="506"/>
        <v>0</v>
      </c>
      <c r="CI1653">
        <f t="shared" si="507"/>
        <v>0</v>
      </c>
      <c r="CJ1653">
        <f t="shared" si="508"/>
        <v>0</v>
      </c>
      <c r="CK1653">
        <f t="shared" si="509"/>
        <v>0</v>
      </c>
      <c r="CL1653">
        <f t="shared" si="510"/>
        <v>0</v>
      </c>
      <c r="CM1653">
        <f t="shared" si="512"/>
        <v>0</v>
      </c>
      <c r="CN1653">
        <f t="shared" si="511"/>
        <v>0</v>
      </c>
      <c r="CO1653">
        <f t="shared" si="495"/>
        <v>0</v>
      </c>
    </row>
    <row r="1654" spans="2:93" x14ac:dyDescent="0.25">
      <c r="B1654" s="318">
        <v>44372</v>
      </c>
      <c r="C1654" s="4" t="s">
        <v>1524</v>
      </c>
      <c r="D1654" s="4" t="s">
        <v>1525</v>
      </c>
      <c r="F1654" s="4" t="s">
        <v>90</v>
      </c>
      <c r="G1654" s="5" t="s">
        <v>1514</v>
      </c>
      <c r="H1654" s="5" t="s">
        <v>1527</v>
      </c>
      <c r="I1654" s="5" t="s">
        <v>18</v>
      </c>
      <c r="J1654" s="5" t="s">
        <v>10</v>
      </c>
      <c r="K1654" s="5">
        <v>12</v>
      </c>
      <c r="L1654" s="5" t="s">
        <v>1528</v>
      </c>
      <c r="M1654" s="5">
        <v>1100</v>
      </c>
      <c r="N1654" s="5" t="s">
        <v>170</v>
      </c>
      <c r="O1654" s="6" t="s">
        <v>81</v>
      </c>
      <c r="P1654" s="6" t="s">
        <v>1530</v>
      </c>
      <c r="S1654" s="6">
        <v>18</v>
      </c>
      <c r="T1654" s="6">
        <v>4.34</v>
      </c>
      <c r="U1654" s="6">
        <v>1101</v>
      </c>
      <c r="V1654" s="6">
        <v>4.92</v>
      </c>
      <c r="W1654" s="6">
        <v>569</v>
      </c>
      <c r="X1654" s="6">
        <v>532</v>
      </c>
      <c r="Y1654" s="6">
        <v>0</v>
      </c>
      <c r="Z1654" s="6">
        <v>0</v>
      </c>
      <c r="AA1654" s="6">
        <v>0</v>
      </c>
      <c r="AB1654" s="6">
        <v>0</v>
      </c>
      <c r="AC1654" s="7">
        <v>74</v>
      </c>
      <c r="AD1654" s="7" t="s">
        <v>52</v>
      </c>
      <c r="AE1654" s="7">
        <v>15.39</v>
      </c>
      <c r="AF1654" s="7">
        <v>351</v>
      </c>
      <c r="AG1654" s="7">
        <v>23.42</v>
      </c>
      <c r="AH1654" s="7">
        <v>29.15</v>
      </c>
      <c r="AI1654" s="7">
        <v>31.42</v>
      </c>
      <c r="AJ1654" s="9">
        <v>152.23445622778101</v>
      </c>
      <c r="AK1654" s="9">
        <v>157.92829421224999</v>
      </c>
      <c r="AL1654" s="9">
        <v>223.59871133690601</v>
      </c>
      <c r="AM1654" s="9">
        <v>44.363515399412996</v>
      </c>
      <c r="AN1654" s="9">
        <v>0.599506964856933</v>
      </c>
      <c r="AO1654" s="9">
        <v>0.48231620085891802</v>
      </c>
      <c r="AP1654" s="9">
        <v>393.39277339808598</v>
      </c>
      <c r="AQ1654" s="9">
        <v>5.3161185594335896</v>
      </c>
      <c r="AR1654" s="9">
        <v>5.8202089871531903</v>
      </c>
      <c r="AS1654" s="8" t="s">
        <v>169</v>
      </c>
      <c r="AT1654" s="8" t="s">
        <v>169</v>
      </c>
      <c r="AU1654" s="10" t="s">
        <v>169</v>
      </c>
      <c r="AV1654" s="10">
        <v>0</v>
      </c>
      <c r="AW1654" s="8" t="s">
        <v>169</v>
      </c>
      <c r="AX1654" s="10" t="s">
        <v>169</v>
      </c>
      <c r="BF1654" s="12">
        <v>0.45</v>
      </c>
      <c r="BG1654" s="13">
        <v>175.24549001029999</v>
      </c>
      <c r="BH1654" s="96" t="str">
        <f>+VLOOKUP(G1654,Liste!$A$7:$G$50,3,FALSE)</f>
        <v>Pin d'Alep</v>
      </c>
      <c r="BI1654" s="96" t="str">
        <f>+VLOOKUP(H1654,Liste!$B$7:$G$50,5,FALSE)</f>
        <v>Pin d'Alep</v>
      </c>
      <c r="BJ1654" s="135">
        <f t="shared" si="494"/>
        <v>74</v>
      </c>
      <c r="BK1654" s="135" t="str">
        <f t="shared" si="496"/>
        <v>Pin d'Alep_F2_Classique_Pin d'Alep_74_</v>
      </c>
      <c r="BM1654" s="13">
        <v>47.215734740127097</v>
      </c>
      <c r="BN1654" s="13">
        <v>222.46122475042699</v>
      </c>
      <c r="BO1654" s="13" t="s">
        <v>169</v>
      </c>
      <c r="BP1654" s="13">
        <v>134.534925639471</v>
      </c>
      <c r="BQ1654" s="13">
        <v>5.5775569748009302</v>
      </c>
      <c r="BT1654" s="298" t="str">
        <f>+VLOOKUP(G1654,Liste!$A$7:$H$50,8,FALSE)</f>
        <v>Résineux</v>
      </c>
      <c r="BU1654" s="298">
        <f t="shared" si="497"/>
        <v>0</v>
      </c>
      <c r="BV1654" s="300">
        <f t="shared" si="498"/>
        <v>1</v>
      </c>
      <c r="BW1654" s="321">
        <v>0</v>
      </c>
      <c r="BX1654" s="298">
        <f t="shared" si="499"/>
        <v>0.43</v>
      </c>
      <c r="BY1654">
        <f t="shared" si="500"/>
        <v>0</v>
      </c>
      <c r="BZ1654" s="304">
        <f t="shared" si="501"/>
        <v>0</v>
      </c>
      <c r="CB1654" s="299">
        <v>0.6</v>
      </c>
      <c r="CC1654" s="299">
        <v>0.4</v>
      </c>
      <c r="CD1654">
        <f t="shared" si="502"/>
        <v>0</v>
      </c>
      <c r="CE1654">
        <f t="shared" si="503"/>
        <v>0</v>
      </c>
      <c r="CF1654">
        <f t="shared" si="504"/>
        <v>0</v>
      </c>
      <c r="CG1654">
        <f t="shared" si="505"/>
        <v>0</v>
      </c>
      <c r="CH1654">
        <f t="shared" si="506"/>
        <v>0</v>
      </c>
      <c r="CI1654">
        <f t="shared" si="507"/>
        <v>0</v>
      </c>
      <c r="CJ1654">
        <f t="shared" si="508"/>
        <v>0</v>
      </c>
      <c r="CK1654">
        <f t="shared" si="509"/>
        <v>0</v>
      </c>
      <c r="CL1654">
        <f t="shared" si="510"/>
        <v>0</v>
      </c>
      <c r="CM1654">
        <f t="shared" si="512"/>
        <v>0</v>
      </c>
      <c r="CN1654">
        <f t="shared" si="511"/>
        <v>0</v>
      </c>
      <c r="CO1654">
        <f t="shared" si="495"/>
        <v>0</v>
      </c>
    </row>
    <row r="1655" spans="2:93" x14ac:dyDescent="0.25">
      <c r="B1655" s="318">
        <v>44372</v>
      </c>
      <c r="C1655" s="4" t="s">
        <v>1524</v>
      </c>
      <c r="D1655" s="4" t="s">
        <v>1525</v>
      </c>
      <c r="F1655" s="4" t="s">
        <v>90</v>
      </c>
      <c r="G1655" s="5" t="s">
        <v>1514</v>
      </c>
      <c r="H1655" s="5" t="s">
        <v>1527</v>
      </c>
      <c r="I1655" s="5" t="s">
        <v>18</v>
      </c>
      <c r="J1655" s="5" t="s">
        <v>10</v>
      </c>
      <c r="K1655" s="5">
        <v>12</v>
      </c>
      <c r="L1655" s="5" t="s">
        <v>1528</v>
      </c>
      <c r="M1655" s="5">
        <v>1100</v>
      </c>
      <c r="N1655" s="5" t="s">
        <v>170</v>
      </c>
      <c r="O1655" s="6" t="s">
        <v>81</v>
      </c>
      <c r="P1655" s="6" t="s">
        <v>1530</v>
      </c>
      <c r="S1655" s="6">
        <v>18</v>
      </c>
      <c r="T1655" s="6">
        <v>4.34</v>
      </c>
      <c r="U1655" s="6">
        <v>1101</v>
      </c>
      <c r="V1655" s="6">
        <v>4.92</v>
      </c>
      <c r="W1655" s="6">
        <v>569</v>
      </c>
      <c r="X1655" s="6">
        <v>532</v>
      </c>
      <c r="Y1655" s="6">
        <v>0</v>
      </c>
      <c r="Z1655" s="6">
        <v>0</v>
      </c>
      <c r="AA1655" s="6">
        <v>0</v>
      </c>
      <c r="AB1655" s="6">
        <v>0</v>
      </c>
      <c r="AC1655" s="7">
        <v>75</v>
      </c>
      <c r="AD1655" s="7" t="s">
        <v>52</v>
      </c>
      <c r="AE1655" s="7">
        <v>15.5</v>
      </c>
      <c r="AF1655" s="7">
        <v>351</v>
      </c>
      <c r="AG1655" s="7">
        <v>23.91</v>
      </c>
      <c r="AH1655" s="7">
        <v>29.45</v>
      </c>
      <c r="AI1655" s="7">
        <v>31.77</v>
      </c>
      <c r="AJ1655" s="9">
        <v>156.351856912508</v>
      </c>
      <c r="AK1655" s="9">
        <v>162.230015529734</v>
      </c>
      <c r="AL1655" s="9">
        <v>229.418920324059</v>
      </c>
      <c r="AM1655" s="9">
        <v>44.8458316002719</v>
      </c>
      <c r="AN1655" s="9">
        <v>0.59794442133695902</v>
      </c>
      <c r="AO1655" s="9">
        <v>0.47753119396433902</v>
      </c>
      <c r="AP1655" s="9">
        <v>399.212982385239</v>
      </c>
      <c r="AQ1655" s="9">
        <v>5.3228397651365196</v>
      </c>
      <c r="AR1655" s="9">
        <v>5.8208899425754899</v>
      </c>
      <c r="AS1655" s="8" t="s">
        <v>169</v>
      </c>
      <c r="AT1655" s="8" t="s">
        <v>169</v>
      </c>
      <c r="AU1655" s="10" t="s">
        <v>169</v>
      </c>
      <c r="AV1655" s="10">
        <v>0</v>
      </c>
      <c r="AW1655" s="8" t="s">
        <v>169</v>
      </c>
      <c r="AX1655" s="10" t="s">
        <v>169</v>
      </c>
      <c r="BF1655" s="12">
        <v>0.45</v>
      </c>
      <c r="BG1655" s="13">
        <v>179.807078803981</v>
      </c>
      <c r="BH1655" s="96" t="str">
        <f>+VLOOKUP(G1655,Liste!$A$7:$G$50,3,FALSE)</f>
        <v>Pin d'Alep</v>
      </c>
      <c r="BI1655" s="96" t="str">
        <f>+VLOOKUP(H1655,Liste!$B$7:$G$50,5,FALSE)</f>
        <v>Pin d'Alep</v>
      </c>
      <c r="BJ1655" s="135">
        <f t="shared" si="494"/>
        <v>75</v>
      </c>
      <c r="BK1655" s="135" t="str">
        <f t="shared" si="496"/>
        <v>Pin d'Alep_F2_Classique_Pin d'Alep_75_</v>
      </c>
      <c r="BM1655" s="13">
        <v>48.300060098430102</v>
      </c>
      <c r="BN1655" s="13">
        <v>228.10713890241101</v>
      </c>
      <c r="BO1655" s="13" t="s">
        <v>169</v>
      </c>
      <c r="BP1655" s="13">
        <v>134.534925639471</v>
      </c>
      <c r="BQ1655" s="13">
        <v>5.57648651853407</v>
      </c>
      <c r="BT1655" s="298" t="str">
        <f>+VLOOKUP(G1655,Liste!$A$7:$H$50,8,FALSE)</f>
        <v>Résineux</v>
      </c>
      <c r="BU1655" s="298">
        <f t="shared" si="497"/>
        <v>0</v>
      </c>
      <c r="BV1655" s="300">
        <f t="shared" si="498"/>
        <v>1</v>
      </c>
      <c r="BW1655" s="321">
        <v>0</v>
      </c>
      <c r="BX1655" s="298">
        <f t="shared" si="499"/>
        <v>0.43</v>
      </c>
      <c r="BY1655">
        <f t="shared" si="500"/>
        <v>0</v>
      </c>
      <c r="BZ1655" s="304">
        <f t="shared" si="501"/>
        <v>0</v>
      </c>
      <c r="CB1655" s="299">
        <v>0.6</v>
      </c>
      <c r="CC1655" s="299">
        <v>0.4</v>
      </c>
      <c r="CD1655">
        <f t="shared" si="502"/>
        <v>0</v>
      </c>
      <c r="CE1655">
        <f t="shared" si="503"/>
        <v>0</v>
      </c>
      <c r="CF1655">
        <f t="shared" si="504"/>
        <v>0</v>
      </c>
      <c r="CG1655">
        <f t="shared" si="505"/>
        <v>0</v>
      </c>
      <c r="CH1655">
        <f t="shared" si="506"/>
        <v>0</v>
      </c>
      <c r="CI1655">
        <f t="shared" si="507"/>
        <v>0</v>
      </c>
      <c r="CJ1655">
        <f t="shared" si="508"/>
        <v>0</v>
      </c>
      <c r="CK1655">
        <f t="shared" si="509"/>
        <v>0</v>
      </c>
      <c r="CL1655">
        <f t="shared" si="510"/>
        <v>0</v>
      </c>
      <c r="CM1655">
        <f t="shared" si="512"/>
        <v>0</v>
      </c>
      <c r="CN1655">
        <f t="shared" si="511"/>
        <v>0</v>
      </c>
      <c r="CO1655">
        <f t="shared" si="495"/>
        <v>0</v>
      </c>
    </row>
    <row r="1656" spans="2:93" x14ac:dyDescent="0.25">
      <c r="B1656" s="318">
        <v>44372</v>
      </c>
      <c r="C1656" s="4" t="s">
        <v>1524</v>
      </c>
      <c r="D1656" s="4" t="s">
        <v>1525</v>
      </c>
      <c r="F1656" s="4" t="s">
        <v>90</v>
      </c>
      <c r="G1656" s="5" t="s">
        <v>1514</v>
      </c>
      <c r="H1656" s="5" t="s">
        <v>1527</v>
      </c>
      <c r="I1656" s="5" t="s">
        <v>18</v>
      </c>
      <c r="J1656" s="5" t="s">
        <v>10</v>
      </c>
      <c r="K1656" s="5">
        <v>12</v>
      </c>
      <c r="L1656" s="5" t="s">
        <v>1528</v>
      </c>
      <c r="M1656" s="5">
        <v>1100</v>
      </c>
      <c r="N1656" s="5" t="s">
        <v>170</v>
      </c>
      <c r="O1656" s="6" t="s">
        <v>81</v>
      </c>
      <c r="P1656" s="6" t="s">
        <v>1530</v>
      </c>
      <c r="S1656" s="6">
        <v>18</v>
      </c>
      <c r="T1656" s="6">
        <v>4.34</v>
      </c>
      <c r="U1656" s="6">
        <v>1101</v>
      </c>
      <c r="V1656" s="6">
        <v>4.92</v>
      </c>
      <c r="W1656" s="6">
        <v>569</v>
      </c>
      <c r="X1656" s="6">
        <v>532</v>
      </c>
      <c r="Y1656" s="6">
        <v>0</v>
      </c>
      <c r="Z1656" s="6">
        <v>0</v>
      </c>
      <c r="AA1656" s="6">
        <v>0</v>
      </c>
      <c r="AB1656" s="6">
        <v>0</v>
      </c>
      <c r="AC1656" s="7">
        <v>76</v>
      </c>
      <c r="AD1656" s="7" t="s">
        <v>52</v>
      </c>
      <c r="AE1656" s="7">
        <v>15.61</v>
      </c>
      <c r="AF1656" s="7">
        <v>350</v>
      </c>
      <c r="AG1656" s="7">
        <v>24.31</v>
      </c>
      <c r="AH1656" s="7">
        <v>29.74</v>
      </c>
      <c r="AI1656" s="7">
        <v>32.119999999999997</v>
      </c>
      <c r="AJ1656" s="9">
        <v>160.01915851713599</v>
      </c>
      <c r="AK1656" s="9">
        <v>166.06370012449301</v>
      </c>
      <c r="AL1656" s="9">
        <v>234.56360486179</v>
      </c>
      <c r="AM1656" s="9">
        <v>45.323362794236303</v>
      </c>
      <c r="AN1656" s="9">
        <v>0.59636003676626703</v>
      </c>
      <c r="AO1656" s="9">
        <v>0.475408019255248</v>
      </c>
      <c r="AP1656" s="9">
        <v>405.03387232781398</v>
      </c>
      <c r="AQ1656" s="9">
        <v>5.3293930569449302</v>
      </c>
      <c r="AR1656" s="9">
        <v>5.8198649804105003</v>
      </c>
      <c r="AS1656" s="8" t="s">
        <v>169</v>
      </c>
      <c r="AT1656" s="8" t="s">
        <v>169</v>
      </c>
      <c r="AU1656" s="10" t="s">
        <v>169</v>
      </c>
      <c r="AV1656" s="10">
        <v>0</v>
      </c>
      <c r="AW1656" s="8" t="s">
        <v>169</v>
      </c>
      <c r="AX1656" s="10" t="s">
        <v>169</v>
      </c>
      <c r="BF1656" s="12">
        <v>0.45</v>
      </c>
      <c r="BG1656" s="13">
        <v>183.83922531042799</v>
      </c>
      <c r="BH1656" s="96" t="str">
        <f>+VLOOKUP(G1656,Liste!$A$7:$G$50,3,FALSE)</f>
        <v>Pin d'Alep</v>
      </c>
      <c r="BI1656" s="96" t="str">
        <f>+VLOOKUP(H1656,Liste!$B$7:$G$50,5,FALSE)</f>
        <v>Pin d'Alep</v>
      </c>
      <c r="BJ1656" s="135">
        <f t="shared" si="494"/>
        <v>76</v>
      </c>
      <c r="BK1656" s="135" t="str">
        <f t="shared" si="496"/>
        <v>Pin d'Alep_F2_Classique_Pin d'Alep_76_</v>
      </c>
      <c r="BM1656" s="13">
        <v>49.255867519243303</v>
      </c>
      <c r="BN1656" s="13">
        <v>233.09509282967099</v>
      </c>
      <c r="BO1656" s="13" t="s">
        <v>169</v>
      </c>
      <c r="BP1656" s="13">
        <v>134.534925639471</v>
      </c>
      <c r="BQ1656" s="13">
        <v>5.5738095392313802</v>
      </c>
      <c r="BT1656" s="298" t="str">
        <f>+VLOOKUP(G1656,Liste!$A$7:$H$50,8,FALSE)</f>
        <v>Résineux</v>
      </c>
      <c r="BU1656" s="298">
        <f t="shared" si="497"/>
        <v>0</v>
      </c>
      <c r="BV1656" s="300">
        <f t="shared" si="498"/>
        <v>1</v>
      </c>
      <c r="BW1656" s="321">
        <v>0</v>
      </c>
      <c r="BX1656" s="298">
        <f t="shared" si="499"/>
        <v>0.43</v>
      </c>
      <c r="BY1656">
        <f t="shared" si="500"/>
        <v>0</v>
      </c>
      <c r="BZ1656" s="304">
        <f t="shared" si="501"/>
        <v>0</v>
      </c>
      <c r="CB1656" s="299">
        <v>0.6</v>
      </c>
      <c r="CC1656" s="299">
        <v>0.4</v>
      </c>
      <c r="CD1656">
        <f t="shared" si="502"/>
        <v>0</v>
      </c>
      <c r="CE1656">
        <f t="shared" si="503"/>
        <v>0</v>
      </c>
      <c r="CF1656">
        <f t="shared" si="504"/>
        <v>0</v>
      </c>
      <c r="CG1656">
        <f t="shared" si="505"/>
        <v>0</v>
      </c>
      <c r="CH1656">
        <f t="shared" si="506"/>
        <v>0</v>
      </c>
      <c r="CI1656">
        <f t="shared" si="507"/>
        <v>0</v>
      </c>
      <c r="CJ1656">
        <f t="shared" si="508"/>
        <v>0</v>
      </c>
      <c r="CK1656">
        <f t="shared" si="509"/>
        <v>0</v>
      </c>
      <c r="CL1656">
        <f t="shared" si="510"/>
        <v>0</v>
      </c>
      <c r="CM1656">
        <f t="shared" si="512"/>
        <v>0</v>
      </c>
      <c r="CN1656">
        <f t="shared" si="511"/>
        <v>0</v>
      </c>
      <c r="CO1656">
        <f t="shared" si="495"/>
        <v>0</v>
      </c>
    </row>
    <row r="1657" spans="2:93" x14ac:dyDescent="0.25">
      <c r="B1657" s="318">
        <v>44372</v>
      </c>
      <c r="C1657" s="4" t="s">
        <v>1524</v>
      </c>
      <c r="D1657" s="4" t="s">
        <v>1525</v>
      </c>
      <c r="F1657" s="4" t="s">
        <v>90</v>
      </c>
      <c r="G1657" s="5" t="s">
        <v>1514</v>
      </c>
      <c r="H1657" s="5" t="s">
        <v>1527</v>
      </c>
      <c r="I1657" s="5" t="s">
        <v>18</v>
      </c>
      <c r="J1657" s="5" t="s">
        <v>10</v>
      </c>
      <c r="K1657" s="5">
        <v>12</v>
      </c>
      <c r="L1657" s="5" t="s">
        <v>1528</v>
      </c>
      <c r="M1657" s="5">
        <v>1100</v>
      </c>
      <c r="N1657" s="5" t="s">
        <v>170</v>
      </c>
      <c r="O1657" s="6" t="s">
        <v>81</v>
      </c>
      <c r="P1657" s="6" t="s">
        <v>1530</v>
      </c>
      <c r="S1657" s="6">
        <v>18</v>
      </c>
      <c r="T1657" s="6">
        <v>4.34</v>
      </c>
      <c r="U1657" s="6">
        <v>1101</v>
      </c>
      <c r="V1657" s="6">
        <v>4.92</v>
      </c>
      <c r="W1657" s="6">
        <v>569</v>
      </c>
      <c r="X1657" s="6">
        <v>532</v>
      </c>
      <c r="Y1657" s="6">
        <v>0</v>
      </c>
      <c r="Z1657" s="6">
        <v>0</v>
      </c>
      <c r="AA1657" s="6">
        <v>0</v>
      </c>
      <c r="AB1657" s="6">
        <v>0</v>
      </c>
      <c r="AC1657" s="7">
        <v>77</v>
      </c>
      <c r="AD1657" s="7" t="s">
        <v>52</v>
      </c>
      <c r="AE1657" s="7">
        <v>15.72</v>
      </c>
      <c r="AF1657" s="7">
        <v>349</v>
      </c>
      <c r="AG1657" s="7">
        <v>24.72</v>
      </c>
      <c r="AH1657" s="7">
        <v>30.03</v>
      </c>
      <c r="AI1657" s="7">
        <v>32.46</v>
      </c>
      <c r="AJ1657" s="9">
        <v>163.717656710689</v>
      </c>
      <c r="AK1657" s="9">
        <v>169.93168655717699</v>
      </c>
      <c r="AL1657" s="9">
        <v>239.756188706214</v>
      </c>
      <c r="AM1657" s="9">
        <v>45.798770813491501</v>
      </c>
      <c r="AN1657" s="9">
        <v>0.59478923134404604</v>
      </c>
      <c r="AO1657" s="9">
        <v>0.47143783153927599</v>
      </c>
      <c r="AP1657" s="9">
        <v>410.85373730822499</v>
      </c>
      <c r="AQ1657" s="9">
        <v>5.3357628221847397</v>
      </c>
      <c r="AR1657" s="9">
        <v>5.8072351330178504</v>
      </c>
      <c r="AS1657" s="8" t="s">
        <v>169</v>
      </c>
      <c r="AT1657" s="8" t="s">
        <v>169</v>
      </c>
      <c r="AU1657" s="10" t="s">
        <v>169</v>
      </c>
      <c r="AV1657" s="10">
        <v>0</v>
      </c>
      <c r="AW1657" s="8" t="s">
        <v>169</v>
      </c>
      <c r="AX1657" s="10" t="s">
        <v>169</v>
      </c>
      <c r="BF1657" s="12">
        <v>0.45</v>
      </c>
      <c r="BG1657" s="13">
        <v>187.908912898495</v>
      </c>
      <c r="BH1657" s="96" t="str">
        <f>+VLOOKUP(G1657,Liste!$A$7:$G$50,3,FALSE)</f>
        <v>Pin d'Alep</v>
      </c>
      <c r="BI1657" s="96" t="str">
        <f>+VLOOKUP(H1657,Liste!$B$7:$G$50,5,FALSE)</f>
        <v>Pin d'Alep</v>
      </c>
      <c r="BJ1657" s="135">
        <f t="shared" si="494"/>
        <v>77</v>
      </c>
      <c r="BK1657" s="135" t="str">
        <f t="shared" si="496"/>
        <v>Pin d'Alep_F2_Classique_Pin d'Alep_77_</v>
      </c>
      <c r="BM1657" s="13">
        <v>50.2181027028792</v>
      </c>
      <c r="BN1657" s="13">
        <v>238.12701560137401</v>
      </c>
      <c r="BO1657" s="13" t="s">
        <v>169</v>
      </c>
      <c r="BP1657" s="13">
        <v>134.534925639471</v>
      </c>
      <c r="BQ1657" s="13">
        <v>5.5600509521394796</v>
      </c>
      <c r="BT1657" s="298" t="str">
        <f>+VLOOKUP(G1657,Liste!$A$7:$H$50,8,FALSE)</f>
        <v>Résineux</v>
      </c>
      <c r="BU1657" s="298">
        <f t="shared" si="497"/>
        <v>0</v>
      </c>
      <c r="BV1657" s="300">
        <f t="shared" si="498"/>
        <v>1</v>
      </c>
      <c r="BW1657" s="321">
        <v>0</v>
      </c>
      <c r="BX1657" s="298">
        <f t="shared" si="499"/>
        <v>0.43</v>
      </c>
      <c r="BY1657">
        <f t="shared" si="500"/>
        <v>0</v>
      </c>
      <c r="BZ1657" s="304">
        <f t="shared" si="501"/>
        <v>0</v>
      </c>
      <c r="CB1657" s="299">
        <v>0.6</v>
      </c>
      <c r="CC1657" s="299">
        <v>0.4</v>
      </c>
      <c r="CD1657">
        <f t="shared" si="502"/>
        <v>0</v>
      </c>
      <c r="CE1657">
        <f t="shared" si="503"/>
        <v>0</v>
      </c>
      <c r="CF1657">
        <f t="shared" si="504"/>
        <v>0</v>
      </c>
      <c r="CG1657">
        <f t="shared" si="505"/>
        <v>0</v>
      </c>
      <c r="CH1657">
        <f t="shared" si="506"/>
        <v>0</v>
      </c>
      <c r="CI1657">
        <f t="shared" si="507"/>
        <v>0</v>
      </c>
      <c r="CJ1657">
        <f t="shared" si="508"/>
        <v>0</v>
      </c>
      <c r="CK1657">
        <f t="shared" si="509"/>
        <v>0</v>
      </c>
      <c r="CL1657">
        <f t="shared" si="510"/>
        <v>0</v>
      </c>
      <c r="CM1657">
        <f t="shared" si="512"/>
        <v>0</v>
      </c>
      <c r="CN1657">
        <f t="shared" si="511"/>
        <v>0</v>
      </c>
      <c r="CO1657">
        <f t="shared" si="495"/>
        <v>0</v>
      </c>
    </row>
    <row r="1658" spans="2:93" x14ac:dyDescent="0.25">
      <c r="B1658" s="318">
        <v>44372</v>
      </c>
      <c r="C1658" s="4" t="s">
        <v>1524</v>
      </c>
      <c r="D1658" s="4" t="s">
        <v>1525</v>
      </c>
      <c r="F1658" s="4" t="s">
        <v>90</v>
      </c>
      <c r="G1658" s="5" t="s">
        <v>1514</v>
      </c>
      <c r="H1658" s="5" t="s">
        <v>1527</v>
      </c>
      <c r="I1658" s="5" t="s">
        <v>18</v>
      </c>
      <c r="J1658" s="5" t="s">
        <v>10</v>
      </c>
      <c r="K1658" s="5">
        <v>12</v>
      </c>
      <c r="L1658" s="5" t="s">
        <v>1528</v>
      </c>
      <c r="M1658" s="5">
        <v>1100</v>
      </c>
      <c r="N1658" s="5" t="s">
        <v>170</v>
      </c>
      <c r="O1658" s="6" t="s">
        <v>81</v>
      </c>
      <c r="P1658" s="6" t="s">
        <v>1530</v>
      </c>
      <c r="S1658" s="6">
        <v>18</v>
      </c>
      <c r="T1658" s="6">
        <v>4.34</v>
      </c>
      <c r="U1658" s="6">
        <v>1101</v>
      </c>
      <c r="V1658" s="6">
        <v>4.92</v>
      </c>
      <c r="W1658" s="6">
        <v>569</v>
      </c>
      <c r="X1658" s="6">
        <v>532</v>
      </c>
      <c r="Y1658" s="6">
        <v>0</v>
      </c>
      <c r="Z1658" s="6">
        <v>0</v>
      </c>
      <c r="AA1658" s="6">
        <v>0</v>
      </c>
      <c r="AB1658" s="6">
        <v>0</v>
      </c>
      <c r="AC1658" s="7">
        <v>78</v>
      </c>
      <c r="AD1658" s="7" t="s">
        <v>52</v>
      </c>
      <c r="AE1658" s="7">
        <v>15.83</v>
      </c>
      <c r="AF1658" s="7">
        <v>348</v>
      </c>
      <c r="AG1658" s="7">
        <v>25.14</v>
      </c>
      <c r="AH1658" s="7">
        <v>30.33</v>
      </c>
      <c r="AI1658" s="7">
        <v>32.799999999999997</v>
      </c>
      <c r="AJ1658" s="9">
        <v>167.461327509444</v>
      </c>
      <c r="AK1658" s="9">
        <v>173.847812276892</v>
      </c>
      <c r="AL1658" s="9">
        <v>245.01173782723399</v>
      </c>
      <c r="AM1658" s="9">
        <v>46.270208645030799</v>
      </c>
      <c r="AN1658" s="9">
        <v>0.59320780314141996</v>
      </c>
      <c r="AO1658" s="9">
        <v>0.468916475669303</v>
      </c>
      <c r="AP1658" s="9">
        <v>416.66097244124302</v>
      </c>
      <c r="AQ1658" s="9">
        <v>5.3418073389902903</v>
      </c>
      <c r="AR1658" s="9">
        <v>5.8028408654946597</v>
      </c>
      <c r="AS1658" s="8" t="s">
        <v>169</v>
      </c>
      <c r="AT1658" s="8" t="s">
        <v>169</v>
      </c>
      <c r="AU1658" s="10" t="s">
        <v>169</v>
      </c>
      <c r="AV1658" s="10">
        <v>0</v>
      </c>
      <c r="AW1658" s="8" t="s">
        <v>169</v>
      </c>
      <c r="AX1658" s="10" t="s">
        <v>169</v>
      </c>
      <c r="BF1658" s="12">
        <v>0.45</v>
      </c>
      <c r="BG1658" s="13">
        <v>192.02794952209501</v>
      </c>
      <c r="BH1658" s="96" t="str">
        <f>+VLOOKUP(G1658,Liste!$A$7:$G$50,3,FALSE)</f>
        <v>Pin d'Alep</v>
      </c>
      <c r="BI1658" s="96" t="str">
        <f>+VLOOKUP(H1658,Liste!$B$7:$G$50,5,FALSE)</f>
        <v>Pin d'Alep</v>
      </c>
      <c r="BJ1658" s="135">
        <f t="shared" si="494"/>
        <v>78</v>
      </c>
      <c r="BK1658" s="135" t="str">
        <f t="shared" si="496"/>
        <v>Pin d'Alep_F2_Classique_Pin d'Alep_78_</v>
      </c>
      <c r="BM1658" s="13">
        <v>51.1895390357043</v>
      </c>
      <c r="BN1658" s="13">
        <v>243.21748855779899</v>
      </c>
      <c r="BO1658" s="13" t="s">
        <v>169</v>
      </c>
      <c r="BP1658" s="13">
        <v>134.534925639471</v>
      </c>
      <c r="BQ1658" s="13">
        <v>5.5542105129103998</v>
      </c>
      <c r="BT1658" s="298" t="str">
        <f>+VLOOKUP(G1658,Liste!$A$7:$H$50,8,FALSE)</f>
        <v>Résineux</v>
      </c>
      <c r="BU1658" s="298">
        <f t="shared" si="497"/>
        <v>0</v>
      </c>
      <c r="BV1658" s="300">
        <f t="shared" si="498"/>
        <v>1</v>
      </c>
      <c r="BW1658" s="321">
        <v>0</v>
      </c>
      <c r="BX1658" s="298">
        <f t="shared" si="499"/>
        <v>0.43</v>
      </c>
      <c r="BY1658">
        <f t="shared" si="500"/>
        <v>0</v>
      </c>
      <c r="BZ1658" s="304">
        <f t="shared" si="501"/>
        <v>0</v>
      </c>
      <c r="CB1658" s="299">
        <v>0.6</v>
      </c>
      <c r="CC1658" s="299">
        <v>0.4</v>
      </c>
      <c r="CD1658">
        <f t="shared" si="502"/>
        <v>0</v>
      </c>
      <c r="CE1658">
        <f t="shared" si="503"/>
        <v>0</v>
      </c>
      <c r="CF1658">
        <f t="shared" si="504"/>
        <v>0</v>
      </c>
      <c r="CG1658">
        <f t="shared" si="505"/>
        <v>0</v>
      </c>
      <c r="CH1658">
        <f t="shared" si="506"/>
        <v>0</v>
      </c>
      <c r="CI1658">
        <f t="shared" si="507"/>
        <v>0</v>
      </c>
      <c r="CJ1658">
        <f t="shared" si="508"/>
        <v>0</v>
      </c>
      <c r="CK1658">
        <f t="shared" si="509"/>
        <v>0</v>
      </c>
      <c r="CL1658">
        <f t="shared" si="510"/>
        <v>0</v>
      </c>
      <c r="CM1658">
        <f t="shared" si="512"/>
        <v>0</v>
      </c>
      <c r="CN1658">
        <f t="shared" si="511"/>
        <v>0</v>
      </c>
      <c r="CO1658">
        <f t="shared" si="495"/>
        <v>0</v>
      </c>
    </row>
    <row r="1659" spans="2:93" x14ac:dyDescent="0.25">
      <c r="B1659" s="318">
        <v>44372</v>
      </c>
      <c r="C1659" s="4" t="s">
        <v>1524</v>
      </c>
      <c r="D1659" s="4" t="s">
        <v>1525</v>
      </c>
      <c r="F1659" s="4" t="s">
        <v>90</v>
      </c>
      <c r="G1659" s="5" t="s">
        <v>1514</v>
      </c>
      <c r="H1659" s="5" t="s">
        <v>1527</v>
      </c>
      <c r="I1659" s="5" t="s">
        <v>18</v>
      </c>
      <c r="J1659" s="5" t="s">
        <v>10</v>
      </c>
      <c r="K1659" s="5">
        <v>12</v>
      </c>
      <c r="L1659" s="5" t="s">
        <v>1528</v>
      </c>
      <c r="M1659" s="5">
        <v>1100</v>
      </c>
      <c r="N1659" s="5" t="s">
        <v>170</v>
      </c>
      <c r="O1659" s="6" t="s">
        <v>81</v>
      </c>
      <c r="P1659" s="6" t="s">
        <v>1530</v>
      </c>
      <c r="S1659" s="6">
        <v>18</v>
      </c>
      <c r="T1659" s="6">
        <v>4.34</v>
      </c>
      <c r="U1659" s="6">
        <v>1101</v>
      </c>
      <c r="V1659" s="6">
        <v>4.92</v>
      </c>
      <c r="W1659" s="6">
        <v>569</v>
      </c>
      <c r="X1659" s="6">
        <v>532</v>
      </c>
      <c r="Y1659" s="6">
        <v>0</v>
      </c>
      <c r="Z1659" s="6">
        <v>0</v>
      </c>
      <c r="AA1659" s="6">
        <v>0</v>
      </c>
      <c r="AB1659" s="6">
        <v>0</v>
      </c>
      <c r="AC1659" s="7">
        <v>79</v>
      </c>
      <c r="AD1659" s="7" t="s">
        <v>52</v>
      </c>
      <c r="AE1659" s="7">
        <v>15.93</v>
      </c>
      <c r="AF1659" s="7">
        <v>348</v>
      </c>
      <c r="AG1659" s="7">
        <v>25.6</v>
      </c>
      <c r="AH1659" s="7">
        <v>30.61</v>
      </c>
      <c r="AI1659" s="7">
        <v>33.14</v>
      </c>
      <c r="AJ1659" s="9">
        <v>171.58078601497101</v>
      </c>
      <c r="AK1659" s="9">
        <v>178.15333532697599</v>
      </c>
      <c r="AL1659" s="9">
        <v>250.81457869272899</v>
      </c>
      <c r="AM1659" s="9">
        <v>46.739125120700102</v>
      </c>
      <c r="AN1659" s="9">
        <v>0.59163449519873501</v>
      </c>
      <c r="AO1659" s="9">
        <v>0.46653317708849301</v>
      </c>
      <c r="AP1659" s="9">
        <v>422.46381330673802</v>
      </c>
      <c r="AQ1659" s="9">
        <v>5.3476432064143999</v>
      </c>
      <c r="AR1659" s="9">
        <v>5.7937115464528697</v>
      </c>
      <c r="AS1659" s="8" t="s">
        <v>169</v>
      </c>
      <c r="AT1659" s="8" t="s">
        <v>169</v>
      </c>
      <c r="AU1659" s="10" t="s">
        <v>169</v>
      </c>
      <c r="AV1659" s="10">
        <v>0</v>
      </c>
      <c r="AW1659" s="8" t="s">
        <v>169</v>
      </c>
      <c r="AX1659" s="10" t="s">
        <v>169</v>
      </c>
      <c r="BF1659" s="12">
        <v>0.45</v>
      </c>
      <c r="BG1659" s="13">
        <v>196.57592605042601</v>
      </c>
      <c r="BH1659" s="96" t="str">
        <f>+VLOOKUP(G1659,Liste!$A$7:$G$50,3,FALSE)</f>
        <v>Pin d'Alep</v>
      </c>
      <c r="BI1659" s="96" t="str">
        <f>+VLOOKUP(H1659,Liste!$B$7:$G$50,5,FALSE)</f>
        <v>Pin d'Alep</v>
      </c>
      <c r="BJ1659" s="135">
        <f t="shared" si="494"/>
        <v>79</v>
      </c>
      <c r="BK1659" s="135" t="str">
        <f t="shared" si="496"/>
        <v>Pin d'Alep_F2_Classique_Pin d'Alep_79_</v>
      </c>
      <c r="BM1659" s="13">
        <v>52.259324931112403</v>
      </c>
      <c r="BN1659" s="13">
        <v>248.835250981538</v>
      </c>
      <c r="BO1659" s="13" t="s">
        <v>169</v>
      </c>
      <c r="BP1659" s="13">
        <v>134.534925639471</v>
      </c>
      <c r="BQ1659" s="13">
        <v>5.5438685585115799</v>
      </c>
      <c r="BT1659" s="298" t="str">
        <f>+VLOOKUP(G1659,Liste!$A$7:$H$50,8,FALSE)</f>
        <v>Résineux</v>
      </c>
      <c r="BU1659" s="298">
        <f t="shared" si="497"/>
        <v>0</v>
      </c>
      <c r="BV1659" s="300">
        <f t="shared" si="498"/>
        <v>1</v>
      </c>
      <c r="BW1659" s="321">
        <v>0</v>
      </c>
      <c r="BX1659" s="298">
        <f t="shared" si="499"/>
        <v>0.43</v>
      </c>
      <c r="BY1659">
        <f t="shared" si="500"/>
        <v>0</v>
      </c>
      <c r="BZ1659" s="304">
        <f t="shared" si="501"/>
        <v>0</v>
      </c>
      <c r="CB1659" s="299">
        <v>0.6</v>
      </c>
      <c r="CC1659" s="299">
        <v>0.4</v>
      </c>
      <c r="CD1659">
        <f t="shared" si="502"/>
        <v>0</v>
      </c>
      <c r="CE1659">
        <f t="shared" si="503"/>
        <v>0</v>
      </c>
      <c r="CF1659">
        <f t="shared" si="504"/>
        <v>0</v>
      </c>
      <c r="CG1659">
        <f t="shared" si="505"/>
        <v>0</v>
      </c>
      <c r="CH1659">
        <f t="shared" si="506"/>
        <v>0</v>
      </c>
      <c r="CI1659">
        <f t="shared" si="507"/>
        <v>0</v>
      </c>
      <c r="CJ1659">
        <f t="shared" si="508"/>
        <v>0</v>
      </c>
      <c r="CK1659">
        <f t="shared" si="509"/>
        <v>0</v>
      </c>
      <c r="CL1659">
        <f t="shared" si="510"/>
        <v>0</v>
      </c>
      <c r="CM1659">
        <f t="shared" si="512"/>
        <v>0</v>
      </c>
      <c r="CN1659">
        <f t="shared" si="511"/>
        <v>0</v>
      </c>
      <c r="CO1659">
        <f t="shared" si="495"/>
        <v>0</v>
      </c>
    </row>
    <row r="1660" spans="2:93" x14ac:dyDescent="0.25">
      <c r="B1660" s="318">
        <v>44372</v>
      </c>
      <c r="C1660" s="4" t="s">
        <v>1524</v>
      </c>
      <c r="D1660" s="4" t="s">
        <v>1525</v>
      </c>
      <c r="F1660" s="4" t="s">
        <v>90</v>
      </c>
      <c r="G1660" s="5" t="s">
        <v>1514</v>
      </c>
      <c r="H1660" s="5" t="s">
        <v>1527</v>
      </c>
      <c r="I1660" s="5" t="s">
        <v>18</v>
      </c>
      <c r="J1660" s="5" t="s">
        <v>10</v>
      </c>
      <c r="K1660" s="5">
        <v>12</v>
      </c>
      <c r="L1660" s="5" t="s">
        <v>1528</v>
      </c>
      <c r="M1660" s="5">
        <v>1100</v>
      </c>
      <c r="N1660" s="5" t="s">
        <v>170</v>
      </c>
      <c r="O1660" s="6" t="s">
        <v>81</v>
      </c>
      <c r="P1660" s="6" t="s">
        <v>1530</v>
      </c>
      <c r="S1660" s="6">
        <v>18</v>
      </c>
      <c r="T1660" s="6">
        <v>4.34</v>
      </c>
      <c r="U1660" s="6">
        <v>1101</v>
      </c>
      <c r="V1660" s="6">
        <v>4.92</v>
      </c>
      <c r="W1660" s="6">
        <v>569</v>
      </c>
      <c r="X1660" s="6">
        <v>532</v>
      </c>
      <c r="Y1660" s="6">
        <v>0</v>
      </c>
      <c r="Z1660" s="6">
        <v>0</v>
      </c>
      <c r="AA1660" s="6">
        <v>0</v>
      </c>
      <c r="AB1660" s="6">
        <v>0</v>
      </c>
      <c r="AC1660" s="7">
        <v>80</v>
      </c>
      <c r="AD1660" s="7" t="s">
        <v>52</v>
      </c>
      <c r="AE1660" s="7">
        <v>16.04</v>
      </c>
      <c r="AF1660" s="7">
        <v>348</v>
      </c>
      <c r="AG1660" s="7">
        <v>26.07</v>
      </c>
      <c r="AH1660" s="7">
        <v>30.88</v>
      </c>
      <c r="AI1660" s="7">
        <v>33.47</v>
      </c>
      <c r="AJ1660" s="9">
        <v>175.69294231441401</v>
      </c>
      <c r="AK1660" s="9">
        <v>182.45247163807099</v>
      </c>
      <c r="AL1660" s="9">
        <v>256.60829023918097</v>
      </c>
      <c r="AM1660" s="9">
        <v>47.205658297788602</v>
      </c>
      <c r="AN1660" s="9">
        <v>0.590070728722357</v>
      </c>
      <c r="AO1660" s="9">
        <v>0.31148950850602802</v>
      </c>
      <c r="AP1660" s="9">
        <v>428.25752485318998</v>
      </c>
      <c r="AQ1660" s="9">
        <v>5.3532190606648804</v>
      </c>
      <c r="AR1660" s="9">
        <v>3.8145844151509301</v>
      </c>
      <c r="AS1660" s="8" t="s">
        <v>169</v>
      </c>
      <c r="AT1660" s="8" t="s">
        <v>169</v>
      </c>
      <c r="AU1660" s="10" t="s">
        <v>169</v>
      </c>
      <c r="AV1660" s="10">
        <v>0</v>
      </c>
      <c r="AW1660" s="8" t="s">
        <v>169</v>
      </c>
      <c r="AX1660" s="10" t="s">
        <v>169</v>
      </c>
      <c r="BF1660" s="12">
        <v>0.45</v>
      </c>
      <c r="BG1660" s="13">
        <v>201.116747474958</v>
      </c>
      <c r="BH1660" s="96" t="str">
        <f>+VLOOKUP(G1660,Liste!$A$7:$G$50,3,FALSE)</f>
        <v>Pin d'Alep</v>
      </c>
      <c r="BI1660" s="96" t="str">
        <f>+VLOOKUP(H1660,Liste!$B$7:$G$50,5,FALSE)</f>
        <v>Pin d'Alep</v>
      </c>
      <c r="BJ1660" s="135">
        <f t="shared" si="494"/>
        <v>80</v>
      </c>
      <c r="BK1660" s="135" t="str">
        <f t="shared" si="496"/>
        <v>Pin d'Alep_F2_Classique_Pin d'Alep_80_</v>
      </c>
      <c r="BM1660" s="13">
        <v>53.324557175284497</v>
      </c>
      <c r="BN1660" s="13">
        <v>254.44130465024301</v>
      </c>
      <c r="BO1660" s="13" t="s">
        <v>169</v>
      </c>
      <c r="BP1660" s="13">
        <v>134.534925639471</v>
      </c>
      <c r="BQ1660" s="13">
        <v>3.6492244285464599</v>
      </c>
      <c r="BT1660" s="298" t="str">
        <f>+VLOOKUP(G1660,Liste!$A$7:$H$50,8,FALSE)</f>
        <v>Résineux</v>
      </c>
      <c r="BU1660" s="298">
        <f t="shared" si="497"/>
        <v>0</v>
      </c>
      <c r="BV1660" s="300">
        <f t="shared" si="498"/>
        <v>1</v>
      </c>
      <c r="BW1660" s="321">
        <v>0</v>
      </c>
      <c r="BX1660" s="298">
        <f t="shared" si="499"/>
        <v>0.43</v>
      </c>
      <c r="BY1660">
        <f t="shared" si="500"/>
        <v>0</v>
      </c>
      <c r="BZ1660" s="304">
        <f t="shared" si="501"/>
        <v>0</v>
      </c>
      <c r="CB1660" s="299">
        <v>0.6</v>
      </c>
      <c r="CC1660" s="299">
        <v>0.4</v>
      </c>
      <c r="CD1660">
        <f t="shared" si="502"/>
        <v>0</v>
      </c>
      <c r="CE1660">
        <f t="shared" si="503"/>
        <v>0</v>
      </c>
      <c r="CF1660">
        <f t="shared" si="504"/>
        <v>0</v>
      </c>
      <c r="CG1660">
        <f t="shared" si="505"/>
        <v>0</v>
      </c>
      <c r="CH1660">
        <f t="shared" si="506"/>
        <v>0</v>
      </c>
      <c r="CI1660">
        <f t="shared" si="507"/>
        <v>0</v>
      </c>
      <c r="CJ1660">
        <f t="shared" si="508"/>
        <v>0</v>
      </c>
      <c r="CK1660">
        <f t="shared" si="509"/>
        <v>0</v>
      </c>
      <c r="CL1660">
        <f t="shared" si="510"/>
        <v>0</v>
      </c>
      <c r="CM1660">
        <f t="shared" si="512"/>
        <v>0</v>
      </c>
      <c r="CN1660">
        <f t="shared" si="511"/>
        <v>0</v>
      </c>
      <c r="CO1660">
        <f t="shared" si="495"/>
        <v>0</v>
      </c>
    </row>
    <row r="1661" spans="2:93" x14ac:dyDescent="0.25">
      <c r="B1661" s="318">
        <v>44372</v>
      </c>
      <c r="C1661" s="4" t="s">
        <v>1524</v>
      </c>
      <c r="D1661" s="4" t="s">
        <v>1525</v>
      </c>
      <c r="F1661" s="4" t="s">
        <v>90</v>
      </c>
      <c r="G1661" s="5" t="s">
        <v>1514</v>
      </c>
      <c r="H1661" s="5" t="s">
        <v>1527</v>
      </c>
      <c r="I1661" s="5" t="s">
        <v>18</v>
      </c>
      <c r="J1661" s="5" t="s">
        <v>10</v>
      </c>
      <c r="K1661" s="5">
        <v>12</v>
      </c>
      <c r="L1661" s="5" t="s">
        <v>1528</v>
      </c>
      <c r="M1661" s="5">
        <v>1100</v>
      </c>
      <c r="N1661" s="5" t="s">
        <v>170</v>
      </c>
      <c r="O1661" s="6" t="s">
        <v>81</v>
      </c>
      <c r="P1661" s="6" t="s">
        <v>1530</v>
      </c>
      <c r="S1661" s="6">
        <v>18</v>
      </c>
      <c r="T1661" s="6">
        <v>4.34</v>
      </c>
      <c r="U1661" s="6">
        <v>1101</v>
      </c>
      <c r="V1661" s="6">
        <v>4.92</v>
      </c>
      <c r="W1661" s="6">
        <v>569</v>
      </c>
      <c r="X1661" s="6">
        <v>532</v>
      </c>
      <c r="Y1661" s="6">
        <v>0</v>
      </c>
      <c r="Z1661" s="6">
        <v>0</v>
      </c>
      <c r="AA1661" s="6">
        <v>0</v>
      </c>
      <c r="AB1661" s="6">
        <v>0</v>
      </c>
      <c r="AC1661" s="7">
        <v>80</v>
      </c>
      <c r="AD1661" s="7" t="s">
        <v>53</v>
      </c>
      <c r="AE1661" s="7">
        <v>16.04</v>
      </c>
      <c r="AF1661" s="7">
        <v>151</v>
      </c>
      <c r="AG1661" s="7">
        <v>12.83</v>
      </c>
      <c r="AH1661" s="7">
        <v>32.89</v>
      </c>
      <c r="AI1661" s="7">
        <v>33.47</v>
      </c>
      <c r="AJ1661" s="9">
        <v>87.355877725159203</v>
      </c>
      <c r="AK1661" s="9">
        <v>90.930588531599</v>
      </c>
      <c r="AL1661" s="9">
        <v>127.936817909179</v>
      </c>
      <c r="AM1661" s="9">
        <v>47.205658297788602</v>
      </c>
      <c r="AN1661" s="9">
        <v>0.590070728722357</v>
      </c>
      <c r="AO1661" s="9">
        <v>0.31148950850602802</v>
      </c>
      <c r="AP1661" s="9">
        <v>428.25752485318998</v>
      </c>
      <c r="AQ1661" s="9">
        <v>5.3532190606648804</v>
      </c>
      <c r="AR1661" s="9">
        <v>3.8145844151509301</v>
      </c>
      <c r="AS1661" s="8">
        <v>197</v>
      </c>
      <c r="AT1661" s="8">
        <v>13.24</v>
      </c>
      <c r="AU1661" s="10">
        <v>29.252698753796778</v>
      </c>
      <c r="AV1661" s="10">
        <v>88.337064589254808</v>
      </c>
      <c r="AW1661" s="8">
        <v>0.9</v>
      </c>
      <c r="AX1661" s="10">
        <v>0.44841149537692798</v>
      </c>
      <c r="BF1661" s="12">
        <v>0.45</v>
      </c>
      <c r="BG1661" s="13">
        <v>100.270481036319</v>
      </c>
      <c r="BH1661" s="96" t="str">
        <f>+VLOOKUP(G1661,Liste!$A$7:$G$50,3,FALSE)</f>
        <v>Pin d'Alep</v>
      </c>
      <c r="BI1661" s="96" t="str">
        <f>+VLOOKUP(H1661,Liste!$B$7:$G$50,5,FALSE)</f>
        <v>Pin d'Alep</v>
      </c>
      <c r="BJ1661" s="135">
        <f t="shared" si="494"/>
        <v>80</v>
      </c>
      <c r="BK1661" s="135" t="str">
        <f t="shared" si="496"/>
        <v>Pin d'Alep_F2_Classique_Pin d'Alep_80_</v>
      </c>
      <c r="BM1661" s="13">
        <v>28.8294890447496</v>
      </c>
      <c r="BN1661" s="13">
        <v>129.09997008106899</v>
      </c>
      <c r="BO1661" s="13">
        <v>125.34133456917402</v>
      </c>
      <c r="BP1661" s="13">
        <v>134.534925639471</v>
      </c>
      <c r="BQ1661" s="13">
        <v>3.6492244285464599</v>
      </c>
      <c r="BT1661" s="298" t="str">
        <f>+VLOOKUP(G1661,Liste!$A$7:$H$50,8,FALSE)</f>
        <v>Résineux</v>
      </c>
      <c r="BU1661" s="298">
        <f t="shared" si="497"/>
        <v>0</v>
      </c>
      <c r="BV1661" s="300">
        <f t="shared" si="498"/>
        <v>1</v>
      </c>
      <c r="BW1661" s="321">
        <v>0</v>
      </c>
      <c r="BX1661" s="298">
        <f t="shared" si="499"/>
        <v>0.43</v>
      </c>
      <c r="BY1661">
        <f t="shared" si="500"/>
        <v>0</v>
      </c>
      <c r="BZ1661" s="304">
        <f t="shared" si="501"/>
        <v>0</v>
      </c>
      <c r="CB1661" s="299">
        <v>0.6</v>
      </c>
      <c r="CC1661" s="299">
        <v>0.4</v>
      </c>
      <c r="CD1661">
        <f t="shared" si="502"/>
        <v>0</v>
      </c>
      <c r="CE1661">
        <f t="shared" si="503"/>
        <v>0</v>
      </c>
      <c r="CF1661">
        <f t="shared" si="504"/>
        <v>0</v>
      </c>
      <c r="CG1661">
        <f t="shared" si="505"/>
        <v>0</v>
      </c>
      <c r="CH1661">
        <f t="shared" si="506"/>
        <v>0</v>
      </c>
      <c r="CI1661">
        <f t="shared" si="507"/>
        <v>0</v>
      </c>
      <c r="CJ1661">
        <f t="shared" si="508"/>
        <v>0</v>
      </c>
      <c r="CK1661">
        <f t="shared" si="509"/>
        <v>0</v>
      </c>
      <c r="CL1661">
        <f t="shared" si="510"/>
        <v>0</v>
      </c>
      <c r="CM1661">
        <f t="shared" si="512"/>
        <v>0</v>
      </c>
      <c r="CN1661">
        <f t="shared" si="511"/>
        <v>0</v>
      </c>
      <c r="CO1661">
        <f t="shared" si="495"/>
        <v>0</v>
      </c>
    </row>
    <row r="1662" spans="2:93" x14ac:dyDescent="0.25">
      <c r="B1662" s="318">
        <v>44372</v>
      </c>
      <c r="C1662" s="4" t="s">
        <v>1524</v>
      </c>
      <c r="D1662" s="4" t="s">
        <v>1525</v>
      </c>
      <c r="F1662" s="4" t="s">
        <v>90</v>
      </c>
      <c r="G1662" s="5" t="s">
        <v>1514</v>
      </c>
      <c r="H1662" s="5" t="s">
        <v>1527</v>
      </c>
      <c r="I1662" s="5" t="s">
        <v>18</v>
      </c>
      <c r="J1662" s="5" t="s">
        <v>10</v>
      </c>
      <c r="K1662" s="5">
        <v>12</v>
      </c>
      <c r="L1662" s="5" t="s">
        <v>1528</v>
      </c>
      <c r="M1662" s="5">
        <v>1100</v>
      </c>
      <c r="N1662" s="5" t="s">
        <v>170</v>
      </c>
      <c r="O1662" s="6" t="s">
        <v>81</v>
      </c>
      <c r="P1662" s="6" t="s">
        <v>1530</v>
      </c>
      <c r="S1662" s="6">
        <v>18</v>
      </c>
      <c r="T1662" s="6">
        <v>4.34</v>
      </c>
      <c r="U1662" s="6">
        <v>1101</v>
      </c>
      <c r="V1662" s="6">
        <v>4.92</v>
      </c>
      <c r="W1662" s="6">
        <v>569</v>
      </c>
      <c r="X1662" s="6">
        <v>532</v>
      </c>
      <c r="Y1662" s="6">
        <v>0</v>
      </c>
      <c r="Z1662" s="6">
        <v>0</v>
      </c>
      <c r="AA1662" s="6">
        <v>0</v>
      </c>
      <c r="AB1662" s="6">
        <v>0</v>
      </c>
      <c r="AC1662" s="7">
        <v>81</v>
      </c>
      <c r="AD1662" s="7" t="s">
        <v>52</v>
      </c>
      <c r="AE1662" s="7">
        <v>16.14</v>
      </c>
      <c r="AF1662" s="7">
        <v>151</v>
      </c>
      <c r="AG1662" s="7">
        <v>13.14</v>
      </c>
      <c r="AH1662" s="7">
        <v>33.29</v>
      </c>
      <c r="AI1662" s="7">
        <v>33.880000000000003</v>
      </c>
      <c r="AJ1662" s="9">
        <v>90.018937069952401</v>
      </c>
      <c r="AK1662" s="9">
        <v>93.728622928644697</v>
      </c>
      <c r="AL1662" s="9">
        <v>131.75140232433</v>
      </c>
      <c r="AM1662" s="9">
        <v>47.517147806294602</v>
      </c>
      <c r="AN1662" s="9">
        <v>0.58663145439869901</v>
      </c>
      <c r="AO1662" s="9">
        <v>0.31226871773190401</v>
      </c>
      <c r="AP1662" s="9">
        <v>432.07210926834102</v>
      </c>
      <c r="AQ1662" s="9">
        <v>5.33422357121409</v>
      </c>
      <c r="AR1662" s="9">
        <v>3.7834289260806599</v>
      </c>
      <c r="AS1662" s="8" t="s">
        <v>169</v>
      </c>
      <c r="AT1662" s="8" t="s">
        <v>169</v>
      </c>
      <c r="AU1662" s="10" t="s">
        <v>169</v>
      </c>
      <c r="AV1662" s="10">
        <v>0</v>
      </c>
      <c r="AX1662" s="10" t="s">
        <v>169</v>
      </c>
      <c r="BF1662" s="12">
        <v>0.45</v>
      </c>
      <c r="BG1662" s="13">
        <v>103.260161571694</v>
      </c>
      <c r="BH1662" s="96" t="str">
        <f>+VLOOKUP(G1662,Liste!$A$7:$G$50,3,FALSE)</f>
        <v>Pin d'Alep</v>
      </c>
      <c r="BI1662" s="96" t="str">
        <f>+VLOOKUP(H1662,Liste!$B$7:$G$50,5,FALSE)</f>
        <v>Pin d'Alep</v>
      </c>
      <c r="BJ1662" s="135">
        <f t="shared" si="494"/>
        <v>81</v>
      </c>
      <c r="BK1662" s="135" t="str">
        <f t="shared" si="496"/>
        <v>Pin d'Alep_F2_Classique_Pin d'Alep_81_</v>
      </c>
      <c r="BM1662" s="13">
        <v>29.587714391995899</v>
      </c>
      <c r="BN1662" s="13">
        <v>132.84787596369</v>
      </c>
      <c r="BO1662" s="13" t="s">
        <v>169</v>
      </c>
      <c r="BP1662" s="13">
        <v>134.534925639471</v>
      </c>
      <c r="BQ1662" s="13">
        <v>3.6187503310454798</v>
      </c>
      <c r="BT1662" s="298" t="str">
        <f>+VLOOKUP(G1662,Liste!$A$7:$H$50,8,FALSE)</f>
        <v>Résineux</v>
      </c>
      <c r="BU1662" s="298">
        <f t="shared" si="497"/>
        <v>0</v>
      </c>
      <c r="BV1662" s="300">
        <f t="shared" si="498"/>
        <v>1</v>
      </c>
      <c r="BW1662" s="321">
        <v>0</v>
      </c>
      <c r="BX1662" s="298">
        <f t="shared" si="499"/>
        <v>0.43</v>
      </c>
      <c r="BY1662">
        <f t="shared" si="500"/>
        <v>0</v>
      </c>
      <c r="BZ1662" s="304">
        <f t="shared" si="501"/>
        <v>0</v>
      </c>
      <c r="CB1662" s="299">
        <v>0.6</v>
      </c>
      <c r="CC1662" s="299">
        <v>0.4</v>
      </c>
      <c r="CD1662">
        <f t="shared" si="502"/>
        <v>0</v>
      </c>
      <c r="CE1662">
        <f t="shared" si="503"/>
        <v>0</v>
      </c>
      <c r="CF1662">
        <f t="shared" si="504"/>
        <v>0</v>
      </c>
      <c r="CG1662">
        <f t="shared" si="505"/>
        <v>0</v>
      </c>
      <c r="CH1662">
        <f t="shared" si="506"/>
        <v>0</v>
      </c>
      <c r="CI1662">
        <f t="shared" si="507"/>
        <v>0</v>
      </c>
      <c r="CJ1662">
        <f t="shared" si="508"/>
        <v>0</v>
      </c>
      <c r="CK1662">
        <f t="shared" si="509"/>
        <v>0</v>
      </c>
      <c r="CL1662">
        <f t="shared" si="510"/>
        <v>0</v>
      </c>
      <c r="CM1662">
        <f t="shared" si="512"/>
        <v>0</v>
      </c>
      <c r="CN1662">
        <f t="shared" si="511"/>
        <v>0</v>
      </c>
      <c r="CO1662">
        <f t="shared" si="495"/>
        <v>0</v>
      </c>
    </row>
    <row r="1663" spans="2:93" x14ac:dyDescent="0.25">
      <c r="B1663" s="318">
        <v>44372</v>
      </c>
      <c r="C1663" s="4" t="s">
        <v>1524</v>
      </c>
      <c r="D1663" s="4" t="s">
        <v>1525</v>
      </c>
      <c r="F1663" s="4" t="s">
        <v>90</v>
      </c>
      <c r="G1663" s="5" t="s">
        <v>1514</v>
      </c>
      <c r="H1663" s="5" t="s">
        <v>1527</v>
      </c>
      <c r="I1663" s="5" t="s">
        <v>18</v>
      </c>
      <c r="J1663" s="5" t="s">
        <v>10</v>
      </c>
      <c r="K1663" s="5">
        <v>12</v>
      </c>
      <c r="L1663" s="5" t="s">
        <v>1528</v>
      </c>
      <c r="M1663" s="5">
        <v>1100</v>
      </c>
      <c r="N1663" s="5" t="s">
        <v>170</v>
      </c>
      <c r="O1663" s="6" t="s">
        <v>81</v>
      </c>
      <c r="P1663" s="6" t="s">
        <v>1530</v>
      </c>
      <c r="S1663" s="6">
        <v>18</v>
      </c>
      <c r="T1663" s="6">
        <v>4.34</v>
      </c>
      <c r="U1663" s="6">
        <v>1101</v>
      </c>
      <c r="V1663" s="6">
        <v>4.92</v>
      </c>
      <c r="W1663" s="6">
        <v>569</v>
      </c>
      <c r="X1663" s="6">
        <v>532</v>
      </c>
      <c r="Y1663" s="6">
        <v>0</v>
      </c>
      <c r="Z1663" s="6">
        <v>0</v>
      </c>
      <c r="AA1663" s="6">
        <v>0</v>
      </c>
      <c r="AB1663" s="6">
        <v>0</v>
      </c>
      <c r="AC1663" s="7">
        <v>82</v>
      </c>
      <c r="AD1663" s="7" t="s">
        <v>52</v>
      </c>
      <c r="AE1663" s="7">
        <v>16.239999999999998</v>
      </c>
      <c r="AF1663" s="7">
        <v>151</v>
      </c>
      <c r="AG1663" s="7">
        <v>13.45</v>
      </c>
      <c r="AH1663" s="7">
        <v>33.68</v>
      </c>
      <c r="AI1663" s="7">
        <v>34.29</v>
      </c>
      <c r="AJ1663" s="9">
        <v>92.642090262798405</v>
      </c>
      <c r="AK1663" s="9">
        <v>96.489547115098702</v>
      </c>
      <c r="AL1663" s="9">
        <v>135.534831250411</v>
      </c>
      <c r="AM1663" s="9">
        <v>47.829416524026499</v>
      </c>
      <c r="AN1663" s="9">
        <v>0.58328556736617698</v>
      </c>
      <c r="AO1663" s="9">
        <v>0.31321571156741601</v>
      </c>
      <c r="AP1663" s="9">
        <v>435.85553819442202</v>
      </c>
      <c r="AQ1663" s="9">
        <v>5.3153114413953899</v>
      </c>
      <c r="AR1663" s="9">
        <v>3.8284873840016198</v>
      </c>
      <c r="AS1663" s="8" t="s">
        <v>169</v>
      </c>
      <c r="AT1663" s="8" t="s">
        <v>169</v>
      </c>
      <c r="AU1663" s="10" t="s">
        <v>169</v>
      </c>
      <c r="AV1663" s="10">
        <v>0</v>
      </c>
      <c r="AW1663" s="8" t="s">
        <v>169</v>
      </c>
      <c r="AX1663" s="10" t="s">
        <v>169</v>
      </c>
      <c r="BF1663" s="12">
        <v>0.45</v>
      </c>
      <c r="BG1663" s="13">
        <v>106.22542399250899</v>
      </c>
      <c r="BH1663" s="96" t="str">
        <f>+VLOOKUP(G1663,Liste!$A$7:$G$50,3,FALSE)</f>
        <v>Pin d'Alep</v>
      </c>
      <c r="BI1663" s="96" t="str">
        <f>+VLOOKUP(H1663,Liste!$B$7:$G$50,5,FALSE)</f>
        <v>Pin d'Alep</v>
      </c>
      <c r="BJ1663" s="135">
        <f t="shared" si="494"/>
        <v>82</v>
      </c>
      <c r="BK1663" s="135" t="str">
        <f t="shared" si="496"/>
        <v>Pin d'Alep_F2_Classique_Pin d'Alep_82_</v>
      </c>
      <c r="BM1663" s="13">
        <v>30.337226529627401</v>
      </c>
      <c r="BN1663" s="13">
        <v>136.56265052213701</v>
      </c>
      <c r="BO1663" s="13" t="s">
        <v>169</v>
      </c>
      <c r="BP1663" s="13">
        <v>134.534925639471</v>
      </c>
      <c r="BQ1663" s="13">
        <v>3.66117578753909</v>
      </c>
      <c r="BT1663" s="298" t="str">
        <f>+VLOOKUP(G1663,Liste!$A$7:$H$50,8,FALSE)</f>
        <v>Résineux</v>
      </c>
      <c r="BU1663" s="298">
        <f t="shared" si="497"/>
        <v>0</v>
      </c>
      <c r="BV1663" s="300">
        <f t="shared" si="498"/>
        <v>1</v>
      </c>
      <c r="BW1663" s="321">
        <v>0</v>
      </c>
      <c r="BX1663" s="298">
        <f t="shared" si="499"/>
        <v>0.43</v>
      </c>
      <c r="BY1663">
        <f t="shared" si="500"/>
        <v>0</v>
      </c>
      <c r="BZ1663" s="304">
        <f t="shared" si="501"/>
        <v>0</v>
      </c>
      <c r="CB1663" s="299">
        <v>0.6</v>
      </c>
      <c r="CC1663" s="299">
        <v>0.4</v>
      </c>
      <c r="CD1663">
        <f t="shared" si="502"/>
        <v>0</v>
      </c>
      <c r="CE1663">
        <f t="shared" si="503"/>
        <v>0</v>
      </c>
      <c r="CF1663">
        <f t="shared" si="504"/>
        <v>0</v>
      </c>
      <c r="CG1663">
        <f t="shared" si="505"/>
        <v>0</v>
      </c>
      <c r="CH1663">
        <f t="shared" si="506"/>
        <v>0</v>
      </c>
      <c r="CI1663">
        <f t="shared" si="507"/>
        <v>0</v>
      </c>
      <c r="CJ1663">
        <f t="shared" si="508"/>
        <v>0</v>
      </c>
      <c r="CK1663">
        <f t="shared" si="509"/>
        <v>0</v>
      </c>
      <c r="CL1663">
        <f t="shared" si="510"/>
        <v>0</v>
      </c>
      <c r="CM1663">
        <f t="shared" si="512"/>
        <v>0</v>
      </c>
      <c r="CN1663">
        <f t="shared" si="511"/>
        <v>0</v>
      </c>
      <c r="CO1663">
        <f t="shared" si="495"/>
        <v>0</v>
      </c>
    </row>
    <row r="1664" spans="2:93" x14ac:dyDescent="0.25">
      <c r="B1664" s="318">
        <v>44372</v>
      </c>
      <c r="C1664" s="4" t="s">
        <v>1524</v>
      </c>
      <c r="D1664" s="4" t="s">
        <v>1525</v>
      </c>
      <c r="F1664" s="4" t="s">
        <v>90</v>
      </c>
      <c r="G1664" s="5" t="s">
        <v>1514</v>
      </c>
      <c r="H1664" s="5" t="s">
        <v>1527</v>
      </c>
      <c r="I1664" s="5" t="s">
        <v>18</v>
      </c>
      <c r="J1664" s="5" t="s">
        <v>10</v>
      </c>
      <c r="K1664" s="5">
        <v>12</v>
      </c>
      <c r="L1664" s="5" t="s">
        <v>1528</v>
      </c>
      <c r="M1664" s="5">
        <v>1100</v>
      </c>
      <c r="N1664" s="5" t="s">
        <v>170</v>
      </c>
      <c r="O1664" s="6" t="s">
        <v>81</v>
      </c>
      <c r="P1664" s="6" t="s">
        <v>1530</v>
      </c>
      <c r="S1664" s="6">
        <v>18</v>
      </c>
      <c r="T1664" s="6">
        <v>4.34</v>
      </c>
      <c r="U1664" s="6">
        <v>1101</v>
      </c>
      <c r="V1664" s="6">
        <v>4.92</v>
      </c>
      <c r="W1664" s="6">
        <v>569</v>
      </c>
      <c r="X1664" s="6">
        <v>532</v>
      </c>
      <c r="Y1664" s="6">
        <v>0</v>
      </c>
      <c r="Z1664" s="6">
        <v>0</v>
      </c>
      <c r="AA1664" s="6">
        <v>0</v>
      </c>
      <c r="AB1664" s="6">
        <v>0</v>
      </c>
      <c r="AC1664" s="7">
        <v>83</v>
      </c>
      <c r="AD1664" s="7" t="s">
        <v>52</v>
      </c>
      <c r="AE1664" s="7">
        <v>16.34</v>
      </c>
      <c r="AF1664" s="7">
        <v>151</v>
      </c>
      <c r="AG1664" s="7">
        <v>13.77</v>
      </c>
      <c r="AH1664" s="7">
        <v>34.07</v>
      </c>
      <c r="AI1664" s="7">
        <v>34.69</v>
      </c>
      <c r="AJ1664" s="9">
        <v>95.301390057040507</v>
      </c>
      <c r="AK1664" s="9">
        <v>99.288326631554497</v>
      </c>
      <c r="AL1664" s="9">
        <v>139.363318634412</v>
      </c>
      <c r="AM1664" s="9">
        <v>48.142632235593901</v>
      </c>
      <c r="AN1664" s="9">
        <v>0.58003171368185502</v>
      </c>
      <c r="AO1664" s="9">
        <v>0.31348290402260698</v>
      </c>
      <c r="AP1664" s="9">
        <v>439.68402557842398</v>
      </c>
      <c r="AQ1664" s="9">
        <v>5.2973978985352304</v>
      </c>
      <c r="AR1664" s="9">
        <v>3.8445988222659899</v>
      </c>
      <c r="AS1664" s="8" t="s">
        <v>169</v>
      </c>
      <c r="AT1664" s="8" t="s">
        <v>169</v>
      </c>
      <c r="AU1664" s="10" t="s">
        <v>169</v>
      </c>
      <c r="AV1664" s="10">
        <v>0</v>
      </c>
      <c r="AW1664" s="8" t="s">
        <v>169</v>
      </c>
      <c r="AX1664" s="10" t="s">
        <v>169</v>
      </c>
      <c r="BF1664" s="12">
        <v>0.45</v>
      </c>
      <c r="BG1664" s="13">
        <v>109.22600097972099</v>
      </c>
      <c r="BH1664" s="96" t="str">
        <f>+VLOOKUP(G1664,Liste!$A$7:$G$50,3,FALSE)</f>
        <v>Pin d'Alep</v>
      </c>
      <c r="BI1664" s="96" t="str">
        <f>+VLOOKUP(H1664,Liste!$B$7:$G$50,5,FALSE)</f>
        <v>Pin d'Alep</v>
      </c>
      <c r="BJ1664" s="135">
        <f t="shared" si="494"/>
        <v>83</v>
      </c>
      <c r="BK1664" s="135" t="str">
        <f t="shared" si="496"/>
        <v>Pin d'Alep_F2_Classique_Pin d'Alep_83_</v>
      </c>
      <c r="BM1664" s="13">
        <v>31.093189853876599</v>
      </c>
      <c r="BN1664" s="13">
        <v>140.31919083359699</v>
      </c>
      <c r="BO1664" s="13" t="s">
        <v>169</v>
      </c>
      <c r="BP1664" s="13">
        <v>134.534925639471</v>
      </c>
      <c r="BQ1664" s="13">
        <v>3.6759096956784001</v>
      </c>
      <c r="BT1664" s="298" t="str">
        <f>+VLOOKUP(G1664,Liste!$A$7:$H$50,8,FALSE)</f>
        <v>Résineux</v>
      </c>
      <c r="BU1664" s="298">
        <f t="shared" si="497"/>
        <v>0</v>
      </c>
      <c r="BV1664" s="300">
        <f t="shared" si="498"/>
        <v>1</v>
      </c>
      <c r="BW1664" s="321">
        <v>0</v>
      </c>
      <c r="BX1664" s="298">
        <f t="shared" si="499"/>
        <v>0.43</v>
      </c>
      <c r="BY1664">
        <f t="shared" si="500"/>
        <v>0</v>
      </c>
      <c r="BZ1664" s="304">
        <f t="shared" si="501"/>
        <v>0</v>
      </c>
      <c r="CB1664" s="299">
        <v>0.6</v>
      </c>
      <c r="CC1664" s="299">
        <v>0.4</v>
      </c>
      <c r="CD1664">
        <f t="shared" si="502"/>
        <v>0</v>
      </c>
      <c r="CE1664">
        <f t="shared" si="503"/>
        <v>0</v>
      </c>
      <c r="CF1664">
        <f t="shared" si="504"/>
        <v>0</v>
      </c>
      <c r="CG1664">
        <f t="shared" si="505"/>
        <v>0</v>
      </c>
      <c r="CH1664">
        <f t="shared" si="506"/>
        <v>0</v>
      </c>
      <c r="CI1664">
        <f t="shared" si="507"/>
        <v>0</v>
      </c>
      <c r="CJ1664">
        <f t="shared" si="508"/>
        <v>0</v>
      </c>
      <c r="CK1664">
        <f t="shared" si="509"/>
        <v>0</v>
      </c>
      <c r="CL1664">
        <f t="shared" si="510"/>
        <v>0</v>
      </c>
      <c r="CM1664">
        <f t="shared" si="512"/>
        <v>0</v>
      </c>
      <c r="CN1664">
        <f t="shared" si="511"/>
        <v>0</v>
      </c>
      <c r="CO1664">
        <f t="shared" si="495"/>
        <v>0</v>
      </c>
    </row>
    <row r="1665" spans="1:93" x14ac:dyDescent="0.25">
      <c r="B1665" s="318">
        <v>44372</v>
      </c>
      <c r="C1665" s="4" t="s">
        <v>1524</v>
      </c>
      <c r="D1665" s="4" t="s">
        <v>1525</v>
      </c>
      <c r="F1665" s="4" t="s">
        <v>90</v>
      </c>
      <c r="G1665" s="5" t="s">
        <v>1514</v>
      </c>
      <c r="H1665" s="5" t="s">
        <v>1527</v>
      </c>
      <c r="I1665" s="5" t="s">
        <v>18</v>
      </c>
      <c r="J1665" s="5" t="s">
        <v>10</v>
      </c>
      <c r="K1665" s="5">
        <v>12</v>
      </c>
      <c r="L1665" s="5" t="s">
        <v>1528</v>
      </c>
      <c r="M1665" s="5">
        <v>1100</v>
      </c>
      <c r="N1665" s="5" t="s">
        <v>170</v>
      </c>
      <c r="O1665" s="6" t="s">
        <v>81</v>
      </c>
      <c r="P1665" s="6" t="s">
        <v>1530</v>
      </c>
      <c r="S1665" s="6">
        <v>18</v>
      </c>
      <c r="T1665" s="6">
        <v>4.34</v>
      </c>
      <c r="U1665" s="6">
        <v>1101</v>
      </c>
      <c r="V1665" s="6">
        <v>4.92</v>
      </c>
      <c r="W1665" s="6">
        <v>569</v>
      </c>
      <c r="X1665" s="6">
        <v>532</v>
      </c>
      <c r="Y1665" s="6">
        <v>0</v>
      </c>
      <c r="Z1665" s="6">
        <v>0</v>
      </c>
      <c r="AA1665" s="6">
        <v>0</v>
      </c>
      <c r="AB1665" s="6">
        <v>0</v>
      </c>
      <c r="AC1665" s="7">
        <v>84</v>
      </c>
      <c r="AD1665" s="7" t="s">
        <v>52</v>
      </c>
      <c r="AE1665" s="7">
        <v>16.440000000000001</v>
      </c>
      <c r="AF1665" s="7">
        <v>151</v>
      </c>
      <c r="AG1665" s="7">
        <v>14.08</v>
      </c>
      <c r="AH1665" s="7">
        <v>34.46</v>
      </c>
      <c r="AI1665" s="7">
        <v>35.090000000000003</v>
      </c>
      <c r="AJ1665" s="9">
        <v>97.970364652392007</v>
      </c>
      <c r="AK1665" s="9">
        <v>102.098491326915</v>
      </c>
      <c r="AL1665" s="9">
        <v>143.20791745667799</v>
      </c>
      <c r="AM1665" s="9">
        <v>48.4561151396165</v>
      </c>
      <c r="AN1665" s="9">
        <v>0.57685851356686402</v>
      </c>
      <c r="AO1665" s="9">
        <v>0.314355976182988</v>
      </c>
      <c r="AP1665" s="9">
        <v>443.52862440068998</v>
      </c>
      <c r="AQ1665" s="9">
        <v>5.2801026714367802</v>
      </c>
      <c r="AR1665" s="9">
        <v>3.8680735408874498</v>
      </c>
      <c r="AS1665" s="8" t="s">
        <v>169</v>
      </c>
      <c r="AT1665" s="8" t="s">
        <v>169</v>
      </c>
      <c r="AU1665" s="10" t="s">
        <v>169</v>
      </c>
      <c r="AV1665" s="10">
        <v>0</v>
      </c>
      <c r="AW1665" s="8" t="s">
        <v>169</v>
      </c>
      <c r="AX1665" s="10" t="s">
        <v>169</v>
      </c>
      <c r="BF1665" s="12">
        <v>0.45</v>
      </c>
      <c r="BG1665" s="13">
        <v>112.23920530667201</v>
      </c>
      <c r="BH1665" s="96" t="str">
        <f>+VLOOKUP(G1665,Liste!$A$7:$G$50,3,FALSE)</f>
        <v>Pin d'Alep</v>
      </c>
      <c r="BI1665" s="96" t="str">
        <f>+VLOOKUP(H1665,Liste!$B$7:$G$50,5,FALSE)</f>
        <v>Pin d'Alep</v>
      </c>
      <c r="BJ1665" s="135">
        <f t="shared" si="494"/>
        <v>84</v>
      </c>
      <c r="BK1665" s="135" t="str">
        <f t="shared" si="496"/>
        <v>Pin d'Alep_F2_Classique_Pin d'Alep_84_</v>
      </c>
      <c r="BM1665" s="13">
        <v>31.849905575707499</v>
      </c>
      <c r="BN1665" s="13">
        <v>144.089110882379</v>
      </c>
      <c r="BO1665" s="13" t="s">
        <v>169</v>
      </c>
      <c r="BP1665" s="13">
        <v>134.534925639471</v>
      </c>
      <c r="BQ1665" s="13">
        <v>3.6976799679908399</v>
      </c>
      <c r="BT1665" s="298" t="str">
        <f>+VLOOKUP(G1665,Liste!$A$7:$H$50,8,FALSE)</f>
        <v>Résineux</v>
      </c>
      <c r="BU1665" s="298">
        <f t="shared" si="497"/>
        <v>0</v>
      </c>
      <c r="BV1665" s="300">
        <f t="shared" si="498"/>
        <v>1</v>
      </c>
      <c r="BW1665" s="321">
        <v>0</v>
      </c>
      <c r="BX1665" s="298">
        <f t="shared" si="499"/>
        <v>0.43</v>
      </c>
      <c r="BY1665">
        <f t="shared" si="500"/>
        <v>0</v>
      </c>
      <c r="BZ1665" s="304">
        <f t="shared" si="501"/>
        <v>0</v>
      </c>
      <c r="CB1665" s="299">
        <v>0.6</v>
      </c>
      <c r="CC1665" s="299">
        <v>0.4</v>
      </c>
      <c r="CD1665">
        <f t="shared" si="502"/>
        <v>0</v>
      </c>
      <c r="CE1665">
        <f t="shared" si="503"/>
        <v>0</v>
      </c>
      <c r="CF1665">
        <f t="shared" si="504"/>
        <v>0</v>
      </c>
      <c r="CG1665">
        <f t="shared" si="505"/>
        <v>0</v>
      </c>
      <c r="CH1665">
        <f t="shared" si="506"/>
        <v>0</v>
      </c>
      <c r="CI1665">
        <f t="shared" si="507"/>
        <v>0</v>
      </c>
      <c r="CJ1665">
        <f t="shared" si="508"/>
        <v>0</v>
      </c>
      <c r="CK1665">
        <f t="shared" si="509"/>
        <v>0</v>
      </c>
      <c r="CL1665">
        <f t="shared" si="510"/>
        <v>0</v>
      </c>
      <c r="CM1665">
        <f t="shared" si="512"/>
        <v>0</v>
      </c>
      <c r="CN1665">
        <f t="shared" si="511"/>
        <v>0</v>
      </c>
      <c r="CO1665">
        <f t="shared" si="495"/>
        <v>0</v>
      </c>
    </row>
    <row r="1666" spans="1:93" x14ac:dyDescent="0.25">
      <c r="B1666" s="318">
        <v>44372</v>
      </c>
      <c r="C1666" s="4" t="s">
        <v>1524</v>
      </c>
      <c r="D1666" s="4" t="s">
        <v>1525</v>
      </c>
      <c r="F1666" s="4" t="s">
        <v>90</v>
      </c>
      <c r="G1666" s="5" t="s">
        <v>1514</v>
      </c>
      <c r="H1666" s="5" t="s">
        <v>1527</v>
      </c>
      <c r="I1666" s="5" t="s">
        <v>18</v>
      </c>
      <c r="J1666" s="5" t="s">
        <v>10</v>
      </c>
      <c r="K1666" s="5">
        <v>12</v>
      </c>
      <c r="L1666" s="5" t="s">
        <v>1528</v>
      </c>
      <c r="M1666" s="5">
        <v>1100</v>
      </c>
      <c r="N1666" s="5" t="s">
        <v>170</v>
      </c>
      <c r="O1666" s="6" t="s">
        <v>81</v>
      </c>
      <c r="P1666" s="6" t="s">
        <v>1530</v>
      </c>
      <c r="S1666" s="6">
        <v>18</v>
      </c>
      <c r="T1666" s="6">
        <v>4.34</v>
      </c>
      <c r="U1666" s="6">
        <v>1101</v>
      </c>
      <c r="V1666" s="6">
        <v>4.92</v>
      </c>
      <c r="W1666" s="6">
        <v>569</v>
      </c>
      <c r="X1666" s="6">
        <v>532</v>
      </c>
      <c r="Y1666" s="6">
        <v>0</v>
      </c>
      <c r="Z1666" s="6">
        <v>0</v>
      </c>
      <c r="AA1666" s="6">
        <v>0</v>
      </c>
      <c r="AB1666" s="6">
        <v>0</v>
      </c>
      <c r="AC1666" s="7">
        <v>85</v>
      </c>
      <c r="AD1666" s="7" t="s">
        <v>52</v>
      </c>
      <c r="AE1666" s="7">
        <v>16.53</v>
      </c>
      <c r="AF1666" s="7">
        <v>151</v>
      </c>
      <c r="AG1666" s="7">
        <v>14.39</v>
      </c>
      <c r="AH1666" s="7">
        <v>34.840000000000003</v>
      </c>
      <c r="AI1666" s="7">
        <v>35.49</v>
      </c>
      <c r="AJ1666" s="9">
        <v>100.654229386938</v>
      </c>
      <c r="AK1666" s="9">
        <v>104.92550620177499</v>
      </c>
      <c r="AL1666" s="9">
        <v>147.07599099756601</v>
      </c>
      <c r="AM1666" s="9">
        <v>48.770471115799502</v>
      </c>
      <c r="AN1666" s="9">
        <v>0.57377024842117097</v>
      </c>
      <c r="AO1666" s="9">
        <v>0.314567586010149</v>
      </c>
      <c r="AP1666" s="9">
        <v>447.39669794157697</v>
      </c>
      <c r="AQ1666" s="9">
        <v>5.2634905640185501</v>
      </c>
      <c r="AR1666" s="9">
        <v>3.8783623748376499</v>
      </c>
      <c r="AS1666" s="8" t="s">
        <v>169</v>
      </c>
      <c r="AT1666" s="8" t="s">
        <v>169</v>
      </c>
      <c r="AU1666" s="10" t="s">
        <v>169</v>
      </c>
      <c r="AV1666" s="10">
        <v>0</v>
      </c>
      <c r="AW1666" s="8" t="s">
        <v>169</v>
      </c>
      <c r="AX1666" s="10" t="s">
        <v>169</v>
      </c>
      <c r="BF1666" s="12">
        <v>0.45</v>
      </c>
      <c r="BG1666" s="13">
        <v>115.270807944342</v>
      </c>
      <c r="BH1666" s="96" t="str">
        <f>+VLOOKUP(G1666,Liste!$A$7:$G$50,3,FALSE)</f>
        <v>Pin d'Alep</v>
      </c>
      <c r="BI1666" s="96" t="str">
        <f>+VLOOKUP(H1666,Liste!$B$7:$G$50,5,FALSE)</f>
        <v>Pin d'Alep</v>
      </c>
      <c r="BJ1666" s="135">
        <f t="shared" si="494"/>
        <v>85</v>
      </c>
      <c r="BK1666" s="135" t="str">
        <f t="shared" si="496"/>
        <v>Pin d'Alep_F2_Classique_Pin d'Alep_85_</v>
      </c>
      <c r="BM1666" s="13">
        <v>32.608858922912397</v>
      </c>
      <c r="BN1666" s="13">
        <v>147.879666867255</v>
      </c>
      <c r="BO1666" s="13" t="s">
        <v>169</v>
      </c>
      <c r="BP1666" s="13">
        <v>134.534925639471</v>
      </c>
      <c r="BQ1666" s="13">
        <v>3.7068429082119101</v>
      </c>
      <c r="BT1666" s="298" t="str">
        <f>+VLOOKUP(G1666,Liste!$A$7:$H$50,8,FALSE)</f>
        <v>Résineux</v>
      </c>
      <c r="BU1666" s="298">
        <f t="shared" si="497"/>
        <v>0</v>
      </c>
      <c r="BV1666" s="300">
        <f t="shared" si="498"/>
        <v>1</v>
      </c>
      <c r="BW1666" s="321">
        <v>0</v>
      </c>
      <c r="BX1666" s="298">
        <f t="shared" si="499"/>
        <v>0.43</v>
      </c>
      <c r="BY1666">
        <f t="shared" si="500"/>
        <v>0</v>
      </c>
      <c r="BZ1666" s="304">
        <f t="shared" si="501"/>
        <v>0</v>
      </c>
      <c r="CB1666" s="299">
        <v>0.6</v>
      </c>
      <c r="CC1666" s="299">
        <v>0.4</v>
      </c>
      <c r="CD1666">
        <f t="shared" si="502"/>
        <v>0</v>
      </c>
      <c r="CE1666">
        <f t="shared" si="503"/>
        <v>0</v>
      </c>
      <c r="CF1666">
        <f t="shared" si="504"/>
        <v>0</v>
      </c>
      <c r="CG1666">
        <f t="shared" si="505"/>
        <v>0</v>
      </c>
      <c r="CH1666">
        <f t="shared" si="506"/>
        <v>0</v>
      </c>
      <c r="CI1666">
        <f t="shared" si="507"/>
        <v>0</v>
      </c>
      <c r="CJ1666">
        <f t="shared" si="508"/>
        <v>0</v>
      </c>
      <c r="CK1666">
        <f t="shared" si="509"/>
        <v>0</v>
      </c>
      <c r="CL1666">
        <f t="shared" si="510"/>
        <v>0</v>
      </c>
      <c r="CM1666">
        <f t="shared" si="512"/>
        <v>0</v>
      </c>
      <c r="CN1666">
        <f t="shared" si="511"/>
        <v>0</v>
      </c>
      <c r="CO1666">
        <f t="shared" si="495"/>
        <v>0</v>
      </c>
    </row>
    <row r="1667" spans="1:93" x14ac:dyDescent="0.25">
      <c r="B1667" s="318">
        <v>44372</v>
      </c>
      <c r="C1667" s="4" t="s">
        <v>1524</v>
      </c>
      <c r="D1667" s="4" t="s">
        <v>1525</v>
      </c>
      <c r="F1667" s="4" t="s">
        <v>90</v>
      </c>
      <c r="G1667" s="5" t="s">
        <v>1514</v>
      </c>
      <c r="H1667" s="5" t="s">
        <v>1527</v>
      </c>
      <c r="I1667" s="5" t="s">
        <v>18</v>
      </c>
      <c r="J1667" s="5" t="s">
        <v>10</v>
      </c>
      <c r="K1667" s="5">
        <v>12</v>
      </c>
      <c r="L1667" s="5" t="s">
        <v>1528</v>
      </c>
      <c r="M1667" s="5">
        <v>1100</v>
      </c>
      <c r="N1667" s="5" t="s">
        <v>170</v>
      </c>
      <c r="O1667" s="6" t="s">
        <v>81</v>
      </c>
      <c r="P1667" s="6" t="s">
        <v>1530</v>
      </c>
      <c r="S1667" s="6">
        <v>18</v>
      </c>
      <c r="T1667" s="6">
        <v>4.34</v>
      </c>
      <c r="U1667" s="6">
        <v>1101</v>
      </c>
      <c r="V1667" s="6">
        <v>4.92</v>
      </c>
      <c r="W1667" s="6">
        <v>569</v>
      </c>
      <c r="X1667" s="6">
        <v>532</v>
      </c>
      <c r="Y1667" s="6">
        <v>0</v>
      </c>
      <c r="Z1667" s="6">
        <v>0</v>
      </c>
      <c r="AA1667" s="6">
        <v>0</v>
      </c>
      <c r="AB1667" s="6">
        <v>0</v>
      </c>
      <c r="AC1667" s="7">
        <v>86</v>
      </c>
      <c r="AD1667" s="7" t="s">
        <v>52</v>
      </c>
      <c r="AE1667" s="7">
        <v>16.63</v>
      </c>
      <c r="AF1667" s="7">
        <v>151</v>
      </c>
      <c r="AG1667" s="7">
        <v>14.71</v>
      </c>
      <c r="AH1667" s="7">
        <v>35.22</v>
      </c>
      <c r="AI1667" s="7">
        <v>35.880000000000003</v>
      </c>
      <c r="AJ1667" s="9">
        <v>103.342329126032</v>
      </c>
      <c r="AK1667" s="9">
        <v>107.75846582704099</v>
      </c>
      <c r="AL1667" s="9">
        <v>150.95435337240301</v>
      </c>
      <c r="AM1667" s="9">
        <v>49.085038701809701</v>
      </c>
      <c r="AN1667" s="9">
        <v>0.57075626397453105</v>
      </c>
      <c r="AO1667" s="9">
        <v>0.31386134027365398</v>
      </c>
      <c r="AP1667" s="9">
        <v>451.27506031641502</v>
      </c>
      <c r="AQ1667" s="9">
        <v>5.2473844222838899</v>
      </c>
      <c r="AR1667" s="9">
        <v>3.9167823849974202</v>
      </c>
      <c r="AS1667" s="8" t="s">
        <v>169</v>
      </c>
      <c r="AT1667" s="8" t="s">
        <v>169</v>
      </c>
      <c r="AU1667" s="10" t="s">
        <v>169</v>
      </c>
      <c r="AV1667" s="10">
        <v>0</v>
      </c>
      <c r="AW1667" s="8" t="s">
        <v>169</v>
      </c>
      <c r="AX1667" s="10" t="s">
        <v>169</v>
      </c>
      <c r="BF1667" s="12">
        <v>0.45</v>
      </c>
      <c r="BG1667" s="13">
        <v>118.31047445562101</v>
      </c>
      <c r="BH1667" s="96" t="str">
        <f>+VLOOKUP(G1667,Liste!$A$7:$G$50,3,FALSE)</f>
        <v>Pin d'Alep</v>
      </c>
      <c r="BI1667" s="96" t="str">
        <f>+VLOOKUP(H1667,Liste!$B$7:$G$50,5,FALSE)</f>
        <v>Pin d'Alep</v>
      </c>
      <c r="BJ1667" s="135">
        <f t="shared" ref="BJ1667:BJ1716" si="513">+AC1667</f>
        <v>86</v>
      </c>
      <c r="BK1667" s="135" t="str">
        <f t="shared" si="496"/>
        <v>Pin d'Alep_F2_Classique_Pin d'Alep_86_</v>
      </c>
      <c r="BM1667" s="13">
        <v>33.367501719158497</v>
      </c>
      <c r="BN1667" s="13">
        <v>151.67797617478001</v>
      </c>
      <c r="BO1667" s="13" t="s">
        <v>169</v>
      </c>
      <c r="BP1667" s="13">
        <v>134.534925639471</v>
      </c>
      <c r="BQ1667" s="13">
        <v>3.7428867831368402</v>
      </c>
      <c r="BT1667" s="298" t="str">
        <f>+VLOOKUP(G1667,Liste!$A$7:$H$50,8,FALSE)</f>
        <v>Résineux</v>
      </c>
      <c r="BU1667" s="298">
        <f t="shared" si="497"/>
        <v>0</v>
      </c>
      <c r="BV1667" s="300">
        <f t="shared" si="498"/>
        <v>1</v>
      </c>
      <c r="BW1667" s="321">
        <v>0</v>
      </c>
      <c r="BX1667" s="298">
        <f t="shared" si="499"/>
        <v>0.43</v>
      </c>
      <c r="BY1667">
        <f t="shared" si="500"/>
        <v>0</v>
      </c>
      <c r="BZ1667" s="304">
        <f t="shared" si="501"/>
        <v>0</v>
      </c>
      <c r="CB1667" s="299">
        <v>0.6</v>
      </c>
      <c r="CC1667" s="299">
        <v>0.4</v>
      </c>
      <c r="CD1667">
        <f t="shared" si="502"/>
        <v>0</v>
      </c>
      <c r="CE1667">
        <f t="shared" si="503"/>
        <v>0</v>
      </c>
      <c r="CF1667">
        <f t="shared" si="504"/>
        <v>0</v>
      </c>
      <c r="CG1667">
        <f t="shared" si="505"/>
        <v>0</v>
      </c>
      <c r="CH1667">
        <f t="shared" si="506"/>
        <v>0</v>
      </c>
      <c r="CI1667">
        <f t="shared" si="507"/>
        <v>0</v>
      </c>
      <c r="CJ1667">
        <f t="shared" si="508"/>
        <v>0</v>
      </c>
      <c r="CK1667">
        <f t="shared" si="509"/>
        <v>0</v>
      </c>
      <c r="CL1667">
        <f t="shared" si="510"/>
        <v>0</v>
      </c>
      <c r="CM1667">
        <f t="shared" si="512"/>
        <v>0</v>
      </c>
      <c r="CN1667">
        <f t="shared" si="511"/>
        <v>0</v>
      </c>
      <c r="CO1667">
        <f t="shared" ref="CO1667:CO1716" si="514">+IF(BJ1667=30,CN1667/30,0)</f>
        <v>0</v>
      </c>
    </row>
    <row r="1668" spans="1:93" x14ac:dyDescent="0.25">
      <c r="B1668" s="318">
        <v>44372</v>
      </c>
      <c r="C1668" s="4" t="s">
        <v>1524</v>
      </c>
      <c r="D1668" s="4" t="s">
        <v>1525</v>
      </c>
      <c r="F1668" s="4" t="s">
        <v>90</v>
      </c>
      <c r="G1668" s="5" t="s">
        <v>1514</v>
      </c>
      <c r="H1668" s="5" t="s">
        <v>1527</v>
      </c>
      <c r="I1668" s="5" t="s">
        <v>18</v>
      </c>
      <c r="J1668" s="5" t="s">
        <v>10</v>
      </c>
      <c r="K1668" s="5">
        <v>12</v>
      </c>
      <c r="L1668" s="5" t="s">
        <v>1528</v>
      </c>
      <c r="M1668" s="5">
        <v>1100</v>
      </c>
      <c r="N1668" s="5" t="s">
        <v>170</v>
      </c>
      <c r="O1668" s="6" t="s">
        <v>81</v>
      </c>
      <c r="P1668" s="6" t="s">
        <v>1530</v>
      </c>
      <c r="S1668" s="6">
        <v>18</v>
      </c>
      <c r="T1668" s="6">
        <v>4.34</v>
      </c>
      <c r="U1668" s="6">
        <v>1101</v>
      </c>
      <c r="V1668" s="6">
        <v>4.92</v>
      </c>
      <c r="W1668" s="6">
        <v>569</v>
      </c>
      <c r="X1668" s="6">
        <v>532</v>
      </c>
      <c r="Y1668" s="6">
        <v>0</v>
      </c>
      <c r="Z1668" s="6">
        <v>0</v>
      </c>
      <c r="AA1668" s="6">
        <v>0</v>
      </c>
      <c r="AB1668" s="6">
        <v>0</v>
      </c>
      <c r="AC1668" s="7">
        <v>87</v>
      </c>
      <c r="AD1668" s="7" t="s">
        <v>52</v>
      </c>
      <c r="AE1668" s="7">
        <v>16.72</v>
      </c>
      <c r="AF1668" s="7">
        <v>151</v>
      </c>
      <c r="AG1668" s="7">
        <v>15.02</v>
      </c>
      <c r="AH1668" s="7">
        <v>35.590000000000003</v>
      </c>
      <c r="AI1668" s="7">
        <v>36.270000000000003</v>
      </c>
      <c r="AJ1668" s="9">
        <v>106.066472271366</v>
      </c>
      <c r="AK1668" s="9">
        <v>110.628154207419</v>
      </c>
      <c r="AL1668" s="9">
        <v>154.87113575740099</v>
      </c>
      <c r="AM1668" s="9">
        <v>49.398900042083298</v>
      </c>
      <c r="AN1668" s="9">
        <v>0.567803448759579</v>
      </c>
      <c r="AO1668" s="9">
        <v>0.31538881403775998</v>
      </c>
      <c r="AP1668" s="9">
        <v>455.19184270141199</v>
      </c>
      <c r="AQ1668" s="9">
        <v>5.2320901459932401</v>
      </c>
      <c r="AR1668" s="9">
        <v>3.9298137992281599</v>
      </c>
      <c r="AS1668" s="8" t="s">
        <v>169</v>
      </c>
      <c r="AT1668" s="8" t="s">
        <v>169</v>
      </c>
      <c r="AU1668" s="10" t="s">
        <v>169</v>
      </c>
      <c r="AV1668" s="10">
        <v>0</v>
      </c>
      <c r="AW1668" s="8" t="s">
        <v>169</v>
      </c>
      <c r="AX1668" s="10" t="s">
        <v>169</v>
      </c>
      <c r="BF1668" s="12">
        <v>0.45</v>
      </c>
      <c r="BG1668" s="13">
        <v>121.380252649863</v>
      </c>
      <c r="BH1668" s="96" t="str">
        <f>+VLOOKUP(G1668,Liste!$A$7:$G$50,3,FALSE)</f>
        <v>Pin d'Alep</v>
      </c>
      <c r="BI1668" s="96" t="str">
        <f>+VLOOKUP(H1668,Liste!$B$7:$G$50,5,FALSE)</f>
        <v>Pin d'Alep</v>
      </c>
      <c r="BJ1668" s="135">
        <f t="shared" si="513"/>
        <v>87</v>
      </c>
      <c r="BK1668" s="135" t="str">
        <f t="shared" ref="BK1668:BK1716" si="515">+_xlfn.CONCAT(BH1668,"_",J1668,"_",I1668,"_",BI1668,"_",BJ1668,"_")</f>
        <v>Pin d'Alep_F2_Classique_Pin d'Alep_87_</v>
      </c>
      <c r="BM1668" s="13">
        <v>34.131360596873598</v>
      </c>
      <c r="BN1668" s="13">
        <v>155.511613246737</v>
      </c>
      <c r="BO1668" s="13" t="s">
        <v>169</v>
      </c>
      <c r="BP1668" s="13">
        <v>134.534925639471</v>
      </c>
      <c r="BQ1668" s="13">
        <v>3.7546624278799099</v>
      </c>
      <c r="BT1668" s="298" t="str">
        <f>+VLOOKUP(G1668,Liste!$A$7:$H$50,8,FALSE)</f>
        <v>Résineux</v>
      </c>
      <c r="BU1668" s="298">
        <f t="shared" ref="BU1668:BU1716" si="516">IF(BT1668="Résineux",0%,100%)</f>
        <v>0</v>
      </c>
      <c r="BV1668" s="300">
        <f t="shared" ref="BV1668:BV1716" si="517">+IF(BT1668="Résineux",100%,0%)</f>
        <v>1</v>
      </c>
      <c r="BW1668" s="321">
        <v>0</v>
      </c>
      <c r="BX1668" s="298">
        <f t="shared" ref="BX1668:BX1716" si="518">+IF(BV1668&lt;&gt;0,0.43,0.25)</f>
        <v>0.43</v>
      </c>
      <c r="BY1668">
        <f t="shared" ref="BY1668:BY1716" si="519">+IF(BJ1668&lt;=30,AV1668*BX1668,0)</f>
        <v>0</v>
      </c>
      <c r="BZ1668" s="304">
        <f t="shared" ref="BZ1668:BZ1716" si="520">+IF(BJ1668&gt;=31,0,BY1668+BZ1667)</f>
        <v>0</v>
      </c>
      <c r="CB1668" s="299">
        <v>0.6</v>
      </c>
      <c r="CC1668" s="299">
        <v>0.4</v>
      </c>
      <c r="CD1668">
        <f t="shared" ref="CD1668:CD1716" si="521">+IF(BJ1668&lt;=31,AV1668*CA1668*0.5,0)</f>
        <v>0</v>
      </c>
      <c r="CE1668">
        <f t="shared" ref="CE1668:CE1716" si="522">IF(BJ1668&lt;=31,AV1668*CB1668,0)</f>
        <v>0</v>
      </c>
      <c r="CF1668">
        <f t="shared" ref="CF1668:CF1716" si="523">IF(BJ1668&lt;=31,AV1668*CC1668,0)</f>
        <v>0</v>
      </c>
      <c r="CG1668">
        <f t="shared" ref="CG1668:CG1716" si="524">CD1668*44/12*0.475*BF1668</f>
        <v>0</v>
      </c>
      <c r="CH1668">
        <f t="shared" ref="CH1668:CH1716" si="525">CE1668*44/12*0.475*BF1668</f>
        <v>0</v>
      </c>
      <c r="CI1668">
        <f t="shared" ref="CI1668:CI1716" si="526">CF1668*44/12*0.475*BF1668</f>
        <v>0</v>
      </c>
      <c r="CJ1668">
        <f t="shared" ref="CJ1668:CJ1716" si="527">+IF(BJ1668&lt;=31,CJ1667*EXP(-$CJ$1)+CG1667*(1-EXP(-$CJ$1))/$CJ$1,0)</f>
        <v>0</v>
      </c>
      <c r="CK1668">
        <f t="shared" ref="CK1668:CK1716" si="528">+IF(BJ1668&lt;=31,CK1667*EXP(-$CK$1)+CH1667*(1-EXP(-$CK$1))/$CK$1,0)</f>
        <v>0</v>
      </c>
      <c r="CL1668">
        <f t="shared" ref="CL1668:CL1716" si="529">+IF(BJ1668&lt;=31,CL1667*EXP(-$CL$1)+CI1667*(1-EXP(-$CL$1))/$CL$1,0)</f>
        <v>0</v>
      </c>
      <c r="CM1668">
        <f t="shared" si="512"/>
        <v>0</v>
      </c>
      <c r="CN1668">
        <f t="shared" ref="CN1668:CN1716" si="530">+IF(BJ1668&lt;=31,CM1668+CN1667,0)</f>
        <v>0</v>
      </c>
      <c r="CO1668">
        <f t="shared" si="514"/>
        <v>0</v>
      </c>
    </row>
    <row r="1669" spans="1:93" x14ac:dyDescent="0.25">
      <c r="B1669" s="318">
        <v>44372</v>
      </c>
      <c r="C1669" s="4" t="s">
        <v>1524</v>
      </c>
      <c r="D1669" s="4" t="s">
        <v>1525</v>
      </c>
      <c r="F1669" s="4" t="s">
        <v>90</v>
      </c>
      <c r="G1669" s="5" t="s">
        <v>1514</v>
      </c>
      <c r="H1669" s="5" t="s">
        <v>1527</v>
      </c>
      <c r="I1669" s="5" t="s">
        <v>18</v>
      </c>
      <c r="J1669" s="5" t="s">
        <v>10</v>
      </c>
      <c r="K1669" s="5">
        <v>12</v>
      </c>
      <c r="L1669" s="5" t="s">
        <v>1528</v>
      </c>
      <c r="M1669" s="5">
        <v>1100</v>
      </c>
      <c r="N1669" s="5" t="s">
        <v>170</v>
      </c>
      <c r="O1669" s="6" t="s">
        <v>81</v>
      </c>
      <c r="P1669" s="6" t="s">
        <v>1530</v>
      </c>
      <c r="S1669" s="6">
        <v>18</v>
      </c>
      <c r="T1669" s="6">
        <v>4.34</v>
      </c>
      <c r="U1669" s="6">
        <v>1101</v>
      </c>
      <c r="V1669" s="6">
        <v>4.92</v>
      </c>
      <c r="W1669" s="6">
        <v>569</v>
      </c>
      <c r="X1669" s="6">
        <v>532</v>
      </c>
      <c r="Y1669" s="6">
        <v>0</v>
      </c>
      <c r="Z1669" s="6">
        <v>0</v>
      </c>
      <c r="AA1669" s="6">
        <v>0</v>
      </c>
      <c r="AB1669" s="6">
        <v>0</v>
      </c>
      <c r="AC1669" s="7">
        <v>88</v>
      </c>
      <c r="AD1669" s="7" t="s">
        <v>52</v>
      </c>
      <c r="AE1669" s="7">
        <v>16.809999999999999</v>
      </c>
      <c r="AF1669" s="7">
        <v>151</v>
      </c>
      <c r="AG1669" s="7">
        <v>15.34</v>
      </c>
      <c r="AH1669" s="7">
        <v>35.96</v>
      </c>
      <c r="AI1669" s="7">
        <v>36.659999999999997</v>
      </c>
      <c r="AJ1669" s="9">
        <v>108.79258737777199</v>
      </c>
      <c r="AK1669" s="9">
        <v>113.502311962262</v>
      </c>
      <c r="AL1669" s="9">
        <v>158.80094955662901</v>
      </c>
      <c r="AM1669" s="9">
        <v>49.714288856121101</v>
      </c>
      <c r="AN1669" s="9">
        <v>0.56493510063774</v>
      </c>
      <c r="AO1669" s="9">
        <v>0.31430652751461702</v>
      </c>
      <c r="AP1669" s="9">
        <v>459.12165650063997</v>
      </c>
      <c r="AQ1669" s="9">
        <v>5.2172915511436404</v>
      </c>
      <c r="AR1669" s="9">
        <v>3.9379333044137801</v>
      </c>
      <c r="AS1669" s="8" t="s">
        <v>169</v>
      </c>
      <c r="AT1669" s="8" t="s">
        <v>169</v>
      </c>
      <c r="AU1669" s="10" t="s">
        <v>169</v>
      </c>
      <c r="AV1669" s="10">
        <v>0</v>
      </c>
      <c r="AW1669" s="8" t="s">
        <v>169</v>
      </c>
      <c r="AX1669" s="10" t="s">
        <v>169</v>
      </c>
      <c r="BF1669" s="12">
        <v>0.45</v>
      </c>
      <c r="BG1669" s="13">
        <v>124.460244215008</v>
      </c>
      <c r="BH1669" s="96" t="str">
        <f>+VLOOKUP(G1669,Liste!$A$7:$G$50,3,FALSE)</f>
        <v>Pin d'Alep</v>
      </c>
      <c r="BI1669" s="96" t="str">
        <f>+VLOOKUP(H1669,Liste!$B$7:$G$50,5,FALSE)</f>
        <v>Pin d'Alep</v>
      </c>
      <c r="BJ1669" s="135">
        <f t="shared" si="513"/>
        <v>88</v>
      </c>
      <c r="BK1669" s="135" t="str">
        <f t="shared" si="515"/>
        <v>Pin d'Alep_F2_Classique_Pin d'Alep_88_</v>
      </c>
      <c r="BM1669" s="13">
        <v>34.895504124872701</v>
      </c>
      <c r="BN1669" s="13">
        <v>159.35574833988099</v>
      </c>
      <c r="BO1669" s="13" t="s">
        <v>169</v>
      </c>
      <c r="BP1669" s="13">
        <v>134.534925639471</v>
      </c>
      <c r="BQ1669" s="13">
        <v>3.7617461089476998</v>
      </c>
      <c r="BT1669" s="298" t="str">
        <f>+VLOOKUP(G1669,Liste!$A$7:$H$50,8,FALSE)</f>
        <v>Résineux</v>
      </c>
      <c r="BU1669" s="298">
        <f t="shared" si="516"/>
        <v>0</v>
      </c>
      <c r="BV1669" s="300">
        <f t="shared" si="517"/>
        <v>1</v>
      </c>
      <c r="BW1669" s="321">
        <v>0</v>
      </c>
      <c r="BX1669" s="298">
        <f t="shared" si="518"/>
        <v>0.43</v>
      </c>
      <c r="BY1669">
        <f t="shared" si="519"/>
        <v>0</v>
      </c>
      <c r="BZ1669" s="304">
        <f t="shared" si="520"/>
        <v>0</v>
      </c>
      <c r="CB1669" s="299">
        <v>0.6</v>
      </c>
      <c r="CC1669" s="299">
        <v>0.4</v>
      </c>
      <c r="CD1669">
        <f t="shared" si="521"/>
        <v>0</v>
      </c>
      <c r="CE1669">
        <f t="shared" si="522"/>
        <v>0</v>
      </c>
      <c r="CF1669">
        <f t="shared" si="523"/>
        <v>0</v>
      </c>
      <c r="CG1669">
        <f t="shared" si="524"/>
        <v>0</v>
      </c>
      <c r="CH1669">
        <f t="shared" si="525"/>
        <v>0</v>
      </c>
      <c r="CI1669">
        <f t="shared" si="526"/>
        <v>0</v>
      </c>
      <c r="CJ1669">
        <f t="shared" si="527"/>
        <v>0</v>
      </c>
      <c r="CK1669">
        <f t="shared" si="528"/>
        <v>0</v>
      </c>
      <c r="CL1669">
        <f t="shared" si="529"/>
        <v>0</v>
      </c>
      <c r="CM1669">
        <f t="shared" ref="CM1669:CM1716" si="531">+CJ1669+CK1669+CL1669</f>
        <v>0</v>
      </c>
      <c r="CN1669">
        <f t="shared" si="530"/>
        <v>0</v>
      </c>
      <c r="CO1669">
        <f t="shared" si="514"/>
        <v>0</v>
      </c>
    </row>
    <row r="1670" spans="1:93" x14ac:dyDescent="0.25">
      <c r="B1670" s="318">
        <v>44372</v>
      </c>
      <c r="C1670" s="4" t="s">
        <v>1524</v>
      </c>
      <c r="D1670" s="4" t="s">
        <v>1525</v>
      </c>
      <c r="F1670" s="4" t="s">
        <v>90</v>
      </c>
      <c r="G1670" s="5" t="s">
        <v>1514</v>
      </c>
      <c r="H1670" s="5" t="s">
        <v>1527</v>
      </c>
      <c r="I1670" s="5" t="s">
        <v>18</v>
      </c>
      <c r="J1670" s="5" t="s">
        <v>10</v>
      </c>
      <c r="K1670" s="5">
        <v>12</v>
      </c>
      <c r="L1670" s="5" t="s">
        <v>1528</v>
      </c>
      <c r="M1670" s="5">
        <v>1100</v>
      </c>
      <c r="N1670" s="5" t="s">
        <v>170</v>
      </c>
      <c r="O1670" s="6" t="s">
        <v>81</v>
      </c>
      <c r="P1670" s="6" t="s">
        <v>1530</v>
      </c>
      <c r="S1670" s="6">
        <v>18</v>
      </c>
      <c r="T1670" s="6">
        <v>4.34</v>
      </c>
      <c r="U1670" s="6">
        <v>1101</v>
      </c>
      <c r="V1670" s="6">
        <v>4.92</v>
      </c>
      <c r="W1670" s="6">
        <v>569</v>
      </c>
      <c r="X1670" s="6">
        <v>532</v>
      </c>
      <c r="Y1670" s="6">
        <v>0</v>
      </c>
      <c r="Z1670" s="6">
        <v>0</v>
      </c>
      <c r="AA1670" s="6">
        <v>0</v>
      </c>
      <c r="AB1670" s="6">
        <v>0</v>
      </c>
      <c r="AC1670" s="7">
        <v>89</v>
      </c>
      <c r="AD1670" s="7" t="s">
        <v>52</v>
      </c>
      <c r="AE1670" s="7">
        <v>16.899999999999999</v>
      </c>
      <c r="AF1670" s="7">
        <v>151</v>
      </c>
      <c r="AG1670" s="7">
        <v>15.65</v>
      </c>
      <c r="AH1670" s="7">
        <v>36.33</v>
      </c>
      <c r="AI1670" s="7">
        <v>37.04</v>
      </c>
      <c r="AJ1670" s="9">
        <v>111.526008082096</v>
      </c>
      <c r="AK1670" s="9">
        <v>116.384610502722</v>
      </c>
      <c r="AL1670" s="9">
        <v>162.73888286104301</v>
      </c>
      <c r="AM1670" s="9">
        <v>50.028595383635697</v>
      </c>
      <c r="AN1670" s="9">
        <v>0.56211904925433398</v>
      </c>
      <c r="AO1670" s="9">
        <v>0.31466442560369501</v>
      </c>
      <c r="AP1670" s="9">
        <v>463.05958980505397</v>
      </c>
      <c r="AQ1670" s="9">
        <v>5.2029167393826299</v>
      </c>
      <c r="AR1670" s="9">
        <v>3.9736002889234201</v>
      </c>
      <c r="AS1670" s="8" t="s">
        <v>169</v>
      </c>
      <c r="AT1670" s="8" t="s">
        <v>169</v>
      </c>
      <c r="AU1670" s="10" t="s">
        <v>169</v>
      </c>
      <c r="AV1670" s="10">
        <v>0</v>
      </c>
      <c r="AW1670" s="8" t="s">
        <v>169</v>
      </c>
      <c r="AX1670" s="10" t="s">
        <v>169</v>
      </c>
      <c r="BF1670" s="12">
        <v>0.45</v>
      </c>
      <c r="BG1670" s="13">
        <v>127.546599442342</v>
      </c>
      <c r="BH1670" s="96" t="str">
        <f>+VLOOKUP(G1670,Liste!$A$7:$G$50,3,FALSE)</f>
        <v>Pin d'Alep</v>
      </c>
      <c r="BI1670" s="96" t="str">
        <f>+VLOOKUP(H1670,Liste!$B$7:$G$50,5,FALSE)</f>
        <v>Pin d'Alep</v>
      </c>
      <c r="BJ1670" s="135">
        <f t="shared" si="513"/>
        <v>89</v>
      </c>
      <c r="BK1670" s="135" t="str">
        <f t="shared" si="515"/>
        <v>Pin d'Alep_F2_Classique_Pin d'Alep_89_</v>
      </c>
      <c r="BM1670" s="13">
        <v>35.659021491059903</v>
      </c>
      <c r="BN1670" s="13">
        <v>163.205620933402</v>
      </c>
      <c r="BO1670" s="13" t="s">
        <v>169</v>
      </c>
      <c r="BP1670" s="13">
        <v>134.534925639471</v>
      </c>
      <c r="BQ1670" s="13">
        <v>3.7951399925195801</v>
      </c>
      <c r="BT1670" s="298" t="str">
        <f>+VLOOKUP(G1670,Liste!$A$7:$H$50,8,FALSE)</f>
        <v>Résineux</v>
      </c>
      <c r="BU1670" s="298">
        <f t="shared" si="516"/>
        <v>0</v>
      </c>
      <c r="BV1670" s="300">
        <f t="shared" si="517"/>
        <v>1</v>
      </c>
      <c r="BW1670" s="321">
        <v>0</v>
      </c>
      <c r="BX1670" s="298">
        <f t="shared" si="518"/>
        <v>0.43</v>
      </c>
      <c r="BY1670">
        <f t="shared" si="519"/>
        <v>0</v>
      </c>
      <c r="BZ1670" s="304">
        <f t="shared" si="520"/>
        <v>0</v>
      </c>
      <c r="CB1670" s="299">
        <v>0.6</v>
      </c>
      <c r="CC1670" s="299">
        <v>0.4</v>
      </c>
      <c r="CD1670">
        <f t="shared" si="521"/>
        <v>0</v>
      </c>
      <c r="CE1670">
        <f t="shared" si="522"/>
        <v>0</v>
      </c>
      <c r="CF1670">
        <f t="shared" si="523"/>
        <v>0</v>
      </c>
      <c r="CG1670">
        <f t="shared" si="524"/>
        <v>0</v>
      </c>
      <c r="CH1670">
        <f t="shared" si="525"/>
        <v>0</v>
      </c>
      <c r="CI1670">
        <f t="shared" si="526"/>
        <v>0</v>
      </c>
      <c r="CJ1670">
        <f t="shared" si="527"/>
        <v>0</v>
      </c>
      <c r="CK1670">
        <f t="shared" si="528"/>
        <v>0</v>
      </c>
      <c r="CL1670">
        <f t="shared" si="529"/>
        <v>0</v>
      </c>
      <c r="CM1670">
        <f t="shared" si="531"/>
        <v>0</v>
      </c>
      <c r="CN1670">
        <f t="shared" si="530"/>
        <v>0</v>
      </c>
      <c r="CO1670">
        <f t="shared" si="514"/>
        <v>0</v>
      </c>
    </row>
    <row r="1671" spans="1:93" x14ac:dyDescent="0.25">
      <c r="B1671" s="318">
        <v>44372</v>
      </c>
      <c r="C1671" s="4" t="s">
        <v>1524</v>
      </c>
      <c r="D1671" s="4" t="s">
        <v>1525</v>
      </c>
      <c r="F1671" s="4" t="s">
        <v>90</v>
      </c>
      <c r="G1671" s="5" t="s">
        <v>1514</v>
      </c>
      <c r="H1671" s="5" t="s">
        <v>1527</v>
      </c>
      <c r="I1671" s="5" t="s">
        <v>18</v>
      </c>
      <c r="J1671" s="5" t="s">
        <v>10</v>
      </c>
      <c r="K1671" s="5">
        <v>12</v>
      </c>
      <c r="L1671" s="5" t="s">
        <v>1528</v>
      </c>
      <c r="M1671" s="5">
        <v>1100</v>
      </c>
      <c r="N1671" s="5" t="s">
        <v>170</v>
      </c>
      <c r="O1671" s="6" t="s">
        <v>81</v>
      </c>
      <c r="P1671" s="6" t="s">
        <v>1530</v>
      </c>
      <c r="S1671" s="6">
        <v>18</v>
      </c>
      <c r="T1671" s="6">
        <v>4.34</v>
      </c>
      <c r="U1671" s="6">
        <v>1101</v>
      </c>
      <c r="V1671" s="6">
        <v>4.92</v>
      </c>
      <c r="W1671" s="6">
        <v>569</v>
      </c>
      <c r="X1671" s="6">
        <v>532</v>
      </c>
      <c r="Y1671" s="6">
        <v>0</v>
      </c>
      <c r="Z1671" s="6">
        <v>0</v>
      </c>
      <c r="AA1671" s="6">
        <v>0</v>
      </c>
      <c r="AB1671" s="6">
        <v>0</v>
      </c>
      <c r="AC1671" s="7">
        <v>90</v>
      </c>
      <c r="AD1671" s="7" t="s">
        <v>52</v>
      </c>
      <c r="AE1671" s="7">
        <v>16.989999999999998</v>
      </c>
      <c r="AF1671" s="7">
        <v>151</v>
      </c>
      <c r="AG1671" s="7">
        <v>15.97</v>
      </c>
      <c r="AH1671" s="7">
        <v>36.69</v>
      </c>
      <c r="AI1671" s="7">
        <v>37.42</v>
      </c>
      <c r="AJ1671" s="9">
        <v>114.288827859539</v>
      </c>
      <c r="AK1671" s="9">
        <v>119.297652910751</v>
      </c>
      <c r="AL1671" s="9">
        <v>166.712483149966</v>
      </c>
      <c r="AM1671" s="9">
        <v>50.343259809239399</v>
      </c>
      <c r="AN1671" s="9">
        <v>0.55936955343599304</v>
      </c>
      <c r="AO1671" s="9">
        <v>0.31468982538029899</v>
      </c>
      <c r="AP1671" s="9">
        <v>467.03319009397802</v>
      </c>
      <c r="AQ1671" s="9">
        <v>5.1892576677108604</v>
      </c>
      <c r="AR1671" s="9">
        <v>4.0054834178231404</v>
      </c>
      <c r="AS1671" s="8" t="s">
        <v>169</v>
      </c>
      <c r="AT1671" s="8" t="s">
        <v>169</v>
      </c>
      <c r="AU1671" s="10" t="s">
        <v>169</v>
      </c>
      <c r="AV1671" s="10">
        <v>0</v>
      </c>
      <c r="AW1671" s="8" t="s">
        <v>169</v>
      </c>
      <c r="AX1671" s="10" t="s">
        <v>169</v>
      </c>
      <c r="BF1671" s="12">
        <v>0.45</v>
      </c>
      <c r="BG1671" s="13">
        <v>130.66090866878599</v>
      </c>
      <c r="BH1671" s="96" t="str">
        <f>+VLOOKUP(G1671,Liste!$A$7:$G$50,3,FALSE)</f>
        <v>Pin d'Alep</v>
      </c>
      <c r="BI1671" s="96" t="str">
        <f>+VLOOKUP(H1671,Liste!$B$7:$G$50,5,FALSE)</f>
        <v>Pin d'Alep</v>
      </c>
      <c r="BJ1671" s="135">
        <f t="shared" si="513"/>
        <v>90</v>
      </c>
      <c r="BK1671" s="135" t="str">
        <f t="shared" si="515"/>
        <v>Pin d'Alep_F2_Classique_Pin d'Alep_90_</v>
      </c>
      <c r="BM1671" s="13">
        <v>36.4272774171801</v>
      </c>
      <c r="BN1671" s="13">
        <v>167.08818608596599</v>
      </c>
      <c r="BO1671" s="13" t="s">
        <v>169</v>
      </c>
      <c r="BP1671" s="13">
        <v>134.534925639471</v>
      </c>
      <c r="BQ1671" s="13">
        <v>3.8249091503388399</v>
      </c>
      <c r="BT1671" s="298" t="str">
        <f>+VLOOKUP(G1671,Liste!$A$7:$H$50,8,FALSE)</f>
        <v>Résineux</v>
      </c>
      <c r="BU1671" s="298">
        <f t="shared" si="516"/>
        <v>0</v>
      </c>
      <c r="BV1671" s="300">
        <f t="shared" si="517"/>
        <v>1</v>
      </c>
      <c r="BW1671" s="321">
        <v>0</v>
      </c>
      <c r="BX1671" s="298">
        <f t="shared" si="518"/>
        <v>0.43</v>
      </c>
      <c r="BY1671">
        <f t="shared" si="519"/>
        <v>0</v>
      </c>
      <c r="BZ1671" s="304">
        <f t="shared" si="520"/>
        <v>0</v>
      </c>
      <c r="CB1671" s="299">
        <v>0.6</v>
      </c>
      <c r="CC1671" s="299">
        <v>0.4</v>
      </c>
      <c r="CD1671">
        <f t="shared" si="521"/>
        <v>0</v>
      </c>
      <c r="CE1671">
        <f t="shared" si="522"/>
        <v>0</v>
      </c>
      <c r="CF1671">
        <f t="shared" si="523"/>
        <v>0</v>
      </c>
      <c r="CG1671">
        <f t="shared" si="524"/>
        <v>0</v>
      </c>
      <c r="CH1671">
        <f t="shared" si="525"/>
        <v>0</v>
      </c>
      <c r="CI1671">
        <f t="shared" si="526"/>
        <v>0</v>
      </c>
      <c r="CJ1671">
        <f t="shared" si="527"/>
        <v>0</v>
      </c>
      <c r="CK1671">
        <f t="shared" si="528"/>
        <v>0</v>
      </c>
      <c r="CL1671">
        <f t="shared" si="529"/>
        <v>0</v>
      </c>
      <c r="CM1671">
        <f t="shared" si="531"/>
        <v>0</v>
      </c>
      <c r="CN1671">
        <f t="shared" si="530"/>
        <v>0</v>
      </c>
      <c r="CO1671">
        <f t="shared" si="514"/>
        <v>0</v>
      </c>
    </row>
    <row r="1672" spans="1:93" x14ac:dyDescent="0.25">
      <c r="B1672" s="318">
        <v>44372</v>
      </c>
      <c r="C1672" s="4" t="s">
        <v>1524</v>
      </c>
      <c r="D1672" s="4" t="s">
        <v>1525</v>
      </c>
      <c r="F1672" s="4" t="s">
        <v>90</v>
      </c>
      <c r="G1672" s="5" t="s">
        <v>1514</v>
      </c>
      <c r="H1672" s="5" t="s">
        <v>1527</v>
      </c>
      <c r="I1672" s="5" t="s">
        <v>18</v>
      </c>
      <c r="J1672" s="5" t="s">
        <v>10</v>
      </c>
      <c r="K1672" s="5">
        <v>12</v>
      </c>
      <c r="L1672" s="5" t="s">
        <v>1528</v>
      </c>
      <c r="M1672" s="5">
        <v>1100</v>
      </c>
      <c r="N1672" s="5" t="s">
        <v>170</v>
      </c>
      <c r="O1672" s="6" t="s">
        <v>81</v>
      </c>
      <c r="P1672" s="6" t="s">
        <v>1530</v>
      </c>
      <c r="S1672" s="6">
        <v>18</v>
      </c>
      <c r="T1672" s="6">
        <v>4.34</v>
      </c>
      <c r="U1672" s="6">
        <v>1101</v>
      </c>
      <c r="V1672" s="6">
        <v>4.92</v>
      </c>
      <c r="W1672" s="6">
        <v>569</v>
      </c>
      <c r="X1672" s="6">
        <v>532</v>
      </c>
      <c r="Y1672" s="6">
        <v>0</v>
      </c>
      <c r="Z1672" s="6">
        <v>0</v>
      </c>
      <c r="AA1672" s="6">
        <v>0</v>
      </c>
      <c r="AB1672" s="6">
        <v>0</v>
      </c>
      <c r="AC1672" s="7">
        <v>91</v>
      </c>
      <c r="AD1672" s="7" t="s">
        <v>52</v>
      </c>
      <c r="AE1672" s="7">
        <v>17.079999999999998</v>
      </c>
      <c r="AF1672" s="7">
        <v>151</v>
      </c>
      <c r="AG1672" s="7">
        <v>16.28</v>
      </c>
      <c r="AH1672" s="7">
        <v>37.049999999999997</v>
      </c>
      <c r="AI1672" s="7">
        <v>37.799999999999997</v>
      </c>
      <c r="AJ1672" s="9">
        <v>117.07863665037399</v>
      </c>
      <c r="AK1672" s="9">
        <v>122.23885800112301</v>
      </c>
      <c r="AL1672" s="9">
        <v>170.71796656778901</v>
      </c>
      <c r="AM1672" s="9">
        <v>50.657949634619698</v>
      </c>
      <c r="AN1672" s="9">
        <v>0.55668076521560095</v>
      </c>
      <c r="AO1672" s="9">
        <v>0.314858395388107</v>
      </c>
      <c r="AP1672" s="9">
        <v>471.03867351180099</v>
      </c>
      <c r="AQ1672" s="9">
        <v>5.1762491594703404</v>
      </c>
      <c r="AR1672" s="9">
        <v>3.99624565542626</v>
      </c>
      <c r="AS1672" s="8" t="s">
        <v>169</v>
      </c>
      <c r="AT1672" s="8" t="s">
        <v>169</v>
      </c>
      <c r="AU1672" s="10" t="s">
        <v>169</v>
      </c>
      <c r="AV1672" s="10">
        <v>0</v>
      </c>
      <c r="AW1672" s="8" t="s">
        <v>169</v>
      </c>
      <c r="AX1672" s="10" t="s">
        <v>169</v>
      </c>
      <c r="BF1672" s="12">
        <v>0.45</v>
      </c>
      <c r="BG1672" s="13">
        <v>133.80020629750501</v>
      </c>
      <c r="BH1672" s="96" t="str">
        <f>+VLOOKUP(G1672,Liste!$A$7:$G$50,3,FALSE)</f>
        <v>Pin d'Alep</v>
      </c>
      <c r="BI1672" s="96" t="str">
        <f>+VLOOKUP(H1672,Liste!$B$7:$G$50,5,FALSE)</f>
        <v>Pin d'Alep</v>
      </c>
      <c r="BJ1672" s="135">
        <f t="shared" si="513"/>
        <v>91</v>
      </c>
      <c r="BK1672" s="135" t="str">
        <f t="shared" si="515"/>
        <v>Pin d'Alep_F2_Classique_Pin d'Alep_91_</v>
      </c>
      <c r="BM1672" s="13">
        <v>37.199543382345801</v>
      </c>
      <c r="BN1672" s="13">
        <v>170.99974967985099</v>
      </c>
      <c r="BO1672" s="13" t="s">
        <v>169</v>
      </c>
      <c r="BP1672" s="13">
        <v>134.534925639471</v>
      </c>
      <c r="BQ1672" s="13">
        <v>3.8154118851000498</v>
      </c>
      <c r="BT1672" s="298" t="str">
        <f>+VLOOKUP(G1672,Liste!$A$7:$H$50,8,FALSE)</f>
        <v>Résineux</v>
      </c>
      <c r="BU1672" s="298">
        <f t="shared" si="516"/>
        <v>0</v>
      </c>
      <c r="BV1672" s="300">
        <f t="shared" si="517"/>
        <v>1</v>
      </c>
      <c r="BW1672" s="321">
        <v>0</v>
      </c>
      <c r="BX1672" s="298">
        <f t="shared" si="518"/>
        <v>0.43</v>
      </c>
      <c r="BY1672">
        <f t="shared" si="519"/>
        <v>0</v>
      </c>
      <c r="BZ1672" s="304">
        <f t="shared" si="520"/>
        <v>0</v>
      </c>
      <c r="CB1672" s="299">
        <v>0.6</v>
      </c>
      <c r="CC1672" s="299">
        <v>0.4</v>
      </c>
      <c r="CD1672">
        <f t="shared" si="521"/>
        <v>0</v>
      </c>
      <c r="CE1672">
        <f t="shared" si="522"/>
        <v>0</v>
      </c>
      <c r="CF1672">
        <f t="shared" si="523"/>
        <v>0</v>
      </c>
      <c r="CG1672">
        <f t="shared" si="524"/>
        <v>0</v>
      </c>
      <c r="CH1672">
        <f t="shared" si="525"/>
        <v>0</v>
      </c>
      <c r="CI1672">
        <f t="shared" si="526"/>
        <v>0</v>
      </c>
      <c r="CJ1672">
        <f t="shared" si="527"/>
        <v>0</v>
      </c>
      <c r="CK1672">
        <f t="shared" si="528"/>
        <v>0</v>
      </c>
      <c r="CL1672">
        <f t="shared" si="529"/>
        <v>0</v>
      </c>
      <c r="CM1672">
        <f t="shared" si="531"/>
        <v>0</v>
      </c>
      <c r="CN1672">
        <f t="shared" si="530"/>
        <v>0</v>
      </c>
      <c r="CO1672">
        <f t="shared" si="514"/>
        <v>0</v>
      </c>
    </row>
    <row r="1673" spans="1:93" x14ac:dyDescent="0.25">
      <c r="B1673" s="318">
        <v>44372</v>
      </c>
      <c r="C1673" s="4" t="s">
        <v>1524</v>
      </c>
      <c r="D1673" s="4" t="s">
        <v>1525</v>
      </c>
      <c r="F1673" s="4" t="s">
        <v>90</v>
      </c>
      <c r="G1673" s="5" t="s">
        <v>1514</v>
      </c>
      <c r="H1673" s="5" t="s">
        <v>1527</v>
      </c>
      <c r="I1673" s="5" t="s">
        <v>18</v>
      </c>
      <c r="J1673" s="5" t="s">
        <v>10</v>
      </c>
      <c r="K1673" s="5">
        <v>12</v>
      </c>
      <c r="L1673" s="5" t="s">
        <v>1528</v>
      </c>
      <c r="M1673" s="5">
        <v>1100</v>
      </c>
      <c r="N1673" s="5" t="s">
        <v>170</v>
      </c>
      <c r="O1673" s="6" t="s">
        <v>81</v>
      </c>
      <c r="P1673" s="6" t="s">
        <v>1530</v>
      </c>
      <c r="S1673" s="6">
        <v>18</v>
      </c>
      <c r="T1673" s="6">
        <v>4.34</v>
      </c>
      <c r="U1673" s="6">
        <v>1101</v>
      </c>
      <c r="V1673" s="6">
        <v>4.92</v>
      </c>
      <c r="W1673" s="6">
        <v>569</v>
      </c>
      <c r="X1673" s="6">
        <v>532</v>
      </c>
      <c r="Y1673" s="6">
        <v>0</v>
      </c>
      <c r="Z1673" s="6">
        <v>0</v>
      </c>
      <c r="AA1673" s="6">
        <v>0</v>
      </c>
      <c r="AB1673" s="6">
        <v>0</v>
      </c>
      <c r="AC1673" s="7">
        <v>92</v>
      </c>
      <c r="AD1673" s="7" t="s">
        <v>52</v>
      </c>
      <c r="AE1673" s="7">
        <v>17.16</v>
      </c>
      <c r="AF1673" s="7">
        <v>151</v>
      </c>
      <c r="AG1673" s="7">
        <v>16.600000000000001</v>
      </c>
      <c r="AH1673" s="7">
        <v>37.409999999999997</v>
      </c>
      <c r="AI1673" s="7">
        <v>38.17</v>
      </c>
      <c r="AJ1673" s="9">
        <v>119.85383708702101</v>
      </c>
      <c r="AK1673" s="9">
        <v>125.16726267768399</v>
      </c>
      <c r="AL1673" s="9">
        <v>174.71421222321601</v>
      </c>
      <c r="AM1673" s="9">
        <v>50.972808030007798</v>
      </c>
      <c r="AN1673" s="9">
        <v>0.55405226119573703</v>
      </c>
      <c r="AO1673" s="9">
        <v>0.31386286394609902</v>
      </c>
      <c r="AP1673" s="9">
        <v>475.03491916722697</v>
      </c>
      <c r="AQ1673" s="9">
        <v>5.1634230344263798</v>
      </c>
      <c r="AR1673" s="9">
        <v>4.0109422710978597</v>
      </c>
      <c r="AS1673" s="8" t="s">
        <v>169</v>
      </c>
      <c r="AT1673" s="8" t="s">
        <v>169</v>
      </c>
      <c r="AU1673" s="10" t="s">
        <v>169</v>
      </c>
      <c r="AV1673" s="10">
        <v>0</v>
      </c>
      <c r="AW1673" s="8" t="s">
        <v>169</v>
      </c>
      <c r="AX1673" s="10" t="s">
        <v>169</v>
      </c>
      <c r="BF1673" s="12">
        <v>0.45</v>
      </c>
      <c r="BG1673" s="13">
        <v>136.93226382994499</v>
      </c>
      <c r="BH1673" s="96" t="str">
        <f>+VLOOKUP(G1673,Liste!$A$7:$G$50,3,FALSE)</f>
        <v>Pin d'Alep</v>
      </c>
      <c r="BI1673" s="96" t="str">
        <f>+VLOOKUP(H1673,Liste!$B$7:$G$50,5,FALSE)</f>
        <v>Pin d'Alep</v>
      </c>
      <c r="BJ1673" s="135">
        <f t="shared" si="513"/>
        <v>92</v>
      </c>
      <c r="BK1673" s="135" t="str">
        <f t="shared" si="515"/>
        <v>Pin d'Alep_F2_Classique_Pin d'Alep_92_</v>
      </c>
      <c r="BM1673" s="13">
        <v>37.967929107182499</v>
      </c>
      <c r="BN1673" s="13">
        <v>174.900192937128</v>
      </c>
      <c r="BO1673" s="13" t="s">
        <v>169</v>
      </c>
      <c r="BP1673" s="13">
        <v>134.534925639471</v>
      </c>
      <c r="BQ1673" s="13">
        <v>3.8287709450257799</v>
      </c>
      <c r="BT1673" s="298" t="str">
        <f>+VLOOKUP(G1673,Liste!$A$7:$H$50,8,FALSE)</f>
        <v>Résineux</v>
      </c>
      <c r="BU1673" s="298">
        <f t="shared" si="516"/>
        <v>0</v>
      </c>
      <c r="BV1673" s="300">
        <f t="shared" si="517"/>
        <v>1</v>
      </c>
      <c r="BW1673" s="321">
        <v>0</v>
      </c>
      <c r="BX1673" s="298">
        <f t="shared" si="518"/>
        <v>0.43</v>
      </c>
      <c r="BY1673">
        <f t="shared" si="519"/>
        <v>0</v>
      </c>
      <c r="BZ1673" s="304">
        <f t="shared" si="520"/>
        <v>0</v>
      </c>
      <c r="CB1673" s="299">
        <v>0.6</v>
      </c>
      <c r="CC1673" s="299">
        <v>0.4</v>
      </c>
      <c r="CD1673">
        <f t="shared" si="521"/>
        <v>0</v>
      </c>
      <c r="CE1673">
        <f t="shared" si="522"/>
        <v>0</v>
      </c>
      <c r="CF1673">
        <f t="shared" si="523"/>
        <v>0</v>
      </c>
      <c r="CG1673">
        <f t="shared" si="524"/>
        <v>0</v>
      </c>
      <c r="CH1673">
        <f t="shared" si="525"/>
        <v>0</v>
      </c>
      <c r="CI1673">
        <f t="shared" si="526"/>
        <v>0</v>
      </c>
      <c r="CJ1673">
        <f t="shared" si="527"/>
        <v>0</v>
      </c>
      <c r="CK1673">
        <f t="shared" si="528"/>
        <v>0</v>
      </c>
      <c r="CL1673">
        <f t="shared" si="529"/>
        <v>0</v>
      </c>
      <c r="CM1673">
        <f t="shared" si="531"/>
        <v>0</v>
      </c>
      <c r="CN1673">
        <f t="shared" si="530"/>
        <v>0</v>
      </c>
      <c r="CO1673">
        <f t="shared" si="514"/>
        <v>0</v>
      </c>
    </row>
    <row r="1674" spans="1:93" x14ac:dyDescent="0.25">
      <c r="B1674" s="318">
        <v>44372</v>
      </c>
      <c r="C1674" s="4" t="s">
        <v>1524</v>
      </c>
      <c r="D1674" s="4" t="s">
        <v>1525</v>
      </c>
      <c r="F1674" s="4" t="s">
        <v>90</v>
      </c>
      <c r="G1674" s="5" t="s">
        <v>1514</v>
      </c>
      <c r="H1674" s="5" t="s">
        <v>1527</v>
      </c>
      <c r="I1674" s="5" t="s">
        <v>18</v>
      </c>
      <c r="J1674" s="5" t="s">
        <v>10</v>
      </c>
      <c r="K1674" s="5">
        <v>12</v>
      </c>
      <c r="L1674" s="5" t="s">
        <v>1528</v>
      </c>
      <c r="M1674" s="5">
        <v>1100</v>
      </c>
      <c r="N1674" s="5" t="s">
        <v>170</v>
      </c>
      <c r="O1674" s="6" t="s">
        <v>81</v>
      </c>
      <c r="P1674" s="6" t="s">
        <v>1530</v>
      </c>
      <c r="S1674" s="6">
        <v>18</v>
      </c>
      <c r="T1674" s="6">
        <v>4.34</v>
      </c>
      <c r="U1674" s="6">
        <v>1101</v>
      </c>
      <c r="V1674" s="6">
        <v>4.92</v>
      </c>
      <c r="W1674" s="6">
        <v>569</v>
      </c>
      <c r="X1674" s="6">
        <v>532</v>
      </c>
      <c r="Y1674" s="6">
        <v>0</v>
      </c>
      <c r="Z1674" s="6">
        <v>0</v>
      </c>
      <c r="AA1674" s="6">
        <v>0</v>
      </c>
      <c r="AB1674" s="6">
        <v>0</v>
      </c>
      <c r="AC1674" s="7">
        <v>93</v>
      </c>
      <c r="AD1674" s="7" t="s">
        <v>52</v>
      </c>
      <c r="AE1674" s="7">
        <v>17.25</v>
      </c>
      <c r="AF1674" s="7">
        <v>151</v>
      </c>
      <c r="AG1674" s="7">
        <v>16.91</v>
      </c>
      <c r="AH1674" s="7">
        <v>37.76</v>
      </c>
      <c r="AI1674" s="7">
        <v>38.54</v>
      </c>
      <c r="AJ1674" s="9">
        <v>122.642858328454</v>
      </c>
      <c r="AK1674" s="9">
        <v>128.11020424316601</v>
      </c>
      <c r="AL1674" s="9">
        <v>178.72515449431299</v>
      </c>
      <c r="AM1674" s="9">
        <v>51.286670893953897</v>
      </c>
      <c r="AN1674" s="9">
        <v>0.55146957950488096</v>
      </c>
      <c r="AO1674" s="9">
        <v>0.31307028724347702</v>
      </c>
      <c r="AP1674" s="9">
        <v>479.04586143832501</v>
      </c>
      <c r="AQ1674" s="9">
        <v>5.1510307681540297</v>
      </c>
      <c r="AR1674" s="9">
        <v>3.9959355032287398</v>
      </c>
      <c r="AS1674" s="8" t="s">
        <v>169</v>
      </c>
      <c r="AT1674" s="8" t="s">
        <v>169</v>
      </c>
      <c r="AU1674" s="10" t="s">
        <v>169</v>
      </c>
      <c r="AV1674" s="10">
        <v>0</v>
      </c>
      <c r="AW1674" s="8" t="s">
        <v>169</v>
      </c>
      <c r="AX1674" s="10" t="s">
        <v>169</v>
      </c>
      <c r="BF1674" s="12">
        <v>0.45</v>
      </c>
      <c r="BG1674" s="13">
        <v>140.07583983491801</v>
      </c>
      <c r="BH1674" s="96" t="str">
        <f>+VLOOKUP(G1674,Liste!$A$7:$G$50,3,FALSE)</f>
        <v>Pin d'Alep</v>
      </c>
      <c r="BI1674" s="96" t="str">
        <f>+VLOOKUP(H1674,Liste!$B$7:$G$50,5,FALSE)</f>
        <v>Pin d'Alep</v>
      </c>
      <c r="BJ1674" s="135">
        <f t="shared" si="513"/>
        <v>93</v>
      </c>
      <c r="BK1674" s="135" t="str">
        <f t="shared" si="515"/>
        <v>Pin d'Alep_F2_Classique_Pin d'Alep_93_</v>
      </c>
      <c r="BM1674" s="13">
        <v>38.737086195559201</v>
      </c>
      <c r="BN1674" s="13">
        <v>178.812926030477</v>
      </c>
      <c r="BO1674" s="13" t="s">
        <v>169</v>
      </c>
      <c r="BP1674" s="13">
        <v>134.534925639471</v>
      </c>
      <c r="BQ1674" s="13">
        <v>3.8137820292911901</v>
      </c>
      <c r="BT1674" s="298" t="str">
        <f>+VLOOKUP(G1674,Liste!$A$7:$H$50,8,FALSE)</f>
        <v>Résineux</v>
      </c>
      <c r="BU1674" s="298">
        <f t="shared" si="516"/>
        <v>0</v>
      </c>
      <c r="BV1674" s="300">
        <f t="shared" si="517"/>
        <v>1</v>
      </c>
      <c r="BW1674" s="321">
        <v>0</v>
      </c>
      <c r="BX1674" s="298">
        <f t="shared" si="518"/>
        <v>0.43</v>
      </c>
      <c r="BY1674">
        <f t="shared" si="519"/>
        <v>0</v>
      </c>
      <c r="BZ1674" s="304">
        <f t="shared" si="520"/>
        <v>0</v>
      </c>
      <c r="CB1674" s="299">
        <v>0.6</v>
      </c>
      <c r="CC1674" s="299">
        <v>0.4</v>
      </c>
      <c r="CD1674">
        <f t="shared" si="521"/>
        <v>0</v>
      </c>
      <c r="CE1674">
        <f t="shared" si="522"/>
        <v>0</v>
      </c>
      <c r="CF1674">
        <f t="shared" si="523"/>
        <v>0</v>
      </c>
      <c r="CG1674">
        <f t="shared" si="524"/>
        <v>0</v>
      </c>
      <c r="CH1674">
        <f t="shared" si="525"/>
        <v>0</v>
      </c>
      <c r="CI1674">
        <f t="shared" si="526"/>
        <v>0</v>
      </c>
      <c r="CJ1674">
        <f t="shared" si="527"/>
        <v>0</v>
      </c>
      <c r="CK1674">
        <f t="shared" si="528"/>
        <v>0</v>
      </c>
      <c r="CL1674">
        <f t="shared" si="529"/>
        <v>0</v>
      </c>
      <c r="CM1674">
        <f t="shared" si="531"/>
        <v>0</v>
      </c>
      <c r="CN1674">
        <f t="shared" si="530"/>
        <v>0</v>
      </c>
      <c r="CO1674">
        <f t="shared" si="514"/>
        <v>0</v>
      </c>
    </row>
    <row r="1675" spans="1:93" x14ac:dyDescent="0.25">
      <c r="B1675" s="318">
        <v>44372</v>
      </c>
      <c r="C1675" s="4" t="s">
        <v>1524</v>
      </c>
      <c r="D1675" s="4" t="s">
        <v>1525</v>
      </c>
      <c r="F1675" s="4" t="s">
        <v>90</v>
      </c>
      <c r="G1675" s="5" t="s">
        <v>1514</v>
      </c>
      <c r="H1675" s="5" t="s">
        <v>1527</v>
      </c>
      <c r="I1675" s="5" t="s">
        <v>18</v>
      </c>
      <c r="J1675" s="5" t="s">
        <v>10</v>
      </c>
      <c r="K1675" s="5">
        <v>12</v>
      </c>
      <c r="L1675" s="5" t="s">
        <v>1528</v>
      </c>
      <c r="M1675" s="5">
        <v>1100</v>
      </c>
      <c r="N1675" s="5" t="s">
        <v>170</v>
      </c>
      <c r="O1675" s="6" t="s">
        <v>81</v>
      </c>
      <c r="P1675" s="6" t="s">
        <v>1530</v>
      </c>
      <c r="S1675" s="6">
        <v>18</v>
      </c>
      <c r="T1675" s="6">
        <v>4.34</v>
      </c>
      <c r="U1675" s="6">
        <v>1101</v>
      </c>
      <c r="V1675" s="6">
        <v>4.92</v>
      </c>
      <c r="W1675" s="6">
        <v>569</v>
      </c>
      <c r="X1675" s="6">
        <v>532</v>
      </c>
      <c r="Y1675" s="6">
        <v>0</v>
      </c>
      <c r="Z1675" s="6">
        <v>0</v>
      </c>
      <c r="AA1675" s="6">
        <v>0</v>
      </c>
      <c r="AB1675" s="6">
        <v>0</v>
      </c>
      <c r="AC1675" s="7">
        <v>94</v>
      </c>
      <c r="AD1675" s="7" t="s">
        <v>52</v>
      </c>
      <c r="AE1675" s="7">
        <v>17.329999999999998</v>
      </c>
      <c r="AF1675" s="7">
        <v>151</v>
      </c>
      <c r="AG1675" s="7">
        <v>17.22</v>
      </c>
      <c r="AH1675" s="7">
        <v>38.11</v>
      </c>
      <c r="AI1675" s="7">
        <v>38.9</v>
      </c>
      <c r="AJ1675" s="9">
        <v>125.415281510681</v>
      </c>
      <c r="AK1675" s="9">
        <v>131.03775386678399</v>
      </c>
      <c r="AL1675" s="9">
        <v>182.72108999754201</v>
      </c>
      <c r="AM1675" s="9">
        <v>51.599741181197402</v>
      </c>
      <c r="AN1675" s="9">
        <v>0.54893341682124897</v>
      </c>
      <c r="AO1675" s="9">
        <v>0.31296400716401301</v>
      </c>
      <c r="AP1675" s="9">
        <v>483.04179694155403</v>
      </c>
      <c r="AQ1675" s="9">
        <v>5.1387425206548203</v>
      </c>
      <c r="AR1675" s="9">
        <v>4.0371165595206504</v>
      </c>
      <c r="AS1675" s="8" t="s">
        <v>169</v>
      </c>
      <c r="AT1675" s="8" t="s">
        <v>169</v>
      </c>
      <c r="AU1675" s="10" t="s">
        <v>169</v>
      </c>
      <c r="AV1675" s="10">
        <v>0</v>
      </c>
      <c r="AW1675" s="8" t="s">
        <v>169</v>
      </c>
      <c r="AX1675" s="10" t="s">
        <v>169</v>
      </c>
      <c r="BF1675" s="12">
        <v>0.45</v>
      </c>
      <c r="BG1675" s="13">
        <v>143.20765428557399</v>
      </c>
      <c r="BH1675" s="96" t="str">
        <f>+VLOOKUP(G1675,Liste!$A$7:$G$50,3,FALSE)</f>
        <v>Pin d'Alep</v>
      </c>
      <c r="BI1675" s="96" t="str">
        <f>+VLOOKUP(H1675,Liste!$B$7:$G$50,5,FALSE)</f>
        <v>Pin d'Alep</v>
      </c>
      <c r="BJ1675" s="135">
        <f t="shared" si="513"/>
        <v>94</v>
      </c>
      <c r="BK1675" s="135" t="str">
        <f t="shared" si="515"/>
        <v>Pin d'Alep_F2_Classique_Pin d'Alep_94_</v>
      </c>
      <c r="BM1675" s="13">
        <v>39.501369920668601</v>
      </c>
      <c r="BN1675" s="13">
        <v>182.70902420624199</v>
      </c>
      <c r="BO1675" s="13" t="s">
        <v>169</v>
      </c>
      <c r="BP1675" s="13">
        <v>134.534925639471</v>
      </c>
      <c r="BQ1675" s="13">
        <v>3.8524193328198599</v>
      </c>
      <c r="BT1675" s="298" t="str">
        <f>+VLOOKUP(G1675,Liste!$A$7:$H$50,8,FALSE)</f>
        <v>Résineux</v>
      </c>
      <c r="BU1675" s="298">
        <f t="shared" si="516"/>
        <v>0</v>
      </c>
      <c r="BV1675" s="300">
        <f t="shared" si="517"/>
        <v>1</v>
      </c>
      <c r="BW1675" s="321">
        <v>0</v>
      </c>
      <c r="BX1675" s="298">
        <f t="shared" si="518"/>
        <v>0.43</v>
      </c>
      <c r="BY1675">
        <f t="shared" si="519"/>
        <v>0</v>
      </c>
      <c r="BZ1675" s="304">
        <f t="shared" si="520"/>
        <v>0</v>
      </c>
      <c r="CB1675" s="299">
        <v>0.6</v>
      </c>
      <c r="CC1675" s="299">
        <v>0.4</v>
      </c>
      <c r="CD1675">
        <f t="shared" si="521"/>
        <v>0</v>
      </c>
      <c r="CE1675">
        <f t="shared" si="522"/>
        <v>0</v>
      </c>
      <c r="CF1675">
        <f t="shared" si="523"/>
        <v>0</v>
      </c>
      <c r="CG1675">
        <f t="shared" si="524"/>
        <v>0</v>
      </c>
      <c r="CH1675">
        <f t="shared" si="525"/>
        <v>0</v>
      </c>
      <c r="CI1675">
        <f t="shared" si="526"/>
        <v>0</v>
      </c>
      <c r="CJ1675">
        <f t="shared" si="527"/>
        <v>0</v>
      </c>
      <c r="CK1675">
        <f t="shared" si="528"/>
        <v>0</v>
      </c>
      <c r="CL1675">
        <f t="shared" si="529"/>
        <v>0</v>
      </c>
      <c r="CM1675">
        <f t="shared" si="531"/>
        <v>0</v>
      </c>
      <c r="CN1675">
        <f t="shared" si="530"/>
        <v>0</v>
      </c>
      <c r="CO1675">
        <f t="shared" si="514"/>
        <v>0</v>
      </c>
    </row>
    <row r="1676" spans="1:93" x14ac:dyDescent="0.25">
      <c r="B1676" s="318">
        <v>44372</v>
      </c>
      <c r="C1676" s="4" t="s">
        <v>1524</v>
      </c>
      <c r="D1676" s="4" t="s">
        <v>1525</v>
      </c>
      <c r="F1676" s="4" t="s">
        <v>90</v>
      </c>
      <c r="G1676" s="5" t="s">
        <v>1514</v>
      </c>
      <c r="H1676" s="5" t="s">
        <v>1527</v>
      </c>
      <c r="I1676" s="5" t="s">
        <v>18</v>
      </c>
      <c r="J1676" s="5" t="s">
        <v>10</v>
      </c>
      <c r="K1676" s="5">
        <v>12</v>
      </c>
      <c r="L1676" s="5" t="s">
        <v>1528</v>
      </c>
      <c r="M1676" s="5">
        <v>1100</v>
      </c>
      <c r="N1676" s="5" t="s">
        <v>170</v>
      </c>
      <c r="O1676" s="6" t="s">
        <v>81</v>
      </c>
      <c r="P1676" s="6" t="s">
        <v>1530</v>
      </c>
      <c r="S1676" s="6">
        <v>18</v>
      </c>
      <c r="T1676" s="6">
        <v>4.34</v>
      </c>
      <c r="U1676" s="6">
        <v>1101</v>
      </c>
      <c r="V1676" s="6">
        <v>4.92</v>
      </c>
      <c r="W1676" s="6">
        <v>569</v>
      </c>
      <c r="X1676" s="6">
        <v>532</v>
      </c>
      <c r="Y1676" s="6">
        <v>0</v>
      </c>
      <c r="Z1676" s="6">
        <v>0</v>
      </c>
      <c r="AA1676" s="6">
        <v>0</v>
      </c>
      <c r="AB1676" s="6">
        <v>0</v>
      </c>
      <c r="AC1676" s="7">
        <v>95</v>
      </c>
      <c r="AD1676" s="7" t="s">
        <v>52</v>
      </c>
      <c r="AE1676" s="7">
        <v>17.420000000000002</v>
      </c>
      <c r="AF1676" s="7">
        <v>151</v>
      </c>
      <c r="AG1676" s="7">
        <v>17.54</v>
      </c>
      <c r="AH1676" s="7">
        <v>38.450000000000003</v>
      </c>
      <c r="AI1676" s="7">
        <v>39.26</v>
      </c>
      <c r="AJ1676" s="9">
        <v>128.22481205771399</v>
      </c>
      <c r="AK1676" s="9">
        <v>134.00327478609199</v>
      </c>
      <c r="AL1676" s="9">
        <v>186.758206557063</v>
      </c>
      <c r="AM1676" s="9">
        <v>51.9127051883614</v>
      </c>
      <c r="AN1676" s="9">
        <v>0.54644952829854099</v>
      </c>
      <c r="AP1676" s="9">
        <v>487.078913501074</v>
      </c>
      <c r="AQ1676" s="9">
        <v>5.12714645790604</v>
      </c>
      <c r="AS1676" s="8" t="s">
        <v>169</v>
      </c>
      <c r="AT1676" s="8" t="s">
        <v>169</v>
      </c>
      <c r="AU1676" s="10" t="s">
        <v>169</v>
      </c>
      <c r="AV1676" s="10">
        <v>0</v>
      </c>
      <c r="AW1676" s="8" t="s">
        <v>169</v>
      </c>
      <c r="AX1676" s="10" t="s">
        <v>169</v>
      </c>
      <c r="BF1676" s="12">
        <v>0.45</v>
      </c>
      <c r="BG1676" s="13">
        <v>146.37174438909801</v>
      </c>
      <c r="BH1676" s="96" t="str">
        <f>+VLOOKUP(G1676,Liste!$A$7:$G$50,3,FALSE)</f>
        <v>Pin d'Alep</v>
      </c>
      <c r="BI1676" s="96" t="str">
        <f>+VLOOKUP(H1676,Liste!$B$7:$G$50,5,FALSE)</f>
        <v>Pin d'Alep</v>
      </c>
      <c r="BJ1676" s="135">
        <f t="shared" si="513"/>
        <v>95</v>
      </c>
      <c r="BK1676" s="135" t="str">
        <f t="shared" si="515"/>
        <v>Pin d'Alep_F2_Classique_Pin d'Alep_95_</v>
      </c>
      <c r="BM1676" s="13">
        <v>40.271556955914697</v>
      </c>
      <c r="BN1676" s="13">
        <v>186.64330134501299</v>
      </c>
      <c r="BO1676" s="13" t="s">
        <v>169</v>
      </c>
      <c r="BP1676" s="13">
        <v>134.534925639471</v>
      </c>
      <c r="BT1676" s="298" t="str">
        <f>+VLOOKUP(G1676,Liste!$A$7:$H$50,8,FALSE)</f>
        <v>Résineux</v>
      </c>
      <c r="BU1676" s="298">
        <f t="shared" si="516"/>
        <v>0</v>
      </c>
      <c r="BV1676" s="300">
        <f t="shared" si="517"/>
        <v>1</v>
      </c>
      <c r="BW1676" s="321">
        <v>0</v>
      </c>
      <c r="BX1676" s="298">
        <f t="shared" si="518"/>
        <v>0.43</v>
      </c>
      <c r="BY1676">
        <f t="shared" si="519"/>
        <v>0</v>
      </c>
      <c r="BZ1676" s="304">
        <f t="shared" si="520"/>
        <v>0</v>
      </c>
      <c r="CB1676" s="299">
        <v>0.6</v>
      </c>
      <c r="CC1676" s="299">
        <v>0.4</v>
      </c>
      <c r="CD1676">
        <f t="shared" si="521"/>
        <v>0</v>
      </c>
      <c r="CE1676">
        <f t="shared" si="522"/>
        <v>0</v>
      </c>
      <c r="CF1676">
        <f t="shared" si="523"/>
        <v>0</v>
      </c>
      <c r="CG1676">
        <f t="shared" si="524"/>
        <v>0</v>
      </c>
      <c r="CH1676">
        <f t="shared" si="525"/>
        <v>0</v>
      </c>
      <c r="CI1676">
        <f t="shared" si="526"/>
        <v>0</v>
      </c>
      <c r="CJ1676">
        <f t="shared" si="527"/>
        <v>0</v>
      </c>
      <c r="CK1676">
        <f t="shared" si="528"/>
        <v>0</v>
      </c>
      <c r="CL1676">
        <f t="shared" si="529"/>
        <v>0</v>
      </c>
      <c r="CM1676">
        <f t="shared" si="531"/>
        <v>0</v>
      </c>
      <c r="CN1676">
        <f t="shared" si="530"/>
        <v>0</v>
      </c>
      <c r="CO1676">
        <f t="shared" si="514"/>
        <v>0</v>
      </c>
    </row>
    <row r="1677" spans="1:93" x14ac:dyDescent="0.25">
      <c r="B1677" s="318">
        <v>44372</v>
      </c>
      <c r="C1677" s="4" t="s">
        <v>1524</v>
      </c>
      <c r="D1677" s="4" t="s">
        <v>1525</v>
      </c>
      <c r="F1677" s="4" t="s">
        <v>90</v>
      </c>
      <c r="G1677" s="5" t="s">
        <v>1514</v>
      </c>
      <c r="H1677" s="5" t="s">
        <v>1527</v>
      </c>
      <c r="I1677" s="5" t="s">
        <v>18</v>
      </c>
      <c r="J1677" s="5" t="s">
        <v>10</v>
      </c>
      <c r="K1677" s="5">
        <v>12</v>
      </c>
      <c r="L1677" s="5" t="s">
        <v>1528</v>
      </c>
      <c r="M1677" s="5">
        <v>1100</v>
      </c>
      <c r="N1677" s="5" t="s">
        <v>170</v>
      </c>
      <c r="O1677" s="6" t="s">
        <v>81</v>
      </c>
      <c r="P1677" s="6" t="s">
        <v>1530</v>
      </c>
      <c r="S1677" s="6">
        <v>18</v>
      </c>
      <c r="T1677" s="6">
        <v>4.34</v>
      </c>
      <c r="U1677" s="6">
        <v>1101</v>
      </c>
      <c r="V1677" s="6">
        <v>4.92</v>
      </c>
      <c r="W1677" s="6">
        <v>569</v>
      </c>
      <c r="X1677" s="6">
        <v>532</v>
      </c>
      <c r="Y1677" s="6">
        <v>0</v>
      </c>
      <c r="Z1677" s="6">
        <v>0</v>
      </c>
      <c r="AA1677" s="6">
        <v>0</v>
      </c>
      <c r="AB1677" s="6">
        <v>0</v>
      </c>
      <c r="AC1677" s="7">
        <v>95</v>
      </c>
      <c r="AD1677" s="7" t="s">
        <v>53</v>
      </c>
      <c r="AE1677" s="7">
        <v>17.420000000000002</v>
      </c>
      <c r="AF1677" s="7">
        <v>0</v>
      </c>
      <c r="AG1677" s="7">
        <v>0</v>
      </c>
      <c r="AH1677" s="7">
        <v>0</v>
      </c>
      <c r="AI1677" s="7">
        <v>0</v>
      </c>
      <c r="AJ1677" s="9">
        <v>0</v>
      </c>
      <c r="AK1677" s="9">
        <v>0</v>
      </c>
      <c r="AL1677" s="9">
        <v>0</v>
      </c>
      <c r="AM1677" s="9">
        <v>51.9127051883614</v>
      </c>
      <c r="AN1677" s="9">
        <v>0.54644952829854099</v>
      </c>
      <c r="AP1677" s="9">
        <v>487.078913501074</v>
      </c>
      <c r="AQ1677" s="9">
        <v>5.12714645790604</v>
      </c>
      <c r="AS1677" s="8">
        <v>151</v>
      </c>
      <c r="AT1677" s="8">
        <v>17.54</v>
      </c>
      <c r="AU1677" s="10">
        <v>38.457529352318268</v>
      </c>
      <c r="AV1677" s="10">
        <v>128.22481205771399</v>
      </c>
      <c r="AW1677" s="8">
        <v>1</v>
      </c>
      <c r="AX1677" s="10">
        <v>0.8491709407795629</v>
      </c>
      <c r="BF1677" s="12">
        <v>0.45</v>
      </c>
      <c r="BG1677" s="13">
        <v>0</v>
      </c>
      <c r="BH1677" s="96" t="str">
        <f>+VLOOKUP(G1677,Liste!$A$7:$G$50,3,FALSE)</f>
        <v>Pin d'Alep</v>
      </c>
      <c r="BI1677" s="96" t="str">
        <f>+VLOOKUP(H1677,Liste!$B$7:$G$50,5,FALSE)</f>
        <v>Pin d'Alep</v>
      </c>
      <c r="BJ1677" s="135">
        <f t="shared" si="513"/>
        <v>95</v>
      </c>
      <c r="BK1677" s="135" t="str">
        <f t="shared" si="515"/>
        <v>Pin d'Alep_F2_Classique_Pin d'Alep_95_</v>
      </c>
      <c r="BM1677" s="13">
        <v>0</v>
      </c>
      <c r="BN1677" s="13">
        <v>0</v>
      </c>
      <c r="BO1677" s="13">
        <v>186.64330134501299</v>
      </c>
      <c r="BP1677" s="13">
        <v>134.534925639471</v>
      </c>
      <c r="BT1677" s="298" t="str">
        <f>+VLOOKUP(G1677,Liste!$A$7:$H$50,8,FALSE)</f>
        <v>Résineux</v>
      </c>
      <c r="BU1677" s="298">
        <f t="shared" si="516"/>
        <v>0</v>
      </c>
      <c r="BV1677" s="300">
        <f t="shared" si="517"/>
        <v>1</v>
      </c>
      <c r="BW1677" s="321">
        <v>0</v>
      </c>
      <c r="BX1677" s="298">
        <f t="shared" si="518"/>
        <v>0.43</v>
      </c>
      <c r="BY1677">
        <f t="shared" si="519"/>
        <v>0</v>
      </c>
      <c r="BZ1677" s="304">
        <f t="shared" si="520"/>
        <v>0</v>
      </c>
      <c r="CB1677" s="299">
        <v>0.6</v>
      </c>
      <c r="CC1677" s="299">
        <v>0.4</v>
      </c>
      <c r="CD1677">
        <f t="shared" si="521"/>
        <v>0</v>
      </c>
      <c r="CE1677">
        <f t="shared" si="522"/>
        <v>0</v>
      </c>
      <c r="CF1677">
        <f t="shared" si="523"/>
        <v>0</v>
      </c>
      <c r="CG1677">
        <f t="shared" si="524"/>
        <v>0</v>
      </c>
      <c r="CH1677">
        <f t="shared" si="525"/>
        <v>0</v>
      </c>
      <c r="CI1677">
        <f t="shared" si="526"/>
        <v>0</v>
      </c>
      <c r="CJ1677">
        <f t="shared" si="527"/>
        <v>0</v>
      </c>
      <c r="CK1677">
        <f t="shared" si="528"/>
        <v>0</v>
      </c>
      <c r="CL1677">
        <f t="shared" si="529"/>
        <v>0</v>
      </c>
      <c r="CM1677">
        <f t="shared" si="531"/>
        <v>0</v>
      </c>
      <c r="CN1677">
        <f t="shared" si="530"/>
        <v>0</v>
      </c>
      <c r="CO1677">
        <f t="shared" si="514"/>
        <v>0</v>
      </c>
    </row>
    <row r="1678" spans="1:93" x14ac:dyDescent="0.25">
      <c r="A1678" s="4">
        <v>2021</v>
      </c>
      <c r="B1678" s="318">
        <v>44425</v>
      </c>
      <c r="C1678" s="4" t="s">
        <v>418</v>
      </c>
      <c r="D1678" s="4" t="s">
        <v>1540</v>
      </c>
      <c r="F1678" s="4" t="s">
        <v>90</v>
      </c>
      <c r="G1678" s="5" t="s">
        <v>419</v>
      </c>
      <c r="H1678" s="5" t="s">
        <v>1541</v>
      </c>
      <c r="I1678" s="5" t="s">
        <v>18</v>
      </c>
      <c r="J1678" s="5" t="s">
        <v>144</v>
      </c>
      <c r="K1678" s="5">
        <v>23.5</v>
      </c>
      <c r="L1678" s="5" t="s">
        <v>1503</v>
      </c>
      <c r="M1678" s="5">
        <v>1250</v>
      </c>
      <c r="N1678" s="5" t="s">
        <v>171</v>
      </c>
      <c r="O1678" s="6" t="s">
        <v>81</v>
      </c>
      <c r="P1678" s="6" t="s">
        <v>1542</v>
      </c>
      <c r="S1678" s="6">
        <v>12</v>
      </c>
      <c r="T1678" s="6">
        <v>8.6199999999999992</v>
      </c>
      <c r="U1678" s="6">
        <v>1250</v>
      </c>
      <c r="V1678" s="6">
        <v>17.11</v>
      </c>
      <c r="W1678" s="6">
        <v>29</v>
      </c>
      <c r="X1678" s="6">
        <v>454</v>
      </c>
      <c r="Y1678" s="6">
        <v>758</v>
      </c>
      <c r="Z1678" s="6">
        <v>9</v>
      </c>
      <c r="AA1678" s="6">
        <v>0</v>
      </c>
      <c r="AB1678" s="6">
        <v>0</v>
      </c>
      <c r="AC1678" s="7">
        <v>12</v>
      </c>
      <c r="AD1678" s="7" t="s">
        <v>52</v>
      </c>
      <c r="AE1678" s="7">
        <v>8.6199999999999992</v>
      </c>
      <c r="AF1678" s="76">
        <v>1250.2</v>
      </c>
      <c r="AG1678" s="7">
        <v>17.11</v>
      </c>
      <c r="AH1678" s="7">
        <v>13.2</v>
      </c>
      <c r="AI1678" s="7">
        <v>16.8</v>
      </c>
      <c r="AJ1678" s="9">
        <v>67.385125987632094</v>
      </c>
      <c r="AK1678" s="9">
        <v>68.057039920140497</v>
      </c>
      <c r="AL1678" s="9">
        <v>98.164460939583506</v>
      </c>
      <c r="AM1678" s="9">
        <v>17.112472213649099</v>
      </c>
      <c r="AN1678" s="9">
        <v>1.4260393511374201</v>
      </c>
      <c r="AO1678" s="9">
        <v>3.2595099286346598</v>
      </c>
      <c r="AP1678" s="9">
        <v>98.164460939583506</v>
      </c>
      <c r="AQ1678" s="9">
        <v>8.1803717449652904</v>
      </c>
      <c r="AR1678" s="9">
        <v>24.5803652786127</v>
      </c>
      <c r="AV1678" s="8">
        <v>0</v>
      </c>
      <c r="BF1678" s="12">
        <v>0.46</v>
      </c>
      <c r="BG1678" s="13">
        <v>78.646093956096294</v>
      </c>
      <c r="BH1678" s="96" t="str">
        <f>+VLOOKUP(G1678,Liste!$A$7:$G$50,3,FALSE)</f>
        <v>Pin Maritime</v>
      </c>
      <c r="BI1678" s="96" t="str">
        <f>+VLOOKUP(H1678,Liste!$B$7:$G$50,5,FALSE)</f>
        <v>Landes</v>
      </c>
      <c r="BJ1678" s="135">
        <f t="shared" si="513"/>
        <v>12</v>
      </c>
      <c r="BK1678" s="135" t="str">
        <f t="shared" si="515"/>
        <v>Pin Maritime_F3_Classique_Landes_12_</v>
      </c>
      <c r="BM1678" s="13">
        <v>23.2605903123739</v>
      </c>
      <c r="BN1678" s="13">
        <v>101.90668426847</v>
      </c>
      <c r="BP1678" s="13">
        <v>248.80925905886301</v>
      </c>
      <c r="BQ1678" s="13">
        <v>24.711725753721499</v>
      </c>
      <c r="BT1678" s="298" t="str">
        <f>+VLOOKUP(G1678,Liste!$A$7:$H$50,8,FALSE)</f>
        <v>Résineux</v>
      </c>
      <c r="BU1678" s="298">
        <f t="shared" si="516"/>
        <v>0</v>
      </c>
      <c r="BV1678" s="300">
        <f t="shared" si="517"/>
        <v>1</v>
      </c>
      <c r="BW1678" s="321">
        <v>0</v>
      </c>
      <c r="BX1678" s="298">
        <f t="shared" si="518"/>
        <v>0.43</v>
      </c>
      <c r="BY1678">
        <f t="shared" si="519"/>
        <v>0</v>
      </c>
      <c r="BZ1678" s="304">
        <f t="shared" si="520"/>
        <v>0</v>
      </c>
      <c r="CB1678" s="299">
        <v>0.6</v>
      </c>
      <c r="CC1678" s="299">
        <v>0.4</v>
      </c>
      <c r="CD1678">
        <f t="shared" si="521"/>
        <v>0</v>
      </c>
      <c r="CE1678">
        <f t="shared" si="522"/>
        <v>0</v>
      </c>
      <c r="CF1678">
        <f t="shared" si="523"/>
        <v>0</v>
      </c>
      <c r="CG1678">
        <f t="shared" si="524"/>
        <v>0</v>
      </c>
      <c r="CH1678">
        <f t="shared" si="525"/>
        <v>0</v>
      </c>
      <c r="CI1678">
        <f t="shared" si="526"/>
        <v>0</v>
      </c>
      <c r="CJ1678">
        <f t="shared" si="527"/>
        <v>0</v>
      </c>
      <c r="CK1678">
        <f t="shared" si="528"/>
        <v>0</v>
      </c>
      <c r="CL1678">
        <f t="shared" si="529"/>
        <v>0</v>
      </c>
      <c r="CM1678">
        <f t="shared" si="531"/>
        <v>0</v>
      </c>
      <c r="CN1678">
        <f t="shared" si="530"/>
        <v>0</v>
      </c>
      <c r="CO1678">
        <f t="shared" si="514"/>
        <v>0</v>
      </c>
    </row>
    <row r="1679" spans="1:93" x14ac:dyDescent="0.25">
      <c r="A1679" s="4">
        <v>2021</v>
      </c>
      <c r="B1679" s="318">
        <v>44425</v>
      </c>
      <c r="C1679" s="4" t="s">
        <v>418</v>
      </c>
      <c r="D1679" s="4" t="s">
        <v>1540</v>
      </c>
      <c r="F1679" s="4" t="s">
        <v>90</v>
      </c>
      <c r="G1679" s="5" t="s">
        <v>419</v>
      </c>
      <c r="H1679" s="5" t="s">
        <v>1541</v>
      </c>
      <c r="I1679" s="5" t="s">
        <v>18</v>
      </c>
      <c r="J1679" s="5" t="s">
        <v>144</v>
      </c>
      <c r="K1679" s="5">
        <v>23.5</v>
      </c>
      <c r="L1679" s="5" t="s">
        <v>1503</v>
      </c>
      <c r="M1679" s="5">
        <v>1250</v>
      </c>
      <c r="N1679" s="5" t="s">
        <v>171</v>
      </c>
      <c r="O1679" s="6" t="s">
        <v>81</v>
      </c>
      <c r="P1679" s="6" t="s">
        <v>1542</v>
      </c>
      <c r="S1679" s="6">
        <v>12</v>
      </c>
      <c r="T1679" s="6">
        <v>8.6199999999999992</v>
      </c>
      <c r="U1679" s="6">
        <v>1250</v>
      </c>
      <c r="V1679" s="6">
        <v>17.11</v>
      </c>
      <c r="W1679" s="6">
        <v>29</v>
      </c>
      <c r="X1679" s="6">
        <v>454</v>
      </c>
      <c r="Y1679" s="6">
        <v>758</v>
      </c>
      <c r="Z1679" s="6">
        <v>9</v>
      </c>
      <c r="AA1679" s="6">
        <v>0</v>
      </c>
      <c r="AB1679" s="6">
        <v>0</v>
      </c>
      <c r="AC1679" s="7">
        <v>13</v>
      </c>
      <c r="AD1679" s="7" t="s">
        <v>52</v>
      </c>
      <c r="AE1679" s="7">
        <v>9.4</v>
      </c>
      <c r="AF1679" s="76">
        <v>1250.2</v>
      </c>
      <c r="AG1679" s="7">
        <v>20.36</v>
      </c>
      <c r="AH1679" s="7">
        <v>14.4</v>
      </c>
      <c r="AI1679" s="7">
        <v>18.329999999999998</v>
      </c>
      <c r="AJ1679" s="9">
        <v>87.769015377281093</v>
      </c>
      <c r="AK1679" s="9">
        <v>88.645280272248002</v>
      </c>
      <c r="AL1679" s="9">
        <v>122.744826218196</v>
      </c>
      <c r="AM1679" s="9" t="s">
        <v>169</v>
      </c>
      <c r="AN1679" s="9" t="s">
        <v>169</v>
      </c>
      <c r="AO1679" s="9" t="s">
        <v>169</v>
      </c>
      <c r="AP1679" s="9" t="s">
        <v>169</v>
      </c>
      <c r="AQ1679" s="9" t="s">
        <v>169</v>
      </c>
      <c r="AR1679" s="9" t="s">
        <v>169</v>
      </c>
      <c r="AS1679" s="8" t="s">
        <v>169</v>
      </c>
      <c r="AT1679" s="8" t="s">
        <v>169</v>
      </c>
      <c r="AU1679" s="8" t="s">
        <v>169</v>
      </c>
      <c r="AV1679" s="8">
        <v>0</v>
      </c>
      <c r="AW1679" s="8" t="s">
        <v>169</v>
      </c>
      <c r="AX1679" s="8" t="s">
        <v>169</v>
      </c>
      <c r="AY1679" s="8" t="str">
        <f t="shared" ref="AY1679:BA1679" si="532">IF($AD1679="ap",AL1678-AL1679,"")</f>
        <v/>
      </c>
      <c r="AZ1679" s="8" t="str">
        <f t="shared" si="532"/>
        <v/>
      </c>
      <c r="BA1679" s="8" t="str">
        <f t="shared" si="532"/>
        <v/>
      </c>
      <c r="BF1679" s="12">
        <v>0.46</v>
      </c>
      <c r="BG1679" s="13">
        <v>98.339063271811497</v>
      </c>
      <c r="BH1679" s="96" t="str">
        <f>+VLOOKUP(G1679,Liste!$A$7:$G$50,3,FALSE)</f>
        <v>Pin Maritime</v>
      </c>
      <c r="BI1679" s="96" t="str">
        <f>+VLOOKUP(H1679,Liste!$B$7:$G$50,5,FALSE)</f>
        <v>Landes</v>
      </c>
      <c r="BJ1679" s="135">
        <f t="shared" si="513"/>
        <v>13</v>
      </c>
      <c r="BK1679" s="135" t="str">
        <f t="shared" si="515"/>
        <v>Pin Maritime_F3_Classique_Landes_13_</v>
      </c>
      <c r="BM1679" s="13">
        <v>28.279346750380199</v>
      </c>
      <c r="BN1679" s="13">
        <v>126.61841002219199</v>
      </c>
      <c r="BO1679" s="12" t="s">
        <v>169</v>
      </c>
      <c r="BP1679" s="13">
        <v>248.80925905886301</v>
      </c>
      <c r="BQ1679" s="13" t="s">
        <v>169</v>
      </c>
      <c r="BT1679" s="298" t="str">
        <f>+VLOOKUP(G1679,Liste!$A$7:$H$50,8,FALSE)</f>
        <v>Résineux</v>
      </c>
      <c r="BU1679" s="298">
        <f t="shared" si="516"/>
        <v>0</v>
      </c>
      <c r="BV1679" s="300">
        <f t="shared" si="517"/>
        <v>1</v>
      </c>
      <c r="BW1679" s="321">
        <v>0</v>
      </c>
      <c r="BX1679" s="298">
        <f t="shared" si="518"/>
        <v>0.43</v>
      </c>
      <c r="BY1679">
        <f>+IF(BJ1679&lt;=30,AV1679*BX1679,0)</f>
        <v>0</v>
      </c>
      <c r="BZ1679" s="304">
        <f t="shared" si="520"/>
        <v>0</v>
      </c>
      <c r="CB1679" s="299">
        <v>0.6</v>
      </c>
      <c r="CC1679" s="299">
        <v>0.4</v>
      </c>
      <c r="CD1679">
        <f t="shared" si="521"/>
        <v>0</v>
      </c>
      <c r="CE1679">
        <f t="shared" si="522"/>
        <v>0</v>
      </c>
      <c r="CF1679">
        <f t="shared" si="523"/>
        <v>0</v>
      </c>
      <c r="CG1679">
        <f t="shared" si="524"/>
        <v>0</v>
      </c>
      <c r="CH1679">
        <f t="shared" si="525"/>
        <v>0</v>
      </c>
      <c r="CI1679">
        <f t="shared" si="526"/>
        <v>0</v>
      </c>
      <c r="CJ1679">
        <f t="shared" si="527"/>
        <v>0</v>
      </c>
      <c r="CK1679">
        <f t="shared" si="528"/>
        <v>0</v>
      </c>
      <c r="CL1679">
        <f t="shared" si="529"/>
        <v>0</v>
      </c>
      <c r="CM1679">
        <f t="shared" si="531"/>
        <v>0</v>
      </c>
      <c r="CN1679">
        <f t="shared" si="530"/>
        <v>0</v>
      </c>
      <c r="CO1679">
        <f t="shared" si="514"/>
        <v>0</v>
      </c>
    </row>
    <row r="1680" spans="1:93" x14ac:dyDescent="0.25">
      <c r="A1680" s="4">
        <v>2021</v>
      </c>
      <c r="B1680" s="318">
        <v>44425</v>
      </c>
      <c r="C1680" s="4" t="s">
        <v>418</v>
      </c>
      <c r="D1680" s="4" t="s">
        <v>1540</v>
      </c>
      <c r="F1680" s="4" t="s">
        <v>90</v>
      </c>
      <c r="G1680" s="5" t="s">
        <v>419</v>
      </c>
      <c r="H1680" s="5" t="s">
        <v>1541</v>
      </c>
      <c r="I1680" s="5" t="s">
        <v>18</v>
      </c>
      <c r="J1680" s="5" t="s">
        <v>144</v>
      </c>
      <c r="K1680" s="5">
        <v>23.5</v>
      </c>
      <c r="L1680" s="5" t="s">
        <v>1503</v>
      </c>
      <c r="M1680" s="5">
        <v>1250</v>
      </c>
      <c r="N1680" s="5" t="s">
        <v>171</v>
      </c>
      <c r="O1680" s="6" t="s">
        <v>81</v>
      </c>
      <c r="P1680" s="6" t="s">
        <v>1542</v>
      </c>
      <c r="S1680" s="6">
        <v>12</v>
      </c>
      <c r="T1680" s="6">
        <v>8.6199999999999992</v>
      </c>
      <c r="U1680" s="6">
        <v>1250</v>
      </c>
      <c r="V1680" s="6">
        <v>17.11</v>
      </c>
      <c r="W1680" s="6">
        <v>29</v>
      </c>
      <c r="X1680" s="6">
        <v>454</v>
      </c>
      <c r="Y1680" s="6">
        <v>758</v>
      </c>
      <c r="Z1680" s="6">
        <v>9</v>
      </c>
      <c r="AA1680" s="6">
        <v>0</v>
      </c>
      <c r="AB1680" s="6">
        <v>0</v>
      </c>
      <c r="AC1680" s="7">
        <v>14</v>
      </c>
      <c r="AD1680" s="7" t="s">
        <v>52</v>
      </c>
      <c r="AE1680" s="7">
        <v>10.16</v>
      </c>
      <c r="AF1680" s="76">
        <v>1250.2</v>
      </c>
      <c r="AG1680" s="7">
        <v>23.63</v>
      </c>
      <c r="AH1680" s="7">
        <v>15.51</v>
      </c>
      <c r="AI1680" s="7">
        <v>19.78</v>
      </c>
      <c r="AJ1680" s="9">
        <v>108.15290476693001</v>
      </c>
      <c r="AK1680" s="9">
        <v>109.233520624356</v>
      </c>
      <c r="AL1680" s="9">
        <v>147.325191496809</v>
      </c>
      <c r="AM1680" s="9">
        <v>23.631492070918402</v>
      </c>
      <c r="AN1680" s="9">
        <v>1.68796371935131</v>
      </c>
      <c r="AO1680" s="9">
        <v>2.7293699143366901</v>
      </c>
      <c r="AP1680" s="9">
        <v>147.325191496809</v>
      </c>
      <c r="AQ1680" s="9">
        <v>10.523227964057799</v>
      </c>
      <c r="AR1680" s="9">
        <v>25.071277129272399</v>
      </c>
      <c r="AS1680" s="8" t="s">
        <v>169</v>
      </c>
      <c r="AT1680" s="8" t="s">
        <v>169</v>
      </c>
      <c r="AU1680" s="8" t="s">
        <v>169</v>
      </c>
      <c r="AV1680" s="8">
        <v>0</v>
      </c>
      <c r="AW1680" s="8" t="s">
        <v>169</v>
      </c>
      <c r="AX1680" s="8" t="s">
        <v>169</v>
      </c>
      <c r="BF1680" s="12">
        <v>0.46</v>
      </c>
      <c r="BG1680" s="13">
        <v>118.032032587527</v>
      </c>
      <c r="BH1680" s="96" t="str">
        <f>+VLOOKUP(G1680,Liste!$A$7:$G$50,3,FALSE)</f>
        <v>Pin Maritime</v>
      </c>
      <c r="BI1680" s="96" t="str">
        <f>+VLOOKUP(H1680,Liste!$B$7:$G$50,5,FALSE)</f>
        <v>Landes</v>
      </c>
      <c r="BJ1680" s="135">
        <f t="shared" si="513"/>
        <v>14</v>
      </c>
      <c r="BK1680" s="135" t="str">
        <f t="shared" si="515"/>
        <v>Pin Maritime_F3_Classique_Landes_14_</v>
      </c>
      <c r="BM1680" s="13">
        <v>33.298103188386499</v>
      </c>
      <c r="BN1680" s="13">
        <v>151.33013577591299</v>
      </c>
      <c r="BO1680" s="12" t="s">
        <v>169</v>
      </c>
      <c r="BP1680" s="13">
        <v>248.80925905886301</v>
      </c>
      <c r="BQ1680" s="13">
        <v>24.900400895064099</v>
      </c>
      <c r="BT1680" s="298" t="str">
        <f>+VLOOKUP(G1680,Liste!$A$7:$H$50,8,FALSE)</f>
        <v>Résineux</v>
      </c>
      <c r="BU1680" s="298">
        <f t="shared" si="516"/>
        <v>0</v>
      </c>
      <c r="BV1680" s="300">
        <f t="shared" si="517"/>
        <v>1</v>
      </c>
      <c r="BW1680" s="321">
        <v>0</v>
      </c>
      <c r="BX1680" s="298">
        <f t="shared" si="518"/>
        <v>0.43</v>
      </c>
      <c r="BY1680">
        <f t="shared" si="519"/>
        <v>0</v>
      </c>
      <c r="BZ1680" s="304">
        <f t="shared" si="520"/>
        <v>0</v>
      </c>
      <c r="CB1680" s="299">
        <v>0.6</v>
      </c>
      <c r="CC1680" s="299">
        <v>0.4</v>
      </c>
      <c r="CD1680">
        <f t="shared" si="521"/>
        <v>0</v>
      </c>
      <c r="CE1680">
        <f t="shared" si="522"/>
        <v>0</v>
      </c>
      <c r="CF1680">
        <f t="shared" si="523"/>
        <v>0</v>
      </c>
      <c r="CG1680">
        <f t="shared" si="524"/>
        <v>0</v>
      </c>
      <c r="CH1680">
        <f t="shared" si="525"/>
        <v>0</v>
      </c>
      <c r="CI1680">
        <f t="shared" si="526"/>
        <v>0</v>
      </c>
      <c r="CJ1680">
        <f t="shared" si="527"/>
        <v>0</v>
      </c>
      <c r="CK1680">
        <f t="shared" si="528"/>
        <v>0</v>
      </c>
      <c r="CL1680">
        <f t="shared" si="529"/>
        <v>0</v>
      </c>
      <c r="CM1680">
        <f t="shared" si="531"/>
        <v>0</v>
      </c>
      <c r="CN1680">
        <f t="shared" si="530"/>
        <v>0</v>
      </c>
      <c r="CO1680">
        <f t="shared" si="514"/>
        <v>0</v>
      </c>
    </row>
    <row r="1681" spans="1:93" x14ac:dyDescent="0.25">
      <c r="A1681" s="4">
        <v>2021</v>
      </c>
      <c r="B1681" s="318">
        <v>44425</v>
      </c>
      <c r="C1681" s="4" t="s">
        <v>418</v>
      </c>
      <c r="D1681" s="4" t="s">
        <v>1540</v>
      </c>
      <c r="F1681" s="4" t="s">
        <v>90</v>
      </c>
      <c r="G1681" s="5" t="s">
        <v>419</v>
      </c>
      <c r="H1681" s="5" t="s">
        <v>1541</v>
      </c>
      <c r="I1681" s="5" t="s">
        <v>18</v>
      </c>
      <c r="J1681" s="5" t="s">
        <v>144</v>
      </c>
      <c r="K1681" s="5">
        <v>23.5</v>
      </c>
      <c r="L1681" s="5" t="s">
        <v>1503</v>
      </c>
      <c r="M1681" s="5">
        <v>1250</v>
      </c>
      <c r="N1681" s="5" t="s">
        <v>171</v>
      </c>
      <c r="O1681" s="6" t="s">
        <v>81</v>
      </c>
      <c r="P1681" s="6" t="s">
        <v>1542</v>
      </c>
      <c r="S1681" s="6">
        <v>12</v>
      </c>
      <c r="T1681" s="6">
        <v>8.6199999999999992</v>
      </c>
      <c r="U1681" s="6">
        <v>1250</v>
      </c>
      <c r="V1681" s="6">
        <v>17.11</v>
      </c>
      <c r="W1681" s="6">
        <v>29</v>
      </c>
      <c r="X1681" s="6">
        <v>454</v>
      </c>
      <c r="Y1681" s="6">
        <v>758</v>
      </c>
      <c r="Z1681" s="6">
        <v>9</v>
      </c>
      <c r="AA1681" s="6">
        <v>0</v>
      </c>
      <c r="AB1681" s="6">
        <v>0</v>
      </c>
      <c r="AC1681" s="7">
        <v>14</v>
      </c>
      <c r="AD1681" s="7" t="s">
        <v>53</v>
      </c>
      <c r="AE1681" s="7">
        <v>10.16</v>
      </c>
      <c r="AF1681" s="76">
        <v>850.2</v>
      </c>
      <c r="AG1681" s="7">
        <v>17.78</v>
      </c>
      <c r="AH1681" s="7">
        <v>16.32</v>
      </c>
      <c r="AI1681" s="7">
        <v>19.78</v>
      </c>
      <c r="AJ1681" s="9">
        <v>82.555415324089694</v>
      </c>
      <c r="AK1681" s="9">
        <v>83.468431025764104</v>
      </c>
      <c r="AL1681" s="9">
        <v>112.32952756718799</v>
      </c>
      <c r="AM1681" s="9">
        <v>23.631492070918402</v>
      </c>
      <c r="AN1681" s="9">
        <v>1.68796371935131</v>
      </c>
      <c r="AO1681" s="9">
        <v>2.7293699143366901</v>
      </c>
      <c r="AP1681" s="9">
        <v>147.325191496809</v>
      </c>
      <c r="AQ1681" s="9">
        <v>10.523227964057799</v>
      </c>
      <c r="AR1681" s="9">
        <v>25.071277129272399</v>
      </c>
      <c r="AS1681" s="73">
        <v>400</v>
      </c>
      <c r="AT1681" s="8">
        <v>5.8499999999999979</v>
      </c>
      <c r="AU1681" s="10">
        <v>13.645925524401688</v>
      </c>
      <c r="AV1681" s="10">
        <v>25.597489442840313</v>
      </c>
      <c r="AW1681" s="8">
        <v>0.77</v>
      </c>
      <c r="AX1681" s="10">
        <v>6.3993723607100789E-2</v>
      </c>
      <c r="BF1681" s="12">
        <v>0.46</v>
      </c>
      <c r="BG1681" s="13">
        <v>89.994673169245402</v>
      </c>
      <c r="BH1681" s="96" t="str">
        <f>+VLOOKUP(G1681,Liste!$A$7:$G$50,3,FALSE)</f>
        <v>Pin Maritime</v>
      </c>
      <c r="BI1681" s="96" t="str">
        <f>+VLOOKUP(H1681,Liste!$B$7:$G$50,5,FALSE)</f>
        <v>Landes</v>
      </c>
      <c r="BJ1681" s="135">
        <f t="shared" si="513"/>
        <v>14</v>
      </c>
      <c r="BK1681" s="135" t="str">
        <f t="shared" si="515"/>
        <v>Pin Maritime_F3_Classique_Landes_14_</v>
      </c>
      <c r="BM1681" s="13">
        <v>26.202719250916701</v>
      </c>
      <c r="BN1681" s="13">
        <v>116.197392420162</v>
      </c>
      <c r="BO1681" s="13">
        <v>35.132743355750989</v>
      </c>
      <c r="BP1681" s="13">
        <v>248.80925905886301</v>
      </c>
      <c r="BQ1681" s="13">
        <v>24.900400895064099</v>
      </c>
      <c r="BT1681" s="298" t="str">
        <f>+VLOOKUP(G1681,Liste!$A$7:$H$50,8,FALSE)</f>
        <v>Résineux</v>
      </c>
      <c r="BU1681" s="298">
        <f t="shared" si="516"/>
        <v>0</v>
      </c>
      <c r="BV1681" s="300">
        <f t="shared" si="517"/>
        <v>1</v>
      </c>
      <c r="BW1681" s="321">
        <v>0</v>
      </c>
      <c r="BX1681" s="298">
        <f t="shared" si="518"/>
        <v>0.43</v>
      </c>
      <c r="BY1681">
        <f t="shared" si="519"/>
        <v>11.006920460421334</v>
      </c>
      <c r="BZ1681" s="304">
        <f t="shared" si="520"/>
        <v>11.006920460421334</v>
      </c>
      <c r="CB1681" s="299">
        <v>0.6</v>
      </c>
      <c r="CC1681" s="299">
        <v>0.4</v>
      </c>
      <c r="CD1681">
        <f t="shared" si="521"/>
        <v>0</v>
      </c>
      <c r="CE1681">
        <f t="shared" si="522"/>
        <v>15.358493665704188</v>
      </c>
      <c r="CF1681">
        <f t="shared" si="523"/>
        <v>10.238995777136125</v>
      </c>
      <c r="CG1681">
        <f t="shared" si="524"/>
        <v>0</v>
      </c>
      <c r="CH1681">
        <f t="shared" si="525"/>
        <v>12.304713175173337</v>
      </c>
      <c r="CI1681">
        <f t="shared" si="526"/>
        <v>8.2031421167822263</v>
      </c>
      <c r="CJ1681">
        <f t="shared" si="527"/>
        <v>0</v>
      </c>
      <c r="CK1681">
        <f t="shared" si="528"/>
        <v>0</v>
      </c>
      <c r="CL1681">
        <f t="shared" si="529"/>
        <v>0</v>
      </c>
      <c r="CM1681">
        <f t="shared" si="531"/>
        <v>0</v>
      </c>
      <c r="CN1681">
        <f t="shared" si="530"/>
        <v>0</v>
      </c>
      <c r="CO1681">
        <f t="shared" si="514"/>
        <v>0</v>
      </c>
    </row>
    <row r="1682" spans="1:93" x14ac:dyDescent="0.25">
      <c r="A1682" s="4">
        <v>2021</v>
      </c>
      <c r="B1682" s="318">
        <v>44425</v>
      </c>
      <c r="C1682" s="4" t="s">
        <v>418</v>
      </c>
      <c r="D1682" s="4" t="s">
        <v>1540</v>
      </c>
      <c r="F1682" s="4" t="s">
        <v>90</v>
      </c>
      <c r="G1682" s="5" t="s">
        <v>419</v>
      </c>
      <c r="H1682" s="5" t="s">
        <v>1541</v>
      </c>
      <c r="I1682" s="5" t="s">
        <v>18</v>
      </c>
      <c r="J1682" s="5" t="s">
        <v>144</v>
      </c>
      <c r="K1682" s="5">
        <v>23.5</v>
      </c>
      <c r="L1682" s="5" t="s">
        <v>1503</v>
      </c>
      <c r="M1682" s="5">
        <v>1250</v>
      </c>
      <c r="N1682" s="5" t="s">
        <v>171</v>
      </c>
      <c r="O1682" s="6" t="s">
        <v>81</v>
      </c>
      <c r="P1682" s="6" t="s">
        <v>1542</v>
      </c>
      <c r="S1682" s="6">
        <v>12</v>
      </c>
      <c r="T1682" s="6">
        <v>8.6199999999999992</v>
      </c>
      <c r="U1682" s="6">
        <v>1250</v>
      </c>
      <c r="V1682" s="6">
        <v>17.11</v>
      </c>
      <c r="W1682" s="6">
        <v>29</v>
      </c>
      <c r="X1682" s="6">
        <v>454</v>
      </c>
      <c r="Y1682" s="6">
        <v>758</v>
      </c>
      <c r="Z1682" s="6">
        <v>9</v>
      </c>
      <c r="AA1682" s="6">
        <v>0</v>
      </c>
      <c r="AB1682" s="6">
        <v>0</v>
      </c>
      <c r="AC1682" s="7">
        <v>15</v>
      </c>
      <c r="AD1682" s="7" t="s">
        <v>52</v>
      </c>
      <c r="AE1682" s="7">
        <v>10.9</v>
      </c>
      <c r="AF1682" s="76">
        <v>850.2</v>
      </c>
      <c r="AG1682" s="7">
        <v>20.48</v>
      </c>
      <c r="AH1682" s="7">
        <v>17.510000000000002</v>
      </c>
      <c r="AI1682" s="7">
        <v>21.25</v>
      </c>
      <c r="AJ1682" s="9">
        <v>105.33904912533001</v>
      </c>
      <c r="AK1682" s="9">
        <v>106.383381392847</v>
      </c>
      <c r="AL1682" s="9">
        <v>137.40080469646</v>
      </c>
      <c r="AM1682" s="9" t="s">
        <v>169</v>
      </c>
      <c r="AN1682" s="9" t="s">
        <v>169</v>
      </c>
      <c r="AO1682" s="9" t="s">
        <v>169</v>
      </c>
      <c r="AP1682" s="9" t="s">
        <v>169</v>
      </c>
      <c r="AQ1682" s="9" t="s">
        <v>169</v>
      </c>
      <c r="AR1682" s="9" t="s">
        <v>169</v>
      </c>
      <c r="AS1682" s="73" t="s">
        <v>169</v>
      </c>
      <c r="AT1682" s="8" t="s">
        <v>169</v>
      </c>
      <c r="AU1682" s="10" t="s">
        <v>169</v>
      </c>
      <c r="AV1682" s="10">
        <v>0</v>
      </c>
      <c r="AX1682" s="10" t="s">
        <v>169</v>
      </c>
      <c r="BF1682" s="12">
        <v>0.46</v>
      </c>
      <c r="BG1682" s="13">
        <v>110.080944695981</v>
      </c>
      <c r="BH1682" s="96" t="str">
        <f>+VLOOKUP(G1682,Liste!$A$7:$G$50,3,FALSE)</f>
        <v>Pin Maritime</v>
      </c>
      <c r="BI1682" s="96" t="str">
        <f>+VLOOKUP(H1682,Liste!$B$7:$G$50,5,FALSE)</f>
        <v>Landes</v>
      </c>
      <c r="BJ1682" s="135">
        <f t="shared" si="513"/>
        <v>15</v>
      </c>
      <c r="BK1682" s="135" t="str">
        <f t="shared" si="515"/>
        <v>Pin Maritime_F3_Classique_Landes_15_</v>
      </c>
      <c r="BM1682" s="13">
        <v>31.124581910547001</v>
      </c>
      <c r="BN1682" s="13">
        <v>141.205526606528</v>
      </c>
      <c r="BO1682" s="13" t="s">
        <v>169</v>
      </c>
      <c r="BP1682" s="13">
        <v>248.80925905886301</v>
      </c>
      <c r="BQ1682" s="13" t="s">
        <v>169</v>
      </c>
      <c r="BT1682" s="298" t="str">
        <f>+VLOOKUP(G1682,Liste!$A$7:$H$50,8,FALSE)</f>
        <v>Résineux</v>
      </c>
      <c r="BU1682" s="298">
        <f t="shared" si="516"/>
        <v>0</v>
      </c>
      <c r="BV1682" s="300">
        <f t="shared" si="517"/>
        <v>1</v>
      </c>
      <c r="BW1682" s="321">
        <v>0</v>
      </c>
      <c r="BX1682" s="298">
        <f t="shared" si="518"/>
        <v>0.43</v>
      </c>
      <c r="BY1682">
        <f t="shared" si="519"/>
        <v>0</v>
      </c>
      <c r="BZ1682" s="304">
        <f t="shared" si="520"/>
        <v>11.006920460421334</v>
      </c>
      <c r="CB1682" s="299">
        <v>0.6</v>
      </c>
      <c r="CC1682" s="299">
        <v>0.4</v>
      </c>
      <c r="CD1682">
        <f t="shared" si="521"/>
        <v>0</v>
      </c>
      <c r="CE1682">
        <f t="shared" si="522"/>
        <v>0</v>
      </c>
      <c r="CF1682">
        <f t="shared" si="523"/>
        <v>0</v>
      </c>
      <c r="CG1682">
        <f t="shared" si="524"/>
        <v>0</v>
      </c>
      <c r="CH1682">
        <f t="shared" si="525"/>
        <v>0</v>
      </c>
      <c r="CI1682">
        <f t="shared" si="526"/>
        <v>0</v>
      </c>
      <c r="CJ1682">
        <f t="shared" si="527"/>
        <v>0</v>
      </c>
      <c r="CK1682">
        <f t="shared" si="528"/>
        <v>12.135699252936615</v>
      </c>
      <c r="CL1682">
        <f t="shared" si="529"/>
        <v>6.93256718444015</v>
      </c>
      <c r="CM1682">
        <f t="shared" si="531"/>
        <v>19.068266437376764</v>
      </c>
      <c r="CN1682">
        <f t="shared" si="530"/>
        <v>19.068266437376764</v>
      </c>
      <c r="CO1682">
        <f t="shared" si="514"/>
        <v>0</v>
      </c>
    </row>
    <row r="1683" spans="1:93" x14ac:dyDescent="0.25">
      <c r="A1683" s="4">
        <v>2021</v>
      </c>
      <c r="B1683" s="318">
        <v>44425</v>
      </c>
      <c r="C1683" s="4" t="s">
        <v>418</v>
      </c>
      <c r="D1683" s="4" t="s">
        <v>1540</v>
      </c>
      <c r="F1683" s="4" t="s">
        <v>90</v>
      </c>
      <c r="G1683" s="5" t="s">
        <v>419</v>
      </c>
      <c r="H1683" s="5" t="s">
        <v>1541</v>
      </c>
      <c r="I1683" s="5" t="s">
        <v>18</v>
      </c>
      <c r="J1683" s="5" t="s">
        <v>144</v>
      </c>
      <c r="K1683" s="5">
        <v>23.5</v>
      </c>
      <c r="L1683" s="5" t="s">
        <v>1503</v>
      </c>
      <c r="M1683" s="5">
        <v>1250</v>
      </c>
      <c r="N1683" s="5" t="s">
        <v>171</v>
      </c>
      <c r="O1683" s="6" t="s">
        <v>81</v>
      </c>
      <c r="P1683" s="6" t="s">
        <v>1542</v>
      </c>
      <c r="S1683" s="6">
        <v>12</v>
      </c>
      <c r="T1683" s="6">
        <v>8.6199999999999992</v>
      </c>
      <c r="U1683" s="6">
        <v>1250</v>
      </c>
      <c r="V1683" s="6">
        <v>17.11</v>
      </c>
      <c r="W1683" s="6">
        <v>29</v>
      </c>
      <c r="X1683" s="6">
        <v>454</v>
      </c>
      <c r="Y1683" s="6">
        <v>758</v>
      </c>
      <c r="Z1683" s="6">
        <v>9</v>
      </c>
      <c r="AA1683" s="6">
        <v>0</v>
      </c>
      <c r="AB1683" s="6">
        <v>0</v>
      </c>
      <c r="AC1683" s="7">
        <v>16</v>
      </c>
      <c r="AD1683" s="7" t="s">
        <v>52</v>
      </c>
      <c r="AE1683" s="7">
        <v>11.63</v>
      </c>
      <c r="AF1683" s="76">
        <v>850.2</v>
      </c>
      <c r="AG1683" s="7">
        <v>23.21</v>
      </c>
      <c r="AH1683" s="7">
        <v>18.64</v>
      </c>
      <c r="AI1683" s="7">
        <v>22.66</v>
      </c>
      <c r="AJ1683" s="9">
        <v>128.122682926571</v>
      </c>
      <c r="AK1683" s="9">
        <v>129.29833175993099</v>
      </c>
      <c r="AL1683" s="9">
        <v>162.472081825733</v>
      </c>
      <c r="AM1683" s="9" t="s">
        <v>169</v>
      </c>
      <c r="AN1683" s="9" t="s">
        <v>169</v>
      </c>
      <c r="AO1683" s="9" t="s">
        <v>169</v>
      </c>
      <c r="AP1683" s="9" t="s">
        <v>169</v>
      </c>
      <c r="AQ1683" s="9" t="s">
        <v>169</v>
      </c>
      <c r="AR1683" s="9" t="s">
        <v>169</v>
      </c>
      <c r="AS1683" s="73" t="s">
        <v>169</v>
      </c>
      <c r="AT1683" s="8" t="s">
        <v>169</v>
      </c>
      <c r="AU1683" s="10" t="s">
        <v>169</v>
      </c>
      <c r="AV1683" s="10">
        <v>0</v>
      </c>
      <c r="AX1683" s="10" t="s">
        <v>169</v>
      </c>
      <c r="BF1683" s="12">
        <v>0.46</v>
      </c>
      <c r="BG1683" s="13">
        <v>130.16721622271601</v>
      </c>
      <c r="BH1683" s="96" t="str">
        <f>+VLOOKUP(G1683,Liste!$A$7:$G$50,3,FALSE)</f>
        <v>Pin Maritime</v>
      </c>
      <c r="BI1683" s="96" t="str">
        <f>+VLOOKUP(H1683,Liste!$B$7:$G$50,5,FALSE)</f>
        <v>Landes</v>
      </c>
      <c r="BJ1683" s="135">
        <f t="shared" si="513"/>
        <v>16</v>
      </c>
      <c r="BK1683" s="135" t="str">
        <f t="shared" si="515"/>
        <v>Pin Maritime_F3_Classique_Landes_16_</v>
      </c>
      <c r="BM1683" s="13">
        <v>36.0464445701773</v>
      </c>
      <c r="BN1683" s="13">
        <v>166.21366079289399</v>
      </c>
      <c r="BO1683" s="13" t="s">
        <v>169</v>
      </c>
      <c r="BP1683" s="13">
        <v>248.80925905886301</v>
      </c>
      <c r="BQ1683" s="13" t="s">
        <v>169</v>
      </c>
      <c r="BT1683" s="298" t="str">
        <f>+VLOOKUP(G1683,Liste!$A$7:$H$50,8,FALSE)</f>
        <v>Résineux</v>
      </c>
      <c r="BU1683" s="298">
        <f t="shared" si="516"/>
        <v>0</v>
      </c>
      <c r="BV1683" s="300">
        <f t="shared" si="517"/>
        <v>1</v>
      </c>
      <c r="BW1683" s="321">
        <v>0</v>
      </c>
      <c r="BX1683" s="298">
        <f t="shared" si="518"/>
        <v>0.43</v>
      </c>
      <c r="BY1683">
        <f t="shared" si="519"/>
        <v>0</v>
      </c>
      <c r="BZ1683" s="304">
        <f t="shared" si="520"/>
        <v>11.006920460421334</v>
      </c>
      <c r="CB1683" s="299">
        <v>0.6</v>
      </c>
      <c r="CC1683" s="299">
        <v>0.4</v>
      </c>
      <c r="CD1683">
        <f t="shared" si="521"/>
        <v>0</v>
      </c>
      <c r="CE1683">
        <f t="shared" si="522"/>
        <v>0</v>
      </c>
      <c r="CF1683">
        <f t="shared" si="523"/>
        <v>0</v>
      </c>
      <c r="CG1683">
        <f t="shared" si="524"/>
        <v>0</v>
      </c>
      <c r="CH1683">
        <f t="shared" si="525"/>
        <v>0</v>
      </c>
      <c r="CI1683">
        <f t="shared" si="526"/>
        <v>0</v>
      </c>
      <c r="CJ1683">
        <f t="shared" si="527"/>
        <v>0</v>
      </c>
      <c r="CK1683">
        <f t="shared" si="528"/>
        <v>11.803847918676375</v>
      </c>
      <c r="CL1683">
        <f t="shared" si="529"/>
        <v>4.9020652671489611</v>
      </c>
      <c r="CM1683">
        <f t="shared" si="531"/>
        <v>16.705913185825338</v>
      </c>
      <c r="CN1683">
        <f t="shared" si="530"/>
        <v>35.774179623202102</v>
      </c>
      <c r="CO1683">
        <f t="shared" si="514"/>
        <v>0</v>
      </c>
    </row>
    <row r="1684" spans="1:93" x14ac:dyDescent="0.25">
      <c r="A1684" s="4">
        <v>2021</v>
      </c>
      <c r="B1684" s="318">
        <v>44425</v>
      </c>
      <c r="C1684" s="4" t="s">
        <v>418</v>
      </c>
      <c r="D1684" s="4" t="s">
        <v>1540</v>
      </c>
      <c r="F1684" s="4" t="s">
        <v>90</v>
      </c>
      <c r="G1684" s="5" t="s">
        <v>419</v>
      </c>
      <c r="H1684" s="5" t="s">
        <v>1541</v>
      </c>
      <c r="I1684" s="5" t="s">
        <v>18</v>
      </c>
      <c r="J1684" s="5" t="s">
        <v>144</v>
      </c>
      <c r="K1684" s="5">
        <v>23.5</v>
      </c>
      <c r="L1684" s="5" t="s">
        <v>1503</v>
      </c>
      <c r="M1684" s="5">
        <v>1250</v>
      </c>
      <c r="N1684" s="5" t="s">
        <v>171</v>
      </c>
      <c r="O1684" s="6" t="s">
        <v>81</v>
      </c>
      <c r="P1684" s="6" t="s">
        <v>1542</v>
      </c>
      <c r="S1684" s="6">
        <v>12</v>
      </c>
      <c r="T1684" s="6">
        <v>8.6199999999999992</v>
      </c>
      <c r="U1684" s="6">
        <v>1250</v>
      </c>
      <c r="V1684" s="6">
        <v>17.11</v>
      </c>
      <c r="W1684" s="6">
        <v>29</v>
      </c>
      <c r="X1684" s="6">
        <v>454</v>
      </c>
      <c r="Y1684" s="6">
        <v>758</v>
      </c>
      <c r="Z1684" s="6">
        <v>9</v>
      </c>
      <c r="AA1684" s="6">
        <v>0</v>
      </c>
      <c r="AB1684" s="6">
        <v>0</v>
      </c>
      <c r="AC1684" s="7">
        <v>17</v>
      </c>
      <c r="AD1684" s="7" t="s">
        <v>52</v>
      </c>
      <c r="AE1684" s="7">
        <v>12.32</v>
      </c>
      <c r="AF1684" s="76">
        <v>850.2</v>
      </c>
      <c r="AG1684" s="7">
        <v>25.95</v>
      </c>
      <c r="AH1684" s="7">
        <v>19.71</v>
      </c>
      <c r="AI1684" s="7">
        <v>24.03</v>
      </c>
      <c r="AJ1684" s="9">
        <v>150.906316727811</v>
      </c>
      <c r="AK1684" s="9">
        <v>152.213282127014</v>
      </c>
      <c r="AL1684" s="9">
        <v>187.543358955005</v>
      </c>
      <c r="AM1684" s="9" t="s">
        <v>169</v>
      </c>
      <c r="AN1684" s="9" t="s">
        <v>169</v>
      </c>
      <c r="AO1684" s="9" t="s">
        <v>169</v>
      </c>
      <c r="AP1684" s="9" t="s">
        <v>169</v>
      </c>
      <c r="AQ1684" s="9" t="s">
        <v>169</v>
      </c>
      <c r="AR1684" s="9" t="s">
        <v>169</v>
      </c>
      <c r="AS1684" s="73" t="s">
        <v>169</v>
      </c>
      <c r="AT1684" s="8" t="s">
        <v>169</v>
      </c>
      <c r="AU1684" s="10" t="s">
        <v>169</v>
      </c>
      <c r="AV1684" s="10">
        <v>0</v>
      </c>
      <c r="AX1684" s="10" t="s">
        <v>169</v>
      </c>
      <c r="BF1684" s="12">
        <v>0.46</v>
      </c>
      <c r="BG1684" s="13">
        <v>150.25348774945201</v>
      </c>
      <c r="BH1684" s="96" t="str">
        <f>+VLOOKUP(G1684,Liste!$A$7:$G$50,3,FALSE)</f>
        <v>Pin Maritime</v>
      </c>
      <c r="BI1684" s="96" t="str">
        <f>+VLOOKUP(H1684,Liste!$B$7:$G$50,5,FALSE)</f>
        <v>Landes</v>
      </c>
      <c r="BJ1684" s="135">
        <f t="shared" si="513"/>
        <v>17</v>
      </c>
      <c r="BK1684" s="135" t="str">
        <f t="shared" si="515"/>
        <v>Pin Maritime_F3_Classique_Landes_17_</v>
      </c>
      <c r="BM1684" s="13">
        <v>40.9683072298076</v>
      </c>
      <c r="BN1684" s="13">
        <v>191.22179497925899</v>
      </c>
      <c r="BO1684" s="13" t="s">
        <v>169</v>
      </c>
      <c r="BP1684" s="13">
        <v>248.80925905886301</v>
      </c>
      <c r="BQ1684" s="13" t="s">
        <v>169</v>
      </c>
      <c r="BT1684" s="298" t="str">
        <f>+VLOOKUP(G1684,Liste!$A$7:$H$50,8,FALSE)</f>
        <v>Résineux</v>
      </c>
      <c r="BU1684" s="298">
        <f t="shared" si="516"/>
        <v>0</v>
      </c>
      <c r="BV1684" s="300">
        <f t="shared" si="517"/>
        <v>1</v>
      </c>
      <c r="BW1684" s="321">
        <v>0</v>
      </c>
      <c r="BX1684" s="298">
        <f t="shared" si="518"/>
        <v>0.43</v>
      </c>
      <c r="BY1684">
        <f t="shared" si="519"/>
        <v>0</v>
      </c>
      <c r="BZ1684" s="304">
        <f t="shared" si="520"/>
        <v>11.006920460421334</v>
      </c>
      <c r="CB1684" s="299">
        <v>0.6</v>
      </c>
      <c r="CC1684" s="299">
        <v>0.4</v>
      </c>
      <c r="CD1684">
        <f t="shared" si="521"/>
        <v>0</v>
      </c>
      <c r="CE1684">
        <f t="shared" si="522"/>
        <v>0</v>
      </c>
      <c r="CF1684">
        <f t="shared" si="523"/>
        <v>0</v>
      </c>
      <c r="CG1684">
        <f t="shared" si="524"/>
        <v>0</v>
      </c>
      <c r="CH1684">
        <f t="shared" si="525"/>
        <v>0</v>
      </c>
      <c r="CI1684">
        <f t="shared" si="526"/>
        <v>0</v>
      </c>
      <c r="CJ1684">
        <f t="shared" si="527"/>
        <v>0</v>
      </c>
      <c r="CK1684">
        <f t="shared" si="528"/>
        <v>11.481071076602786</v>
      </c>
      <c r="CL1684">
        <f t="shared" si="529"/>
        <v>3.4662835922200754</v>
      </c>
      <c r="CM1684">
        <f t="shared" si="531"/>
        <v>14.947354668822861</v>
      </c>
      <c r="CN1684">
        <f t="shared" si="530"/>
        <v>50.721534292024963</v>
      </c>
      <c r="CO1684">
        <f t="shared" si="514"/>
        <v>0</v>
      </c>
    </row>
    <row r="1685" spans="1:93" x14ac:dyDescent="0.25">
      <c r="A1685" s="4">
        <v>2021</v>
      </c>
      <c r="B1685" s="318">
        <v>44425</v>
      </c>
      <c r="C1685" s="4" t="s">
        <v>418</v>
      </c>
      <c r="D1685" s="4" t="s">
        <v>1540</v>
      </c>
      <c r="F1685" s="4" t="s">
        <v>90</v>
      </c>
      <c r="G1685" s="5" t="s">
        <v>419</v>
      </c>
      <c r="H1685" s="5" t="s">
        <v>1541</v>
      </c>
      <c r="I1685" s="5" t="s">
        <v>18</v>
      </c>
      <c r="J1685" s="5" t="s">
        <v>144</v>
      </c>
      <c r="K1685" s="5">
        <v>23.5</v>
      </c>
      <c r="L1685" s="5" t="s">
        <v>1503</v>
      </c>
      <c r="M1685" s="5">
        <v>1250</v>
      </c>
      <c r="N1685" s="5" t="s">
        <v>171</v>
      </c>
      <c r="O1685" s="6" t="s">
        <v>81</v>
      </c>
      <c r="P1685" s="6" t="s">
        <v>1542</v>
      </c>
      <c r="S1685" s="6">
        <v>12</v>
      </c>
      <c r="T1685" s="6">
        <v>8.6199999999999992</v>
      </c>
      <c r="U1685" s="6">
        <v>1250</v>
      </c>
      <c r="V1685" s="6">
        <v>17.11</v>
      </c>
      <c r="W1685" s="6">
        <v>29</v>
      </c>
      <c r="X1685" s="6">
        <v>454</v>
      </c>
      <c r="Y1685" s="6">
        <v>758</v>
      </c>
      <c r="Z1685" s="6">
        <v>9</v>
      </c>
      <c r="AA1685" s="6">
        <v>0</v>
      </c>
      <c r="AB1685" s="6">
        <v>0</v>
      </c>
      <c r="AC1685" s="7">
        <v>18</v>
      </c>
      <c r="AD1685" s="7" t="s">
        <v>52</v>
      </c>
      <c r="AE1685" s="7">
        <v>13</v>
      </c>
      <c r="AF1685" s="76">
        <v>850.2</v>
      </c>
      <c r="AG1685" s="7">
        <v>28.7</v>
      </c>
      <c r="AH1685" s="7">
        <v>20.73</v>
      </c>
      <c r="AI1685" s="7">
        <v>25.34</v>
      </c>
      <c r="AJ1685" s="9">
        <v>173.689950529051</v>
      </c>
      <c r="AK1685" s="9">
        <v>175.12823249409701</v>
      </c>
      <c r="AL1685" s="9">
        <v>212.614636084278</v>
      </c>
      <c r="AM1685" s="9" t="s">
        <v>169</v>
      </c>
      <c r="AN1685" s="9" t="s">
        <v>169</v>
      </c>
      <c r="AO1685" s="9" t="s">
        <v>169</v>
      </c>
      <c r="AP1685" s="9" t="s">
        <v>169</v>
      </c>
      <c r="AQ1685" s="9" t="s">
        <v>169</v>
      </c>
      <c r="AR1685" s="9" t="s">
        <v>169</v>
      </c>
      <c r="AS1685" s="73" t="s">
        <v>169</v>
      </c>
      <c r="AT1685" s="8" t="s">
        <v>169</v>
      </c>
      <c r="AU1685" s="10" t="s">
        <v>169</v>
      </c>
      <c r="AV1685" s="10">
        <v>0</v>
      </c>
      <c r="AX1685" s="10" t="s">
        <v>169</v>
      </c>
      <c r="BF1685" s="12">
        <v>0.46</v>
      </c>
      <c r="BG1685" s="13">
        <v>170.33975927618701</v>
      </c>
      <c r="BH1685" s="96" t="str">
        <f>+VLOOKUP(G1685,Liste!$A$7:$G$50,3,FALSE)</f>
        <v>Pin Maritime</v>
      </c>
      <c r="BI1685" s="96" t="str">
        <f>+VLOOKUP(H1685,Liste!$B$7:$G$50,5,FALSE)</f>
        <v>Landes</v>
      </c>
      <c r="BJ1685" s="135">
        <f t="shared" si="513"/>
        <v>18</v>
      </c>
      <c r="BK1685" s="135" t="str">
        <f t="shared" si="515"/>
        <v>Pin Maritime_F3_Classique_Landes_18_</v>
      </c>
      <c r="BM1685" s="13">
        <v>45.8901698894378</v>
      </c>
      <c r="BN1685" s="13">
        <v>216.22992916562501</v>
      </c>
      <c r="BO1685" s="13" t="s">
        <v>169</v>
      </c>
      <c r="BP1685" s="13">
        <v>248.80925905886301</v>
      </c>
      <c r="BQ1685" s="13" t="s">
        <v>169</v>
      </c>
      <c r="BT1685" s="298" t="str">
        <f>+VLOOKUP(G1685,Liste!$A$7:$H$50,8,FALSE)</f>
        <v>Résineux</v>
      </c>
      <c r="BU1685" s="298">
        <f t="shared" si="516"/>
        <v>0</v>
      </c>
      <c r="BV1685" s="300">
        <f t="shared" si="517"/>
        <v>1</v>
      </c>
      <c r="BW1685" s="321">
        <v>0</v>
      </c>
      <c r="BX1685" s="298">
        <f t="shared" si="518"/>
        <v>0.43</v>
      </c>
      <c r="BY1685">
        <f t="shared" si="519"/>
        <v>0</v>
      </c>
      <c r="BZ1685" s="304">
        <f t="shared" si="520"/>
        <v>11.006920460421334</v>
      </c>
      <c r="CB1685" s="299">
        <v>0.6</v>
      </c>
      <c r="CC1685" s="299">
        <v>0.4</v>
      </c>
      <c r="CD1685">
        <f t="shared" si="521"/>
        <v>0</v>
      </c>
      <c r="CE1685">
        <f t="shared" si="522"/>
        <v>0</v>
      </c>
      <c r="CF1685">
        <f t="shared" si="523"/>
        <v>0</v>
      </c>
      <c r="CG1685">
        <f t="shared" si="524"/>
        <v>0</v>
      </c>
      <c r="CH1685">
        <f t="shared" si="525"/>
        <v>0</v>
      </c>
      <c r="CI1685">
        <f t="shared" si="526"/>
        <v>0</v>
      </c>
      <c r="CJ1685">
        <f t="shared" si="527"/>
        <v>0</v>
      </c>
      <c r="CK1685">
        <f t="shared" si="528"/>
        <v>11.167120584249796</v>
      </c>
      <c r="CL1685">
        <f t="shared" si="529"/>
        <v>2.451032633574481</v>
      </c>
      <c r="CM1685">
        <f t="shared" si="531"/>
        <v>13.618153217824277</v>
      </c>
      <c r="CN1685">
        <f t="shared" si="530"/>
        <v>64.339687509849242</v>
      </c>
      <c r="CO1685">
        <f t="shared" si="514"/>
        <v>0</v>
      </c>
    </row>
    <row r="1686" spans="1:93" x14ac:dyDescent="0.25">
      <c r="A1686" s="4">
        <v>2021</v>
      </c>
      <c r="B1686" s="318">
        <v>44425</v>
      </c>
      <c r="C1686" s="4" t="s">
        <v>418</v>
      </c>
      <c r="D1686" s="4" t="s">
        <v>1540</v>
      </c>
      <c r="F1686" s="4" t="s">
        <v>90</v>
      </c>
      <c r="G1686" s="5" t="s">
        <v>419</v>
      </c>
      <c r="H1686" s="5" t="s">
        <v>1541</v>
      </c>
      <c r="I1686" s="5" t="s">
        <v>18</v>
      </c>
      <c r="J1686" s="5" t="s">
        <v>144</v>
      </c>
      <c r="K1686" s="5">
        <v>23.5</v>
      </c>
      <c r="L1686" s="5" t="s">
        <v>1503</v>
      </c>
      <c r="M1686" s="5">
        <v>1250</v>
      </c>
      <c r="N1686" s="5" t="s">
        <v>171</v>
      </c>
      <c r="O1686" s="6" t="s">
        <v>81</v>
      </c>
      <c r="P1686" s="6" t="s">
        <v>1542</v>
      </c>
      <c r="S1686" s="6">
        <v>12</v>
      </c>
      <c r="T1686" s="6">
        <v>8.6199999999999992</v>
      </c>
      <c r="U1686" s="6">
        <v>1250</v>
      </c>
      <c r="V1686" s="6">
        <v>17.11</v>
      </c>
      <c r="W1686" s="6">
        <v>29</v>
      </c>
      <c r="X1686" s="6">
        <v>454</v>
      </c>
      <c r="Y1686" s="6">
        <v>758</v>
      </c>
      <c r="Z1686" s="6">
        <v>9</v>
      </c>
      <c r="AA1686" s="6">
        <v>0</v>
      </c>
      <c r="AB1686" s="6">
        <v>0</v>
      </c>
      <c r="AC1686" s="7">
        <v>19</v>
      </c>
      <c r="AD1686" s="7" t="s">
        <v>52</v>
      </c>
      <c r="AE1686" s="7">
        <v>13.67</v>
      </c>
      <c r="AF1686" s="76">
        <v>850.2</v>
      </c>
      <c r="AG1686" s="7">
        <v>31.42</v>
      </c>
      <c r="AH1686" s="7">
        <v>21.69</v>
      </c>
      <c r="AI1686" s="7">
        <v>26.61</v>
      </c>
      <c r="AJ1686" s="9">
        <v>196.473584330292</v>
      </c>
      <c r="AK1686" s="9">
        <v>198.04318286117999</v>
      </c>
      <c r="AL1686" s="9">
        <v>237.68591321355001</v>
      </c>
      <c r="AM1686" s="9">
        <v>37.278341642601802</v>
      </c>
      <c r="AN1686" s="9">
        <v>1.9620179811895699</v>
      </c>
      <c r="AO1686" s="9">
        <v>2.16061770878777</v>
      </c>
      <c r="AP1686" s="9">
        <v>272.68157714317101</v>
      </c>
      <c r="AQ1686" s="9">
        <v>14.351661954903699</v>
      </c>
      <c r="AR1686" s="9">
        <v>22.721548502731999</v>
      </c>
      <c r="AS1686" s="73" t="s">
        <v>169</v>
      </c>
      <c r="AT1686" s="8" t="s">
        <v>169</v>
      </c>
      <c r="AU1686" s="10" t="s">
        <v>169</v>
      </c>
      <c r="AV1686" s="10">
        <v>0</v>
      </c>
      <c r="AX1686" s="10" t="s">
        <v>169</v>
      </c>
      <c r="BF1686" s="12">
        <v>0.46</v>
      </c>
      <c r="BG1686" s="13">
        <v>190.42603080292201</v>
      </c>
      <c r="BH1686" s="96" t="str">
        <f>+VLOOKUP(G1686,Liste!$A$7:$G$50,3,FALSE)</f>
        <v>Pin Maritime</v>
      </c>
      <c r="BI1686" s="96" t="str">
        <f>+VLOOKUP(H1686,Liste!$B$7:$G$50,5,FALSE)</f>
        <v>Landes</v>
      </c>
      <c r="BJ1686" s="135">
        <f t="shared" si="513"/>
        <v>19</v>
      </c>
      <c r="BK1686" s="135" t="str">
        <f t="shared" si="515"/>
        <v>Pin Maritime_F3_Classique_Landes_19_</v>
      </c>
      <c r="BM1686" s="13">
        <v>50.8120325490681</v>
      </c>
      <c r="BN1686" s="13">
        <v>241.238063351991</v>
      </c>
      <c r="BO1686" s="13" t="s">
        <v>169</v>
      </c>
      <c r="BP1686" s="13">
        <v>248.80925905886301</v>
      </c>
      <c r="BQ1686" s="13">
        <v>22.407767727084</v>
      </c>
      <c r="BT1686" s="298" t="str">
        <f>+VLOOKUP(G1686,Liste!$A$7:$H$50,8,FALSE)</f>
        <v>Résineux</v>
      </c>
      <c r="BU1686" s="298">
        <f t="shared" si="516"/>
        <v>0</v>
      </c>
      <c r="BV1686" s="300">
        <f t="shared" si="517"/>
        <v>1</v>
      </c>
      <c r="BW1686" s="321">
        <v>0</v>
      </c>
      <c r="BX1686" s="298">
        <f t="shared" si="518"/>
        <v>0.43</v>
      </c>
      <c r="BY1686">
        <f t="shared" si="519"/>
        <v>0</v>
      </c>
      <c r="BZ1686" s="304">
        <f t="shared" si="520"/>
        <v>11.006920460421334</v>
      </c>
      <c r="CB1686" s="299">
        <v>0.6</v>
      </c>
      <c r="CC1686" s="299">
        <v>0.4</v>
      </c>
      <c r="CD1686">
        <f t="shared" si="521"/>
        <v>0</v>
      </c>
      <c r="CE1686">
        <f t="shared" si="522"/>
        <v>0</v>
      </c>
      <c r="CF1686">
        <f t="shared" si="523"/>
        <v>0</v>
      </c>
      <c r="CG1686">
        <f t="shared" si="524"/>
        <v>0</v>
      </c>
      <c r="CH1686">
        <f t="shared" si="525"/>
        <v>0</v>
      </c>
      <c r="CI1686">
        <f t="shared" si="526"/>
        <v>0</v>
      </c>
      <c r="CJ1686">
        <f t="shared" si="527"/>
        <v>0</v>
      </c>
      <c r="CK1686">
        <f t="shared" si="528"/>
        <v>10.861755084620137</v>
      </c>
      <c r="CL1686">
        <f t="shared" si="529"/>
        <v>1.7331417961100379</v>
      </c>
      <c r="CM1686">
        <f t="shared" si="531"/>
        <v>12.594896880730175</v>
      </c>
      <c r="CN1686">
        <f t="shared" si="530"/>
        <v>76.934584390579417</v>
      </c>
      <c r="CO1686">
        <f t="shared" si="514"/>
        <v>0</v>
      </c>
    </row>
    <row r="1687" spans="1:93" x14ac:dyDescent="0.25">
      <c r="A1687" s="4">
        <v>2021</v>
      </c>
      <c r="B1687" s="318">
        <v>44425</v>
      </c>
      <c r="C1687" s="4" t="s">
        <v>418</v>
      </c>
      <c r="D1687" s="4" t="s">
        <v>1540</v>
      </c>
      <c r="F1687" s="4" t="s">
        <v>90</v>
      </c>
      <c r="G1687" s="5" t="s">
        <v>419</v>
      </c>
      <c r="H1687" s="5" t="s">
        <v>1541</v>
      </c>
      <c r="I1687" s="5" t="s">
        <v>18</v>
      </c>
      <c r="J1687" s="5" t="s">
        <v>144</v>
      </c>
      <c r="K1687" s="5">
        <v>23.5</v>
      </c>
      <c r="L1687" s="5" t="s">
        <v>1503</v>
      </c>
      <c r="M1687" s="5">
        <v>1250</v>
      </c>
      <c r="N1687" s="5" t="s">
        <v>171</v>
      </c>
      <c r="O1687" s="6" t="s">
        <v>81</v>
      </c>
      <c r="P1687" s="6" t="s">
        <v>1542</v>
      </c>
      <c r="S1687" s="6">
        <v>12</v>
      </c>
      <c r="T1687" s="6">
        <v>8.6199999999999992</v>
      </c>
      <c r="U1687" s="6">
        <v>1250</v>
      </c>
      <c r="V1687" s="6">
        <v>17.11</v>
      </c>
      <c r="W1687" s="6">
        <v>29</v>
      </c>
      <c r="X1687" s="6">
        <v>454</v>
      </c>
      <c r="Y1687" s="6">
        <v>758</v>
      </c>
      <c r="Z1687" s="6">
        <v>9</v>
      </c>
      <c r="AA1687" s="6">
        <v>0</v>
      </c>
      <c r="AB1687" s="6">
        <v>0</v>
      </c>
      <c r="AC1687" s="7">
        <v>19</v>
      </c>
      <c r="AD1687" s="7" t="s">
        <v>53</v>
      </c>
      <c r="AE1687" s="7">
        <v>13.64</v>
      </c>
      <c r="AF1687" s="76">
        <v>559.79999999999995</v>
      </c>
      <c r="AG1687" s="7">
        <v>22.67</v>
      </c>
      <c r="AH1687" s="7">
        <v>22.71</v>
      </c>
      <c r="AI1687" s="7">
        <v>26.41</v>
      </c>
      <c r="AJ1687" s="9">
        <v>143.19312070883001</v>
      </c>
      <c r="AK1687" s="9">
        <v>144.449220859408</v>
      </c>
      <c r="AL1687" s="9">
        <v>173.701998020334</v>
      </c>
      <c r="AM1687" s="9">
        <v>37.278341642601802</v>
      </c>
      <c r="AN1687" s="9">
        <v>1.9620179811895699</v>
      </c>
      <c r="AO1687" s="9">
        <v>2.16061770878777</v>
      </c>
      <c r="AP1687" s="9">
        <v>272.68157714317101</v>
      </c>
      <c r="AQ1687" s="9">
        <v>14.351661954903699</v>
      </c>
      <c r="AR1687" s="9">
        <v>22.721548502731999</v>
      </c>
      <c r="AS1687" s="73">
        <v>290.40000000000009</v>
      </c>
      <c r="AT1687" s="8">
        <v>8.75</v>
      </c>
      <c r="AU1687" s="10">
        <v>19.586677825100036</v>
      </c>
      <c r="AV1687" s="10">
        <v>53.28046362146199</v>
      </c>
      <c r="AW1687" s="8">
        <v>0.82</v>
      </c>
      <c r="AX1687" s="10">
        <v>0.18347267087280295</v>
      </c>
      <c r="BF1687" s="12">
        <v>0.46</v>
      </c>
      <c r="BG1687" s="13">
        <v>139.16425074729099</v>
      </c>
      <c r="BH1687" s="96" t="str">
        <f>+VLOOKUP(G1687,Liste!$A$7:$G$50,3,FALSE)</f>
        <v>Pin Maritime</v>
      </c>
      <c r="BI1687" s="96" t="str">
        <f>+VLOOKUP(H1687,Liste!$B$7:$G$50,5,FALSE)</f>
        <v>Landes</v>
      </c>
      <c r="BJ1687" s="135">
        <f t="shared" si="513"/>
        <v>19</v>
      </c>
      <c r="BK1687" s="135" t="str">
        <f t="shared" si="515"/>
        <v>Pin Maritime_F3_Classique_Landes_19_</v>
      </c>
      <c r="BM1687" s="13">
        <v>38.514251198330399</v>
      </c>
      <c r="BN1687" s="13">
        <v>177.67850194562101</v>
      </c>
      <c r="BO1687" s="13">
        <v>63.559561406369994</v>
      </c>
      <c r="BP1687" s="13">
        <v>248.80925905886301</v>
      </c>
      <c r="BQ1687" s="13">
        <v>22.407767727084</v>
      </c>
      <c r="BT1687" s="298" t="str">
        <f>+VLOOKUP(G1687,Liste!$A$7:$H$50,8,FALSE)</f>
        <v>Résineux</v>
      </c>
      <c r="BU1687" s="298">
        <f t="shared" si="516"/>
        <v>0</v>
      </c>
      <c r="BV1687" s="300">
        <f t="shared" si="517"/>
        <v>1</v>
      </c>
      <c r="BW1687" s="321">
        <v>0</v>
      </c>
      <c r="BX1687" s="298">
        <f t="shared" si="518"/>
        <v>0.43</v>
      </c>
      <c r="BY1687">
        <f t="shared" si="519"/>
        <v>22.910599357228655</v>
      </c>
      <c r="BZ1687" s="304">
        <f t="shared" si="520"/>
        <v>33.917519817649989</v>
      </c>
      <c r="CB1687" s="299">
        <v>0.6</v>
      </c>
      <c r="CC1687" s="299">
        <v>0.4</v>
      </c>
      <c r="CD1687">
        <f t="shared" si="521"/>
        <v>0</v>
      </c>
      <c r="CE1687">
        <f t="shared" si="522"/>
        <v>31.968278172877191</v>
      </c>
      <c r="CF1687">
        <f t="shared" si="523"/>
        <v>21.312185448584799</v>
      </c>
      <c r="CG1687">
        <f t="shared" si="524"/>
        <v>0</v>
      </c>
      <c r="CH1687">
        <f t="shared" si="525"/>
        <v>25.611918862836777</v>
      </c>
      <c r="CI1687">
        <f t="shared" si="526"/>
        <v>17.074612575224524</v>
      </c>
      <c r="CJ1687">
        <f t="shared" si="527"/>
        <v>0</v>
      </c>
      <c r="CK1687">
        <f t="shared" si="528"/>
        <v>10.564739820636325</v>
      </c>
      <c r="CL1687">
        <f t="shared" si="529"/>
        <v>1.2255163167872407</v>
      </c>
      <c r="CM1687">
        <f t="shared" si="531"/>
        <v>11.790256137423565</v>
      </c>
      <c r="CN1687">
        <f t="shared" si="530"/>
        <v>88.724840528002986</v>
      </c>
      <c r="CO1687">
        <f t="shared" si="514"/>
        <v>0</v>
      </c>
    </row>
    <row r="1688" spans="1:93" x14ac:dyDescent="0.25">
      <c r="A1688" s="4">
        <v>2021</v>
      </c>
      <c r="B1688" s="318">
        <v>44425</v>
      </c>
      <c r="C1688" s="4" t="s">
        <v>418</v>
      </c>
      <c r="D1688" s="4" t="s">
        <v>1540</v>
      </c>
      <c r="F1688" s="4" t="s">
        <v>90</v>
      </c>
      <c r="G1688" s="5" t="s">
        <v>419</v>
      </c>
      <c r="H1688" s="5" t="s">
        <v>1541</v>
      </c>
      <c r="I1688" s="5" t="s">
        <v>18</v>
      </c>
      <c r="J1688" s="5" t="s">
        <v>144</v>
      </c>
      <c r="K1688" s="5">
        <v>23.5</v>
      </c>
      <c r="L1688" s="5" t="s">
        <v>1503</v>
      </c>
      <c r="M1688" s="5">
        <v>1250</v>
      </c>
      <c r="N1688" s="5" t="s">
        <v>171</v>
      </c>
      <c r="O1688" s="6" t="s">
        <v>81</v>
      </c>
      <c r="P1688" s="6" t="s">
        <v>1542</v>
      </c>
      <c r="S1688" s="6">
        <v>12</v>
      </c>
      <c r="T1688" s="6">
        <v>8.6199999999999992</v>
      </c>
      <c r="U1688" s="6">
        <v>1250</v>
      </c>
      <c r="V1688" s="6">
        <v>17.11</v>
      </c>
      <c r="W1688" s="6">
        <v>29</v>
      </c>
      <c r="X1688" s="6">
        <v>454</v>
      </c>
      <c r="Y1688" s="6">
        <v>758</v>
      </c>
      <c r="Z1688" s="6">
        <v>9</v>
      </c>
      <c r="AA1688" s="6">
        <v>0</v>
      </c>
      <c r="AB1688" s="6">
        <v>0</v>
      </c>
      <c r="AC1688" s="7">
        <v>20</v>
      </c>
      <c r="AD1688" s="7" t="s">
        <v>52</v>
      </c>
      <c r="AE1688" s="7">
        <v>14.31</v>
      </c>
      <c r="AF1688" s="76">
        <v>559.79999999999995</v>
      </c>
      <c r="AG1688" s="7">
        <v>24.83</v>
      </c>
      <c r="AH1688" s="7">
        <v>23.77</v>
      </c>
      <c r="AI1688" s="7">
        <v>27.7</v>
      </c>
      <c r="AJ1688" s="9">
        <v>164.141598732928</v>
      </c>
      <c r="AK1688" s="9">
        <v>165.51566847315101</v>
      </c>
      <c r="AL1688" s="9">
        <v>196.42354652306599</v>
      </c>
      <c r="AM1688" s="9">
        <v>39.438959351389599</v>
      </c>
      <c r="AN1688" s="9">
        <v>1.97194796756948</v>
      </c>
      <c r="AO1688" s="9">
        <v>2.1510325537165</v>
      </c>
      <c r="AP1688" s="9">
        <v>295.403125645903</v>
      </c>
      <c r="AQ1688" s="9">
        <v>14.770156282295099</v>
      </c>
      <c r="AR1688" s="9">
        <v>24.741373729312301</v>
      </c>
      <c r="AS1688" s="73" t="s">
        <v>169</v>
      </c>
      <c r="AT1688" s="8" t="s">
        <v>169</v>
      </c>
      <c r="AU1688" s="10" t="s">
        <v>169</v>
      </c>
      <c r="AV1688" s="10">
        <v>0</v>
      </c>
      <c r="AX1688" s="10" t="s">
        <v>169</v>
      </c>
      <c r="BF1688" s="12">
        <v>0.46</v>
      </c>
      <c r="BG1688" s="13">
        <v>157.36799802272901</v>
      </c>
      <c r="BH1688" s="96" t="str">
        <f>+VLOOKUP(G1688,Liste!$A$7:$G$50,3,FALSE)</f>
        <v>Pin Maritime</v>
      </c>
      <c r="BI1688" s="96" t="str">
        <f>+VLOOKUP(H1688,Liste!$B$7:$G$50,5,FALSE)</f>
        <v>Landes</v>
      </c>
      <c r="BJ1688" s="135">
        <f t="shared" si="513"/>
        <v>20</v>
      </c>
      <c r="BK1688" s="135" t="str">
        <f t="shared" si="515"/>
        <v>Pin Maritime_F3_Classique_Landes_20_</v>
      </c>
      <c r="BM1688" s="13">
        <v>42.933445623054098</v>
      </c>
      <c r="BN1688" s="13">
        <v>200.301443645783</v>
      </c>
      <c r="BO1688" s="13" t="s">
        <v>169</v>
      </c>
      <c r="BP1688" s="13">
        <v>248.80925905886301</v>
      </c>
      <c r="BQ1688" s="13">
        <v>24.281885599417802</v>
      </c>
      <c r="BT1688" s="298" t="str">
        <f>+VLOOKUP(G1688,Liste!$A$7:$H$50,8,FALSE)</f>
        <v>Résineux</v>
      </c>
      <c r="BU1688" s="298">
        <f t="shared" si="516"/>
        <v>0</v>
      </c>
      <c r="BV1688" s="300">
        <f t="shared" si="517"/>
        <v>1</v>
      </c>
      <c r="BW1688" s="321">
        <v>0</v>
      </c>
      <c r="BX1688" s="298">
        <f t="shared" si="518"/>
        <v>0.43</v>
      </c>
      <c r="BY1688">
        <f t="shared" si="519"/>
        <v>0</v>
      </c>
      <c r="BZ1688" s="304">
        <f t="shared" si="520"/>
        <v>33.917519817649989</v>
      </c>
      <c r="CB1688" s="299">
        <v>0.6</v>
      </c>
      <c r="CC1688" s="299">
        <v>0.4</v>
      </c>
      <c r="CD1688">
        <f t="shared" si="521"/>
        <v>0</v>
      </c>
      <c r="CE1688">
        <f t="shared" si="522"/>
        <v>0</v>
      </c>
      <c r="CF1688">
        <f t="shared" si="523"/>
        <v>0</v>
      </c>
      <c r="CG1688">
        <f t="shared" si="524"/>
        <v>0</v>
      </c>
      <c r="CH1688">
        <f t="shared" si="525"/>
        <v>0</v>
      </c>
      <c r="CI1688">
        <f t="shared" si="526"/>
        <v>0</v>
      </c>
      <c r="CJ1688">
        <f t="shared" si="527"/>
        <v>0</v>
      </c>
      <c r="CK1688">
        <f t="shared" si="528"/>
        <v>35.535967530638729</v>
      </c>
      <c r="CL1688">
        <f t="shared" si="529"/>
        <v>15.296517026120268</v>
      </c>
      <c r="CM1688">
        <f t="shared" si="531"/>
        <v>50.832484556758999</v>
      </c>
      <c r="CN1688">
        <f t="shared" si="530"/>
        <v>139.557325084762</v>
      </c>
      <c r="CO1688">
        <f t="shared" si="514"/>
        <v>0</v>
      </c>
    </row>
    <row r="1689" spans="1:93" x14ac:dyDescent="0.25">
      <c r="A1689" s="4">
        <v>2021</v>
      </c>
      <c r="B1689" s="318">
        <v>44425</v>
      </c>
      <c r="C1689" s="4" t="s">
        <v>418</v>
      </c>
      <c r="D1689" s="4" t="s">
        <v>1540</v>
      </c>
      <c r="F1689" s="4" t="s">
        <v>90</v>
      </c>
      <c r="G1689" s="5" t="s">
        <v>419</v>
      </c>
      <c r="H1689" s="5" t="s">
        <v>1541</v>
      </c>
      <c r="I1689" s="5" t="s">
        <v>18</v>
      </c>
      <c r="J1689" s="5" t="s">
        <v>144</v>
      </c>
      <c r="K1689" s="5">
        <v>23.5</v>
      </c>
      <c r="L1689" s="5" t="s">
        <v>1503</v>
      </c>
      <c r="M1689" s="5">
        <v>1250</v>
      </c>
      <c r="N1689" s="5" t="s">
        <v>171</v>
      </c>
      <c r="O1689" s="6" t="s">
        <v>81</v>
      </c>
      <c r="P1689" s="6" t="s">
        <v>1542</v>
      </c>
      <c r="S1689" s="6">
        <v>12</v>
      </c>
      <c r="T1689" s="6">
        <v>8.6199999999999992</v>
      </c>
      <c r="U1689" s="6">
        <v>1250</v>
      </c>
      <c r="V1689" s="6">
        <v>17.11</v>
      </c>
      <c r="W1689" s="6">
        <v>29</v>
      </c>
      <c r="X1689" s="6">
        <v>454</v>
      </c>
      <c r="Y1689" s="6">
        <v>758</v>
      </c>
      <c r="Z1689" s="6">
        <v>9</v>
      </c>
      <c r="AA1689" s="6">
        <v>0</v>
      </c>
      <c r="AB1689" s="6">
        <v>0</v>
      </c>
      <c r="AC1689" s="7">
        <v>21</v>
      </c>
      <c r="AD1689" s="7" t="s">
        <v>52</v>
      </c>
      <c r="AE1689" s="7">
        <v>14.92</v>
      </c>
      <c r="AF1689" s="76">
        <v>559.79999999999995</v>
      </c>
      <c r="AG1689" s="7">
        <v>27</v>
      </c>
      <c r="AH1689" s="7">
        <v>24.78</v>
      </c>
      <c r="AI1689" s="7">
        <v>28.96</v>
      </c>
      <c r="AJ1689" s="9">
        <v>187.20871622949201</v>
      </c>
      <c r="AK1689" s="9">
        <v>188.70390323879801</v>
      </c>
      <c r="AL1689" s="9">
        <v>221.16492025237801</v>
      </c>
      <c r="AM1689" s="9" t="s">
        <v>169</v>
      </c>
      <c r="AN1689" s="9" t="s">
        <v>169</v>
      </c>
      <c r="AO1689" s="9" t="s">
        <v>169</v>
      </c>
      <c r="AP1689" s="9" t="s">
        <v>169</v>
      </c>
      <c r="AQ1689" s="9" t="s">
        <v>169</v>
      </c>
      <c r="AR1689" s="9" t="s">
        <v>169</v>
      </c>
      <c r="AS1689" s="73" t="s">
        <v>169</v>
      </c>
      <c r="AT1689" s="8" t="s">
        <v>169</v>
      </c>
      <c r="AU1689" s="10" t="s">
        <v>169</v>
      </c>
      <c r="AV1689" s="10">
        <v>0</v>
      </c>
      <c r="AX1689" s="10" t="s">
        <v>169</v>
      </c>
      <c r="BF1689" s="12">
        <v>0.46</v>
      </c>
      <c r="BG1689" s="13">
        <v>177.18996194219699</v>
      </c>
      <c r="BH1689" s="96" t="str">
        <f>+VLOOKUP(G1689,Liste!$A$7:$G$50,3,FALSE)</f>
        <v>Pin Maritime</v>
      </c>
      <c r="BI1689" s="96" t="str">
        <f>+VLOOKUP(H1689,Liste!$B$7:$G$50,5,FALSE)</f>
        <v>Landes</v>
      </c>
      <c r="BJ1689" s="135">
        <f t="shared" si="513"/>
        <v>21</v>
      </c>
      <c r="BK1689" s="135" t="str">
        <f t="shared" si="515"/>
        <v>Pin Maritime_F3_Classique_Landes_21_</v>
      </c>
      <c r="BM1689" s="13">
        <v>47.567832535661999</v>
      </c>
      <c r="BN1689" s="13">
        <v>224.75779447785899</v>
      </c>
      <c r="BO1689" s="13" t="s">
        <v>169</v>
      </c>
      <c r="BP1689" s="13">
        <v>248.80925905886301</v>
      </c>
      <c r="BQ1689" s="13" t="s">
        <v>169</v>
      </c>
      <c r="BT1689" s="298" t="str">
        <f>+VLOOKUP(G1689,Liste!$A$7:$H$50,8,FALSE)</f>
        <v>Résineux</v>
      </c>
      <c r="BU1689" s="298">
        <f t="shared" si="516"/>
        <v>0</v>
      </c>
      <c r="BV1689" s="300">
        <f t="shared" si="517"/>
        <v>1</v>
      </c>
      <c r="BW1689" s="321">
        <v>0</v>
      </c>
      <c r="BX1689" s="298">
        <f t="shared" si="518"/>
        <v>0.43</v>
      </c>
      <c r="BY1689">
        <f t="shared" si="519"/>
        <v>0</v>
      </c>
      <c r="BZ1689" s="304">
        <f t="shared" si="520"/>
        <v>33.917519817649989</v>
      </c>
      <c r="CB1689" s="299">
        <v>0.6</v>
      </c>
      <c r="CC1689" s="299">
        <v>0.4</v>
      </c>
      <c r="CD1689">
        <f t="shared" si="521"/>
        <v>0</v>
      </c>
      <c r="CE1689">
        <f t="shared" si="522"/>
        <v>0</v>
      </c>
      <c r="CF1689">
        <f t="shared" si="523"/>
        <v>0</v>
      </c>
      <c r="CG1689">
        <f t="shared" si="524"/>
        <v>0</v>
      </c>
      <c r="CH1689">
        <f t="shared" si="525"/>
        <v>0</v>
      </c>
      <c r="CI1689">
        <f t="shared" si="526"/>
        <v>0</v>
      </c>
      <c r="CJ1689">
        <f t="shared" si="527"/>
        <v>0</v>
      </c>
      <c r="CK1689">
        <f t="shared" si="528"/>
        <v>34.564234629758097</v>
      </c>
      <c r="CL1689">
        <f t="shared" si="529"/>
        <v>10.816270917705124</v>
      </c>
      <c r="CM1689">
        <f t="shared" si="531"/>
        <v>45.380505547463223</v>
      </c>
      <c r="CN1689">
        <f t="shared" si="530"/>
        <v>184.93783063222523</v>
      </c>
      <c r="CO1689">
        <f t="shared" si="514"/>
        <v>0</v>
      </c>
    </row>
    <row r="1690" spans="1:93" x14ac:dyDescent="0.25">
      <c r="A1690" s="4">
        <v>2021</v>
      </c>
      <c r="B1690" s="318">
        <v>44425</v>
      </c>
      <c r="C1690" s="4" t="s">
        <v>418</v>
      </c>
      <c r="D1690" s="4" t="s">
        <v>1540</v>
      </c>
      <c r="F1690" s="4" t="s">
        <v>90</v>
      </c>
      <c r="G1690" s="5" t="s">
        <v>419</v>
      </c>
      <c r="H1690" s="5" t="s">
        <v>1541</v>
      </c>
      <c r="I1690" s="5" t="s">
        <v>18</v>
      </c>
      <c r="J1690" s="5" t="s">
        <v>144</v>
      </c>
      <c r="K1690" s="5">
        <v>23.5</v>
      </c>
      <c r="L1690" s="5" t="s">
        <v>1503</v>
      </c>
      <c r="M1690" s="5">
        <v>1250</v>
      </c>
      <c r="N1690" s="5" t="s">
        <v>171</v>
      </c>
      <c r="O1690" s="6" t="s">
        <v>81</v>
      </c>
      <c r="P1690" s="6" t="s">
        <v>1542</v>
      </c>
      <c r="S1690" s="6">
        <v>12</v>
      </c>
      <c r="T1690" s="6">
        <v>8.6199999999999992</v>
      </c>
      <c r="U1690" s="6">
        <v>1250</v>
      </c>
      <c r="V1690" s="6">
        <v>17.11</v>
      </c>
      <c r="W1690" s="6">
        <v>29</v>
      </c>
      <c r="X1690" s="6">
        <v>454</v>
      </c>
      <c r="Y1690" s="6">
        <v>758</v>
      </c>
      <c r="Z1690" s="6">
        <v>9</v>
      </c>
      <c r="AA1690" s="6">
        <v>0</v>
      </c>
      <c r="AB1690" s="6">
        <v>0</v>
      </c>
      <c r="AC1690" s="7">
        <v>22</v>
      </c>
      <c r="AD1690" s="7" t="s">
        <v>52</v>
      </c>
      <c r="AE1690" s="7">
        <v>15.52</v>
      </c>
      <c r="AF1690" s="76">
        <v>559.79999999999995</v>
      </c>
      <c r="AG1690" s="7">
        <v>29.16</v>
      </c>
      <c r="AH1690" s="7">
        <v>25.75</v>
      </c>
      <c r="AI1690" s="7">
        <v>30.18</v>
      </c>
      <c r="AJ1690" s="9">
        <v>210.27583372605699</v>
      </c>
      <c r="AK1690" s="9">
        <v>211.892138004446</v>
      </c>
      <c r="AL1690" s="9">
        <v>245.90629398169</v>
      </c>
      <c r="AM1690" s="9" t="s">
        <v>169</v>
      </c>
      <c r="AN1690" s="9" t="s">
        <v>169</v>
      </c>
      <c r="AO1690" s="9" t="s">
        <v>169</v>
      </c>
      <c r="AP1690" s="9" t="s">
        <v>169</v>
      </c>
      <c r="AQ1690" s="9" t="s">
        <v>169</v>
      </c>
      <c r="AR1690" s="9" t="s">
        <v>169</v>
      </c>
      <c r="AS1690" s="73" t="s">
        <v>169</v>
      </c>
      <c r="AT1690" s="8" t="s">
        <v>169</v>
      </c>
      <c r="AU1690" s="10" t="s">
        <v>169</v>
      </c>
      <c r="AV1690" s="10">
        <v>0</v>
      </c>
      <c r="AX1690" s="10" t="s">
        <v>169</v>
      </c>
      <c r="BF1690" s="12">
        <v>0.46</v>
      </c>
      <c r="BG1690" s="13">
        <v>197.011925861664</v>
      </c>
      <c r="BH1690" s="96" t="str">
        <f>+VLOOKUP(G1690,Liste!$A$7:$G$50,3,FALSE)</f>
        <v>Pin Maritime</v>
      </c>
      <c r="BI1690" s="96" t="str">
        <f>+VLOOKUP(H1690,Liste!$B$7:$G$50,5,FALSE)</f>
        <v>Landes</v>
      </c>
      <c r="BJ1690" s="135">
        <f t="shared" si="513"/>
        <v>22</v>
      </c>
      <c r="BK1690" s="135" t="str">
        <f t="shared" si="515"/>
        <v>Pin Maritime_F3_Classique_Landes_22_</v>
      </c>
      <c r="BM1690" s="13">
        <v>52.202219448269901</v>
      </c>
      <c r="BN1690" s="13">
        <v>249.214145309934</v>
      </c>
      <c r="BO1690" s="13" t="s">
        <v>169</v>
      </c>
      <c r="BP1690" s="13">
        <v>248.80925905886301</v>
      </c>
      <c r="BQ1690" s="13" t="s">
        <v>169</v>
      </c>
      <c r="BT1690" s="298" t="str">
        <f>+VLOOKUP(G1690,Liste!$A$7:$H$50,8,FALSE)</f>
        <v>Résineux</v>
      </c>
      <c r="BU1690" s="298">
        <f t="shared" si="516"/>
        <v>0</v>
      </c>
      <c r="BV1690" s="300">
        <f t="shared" si="517"/>
        <v>1</v>
      </c>
      <c r="BW1690" s="321">
        <v>0</v>
      </c>
      <c r="BX1690" s="298">
        <f t="shared" si="518"/>
        <v>0.43</v>
      </c>
      <c r="BY1690">
        <f t="shared" si="519"/>
        <v>0</v>
      </c>
      <c r="BZ1690" s="304">
        <f t="shared" si="520"/>
        <v>33.917519817649989</v>
      </c>
      <c r="CB1690" s="299">
        <v>0.6</v>
      </c>
      <c r="CC1690" s="299">
        <v>0.4</v>
      </c>
      <c r="CD1690">
        <f t="shared" si="521"/>
        <v>0</v>
      </c>
      <c r="CE1690">
        <f t="shared" si="522"/>
        <v>0</v>
      </c>
      <c r="CF1690">
        <f t="shared" si="523"/>
        <v>0</v>
      </c>
      <c r="CG1690">
        <f t="shared" si="524"/>
        <v>0</v>
      </c>
      <c r="CH1690">
        <f t="shared" si="525"/>
        <v>0</v>
      </c>
      <c r="CI1690">
        <f t="shared" si="526"/>
        <v>0</v>
      </c>
      <c r="CJ1690">
        <f t="shared" si="527"/>
        <v>0</v>
      </c>
      <c r="CK1690">
        <f t="shared" si="528"/>
        <v>33.619073816153261</v>
      </c>
      <c r="CL1690">
        <f t="shared" si="529"/>
        <v>7.648258513060135</v>
      </c>
      <c r="CM1690">
        <f t="shared" si="531"/>
        <v>41.267332329213396</v>
      </c>
      <c r="CN1690">
        <f t="shared" si="530"/>
        <v>226.20516296143862</v>
      </c>
      <c r="CO1690">
        <f t="shared" si="514"/>
        <v>0</v>
      </c>
    </row>
    <row r="1691" spans="1:93" x14ac:dyDescent="0.25">
      <c r="A1691" s="4">
        <v>2021</v>
      </c>
      <c r="B1691" s="318">
        <v>44425</v>
      </c>
      <c r="C1691" s="4" t="s">
        <v>418</v>
      </c>
      <c r="D1691" s="4" t="s">
        <v>1540</v>
      </c>
      <c r="F1691" s="4" t="s">
        <v>90</v>
      </c>
      <c r="G1691" s="5" t="s">
        <v>419</v>
      </c>
      <c r="H1691" s="5" t="s">
        <v>1541</v>
      </c>
      <c r="I1691" s="5" t="s">
        <v>18</v>
      </c>
      <c r="J1691" s="5" t="s">
        <v>144</v>
      </c>
      <c r="K1691" s="5">
        <v>23.5</v>
      </c>
      <c r="L1691" s="5" t="s">
        <v>1503</v>
      </c>
      <c r="M1691" s="5">
        <v>1250</v>
      </c>
      <c r="N1691" s="5" t="s">
        <v>171</v>
      </c>
      <c r="O1691" s="6" t="s">
        <v>81</v>
      </c>
      <c r="P1691" s="6" t="s">
        <v>1542</v>
      </c>
      <c r="S1691" s="6">
        <v>12</v>
      </c>
      <c r="T1691" s="6">
        <v>8.6199999999999992</v>
      </c>
      <c r="U1691" s="6">
        <v>1250</v>
      </c>
      <c r="V1691" s="6">
        <v>17.11</v>
      </c>
      <c r="W1691" s="6">
        <v>29</v>
      </c>
      <c r="X1691" s="6">
        <v>454</v>
      </c>
      <c r="Y1691" s="6">
        <v>758</v>
      </c>
      <c r="Z1691" s="6">
        <v>9</v>
      </c>
      <c r="AA1691" s="6">
        <v>0</v>
      </c>
      <c r="AB1691" s="6">
        <v>0</v>
      </c>
      <c r="AC1691" s="7">
        <v>23</v>
      </c>
      <c r="AD1691" s="7" t="s">
        <v>52</v>
      </c>
      <c r="AE1691" s="7">
        <v>16.100000000000001</v>
      </c>
      <c r="AF1691" s="76">
        <v>559.79999999999995</v>
      </c>
      <c r="AG1691" s="7">
        <v>31.32</v>
      </c>
      <c r="AH1691" s="7">
        <v>26.69</v>
      </c>
      <c r="AI1691" s="7">
        <v>31.36</v>
      </c>
      <c r="AJ1691" s="9">
        <v>233.342951222621</v>
      </c>
      <c r="AK1691" s="9">
        <v>235.08037277009299</v>
      </c>
      <c r="AL1691" s="9">
        <v>270.64766771100199</v>
      </c>
      <c r="AM1691" s="9" t="s">
        <v>169</v>
      </c>
      <c r="AN1691" s="9" t="s">
        <v>169</v>
      </c>
      <c r="AO1691" s="9" t="s">
        <v>169</v>
      </c>
      <c r="AP1691" s="9" t="s">
        <v>169</v>
      </c>
      <c r="AQ1691" s="9" t="s">
        <v>169</v>
      </c>
      <c r="AR1691" s="9" t="s">
        <v>169</v>
      </c>
      <c r="AS1691" s="73" t="s">
        <v>169</v>
      </c>
      <c r="AT1691" s="8" t="s">
        <v>169</v>
      </c>
      <c r="AU1691" s="10" t="s">
        <v>169</v>
      </c>
      <c r="AV1691" s="10">
        <v>0</v>
      </c>
      <c r="AX1691" s="10" t="s">
        <v>169</v>
      </c>
      <c r="BF1691" s="12">
        <v>0.46</v>
      </c>
      <c r="BG1691" s="13">
        <v>216.83388978113101</v>
      </c>
      <c r="BH1691" s="96" t="str">
        <f>+VLOOKUP(G1691,Liste!$A$7:$G$50,3,FALSE)</f>
        <v>Pin Maritime</v>
      </c>
      <c r="BI1691" s="96" t="str">
        <f>+VLOOKUP(H1691,Liste!$B$7:$G$50,5,FALSE)</f>
        <v>Landes</v>
      </c>
      <c r="BJ1691" s="135">
        <f t="shared" si="513"/>
        <v>23</v>
      </c>
      <c r="BK1691" s="135" t="str">
        <f t="shared" si="515"/>
        <v>Pin Maritime_F3_Classique_Landes_23_</v>
      </c>
      <c r="BM1691" s="13">
        <v>56.836606360877802</v>
      </c>
      <c r="BN1691" s="13">
        <v>273.67049614200897</v>
      </c>
      <c r="BO1691" s="13" t="s">
        <v>169</v>
      </c>
      <c r="BP1691" s="13">
        <v>248.80925905886301</v>
      </c>
      <c r="BQ1691" s="13" t="s">
        <v>169</v>
      </c>
      <c r="BT1691" s="298" t="str">
        <f>+VLOOKUP(G1691,Liste!$A$7:$H$50,8,FALSE)</f>
        <v>Résineux</v>
      </c>
      <c r="BU1691" s="298">
        <f t="shared" si="516"/>
        <v>0</v>
      </c>
      <c r="BV1691" s="300">
        <f t="shared" si="517"/>
        <v>1</v>
      </c>
      <c r="BW1691" s="321">
        <v>0</v>
      </c>
      <c r="BX1691" s="298">
        <f t="shared" si="518"/>
        <v>0.43</v>
      </c>
      <c r="BY1691">
        <f t="shared" si="519"/>
        <v>0</v>
      </c>
      <c r="BZ1691" s="304">
        <f t="shared" si="520"/>
        <v>33.917519817649989</v>
      </c>
      <c r="CB1691" s="299">
        <v>0.6</v>
      </c>
      <c r="CC1691" s="299">
        <v>0.4</v>
      </c>
      <c r="CD1691">
        <f t="shared" si="521"/>
        <v>0</v>
      </c>
      <c r="CE1691">
        <f t="shared" si="522"/>
        <v>0</v>
      </c>
      <c r="CF1691">
        <f t="shared" si="523"/>
        <v>0</v>
      </c>
      <c r="CG1691">
        <f t="shared" si="524"/>
        <v>0</v>
      </c>
      <c r="CH1691">
        <f t="shared" si="525"/>
        <v>0</v>
      </c>
      <c r="CI1691">
        <f t="shared" si="526"/>
        <v>0</v>
      </c>
      <c r="CJ1691">
        <f t="shared" si="527"/>
        <v>0</v>
      </c>
      <c r="CK1691">
        <f t="shared" si="528"/>
        <v>32.699758474700296</v>
      </c>
      <c r="CL1691">
        <f t="shared" si="529"/>
        <v>5.4081354588525627</v>
      </c>
      <c r="CM1691">
        <f t="shared" si="531"/>
        <v>38.107893933552859</v>
      </c>
      <c r="CN1691">
        <f t="shared" si="530"/>
        <v>264.31305689499146</v>
      </c>
      <c r="CO1691">
        <f t="shared" si="514"/>
        <v>0</v>
      </c>
    </row>
    <row r="1692" spans="1:93" x14ac:dyDescent="0.25">
      <c r="A1692" s="4">
        <v>2021</v>
      </c>
      <c r="B1692" s="318">
        <v>44425</v>
      </c>
      <c r="C1692" s="4" t="s">
        <v>418</v>
      </c>
      <c r="D1692" s="4" t="s">
        <v>1540</v>
      </c>
      <c r="F1692" s="4" t="s">
        <v>90</v>
      </c>
      <c r="G1692" s="5" t="s">
        <v>419</v>
      </c>
      <c r="H1692" s="5" t="s">
        <v>1541</v>
      </c>
      <c r="I1692" s="5" t="s">
        <v>18</v>
      </c>
      <c r="J1692" s="5" t="s">
        <v>144</v>
      </c>
      <c r="K1692" s="5">
        <v>23.5</v>
      </c>
      <c r="L1692" s="5" t="s">
        <v>1503</v>
      </c>
      <c r="M1692" s="5">
        <v>1250</v>
      </c>
      <c r="N1692" s="5" t="s">
        <v>171</v>
      </c>
      <c r="O1692" s="6" t="s">
        <v>81</v>
      </c>
      <c r="P1692" s="6" t="s">
        <v>1542</v>
      </c>
      <c r="S1692" s="6">
        <v>12</v>
      </c>
      <c r="T1692" s="6">
        <v>8.6199999999999992</v>
      </c>
      <c r="U1692" s="6">
        <v>1250</v>
      </c>
      <c r="V1692" s="6">
        <v>17.11</v>
      </c>
      <c r="W1692" s="6">
        <v>29</v>
      </c>
      <c r="X1692" s="6">
        <v>454</v>
      </c>
      <c r="Y1692" s="6">
        <v>758</v>
      </c>
      <c r="Z1692" s="6">
        <v>9</v>
      </c>
      <c r="AA1692" s="6">
        <v>0</v>
      </c>
      <c r="AB1692" s="6">
        <v>0</v>
      </c>
      <c r="AC1692" s="7">
        <v>24</v>
      </c>
      <c r="AD1692" s="7" t="s">
        <v>52</v>
      </c>
      <c r="AE1692" s="7">
        <v>16.66</v>
      </c>
      <c r="AF1692" s="76">
        <v>559.79999999999995</v>
      </c>
      <c r="AG1692" s="7">
        <v>33.46</v>
      </c>
      <c r="AH1692" s="7">
        <v>27.59</v>
      </c>
      <c r="AI1692" s="7">
        <v>32.520000000000003</v>
      </c>
      <c r="AJ1692" s="9">
        <v>256.41006871918597</v>
      </c>
      <c r="AK1692" s="9">
        <v>258.26860753573999</v>
      </c>
      <c r="AL1692" s="9">
        <v>295.389041440315</v>
      </c>
      <c r="AM1692" s="9" t="s">
        <v>169</v>
      </c>
      <c r="AN1692" s="9" t="s">
        <v>169</v>
      </c>
      <c r="AO1692" s="9" t="s">
        <v>169</v>
      </c>
      <c r="AP1692" s="9" t="s">
        <v>169</v>
      </c>
      <c r="AQ1692" s="9" t="s">
        <v>169</v>
      </c>
      <c r="AR1692" s="9" t="s">
        <v>169</v>
      </c>
      <c r="AS1692" s="73" t="s">
        <v>169</v>
      </c>
      <c r="AT1692" s="8" t="s">
        <v>169</v>
      </c>
      <c r="AU1692" s="10" t="s">
        <v>169</v>
      </c>
      <c r="AV1692" s="10">
        <v>0</v>
      </c>
      <c r="AX1692" s="10" t="s">
        <v>169</v>
      </c>
      <c r="BF1692" s="12">
        <v>0.46</v>
      </c>
      <c r="BG1692" s="13">
        <v>236.65585370059901</v>
      </c>
      <c r="BH1692" s="96" t="str">
        <f>+VLOOKUP(G1692,Liste!$A$7:$G$50,3,FALSE)</f>
        <v>Pin Maritime</v>
      </c>
      <c r="BI1692" s="96" t="str">
        <f>+VLOOKUP(H1692,Liste!$B$7:$G$50,5,FALSE)</f>
        <v>Landes</v>
      </c>
      <c r="BJ1692" s="135">
        <f t="shared" si="513"/>
        <v>24</v>
      </c>
      <c r="BK1692" s="135" t="str">
        <f t="shared" si="515"/>
        <v>Pin Maritime_F3_Classique_Landes_24_</v>
      </c>
      <c r="BM1692" s="13">
        <v>61.470993273485703</v>
      </c>
      <c r="BN1692" s="13">
        <v>298.12684697408503</v>
      </c>
      <c r="BO1692" s="13" t="s">
        <v>169</v>
      </c>
      <c r="BP1692" s="13">
        <v>248.80925905886301</v>
      </c>
      <c r="BQ1692" s="13" t="s">
        <v>169</v>
      </c>
      <c r="BT1692" s="298" t="str">
        <f>+VLOOKUP(G1692,Liste!$A$7:$H$50,8,FALSE)</f>
        <v>Résineux</v>
      </c>
      <c r="BU1692" s="298">
        <f t="shared" si="516"/>
        <v>0</v>
      </c>
      <c r="BV1692" s="300">
        <f t="shared" si="517"/>
        <v>1</v>
      </c>
      <c r="BW1692" s="321">
        <v>0</v>
      </c>
      <c r="BX1692" s="298">
        <f t="shared" si="518"/>
        <v>0.43</v>
      </c>
      <c r="BY1692">
        <f t="shared" si="519"/>
        <v>0</v>
      </c>
      <c r="BZ1692" s="304">
        <f t="shared" si="520"/>
        <v>33.917519817649989</v>
      </c>
      <c r="CB1692" s="299">
        <v>0.6</v>
      </c>
      <c r="CC1692" s="299">
        <v>0.4</v>
      </c>
      <c r="CD1692">
        <f t="shared" si="521"/>
        <v>0</v>
      </c>
      <c r="CE1692">
        <f t="shared" si="522"/>
        <v>0</v>
      </c>
      <c r="CF1692">
        <f t="shared" si="523"/>
        <v>0</v>
      </c>
      <c r="CG1692">
        <f t="shared" si="524"/>
        <v>0</v>
      </c>
      <c r="CH1692">
        <f t="shared" si="525"/>
        <v>0</v>
      </c>
      <c r="CI1692">
        <f t="shared" si="526"/>
        <v>0</v>
      </c>
      <c r="CJ1692">
        <f t="shared" si="527"/>
        <v>0</v>
      </c>
      <c r="CK1692">
        <f t="shared" si="528"/>
        <v>31.805581859604054</v>
      </c>
      <c r="CL1692">
        <f t="shared" si="529"/>
        <v>3.824129256530068</v>
      </c>
      <c r="CM1692">
        <f t="shared" si="531"/>
        <v>35.629711116134125</v>
      </c>
      <c r="CN1692">
        <f t="shared" si="530"/>
        <v>299.94276801112557</v>
      </c>
      <c r="CO1692">
        <f t="shared" si="514"/>
        <v>0</v>
      </c>
    </row>
    <row r="1693" spans="1:93" x14ac:dyDescent="0.25">
      <c r="A1693" s="4">
        <v>2021</v>
      </c>
      <c r="B1693" s="318">
        <v>44425</v>
      </c>
      <c r="C1693" s="4" t="s">
        <v>418</v>
      </c>
      <c r="D1693" s="4" t="s">
        <v>1540</v>
      </c>
      <c r="F1693" s="4" t="s">
        <v>90</v>
      </c>
      <c r="G1693" s="5" t="s">
        <v>419</v>
      </c>
      <c r="H1693" s="5" t="s">
        <v>1541</v>
      </c>
      <c r="I1693" s="5" t="s">
        <v>18</v>
      </c>
      <c r="J1693" s="5" t="s">
        <v>144</v>
      </c>
      <c r="K1693" s="5">
        <v>23.5</v>
      </c>
      <c r="L1693" s="5" t="s">
        <v>1503</v>
      </c>
      <c r="M1693" s="5">
        <v>1250</v>
      </c>
      <c r="N1693" s="5" t="s">
        <v>171</v>
      </c>
      <c r="O1693" s="6" t="s">
        <v>81</v>
      </c>
      <c r="P1693" s="6" t="s">
        <v>1542</v>
      </c>
      <c r="S1693" s="6">
        <v>12</v>
      </c>
      <c r="T1693" s="6">
        <v>8.6199999999999992</v>
      </c>
      <c r="U1693" s="6">
        <v>1250</v>
      </c>
      <c r="V1693" s="6">
        <v>17.11</v>
      </c>
      <c r="W1693" s="6">
        <v>29</v>
      </c>
      <c r="X1693" s="6">
        <v>454</v>
      </c>
      <c r="Y1693" s="6">
        <v>758</v>
      </c>
      <c r="Z1693" s="6">
        <v>9</v>
      </c>
      <c r="AA1693" s="6">
        <v>0</v>
      </c>
      <c r="AB1693" s="6">
        <v>0</v>
      </c>
      <c r="AC1693" s="7">
        <v>25</v>
      </c>
      <c r="AD1693" s="7" t="s">
        <v>52</v>
      </c>
      <c r="AE1693" s="7">
        <v>17.21</v>
      </c>
      <c r="AF1693" s="76">
        <v>559.79999999999995</v>
      </c>
      <c r="AG1693" s="7">
        <v>35.590000000000003</v>
      </c>
      <c r="AH1693" s="7">
        <v>28.45</v>
      </c>
      <c r="AI1693" s="7">
        <v>33.64</v>
      </c>
      <c r="AJ1693" s="9">
        <v>279.47718621575001</v>
      </c>
      <c r="AK1693" s="9">
        <v>281.45684230138801</v>
      </c>
      <c r="AL1693" s="9">
        <v>320.13041516962699</v>
      </c>
      <c r="AM1693" s="9">
        <v>50.1941221199721</v>
      </c>
      <c r="AN1693" s="9">
        <v>2.0077648847988798</v>
      </c>
      <c r="AO1693" s="9">
        <v>1.7505873651256201</v>
      </c>
      <c r="AP1693" s="9">
        <v>419.10999429246402</v>
      </c>
      <c r="AQ1693" s="9">
        <v>16.764399771698599</v>
      </c>
      <c r="AR1693" s="9">
        <v>22.6187054908631</v>
      </c>
      <c r="AS1693" s="73" t="s">
        <v>169</v>
      </c>
      <c r="AT1693" s="8" t="s">
        <v>169</v>
      </c>
      <c r="AU1693" s="10" t="s">
        <v>169</v>
      </c>
      <c r="AV1693" s="10">
        <v>0</v>
      </c>
      <c r="AX1693" s="10" t="s">
        <v>169</v>
      </c>
      <c r="BF1693" s="12">
        <v>0.46</v>
      </c>
      <c r="BG1693" s="13">
        <v>256.47781762006599</v>
      </c>
      <c r="BH1693" s="96" t="str">
        <f>+VLOOKUP(G1693,Liste!$A$7:$G$50,3,FALSE)</f>
        <v>Pin Maritime</v>
      </c>
      <c r="BI1693" s="96" t="str">
        <f>+VLOOKUP(H1693,Liste!$B$7:$G$50,5,FALSE)</f>
        <v>Landes</v>
      </c>
      <c r="BJ1693" s="135">
        <f t="shared" si="513"/>
        <v>25</v>
      </c>
      <c r="BK1693" s="135" t="str">
        <f t="shared" si="515"/>
        <v>Pin Maritime_F3_Classique_Landes_25_</v>
      </c>
      <c r="BM1693" s="13">
        <v>66.105380186093697</v>
      </c>
      <c r="BN1693" s="13">
        <v>322.58319780616</v>
      </c>
      <c r="BO1693" s="13" t="s">
        <v>169</v>
      </c>
      <c r="BP1693" s="13">
        <v>248.80925905886301</v>
      </c>
      <c r="BQ1693" s="13">
        <v>22.074312645342001</v>
      </c>
      <c r="BT1693" s="298" t="str">
        <f>+VLOOKUP(G1693,Liste!$A$7:$H$50,8,FALSE)</f>
        <v>Résineux</v>
      </c>
      <c r="BU1693" s="298">
        <f t="shared" si="516"/>
        <v>0</v>
      </c>
      <c r="BV1693" s="300">
        <f t="shared" si="517"/>
        <v>1</v>
      </c>
      <c r="BW1693" s="321">
        <v>0</v>
      </c>
      <c r="BX1693" s="298">
        <f t="shared" si="518"/>
        <v>0.43</v>
      </c>
      <c r="BY1693">
        <f t="shared" si="519"/>
        <v>0</v>
      </c>
      <c r="BZ1693" s="304">
        <f t="shared" si="520"/>
        <v>33.917519817649989</v>
      </c>
      <c r="CB1693" s="299">
        <v>0.6</v>
      </c>
      <c r="CC1693" s="299">
        <v>0.4</v>
      </c>
      <c r="CD1693">
        <f t="shared" si="521"/>
        <v>0</v>
      </c>
      <c r="CE1693">
        <f t="shared" si="522"/>
        <v>0</v>
      </c>
      <c r="CF1693">
        <f t="shared" si="523"/>
        <v>0</v>
      </c>
      <c r="CG1693">
        <f t="shared" si="524"/>
        <v>0</v>
      </c>
      <c r="CH1693">
        <f t="shared" si="525"/>
        <v>0</v>
      </c>
      <c r="CI1693">
        <f t="shared" si="526"/>
        <v>0</v>
      </c>
      <c r="CJ1693">
        <f t="shared" si="527"/>
        <v>0</v>
      </c>
      <c r="CK1693">
        <f t="shared" si="528"/>
        <v>30.935856551070323</v>
      </c>
      <c r="CL1693">
        <f t="shared" si="529"/>
        <v>2.7040677294262818</v>
      </c>
      <c r="CM1693">
        <f t="shared" si="531"/>
        <v>33.639924280496608</v>
      </c>
      <c r="CN1693">
        <f t="shared" si="530"/>
        <v>333.58269229162215</v>
      </c>
      <c r="CO1693">
        <f t="shared" si="514"/>
        <v>0</v>
      </c>
    </row>
    <row r="1694" spans="1:93" x14ac:dyDescent="0.25">
      <c r="A1694" s="4">
        <v>2021</v>
      </c>
      <c r="B1694" s="318">
        <v>44425</v>
      </c>
      <c r="C1694" s="4" t="s">
        <v>418</v>
      </c>
      <c r="D1694" s="4" t="s">
        <v>1540</v>
      </c>
      <c r="F1694" s="4" t="s">
        <v>90</v>
      </c>
      <c r="G1694" s="5" t="s">
        <v>419</v>
      </c>
      <c r="H1694" s="5" t="s">
        <v>1541</v>
      </c>
      <c r="I1694" s="5" t="s">
        <v>18</v>
      </c>
      <c r="J1694" s="5" t="s">
        <v>144</v>
      </c>
      <c r="K1694" s="5">
        <v>23.5</v>
      </c>
      <c r="L1694" s="5" t="s">
        <v>1503</v>
      </c>
      <c r="M1694" s="5">
        <v>1250</v>
      </c>
      <c r="N1694" s="5" t="s">
        <v>171</v>
      </c>
      <c r="O1694" s="6" t="s">
        <v>81</v>
      </c>
      <c r="P1694" s="6" t="s">
        <v>1542</v>
      </c>
      <c r="S1694" s="6">
        <v>12</v>
      </c>
      <c r="T1694" s="6">
        <v>8.6199999999999992</v>
      </c>
      <c r="U1694" s="6">
        <v>1250</v>
      </c>
      <c r="V1694" s="6">
        <v>17.11</v>
      </c>
      <c r="W1694" s="6">
        <v>29</v>
      </c>
      <c r="X1694" s="6">
        <v>454</v>
      </c>
      <c r="Y1694" s="6">
        <v>758</v>
      </c>
      <c r="Z1694" s="6">
        <v>9</v>
      </c>
      <c r="AA1694" s="6">
        <v>0</v>
      </c>
      <c r="AB1694" s="6">
        <v>0</v>
      </c>
      <c r="AC1694" s="7">
        <v>25</v>
      </c>
      <c r="AD1694" s="7" t="s">
        <v>53</v>
      </c>
      <c r="AE1694" s="7">
        <v>17.18</v>
      </c>
      <c r="AF1694" s="76">
        <v>409.8</v>
      </c>
      <c r="AG1694" s="7">
        <v>27.74</v>
      </c>
      <c r="AH1694" s="7">
        <v>29.36</v>
      </c>
      <c r="AI1694" s="7">
        <v>33.479999999999997</v>
      </c>
      <c r="AJ1694" s="9">
        <v>219.44971167554399</v>
      </c>
      <c r="AK1694" s="9">
        <v>221.09573629652499</v>
      </c>
      <c r="AL1694" s="9">
        <v>251.791438087844</v>
      </c>
      <c r="AM1694" s="9">
        <v>50.1941221199721</v>
      </c>
      <c r="AN1694" s="9">
        <v>2.0077648847988798</v>
      </c>
      <c r="AO1694" s="9">
        <v>1.7505873651256201</v>
      </c>
      <c r="AP1694" s="9">
        <v>419.10999429246402</v>
      </c>
      <c r="AQ1694" s="9">
        <v>16.764399771698599</v>
      </c>
      <c r="AR1694" s="9">
        <v>22.6187054908631</v>
      </c>
      <c r="AS1694" s="73">
        <v>149.99999999999994</v>
      </c>
      <c r="AT1694" s="8">
        <v>7.850000000000005</v>
      </c>
      <c r="AU1694" s="10">
        <v>25.813343353352529</v>
      </c>
      <c r="AV1694" s="10">
        <v>60.027474540206015</v>
      </c>
      <c r="AW1694" s="8">
        <v>0.82</v>
      </c>
      <c r="AX1694" s="10">
        <v>0.40018316360137357</v>
      </c>
      <c r="BF1694" s="12">
        <v>0.46</v>
      </c>
      <c r="BG1694" s="13">
        <v>201.726907148045</v>
      </c>
      <c r="BH1694" s="96" t="str">
        <f>+VLOOKUP(G1694,Liste!$A$7:$G$50,3,FALSE)</f>
        <v>Pin Maritime</v>
      </c>
      <c r="BI1694" s="96" t="str">
        <f>+VLOOKUP(H1694,Liste!$B$7:$G$50,5,FALSE)</f>
        <v>Landes</v>
      </c>
      <c r="BJ1694" s="135">
        <f t="shared" si="513"/>
        <v>25</v>
      </c>
      <c r="BK1694" s="135" t="str">
        <f t="shared" si="515"/>
        <v>Pin Maritime_F3_Classique_Landes_25_</v>
      </c>
      <c r="BM1694" s="13">
        <v>53.467480011106197</v>
      </c>
      <c r="BN1694" s="13">
        <v>255.19438715915101</v>
      </c>
      <c r="BO1694" s="13">
        <v>67.388810647008995</v>
      </c>
      <c r="BP1694" s="13">
        <v>248.80925905886301</v>
      </c>
      <c r="BQ1694" s="13">
        <v>22.074312645342001</v>
      </c>
      <c r="BT1694" s="298" t="str">
        <f>+VLOOKUP(G1694,Liste!$A$7:$H$50,8,FALSE)</f>
        <v>Résineux</v>
      </c>
      <c r="BU1694" s="298">
        <f t="shared" si="516"/>
        <v>0</v>
      </c>
      <c r="BV1694" s="300">
        <f t="shared" si="517"/>
        <v>1</v>
      </c>
      <c r="BW1694" s="321">
        <v>0</v>
      </c>
      <c r="BX1694" s="298">
        <f t="shared" si="518"/>
        <v>0.43</v>
      </c>
      <c r="BY1694">
        <f t="shared" si="519"/>
        <v>25.811814052288586</v>
      </c>
      <c r="BZ1694" s="304">
        <f t="shared" si="520"/>
        <v>59.729333869938571</v>
      </c>
      <c r="CB1694" s="299">
        <v>0.6</v>
      </c>
      <c r="CC1694" s="299">
        <v>0.4</v>
      </c>
      <c r="CD1694">
        <f t="shared" si="521"/>
        <v>0</v>
      </c>
      <c r="CE1694">
        <f t="shared" si="522"/>
        <v>36.016484724123607</v>
      </c>
      <c r="CF1694">
        <f t="shared" si="523"/>
        <v>24.010989816082407</v>
      </c>
      <c r="CG1694">
        <f t="shared" si="524"/>
        <v>0</v>
      </c>
      <c r="CH1694">
        <f t="shared" si="525"/>
        <v>28.855207011477027</v>
      </c>
      <c r="CI1694">
        <f t="shared" si="526"/>
        <v>19.236804674318023</v>
      </c>
      <c r="CJ1694">
        <f t="shared" si="527"/>
        <v>0</v>
      </c>
      <c r="CK1694">
        <f t="shared" si="528"/>
        <v>30.089913926835315</v>
      </c>
      <c r="CL1694">
        <f t="shared" si="529"/>
        <v>1.9120646282650344</v>
      </c>
      <c r="CM1694">
        <f t="shared" si="531"/>
        <v>32.001978555100351</v>
      </c>
      <c r="CN1694">
        <f t="shared" si="530"/>
        <v>365.58467084672247</v>
      </c>
      <c r="CO1694">
        <f t="shared" si="514"/>
        <v>0</v>
      </c>
    </row>
    <row r="1695" spans="1:93" x14ac:dyDescent="0.25">
      <c r="A1695" s="4">
        <v>2021</v>
      </c>
      <c r="B1695" s="318">
        <v>44425</v>
      </c>
      <c r="C1695" s="4" t="s">
        <v>418</v>
      </c>
      <c r="D1695" s="4" t="s">
        <v>1540</v>
      </c>
      <c r="F1695" s="4" t="s">
        <v>90</v>
      </c>
      <c r="G1695" s="5" t="s">
        <v>419</v>
      </c>
      <c r="H1695" s="5" t="s">
        <v>1541</v>
      </c>
      <c r="I1695" s="5" t="s">
        <v>18</v>
      </c>
      <c r="J1695" s="5" t="s">
        <v>144</v>
      </c>
      <c r="K1695" s="5">
        <v>23.5</v>
      </c>
      <c r="L1695" s="5" t="s">
        <v>1503</v>
      </c>
      <c r="M1695" s="5">
        <v>1250</v>
      </c>
      <c r="N1695" s="5" t="s">
        <v>171</v>
      </c>
      <c r="O1695" s="6" t="s">
        <v>81</v>
      </c>
      <c r="P1695" s="6" t="s">
        <v>1542</v>
      </c>
      <c r="S1695" s="6">
        <v>12</v>
      </c>
      <c r="T1695" s="6">
        <v>8.6199999999999992</v>
      </c>
      <c r="U1695" s="6">
        <v>1250</v>
      </c>
      <c r="V1695" s="6">
        <v>17.11</v>
      </c>
      <c r="W1695" s="6">
        <v>29</v>
      </c>
      <c r="X1695" s="6">
        <v>454</v>
      </c>
      <c r="Y1695" s="6">
        <v>758</v>
      </c>
      <c r="Z1695" s="6">
        <v>9</v>
      </c>
      <c r="AA1695" s="6">
        <v>0</v>
      </c>
      <c r="AB1695" s="6">
        <v>0</v>
      </c>
      <c r="AC1695" s="7">
        <v>26</v>
      </c>
      <c r="AD1695" s="7" t="s">
        <v>52</v>
      </c>
      <c r="AE1695" s="7">
        <v>17.73</v>
      </c>
      <c r="AF1695" s="76">
        <v>409.8</v>
      </c>
      <c r="AG1695" s="7">
        <v>29.51</v>
      </c>
      <c r="AH1695" s="7">
        <v>30.28</v>
      </c>
      <c r="AI1695" s="7">
        <v>34.61</v>
      </c>
      <c r="AJ1695" s="9">
        <v>240.804264840294</v>
      </c>
      <c r="AK1695" s="9">
        <v>242.55032909537599</v>
      </c>
      <c r="AL1695" s="9">
        <v>274.41014357870699</v>
      </c>
      <c r="AM1695" s="9" t="s">
        <v>169</v>
      </c>
      <c r="AN1695" s="9" t="s">
        <v>169</v>
      </c>
      <c r="AO1695" s="9" t="s">
        <v>169</v>
      </c>
      <c r="AP1695" s="9" t="s">
        <v>169</v>
      </c>
      <c r="AQ1695" s="9" t="s">
        <v>169</v>
      </c>
      <c r="AR1695" s="9" t="s">
        <v>169</v>
      </c>
      <c r="AS1695" s="73" t="s">
        <v>169</v>
      </c>
      <c r="AT1695" s="8" t="s">
        <v>169</v>
      </c>
      <c r="AU1695" s="10" t="s">
        <v>169</v>
      </c>
      <c r="AV1695" s="10">
        <v>0</v>
      </c>
      <c r="AX1695" s="10" t="s">
        <v>169</v>
      </c>
      <c r="BF1695" s="12">
        <v>0.46</v>
      </c>
      <c r="BG1695" s="13">
        <v>219.84826003047399</v>
      </c>
      <c r="BH1695" s="96" t="str">
        <f>+VLOOKUP(G1695,Liste!$A$7:$G$50,3,FALSE)</f>
        <v>Pin Maritime</v>
      </c>
      <c r="BI1695" s="96" t="str">
        <f>+VLOOKUP(H1695,Liste!$B$7:$G$50,5,FALSE)</f>
        <v>Landes</v>
      </c>
      <c r="BJ1695" s="135">
        <f t="shared" si="513"/>
        <v>26</v>
      </c>
      <c r="BK1695" s="135" t="str">
        <f t="shared" si="515"/>
        <v>Pin Maritime_F3_Classique_Landes_26_</v>
      </c>
      <c r="BM1695" s="13">
        <v>57.632714202148698</v>
      </c>
      <c r="BN1695" s="13">
        <v>277.480974232623</v>
      </c>
      <c r="BO1695" s="13" t="s">
        <v>169</v>
      </c>
      <c r="BP1695" s="13">
        <v>248.80925905886301</v>
      </c>
      <c r="BQ1695" s="13" t="s">
        <v>169</v>
      </c>
      <c r="BT1695" s="298" t="str">
        <f>+VLOOKUP(G1695,Liste!$A$7:$H$50,8,FALSE)</f>
        <v>Résineux</v>
      </c>
      <c r="BU1695" s="298">
        <f t="shared" si="516"/>
        <v>0</v>
      </c>
      <c r="BV1695" s="300">
        <f t="shared" si="517"/>
        <v>1</v>
      </c>
      <c r="BW1695" s="321">
        <v>0</v>
      </c>
      <c r="BX1695" s="298">
        <f t="shared" si="518"/>
        <v>0.43</v>
      </c>
      <c r="BY1695">
        <f t="shared" si="519"/>
        <v>0</v>
      </c>
      <c r="BZ1695" s="304">
        <f t="shared" si="520"/>
        <v>59.729333869938571</v>
      </c>
      <c r="CB1695" s="299">
        <v>0.6</v>
      </c>
      <c r="CC1695" s="299">
        <v>0.4</v>
      </c>
      <c r="CD1695">
        <f t="shared" si="521"/>
        <v>0</v>
      </c>
      <c r="CE1695">
        <f t="shared" si="522"/>
        <v>0</v>
      </c>
      <c r="CF1695">
        <f t="shared" si="523"/>
        <v>0</v>
      </c>
      <c r="CG1695">
        <f t="shared" si="524"/>
        <v>0</v>
      </c>
      <c r="CH1695">
        <f t="shared" si="525"/>
        <v>0</v>
      </c>
      <c r="CI1695">
        <f t="shared" si="526"/>
        <v>0</v>
      </c>
      <c r="CJ1695">
        <f t="shared" si="527"/>
        <v>0</v>
      </c>
      <c r="CK1695">
        <f t="shared" si="528"/>
        <v>57.725964020369396</v>
      </c>
      <c r="CL1695">
        <f t="shared" si="529"/>
        <v>17.609272727590984</v>
      </c>
      <c r="CM1695">
        <f t="shared" si="531"/>
        <v>75.33523674796038</v>
      </c>
      <c r="CN1695">
        <f t="shared" si="530"/>
        <v>440.91990759468285</v>
      </c>
      <c r="CO1695">
        <f t="shared" si="514"/>
        <v>0</v>
      </c>
    </row>
    <row r="1696" spans="1:93" x14ac:dyDescent="0.25">
      <c r="A1696" s="4">
        <v>2021</v>
      </c>
      <c r="B1696" s="318">
        <v>44425</v>
      </c>
      <c r="C1696" s="4" t="s">
        <v>418</v>
      </c>
      <c r="D1696" s="4" t="s">
        <v>1540</v>
      </c>
      <c r="F1696" s="4" t="s">
        <v>90</v>
      </c>
      <c r="G1696" s="5" t="s">
        <v>419</v>
      </c>
      <c r="H1696" s="5" t="s">
        <v>1541</v>
      </c>
      <c r="I1696" s="5" t="s">
        <v>18</v>
      </c>
      <c r="J1696" s="5" t="s">
        <v>144</v>
      </c>
      <c r="K1696" s="5">
        <v>23.5</v>
      </c>
      <c r="L1696" s="5" t="s">
        <v>1503</v>
      </c>
      <c r="M1696" s="5">
        <v>1250</v>
      </c>
      <c r="N1696" s="5" t="s">
        <v>171</v>
      </c>
      <c r="O1696" s="6" t="s">
        <v>81</v>
      </c>
      <c r="P1696" s="6" t="s">
        <v>1542</v>
      </c>
      <c r="S1696" s="6">
        <v>12</v>
      </c>
      <c r="T1696" s="6">
        <v>8.6199999999999992</v>
      </c>
      <c r="U1696" s="6">
        <v>1250</v>
      </c>
      <c r="V1696" s="6">
        <v>17.11</v>
      </c>
      <c r="W1696" s="6">
        <v>29</v>
      </c>
      <c r="X1696" s="6">
        <v>454</v>
      </c>
      <c r="Y1696" s="6">
        <v>758</v>
      </c>
      <c r="Z1696" s="6">
        <v>9</v>
      </c>
      <c r="AA1696" s="6">
        <v>0</v>
      </c>
      <c r="AB1696" s="6">
        <v>0</v>
      </c>
      <c r="AC1696" s="7">
        <v>27</v>
      </c>
      <c r="AD1696" s="7" t="s">
        <v>52</v>
      </c>
      <c r="AE1696" s="7">
        <v>18.23</v>
      </c>
      <c r="AF1696" s="76">
        <v>409.8</v>
      </c>
      <c r="AG1696" s="7">
        <v>31.26</v>
      </c>
      <c r="AH1696" s="7">
        <v>31.17</v>
      </c>
      <c r="AI1696" s="7">
        <v>35.71</v>
      </c>
      <c r="AJ1696" s="9">
        <v>262.158818005044</v>
      </c>
      <c r="AK1696" s="9">
        <v>264.00492189422602</v>
      </c>
      <c r="AL1696" s="9">
        <v>297.02884906957098</v>
      </c>
      <c r="AM1696" s="9" t="s">
        <v>169</v>
      </c>
      <c r="AN1696" s="9" t="s">
        <v>169</v>
      </c>
      <c r="AO1696" s="9" t="s">
        <v>169</v>
      </c>
      <c r="AP1696" s="9" t="s">
        <v>169</v>
      </c>
      <c r="AQ1696" s="9" t="s">
        <v>169</v>
      </c>
      <c r="AR1696" s="9" t="s">
        <v>169</v>
      </c>
      <c r="AS1696" s="73" t="s">
        <v>169</v>
      </c>
      <c r="AT1696" s="8" t="s">
        <v>169</v>
      </c>
      <c r="AU1696" s="10" t="s">
        <v>169</v>
      </c>
      <c r="AV1696" s="10">
        <v>0</v>
      </c>
      <c r="AX1696" s="10" t="s">
        <v>169</v>
      </c>
      <c r="BF1696" s="12">
        <v>0.46</v>
      </c>
      <c r="BG1696" s="13">
        <v>237.96961291290401</v>
      </c>
      <c r="BH1696" s="96" t="str">
        <f>+VLOOKUP(G1696,Liste!$A$7:$G$50,3,FALSE)</f>
        <v>Pin Maritime</v>
      </c>
      <c r="BI1696" s="96" t="str">
        <f>+VLOOKUP(H1696,Liste!$B$7:$G$50,5,FALSE)</f>
        <v>Landes</v>
      </c>
      <c r="BJ1696" s="135">
        <f t="shared" si="513"/>
        <v>27</v>
      </c>
      <c r="BK1696" s="135" t="str">
        <f t="shared" si="515"/>
        <v>Pin Maritime_F3_Classique_Landes_27_</v>
      </c>
      <c r="BM1696" s="13">
        <v>61.797948393191099</v>
      </c>
      <c r="BN1696" s="13">
        <v>299.76756130609499</v>
      </c>
      <c r="BO1696" s="13" t="s">
        <v>169</v>
      </c>
      <c r="BP1696" s="13">
        <v>248.80925905886301</v>
      </c>
      <c r="BQ1696" s="13" t="s">
        <v>169</v>
      </c>
      <c r="BT1696" s="298" t="str">
        <f>+VLOOKUP(G1696,Liste!$A$7:$H$50,8,FALSE)</f>
        <v>Résineux</v>
      </c>
      <c r="BU1696" s="298">
        <f t="shared" si="516"/>
        <v>0</v>
      </c>
      <c r="BV1696" s="300">
        <f t="shared" si="517"/>
        <v>1</v>
      </c>
      <c r="BW1696" s="321">
        <v>0</v>
      </c>
      <c r="BX1696" s="298">
        <f t="shared" si="518"/>
        <v>0.43</v>
      </c>
      <c r="BY1696">
        <f t="shared" si="519"/>
        <v>0</v>
      </c>
      <c r="BZ1696" s="304">
        <f t="shared" si="520"/>
        <v>59.729333869938571</v>
      </c>
      <c r="CB1696" s="299">
        <v>0.6</v>
      </c>
      <c r="CC1696" s="299">
        <v>0.4</v>
      </c>
      <c r="CD1696">
        <f t="shared" si="521"/>
        <v>0</v>
      </c>
      <c r="CE1696">
        <f t="shared" si="522"/>
        <v>0</v>
      </c>
      <c r="CF1696">
        <f t="shared" si="523"/>
        <v>0</v>
      </c>
      <c r="CG1696">
        <f t="shared" si="524"/>
        <v>0</v>
      </c>
      <c r="CH1696">
        <f t="shared" si="525"/>
        <v>0</v>
      </c>
      <c r="CI1696">
        <f t="shared" si="526"/>
        <v>0</v>
      </c>
      <c r="CJ1696">
        <f t="shared" si="527"/>
        <v>0</v>
      </c>
      <c r="CK1696">
        <f t="shared" si="528"/>
        <v>56.147444498555885</v>
      </c>
      <c r="CL1696">
        <f t="shared" si="529"/>
        <v>12.451636157442918</v>
      </c>
      <c r="CM1696">
        <f t="shared" si="531"/>
        <v>68.599080655998804</v>
      </c>
      <c r="CN1696">
        <f t="shared" si="530"/>
        <v>509.51898825068167</v>
      </c>
      <c r="CO1696">
        <f t="shared" si="514"/>
        <v>0</v>
      </c>
    </row>
    <row r="1697" spans="1:93" x14ac:dyDescent="0.25">
      <c r="A1697" s="4">
        <v>2021</v>
      </c>
      <c r="B1697" s="318">
        <v>44425</v>
      </c>
      <c r="C1697" s="4" t="s">
        <v>418</v>
      </c>
      <c r="D1697" s="4" t="s">
        <v>1540</v>
      </c>
      <c r="F1697" s="4" t="s">
        <v>90</v>
      </c>
      <c r="G1697" s="5" t="s">
        <v>419</v>
      </c>
      <c r="H1697" s="5" t="s">
        <v>1541</v>
      </c>
      <c r="I1697" s="5" t="s">
        <v>18</v>
      </c>
      <c r="J1697" s="5" t="s">
        <v>144</v>
      </c>
      <c r="K1697" s="5">
        <v>23.5</v>
      </c>
      <c r="L1697" s="5" t="s">
        <v>1503</v>
      </c>
      <c r="M1697" s="5">
        <v>1250</v>
      </c>
      <c r="N1697" s="5" t="s">
        <v>171</v>
      </c>
      <c r="O1697" s="6" t="s">
        <v>81</v>
      </c>
      <c r="P1697" s="6" t="s">
        <v>1542</v>
      </c>
      <c r="S1697" s="6">
        <v>12</v>
      </c>
      <c r="T1697" s="6">
        <v>8.6199999999999992</v>
      </c>
      <c r="U1697" s="6">
        <v>1250</v>
      </c>
      <c r="V1697" s="6">
        <v>17.11</v>
      </c>
      <c r="W1697" s="6">
        <v>29</v>
      </c>
      <c r="X1697" s="6">
        <v>454</v>
      </c>
      <c r="Y1697" s="6">
        <v>758</v>
      </c>
      <c r="Z1697" s="6">
        <v>9</v>
      </c>
      <c r="AA1697" s="6">
        <v>0</v>
      </c>
      <c r="AB1697" s="6">
        <v>0</v>
      </c>
      <c r="AC1697" s="7">
        <v>28</v>
      </c>
      <c r="AD1697" s="7" t="s">
        <v>52</v>
      </c>
      <c r="AE1697" s="7">
        <v>18.73</v>
      </c>
      <c r="AF1697" s="76">
        <v>409.8</v>
      </c>
      <c r="AG1697" s="7">
        <v>33.01</v>
      </c>
      <c r="AH1697" s="7">
        <v>32.03</v>
      </c>
      <c r="AI1697" s="7">
        <v>36.79</v>
      </c>
      <c r="AJ1697" s="9">
        <v>283.51337116979403</v>
      </c>
      <c r="AK1697" s="9">
        <v>285.45951469307602</v>
      </c>
      <c r="AL1697" s="9">
        <v>319.647554560434</v>
      </c>
      <c r="AM1697" s="9" t="s">
        <v>169</v>
      </c>
      <c r="AN1697" s="9" t="s">
        <v>169</v>
      </c>
      <c r="AO1697" s="9" t="s">
        <v>169</v>
      </c>
      <c r="AP1697" s="9" t="s">
        <v>169</v>
      </c>
      <c r="AQ1697" s="9" t="s">
        <v>169</v>
      </c>
      <c r="AR1697" s="9" t="s">
        <v>169</v>
      </c>
      <c r="AS1697" s="73" t="s">
        <v>169</v>
      </c>
      <c r="AT1697" s="8" t="s">
        <v>169</v>
      </c>
      <c r="AU1697" s="10" t="s">
        <v>169</v>
      </c>
      <c r="AV1697" s="10">
        <v>0</v>
      </c>
      <c r="AX1697" s="10" t="s">
        <v>169</v>
      </c>
      <c r="BF1697" s="12">
        <v>0.46</v>
      </c>
      <c r="BG1697" s="13">
        <v>256.090965795334</v>
      </c>
      <c r="BH1697" s="96" t="str">
        <f>+VLOOKUP(G1697,Liste!$A$7:$G$50,3,FALSE)</f>
        <v>Pin Maritime</v>
      </c>
      <c r="BI1697" s="96" t="str">
        <f>+VLOOKUP(H1697,Liste!$B$7:$G$50,5,FALSE)</f>
        <v>Landes</v>
      </c>
      <c r="BJ1697" s="135">
        <f t="shared" si="513"/>
        <v>28</v>
      </c>
      <c r="BK1697" s="135" t="str">
        <f t="shared" si="515"/>
        <v>Pin Maritime_F3_Classique_Landes_28_</v>
      </c>
      <c r="BM1697" s="13">
        <v>65.963182584233607</v>
      </c>
      <c r="BN1697" s="13">
        <v>322.05414837956801</v>
      </c>
      <c r="BO1697" s="13" t="s">
        <v>169</v>
      </c>
      <c r="BP1697" s="13">
        <v>248.80925905886301</v>
      </c>
      <c r="BQ1697" s="13" t="s">
        <v>169</v>
      </c>
      <c r="BT1697" s="298" t="str">
        <f>+VLOOKUP(G1697,Liste!$A$7:$H$50,8,FALSE)</f>
        <v>Résineux</v>
      </c>
      <c r="BU1697" s="298">
        <f t="shared" si="516"/>
        <v>0</v>
      </c>
      <c r="BV1697" s="300">
        <f t="shared" si="517"/>
        <v>1</v>
      </c>
      <c r="BW1697" s="321">
        <v>0</v>
      </c>
      <c r="BX1697" s="298">
        <f t="shared" si="518"/>
        <v>0.43</v>
      </c>
      <c r="BY1697">
        <f t="shared" si="519"/>
        <v>0</v>
      </c>
      <c r="BZ1697" s="304">
        <f t="shared" si="520"/>
        <v>59.729333869938571</v>
      </c>
      <c r="CB1697" s="299">
        <v>0.6</v>
      </c>
      <c r="CC1697" s="299">
        <v>0.4</v>
      </c>
      <c r="CD1697">
        <f t="shared" si="521"/>
        <v>0</v>
      </c>
      <c r="CE1697">
        <f t="shared" si="522"/>
        <v>0</v>
      </c>
      <c r="CF1697">
        <f t="shared" si="523"/>
        <v>0</v>
      </c>
      <c r="CG1697">
        <f t="shared" si="524"/>
        <v>0</v>
      </c>
      <c r="CH1697">
        <f t="shared" si="525"/>
        <v>0</v>
      </c>
      <c r="CI1697">
        <f t="shared" si="526"/>
        <v>0</v>
      </c>
      <c r="CJ1697">
        <f t="shared" si="527"/>
        <v>0</v>
      </c>
      <c r="CK1697">
        <f t="shared" si="528"/>
        <v>54.612089676077098</v>
      </c>
      <c r="CL1697">
        <f t="shared" si="529"/>
        <v>8.8046363637954936</v>
      </c>
      <c r="CM1697">
        <f t="shared" si="531"/>
        <v>63.416726039872593</v>
      </c>
      <c r="CN1697">
        <f t="shared" si="530"/>
        <v>572.9357142905543</v>
      </c>
      <c r="CO1697">
        <f t="shared" si="514"/>
        <v>0</v>
      </c>
    </row>
    <row r="1698" spans="1:93" x14ac:dyDescent="0.25">
      <c r="A1698" s="4">
        <v>2021</v>
      </c>
      <c r="B1698" s="318">
        <v>44425</v>
      </c>
      <c r="C1698" s="4" t="s">
        <v>418</v>
      </c>
      <c r="D1698" s="4" t="s">
        <v>1540</v>
      </c>
      <c r="F1698" s="4" t="s">
        <v>90</v>
      </c>
      <c r="G1698" s="5" t="s">
        <v>419</v>
      </c>
      <c r="H1698" s="5" t="s">
        <v>1541</v>
      </c>
      <c r="I1698" s="5" t="s">
        <v>18</v>
      </c>
      <c r="J1698" s="5" t="s">
        <v>144</v>
      </c>
      <c r="K1698" s="5">
        <v>23.5</v>
      </c>
      <c r="L1698" s="5" t="s">
        <v>1503</v>
      </c>
      <c r="M1698" s="5">
        <v>1250</v>
      </c>
      <c r="N1698" s="5" t="s">
        <v>171</v>
      </c>
      <c r="O1698" s="6" t="s">
        <v>81</v>
      </c>
      <c r="P1698" s="6" t="s">
        <v>1542</v>
      </c>
      <c r="S1698" s="6">
        <v>12</v>
      </c>
      <c r="T1698" s="6">
        <v>8.6199999999999992</v>
      </c>
      <c r="U1698" s="6">
        <v>1250</v>
      </c>
      <c r="V1698" s="6">
        <v>17.11</v>
      </c>
      <c r="W1698" s="6">
        <v>29</v>
      </c>
      <c r="X1698" s="6">
        <v>454</v>
      </c>
      <c r="Y1698" s="6">
        <v>758</v>
      </c>
      <c r="Z1698" s="6">
        <v>9</v>
      </c>
      <c r="AA1698" s="6">
        <v>0</v>
      </c>
      <c r="AB1698" s="6">
        <v>0</v>
      </c>
      <c r="AC1698" s="7">
        <v>29</v>
      </c>
      <c r="AD1698" s="7" t="s">
        <v>52</v>
      </c>
      <c r="AE1698" s="7">
        <v>19.2</v>
      </c>
      <c r="AF1698" s="76">
        <v>409.8</v>
      </c>
      <c r="AG1698" s="7">
        <v>34.74</v>
      </c>
      <c r="AH1698" s="7">
        <v>32.86</v>
      </c>
      <c r="AI1698" s="7">
        <v>37.840000000000003</v>
      </c>
      <c r="AJ1698" s="9">
        <v>304.867924334544</v>
      </c>
      <c r="AK1698" s="9">
        <v>306.91410749192602</v>
      </c>
      <c r="AL1698" s="9">
        <v>342.26626005129702</v>
      </c>
      <c r="AM1698" s="9">
        <v>57.196471580474601</v>
      </c>
      <c r="AN1698" s="9">
        <v>1.97229212346464</v>
      </c>
      <c r="AO1698" s="9">
        <v>1.7098579558829301</v>
      </c>
      <c r="AP1698" s="9">
        <v>509.58481625591702</v>
      </c>
      <c r="AQ1698" s="9">
        <v>17.5718902157213</v>
      </c>
      <c r="AR1698" s="9">
        <v>23.649198888226501</v>
      </c>
      <c r="AS1698" s="73" t="s">
        <v>169</v>
      </c>
      <c r="AT1698" s="8" t="s">
        <v>169</v>
      </c>
      <c r="AU1698" s="10" t="s">
        <v>169</v>
      </c>
      <c r="AV1698" s="10">
        <v>0</v>
      </c>
      <c r="AX1698" s="10" t="s">
        <v>169</v>
      </c>
      <c r="BF1698" s="12">
        <v>0.46</v>
      </c>
      <c r="BG1698" s="13">
        <v>274.21231867776402</v>
      </c>
      <c r="BH1698" s="96" t="str">
        <f>+VLOOKUP(G1698,Liste!$A$7:$G$50,3,FALSE)</f>
        <v>Pin Maritime</v>
      </c>
      <c r="BI1698" s="96" t="str">
        <f>+VLOOKUP(H1698,Liste!$B$7:$G$50,5,FALSE)</f>
        <v>Landes</v>
      </c>
      <c r="BJ1698" s="135">
        <f t="shared" si="513"/>
        <v>29</v>
      </c>
      <c r="BK1698" s="135" t="str">
        <f t="shared" si="515"/>
        <v>Pin Maritime_F3_Classique_Landes_29_</v>
      </c>
      <c r="BM1698" s="13">
        <v>70.128416775275994</v>
      </c>
      <c r="BN1698" s="13">
        <v>344.34073545304</v>
      </c>
      <c r="BO1698" s="13" t="s">
        <v>169</v>
      </c>
      <c r="BP1698" s="13">
        <v>248.80925905886301</v>
      </c>
      <c r="BQ1698" s="13">
        <v>23.0031555504114</v>
      </c>
      <c r="BT1698" s="298" t="str">
        <f>+VLOOKUP(G1698,Liste!$A$7:$H$50,8,FALSE)</f>
        <v>Résineux</v>
      </c>
      <c r="BU1698" s="298">
        <f t="shared" si="516"/>
        <v>0</v>
      </c>
      <c r="BV1698" s="300">
        <f t="shared" si="517"/>
        <v>1</v>
      </c>
      <c r="BW1698" s="321">
        <v>0</v>
      </c>
      <c r="BX1698" s="298">
        <f t="shared" si="518"/>
        <v>0.43</v>
      </c>
      <c r="BY1698">
        <f t="shared" si="519"/>
        <v>0</v>
      </c>
      <c r="BZ1698" s="304">
        <f t="shared" si="520"/>
        <v>59.729333869938571</v>
      </c>
      <c r="CB1698" s="299">
        <v>0.6</v>
      </c>
      <c r="CC1698" s="299">
        <v>0.4</v>
      </c>
      <c r="CD1698">
        <f t="shared" si="521"/>
        <v>0</v>
      </c>
      <c r="CE1698">
        <f t="shared" si="522"/>
        <v>0</v>
      </c>
      <c r="CF1698">
        <f t="shared" si="523"/>
        <v>0</v>
      </c>
      <c r="CG1698">
        <f t="shared" si="524"/>
        <v>0</v>
      </c>
      <c r="CH1698">
        <f t="shared" si="525"/>
        <v>0</v>
      </c>
      <c r="CI1698">
        <f t="shared" si="526"/>
        <v>0</v>
      </c>
      <c r="CJ1698">
        <f t="shared" si="527"/>
        <v>0</v>
      </c>
      <c r="CK1698">
        <f t="shared" si="528"/>
        <v>53.118719211959792</v>
      </c>
      <c r="CL1698">
        <f t="shared" si="529"/>
        <v>6.2258180787214599</v>
      </c>
      <c r="CM1698">
        <f t="shared" si="531"/>
        <v>59.344537290681252</v>
      </c>
      <c r="CN1698">
        <f t="shared" si="530"/>
        <v>632.28025158123558</v>
      </c>
      <c r="CO1698">
        <f t="shared" si="514"/>
        <v>0</v>
      </c>
    </row>
    <row r="1699" spans="1:93" x14ac:dyDescent="0.25">
      <c r="A1699" s="4">
        <v>2021</v>
      </c>
      <c r="B1699" s="318">
        <v>44425</v>
      </c>
      <c r="C1699" s="4" t="s">
        <v>418</v>
      </c>
      <c r="D1699" s="4" t="s">
        <v>1540</v>
      </c>
      <c r="F1699" s="4" t="s">
        <v>90</v>
      </c>
      <c r="G1699" s="5" t="s">
        <v>419</v>
      </c>
      <c r="H1699" s="5" t="s">
        <v>1541</v>
      </c>
      <c r="I1699" s="5" t="s">
        <v>18</v>
      </c>
      <c r="J1699" s="5" t="s">
        <v>144</v>
      </c>
      <c r="K1699" s="5">
        <v>23.5</v>
      </c>
      <c r="L1699" s="5" t="s">
        <v>1503</v>
      </c>
      <c r="M1699" s="5">
        <v>1250</v>
      </c>
      <c r="N1699" s="5" t="s">
        <v>171</v>
      </c>
      <c r="O1699" s="6" t="s">
        <v>81</v>
      </c>
      <c r="P1699" s="6" t="s">
        <v>1542</v>
      </c>
      <c r="S1699" s="6">
        <v>12</v>
      </c>
      <c r="T1699" s="6">
        <v>8.6199999999999992</v>
      </c>
      <c r="U1699" s="6">
        <v>1250</v>
      </c>
      <c r="V1699" s="6">
        <v>17.11</v>
      </c>
      <c r="W1699" s="6">
        <v>29</v>
      </c>
      <c r="X1699" s="6">
        <v>454</v>
      </c>
      <c r="Y1699" s="6">
        <v>758</v>
      </c>
      <c r="Z1699" s="6">
        <v>9</v>
      </c>
      <c r="AA1699" s="6">
        <v>0</v>
      </c>
      <c r="AB1699" s="6">
        <v>0</v>
      </c>
      <c r="AC1699" s="7">
        <v>30</v>
      </c>
      <c r="AD1699" s="7" t="s">
        <v>52</v>
      </c>
      <c r="AE1699" s="7">
        <v>19.649999999999999</v>
      </c>
      <c r="AF1699" s="76">
        <v>409.8</v>
      </c>
      <c r="AG1699" s="7">
        <v>36.47</v>
      </c>
      <c r="AH1699" s="7">
        <v>33.659999999999997</v>
      </c>
      <c r="AI1699" s="7">
        <v>38.869999999999997</v>
      </c>
      <c r="AJ1699" s="9">
        <v>327.17633877703503</v>
      </c>
      <c r="AK1699" s="9">
        <v>329.33206498770198</v>
      </c>
      <c r="AL1699" s="9">
        <v>365.91545893952298</v>
      </c>
      <c r="AM1699" s="9" t="s">
        <v>169</v>
      </c>
      <c r="AN1699" s="9" t="s">
        <v>169</v>
      </c>
      <c r="AO1699" s="9" t="s">
        <v>169</v>
      </c>
      <c r="AP1699" s="9" t="s">
        <v>169</v>
      </c>
      <c r="AQ1699" s="9" t="s">
        <v>169</v>
      </c>
      <c r="AR1699" s="9" t="s">
        <v>169</v>
      </c>
      <c r="AS1699" s="73" t="s">
        <v>169</v>
      </c>
      <c r="AT1699" s="8" t="s">
        <v>169</v>
      </c>
      <c r="AU1699" s="10" t="s">
        <v>169</v>
      </c>
      <c r="AV1699" s="10">
        <v>0</v>
      </c>
      <c r="AX1699" s="10" t="s">
        <v>169</v>
      </c>
      <c r="BF1699" s="12">
        <v>0.46</v>
      </c>
      <c r="BG1699" s="13">
        <v>293.15926852038098</v>
      </c>
      <c r="BH1699" s="96" t="str">
        <f>+VLOOKUP(G1699,Liste!$A$7:$G$50,3,FALSE)</f>
        <v>Pin Maritime</v>
      </c>
      <c r="BI1699" s="96" t="str">
        <f>+VLOOKUP(H1699,Liste!$B$7:$G$50,5,FALSE)</f>
        <v>Landes</v>
      </c>
      <c r="BJ1699" s="135">
        <f t="shared" si="513"/>
        <v>30</v>
      </c>
      <c r="BK1699" s="135" t="str">
        <f t="shared" si="515"/>
        <v>Pin Maritime_F3_Classique_Landes_30_</v>
      </c>
      <c r="BM1699" s="13">
        <v>74.361920864744107</v>
      </c>
      <c r="BN1699" s="13">
        <v>367.52118938512501</v>
      </c>
      <c r="BO1699" s="13" t="s">
        <v>169</v>
      </c>
      <c r="BP1699" s="13">
        <v>248.80925905886301</v>
      </c>
      <c r="BQ1699" s="13" t="s">
        <v>169</v>
      </c>
      <c r="BT1699" s="298" t="str">
        <f>+VLOOKUP(G1699,Liste!$A$7:$H$50,8,FALSE)</f>
        <v>Résineux</v>
      </c>
      <c r="BU1699" s="298">
        <f t="shared" si="516"/>
        <v>0</v>
      </c>
      <c r="BV1699" s="300">
        <f t="shared" si="517"/>
        <v>1</v>
      </c>
      <c r="BW1699" s="321">
        <v>0</v>
      </c>
      <c r="BX1699" s="298">
        <f t="shared" si="518"/>
        <v>0.43</v>
      </c>
      <c r="BY1699">
        <f t="shared" si="519"/>
        <v>0</v>
      </c>
      <c r="BZ1699" s="304">
        <f t="shared" si="520"/>
        <v>59.729333869938571</v>
      </c>
      <c r="CB1699" s="299">
        <v>0.6</v>
      </c>
      <c r="CC1699" s="299">
        <v>0.4</v>
      </c>
      <c r="CD1699">
        <f t="shared" si="521"/>
        <v>0</v>
      </c>
      <c r="CE1699">
        <f t="shared" si="522"/>
        <v>0</v>
      </c>
      <c r="CF1699">
        <f t="shared" si="523"/>
        <v>0</v>
      </c>
      <c r="CG1699">
        <f t="shared" si="524"/>
        <v>0</v>
      </c>
      <c r="CH1699">
        <f t="shared" si="525"/>
        <v>0</v>
      </c>
      <c r="CI1699">
        <f t="shared" si="526"/>
        <v>0</v>
      </c>
      <c r="CJ1699">
        <f t="shared" si="527"/>
        <v>0</v>
      </c>
      <c r="CK1699">
        <f t="shared" si="528"/>
        <v>51.666185041716716</v>
      </c>
      <c r="CL1699">
        <f t="shared" si="529"/>
        <v>4.4023181818977477</v>
      </c>
      <c r="CM1699">
        <f t="shared" si="531"/>
        <v>56.068503223614464</v>
      </c>
      <c r="CN1699">
        <f t="shared" si="530"/>
        <v>688.34875480485005</v>
      </c>
      <c r="CO1699">
        <f t="shared" si="514"/>
        <v>22.944958493495001</v>
      </c>
    </row>
    <row r="1700" spans="1:93" x14ac:dyDescent="0.25">
      <c r="A1700" s="4">
        <v>2021</v>
      </c>
      <c r="B1700" s="318">
        <v>44425</v>
      </c>
      <c r="C1700" s="4" t="s">
        <v>418</v>
      </c>
      <c r="D1700" s="4" t="s">
        <v>1540</v>
      </c>
      <c r="F1700" s="4" t="s">
        <v>90</v>
      </c>
      <c r="G1700" s="5" t="s">
        <v>419</v>
      </c>
      <c r="H1700" s="5" t="s">
        <v>1541</v>
      </c>
      <c r="I1700" s="5" t="s">
        <v>18</v>
      </c>
      <c r="J1700" s="5" t="s">
        <v>144</v>
      </c>
      <c r="K1700" s="5">
        <v>23.5</v>
      </c>
      <c r="L1700" s="5" t="s">
        <v>1503</v>
      </c>
      <c r="M1700" s="5">
        <v>1250</v>
      </c>
      <c r="N1700" s="5" t="s">
        <v>171</v>
      </c>
      <c r="O1700" s="6" t="s">
        <v>81</v>
      </c>
      <c r="P1700" s="6" t="s">
        <v>1542</v>
      </c>
      <c r="S1700" s="6">
        <v>12</v>
      </c>
      <c r="T1700" s="6">
        <v>8.6199999999999992</v>
      </c>
      <c r="U1700" s="6">
        <v>1250</v>
      </c>
      <c r="V1700" s="6">
        <v>17.11</v>
      </c>
      <c r="W1700" s="6">
        <v>29</v>
      </c>
      <c r="X1700" s="6">
        <v>454</v>
      </c>
      <c r="Y1700" s="6">
        <v>758</v>
      </c>
      <c r="Z1700" s="6">
        <v>9</v>
      </c>
      <c r="AA1700" s="6">
        <v>0</v>
      </c>
      <c r="AB1700" s="6">
        <v>0</v>
      </c>
      <c r="AC1700" s="7">
        <v>31</v>
      </c>
      <c r="AD1700" s="7" t="s">
        <v>52</v>
      </c>
      <c r="AE1700" s="7">
        <v>20.09</v>
      </c>
      <c r="AF1700" s="76">
        <v>409.8</v>
      </c>
      <c r="AG1700" s="7">
        <v>38.18</v>
      </c>
      <c r="AH1700" s="7">
        <v>34.44</v>
      </c>
      <c r="AI1700" s="7">
        <v>39.869999999999997</v>
      </c>
      <c r="AJ1700" s="9">
        <v>349.484753219526</v>
      </c>
      <c r="AK1700" s="9">
        <v>351.75002248347801</v>
      </c>
      <c r="AL1700" s="9">
        <v>389.56465782775001</v>
      </c>
      <c r="AM1700" s="9" t="s">
        <v>169</v>
      </c>
      <c r="AN1700" s="9" t="s">
        <v>169</v>
      </c>
      <c r="AO1700" s="9" t="s">
        <v>169</v>
      </c>
      <c r="AP1700" s="9" t="s">
        <v>169</v>
      </c>
      <c r="AQ1700" s="9" t="s">
        <v>169</v>
      </c>
      <c r="AR1700" s="9" t="s">
        <v>169</v>
      </c>
      <c r="AS1700" s="73" t="s">
        <v>169</v>
      </c>
      <c r="AT1700" s="8" t="s">
        <v>169</v>
      </c>
      <c r="AU1700" s="10" t="s">
        <v>169</v>
      </c>
      <c r="AV1700" s="10">
        <v>0</v>
      </c>
      <c r="AX1700" s="10" t="s">
        <v>169</v>
      </c>
      <c r="BF1700" s="12">
        <v>0.46</v>
      </c>
      <c r="BG1700" s="13">
        <v>312.10621836299902</v>
      </c>
      <c r="BH1700" s="96" t="str">
        <f>+VLOOKUP(G1700,Liste!$A$7:$G$50,3,FALSE)</f>
        <v>Pin Maritime</v>
      </c>
      <c r="BI1700" s="96" t="str">
        <f>+VLOOKUP(H1700,Liste!$B$7:$G$50,5,FALSE)</f>
        <v>Landes</v>
      </c>
      <c r="BJ1700" s="135">
        <f t="shared" si="513"/>
        <v>31</v>
      </c>
      <c r="BK1700" s="135" t="str">
        <f t="shared" si="515"/>
        <v>Pin Maritime_F3_Classique_Landes_31_</v>
      </c>
      <c r="BM1700" s="13">
        <v>78.595424954212305</v>
      </c>
      <c r="BN1700" s="13">
        <v>390.70164331721099</v>
      </c>
      <c r="BO1700" s="13" t="s">
        <v>169</v>
      </c>
      <c r="BP1700" s="13">
        <v>248.80925905886301</v>
      </c>
      <c r="BQ1700" s="13" t="s">
        <v>169</v>
      </c>
      <c r="BT1700" s="298" t="str">
        <f>+VLOOKUP(G1700,Liste!$A$7:$H$50,8,FALSE)</f>
        <v>Résineux</v>
      </c>
      <c r="BU1700" s="298">
        <f t="shared" si="516"/>
        <v>0</v>
      </c>
      <c r="BV1700" s="300">
        <f t="shared" si="517"/>
        <v>1</v>
      </c>
      <c r="BW1700" s="321">
        <v>0</v>
      </c>
      <c r="BX1700" s="298">
        <f t="shared" si="518"/>
        <v>0.43</v>
      </c>
      <c r="BY1700">
        <f t="shared" si="519"/>
        <v>0</v>
      </c>
      <c r="BZ1700" s="304">
        <f t="shared" si="520"/>
        <v>0</v>
      </c>
      <c r="CB1700" s="299">
        <v>0.6</v>
      </c>
      <c r="CC1700" s="299">
        <v>0.4</v>
      </c>
      <c r="CD1700">
        <f t="shared" si="521"/>
        <v>0</v>
      </c>
      <c r="CE1700">
        <f t="shared" si="522"/>
        <v>0</v>
      </c>
      <c r="CF1700">
        <f t="shared" si="523"/>
        <v>0</v>
      </c>
      <c r="CG1700">
        <f t="shared" si="524"/>
        <v>0</v>
      </c>
      <c r="CH1700">
        <f t="shared" si="525"/>
        <v>0</v>
      </c>
      <c r="CI1700">
        <f t="shared" si="526"/>
        <v>0</v>
      </c>
      <c r="CJ1700">
        <f t="shared" si="527"/>
        <v>0</v>
      </c>
      <c r="CK1700">
        <f t="shared" si="528"/>
        <v>50.253370494744388</v>
      </c>
      <c r="CL1700">
        <f t="shared" si="529"/>
        <v>3.1129090393607308</v>
      </c>
      <c r="CM1700">
        <f t="shared" si="531"/>
        <v>53.366279534105118</v>
      </c>
      <c r="CN1700">
        <f t="shared" si="530"/>
        <v>741.71503433895521</v>
      </c>
      <c r="CO1700">
        <f t="shared" si="514"/>
        <v>0</v>
      </c>
    </row>
    <row r="1701" spans="1:93" x14ac:dyDescent="0.25">
      <c r="A1701" s="4">
        <v>2021</v>
      </c>
      <c r="B1701" s="318">
        <v>44425</v>
      </c>
      <c r="C1701" s="4" t="s">
        <v>418</v>
      </c>
      <c r="D1701" s="4" t="s">
        <v>1540</v>
      </c>
      <c r="F1701" s="4" t="s">
        <v>90</v>
      </c>
      <c r="G1701" s="5" t="s">
        <v>419</v>
      </c>
      <c r="H1701" s="5" t="s">
        <v>1541</v>
      </c>
      <c r="I1701" s="5" t="s">
        <v>18</v>
      </c>
      <c r="J1701" s="5" t="s">
        <v>144</v>
      </c>
      <c r="K1701" s="5">
        <v>23.5</v>
      </c>
      <c r="L1701" s="5" t="s">
        <v>1503</v>
      </c>
      <c r="M1701" s="5">
        <v>1250</v>
      </c>
      <c r="N1701" s="5" t="s">
        <v>171</v>
      </c>
      <c r="O1701" s="6" t="s">
        <v>81</v>
      </c>
      <c r="P1701" s="6" t="s">
        <v>1542</v>
      </c>
      <c r="S1701" s="6">
        <v>12</v>
      </c>
      <c r="T1701" s="6">
        <v>8.6199999999999992</v>
      </c>
      <c r="U1701" s="6">
        <v>1250</v>
      </c>
      <c r="V1701" s="6">
        <v>17.11</v>
      </c>
      <c r="W1701" s="6">
        <v>29</v>
      </c>
      <c r="X1701" s="6">
        <v>454</v>
      </c>
      <c r="Y1701" s="6">
        <v>758</v>
      </c>
      <c r="Z1701" s="6">
        <v>9</v>
      </c>
      <c r="AA1701" s="6">
        <v>0</v>
      </c>
      <c r="AB1701" s="6">
        <v>0</v>
      </c>
      <c r="AC1701" s="7">
        <v>32</v>
      </c>
      <c r="AD1701" s="7" t="s">
        <v>52</v>
      </c>
      <c r="AE1701" s="7">
        <v>20.53</v>
      </c>
      <c r="AF1701" s="76">
        <v>409.8</v>
      </c>
      <c r="AG1701" s="7">
        <v>39.869999999999997</v>
      </c>
      <c r="AH1701" s="7">
        <v>35.200000000000003</v>
      </c>
      <c r="AI1701" s="7">
        <v>40.85</v>
      </c>
      <c r="AJ1701" s="9">
        <v>371.793167662016</v>
      </c>
      <c r="AK1701" s="9">
        <v>374.16797997925403</v>
      </c>
      <c r="AL1701" s="9">
        <v>413.21385671597602</v>
      </c>
      <c r="AM1701" s="9">
        <v>62.326045448123402</v>
      </c>
      <c r="AN1701" s="9">
        <v>1.9476889202538601</v>
      </c>
      <c r="AO1701" s="9">
        <v>1.3673925457466001</v>
      </c>
      <c r="AP1701" s="9">
        <v>580.53241292059602</v>
      </c>
      <c r="AQ1701" s="9">
        <v>18.141637903768601</v>
      </c>
      <c r="AR1701" s="9">
        <v>20.289382682968299</v>
      </c>
      <c r="AS1701" s="73" t="s">
        <v>169</v>
      </c>
      <c r="AT1701" s="8" t="s">
        <v>169</v>
      </c>
      <c r="AU1701" s="10" t="s">
        <v>169</v>
      </c>
      <c r="AV1701" s="10">
        <v>0</v>
      </c>
      <c r="AX1701" s="10" t="s">
        <v>169</v>
      </c>
      <c r="BF1701" s="12">
        <v>0.46</v>
      </c>
      <c r="BG1701" s="13">
        <v>331.05316820561598</v>
      </c>
      <c r="BH1701" s="96" t="str">
        <f>+VLOOKUP(G1701,Liste!$A$7:$G$50,3,FALSE)</f>
        <v>Pin Maritime</v>
      </c>
      <c r="BI1701" s="96" t="str">
        <f>+VLOOKUP(H1701,Liste!$B$7:$G$50,5,FALSE)</f>
        <v>Landes</v>
      </c>
      <c r="BJ1701" s="135">
        <f t="shared" si="513"/>
        <v>32</v>
      </c>
      <c r="BK1701" s="135" t="str">
        <f t="shared" si="515"/>
        <v>Pin Maritime_F3_Classique_Landes_32_</v>
      </c>
      <c r="BM1701" s="13">
        <v>82.828929043680503</v>
      </c>
      <c r="BN1701" s="13">
        <v>413.88209724929698</v>
      </c>
      <c r="BO1701" s="13" t="s">
        <v>169</v>
      </c>
      <c r="BP1701" s="13">
        <v>248.80925905886301</v>
      </c>
      <c r="BQ1701" s="13">
        <v>19.670168097869698</v>
      </c>
      <c r="BT1701" s="298" t="str">
        <f>+VLOOKUP(G1701,Liste!$A$7:$H$50,8,FALSE)</f>
        <v>Résineux</v>
      </c>
      <c r="BU1701" s="298">
        <f t="shared" si="516"/>
        <v>0</v>
      </c>
      <c r="BV1701" s="300">
        <f t="shared" si="517"/>
        <v>1</v>
      </c>
      <c r="BW1701" s="321">
        <v>0</v>
      </c>
      <c r="BX1701" s="298">
        <f t="shared" si="518"/>
        <v>0.43</v>
      </c>
      <c r="BY1701">
        <f t="shared" si="519"/>
        <v>0</v>
      </c>
      <c r="BZ1701" s="304">
        <f t="shared" si="520"/>
        <v>0</v>
      </c>
      <c r="CB1701" s="299">
        <v>0.6</v>
      </c>
      <c r="CC1701" s="299">
        <v>0.4</v>
      </c>
      <c r="CD1701">
        <f t="shared" si="521"/>
        <v>0</v>
      </c>
      <c r="CE1701">
        <f t="shared" si="522"/>
        <v>0</v>
      </c>
      <c r="CF1701">
        <f t="shared" si="523"/>
        <v>0</v>
      </c>
      <c r="CG1701">
        <f t="shared" si="524"/>
        <v>0</v>
      </c>
      <c r="CH1701">
        <f t="shared" si="525"/>
        <v>0</v>
      </c>
      <c r="CI1701">
        <f t="shared" si="526"/>
        <v>0</v>
      </c>
      <c r="CJ1701">
        <f t="shared" si="527"/>
        <v>0</v>
      </c>
      <c r="CK1701">
        <f t="shared" si="528"/>
        <v>0</v>
      </c>
      <c r="CL1701">
        <f t="shared" si="529"/>
        <v>0</v>
      </c>
      <c r="CM1701">
        <f t="shared" si="531"/>
        <v>0</v>
      </c>
      <c r="CN1701">
        <f t="shared" si="530"/>
        <v>0</v>
      </c>
      <c r="CO1701">
        <f t="shared" si="514"/>
        <v>0</v>
      </c>
    </row>
    <row r="1702" spans="1:93" x14ac:dyDescent="0.25">
      <c r="A1702" s="4">
        <v>2021</v>
      </c>
      <c r="B1702" s="318">
        <v>44425</v>
      </c>
      <c r="C1702" s="4" t="s">
        <v>418</v>
      </c>
      <c r="D1702" s="4" t="s">
        <v>1540</v>
      </c>
      <c r="F1702" s="4" t="s">
        <v>90</v>
      </c>
      <c r="G1702" s="5" t="s">
        <v>419</v>
      </c>
      <c r="H1702" s="5" t="s">
        <v>1541</v>
      </c>
      <c r="I1702" s="5" t="s">
        <v>18</v>
      </c>
      <c r="J1702" s="5" t="s">
        <v>144</v>
      </c>
      <c r="K1702" s="5">
        <v>23.5</v>
      </c>
      <c r="L1702" s="5" t="s">
        <v>1503</v>
      </c>
      <c r="M1702" s="5">
        <v>1250</v>
      </c>
      <c r="N1702" s="5" t="s">
        <v>171</v>
      </c>
      <c r="O1702" s="6" t="s">
        <v>81</v>
      </c>
      <c r="P1702" s="6" t="s">
        <v>1542</v>
      </c>
      <c r="S1702" s="6">
        <v>12</v>
      </c>
      <c r="T1702" s="6">
        <v>8.6199999999999992</v>
      </c>
      <c r="U1702" s="6">
        <v>1250</v>
      </c>
      <c r="V1702" s="6">
        <v>17.11</v>
      </c>
      <c r="W1702" s="6">
        <v>29</v>
      </c>
      <c r="X1702" s="6">
        <v>454</v>
      </c>
      <c r="Y1702" s="6">
        <v>758</v>
      </c>
      <c r="Z1702" s="6">
        <v>9</v>
      </c>
      <c r="AA1702" s="6">
        <v>0</v>
      </c>
      <c r="AB1702" s="6">
        <v>0</v>
      </c>
      <c r="AC1702" s="7">
        <v>32</v>
      </c>
      <c r="AD1702" s="7" t="s">
        <v>53</v>
      </c>
      <c r="AE1702" s="7">
        <v>20.45</v>
      </c>
      <c r="AF1702" s="76">
        <v>299</v>
      </c>
      <c r="AG1702" s="7">
        <v>30.51</v>
      </c>
      <c r="AH1702" s="7">
        <v>36.049999999999997</v>
      </c>
      <c r="AI1702" s="7">
        <v>40.35</v>
      </c>
      <c r="AJ1702" s="9">
        <v>286.60921107736499</v>
      </c>
      <c r="AK1702" s="9">
        <v>288.44655663111899</v>
      </c>
      <c r="AL1702" s="9">
        <v>318.01472242794102</v>
      </c>
      <c r="AM1702" s="9">
        <v>62.326045448123402</v>
      </c>
      <c r="AN1702" s="9">
        <v>1.9476889202538601</v>
      </c>
      <c r="AO1702" s="9">
        <v>1.3673925457466001</v>
      </c>
      <c r="AP1702" s="9">
        <v>580.53241292059602</v>
      </c>
      <c r="AQ1702" s="9">
        <v>18.141637903768601</v>
      </c>
      <c r="AR1702" s="9">
        <v>20.289382682968299</v>
      </c>
      <c r="AS1702" s="73">
        <v>110.80000000000001</v>
      </c>
      <c r="AT1702" s="8">
        <v>9.3599999999999959</v>
      </c>
      <c r="AU1702" s="10">
        <v>32.796168079194878</v>
      </c>
      <c r="AV1702" s="10">
        <v>85.183956584651014</v>
      </c>
      <c r="AW1702" s="8">
        <v>0.87</v>
      </c>
      <c r="AX1702" s="10">
        <v>0.76880827242464811</v>
      </c>
      <c r="BF1702" s="12">
        <v>0.46</v>
      </c>
      <c r="BG1702" s="13">
        <v>254.782795118519</v>
      </c>
      <c r="BH1702" s="96" t="str">
        <f>+VLOOKUP(G1702,Liste!$A$7:$G$50,3,FALSE)</f>
        <v>Pin Maritime</v>
      </c>
      <c r="BI1702" s="96" t="str">
        <f>+VLOOKUP(H1702,Liste!$B$7:$G$50,5,FALSE)</f>
        <v>Landes</v>
      </c>
      <c r="BJ1702" s="135">
        <f t="shared" si="513"/>
        <v>32</v>
      </c>
      <c r="BK1702" s="135" t="str">
        <f t="shared" si="515"/>
        <v>Pin Maritime_F3_Classique_Landes_32_</v>
      </c>
      <c r="BM1702" s="13">
        <v>65.719203903567305</v>
      </c>
      <c r="BN1702" s="13">
        <v>320.50199902208601</v>
      </c>
      <c r="BO1702" s="13">
        <v>93.380098227210965</v>
      </c>
      <c r="BP1702" s="13">
        <v>248.80925905886301</v>
      </c>
      <c r="BQ1702" s="13">
        <v>19.670168097869698</v>
      </c>
      <c r="BT1702" s="298" t="str">
        <f>+VLOOKUP(G1702,Liste!$A$7:$H$50,8,FALSE)</f>
        <v>Résineux</v>
      </c>
      <c r="BU1702" s="298">
        <f t="shared" si="516"/>
        <v>0</v>
      </c>
      <c r="BV1702" s="300">
        <f t="shared" si="517"/>
        <v>1</v>
      </c>
      <c r="BW1702" s="321">
        <v>0</v>
      </c>
      <c r="BX1702" s="298">
        <f t="shared" si="518"/>
        <v>0.43</v>
      </c>
      <c r="BY1702">
        <f t="shared" si="519"/>
        <v>0</v>
      </c>
      <c r="BZ1702" s="304">
        <f t="shared" si="520"/>
        <v>0</v>
      </c>
      <c r="CB1702" s="299">
        <v>0.6</v>
      </c>
      <c r="CC1702" s="299">
        <v>0.4</v>
      </c>
      <c r="CD1702">
        <f t="shared" si="521"/>
        <v>0</v>
      </c>
      <c r="CE1702">
        <f t="shared" si="522"/>
        <v>0</v>
      </c>
      <c r="CF1702">
        <f t="shared" si="523"/>
        <v>0</v>
      </c>
      <c r="CG1702">
        <f t="shared" si="524"/>
        <v>0</v>
      </c>
      <c r="CH1702">
        <f t="shared" si="525"/>
        <v>0</v>
      </c>
      <c r="CI1702">
        <f t="shared" si="526"/>
        <v>0</v>
      </c>
      <c r="CJ1702">
        <f t="shared" si="527"/>
        <v>0</v>
      </c>
      <c r="CK1702">
        <f t="shared" si="528"/>
        <v>0</v>
      </c>
      <c r="CL1702">
        <f t="shared" si="529"/>
        <v>0</v>
      </c>
      <c r="CM1702">
        <f t="shared" si="531"/>
        <v>0</v>
      </c>
      <c r="CN1702">
        <f t="shared" si="530"/>
        <v>0</v>
      </c>
      <c r="CO1702">
        <f t="shared" si="514"/>
        <v>0</v>
      </c>
    </row>
    <row r="1703" spans="1:93" x14ac:dyDescent="0.25">
      <c r="A1703" s="4">
        <v>2021</v>
      </c>
      <c r="B1703" s="318">
        <v>44425</v>
      </c>
      <c r="C1703" s="4" t="s">
        <v>418</v>
      </c>
      <c r="D1703" s="4" t="s">
        <v>1540</v>
      </c>
      <c r="F1703" s="4" t="s">
        <v>90</v>
      </c>
      <c r="G1703" s="5" t="s">
        <v>419</v>
      </c>
      <c r="H1703" s="5" t="s">
        <v>1541</v>
      </c>
      <c r="I1703" s="5" t="s">
        <v>18</v>
      </c>
      <c r="J1703" s="5" t="s">
        <v>144</v>
      </c>
      <c r="K1703" s="5">
        <v>23.5</v>
      </c>
      <c r="L1703" s="5" t="s">
        <v>1503</v>
      </c>
      <c r="M1703" s="5">
        <v>1250</v>
      </c>
      <c r="N1703" s="5" t="s">
        <v>171</v>
      </c>
      <c r="O1703" s="6" t="s">
        <v>81</v>
      </c>
      <c r="P1703" s="6" t="s">
        <v>1542</v>
      </c>
      <c r="S1703" s="6">
        <v>12</v>
      </c>
      <c r="T1703" s="6">
        <v>8.6199999999999992</v>
      </c>
      <c r="U1703" s="6">
        <v>1250</v>
      </c>
      <c r="V1703" s="6">
        <v>17.11</v>
      </c>
      <c r="W1703" s="6">
        <v>29</v>
      </c>
      <c r="X1703" s="6">
        <v>454</v>
      </c>
      <c r="Y1703" s="6">
        <v>758</v>
      </c>
      <c r="Z1703" s="6">
        <v>9</v>
      </c>
      <c r="AA1703" s="6">
        <v>0</v>
      </c>
      <c r="AB1703" s="6">
        <v>0</v>
      </c>
      <c r="AC1703" s="7">
        <v>33</v>
      </c>
      <c r="AD1703" s="7" t="s">
        <v>52</v>
      </c>
      <c r="AE1703" s="7">
        <v>20.94</v>
      </c>
      <c r="AF1703" s="76">
        <v>299</v>
      </c>
      <c r="AG1703" s="7">
        <v>31.9</v>
      </c>
      <c r="AH1703" s="7">
        <v>36.86</v>
      </c>
      <c r="AI1703" s="7">
        <v>41.34</v>
      </c>
      <c r="AJ1703" s="9">
        <v>305.61701367301703</v>
      </c>
      <c r="AK1703" s="9">
        <v>307.56781725582499</v>
      </c>
      <c r="AL1703" s="9">
        <v>338.30410511090901</v>
      </c>
      <c r="AM1703" s="9" t="s">
        <v>169</v>
      </c>
      <c r="AN1703" s="9" t="s">
        <v>169</v>
      </c>
      <c r="AO1703" s="9" t="s">
        <v>169</v>
      </c>
      <c r="AP1703" s="9" t="s">
        <v>169</v>
      </c>
      <c r="AQ1703" s="9" t="s">
        <v>169</v>
      </c>
      <c r="AR1703" s="9" t="s">
        <v>169</v>
      </c>
      <c r="AS1703" s="73" t="s">
        <v>169</v>
      </c>
      <c r="AT1703" s="8" t="s">
        <v>169</v>
      </c>
      <c r="AU1703" s="10" t="s">
        <v>169</v>
      </c>
      <c r="AV1703" s="10">
        <v>0</v>
      </c>
      <c r="AX1703" s="10" t="s">
        <v>169</v>
      </c>
      <c r="BF1703" s="12">
        <v>0.46</v>
      </c>
      <c r="BG1703" s="13">
        <v>271.03797221135699</v>
      </c>
      <c r="BH1703" s="96" t="str">
        <f>+VLOOKUP(G1703,Liste!$A$7:$G$50,3,FALSE)</f>
        <v>Pin Maritime</v>
      </c>
      <c r="BI1703" s="96" t="str">
        <f>+VLOOKUP(H1703,Liste!$B$7:$G$50,5,FALSE)</f>
        <v>Landes</v>
      </c>
      <c r="BJ1703" s="135">
        <f t="shared" si="513"/>
        <v>33</v>
      </c>
      <c r="BK1703" s="135" t="str">
        <f t="shared" si="515"/>
        <v>Pin Maritime_F3_Classique_Landes_33_</v>
      </c>
      <c r="BM1703" s="13">
        <v>69.351332955635897</v>
      </c>
      <c r="BN1703" s="13">
        <v>340.38930516699298</v>
      </c>
      <c r="BO1703" s="13" t="s">
        <v>169</v>
      </c>
      <c r="BP1703" s="13">
        <v>248.80925905886301</v>
      </c>
      <c r="BQ1703" s="13" t="s">
        <v>169</v>
      </c>
      <c r="BT1703" s="298" t="str">
        <f>+VLOOKUP(G1703,Liste!$A$7:$H$50,8,FALSE)</f>
        <v>Résineux</v>
      </c>
      <c r="BU1703" s="298">
        <f t="shared" si="516"/>
        <v>0</v>
      </c>
      <c r="BV1703" s="300">
        <f t="shared" si="517"/>
        <v>1</v>
      </c>
      <c r="BW1703" s="321">
        <v>0</v>
      </c>
      <c r="BX1703" s="298">
        <f t="shared" si="518"/>
        <v>0.43</v>
      </c>
      <c r="BY1703">
        <f t="shared" si="519"/>
        <v>0</v>
      </c>
      <c r="BZ1703" s="304">
        <f t="shared" si="520"/>
        <v>0</v>
      </c>
      <c r="CB1703" s="299">
        <v>0.6</v>
      </c>
      <c r="CC1703" s="299">
        <v>0.4</v>
      </c>
      <c r="CD1703">
        <f t="shared" si="521"/>
        <v>0</v>
      </c>
      <c r="CE1703">
        <f t="shared" si="522"/>
        <v>0</v>
      </c>
      <c r="CF1703">
        <f t="shared" si="523"/>
        <v>0</v>
      </c>
      <c r="CG1703">
        <f t="shared" si="524"/>
        <v>0</v>
      </c>
      <c r="CH1703">
        <f t="shared" si="525"/>
        <v>0</v>
      </c>
      <c r="CI1703">
        <f t="shared" si="526"/>
        <v>0</v>
      </c>
      <c r="CJ1703">
        <f t="shared" si="527"/>
        <v>0</v>
      </c>
      <c r="CK1703">
        <f t="shared" si="528"/>
        <v>0</v>
      </c>
      <c r="CL1703">
        <f t="shared" si="529"/>
        <v>0</v>
      </c>
      <c r="CM1703">
        <f t="shared" si="531"/>
        <v>0</v>
      </c>
      <c r="CN1703">
        <f t="shared" si="530"/>
        <v>0</v>
      </c>
      <c r="CO1703">
        <f t="shared" si="514"/>
        <v>0</v>
      </c>
    </row>
    <row r="1704" spans="1:93" x14ac:dyDescent="0.25">
      <c r="A1704" s="4">
        <v>2021</v>
      </c>
      <c r="B1704" s="318">
        <v>44425</v>
      </c>
      <c r="C1704" s="4" t="s">
        <v>418</v>
      </c>
      <c r="D1704" s="4" t="s">
        <v>1540</v>
      </c>
      <c r="F1704" s="4" t="s">
        <v>90</v>
      </c>
      <c r="G1704" s="5" t="s">
        <v>419</v>
      </c>
      <c r="H1704" s="5" t="s">
        <v>1541</v>
      </c>
      <c r="I1704" s="5" t="s">
        <v>18</v>
      </c>
      <c r="J1704" s="5" t="s">
        <v>144</v>
      </c>
      <c r="K1704" s="5">
        <v>23.5</v>
      </c>
      <c r="L1704" s="5" t="s">
        <v>1503</v>
      </c>
      <c r="M1704" s="5">
        <v>1250</v>
      </c>
      <c r="N1704" s="5" t="s">
        <v>171</v>
      </c>
      <c r="O1704" s="6" t="s">
        <v>81</v>
      </c>
      <c r="P1704" s="6" t="s">
        <v>1542</v>
      </c>
      <c r="S1704" s="6">
        <v>12</v>
      </c>
      <c r="T1704" s="6">
        <v>8.6199999999999992</v>
      </c>
      <c r="U1704" s="6">
        <v>1250</v>
      </c>
      <c r="V1704" s="6">
        <v>17.11</v>
      </c>
      <c r="W1704" s="6">
        <v>29</v>
      </c>
      <c r="X1704" s="6">
        <v>454</v>
      </c>
      <c r="Y1704" s="6">
        <v>758</v>
      </c>
      <c r="Z1704" s="6">
        <v>9</v>
      </c>
      <c r="AA1704" s="6">
        <v>0</v>
      </c>
      <c r="AB1704" s="6">
        <v>0</v>
      </c>
      <c r="AC1704" s="7">
        <v>34</v>
      </c>
      <c r="AD1704" s="7" t="s">
        <v>52</v>
      </c>
      <c r="AE1704" s="7">
        <v>21.34</v>
      </c>
      <c r="AF1704" s="76">
        <v>299</v>
      </c>
      <c r="AG1704" s="7">
        <v>33.28</v>
      </c>
      <c r="AH1704" s="7">
        <v>37.65</v>
      </c>
      <c r="AI1704" s="7">
        <v>42.31</v>
      </c>
      <c r="AJ1704" s="9">
        <v>324.62481626866901</v>
      </c>
      <c r="AK1704" s="9">
        <v>326.68907788053099</v>
      </c>
      <c r="AL1704" s="9">
        <v>358.59348779387801</v>
      </c>
      <c r="AM1704" s="9" t="s">
        <v>169</v>
      </c>
      <c r="AN1704" s="9" t="s">
        <v>169</v>
      </c>
      <c r="AO1704" s="9" t="s">
        <v>169</v>
      </c>
      <c r="AP1704" s="9" t="s">
        <v>169</v>
      </c>
      <c r="AQ1704" s="9" t="s">
        <v>169</v>
      </c>
      <c r="AR1704" s="9" t="s">
        <v>169</v>
      </c>
      <c r="AS1704" s="73" t="s">
        <v>169</v>
      </c>
      <c r="AT1704" s="8" t="s">
        <v>169</v>
      </c>
      <c r="AU1704" s="10" t="s">
        <v>169</v>
      </c>
      <c r="AV1704" s="10">
        <v>0</v>
      </c>
      <c r="AX1704" s="10" t="s">
        <v>169</v>
      </c>
      <c r="BF1704" s="12">
        <v>0.46</v>
      </c>
      <c r="BG1704" s="13">
        <v>287.29314930419503</v>
      </c>
      <c r="BH1704" s="96" t="str">
        <f>+VLOOKUP(G1704,Liste!$A$7:$G$50,3,FALSE)</f>
        <v>Pin Maritime</v>
      </c>
      <c r="BI1704" s="96" t="str">
        <f>+VLOOKUP(H1704,Liste!$B$7:$G$50,5,FALSE)</f>
        <v>Landes</v>
      </c>
      <c r="BJ1704" s="135">
        <f t="shared" si="513"/>
        <v>34</v>
      </c>
      <c r="BK1704" s="135" t="str">
        <f t="shared" si="515"/>
        <v>Pin Maritime_F3_Classique_Landes_34_</v>
      </c>
      <c r="BM1704" s="13">
        <v>72.983462007704503</v>
      </c>
      <c r="BN1704" s="13">
        <v>360.27661131189899</v>
      </c>
      <c r="BO1704" s="13" t="s">
        <v>169</v>
      </c>
      <c r="BP1704" s="13">
        <v>248.80925905886301</v>
      </c>
      <c r="BQ1704" s="13" t="s">
        <v>169</v>
      </c>
      <c r="BT1704" s="298" t="str">
        <f>+VLOOKUP(G1704,Liste!$A$7:$H$50,8,FALSE)</f>
        <v>Résineux</v>
      </c>
      <c r="BU1704" s="298">
        <f t="shared" si="516"/>
        <v>0</v>
      </c>
      <c r="BV1704" s="300">
        <f t="shared" si="517"/>
        <v>1</v>
      </c>
      <c r="BW1704" s="321">
        <v>0</v>
      </c>
      <c r="BX1704" s="298">
        <f t="shared" si="518"/>
        <v>0.43</v>
      </c>
      <c r="BY1704">
        <f t="shared" si="519"/>
        <v>0</v>
      </c>
      <c r="BZ1704" s="304">
        <f t="shared" si="520"/>
        <v>0</v>
      </c>
      <c r="CB1704" s="299">
        <v>0.6</v>
      </c>
      <c r="CC1704" s="299">
        <v>0.4</v>
      </c>
      <c r="CD1704">
        <f t="shared" si="521"/>
        <v>0</v>
      </c>
      <c r="CE1704">
        <f t="shared" si="522"/>
        <v>0</v>
      </c>
      <c r="CF1704">
        <f t="shared" si="523"/>
        <v>0</v>
      </c>
      <c r="CG1704">
        <f t="shared" si="524"/>
        <v>0</v>
      </c>
      <c r="CH1704">
        <f t="shared" si="525"/>
        <v>0</v>
      </c>
      <c r="CI1704">
        <f t="shared" si="526"/>
        <v>0</v>
      </c>
      <c r="CJ1704">
        <f t="shared" si="527"/>
        <v>0</v>
      </c>
      <c r="CK1704">
        <f t="shared" si="528"/>
        <v>0</v>
      </c>
      <c r="CL1704">
        <f t="shared" si="529"/>
        <v>0</v>
      </c>
      <c r="CM1704">
        <f t="shared" si="531"/>
        <v>0</v>
      </c>
      <c r="CN1704">
        <f t="shared" si="530"/>
        <v>0</v>
      </c>
      <c r="CO1704">
        <f t="shared" si="514"/>
        <v>0</v>
      </c>
    </row>
    <row r="1705" spans="1:93" x14ac:dyDescent="0.25">
      <c r="A1705" s="4">
        <v>2021</v>
      </c>
      <c r="B1705" s="318">
        <v>44425</v>
      </c>
      <c r="C1705" s="4" t="s">
        <v>418</v>
      </c>
      <c r="D1705" s="4" t="s">
        <v>1540</v>
      </c>
      <c r="F1705" s="4" t="s">
        <v>90</v>
      </c>
      <c r="G1705" s="5" t="s">
        <v>419</v>
      </c>
      <c r="H1705" s="5" t="s">
        <v>1541</v>
      </c>
      <c r="I1705" s="5" t="s">
        <v>18</v>
      </c>
      <c r="J1705" s="5" t="s">
        <v>144</v>
      </c>
      <c r="K1705" s="5">
        <v>23.5</v>
      </c>
      <c r="L1705" s="5" t="s">
        <v>1503</v>
      </c>
      <c r="M1705" s="5">
        <v>1250</v>
      </c>
      <c r="N1705" s="5" t="s">
        <v>171</v>
      </c>
      <c r="O1705" s="6" t="s">
        <v>81</v>
      </c>
      <c r="P1705" s="6" t="s">
        <v>1542</v>
      </c>
      <c r="S1705" s="6">
        <v>12</v>
      </c>
      <c r="T1705" s="6">
        <v>8.6199999999999992</v>
      </c>
      <c r="U1705" s="6">
        <v>1250</v>
      </c>
      <c r="V1705" s="6">
        <v>17.11</v>
      </c>
      <c r="W1705" s="6">
        <v>29</v>
      </c>
      <c r="X1705" s="6">
        <v>454</v>
      </c>
      <c r="Y1705" s="6">
        <v>758</v>
      </c>
      <c r="Z1705" s="6">
        <v>9</v>
      </c>
      <c r="AA1705" s="6">
        <v>0</v>
      </c>
      <c r="AB1705" s="6">
        <v>0</v>
      </c>
      <c r="AC1705" s="7">
        <v>35</v>
      </c>
      <c r="AD1705" s="7" t="s">
        <v>52</v>
      </c>
      <c r="AE1705" s="7">
        <v>21.73</v>
      </c>
      <c r="AF1705" s="76">
        <v>299</v>
      </c>
      <c r="AG1705" s="7">
        <v>34.659999999999997</v>
      </c>
      <c r="AH1705" s="7">
        <v>38.42</v>
      </c>
      <c r="AI1705" s="7">
        <v>43.26</v>
      </c>
      <c r="AJ1705" s="9">
        <v>343.63261886432099</v>
      </c>
      <c r="AK1705" s="9">
        <v>345.81033850523698</v>
      </c>
      <c r="AL1705" s="9">
        <v>378.88287047684599</v>
      </c>
      <c r="AM1705" s="9" t="s">
        <v>169</v>
      </c>
      <c r="AN1705" s="9" t="s">
        <v>169</v>
      </c>
      <c r="AO1705" s="9" t="s">
        <v>169</v>
      </c>
      <c r="AP1705" s="9" t="s">
        <v>169</v>
      </c>
      <c r="AQ1705" s="9" t="s">
        <v>169</v>
      </c>
      <c r="AR1705" s="9" t="s">
        <v>169</v>
      </c>
      <c r="AS1705" s="73" t="s">
        <v>169</v>
      </c>
      <c r="AT1705" s="8" t="s">
        <v>169</v>
      </c>
      <c r="AU1705" s="10" t="s">
        <v>169</v>
      </c>
      <c r="AV1705" s="10">
        <v>0</v>
      </c>
      <c r="AX1705" s="10" t="s">
        <v>169</v>
      </c>
      <c r="BF1705" s="12">
        <v>0.46</v>
      </c>
      <c r="BG1705" s="13">
        <v>303.54832639703301</v>
      </c>
      <c r="BH1705" s="96" t="str">
        <f>+VLOOKUP(G1705,Liste!$A$7:$G$50,3,FALSE)</f>
        <v>Pin Maritime</v>
      </c>
      <c r="BI1705" s="96" t="str">
        <f>+VLOOKUP(H1705,Liste!$B$7:$G$50,5,FALSE)</f>
        <v>Landes</v>
      </c>
      <c r="BJ1705" s="135">
        <f t="shared" si="513"/>
        <v>35</v>
      </c>
      <c r="BK1705" s="135" t="str">
        <f t="shared" si="515"/>
        <v>Pin Maritime_F3_Classique_Landes_35_</v>
      </c>
      <c r="BM1705" s="13">
        <v>76.615591059773195</v>
      </c>
      <c r="BN1705" s="13">
        <v>380.16391745680602</v>
      </c>
      <c r="BO1705" s="13" t="s">
        <v>169</v>
      </c>
      <c r="BP1705" s="13">
        <v>248.80925905886301</v>
      </c>
      <c r="BQ1705" s="13" t="s">
        <v>169</v>
      </c>
      <c r="BT1705" s="298" t="str">
        <f>+VLOOKUP(G1705,Liste!$A$7:$H$50,8,FALSE)</f>
        <v>Résineux</v>
      </c>
      <c r="BU1705" s="298">
        <f t="shared" si="516"/>
        <v>0</v>
      </c>
      <c r="BV1705" s="300">
        <f t="shared" si="517"/>
        <v>1</v>
      </c>
      <c r="BW1705" s="321">
        <v>0</v>
      </c>
      <c r="BX1705" s="298">
        <f t="shared" si="518"/>
        <v>0.43</v>
      </c>
      <c r="BY1705">
        <f t="shared" si="519"/>
        <v>0</v>
      </c>
      <c r="BZ1705" s="304">
        <f t="shared" si="520"/>
        <v>0</v>
      </c>
      <c r="CB1705" s="299">
        <v>0.6</v>
      </c>
      <c r="CC1705" s="299">
        <v>0.4</v>
      </c>
      <c r="CD1705">
        <f t="shared" si="521"/>
        <v>0</v>
      </c>
      <c r="CE1705">
        <f t="shared" si="522"/>
        <v>0</v>
      </c>
      <c r="CF1705">
        <f t="shared" si="523"/>
        <v>0</v>
      </c>
      <c r="CG1705">
        <f t="shared" si="524"/>
        <v>0</v>
      </c>
      <c r="CH1705">
        <f t="shared" si="525"/>
        <v>0</v>
      </c>
      <c r="CI1705">
        <f t="shared" si="526"/>
        <v>0</v>
      </c>
      <c r="CJ1705">
        <f t="shared" si="527"/>
        <v>0</v>
      </c>
      <c r="CK1705">
        <f t="shared" si="528"/>
        <v>0</v>
      </c>
      <c r="CL1705">
        <f t="shared" si="529"/>
        <v>0</v>
      </c>
      <c r="CM1705">
        <f t="shared" si="531"/>
        <v>0</v>
      </c>
      <c r="CN1705">
        <f t="shared" si="530"/>
        <v>0</v>
      </c>
      <c r="CO1705">
        <f t="shared" si="514"/>
        <v>0</v>
      </c>
    </row>
    <row r="1706" spans="1:93" x14ac:dyDescent="0.25">
      <c r="A1706" s="4">
        <v>2021</v>
      </c>
      <c r="B1706" s="318">
        <v>44425</v>
      </c>
      <c r="C1706" s="4" t="s">
        <v>418</v>
      </c>
      <c r="D1706" s="4" t="s">
        <v>1540</v>
      </c>
      <c r="F1706" s="4" t="s">
        <v>90</v>
      </c>
      <c r="G1706" s="5" t="s">
        <v>419</v>
      </c>
      <c r="H1706" s="5" t="s">
        <v>1541</v>
      </c>
      <c r="I1706" s="5" t="s">
        <v>18</v>
      </c>
      <c r="J1706" s="5" t="s">
        <v>144</v>
      </c>
      <c r="K1706" s="5">
        <v>23.5</v>
      </c>
      <c r="L1706" s="5" t="s">
        <v>1503</v>
      </c>
      <c r="M1706" s="5">
        <v>1250</v>
      </c>
      <c r="N1706" s="5" t="s">
        <v>171</v>
      </c>
      <c r="O1706" s="6" t="s">
        <v>81</v>
      </c>
      <c r="P1706" s="6" t="s">
        <v>1542</v>
      </c>
      <c r="S1706" s="6">
        <v>12</v>
      </c>
      <c r="T1706" s="6">
        <v>8.6199999999999992</v>
      </c>
      <c r="U1706" s="6">
        <v>1250</v>
      </c>
      <c r="V1706" s="6">
        <v>17.11</v>
      </c>
      <c r="W1706" s="6">
        <v>29</v>
      </c>
      <c r="X1706" s="6">
        <v>454</v>
      </c>
      <c r="Y1706" s="6">
        <v>758</v>
      </c>
      <c r="Z1706" s="6">
        <v>9</v>
      </c>
      <c r="AA1706" s="6">
        <v>0</v>
      </c>
      <c r="AB1706" s="6">
        <v>0</v>
      </c>
      <c r="AC1706" s="7">
        <v>36</v>
      </c>
      <c r="AD1706" s="7" t="s">
        <v>52</v>
      </c>
      <c r="AE1706" s="7">
        <v>22.1</v>
      </c>
      <c r="AF1706" s="76">
        <v>299</v>
      </c>
      <c r="AG1706" s="7">
        <v>36.020000000000003</v>
      </c>
      <c r="AH1706" s="7">
        <v>39.17</v>
      </c>
      <c r="AI1706" s="7">
        <v>44.19</v>
      </c>
      <c r="AJ1706" s="9">
        <v>362.64042145997303</v>
      </c>
      <c r="AK1706" s="9">
        <v>364.93159912994298</v>
      </c>
      <c r="AL1706" s="9">
        <v>399.17225315981398</v>
      </c>
      <c r="AM1706" s="9" t="s">
        <v>169</v>
      </c>
      <c r="AN1706" s="9" t="s">
        <v>169</v>
      </c>
      <c r="AO1706" s="9" t="s">
        <v>169</v>
      </c>
      <c r="AP1706" s="9" t="s">
        <v>169</v>
      </c>
      <c r="AQ1706" s="9" t="s">
        <v>169</v>
      </c>
      <c r="AR1706" s="9" t="s">
        <v>169</v>
      </c>
      <c r="AS1706" s="73" t="s">
        <v>169</v>
      </c>
      <c r="AT1706" s="8" t="s">
        <v>169</v>
      </c>
      <c r="AU1706" s="10" t="s">
        <v>169</v>
      </c>
      <c r="AV1706" s="10">
        <v>0</v>
      </c>
      <c r="AX1706" s="10" t="s">
        <v>169</v>
      </c>
      <c r="BF1706" s="12">
        <v>0.46</v>
      </c>
      <c r="BG1706" s="13">
        <v>319.80350348987099</v>
      </c>
      <c r="BH1706" s="96" t="str">
        <f>+VLOOKUP(G1706,Liste!$A$7:$G$50,3,FALSE)</f>
        <v>Pin Maritime</v>
      </c>
      <c r="BI1706" s="96" t="str">
        <f>+VLOOKUP(H1706,Liste!$B$7:$G$50,5,FALSE)</f>
        <v>Landes</v>
      </c>
      <c r="BJ1706" s="135">
        <f t="shared" si="513"/>
        <v>36</v>
      </c>
      <c r="BK1706" s="135" t="str">
        <f t="shared" si="515"/>
        <v>Pin Maritime_F3_Classique_Landes_36_</v>
      </c>
      <c r="BM1706" s="13">
        <v>80.247720111841801</v>
      </c>
      <c r="BN1706" s="13">
        <v>400.05122360171299</v>
      </c>
      <c r="BO1706" s="13" t="s">
        <v>169</v>
      </c>
      <c r="BP1706" s="13">
        <v>248.80925905886301</v>
      </c>
      <c r="BQ1706" s="13" t="s">
        <v>169</v>
      </c>
      <c r="BT1706" s="298" t="str">
        <f>+VLOOKUP(G1706,Liste!$A$7:$H$50,8,FALSE)</f>
        <v>Résineux</v>
      </c>
      <c r="BU1706" s="298">
        <f t="shared" si="516"/>
        <v>0</v>
      </c>
      <c r="BV1706" s="300">
        <f t="shared" si="517"/>
        <v>1</v>
      </c>
      <c r="BW1706" s="321">
        <v>0</v>
      </c>
      <c r="BX1706" s="298">
        <f t="shared" si="518"/>
        <v>0.43</v>
      </c>
      <c r="BY1706">
        <f t="shared" si="519"/>
        <v>0</v>
      </c>
      <c r="BZ1706" s="304">
        <f t="shared" si="520"/>
        <v>0</v>
      </c>
      <c r="CB1706" s="299">
        <v>0.6</v>
      </c>
      <c r="CC1706" s="299">
        <v>0.4</v>
      </c>
      <c r="CD1706">
        <f t="shared" si="521"/>
        <v>0</v>
      </c>
      <c r="CE1706">
        <f t="shared" si="522"/>
        <v>0</v>
      </c>
      <c r="CF1706">
        <f t="shared" si="523"/>
        <v>0</v>
      </c>
      <c r="CG1706">
        <f t="shared" si="524"/>
        <v>0</v>
      </c>
      <c r="CH1706">
        <f t="shared" si="525"/>
        <v>0</v>
      </c>
      <c r="CI1706">
        <f t="shared" si="526"/>
        <v>0</v>
      </c>
      <c r="CJ1706">
        <f t="shared" si="527"/>
        <v>0</v>
      </c>
      <c r="CK1706">
        <f t="shared" si="528"/>
        <v>0</v>
      </c>
      <c r="CL1706">
        <f t="shared" si="529"/>
        <v>0</v>
      </c>
      <c r="CM1706">
        <f t="shared" si="531"/>
        <v>0</v>
      </c>
      <c r="CN1706">
        <f t="shared" si="530"/>
        <v>0</v>
      </c>
      <c r="CO1706">
        <f t="shared" si="514"/>
        <v>0</v>
      </c>
    </row>
    <row r="1707" spans="1:93" x14ac:dyDescent="0.25">
      <c r="A1707" s="4">
        <v>2021</v>
      </c>
      <c r="B1707" s="318">
        <v>44425</v>
      </c>
      <c r="C1707" s="4" t="s">
        <v>418</v>
      </c>
      <c r="D1707" s="4" t="s">
        <v>1540</v>
      </c>
      <c r="F1707" s="4" t="s">
        <v>90</v>
      </c>
      <c r="G1707" s="5" t="s">
        <v>419</v>
      </c>
      <c r="H1707" s="5" t="s">
        <v>1541</v>
      </c>
      <c r="I1707" s="5" t="s">
        <v>18</v>
      </c>
      <c r="J1707" s="5" t="s">
        <v>144</v>
      </c>
      <c r="K1707" s="5">
        <v>23.5</v>
      </c>
      <c r="L1707" s="5" t="s">
        <v>1503</v>
      </c>
      <c r="M1707" s="5">
        <v>1250</v>
      </c>
      <c r="N1707" s="5" t="s">
        <v>171</v>
      </c>
      <c r="O1707" s="6" t="s">
        <v>81</v>
      </c>
      <c r="P1707" s="6" t="s">
        <v>1542</v>
      </c>
      <c r="S1707" s="6">
        <v>12</v>
      </c>
      <c r="T1707" s="6">
        <v>8.6199999999999992</v>
      </c>
      <c r="U1707" s="6">
        <v>1250</v>
      </c>
      <c r="V1707" s="6">
        <v>17.11</v>
      </c>
      <c r="W1707" s="6">
        <v>29</v>
      </c>
      <c r="X1707" s="6">
        <v>454</v>
      </c>
      <c r="Y1707" s="6">
        <v>758</v>
      </c>
      <c r="Z1707" s="6">
        <v>9</v>
      </c>
      <c r="AA1707" s="6">
        <v>0</v>
      </c>
      <c r="AB1707" s="6">
        <v>0</v>
      </c>
      <c r="AC1707" s="7">
        <v>37</v>
      </c>
      <c r="AD1707" s="7" t="s">
        <v>52</v>
      </c>
      <c r="AE1707" s="7">
        <v>22.47</v>
      </c>
      <c r="AF1707" s="76">
        <v>299</v>
      </c>
      <c r="AG1707" s="7">
        <v>37.380000000000003</v>
      </c>
      <c r="AH1707" s="7">
        <v>39.89</v>
      </c>
      <c r="AI1707" s="7">
        <v>45.11</v>
      </c>
      <c r="AJ1707" s="9">
        <v>381.64822405562501</v>
      </c>
      <c r="AK1707" s="9">
        <v>384.05285975464898</v>
      </c>
      <c r="AL1707" s="9">
        <v>419.46163584278202</v>
      </c>
      <c r="AM1707" s="9" t="s">
        <v>169</v>
      </c>
      <c r="AN1707" s="9" t="s">
        <v>169</v>
      </c>
      <c r="AO1707" s="9" t="s">
        <v>169</v>
      </c>
      <c r="AP1707" s="9" t="s">
        <v>169</v>
      </c>
      <c r="AQ1707" s="9" t="s">
        <v>169</v>
      </c>
      <c r="AR1707" s="9" t="s">
        <v>169</v>
      </c>
      <c r="AS1707" s="73" t="s">
        <v>169</v>
      </c>
      <c r="AT1707" s="8" t="s">
        <v>169</v>
      </c>
      <c r="AU1707" s="10" t="s">
        <v>169</v>
      </c>
      <c r="AV1707" s="10">
        <v>0</v>
      </c>
      <c r="AX1707" s="10" t="s">
        <v>169</v>
      </c>
      <c r="BF1707" s="12">
        <v>0.46</v>
      </c>
      <c r="BG1707" s="13">
        <v>336.05868058270897</v>
      </c>
      <c r="BH1707" s="96" t="str">
        <f>+VLOOKUP(G1707,Liste!$A$7:$G$50,3,FALSE)</f>
        <v>Pin Maritime</v>
      </c>
      <c r="BI1707" s="96" t="str">
        <f>+VLOOKUP(H1707,Liste!$B$7:$G$50,5,FALSE)</f>
        <v>Landes</v>
      </c>
      <c r="BJ1707" s="135">
        <f t="shared" si="513"/>
        <v>37</v>
      </c>
      <c r="BK1707" s="135" t="str">
        <f t="shared" si="515"/>
        <v>Pin Maritime_F3_Classique_Landes_37_</v>
      </c>
      <c r="BM1707" s="13">
        <v>83.879849163910393</v>
      </c>
      <c r="BN1707" s="13">
        <v>419.93852974662002</v>
      </c>
      <c r="BO1707" s="13" t="s">
        <v>169</v>
      </c>
      <c r="BP1707" s="13">
        <v>248.80925905886301</v>
      </c>
      <c r="BQ1707" s="13" t="s">
        <v>169</v>
      </c>
      <c r="BT1707" s="298" t="str">
        <f>+VLOOKUP(G1707,Liste!$A$7:$H$50,8,FALSE)</f>
        <v>Résineux</v>
      </c>
      <c r="BU1707" s="298">
        <f t="shared" si="516"/>
        <v>0</v>
      </c>
      <c r="BV1707" s="300">
        <f t="shared" si="517"/>
        <v>1</v>
      </c>
      <c r="BW1707" s="321">
        <v>0</v>
      </c>
      <c r="BX1707" s="298">
        <f t="shared" si="518"/>
        <v>0.43</v>
      </c>
      <c r="BY1707">
        <f t="shared" si="519"/>
        <v>0</v>
      </c>
      <c r="BZ1707" s="304">
        <f t="shared" si="520"/>
        <v>0</v>
      </c>
      <c r="CB1707" s="299">
        <v>0.6</v>
      </c>
      <c r="CC1707" s="299">
        <v>0.4</v>
      </c>
      <c r="CD1707">
        <f t="shared" si="521"/>
        <v>0</v>
      </c>
      <c r="CE1707">
        <f t="shared" si="522"/>
        <v>0</v>
      </c>
      <c r="CF1707">
        <f t="shared" si="523"/>
        <v>0</v>
      </c>
      <c r="CG1707">
        <f t="shared" si="524"/>
        <v>0</v>
      </c>
      <c r="CH1707">
        <f t="shared" si="525"/>
        <v>0</v>
      </c>
      <c r="CI1707">
        <f t="shared" si="526"/>
        <v>0</v>
      </c>
      <c r="CJ1707">
        <f t="shared" si="527"/>
        <v>0</v>
      </c>
      <c r="CK1707">
        <f t="shared" si="528"/>
        <v>0</v>
      </c>
      <c r="CL1707">
        <f t="shared" si="529"/>
        <v>0</v>
      </c>
      <c r="CM1707">
        <f t="shared" si="531"/>
        <v>0</v>
      </c>
      <c r="CN1707">
        <f t="shared" si="530"/>
        <v>0</v>
      </c>
      <c r="CO1707">
        <f t="shared" si="514"/>
        <v>0</v>
      </c>
    </row>
    <row r="1708" spans="1:93" x14ac:dyDescent="0.25">
      <c r="A1708" s="4">
        <v>2021</v>
      </c>
      <c r="B1708" s="318">
        <v>44425</v>
      </c>
      <c r="C1708" s="4" t="s">
        <v>418</v>
      </c>
      <c r="D1708" s="4" t="s">
        <v>1540</v>
      </c>
      <c r="F1708" s="4" t="s">
        <v>90</v>
      </c>
      <c r="G1708" s="5" t="s">
        <v>419</v>
      </c>
      <c r="H1708" s="5" t="s">
        <v>1541</v>
      </c>
      <c r="I1708" s="5" t="s">
        <v>18</v>
      </c>
      <c r="J1708" s="5" t="s">
        <v>144</v>
      </c>
      <c r="K1708" s="5">
        <v>23.5</v>
      </c>
      <c r="L1708" s="5" t="s">
        <v>1503</v>
      </c>
      <c r="M1708" s="5">
        <v>1250</v>
      </c>
      <c r="N1708" s="5" t="s">
        <v>171</v>
      </c>
      <c r="O1708" s="6" t="s">
        <v>81</v>
      </c>
      <c r="P1708" s="6" t="s">
        <v>1542</v>
      </c>
      <c r="S1708" s="6">
        <v>12</v>
      </c>
      <c r="T1708" s="6">
        <v>8.6199999999999992</v>
      </c>
      <c r="U1708" s="6">
        <v>1250</v>
      </c>
      <c r="V1708" s="6">
        <v>17.11</v>
      </c>
      <c r="W1708" s="6">
        <v>29</v>
      </c>
      <c r="X1708" s="6">
        <v>454</v>
      </c>
      <c r="Y1708" s="6">
        <v>758</v>
      </c>
      <c r="Z1708" s="6">
        <v>9</v>
      </c>
      <c r="AA1708" s="6">
        <v>0</v>
      </c>
      <c r="AB1708" s="6">
        <v>0</v>
      </c>
      <c r="AC1708" s="7">
        <v>38</v>
      </c>
      <c r="AD1708" s="7" t="s">
        <v>52</v>
      </c>
      <c r="AE1708" s="7">
        <v>22.83</v>
      </c>
      <c r="AF1708" s="76">
        <v>299</v>
      </c>
      <c r="AG1708" s="7">
        <v>38.72</v>
      </c>
      <c r="AH1708" s="7">
        <v>40.6</v>
      </c>
      <c r="AI1708" s="7">
        <v>46</v>
      </c>
      <c r="AJ1708" s="9">
        <v>400.65602665127699</v>
      </c>
      <c r="AK1708" s="9">
        <v>403.17412037935497</v>
      </c>
      <c r="AL1708" s="9">
        <v>439.75101852575102</v>
      </c>
      <c r="AM1708" s="9">
        <v>70.530400722603005</v>
      </c>
      <c r="AN1708" s="9">
        <v>1.8560631769106</v>
      </c>
      <c r="AO1708" s="9">
        <v>1.2925790348064301</v>
      </c>
      <c r="AP1708" s="9">
        <v>702.26870901840596</v>
      </c>
      <c r="AQ1708" s="9">
        <v>18.480755500484399</v>
      </c>
      <c r="AR1708" s="9">
        <v>20.591506136564</v>
      </c>
      <c r="AS1708" s="73" t="s">
        <v>169</v>
      </c>
      <c r="AT1708" s="8" t="s">
        <v>169</v>
      </c>
      <c r="AU1708" s="10" t="s">
        <v>169</v>
      </c>
      <c r="AV1708" s="10">
        <v>0</v>
      </c>
      <c r="AX1708" s="10" t="s">
        <v>169</v>
      </c>
      <c r="BF1708" s="12">
        <v>0.46</v>
      </c>
      <c r="BG1708" s="13">
        <v>352.31385767554701</v>
      </c>
      <c r="BH1708" s="96" t="str">
        <f>+VLOOKUP(G1708,Liste!$A$7:$G$50,3,FALSE)</f>
        <v>Pin Maritime</v>
      </c>
      <c r="BI1708" s="96" t="str">
        <f>+VLOOKUP(H1708,Liste!$B$7:$G$50,5,FALSE)</f>
        <v>Landes</v>
      </c>
      <c r="BJ1708" s="135">
        <f t="shared" si="513"/>
        <v>38</v>
      </c>
      <c r="BK1708" s="135" t="str">
        <f t="shared" si="515"/>
        <v>Pin Maritime_F3_Classique_Landes_38_</v>
      </c>
      <c r="BM1708" s="13">
        <v>87.511978215979099</v>
      </c>
      <c r="BN1708" s="13">
        <v>439.82583589152603</v>
      </c>
      <c r="BO1708" s="13" t="s">
        <v>169</v>
      </c>
      <c r="BP1708" s="13">
        <v>248.80925905886301</v>
      </c>
      <c r="BQ1708" s="13">
        <v>19.887885423624802</v>
      </c>
      <c r="BT1708" s="298" t="str">
        <f>+VLOOKUP(G1708,Liste!$A$7:$H$50,8,FALSE)</f>
        <v>Résineux</v>
      </c>
      <c r="BU1708" s="298">
        <f t="shared" si="516"/>
        <v>0</v>
      </c>
      <c r="BV1708" s="300">
        <f t="shared" si="517"/>
        <v>1</v>
      </c>
      <c r="BW1708" s="321">
        <v>0</v>
      </c>
      <c r="BX1708" s="298">
        <f t="shared" si="518"/>
        <v>0.43</v>
      </c>
      <c r="BY1708">
        <f t="shared" si="519"/>
        <v>0</v>
      </c>
      <c r="BZ1708" s="304">
        <f t="shared" si="520"/>
        <v>0</v>
      </c>
      <c r="CB1708" s="299">
        <v>0.6</v>
      </c>
      <c r="CC1708" s="299">
        <v>0.4</v>
      </c>
      <c r="CD1708">
        <f t="shared" si="521"/>
        <v>0</v>
      </c>
      <c r="CE1708">
        <f t="shared" si="522"/>
        <v>0</v>
      </c>
      <c r="CF1708">
        <f t="shared" si="523"/>
        <v>0</v>
      </c>
      <c r="CG1708">
        <f t="shared" si="524"/>
        <v>0</v>
      </c>
      <c r="CH1708">
        <f t="shared" si="525"/>
        <v>0</v>
      </c>
      <c r="CI1708">
        <f t="shared" si="526"/>
        <v>0</v>
      </c>
      <c r="CJ1708">
        <f t="shared" si="527"/>
        <v>0</v>
      </c>
      <c r="CK1708">
        <f t="shared" si="528"/>
        <v>0</v>
      </c>
      <c r="CL1708">
        <f t="shared" si="529"/>
        <v>0</v>
      </c>
      <c r="CM1708">
        <f t="shared" si="531"/>
        <v>0</v>
      </c>
      <c r="CN1708">
        <f t="shared" si="530"/>
        <v>0</v>
      </c>
      <c r="CO1708">
        <f t="shared" si="514"/>
        <v>0</v>
      </c>
    </row>
    <row r="1709" spans="1:93" x14ac:dyDescent="0.25">
      <c r="A1709" s="4">
        <v>2021</v>
      </c>
      <c r="B1709" s="318">
        <v>44425</v>
      </c>
      <c r="C1709" s="4" t="s">
        <v>418</v>
      </c>
      <c r="D1709" s="4" t="s">
        <v>1540</v>
      </c>
      <c r="F1709" s="4" t="s">
        <v>90</v>
      </c>
      <c r="G1709" s="5" t="s">
        <v>419</v>
      </c>
      <c r="H1709" s="5" t="s">
        <v>1541</v>
      </c>
      <c r="I1709" s="5" t="s">
        <v>18</v>
      </c>
      <c r="J1709" s="5" t="s">
        <v>144</v>
      </c>
      <c r="K1709" s="5">
        <v>23.5</v>
      </c>
      <c r="L1709" s="5" t="s">
        <v>1503</v>
      </c>
      <c r="M1709" s="5">
        <v>1250</v>
      </c>
      <c r="N1709" s="5" t="s">
        <v>171</v>
      </c>
      <c r="O1709" s="6" t="s">
        <v>81</v>
      </c>
      <c r="P1709" s="6" t="s">
        <v>1542</v>
      </c>
      <c r="S1709" s="6">
        <v>12</v>
      </c>
      <c r="T1709" s="6">
        <v>8.6199999999999992</v>
      </c>
      <c r="U1709" s="6">
        <v>1250</v>
      </c>
      <c r="V1709" s="6">
        <v>17.11</v>
      </c>
      <c r="W1709" s="6">
        <v>29</v>
      </c>
      <c r="X1709" s="6">
        <v>454</v>
      </c>
      <c r="Y1709" s="6">
        <v>758</v>
      </c>
      <c r="Z1709" s="6">
        <v>9</v>
      </c>
      <c r="AA1709" s="6">
        <v>0</v>
      </c>
      <c r="AB1709" s="6">
        <v>0</v>
      </c>
      <c r="AC1709" s="7">
        <v>39</v>
      </c>
      <c r="AD1709" s="7" t="s">
        <v>52</v>
      </c>
      <c r="AE1709" s="7">
        <v>23.17</v>
      </c>
      <c r="AF1709" s="76">
        <v>299</v>
      </c>
      <c r="AG1709" s="7">
        <v>40.04</v>
      </c>
      <c r="AH1709" s="7">
        <v>41.29</v>
      </c>
      <c r="AI1709" s="7">
        <v>46.88</v>
      </c>
      <c r="AJ1709" s="9">
        <v>419.34033893369201</v>
      </c>
      <c r="AK1709" s="9">
        <v>422.04419512574901</v>
      </c>
      <c r="AL1709" s="9">
        <v>460.34252466231499</v>
      </c>
      <c r="AM1709" s="9" t="s">
        <v>169</v>
      </c>
      <c r="AN1709" s="9" t="s">
        <v>169</v>
      </c>
      <c r="AO1709" s="9" t="s">
        <v>169</v>
      </c>
      <c r="AP1709" s="9" t="s">
        <v>169</v>
      </c>
      <c r="AQ1709" s="9" t="s">
        <v>169</v>
      </c>
      <c r="AR1709" s="9" t="s">
        <v>169</v>
      </c>
      <c r="AS1709" s="73" t="s">
        <v>169</v>
      </c>
      <c r="AT1709" s="8" t="s">
        <v>169</v>
      </c>
      <c r="AU1709" s="10" t="s">
        <v>169</v>
      </c>
      <c r="AV1709" s="10">
        <v>0</v>
      </c>
      <c r="AX1709" s="10" t="s">
        <v>169</v>
      </c>
      <c r="BF1709" s="12">
        <v>0.46</v>
      </c>
      <c r="BG1709" s="13">
        <v>368.81108600862399</v>
      </c>
      <c r="BH1709" s="96" t="str">
        <f>+VLOOKUP(G1709,Liste!$A$7:$G$50,3,FALSE)</f>
        <v>Pin Maritime</v>
      </c>
      <c r="BI1709" s="96" t="str">
        <f>+VLOOKUP(H1709,Liste!$B$7:$G$50,5,FALSE)</f>
        <v>Landes</v>
      </c>
      <c r="BJ1709" s="135">
        <f t="shared" si="513"/>
        <v>39</v>
      </c>
      <c r="BK1709" s="135" t="str">
        <f t="shared" si="515"/>
        <v>Pin Maritime_F3_Classique_Landes_39_</v>
      </c>
      <c r="BM1709" s="13">
        <v>91.070913268501499</v>
      </c>
      <c r="BN1709" s="13">
        <v>459.881999277126</v>
      </c>
      <c r="BO1709" s="13" t="s">
        <v>169</v>
      </c>
      <c r="BP1709" s="13">
        <v>248.80925905886301</v>
      </c>
      <c r="BQ1709" s="13" t="s">
        <v>169</v>
      </c>
      <c r="BT1709" s="298" t="str">
        <f>+VLOOKUP(G1709,Liste!$A$7:$H$50,8,FALSE)</f>
        <v>Résineux</v>
      </c>
      <c r="BU1709" s="298">
        <f t="shared" si="516"/>
        <v>0</v>
      </c>
      <c r="BV1709" s="300">
        <f t="shared" si="517"/>
        <v>1</v>
      </c>
      <c r="BW1709" s="321">
        <v>0</v>
      </c>
      <c r="BX1709" s="298">
        <f t="shared" si="518"/>
        <v>0.43</v>
      </c>
      <c r="BY1709">
        <f t="shared" si="519"/>
        <v>0</v>
      </c>
      <c r="BZ1709" s="304">
        <f t="shared" si="520"/>
        <v>0</v>
      </c>
      <c r="CB1709" s="299">
        <v>0.6</v>
      </c>
      <c r="CC1709" s="299">
        <v>0.4</v>
      </c>
      <c r="CD1709">
        <f t="shared" si="521"/>
        <v>0</v>
      </c>
      <c r="CE1709">
        <f t="shared" si="522"/>
        <v>0</v>
      </c>
      <c r="CF1709">
        <f t="shared" si="523"/>
        <v>0</v>
      </c>
      <c r="CG1709">
        <f t="shared" si="524"/>
        <v>0</v>
      </c>
      <c r="CH1709">
        <f t="shared" si="525"/>
        <v>0</v>
      </c>
      <c r="CI1709">
        <f t="shared" si="526"/>
        <v>0</v>
      </c>
      <c r="CJ1709">
        <f t="shared" si="527"/>
        <v>0</v>
      </c>
      <c r="CK1709">
        <f t="shared" si="528"/>
        <v>0</v>
      </c>
      <c r="CL1709">
        <f t="shared" si="529"/>
        <v>0</v>
      </c>
      <c r="CM1709">
        <f t="shared" si="531"/>
        <v>0</v>
      </c>
      <c r="CN1709">
        <f t="shared" si="530"/>
        <v>0</v>
      </c>
      <c r="CO1709">
        <f t="shared" si="514"/>
        <v>0</v>
      </c>
    </row>
    <row r="1710" spans="1:93" x14ac:dyDescent="0.25">
      <c r="A1710" s="4">
        <v>2021</v>
      </c>
      <c r="B1710" s="318">
        <v>44425</v>
      </c>
      <c r="C1710" s="4" t="s">
        <v>418</v>
      </c>
      <c r="D1710" s="4" t="s">
        <v>1540</v>
      </c>
      <c r="F1710" s="4" t="s">
        <v>90</v>
      </c>
      <c r="G1710" s="5" t="s">
        <v>419</v>
      </c>
      <c r="H1710" s="5" t="s">
        <v>1541</v>
      </c>
      <c r="I1710" s="5" t="s">
        <v>18</v>
      </c>
      <c r="J1710" s="5" t="s">
        <v>144</v>
      </c>
      <c r="K1710" s="5">
        <v>23.5</v>
      </c>
      <c r="L1710" s="5" t="s">
        <v>1503</v>
      </c>
      <c r="M1710" s="5">
        <v>1250</v>
      </c>
      <c r="N1710" s="5" t="s">
        <v>171</v>
      </c>
      <c r="O1710" s="6" t="s">
        <v>81</v>
      </c>
      <c r="P1710" s="6" t="s">
        <v>1542</v>
      </c>
      <c r="S1710" s="6">
        <v>12</v>
      </c>
      <c r="T1710" s="6">
        <v>8.6199999999999992</v>
      </c>
      <c r="U1710" s="6">
        <v>1250</v>
      </c>
      <c r="V1710" s="6">
        <v>17.11</v>
      </c>
      <c r="W1710" s="6">
        <v>29</v>
      </c>
      <c r="X1710" s="6">
        <v>454</v>
      </c>
      <c r="Y1710" s="6">
        <v>758</v>
      </c>
      <c r="Z1710" s="6">
        <v>9</v>
      </c>
      <c r="AA1710" s="6">
        <v>0</v>
      </c>
      <c r="AB1710" s="6">
        <v>0</v>
      </c>
      <c r="AC1710" s="7">
        <v>40</v>
      </c>
      <c r="AD1710" s="7" t="s">
        <v>52</v>
      </c>
      <c r="AE1710" s="7">
        <v>23.49</v>
      </c>
      <c r="AF1710" s="76">
        <v>299</v>
      </c>
      <c r="AG1710" s="7">
        <v>41.36</v>
      </c>
      <c r="AH1710" s="7">
        <v>41.97</v>
      </c>
      <c r="AI1710" s="7">
        <v>47.75</v>
      </c>
      <c r="AJ1710" s="9">
        <v>438.02465121610697</v>
      </c>
      <c r="AK1710" s="9">
        <v>440.91426987214197</v>
      </c>
      <c r="AL1710" s="9">
        <v>480.93403079887901</v>
      </c>
      <c r="AM1710" s="9" t="s">
        <v>169</v>
      </c>
      <c r="AN1710" s="9" t="s">
        <v>169</v>
      </c>
      <c r="AO1710" s="9" t="s">
        <v>169</v>
      </c>
      <c r="AP1710" s="9" t="s">
        <v>169</v>
      </c>
      <c r="AQ1710" s="9" t="s">
        <v>169</v>
      </c>
      <c r="AR1710" s="9" t="s">
        <v>169</v>
      </c>
      <c r="AS1710" s="73" t="s">
        <v>169</v>
      </c>
      <c r="AT1710" s="8" t="s">
        <v>169</v>
      </c>
      <c r="AU1710" s="10" t="s">
        <v>169</v>
      </c>
      <c r="AV1710" s="10">
        <v>0</v>
      </c>
      <c r="AX1710" s="10" t="s">
        <v>169</v>
      </c>
      <c r="BF1710" s="12">
        <v>0.46</v>
      </c>
      <c r="BG1710" s="13">
        <v>385.30831434170199</v>
      </c>
      <c r="BH1710" s="96" t="str">
        <f>+VLOOKUP(G1710,Liste!$A$7:$G$50,3,FALSE)</f>
        <v>Pin Maritime</v>
      </c>
      <c r="BI1710" s="96" t="str">
        <f>+VLOOKUP(H1710,Liste!$B$7:$G$50,5,FALSE)</f>
        <v>Landes</v>
      </c>
      <c r="BJ1710" s="135">
        <f t="shared" si="513"/>
        <v>40</v>
      </c>
      <c r="BK1710" s="135" t="str">
        <f t="shared" si="515"/>
        <v>Pin Maritime_F3_Classique_Landes_40_</v>
      </c>
      <c r="BM1710" s="13">
        <v>94.629848321023999</v>
      </c>
      <c r="BN1710" s="13">
        <v>479.93816266272597</v>
      </c>
      <c r="BO1710" s="13" t="s">
        <v>169</v>
      </c>
      <c r="BP1710" s="13">
        <v>248.80925905886301</v>
      </c>
      <c r="BQ1710" s="13" t="s">
        <v>169</v>
      </c>
      <c r="BT1710" s="298" t="str">
        <f>+VLOOKUP(G1710,Liste!$A$7:$H$50,8,FALSE)</f>
        <v>Résineux</v>
      </c>
      <c r="BU1710" s="298">
        <f t="shared" si="516"/>
        <v>0</v>
      </c>
      <c r="BV1710" s="300">
        <f t="shared" si="517"/>
        <v>1</v>
      </c>
      <c r="BW1710" s="321">
        <v>0</v>
      </c>
      <c r="BX1710" s="298">
        <f t="shared" si="518"/>
        <v>0.43</v>
      </c>
      <c r="BY1710">
        <f t="shared" si="519"/>
        <v>0</v>
      </c>
      <c r="BZ1710" s="304">
        <f t="shared" si="520"/>
        <v>0</v>
      </c>
      <c r="CB1710" s="299">
        <v>0.6</v>
      </c>
      <c r="CC1710" s="299">
        <v>0.4</v>
      </c>
      <c r="CD1710">
        <f t="shared" si="521"/>
        <v>0</v>
      </c>
      <c r="CE1710">
        <f t="shared" si="522"/>
        <v>0</v>
      </c>
      <c r="CF1710">
        <f t="shared" si="523"/>
        <v>0</v>
      </c>
      <c r="CG1710">
        <f t="shared" si="524"/>
        <v>0</v>
      </c>
      <c r="CH1710">
        <f t="shared" si="525"/>
        <v>0</v>
      </c>
      <c r="CI1710">
        <f t="shared" si="526"/>
        <v>0</v>
      </c>
      <c r="CJ1710">
        <f t="shared" si="527"/>
        <v>0</v>
      </c>
      <c r="CK1710">
        <f t="shared" si="528"/>
        <v>0</v>
      </c>
      <c r="CL1710">
        <f t="shared" si="529"/>
        <v>0</v>
      </c>
      <c r="CM1710">
        <f t="shared" si="531"/>
        <v>0</v>
      </c>
      <c r="CN1710">
        <f t="shared" si="530"/>
        <v>0</v>
      </c>
      <c r="CO1710">
        <f t="shared" si="514"/>
        <v>0</v>
      </c>
    </row>
    <row r="1711" spans="1:93" x14ac:dyDescent="0.25">
      <c r="A1711" s="4">
        <v>2021</v>
      </c>
      <c r="B1711" s="318">
        <v>44425</v>
      </c>
      <c r="C1711" s="4" t="s">
        <v>418</v>
      </c>
      <c r="D1711" s="4" t="s">
        <v>1540</v>
      </c>
      <c r="F1711" s="4" t="s">
        <v>90</v>
      </c>
      <c r="G1711" s="5" t="s">
        <v>419</v>
      </c>
      <c r="H1711" s="5" t="s">
        <v>1541</v>
      </c>
      <c r="I1711" s="5" t="s">
        <v>18</v>
      </c>
      <c r="J1711" s="5" t="s">
        <v>144</v>
      </c>
      <c r="K1711" s="5">
        <v>23.5</v>
      </c>
      <c r="L1711" s="5" t="s">
        <v>1503</v>
      </c>
      <c r="M1711" s="5">
        <v>1250</v>
      </c>
      <c r="N1711" s="5" t="s">
        <v>171</v>
      </c>
      <c r="O1711" s="6" t="s">
        <v>81</v>
      </c>
      <c r="P1711" s="6" t="s">
        <v>1542</v>
      </c>
      <c r="S1711" s="6">
        <v>12</v>
      </c>
      <c r="T1711" s="6">
        <v>8.6199999999999992</v>
      </c>
      <c r="U1711" s="6">
        <v>1250</v>
      </c>
      <c r="V1711" s="6">
        <v>17.11</v>
      </c>
      <c r="W1711" s="6">
        <v>29</v>
      </c>
      <c r="X1711" s="6">
        <v>454</v>
      </c>
      <c r="Y1711" s="6">
        <v>758</v>
      </c>
      <c r="Z1711" s="6">
        <v>9</v>
      </c>
      <c r="AA1711" s="6">
        <v>0</v>
      </c>
      <c r="AB1711" s="6">
        <v>0</v>
      </c>
      <c r="AC1711" s="7">
        <v>41</v>
      </c>
      <c r="AD1711" s="7" t="s">
        <v>52</v>
      </c>
      <c r="AE1711" s="7">
        <v>23.81</v>
      </c>
      <c r="AF1711" s="76">
        <v>299</v>
      </c>
      <c r="AG1711" s="7">
        <v>42.66</v>
      </c>
      <c r="AH1711" s="7">
        <v>42.62</v>
      </c>
      <c r="AI1711" s="7">
        <v>48.59</v>
      </c>
      <c r="AJ1711" s="9">
        <v>456.708963498522</v>
      </c>
      <c r="AK1711" s="9">
        <v>459.78434461853499</v>
      </c>
      <c r="AL1711" s="9">
        <v>501.52553693544297</v>
      </c>
      <c r="AM1711" s="9" t="s">
        <v>169</v>
      </c>
      <c r="AN1711" s="9" t="s">
        <v>169</v>
      </c>
      <c r="AO1711" s="9" t="s">
        <v>169</v>
      </c>
      <c r="AP1711" s="9" t="s">
        <v>169</v>
      </c>
      <c r="AQ1711" s="9" t="s">
        <v>169</v>
      </c>
      <c r="AR1711" s="9" t="s">
        <v>169</v>
      </c>
      <c r="AS1711" s="73" t="s">
        <v>169</v>
      </c>
      <c r="AT1711" s="8" t="s">
        <v>169</v>
      </c>
      <c r="AU1711" s="10" t="s">
        <v>169</v>
      </c>
      <c r="AV1711" s="10">
        <v>0</v>
      </c>
      <c r="AX1711" s="10" t="s">
        <v>169</v>
      </c>
      <c r="BF1711" s="12">
        <v>0.46</v>
      </c>
      <c r="BG1711" s="13">
        <v>401.80554267477902</v>
      </c>
      <c r="BH1711" s="96" t="str">
        <f>+VLOOKUP(G1711,Liste!$A$7:$G$50,3,FALSE)</f>
        <v>Pin Maritime</v>
      </c>
      <c r="BI1711" s="96" t="str">
        <f>+VLOOKUP(H1711,Liste!$B$7:$G$50,5,FALSE)</f>
        <v>Landes</v>
      </c>
      <c r="BJ1711" s="135">
        <f t="shared" si="513"/>
        <v>41</v>
      </c>
      <c r="BK1711" s="135" t="str">
        <f t="shared" si="515"/>
        <v>Pin Maritime_F3_Classique_Landes_41_</v>
      </c>
      <c r="BM1711" s="13">
        <v>98.188783373546499</v>
      </c>
      <c r="BN1711" s="13">
        <v>499.99432604832498</v>
      </c>
      <c r="BO1711" s="13" t="s">
        <v>169</v>
      </c>
      <c r="BP1711" s="13">
        <v>248.80925905886301</v>
      </c>
      <c r="BQ1711" s="13" t="s">
        <v>169</v>
      </c>
      <c r="BT1711" s="298" t="str">
        <f>+VLOOKUP(G1711,Liste!$A$7:$H$50,8,FALSE)</f>
        <v>Résineux</v>
      </c>
      <c r="BU1711" s="298">
        <f t="shared" si="516"/>
        <v>0</v>
      </c>
      <c r="BV1711" s="300">
        <f t="shared" si="517"/>
        <v>1</v>
      </c>
      <c r="BW1711" s="321">
        <v>0</v>
      </c>
      <c r="BX1711" s="298">
        <f t="shared" si="518"/>
        <v>0.43</v>
      </c>
      <c r="BY1711">
        <f t="shared" si="519"/>
        <v>0</v>
      </c>
      <c r="BZ1711" s="304">
        <f t="shared" si="520"/>
        <v>0</v>
      </c>
      <c r="CB1711" s="299">
        <v>0.6</v>
      </c>
      <c r="CC1711" s="299">
        <v>0.4</v>
      </c>
      <c r="CD1711">
        <f t="shared" si="521"/>
        <v>0</v>
      </c>
      <c r="CE1711">
        <f t="shared" si="522"/>
        <v>0</v>
      </c>
      <c r="CF1711">
        <f t="shared" si="523"/>
        <v>0</v>
      </c>
      <c r="CG1711">
        <f t="shared" si="524"/>
        <v>0</v>
      </c>
      <c r="CH1711">
        <f t="shared" si="525"/>
        <v>0</v>
      </c>
      <c r="CI1711">
        <f t="shared" si="526"/>
        <v>0</v>
      </c>
      <c r="CJ1711">
        <f t="shared" si="527"/>
        <v>0</v>
      </c>
      <c r="CK1711">
        <f t="shared" si="528"/>
        <v>0</v>
      </c>
      <c r="CL1711">
        <f t="shared" si="529"/>
        <v>0</v>
      </c>
      <c r="CM1711">
        <f t="shared" si="531"/>
        <v>0</v>
      </c>
      <c r="CN1711">
        <f t="shared" si="530"/>
        <v>0</v>
      </c>
      <c r="CO1711">
        <f t="shared" si="514"/>
        <v>0</v>
      </c>
    </row>
    <row r="1712" spans="1:93" x14ac:dyDescent="0.25">
      <c r="A1712" s="4">
        <v>2021</v>
      </c>
      <c r="B1712" s="318">
        <v>44425</v>
      </c>
      <c r="C1712" s="4" t="s">
        <v>418</v>
      </c>
      <c r="D1712" s="4" t="s">
        <v>1540</v>
      </c>
      <c r="F1712" s="4" t="s">
        <v>90</v>
      </c>
      <c r="G1712" s="5" t="s">
        <v>419</v>
      </c>
      <c r="H1712" s="5" t="s">
        <v>1541</v>
      </c>
      <c r="I1712" s="5" t="s">
        <v>18</v>
      </c>
      <c r="J1712" s="5" t="s">
        <v>144</v>
      </c>
      <c r="K1712" s="5">
        <v>23.5</v>
      </c>
      <c r="L1712" s="5" t="s">
        <v>1503</v>
      </c>
      <c r="M1712" s="5">
        <v>1250</v>
      </c>
      <c r="N1712" s="5" t="s">
        <v>171</v>
      </c>
      <c r="O1712" s="6" t="s">
        <v>81</v>
      </c>
      <c r="P1712" s="6" t="s">
        <v>1542</v>
      </c>
      <c r="S1712" s="6">
        <v>12</v>
      </c>
      <c r="T1712" s="6">
        <v>8.6199999999999992</v>
      </c>
      <c r="U1712" s="6">
        <v>1250</v>
      </c>
      <c r="V1712" s="6">
        <v>17.11</v>
      </c>
      <c r="W1712" s="6">
        <v>29</v>
      </c>
      <c r="X1712" s="6">
        <v>454</v>
      </c>
      <c r="Y1712" s="6">
        <v>758</v>
      </c>
      <c r="Z1712" s="6">
        <v>9</v>
      </c>
      <c r="AA1712" s="6">
        <v>0</v>
      </c>
      <c r="AB1712" s="6">
        <v>0</v>
      </c>
      <c r="AC1712" s="7">
        <v>42</v>
      </c>
      <c r="AD1712" s="7" t="s">
        <v>52</v>
      </c>
      <c r="AE1712" s="7">
        <v>24.13</v>
      </c>
      <c r="AF1712" s="76">
        <v>299</v>
      </c>
      <c r="AG1712" s="7">
        <v>43.96</v>
      </c>
      <c r="AH1712" s="7">
        <v>43.26</v>
      </c>
      <c r="AI1712" s="7">
        <v>49.42</v>
      </c>
      <c r="AJ1712" s="9">
        <v>475.39327578093702</v>
      </c>
      <c r="AK1712" s="9">
        <v>478.654419364928</v>
      </c>
      <c r="AL1712" s="9">
        <v>522.11704307200705</v>
      </c>
      <c r="AM1712" s="9" t="s">
        <v>169</v>
      </c>
      <c r="AN1712" s="9" t="s">
        <v>169</v>
      </c>
      <c r="AO1712" s="9" t="s">
        <v>169</v>
      </c>
      <c r="AP1712" s="9" t="s">
        <v>169</v>
      </c>
      <c r="AQ1712" s="9" t="s">
        <v>169</v>
      </c>
      <c r="AR1712" s="9" t="s">
        <v>169</v>
      </c>
      <c r="AS1712" s="73" t="s">
        <v>169</v>
      </c>
      <c r="AT1712" s="8" t="s">
        <v>169</v>
      </c>
      <c r="AU1712" s="10" t="s">
        <v>169</v>
      </c>
      <c r="AV1712" s="10">
        <v>0</v>
      </c>
      <c r="AX1712" s="10" t="s">
        <v>169</v>
      </c>
      <c r="BF1712" s="12">
        <v>0.46</v>
      </c>
      <c r="BG1712" s="13">
        <v>418.30277100785599</v>
      </c>
      <c r="BH1712" s="96" t="str">
        <f>+VLOOKUP(G1712,Liste!$A$7:$G$50,3,FALSE)</f>
        <v>Pin Maritime</v>
      </c>
      <c r="BI1712" s="96" t="str">
        <f>+VLOOKUP(H1712,Liste!$B$7:$G$50,5,FALSE)</f>
        <v>Landes</v>
      </c>
      <c r="BJ1712" s="135">
        <f t="shared" si="513"/>
        <v>42</v>
      </c>
      <c r="BK1712" s="135" t="str">
        <f t="shared" si="515"/>
        <v>Pin Maritime_F3_Classique_Landes_42_</v>
      </c>
      <c r="BM1712" s="13">
        <v>101.747718426069</v>
      </c>
      <c r="BN1712" s="13">
        <v>520.05048943392501</v>
      </c>
      <c r="BO1712" s="13" t="s">
        <v>169</v>
      </c>
      <c r="BP1712" s="13">
        <v>248.80925905886301</v>
      </c>
      <c r="BQ1712" s="13" t="s">
        <v>169</v>
      </c>
      <c r="BT1712" s="298" t="str">
        <f>+VLOOKUP(G1712,Liste!$A$7:$H$50,8,FALSE)</f>
        <v>Résineux</v>
      </c>
      <c r="BU1712" s="298">
        <f t="shared" si="516"/>
        <v>0</v>
      </c>
      <c r="BV1712" s="300">
        <f t="shared" si="517"/>
        <v>1</v>
      </c>
      <c r="BW1712" s="321">
        <v>0</v>
      </c>
      <c r="BX1712" s="298">
        <f t="shared" si="518"/>
        <v>0.43</v>
      </c>
      <c r="BY1712">
        <f t="shared" si="519"/>
        <v>0</v>
      </c>
      <c r="BZ1712" s="304">
        <f t="shared" si="520"/>
        <v>0</v>
      </c>
      <c r="CB1712" s="299">
        <v>0.6</v>
      </c>
      <c r="CC1712" s="299">
        <v>0.4</v>
      </c>
      <c r="CD1712">
        <f t="shared" si="521"/>
        <v>0</v>
      </c>
      <c r="CE1712">
        <f t="shared" si="522"/>
        <v>0</v>
      </c>
      <c r="CF1712">
        <f t="shared" si="523"/>
        <v>0</v>
      </c>
      <c r="CG1712">
        <f t="shared" si="524"/>
        <v>0</v>
      </c>
      <c r="CH1712">
        <f t="shared" si="525"/>
        <v>0</v>
      </c>
      <c r="CI1712">
        <f t="shared" si="526"/>
        <v>0</v>
      </c>
      <c r="CJ1712">
        <f t="shared" si="527"/>
        <v>0</v>
      </c>
      <c r="CK1712">
        <f t="shared" si="528"/>
        <v>0</v>
      </c>
      <c r="CL1712">
        <f t="shared" si="529"/>
        <v>0</v>
      </c>
      <c r="CM1712">
        <f t="shared" si="531"/>
        <v>0</v>
      </c>
      <c r="CN1712">
        <f t="shared" si="530"/>
        <v>0</v>
      </c>
      <c r="CO1712">
        <f t="shared" si="514"/>
        <v>0</v>
      </c>
    </row>
    <row r="1713" spans="1:93" x14ac:dyDescent="0.25">
      <c r="A1713" s="4">
        <v>2021</v>
      </c>
      <c r="B1713" s="318">
        <v>44425</v>
      </c>
      <c r="C1713" s="4" t="s">
        <v>418</v>
      </c>
      <c r="D1713" s="4" t="s">
        <v>1540</v>
      </c>
      <c r="F1713" s="4" t="s">
        <v>90</v>
      </c>
      <c r="G1713" s="5" t="s">
        <v>419</v>
      </c>
      <c r="H1713" s="5" t="s">
        <v>1541</v>
      </c>
      <c r="I1713" s="5" t="s">
        <v>18</v>
      </c>
      <c r="J1713" s="5" t="s">
        <v>144</v>
      </c>
      <c r="K1713" s="5">
        <v>23.5</v>
      </c>
      <c r="L1713" s="5" t="s">
        <v>1503</v>
      </c>
      <c r="M1713" s="5">
        <v>1250</v>
      </c>
      <c r="N1713" s="5" t="s">
        <v>171</v>
      </c>
      <c r="O1713" s="6" t="s">
        <v>81</v>
      </c>
      <c r="P1713" s="6" t="s">
        <v>1542</v>
      </c>
      <c r="S1713" s="6">
        <v>12</v>
      </c>
      <c r="T1713" s="6">
        <v>8.6199999999999992</v>
      </c>
      <c r="U1713" s="6">
        <v>1250</v>
      </c>
      <c r="V1713" s="6">
        <v>17.11</v>
      </c>
      <c r="W1713" s="6">
        <v>29</v>
      </c>
      <c r="X1713" s="6">
        <v>454</v>
      </c>
      <c r="Y1713" s="6">
        <v>758</v>
      </c>
      <c r="Z1713" s="6">
        <v>9</v>
      </c>
      <c r="AA1713" s="6">
        <v>0</v>
      </c>
      <c r="AB1713" s="6">
        <v>0</v>
      </c>
      <c r="AC1713" s="7">
        <v>43</v>
      </c>
      <c r="AD1713" s="7" t="s">
        <v>52</v>
      </c>
      <c r="AE1713" s="7">
        <v>24.42</v>
      </c>
      <c r="AF1713" s="76">
        <v>299</v>
      </c>
      <c r="AG1713" s="7">
        <v>45.24</v>
      </c>
      <c r="AH1713" s="7">
        <v>43.89</v>
      </c>
      <c r="AI1713" s="7">
        <v>50.23</v>
      </c>
      <c r="AJ1713" s="9">
        <v>494.07758806335198</v>
      </c>
      <c r="AK1713" s="9">
        <v>497.52449411132102</v>
      </c>
      <c r="AL1713" s="9">
        <v>542.70854920857096</v>
      </c>
      <c r="AM1713" s="9" t="s">
        <v>169</v>
      </c>
      <c r="AN1713" s="9" t="s">
        <v>169</v>
      </c>
      <c r="AO1713" s="9" t="s">
        <v>169</v>
      </c>
      <c r="AP1713" s="9" t="s">
        <v>169</v>
      </c>
      <c r="AQ1713" s="9" t="s">
        <v>169</v>
      </c>
      <c r="AR1713" s="9" t="s">
        <v>169</v>
      </c>
      <c r="AS1713" s="73" t="s">
        <v>169</v>
      </c>
      <c r="AT1713" s="8" t="s">
        <v>169</v>
      </c>
      <c r="AU1713" s="10" t="s">
        <v>169</v>
      </c>
      <c r="AV1713" s="10">
        <v>0</v>
      </c>
      <c r="AX1713" s="10" t="s">
        <v>169</v>
      </c>
      <c r="BF1713" s="12">
        <v>0.46</v>
      </c>
      <c r="BG1713" s="13">
        <v>434.79999934093303</v>
      </c>
      <c r="BH1713" s="96" t="str">
        <f>+VLOOKUP(G1713,Liste!$A$7:$G$50,3,FALSE)</f>
        <v>Pin Maritime</v>
      </c>
      <c r="BI1713" s="96" t="str">
        <f>+VLOOKUP(H1713,Liste!$B$7:$G$50,5,FALSE)</f>
        <v>Landes</v>
      </c>
      <c r="BJ1713" s="135">
        <f t="shared" si="513"/>
        <v>43</v>
      </c>
      <c r="BK1713" s="135" t="str">
        <f t="shared" si="515"/>
        <v>Pin Maritime_F3_Classique_Landes_43_</v>
      </c>
      <c r="BM1713" s="13">
        <v>105.306653478591</v>
      </c>
      <c r="BN1713" s="13">
        <v>540.10665281952504</v>
      </c>
      <c r="BO1713" s="13" t="s">
        <v>169</v>
      </c>
      <c r="BP1713" s="13">
        <v>248.80925905886301</v>
      </c>
      <c r="BQ1713" s="13" t="s">
        <v>169</v>
      </c>
      <c r="BT1713" s="298" t="str">
        <f>+VLOOKUP(G1713,Liste!$A$7:$H$50,8,FALSE)</f>
        <v>Résineux</v>
      </c>
      <c r="BU1713" s="298">
        <f t="shared" si="516"/>
        <v>0</v>
      </c>
      <c r="BV1713" s="300">
        <f t="shared" si="517"/>
        <v>1</v>
      </c>
      <c r="BW1713" s="321">
        <v>0</v>
      </c>
      <c r="BX1713" s="298">
        <f t="shared" si="518"/>
        <v>0.43</v>
      </c>
      <c r="BY1713">
        <f t="shared" si="519"/>
        <v>0</v>
      </c>
      <c r="BZ1713" s="304">
        <f t="shared" si="520"/>
        <v>0</v>
      </c>
      <c r="CB1713" s="299">
        <v>0.6</v>
      </c>
      <c r="CC1713" s="299">
        <v>0.4</v>
      </c>
      <c r="CD1713">
        <f t="shared" si="521"/>
        <v>0</v>
      </c>
      <c r="CE1713">
        <f t="shared" si="522"/>
        <v>0</v>
      </c>
      <c r="CF1713">
        <f t="shared" si="523"/>
        <v>0</v>
      </c>
      <c r="CG1713">
        <f t="shared" si="524"/>
        <v>0</v>
      </c>
      <c r="CH1713">
        <f t="shared" si="525"/>
        <v>0</v>
      </c>
      <c r="CI1713">
        <f t="shared" si="526"/>
        <v>0</v>
      </c>
      <c r="CJ1713">
        <f t="shared" si="527"/>
        <v>0</v>
      </c>
      <c r="CK1713">
        <f t="shared" si="528"/>
        <v>0</v>
      </c>
      <c r="CL1713">
        <f t="shared" si="529"/>
        <v>0</v>
      </c>
      <c r="CM1713">
        <f t="shared" si="531"/>
        <v>0</v>
      </c>
      <c r="CN1713">
        <f t="shared" si="530"/>
        <v>0</v>
      </c>
      <c r="CO1713">
        <f t="shared" si="514"/>
        <v>0</v>
      </c>
    </row>
    <row r="1714" spans="1:93" x14ac:dyDescent="0.25">
      <c r="A1714" s="4">
        <v>2021</v>
      </c>
      <c r="B1714" s="318">
        <v>44425</v>
      </c>
      <c r="C1714" s="4" t="s">
        <v>418</v>
      </c>
      <c r="D1714" s="4" t="s">
        <v>1540</v>
      </c>
      <c r="F1714" s="4" t="s">
        <v>90</v>
      </c>
      <c r="G1714" s="5" t="s">
        <v>419</v>
      </c>
      <c r="H1714" s="5" t="s">
        <v>1541</v>
      </c>
      <c r="I1714" s="5" t="s">
        <v>18</v>
      </c>
      <c r="J1714" s="5" t="s">
        <v>144</v>
      </c>
      <c r="K1714" s="5">
        <v>23.5</v>
      </c>
      <c r="L1714" s="5" t="s">
        <v>1503</v>
      </c>
      <c r="M1714" s="5">
        <v>1250</v>
      </c>
      <c r="N1714" s="5" t="s">
        <v>171</v>
      </c>
      <c r="O1714" s="6" t="s">
        <v>81</v>
      </c>
      <c r="P1714" s="6" t="s">
        <v>1542</v>
      </c>
      <c r="S1714" s="6">
        <v>12</v>
      </c>
      <c r="T1714" s="6">
        <v>8.6199999999999992</v>
      </c>
      <c r="U1714" s="6">
        <v>1250</v>
      </c>
      <c r="V1714" s="6">
        <v>17.11</v>
      </c>
      <c r="W1714" s="6">
        <v>29</v>
      </c>
      <c r="X1714" s="6">
        <v>454</v>
      </c>
      <c r="Y1714" s="6">
        <v>758</v>
      </c>
      <c r="Z1714" s="6">
        <v>9</v>
      </c>
      <c r="AA1714" s="6">
        <v>0</v>
      </c>
      <c r="AB1714" s="6">
        <v>0</v>
      </c>
      <c r="AC1714" s="7">
        <v>44</v>
      </c>
      <c r="AD1714" s="7" t="s">
        <v>52</v>
      </c>
      <c r="AE1714" s="7">
        <v>24.71</v>
      </c>
      <c r="AF1714" s="76">
        <v>299</v>
      </c>
      <c r="AG1714" s="7">
        <v>46.52</v>
      </c>
      <c r="AH1714" s="7">
        <v>44.51</v>
      </c>
      <c r="AI1714" s="7">
        <v>51.03</v>
      </c>
      <c r="AJ1714" s="9">
        <v>512.761900345767</v>
      </c>
      <c r="AK1714" s="9">
        <v>516.39456885771403</v>
      </c>
      <c r="AL1714" s="9">
        <v>563.30005534513498</v>
      </c>
      <c r="AM1714" s="9" t="s">
        <v>169</v>
      </c>
      <c r="AN1714" s="9" t="s">
        <v>169</v>
      </c>
      <c r="AO1714" s="9" t="s">
        <v>169</v>
      </c>
      <c r="AP1714" s="9" t="s">
        <v>169</v>
      </c>
      <c r="AQ1714" s="9" t="s">
        <v>169</v>
      </c>
      <c r="AR1714" s="9" t="s">
        <v>169</v>
      </c>
      <c r="AS1714" s="73" t="s">
        <v>169</v>
      </c>
      <c r="AT1714" s="8" t="s">
        <v>169</v>
      </c>
      <c r="AU1714" s="10" t="s">
        <v>169</v>
      </c>
      <c r="AV1714" s="10">
        <v>0</v>
      </c>
      <c r="AX1714" s="10" t="s">
        <v>169</v>
      </c>
      <c r="BF1714" s="12">
        <v>0.46</v>
      </c>
      <c r="BG1714" s="13">
        <v>451.29722767401103</v>
      </c>
      <c r="BH1714" s="96" t="str">
        <f>+VLOOKUP(G1714,Liste!$A$7:$G$50,3,FALSE)</f>
        <v>Pin Maritime</v>
      </c>
      <c r="BI1714" s="96" t="str">
        <f>+VLOOKUP(H1714,Liste!$B$7:$G$50,5,FALSE)</f>
        <v>Landes</v>
      </c>
      <c r="BJ1714" s="135">
        <f t="shared" si="513"/>
        <v>44</v>
      </c>
      <c r="BK1714" s="135" t="str">
        <f t="shared" si="515"/>
        <v>Pin Maritime_F3_Classique_Landes_44_</v>
      </c>
      <c r="BM1714" s="13">
        <v>108.865588531114</v>
      </c>
      <c r="BN1714" s="13">
        <v>560.16281620512405</v>
      </c>
      <c r="BO1714" s="13" t="s">
        <v>169</v>
      </c>
      <c r="BP1714" s="13">
        <v>248.80925905886301</v>
      </c>
      <c r="BQ1714" s="13" t="s">
        <v>169</v>
      </c>
      <c r="BT1714" s="298" t="str">
        <f>+VLOOKUP(G1714,Liste!$A$7:$H$50,8,FALSE)</f>
        <v>Résineux</v>
      </c>
      <c r="BU1714" s="298">
        <f t="shared" si="516"/>
        <v>0</v>
      </c>
      <c r="BV1714" s="300">
        <f t="shared" si="517"/>
        <v>1</v>
      </c>
      <c r="BW1714" s="321">
        <v>0</v>
      </c>
      <c r="BX1714" s="298">
        <f t="shared" si="518"/>
        <v>0.43</v>
      </c>
      <c r="BY1714">
        <f t="shared" si="519"/>
        <v>0</v>
      </c>
      <c r="BZ1714" s="304">
        <f t="shared" si="520"/>
        <v>0</v>
      </c>
      <c r="CB1714" s="299">
        <v>0.6</v>
      </c>
      <c r="CC1714" s="299">
        <v>0.4</v>
      </c>
      <c r="CD1714">
        <f t="shared" si="521"/>
        <v>0</v>
      </c>
      <c r="CE1714">
        <f t="shared" si="522"/>
        <v>0</v>
      </c>
      <c r="CF1714">
        <f t="shared" si="523"/>
        <v>0</v>
      </c>
      <c r="CG1714">
        <f t="shared" si="524"/>
        <v>0</v>
      </c>
      <c r="CH1714">
        <f t="shared" si="525"/>
        <v>0</v>
      </c>
      <c r="CI1714">
        <f t="shared" si="526"/>
        <v>0</v>
      </c>
      <c r="CJ1714">
        <f t="shared" si="527"/>
        <v>0</v>
      </c>
      <c r="CK1714">
        <f t="shared" si="528"/>
        <v>0</v>
      </c>
      <c r="CL1714">
        <f t="shared" si="529"/>
        <v>0</v>
      </c>
      <c r="CM1714">
        <f t="shared" si="531"/>
        <v>0</v>
      </c>
      <c r="CN1714">
        <f t="shared" si="530"/>
        <v>0</v>
      </c>
      <c r="CO1714">
        <f t="shared" si="514"/>
        <v>0</v>
      </c>
    </row>
    <row r="1715" spans="1:93" x14ac:dyDescent="0.25">
      <c r="A1715" s="4">
        <v>2021</v>
      </c>
      <c r="B1715" s="318">
        <v>44425</v>
      </c>
      <c r="C1715" s="4" t="s">
        <v>418</v>
      </c>
      <c r="D1715" s="4" t="s">
        <v>1540</v>
      </c>
      <c r="F1715" s="4" t="s">
        <v>90</v>
      </c>
      <c r="G1715" s="5" t="s">
        <v>419</v>
      </c>
      <c r="H1715" s="5" t="s">
        <v>1541</v>
      </c>
      <c r="I1715" s="5" t="s">
        <v>18</v>
      </c>
      <c r="J1715" s="5" t="s">
        <v>144</v>
      </c>
      <c r="K1715" s="5">
        <v>23.5</v>
      </c>
      <c r="L1715" s="5" t="s">
        <v>1503</v>
      </c>
      <c r="M1715" s="5">
        <v>1250</v>
      </c>
      <c r="N1715" s="5" t="s">
        <v>171</v>
      </c>
      <c r="O1715" s="6" t="s">
        <v>81</v>
      </c>
      <c r="P1715" s="6" t="s">
        <v>1542</v>
      </c>
      <c r="S1715" s="6">
        <v>12</v>
      </c>
      <c r="T1715" s="6">
        <v>8.6199999999999992</v>
      </c>
      <c r="U1715" s="6">
        <v>1250</v>
      </c>
      <c r="V1715" s="6">
        <v>17.11</v>
      </c>
      <c r="W1715" s="6">
        <v>29</v>
      </c>
      <c r="X1715" s="6">
        <v>454</v>
      </c>
      <c r="Y1715" s="6">
        <v>758</v>
      </c>
      <c r="Z1715" s="6">
        <v>9</v>
      </c>
      <c r="AA1715" s="6">
        <v>0</v>
      </c>
      <c r="AB1715" s="6">
        <v>0</v>
      </c>
      <c r="AC1715" s="7">
        <v>45</v>
      </c>
      <c r="AD1715" s="7" t="s">
        <v>52</v>
      </c>
      <c r="AE1715" s="7">
        <v>25</v>
      </c>
      <c r="AF1715" s="76">
        <v>299</v>
      </c>
      <c r="AG1715" s="7">
        <v>47.76</v>
      </c>
      <c r="AH1715" s="7">
        <v>45.1</v>
      </c>
      <c r="AI1715" s="7">
        <v>51.81</v>
      </c>
      <c r="AJ1715" s="9">
        <v>531.44621262818202</v>
      </c>
      <c r="AK1715" s="9">
        <v>535.26464360410796</v>
      </c>
      <c r="AL1715" s="9">
        <v>583.891561481699</v>
      </c>
      <c r="AM1715" s="9">
        <v>79.578453966248006</v>
      </c>
      <c r="AN1715" s="9">
        <v>1.76841008813884</v>
      </c>
      <c r="AO1715" s="9" t="s">
        <v>169</v>
      </c>
      <c r="AP1715" s="9">
        <v>846.40925197435399</v>
      </c>
      <c r="AQ1715" s="9">
        <v>18.809094488319001</v>
      </c>
      <c r="AR1715" s="9" t="s">
        <v>169</v>
      </c>
      <c r="AS1715" s="73" t="s">
        <v>169</v>
      </c>
      <c r="AT1715" s="8" t="s">
        <v>169</v>
      </c>
      <c r="AU1715" s="10" t="s">
        <v>169</v>
      </c>
      <c r="AV1715" s="10">
        <v>0</v>
      </c>
      <c r="AX1715" s="10" t="s">
        <v>169</v>
      </c>
      <c r="BF1715" s="12">
        <v>0.46</v>
      </c>
      <c r="BG1715" s="13">
        <v>467.794456007088</v>
      </c>
      <c r="BH1715" s="96" t="str">
        <f>+VLOOKUP(G1715,Liste!$A$7:$G$50,3,FALSE)</f>
        <v>Pin Maritime</v>
      </c>
      <c r="BI1715" s="96" t="str">
        <f>+VLOOKUP(H1715,Liste!$B$7:$G$50,5,FALSE)</f>
        <v>Landes</v>
      </c>
      <c r="BJ1715" s="135">
        <f t="shared" si="513"/>
        <v>45</v>
      </c>
      <c r="BK1715" s="135" t="str">
        <f t="shared" si="515"/>
        <v>Pin Maritime_F3_Classique_Landes_45_</v>
      </c>
      <c r="BM1715" s="13">
        <v>112.424523583636</v>
      </c>
      <c r="BN1715" s="13">
        <v>580.21897959072396</v>
      </c>
      <c r="BO1715" s="13" t="s">
        <v>169</v>
      </c>
      <c r="BP1715" s="13">
        <v>248.80925905886301</v>
      </c>
      <c r="BQ1715" s="13" t="s">
        <v>169</v>
      </c>
      <c r="BT1715" s="298" t="str">
        <f>+VLOOKUP(G1715,Liste!$A$7:$H$50,8,FALSE)</f>
        <v>Résineux</v>
      </c>
      <c r="BU1715" s="298">
        <f t="shared" si="516"/>
        <v>0</v>
      </c>
      <c r="BV1715" s="300">
        <f t="shared" si="517"/>
        <v>1</v>
      </c>
      <c r="BW1715" s="321">
        <v>0</v>
      </c>
      <c r="BX1715" s="298">
        <f t="shared" si="518"/>
        <v>0.43</v>
      </c>
      <c r="BY1715">
        <f t="shared" si="519"/>
        <v>0</v>
      </c>
      <c r="BZ1715" s="304">
        <f t="shared" si="520"/>
        <v>0</v>
      </c>
      <c r="CB1715" s="299">
        <v>0.6</v>
      </c>
      <c r="CC1715" s="299">
        <v>0.4</v>
      </c>
      <c r="CD1715">
        <f t="shared" si="521"/>
        <v>0</v>
      </c>
      <c r="CE1715">
        <f t="shared" si="522"/>
        <v>0</v>
      </c>
      <c r="CF1715">
        <f t="shared" si="523"/>
        <v>0</v>
      </c>
      <c r="CG1715">
        <f t="shared" si="524"/>
        <v>0</v>
      </c>
      <c r="CH1715">
        <f t="shared" si="525"/>
        <v>0</v>
      </c>
      <c r="CI1715">
        <f t="shared" si="526"/>
        <v>0</v>
      </c>
      <c r="CJ1715">
        <f t="shared" si="527"/>
        <v>0</v>
      </c>
      <c r="CK1715">
        <f t="shared" si="528"/>
        <v>0</v>
      </c>
      <c r="CL1715">
        <f t="shared" si="529"/>
        <v>0</v>
      </c>
      <c r="CM1715">
        <f t="shared" si="531"/>
        <v>0</v>
      </c>
      <c r="CN1715">
        <f t="shared" si="530"/>
        <v>0</v>
      </c>
      <c r="CO1715">
        <f t="shared" si="514"/>
        <v>0</v>
      </c>
    </row>
    <row r="1716" spans="1:93" x14ac:dyDescent="0.25">
      <c r="A1716" s="4">
        <v>2021</v>
      </c>
      <c r="B1716" s="318">
        <v>44425</v>
      </c>
      <c r="C1716" s="4" t="s">
        <v>418</v>
      </c>
      <c r="D1716" s="4" t="s">
        <v>1540</v>
      </c>
      <c r="F1716" s="4" t="s">
        <v>90</v>
      </c>
      <c r="G1716" s="5" t="s">
        <v>419</v>
      </c>
      <c r="H1716" s="5" t="s">
        <v>1541</v>
      </c>
      <c r="I1716" s="5" t="s">
        <v>18</v>
      </c>
      <c r="J1716" s="5" t="s">
        <v>144</v>
      </c>
      <c r="K1716" s="5">
        <v>23.5</v>
      </c>
      <c r="L1716" s="5" t="s">
        <v>1503</v>
      </c>
      <c r="M1716" s="5">
        <v>1250</v>
      </c>
      <c r="N1716" s="5" t="s">
        <v>171</v>
      </c>
      <c r="O1716" s="6" t="s">
        <v>81</v>
      </c>
      <c r="P1716" s="6" t="s">
        <v>1542</v>
      </c>
      <c r="S1716" s="6">
        <v>12</v>
      </c>
      <c r="T1716" s="6">
        <v>8.6199999999999992</v>
      </c>
      <c r="U1716" s="6">
        <v>1250</v>
      </c>
      <c r="V1716" s="6">
        <v>17.11</v>
      </c>
      <c r="W1716" s="6">
        <v>29</v>
      </c>
      <c r="X1716" s="6">
        <v>454</v>
      </c>
      <c r="Y1716" s="6">
        <v>758</v>
      </c>
      <c r="Z1716" s="6">
        <v>9</v>
      </c>
      <c r="AA1716" s="6">
        <v>0</v>
      </c>
      <c r="AB1716" s="6">
        <v>0</v>
      </c>
      <c r="AC1716" s="7">
        <v>45</v>
      </c>
      <c r="AD1716" s="7" t="s">
        <v>53</v>
      </c>
      <c r="AE1716" s="7">
        <v>0</v>
      </c>
      <c r="AF1716" s="76">
        <v>0</v>
      </c>
      <c r="AG1716" s="7">
        <v>0</v>
      </c>
      <c r="AH1716" s="7">
        <v>0</v>
      </c>
      <c r="AI1716" s="7">
        <v>0</v>
      </c>
      <c r="AJ1716" s="9">
        <v>0</v>
      </c>
      <c r="AK1716" s="9">
        <v>0</v>
      </c>
      <c r="AL1716" s="9">
        <v>0</v>
      </c>
      <c r="AM1716" s="9">
        <v>79.578453966248006</v>
      </c>
      <c r="AN1716" s="9">
        <v>1.76841008813884</v>
      </c>
      <c r="AO1716" s="9" t="s">
        <v>169</v>
      </c>
      <c r="AP1716" s="9">
        <v>846.40925197435399</v>
      </c>
      <c r="AQ1716" s="9">
        <v>18.809094488319001</v>
      </c>
      <c r="AR1716" s="9" t="s">
        <v>169</v>
      </c>
      <c r="AS1716" s="73">
        <v>299</v>
      </c>
      <c r="AT1716" s="8">
        <v>47.76</v>
      </c>
      <c r="AU1716" s="10">
        <v>45.097412459996001</v>
      </c>
      <c r="AV1716" s="10">
        <v>531.44621262818202</v>
      </c>
      <c r="AW1716" s="8">
        <v>1</v>
      </c>
      <c r="AX1716" s="10">
        <v>1.7774120823685018</v>
      </c>
      <c r="BF1716" s="12">
        <v>0.46</v>
      </c>
      <c r="BG1716" s="13">
        <v>0</v>
      </c>
      <c r="BH1716" s="96" t="str">
        <f>+VLOOKUP(G1716,Liste!$A$7:$G$50,3,FALSE)</f>
        <v>Pin Maritime</v>
      </c>
      <c r="BI1716" s="96" t="str">
        <f>+VLOOKUP(H1716,Liste!$B$7:$G$50,5,FALSE)</f>
        <v>Landes</v>
      </c>
      <c r="BJ1716" s="135">
        <f t="shared" si="513"/>
        <v>45</v>
      </c>
      <c r="BK1716" s="135" t="str">
        <f t="shared" si="515"/>
        <v>Pin Maritime_F3_Classique_Landes_45_</v>
      </c>
      <c r="BM1716" s="13">
        <v>0</v>
      </c>
      <c r="BN1716" s="13">
        <v>0</v>
      </c>
      <c r="BO1716" s="13">
        <v>580.21897959072396</v>
      </c>
      <c r="BP1716" s="13">
        <v>248.80925905886301</v>
      </c>
      <c r="BQ1716" s="13" t="s">
        <v>169</v>
      </c>
      <c r="BT1716" s="298" t="str">
        <f>+VLOOKUP(G1716,Liste!$A$7:$H$50,8,FALSE)</f>
        <v>Résineux</v>
      </c>
      <c r="BU1716" s="298">
        <f t="shared" si="516"/>
        <v>0</v>
      </c>
      <c r="BV1716" s="300">
        <f t="shared" si="517"/>
        <v>1</v>
      </c>
      <c r="BW1716" s="321">
        <v>0</v>
      </c>
      <c r="BX1716" s="298">
        <f t="shared" si="518"/>
        <v>0.43</v>
      </c>
      <c r="BY1716">
        <f t="shared" si="519"/>
        <v>0</v>
      </c>
      <c r="BZ1716" s="304">
        <f t="shared" si="520"/>
        <v>0</v>
      </c>
      <c r="CB1716" s="299">
        <v>0.6</v>
      </c>
      <c r="CC1716" s="299">
        <v>0.4</v>
      </c>
      <c r="CD1716">
        <f t="shared" si="521"/>
        <v>0</v>
      </c>
      <c r="CE1716">
        <f t="shared" si="522"/>
        <v>0</v>
      </c>
      <c r="CF1716">
        <f t="shared" si="523"/>
        <v>0</v>
      </c>
      <c r="CG1716">
        <f t="shared" si="524"/>
        <v>0</v>
      </c>
      <c r="CH1716">
        <f t="shared" si="525"/>
        <v>0</v>
      </c>
      <c r="CI1716">
        <f t="shared" si="526"/>
        <v>0</v>
      </c>
      <c r="CJ1716">
        <f t="shared" si="527"/>
        <v>0</v>
      </c>
      <c r="CK1716">
        <f t="shared" si="528"/>
        <v>0</v>
      </c>
      <c r="CL1716">
        <f t="shared" si="529"/>
        <v>0</v>
      </c>
      <c r="CM1716">
        <f t="shared" si="531"/>
        <v>0</v>
      </c>
      <c r="CN1716">
        <f t="shared" si="530"/>
        <v>0</v>
      </c>
      <c r="CO1716">
        <f t="shared" si="514"/>
        <v>0</v>
      </c>
    </row>
  </sheetData>
  <autoFilter ref="A2:CO1716" xr:uid="{00000000-0009-0000-0000-000002000000}"/>
  <phoneticPr fontId="21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AG663"/>
  <sheetViews>
    <sheetView showGridLines="0" topLeftCell="A2" zoomScale="85" zoomScaleNormal="85" workbookViewId="0">
      <pane ySplit="1" topLeftCell="A421" activePane="bottomLeft" state="frozen"/>
      <selection activeCell="C10" sqref="C10"/>
      <selection pane="bottomLeft" activeCell="O665" sqref="O665"/>
    </sheetView>
  </sheetViews>
  <sheetFormatPr baseColWidth="10" defaultRowHeight="15" x14ac:dyDescent="0.25"/>
  <cols>
    <col min="1" max="1" width="11.7109375" style="92" bestFit="1" customWidth="1"/>
    <col min="2" max="2" width="10.7109375" style="92"/>
    <col min="3" max="3" width="11.7109375" style="92" bestFit="1" customWidth="1"/>
    <col min="4" max="4" width="44.5703125" style="92" bestFit="1" customWidth="1"/>
    <col min="5" max="7" width="10.7109375" style="92"/>
    <col min="8" max="12" width="10.7109375" style="4"/>
    <col min="13" max="15" width="10.7109375" style="93"/>
    <col min="16" max="19" width="10.7109375" style="94"/>
    <col min="20" max="21" width="10.7109375" style="7"/>
    <col min="22" max="24" width="10.7109375" style="1"/>
    <col min="25" max="26" width="10.7109375" style="95"/>
    <col min="27" max="27" width="82.28515625" style="95" bestFit="1" customWidth="1"/>
    <col min="28" max="28" width="10.7109375" style="1"/>
    <col min="29" max="29" width="18.42578125" style="95" bestFit="1" customWidth="1"/>
    <col min="30" max="30" width="25.28515625" style="1" bestFit="1" customWidth="1"/>
    <col min="31" max="31" width="13.7109375" style="1" bestFit="1" customWidth="1"/>
  </cols>
  <sheetData>
    <row r="1" spans="1:33" x14ac:dyDescent="0.25">
      <c r="A1" s="79"/>
      <c r="B1" s="79"/>
      <c r="C1" s="79"/>
      <c r="D1" s="79"/>
      <c r="E1" s="79"/>
      <c r="F1" s="79"/>
      <c r="G1" s="79"/>
      <c r="H1" s="371" t="s">
        <v>196</v>
      </c>
      <c r="I1" s="371"/>
      <c r="J1" s="371"/>
      <c r="K1" s="371"/>
      <c r="L1" s="371"/>
      <c r="M1" s="372" t="s">
        <v>197</v>
      </c>
      <c r="N1" s="372"/>
      <c r="O1" s="372"/>
      <c r="P1" s="373" t="s">
        <v>198</v>
      </c>
      <c r="Q1" s="373"/>
      <c r="R1" s="373"/>
      <c r="S1" s="373"/>
      <c r="T1" s="80" t="s">
        <v>199</v>
      </c>
      <c r="U1" s="80"/>
      <c r="V1" s="81"/>
      <c r="W1" s="81"/>
      <c r="X1" s="81"/>
      <c r="Y1" s="82"/>
      <c r="Z1" s="82"/>
      <c r="AA1" s="82"/>
      <c r="AB1" s="81"/>
      <c r="AC1" s="82"/>
      <c r="AD1" s="81"/>
      <c r="AE1" s="81"/>
    </row>
    <row r="2" spans="1:33" x14ac:dyDescent="0.25">
      <c r="A2" s="79" t="s">
        <v>200</v>
      </c>
      <c r="B2" s="79" t="s">
        <v>201</v>
      </c>
      <c r="C2" s="79" t="s">
        <v>202</v>
      </c>
      <c r="D2" s="79" t="s">
        <v>203</v>
      </c>
      <c r="E2" s="79" t="s">
        <v>204</v>
      </c>
      <c r="F2" s="79" t="s">
        <v>205</v>
      </c>
      <c r="G2" s="79" t="s">
        <v>2</v>
      </c>
      <c r="H2" s="83" t="s">
        <v>4</v>
      </c>
      <c r="I2" s="83" t="s">
        <v>5</v>
      </c>
      <c r="J2" s="83" t="s">
        <v>206</v>
      </c>
      <c r="K2" s="83" t="s">
        <v>7</v>
      </c>
      <c r="L2" s="83" t="s">
        <v>6</v>
      </c>
      <c r="M2" s="84" t="s">
        <v>4</v>
      </c>
      <c r="N2" s="84" t="s">
        <v>5</v>
      </c>
      <c r="O2" s="84" t="s">
        <v>206</v>
      </c>
      <c r="P2" s="85" t="s">
        <v>207</v>
      </c>
      <c r="Q2" s="85" t="s">
        <v>208</v>
      </c>
      <c r="R2" s="85" t="s">
        <v>209</v>
      </c>
      <c r="S2" s="85" t="s">
        <v>206</v>
      </c>
      <c r="T2" s="80" t="s">
        <v>210</v>
      </c>
      <c r="U2" s="80" t="s">
        <v>211</v>
      </c>
      <c r="V2" s="85" t="s">
        <v>212</v>
      </c>
      <c r="W2" s="81" t="s">
        <v>213</v>
      </c>
      <c r="X2" s="81" t="s">
        <v>214</v>
      </c>
      <c r="Y2" s="82" t="s">
        <v>215</v>
      </c>
      <c r="Z2" s="82" t="s">
        <v>216</v>
      </c>
      <c r="AA2" s="82" t="s">
        <v>217</v>
      </c>
      <c r="AB2" s="79" t="s">
        <v>205</v>
      </c>
      <c r="AC2" s="82" t="s">
        <v>218</v>
      </c>
      <c r="AD2" s="81" t="s">
        <v>219</v>
      </c>
      <c r="AE2" s="81" t="s">
        <v>220</v>
      </c>
      <c r="AF2" t="s">
        <v>1522</v>
      </c>
      <c r="AG2" t="s">
        <v>1523</v>
      </c>
    </row>
    <row r="3" spans="1:33" hidden="1" x14ac:dyDescent="0.25">
      <c r="A3" s="86" t="s">
        <v>221</v>
      </c>
      <c r="B3" s="86" t="s">
        <v>9</v>
      </c>
      <c r="C3" s="86" t="s">
        <v>222</v>
      </c>
      <c r="D3" s="87" t="s">
        <v>223</v>
      </c>
      <c r="E3" s="86">
        <v>100</v>
      </c>
      <c r="F3" s="86">
        <v>0</v>
      </c>
      <c r="G3" s="86">
        <v>0</v>
      </c>
      <c r="H3" s="86" t="s">
        <v>224</v>
      </c>
      <c r="I3" s="86" t="s">
        <v>224</v>
      </c>
      <c r="J3" s="86">
        <v>0</v>
      </c>
      <c r="K3" s="86" t="s">
        <v>224</v>
      </c>
      <c r="L3" s="86" t="s">
        <v>224</v>
      </c>
      <c r="M3" s="86" t="s">
        <v>224</v>
      </c>
      <c r="N3" s="86" t="s">
        <v>224</v>
      </c>
      <c r="O3" s="86" t="s">
        <v>224</v>
      </c>
      <c r="P3" s="86">
        <v>946</v>
      </c>
      <c r="Q3" s="86">
        <v>25.9</v>
      </c>
      <c r="R3" s="86" t="s">
        <v>224</v>
      </c>
      <c r="S3" s="86">
        <v>191</v>
      </c>
      <c r="T3" s="86">
        <v>0.9</v>
      </c>
      <c r="U3" s="86">
        <v>6.7</v>
      </c>
      <c r="V3" s="86" t="str">
        <f>+IF(I3=0,"ap","av_ap")</f>
        <v>av_ap</v>
      </c>
      <c r="W3" s="86">
        <f>+VLOOKUP(A3,infradensité!$A$2:$B$67,2,FALSE)</f>
        <v>0.38</v>
      </c>
      <c r="X3" s="86">
        <v>1.3</v>
      </c>
      <c r="Y3" s="88">
        <f>+X3*W3*J3</f>
        <v>0</v>
      </c>
      <c r="Z3" s="88">
        <v>0</v>
      </c>
      <c r="AA3" s="88" t="str">
        <f t="shared" ref="AA3:AA66" si="0">+_xlfn.CONCAT(A3,"_",B3,"_",C3,"_",D3,"_",AB3,"_")</f>
        <v>Sapin pectiné_F1_Cas général_GS Arc Jurassien_0_</v>
      </c>
      <c r="AB3" s="86">
        <v>0</v>
      </c>
      <c r="AC3" s="88">
        <f>+(Z3+Y3)*0.475*44/12</f>
        <v>0</v>
      </c>
      <c r="AD3" s="86">
        <f>+IF(AC3=0,0,(AC3+AC2)*(AB3-AB2)/2)</f>
        <v>0</v>
      </c>
      <c r="AE3" s="86">
        <f>+SUM($AD$3:$AD$20)/$AB$20</f>
        <v>302.06202876405092</v>
      </c>
    </row>
    <row r="4" spans="1:33" hidden="1" x14ac:dyDescent="0.25">
      <c r="A4" s="86" t="s">
        <v>221</v>
      </c>
      <c r="B4" s="86" t="s">
        <v>9</v>
      </c>
      <c r="C4" s="86" t="s">
        <v>222</v>
      </c>
      <c r="D4" s="87" t="s">
        <v>223</v>
      </c>
      <c r="E4" s="86">
        <v>100</v>
      </c>
      <c r="F4" s="86">
        <v>30</v>
      </c>
      <c r="G4" s="86">
        <v>17.7</v>
      </c>
      <c r="H4" s="86" t="s">
        <v>224</v>
      </c>
      <c r="I4" s="86" t="s">
        <v>224</v>
      </c>
      <c r="J4" s="86">
        <f>+J5/46*30</f>
        <v>207.60869565217394</v>
      </c>
      <c r="K4" s="86" t="s">
        <v>224</v>
      </c>
      <c r="L4" s="86" t="s">
        <v>224</v>
      </c>
      <c r="M4" s="86" t="s">
        <v>224</v>
      </c>
      <c r="N4" s="86" t="s">
        <v>224</v>
      </c>
      <c r="O4" s="86" t="s">
        <v>224</v>
      </c>
      <c r="P4" s="86">
        <v>946</v>
      </c>
      <c r="Q4" s="86">
        <v>25.9</v>
      </c>
      <c r="R4" s="86" t="s">
        <v>224</v>
      </c>
      <c r="S4" s="86">
        <v>191</v>
      </c>
      <c r="T4" s="86">
        <v>0.9</v>
      </c>
      <c r="U4" s="86">
        <v>6.7</v>
      </c>
      <c r="V4" s="86" t="str">
        <f>+IF(I4=0,"ap","av_ap")</f>
        <v>av_ap</v>
      </c>
      <c r="W4" s="86">
        <f>+VLOOKUP(A4,infradensité!$A$2:$B$67,2,FALSE)</f>
        <v>0.38</v>
      </c>
      <c r="X4" s="86">
        <v>1.3</v>
      </c>
      <c r="Y4" s="88">
        <f>+X4*W4*J4</f>
        <v>102.55869565217394</v>
      </c>
      <c r="Z4" s="88">
        <f>+EXP(-1.0587+0.8836*LN(Y4)+0.284)</f>
        <v>27.570672278480625</v>
      </c>
      <c r="AA4" s="88" t="str">
        <f t="shared" si="0"/>
        <v>Sapin pectiné_F1_Cas général_GS Arc Jurassien_30_</v>
      </c>
      <c r="AB4" s="86">
        <v>30</v>
      </c>
      <c r="AC4" s="88">
        <f>+(Z4+Y4)*0.475*44/12</f>
        <v>226.64198247922332</v>
      </c>
      <c r="AD4" s="86">
        <f t="shared" ref="AD4:AD67" si="1">+IF(AC4=0,0,(AC4+AC3)*(AB4-AB3)/2)</f>
        <v>3399.6297371883497</v>
      </c>
      <c r="AE4" s="86">
        <f t="shared" ref="AE4:AE20" si="2">+SUM($AD$3:$AD$20)/$AB$20</f>
        <v>302.06202876405092</v>
      </c>
    </row>
    <row r="5" spans="1:33" hidden="1" x14ac:dyDescent="0.25">
      <c r="A5" s="79" t="s">
        <v>221</v>
      </c>
      <c r="B5" s="79" t="s">
        <v>9</v>
      </c>
      <c r="C5" s="79" t="s">
        <v>222</v>
      </c>
      <c r="D5" s="89" t="s">
        <v>223</v>
      </c>
      <c r="E5" s="79">
        <v>100</v>
      </c>
      <c r="F5" s="79">
        <v>45</v>
      </c>
      <c r="G5" s="79">
        <v>17.7</v>
      </c>
      <c r="H5" s="83" t="s">
        <v>224</v>
      </c>
      <c r="I5" s="83" t="s">
        <v>224</v>
      </c>
      <c r="J5" s="86">
        <f>+J6/60%</f>
        <v>318.33333333333337</v>
      </c>
      <c r="K5" s="83" t="s">
        <v>224</v>
      </c>
      <c r="L5" s="83" t="s">
        <v>224</v>
      </c>
      <c r="M5" s="84" t="s">
        <v>224</v>
      </c>
      <c r="N5" s="84" t="s">
        <v>224</v>
      </c>
      <c r="O5" s="84" t="s">
        <v>224</v>
      </c>
      <c r="P5" s="85">
        <v>946</v>
      </c>
      <c r="Q5" s="85">
        <v>25.9</v>
      </c>
      <c r="R5" s="85" t="s">
        <v>224</v>
      </c>
      <c r="S5" s="85">
        <v>191</v>
      </c>
      <c r="T5" s="80">
        <v>0.9</v>
      </c>
      <c r="U5" s="80">
        <v>6.7</v>
      </c>
      <c r="V5" s="81" t="str">
        <f>+IF(I5=0,"ap","av_ap")</f>
        <v>av_ap</v>
      </c>
      <c r="W5" s="81">
        <f>+VLOOKUP(A5,infradensité!$A$2:$B$67,2,FALSE)</f>
        <v>0.38</v>
      </c>
      <c r="X5" s="81">
        <v>1.3</v>
      </c>
      <c r="Y5" s="82">
        <f>+X5*W5*J5</f>
        <v>157.25666666666669</v>
      </c>
      <c r="Z5" s="82">
        <f>+EXP(-1.0587+0.8836*LN(Y5)+0.284)</f>
        <v>40.223127480608909</v>
      </c>
      <c r="AA5" s="82" t="str">
        <f t="shared" si="0"/>
        <v>Sapin pectiné_F1_Cas général_GS Arc Jurassien_45_</v>
      </c>
      <c r="AB5" s="79">
        <v>45</v>
      </c>
      <c r="AC5" s="82">
        <f>+(Z5+Y5)*0.475*44/12</f>
        <v>343.94397480650497</v>
      </c>
      <c r="AD5" s="86">
        <f t="shared" si="1"/>
        <v>4279.3946796429618</v>
      </c>
      <c r="AE5" s="81">
        <f t="shared" si="2"/>
        <v>302.06202876405092</v>
      </c>
    </row>
    <row r="6" spans="1:33" hidden="1" x14ac:dyDescent="0.25">
      <c r="A6" s="79" t="s">
        <v>221</v>
      </c>
      <c r="B6" s="79" t="s">
        <v>9</v>
      </c>
      <c r="C6" s="79" t="s">
        <v>222</v>
      </c>
      <c r="D6" s="89" t="s">
        <v>223</v>
      </c>
      <c r="E6" s="79">
        <v>100</v>
      </c>
      <c r="F6" s="79">
        <v>45</v>
      </c>
      <c r="G6" s="79">
        <v>17.7</v>
      </c>
      <c r="H6" s="85">
        <v>946</v>
      </c>
      <c r="I6" s="85">
        <v>25.9</v>
      </c>
      <c r="J6" s="85">
        <v>191</v>
      </c>
      <c r="K6" s="85">
        <v>191</v>
      </c>
      <c r="L6" s="83"/>
      <c r="M6" s="84"/>
      <c r="N6" s="84"/>
      <c r="O6" s="84"/>
      <c r="P6" s="85"/>
      <c r="Q6" s="85"/>
      <c r="R6" s="85"/>
      <c r="S6" s="85"/>
      <c r="T6" s="80"/>
      <c r="U6" s="80"/>
      <c r="V6" s="81" t="s">
        <v>53</v>
      </c>
      <c r="W6" s="81">
        <f>+VLOOKUP(A6,infradensité!$A$2:$B$67,2,FALSE)</f>
        <v>0.38</v>
      </c>
      <c r="X6" s="81">
        <v>1.3</v>
      </c>
      <c r="Y6" s="82">
        <f t="shared" ref="Y6:Y75" si="3">+X6*W6*J6</f>
        <v>94.354000000000013</v>
      </c>
      <c r="Z6" s="82">
        <f>+EXP(-1.0587+0.8836*LN(Y6)+0.284)</f>
        <v>25.612400263470157</v>
      </c>
      <c r="AA6" s="82" t="str">
        <f t="shared" si="0"/>
        <v>Sapin pectiné_F1_Cas général_GS Arc Jurassien_45_</v>
      </c>
      <c r="AB6" s="79">
        <v>45</v>
      </c>
      <c r="AC6" s="82">
        <f t="shared" ref="AC6:AC75" si="4">+(Z6+Y6)*0.475*44/12</f>
        <v>208.94148045887721</v>
      </c>
      <c r="AD6" s="86">
        <f t="shared" si="1"/>
        <v>0</v>
      </c>
      <c r="AE6" s="81">
        <f t="shared" si="2"/>
        <v>302.06202876405092</v>
      </c>
    </row>
    <row r="7" spans="1:33" hidden="1" x14ac:dyDescent="0.25">
      <c r="A7" s="79" t="s">
        <v>221</v>
      </c>
      <c r="B7" s="79" t="s">
        <v>9</v>
      </c>
      <c r="C7" s="79" t="s">
        <v>222</v>
      </c>
      <c r="D7" s="89" t="s">
        <v>223</v>
      </c>
      <c r="E7" s="79">
        <v>100</v>
      </c>
      <c r="F7" s="79">
        <v>52</v>
      </c>
      <c r="G7" s="79">
        <v>21</v>
      </c>
      <c r="H7" s="83">
        <v>946</v>
      </c>
      <c r="I7" s="83">
        <v>36.700000000000003</v>
      </c>
      <c r="J7" s="83">
        <v>330</v>
      </c>
      <c r="K7" s="83">
        <v>26.9</v>
      </c>
      <c r="L7" s="83">
        <v>22.2</v>
      </c>
      <c r="M7" s="84">
        <v>230</v>
      </c>
      <c r="N7" s="84">
        <v>8.5</v>
      </c>
      <c r="O7" s="84">
        <v>76</v>
      </c>
      <c r="P7" s="85">
        <v>716</v>
      </c>
      <c r="Q7" s="85">
        <v>28.3</v>
      </c>
      <c r="R7" s="85"/>
      <c r="S7" s="85">
        <v>255</v>
      </c>
      <c r="T7" s="80">
        <v>1.6</v>
      </c>
      <c r="U7" s="80">
        <v>19.8</v>
      </c>
      <c r="V7" s="81" t="str">
        <f>+IF(I7=0,"ap","av_ap")</f>
        <v>av_ap</v>
      </c>
      <c r="W7" s="81">
        <f>+VLOOKUP(A7,infradensité!$A$2:$B$67,2,FALSE)</f>
        <v>0.38</v>
      </c>
      <c r="X7" s="81">
        <v>1.3</v>
      </c>
      <c r="Y7" s="82">
        <f t="shared" si="3"/>
        <v>163.02000000000001</v>
      </c>
      <c r="Z7" s="82">
        <f t="shared" ref="Z7:Z76" si="5">+EXP(-1.0587+0.8836*LN(Y7)+0.284)</f>
        <v>41.52294175893757</v>
      </c>
      <c r="AA7" s="82" t="str">
        <f t="shared" si="0"/>
        <v>Sapin pectiné_F1_Cas général_GS Arc Jurassien_52_</v>
      </c>
      <c r="AB7" s="79">
        <v>52</v>
      </c>
      <c r="AC7" s="82">
        <f t="shared" si="4"/>
        <v>356.24562356348292</v>
      </c>
      <c r="AD7" s="86">
        <f t="shared" si="1"/>
        <v>1978.1548640782605</v>
      </c>
      <c r="AE7" s="81">
        <f t="shared" si="2"/>
        <v>302.06202876405092</v>
      </c>
    </row>
    <row r="8" spans="1:33" hidden="1" x14ac:dyDescent="0.25">
      <c r="A8" s="79" t="s">
        <v>221</v>
      </c>
      <c r="B8" s="79" t="s">
        <v>9</v>
      </c>
      <c r="C8" s="79" t="s">
        <v>222</v>
      </c>
      <c r="D8" s="89" t="s">
        <v>223</v>
      </c>
      <c r="E8" s="79">
        <v>100</v>
      </c>
      <c r="F8" s="79">
        <v>52</v>
      </c>
      <c r="G8" s="79">
        <v>21</v>
      </c>
      <c r="H8" s="85">
        <v>716</v>
      </c>
      <c r="I8" s="85">
        <v>28.3</v>
      </c>
      <c r="J8" s="85">
        <v>255</v>
      </c>
      <c r="K8" s="85">
        <v>255</v>
      </c>
      <c r="L8" s="83"/>
      <c r="M8" s="84"/>
      <c r="N8" s="84"/>
      <c r="O8" s="84"/>
      <c r="P8" s="85"/>
      <c r="Q8" s="85"/>
      <c r="R8" s="85"/>
      <c r="S8" s="85"/>
      <c r="T8" s="80"/>
      <c r="U8" s="80"/>
      <c r="V8" s="81" t="s">
        <v>53</v>
      </c>
      <c r="W8" s="81">
        <f>+VLOOKUP(A8,infradensité!$A$2:$B$67,2,FALSE)</f>
        <v>0.38</v>
      </c>
      <c r="X8" s="81">
        <v>1.3</v>
      </c>
      <c r="Y8" s="82">
        <f t="shared" si="3"/>
        <v>125.97000000000001</v>
      </c>
      <c r="Z8" s="82">
        <f t="shared" si="5"/>
        <v>33.063444852535042</v>
      </c>
      <c r="AA8" s="82" t="str">
        <f t="shared" si="0"/>
        <v>Sapin pectiné_F1_Cas général_GS Arc Jurassien_52_</v>
      </c>
      <c r="AB8" s="79">
        <v>52</v>
      </c>
      <c r="AC8" s="82">
        <f t="shared" si="4"/>
        <v>276.98324978483191</v>
      </c>
      <c r="AD8" s="86">
        <f t="shared" si="1"/>
        <v>0</v>
      </c>
      <c r="AE8" s="81">
        <f t="shared" si="2"/>
        <v>302.06202876405092</v>
      </c>
    </row>
    <row r="9" spans="1:33" hidden="1" x14ac:dyDescent="0.25">
      <c r="A9" s="79" t="s">
        <v>221</v>
      </c>
      <c r="B9" s="79" t="s">
        <v>9</v>
      </c>
      <c r="C9" s="79" t="s">
        <v>222</v>
      </c>
      <c r="D9" s="89" t="s">
        <v>223</v>
      </c>
      <c r="E9" s="79">
        <v>100</v>
      </c>
      <c r="F9" s="79">
        <v>59</v>
      </c>
      <c r="G9" s="79">
        <v>23.9</v>
      </c>
      <c r="H9" s="83">
        <v>716</v>
      </c>
      <c r="I9" s="83">
        <v>37.799999999999997</v>
      </c>
      <c r="J9" s="83">
        <v>385</v>
      </c>
      <c r="K9" s="83">
        <v>31</v>
      </c>
      <c r="L9" s="83">
        <v>25.9</v>
      </c>
      <c r="M9" s="84">
        <v>203</v>
      </c>
      <c r="N9" s="84">
        <v>9.5</v>
      </c>
      <c r="O9" s="84">
        <v>95</v>
      </c>
      <c r="P9" s="85">
        <v>513</v>
      </c>
      <c r="Q9" s="85">
        <v>28.3</v>
      </c>
      <c r="R9" s="85"/>
      <c r="S9" s="85">
        <v>290</v>
      </c>
      <c r="T9" s="80">
        <v>1.4</v>
      </c>
      <c r="U9" s="80">
        <v>18.7</v>
      </c>
      <c r="V9" s="81" t="str">
        <f>+IF(I9=0,"ap","av_ap")</f>
        <v>av_ap</v>
      </c>
      <c r="W9" s="81">
        <f>+VLOOKUP(A9,infradensité!$A$2:$B$67,2,FALSE)</f>
        <v>0.38</v>
      </c>
      <c r="X9" s="81">
        <v>1.3</v>
      </c>
      <c r="Y9" s="82">
        <f t="shared" si="3"/>
        <v>190.19000000000003</v>
      </c>
      <c r="Z9" s="82">
        <f>+EXP(-1.0587+0.8836*LN(Y9)+0.284)</f>
        <v>47.581956709709885</v>
      </c>
      <c r="AA9" s="82" t="str">
        <f t="shared" si="0"/>
        <v>Sapin pectiné_F1_Cas général_GS Arc Jurassien_59_</v>
      </c>
      <c r="AB9" s="79">
        <v>59</v>
      </c>
      <c r="AC9" s="82">
        <f t="shared" si="4"/>
        <v>414.11949126941141</v>
      </c>
      <c r="AD9" s="86">
        <f t="shared" si="1"/>
        <v>2418.8595936898519</v>
      </c>
      <c r="AE9" s="81">
        <f t="shared" si="2"/>
        <v>302.06202876405092</v>
      </c>
    </row>
    <row r="10" spans="1:33" hidden="1" x14ac:dyDescent="0.25">
      <c r="A10" s="79" t="s">
        <v>221</v>
      </c>
      <c r="B10" s="79" t="s">
        <v>9</v>
      </c>
      <c r="C10" s="79" t="s">
        <v>222</v>
      </c>
      <c r="D10" s="89" t="s">
        <v>223</v>
      </c>
      <c r="E10" s="79">
        <v>100</v>
      </c>
      <c r="F10" s="79">
        <v>59</v>
      </c>
      <c r="G10" s="79">
        <v>23.9</v>
      </c>
      <c r="H10" s="85">
        <v>513</v>
      </c>
      <c r="I10" s="85">
        <v>28.3</v>
      </c>
      <c r="J10" s="85">
        <v>290</v>
      </c>
      <c r="K10" s="85">
        <v>290</v>
      </c>
      <c r="L10" s="83"/>
      <c r="M10" s="84"/>
      <c r="N10" s="84"/>
      <c r="O10" s="84"/>
      <c r="P10" s="85"/>
      <c r="Q10" s="85"/>
      <c r="R10" s="85"/>
      <c r="S10" s="85"/>
      <c r="T10" s="80"/>
      <c r="U10" s="80"/>
      <c r="V10" s="81" t="s">
        <v>53</v>
      </c>
      <c r="W10" s="81">
        <f>+VLOOKUP(A10,infradensité!$A$2:$B$67,2,FALSE)</f>
        <v>0.38</v>
      </c>
      <c r="X10" s="81">
        <v>1.3</v>
      </c>
      <c r="Y10" s="82">
        <f t="shared" si="3"/>
        <v>143.26000000000002</v>
      </c>
      <c r="Z10" s="82">
        <f t="shared" si="5"/>
        <v>37.042822268316883</v>
      </c>
      <c r="AA10" s="82" t="str">
        <f t="shared" si="0"/>
        <v>Sapin pectiné_F1_Cas général_GS Arc Jurassien_59_</v>
      </c>
      <c r="AB10" s="79">
        <v>59</v>
      </c>
      <c r="AC10" s="82">
        <f t="shared" si="4"/>
        <v>314.02741545065192</v>
      </c>
      <c r="AD10" s="86">
        <f t="shared" si="1"/>
        <v>0</v>
      </c>
      <c r="AE10" s="81">
        <f t="shared" si="2"/>
        <v>302.06202876405092</v>
      </c>
    </row>
    <row r="11" spans="1:33" hidden="1" x14ac:dyDescent="0.25">
      <c r="A11" s="79" t="s">
        <v>221</v>
      </c>
      <c r="B11" s="79" t="s">
        <v>9</v>
      </c>
      <c r="C11" s="79" t="s">
        <v>222</v>
      </c>
      <c r="D11" s="89" t="s">
        <v>223</v>
      </c>
      <c r="E11" s="79">
        <v>100</v>
      </c>
      <c r="F11" s="79">
        <v>67</v>
      </c>
      <c r="G11" s="79">
        <v>26.8</v>
      </c>
      <c r="H11" s="83">
        <v>513</v>
      </c>
      <c r="I11" s="83">
        <v>37.700000000000003</v>
      </c>
      <c r="J11" s="83">
        <v>429</v>
      </c>
      <c r="K11" s="83">
        <v>35.299999999999997</v>
      </c>
      <c r="L11" s="83">
        <v>30.6</v>
      </c>
      <c r="M11" s="84">
        <v>122</v>
      </c>
      <c r="N11" s="84">
        <v>8.3000000000000007</v>
      </c>
      <c r="O11" s="84">
        <v>94</v>
      </c>
      <c r="P11" s="85">
        <v>391</v>
      </c>
      <c r="Q11" s="85">
        <v>29.4</v>
      </c>
      <c r="R11" s="85"/>
      <c r="S11" s="85">
        <v>335</v>
      </c>
      <c r="T11" s="80">
        <v>1.2</v>
      </c>
      <c r="U11" s="80">
        <v>17.3</v>
      </c>
      <c r="V11" s="81" t="str">
        <f>+IF(I11=0,"ap","av_ap")</f>
        <v>av_ap</v>
      </c>
      <c r="W11" s="81">
        <f>+VLOOKUP(A11,infradensité!$A$2:$B$67,2,FALSE)</f>
        <v>0.38</v>
      </c>
      <c r="X11" s="81">
        <v>1.3</v>
      </c>
      <c r="Y11" s="82">
        <f t="shared" si="3"/>
        <v>211.92600000000002</v>
      </c>
      <c r="Z11" s="82">
        <f t="shared" si="5"/>
        <v>52.356241262970116</v>
      </c>
      <c r="AA11" s="82" t="str">
        <f t="shared" si="0"/>
        <v>Sapin pectiné_F1_Cas général_GS Arc Jurassien_67_</v>
      </c>
      <c r="AB11" s="79">
        <v>67</v>
      </c>
      <c r="AC11" s="82">
        <f t="shared" si="4"/>
        <v>460.291570199673</v>
      </c>
      <c r="AD11" s="86">
        <f t="shared" si="1"/>
        <v>3097.2759426012999</v>
      </c>
      <c r="AE11" s="81">
        <f t="shared" si="2"/>
        <v>302.06202876405092</v>
      </c>
    </row>
    <row r="12" spans="1:33" hidden="1" x14ac:dyDescent="0.25">
      <c r="A12" s="79" t="s">
        <v>221</v>
      </c>
      <c r="B12" s="79" t="s">
        <v>9</v>
      </c>
      <c r="C12" s="79" t="s">
        <v>222</v>
      </c>
      <c r="D12" s="89" t="s">
        <v>223</v>
      </c>
      <c r="E12" s="79">
        <v>100</v>
      </c>
      <c r="F12" s="79">
        <v>67</v>
      </c>
      <c r="G12" s="79">
        <v>26.8</v>
      </c>
      <c r="H12" s="85">
        <v>391</v>
      </c>
      <c r="I12" s="85">
        <v>29.4</v>
      </c>
      <c r="J12" s="85">
        <v>335</v>
      </c>
      <c r="K12" s="85">
        <v>335</v>
      </c>
      <c r="L12" s="83"/>
      <c r="M12" s="84"/>
      <c r="N12" s="84"/>
      <c r="O12" s="84"/>
      <c r="P12" s="85"/>
      <c r="Q12" s="85"/>
      <c r="R12" s="85"/>
      <c r="S12" s="85"/>
      <c r="T12" s="80"/>
      <c r="U12" s="80"/>
      <c r="V12" s="81" t="s">
        <v>53</v>
      </c>
      <c r="W12" s="81">
        <f>+VLOOKUP(A12,infradensité!$A$2:$B$67,2,FALSE)</f>
        <v>0.38</v>
      </c>
      <c r="X12" s="81">
        <v>1.3</v>
      </c>
      <c r="Y12" s="82">
        <f t="shared" si="3"/>
        <v>165.49</v>
      </c>
      <c r="Z12" s="82">
        <f t="shared" si="5"/>
        <v>42.078358405790652</v>
      </c>
      <c r="AA12" s="82" t="str">
        <f t="shared" si="0"/>
        <v>Sapin pectiné_F1_Cas général_GS Arc Jurassien_67_</v>
      </c>
      <c r="AB12" s="79">
        <v>67</v>
      </c>
      <c r="AC12" s="82">
        <f t="shared" si="4"/>
        <v>361.51489089008538</v>
      </c>
      <c r="AD12" s="86">
        <f t="shared" si="1"/>
        <v>0</v>
      </c>
      <c r="AE12" s="81">
        <f t="shared" si="2"/>
        <v>302.06202876405092</v>
      </c>
    </row>
    <row r="13" spans="1:33" hidden="1" x14ac:dyDescent="0.25">
      <c r="A13" s="79" t="s">
        <v>221</v>
      </c>
      <c r="B13" s="79" t="s">
        <v>9</v>
      </c>
      <c r="C13" s="79" t="s">
        <v>222</v>
      </c>
      <c r="D13" s="89" t="s">
        <v>223</v>
      </c>
      <c r="E13" s="79">
        <v>100</v>
      </c>
      <c r="F13" s="79">
        <v>75</v>
      </c>
      <c r="G13" s="79">
        <v>29.2</v>
      </c>
      <c r="H13" s="83">
        <v>391</v>
      </c>
      <c r="I13" s="83">
        <v>37.4</v>
      </c>
      <c r="J13" s="83">
        <v>461</v>
      </c>
      <c r="K13" s="83">
        <v>39.299999999999997</v>
      </c>
      <c r="L13" s="83">
        <v>34.9</v>
      </c>
      <c r="M13" s="84">
        <v>80</v>
      </c>
      <c r="N13" s="84">
        <v>7.2</v>
      </c>
      <c r="O13" s="84">
        <v>88</v>
      </c>
      <c r="P13" s="85">
        <v>311</v>
      </c>
      <c r="Q13" s="85">
        <v>30.2</v>
      </c>
      <c r="R13" s="85"/>
      <c r="S13" s="85">
        <v>372</v>
      </c>
      <c r="T13" s="80">
        <v>1</v>
      </c>
      <c r="U13" s="80">
        <v>15.8</v>
      </c>
      <c r="V13" s="81" t="str">
        <f>+IF(I13=0,"ap","av_ap")</f>
        <v>av_ap</v>
      </c>
      <c r="W13" s="81">
        <f>+VLOOKUP(A13,infradensité!$A$2:$B$67,2,FALSE)</f>
        <v>0.38</v>
      </c>
      <c r="X13" s="81">
        <v>1.3</v>
      </c>
      <c r="Y13" s="82">
        <f t="shared" si="3"/>
        <v>227.73400000000004</v>
      </c>
      <c r="Z13" s="82">
        <f t="shared" si="5"/>
        <v>55.79243737401405</v>
      </c>
      <c r="AA13" s="82" t="str">
        <f t="shared" si="0"/>
        <v>Sapin pectiné_F1_Cas général_GS Arc Jurassien_75_</v>
      </c>
      <c r="AB13" s="79">
        <v>75</v>
      </c>
      <c r="AC13" s="82">
        <f t="shared" si="4"/>
        <v>493.80854509307454</v>
      </c>
      <c r="AD13" s="86">
        <f t="shared" si="1"/>
        <v>3421.2937439326397</v>
      </c>
      <c r="AE13" s="81">
        <f t="shared" si="2"/>
        <v>302.06202876405092</v>
      </c>
    </row>
    <row r="14" spans="1:33" hidden="1" x14ac:dyDescent="0.25">
      <c r="A14" s="79" t="s">
        <v>221</v>
      </c>
      <c r="B14" s="79" t="s">
        <v>9</v>
      </c>
      <c r="C14" s="79" t="s">
        <v>222</v>
      </c>
      <c r="D14" s="89" t="s">
        <v>223</v>
      </c>
      <c r="E14" s="79">
        <v>100</v>
      </c>
      <c r="F14" s="79">
        <v>75</v>
      </c>
      <c r="G14" s="79">
        <v>29.2</v>
      </c>
      <c r="H14" s="85">
        <v>311</v>
      </c>
      <c r="I14" s="85">
        <v>30.2</v>
      </c>
      <c r="J14" s="85">
        <v>372</v>
      </c>
      <c r="K14" s="85">
        <v>372</v>
      </c>
      <c r="L14" s="83"/>
      <c r="M14" s="84"/>
      <c r="N14" s="84"/>
      <c r="O14" s="84"/>
      <c r="P14" s="85"/>
      <c r="Q14" s="85"/>
      <c r="R14" s="85"/>
      <c r="S14" s="85"/>
      <c r="T14" s="80"/>
      <c r="U14" s="80"/>
      <c r="V14" s="81" t="s">
        <v>53</v>
      </c>
      <c r="W14" s="81">
        <f>+VLOOKUP(A14,infradensité!$A$2:$B$67,2,FALSE)</f>
        <v>0.38</v>
      </c>
      <c r="X14" s="81">
        <v>1.3</v>
      </c>
      <c r="Y14" s="82">
        <f t="shared" si="3"/>
        <v>183.76800000000003</v>
      </c>
      <c r="Z14" s="82">
        <f t="shared" si="5"/>
        <v>46.159483283907285</v>
      </c>
      <c r="AA14" s="82" t="str">
        <f t="shared" si="0"/>
        <v>Sapin pectiné_F1_Cas général_GS Arc Jurassien_75_</v>
      </c>
      <c r="AB14" s="79">
        <v>75</v>
      </c>
      <c r="AC14" s="82">
        <f t="shared" si="4"/>
        <v>400.45703338613856</v>
      </c>
      <c r="AD14" s="86">
        <f t="shared" si="1"/>
        <v>0</v>
      </c>
      <c r="AE14" s="81">
        <f t="shared" si="2"/>
        <v>302.06202876405092</v>
      </c>
    </row>
    <row r="15" spans="1:33" hidden="1" x14ac:dyDescent="0.25">
      <c r="A15" s="79" t="s">
        <v>221</v>
      </c>
      <c r="B15" s="79" t="s">
        <v>9</v>
      </c>
      <c r="C15" s="79" t="s">
        <v>222</v>
      </c>
      <c r="D15" s="89" t="s">
        <v>223</v>
      </c>
      <c r="E15" s="79">
        <v>100</v>
      </c>
      <c r="F15" s="79">
        <v>83</v>
      </c>
      <c r="G15" s="79">
        <v>31.3</v>
      </c>
      <c r="H15" s="83">
        <v>311</v>
      </c>
      <c r="I15" s="83">
        <v>37.1</v>
      </c>
      <c r="J15" s="83">
        <v>485</v>
      </c>
      <c r="K15" s="83">
        <v>43</v>
      </c>
      <c r="L15" s="83">
        <v>39</v>
      </c>
      <c r="M15" s="84">
        <v>63</v>
      </c>
      <c r="N15" s="84">
        <v>7.1</v>
      </c>
      <c r="O15" s="84">
        <v>92</v>
      </c>
      <c r="P15" s="85">
        <v>248</v>
      </c>
      <c r="Q15" s="85">
        <v>30</v>
      </c>
      <c r="R15" s="85"/>
      <c r="S15" s="85">
        <v>393</v>
      </c>
      <c r="T15" s="80">
        <v>0.9</v>
      </c>
      <c r="U15" s="80">
        <v>14.1</v>
      </c>
      <c r="V15" s="81" t="str">
        <f>+IF(I15=0,"ap","av_ap")</f>
        <v>av_ap</v>
      </c>
      <c r="W15" s="81">
        <f>+VLOOKUP(A15,infradensité!$A$2:$B$67,2,FALSE)</f>
        <v>0.38</v>
      </c>
      <c r="X15" s="81">
        <v>1.3</v>
      </c>
      <c r="Y15" s="82">
        <f t="shared" si="3"/>
        <v>239.59000000000003</v>
      </c>
      <c r="Z15" s="82">
        <f t="shared" si="5"/>
        <v>58.351308208736043</v>
      </c>
      <c r="AA15" s="82" t="str">
        <f t="shared" si="0"/>
        <v>Sapin pectiné_F1_Cas général_GS Arc Jurassien_83_</v>
      </c>
      <c r="AB15" s="79">
        <v>83</v>
      </c>
      <c r="AC15" s="82">
        <f t="shared" si="4"/>
        <v>518.91444513021531</v>
      </c>
      <c r="AD15" s="86">
        <f t="shared" si="1"/>
        <v>3677.4859140654153</v>
      </c>
      <c r="AE15" s="81">
        <f t="shared" si="2"/>
        <v>302.06202876405092</v>
      </c>
    </row>
    <row r="16" spans="1:33" hidden="1" x14ac:dyDescent="0.25">
      <c r="A16" s="79" t="s">
        <v>221</v>
      </c>
      <c r="B16" s="79" t="s">
        <v>9</v>
      </c>
      <c r="C16" s="79" t="s">
        <v>222</v>
      </c>
      <c r="D16" s="89" t="s">
        <v>223</v>
      </c>
      <c r="E16" s="79">
        <v>100</v>
      </c>
      <c r="F16" s="79">
        <v>83</v>
      </c>
      <c r="G16" s="79">
        <v>31.3</v>
      </c>
      <c r="H16" s="85">
        <v>248</v>
      </c>
      <c r="I16" s="85">
        <v>30</v>
      </c>
      <c r="J16" s="85">
        <v>393</v>
      </c>
      <c r="K16" s="85">
        <v>393</v>
      </c>
      <c r="L16" s="83"/>
      <c r="M16" s="84"/>
      <c r="N16" s="84"/>
      <c r="O16" s="84"/>
      <c r="P16" s="85"/>
      <c r="Q16" s="85"/>
      <c r="R16" s="85"/>
      <c r="S16" s="85"/>
      <c r="T16" s="80"/>
      <c r="U16" s="80"/>
      <c r="V16" s="81" t="s">
        <v>53</v>
      </c>
      <c r="W16" s="81">
        <f>+VLOOKUP(A16,infradensité!$A$2:$B$67,2,FALSE)</f>
        <v>0.38</v>
      </c>
      <c r="X16" s="81">
        <v>1.3</v>
      </c>
      <c r="Y16" s="82">
        <f t="shared" si="3"/>
        <v>194.14200000000002</v>
      </c>
      <c r="Z16" s="82">
        <f t="shared" si="5"/>
        <v>48.454537709515222</v>
      </c>
      <c r="AA16" s="82" t="str">
        <f t="shared" si="0"/>
        <v>Sapin pectiné_F1_Cas général_GS Arc Jurassien_83_</v>
      </c>
      <c r="AB16" s="79">
        <v>83</v>
      </c>
      <c r="AC16" s="82">
        <f t="shared" si="4"/>
        <v>422.52230317740572</v>
      </c>
      <c r="AD16" s="86">
        <f t="shared" si="1"/>
        <v>0</v>
      </c>
      <c r="AE16" s="81">
        <f t="shared" si="2"/>
        <v>302.06202876405092</v>
      </c>
    </row>
    <row r="17" spans="1:31" hidden="1" x14ac:dyDescent="0.25">
      <c r="A17" s="79" t="s">
        <v>221</v>
      </c>
      <c r="B17" s="79" t="s">
        <v>9</v>
      </c>
      <c r="C17" s="79" t="s">
        <v>222</v>
      </c>
      <c r="D17" s="89" t="s">
        <v>223</v>
      </c>
      <c r="E17" s="79">
        <v>100</v>
      </c>
      <c r="F17" s="79">
        <v>91</v>
      </c>
      <c r="G17" s="79">
        <v>33.200000000000003</v>
      </c>
      <c r="H17" s="83">
        <v>248</v>
      </c>
      <c r="I17" s="83">
        <v>35.9</v>
      </c>
      <c r="J17" s="83">
        <v>492</v>
      </c>
      <c r="K17" s="83">
        <v>46.7</v>
      </c>
      <c r="L17" s="83">
        <v>43</v>
      </c>
      <c r="M17" s="84">
        <v>48</v>
      </c>
      <c r="N17" s="84">
        <v>6.5</v>
      </c>
      <c r="O17" s="84">
        <v>89</v>
      </c>
      <c r="P17" s="85">
        <v>200</v>
      </c>
      <c r="Q17" s="85">
        <v>29.5</v>
      </c>
      <c r="R17" s="85"/>
      <c r="S17" s="85">
        <v>404</v>
      </c>
      <c r="T17" s="80">
        <v>0.7</v>
      </c>
      <c r="U17" s="80">
        <v>12.4</v>
      </c>
      <c r="V17" s="81" t="str">
        <f>+IF(I17=0,"ap","av_ap")</f>
        <v>av_ap</v>
      </c>
      <c r="W17" s="81">
        <f>+VLOOKUP(A17,infradensité!$A$2:$B$67,2,FALSE)</f>
        <v>0.38</v>
      </c>
      <c r="X17" s="81">
        <v>1.3</v>
      </c>
      <c r="Y17" s="82">
        <f t="shared" si="3"/>
        <v>243.04800000000003</v>
      </c>
      <c r="Z17" s="82">
        <f t="shared" si="5"/>
        <v>59.094840083652414</v>
      </c>
      <c r="AA17" s="82" t="str">
        <f t="shared" si="0"/>
        <v>Sapin pectiné_F1_Cas général_GS Arc Jurassien_91_</v>
      </c>
      <c r="AB17" s="79">
        <v>91</v>
      </c>
      <c r="AC17" s="82">
        <f t="shared" si="4"/>
        <v>526.2321131456946</v>
      </c>
      <c r="AD17" s="86">
        <f t="shared" si="1"/>
        <v>3795.017665292401</v>
      </c>
      <c r="AE17" s="81">
        <f t="shared" si="2"/>
        <v>302.06202876405092</v>
      </c>
    </row>
    <row r="18" spans="1:31" hidden="1" x14ac:dyDescent="0.25">
      <c r="A18" s="79" t="s">
        <v>221</v>
      </c>
      <c r="B18" s="79" t="s">
        <v>9</v>
      </c>
      <c r="C18" s="79" t="s">
        <v>222</v>
      </c>
      <c r="D18" s="89" t="s">
        <v>223</v>
      </c>
      <c r="E18" s="79">
        <v>100</v>
      </c>
      <c r="F18" s="79">
        <v>91</v>
      </c>
      <c r="G18" s="79">
        <v>33.200000000000003</v>
      </c>
      <c r="H18" s="85">
        <v>200</v>
      </c>
      <c r="I18" s="85">
        <v>29.5</v>
      </c>
      <c r="J18" s="85">
        <v>404</v>
      </c>
      <c r="K18" s="85">
        <v>404</v>
      </c>
      <c r="L18" s="83"/>
      <c r="M18" s="84"/>
      <c r="N18" s="84"/>
      <c r="O18" s="84"/>
      <c r="P18" s="85"/>
      <c r="Q18" s="85"/>
      <c r="R18" s="85"/>
      <c r="S18" s="85"/>
      <c r="T18" s="80"/>
      <c r="U18" s="80"/>
      <c r="V18" s="81" t="s">
        <v>53</v>
      </c>
      <c r="W18" s="81">
        <f>+VLOOKUP(A18,infradensité!$A$2:$B$67,2,FALSE)</f>
        <v>0.38</v>
      </c>
      <c r="X18" s="81">
        <v>1.3</v>
      </c>
      <c r="Y18" s="82">
        <f t="shared" si="3"/>
        <v>199.57600000000002</v>
      </c>
      <c r="Z18" s="82">
        <f t="shared" si="5"/>
        <v>49.6509738522929</v>
      </c>
      <c r="AA18" s="82" t="str">
        <f t="shared" si="0"/>
        <v>Sapin pectiné_F1_Cas général_GS Arc Jurassien_91_</v>
      </c>
      <c r="AB18" s="79">
        <v>91</v>
      </c>
      <c r="AC18" s="82">
        <f t="shared" si="4"/>
        <v>434.07031279274355</v>
      </c>
      <c r="AD18" s="86">
        <f t="shared" si="1"/>
        <v>0</v>
      </c>
      <c r="AE18" s="81">
        <f t="shared" si="2"/>
        <v>302.06202876405092</v>
      </c>
    </row>
    <row r="19" spans="1:31" hidden="1" x14ac:dyDescent="0.25">
      <c r="A19" s="79" t="s">
        <v>221</v>
      </c>
      <c r="B19" s="79" t="s">
        <v>9</v>
      </c>
      <c r="C19" s="79" t="s">
        <v>222</v>
      </c>
      <c r="D19" s="89" t="s">
        <v>223</v>
      </c>
      <c r="E19" s="79">
        <v>100</v>
      </c>
      <c r="F19" s="79">
        <v>99</v>
      </c>
      <c r="G19" s="79">
        <v>34.799999999999997</v>
      </c>
      <c r="H19" s="83">
        <v>200</v>
      </c>
      <c r="I19" s="83">
        <v>34.6</v>
      </c>
      <c r="J19" s="83">
        <v>491</v>
      </c>
      <c r="K19" s="83">
        <v>50.1</v>
      </c>
      <c r="L19" s="83">
        <v>46.9</v>
      </c>
      <c r="M19" s="84" t="s">
        <v>225</v>
      </c>
      <c r="N19" s="84" t="s">
        <v>225</v>
      </c>
      <c r="O19" s="84" t="s">
        <v>225</v>
      </c>
      <c r="P19" s="85" t="s">
        <v>225</v>
      </c>
      <c r="Q19" s="85" t="s">
        <v>225</v>
      </c>
      <c r="R19" s="85" t="s">
        <v>225</v>
      </c>
      <c r="S19" s="85" t="s">
        <v>225</v>
      </c>
      <c r="T19" s="80">
        <v>1</v>
      </c>
      <c r="U19" s="80">
        <v>11.8</v>
      </c>
      <c r="V19" s="81" t="str">
        <f>+IF(I19=0,"ap","av_ap")</f>
        <v>av_ap</v>
      </c>
      <c r="W19" s="81">
        <f>+VLOOKUP(A19,infradensité!$A$2:$B$67,2,FALSE)</f>
        <v>0.38</v>
      </c>
      <c r="X19" s="81">
        <v>1.3</v>
      </c>
      <c r="Y19" s="82">
        <f t="shared" si="3"/>
        <v>242.55400000000003</v>
      </c>
      <c r="Z19" s="82">
        <f t="shared" si="5"/>
        <v>58.988697030462674</v>
      </c>
      <c r="AA19" s="82" t="str">
        <f t="shared" si="0"/>
        <v>Sapin pectiné_F1_Cas général_GS Arc Jurassien_99_</v>
      </c>
      <c r="AB19" s="79">
        <v>99</v>
      </c>
      <c r="AC19" s="82">
        <f t="shared" si="4"/>
        <v>525.18686399472244</v>
      </c>
      <c r="AD19" s="86">
        <f t="shared" si="1"/>
        <v>3837.0287071498642</v>
      </c>
      <c r="AE19" s="81">
        <f t="shared" si="2"/>
        <v>302.06202876405092</v>
      </c>
    </row>
    <row r="20" spans="1:31" hidden="1" x14ac:dyDescent="0.25">
      <c r="A20" s="79" t="s">
        <v>221</v>
      </c>
      <c r="B20" s="79" t="s">
        <v>9</v>
      </c>
      <c r="C20" s="79" t="s">
        <v>222</v>
      </c>
      <c r="D20" s="89" t="s">
        <v>223</v>
      </c>
      <c r="E20" s="79">
        <v>100</v>
      </c>
      <c r="F20" s="79">
        <v>99</v>
      </c>
      <c r="G20" s="79">
        <v>34.799999999999997</v>
      </c>
      <c r="H20" s="85" t="s">
        <v>225</v>
      </c>
      <c r="I20" s="85" t="s">
        <v>225</v>
      </c>
      <c r="J20" s="86">
        <v>0</v>
      </c>
      <c r="K20" s="85" t="s">
        <v>225</v>
      </c>
      <c r="L20" s="83"/>
      <c r="M20" s="84"/>
      <c r="N20" s="84"/>
      <c r="O20" s="84"/>
      <c r="P20" s="85"/>
      <c r="Q20" s="85"/>
      <c r="R20" s="85"/>
      <c r="S20" s="85"/>
      <c r="T20" s="80"/>
      <c r="U20" s="80"/>
      <c r="V20" s="81" t="s">
        <v>53</v>
      </c>
      <c r="W20" s="81">
        <f>+VLOOKUP(A20,infradensité!$A$2:$B$67,2,FALSE)</f>
        <v>0.38</v>
      </c>
      <c r="X20" s="81">
        <v>1.3</v>
      </c>
      <c r="Y20" s="88">
        <v>0</v>
      </c>
      <c r="Z20" s="88">
        <v>0</v>
      </c>
      <c r="AA20" s="88" t="str">
        <f t="shared" si="0"/>
        <v>Sapin pectiné_F1_Cas général_GS Arc Jurassien_99_</v>
      </c>
      <c r="AB20" s="79">
        <v>99</v>
      </c>
      <c r="AC20" s="82">
        <v>0</v>
      </c>
      <c r="AD20" s="86">
        <f t="shared" si="1"/>
        <v>0</v>
      </c>
      <c r="AE20" s="81">
        <f t="shared" si="2"/>
        <v>302.06202876405092</v>
      </c>
    </row>
    <row r="21" spans="1:31" hidden="1" x14ac:dyDescent="0.25">
      <c r="A21" s="86" t="s">
        <v>221</v>
      </c>
      <c r="B21" s="86" t="s">
        <v>10</v>
      </c>
      <c r="C21" s="86" t="s">
        <v>222</v>
      </c>
      <c r="D21" s="87" t="s">
        <v>223</v>
      </c>
      <c r="E21" s="86">
        <v>101</v>
      </c>
      <c r="F21" s="86">
        <v>0</v>
      </c>
      <c r="G21" s="86"/>
      <c r="H21" s="86"/>
      <c r="I21" s="86"/>
      <c r="J21" s="86">
        <v>0</v>
      </c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 t="str">
        <f>+IF(I21=0,"ap","av_ap")</f>
        <v>ap</v>
      </c>
      <c r="W21" s="86">
        <f>+VLOOKUP(A21,infradensité!$A$2:$B$67,2,FALSE)</f>
        <v>0.38</v>
      </c>
      <c r="X21" s="86">
        <v>1.3</v>
      </c>
      <c r="Y21" s="88">
        <f t="shared" ref="Y21:Y22" si="6">+X21*W21*J21</f>
        <v>0</v>
      </c>
      <c r="Z21" s="88">
        <v>0</v>
      </c>
      <c r="AA21" s="88" t="str">
        <f t="shared" si="0"/>
        <v>Sapin pectiné_F2_Cas général_GS Arc Jurassien_0_</v>
      </c>
      <c r="AB21" s="86">
        <v>0</v>
      </c>
      <c r="AC21" s="88">
        <f t="shared" ref="AC21:AC22" si="7">+(Z21+Y21)*0.475*44/12</f>
        <v>0</v>
      </c>
      <c r="AD21" s="86">
        <f t="shared" si="1"/>
        <v>0</v>
      </c>
      <c r="AE21" s="86">
        <f>+SUM($AD$21:$AD$40)/$AB$40</f>
        <v>307.54224442084734</v>
      </c>
    </row>
    <row r="22" spans="1:31" hidden="1" x14ac:dyDescent="0.25">
      <c r="A22" s="86" t="s">
        <v>221</v>
      </c>
      <c r="B22" s="86" t="s">
        <v>10</v>
      </c>
      <c r="C22" s="86" t="s">
        <v>222</v>
      </c>
      <c r="D22" s="87" t="s">
        <v>223</v>
      </c>
      <c r="E22" s="86">
        <v>101</v>
      </c>
      <c r="F22" s="86">
        <v>30</v>
      </c>
      <c r="G22" s="86"/>
      <c r="H22" s="86"/>
      <c r="I22" s="86"/>
      <c r="J22" s="86">
        <f>30*(J23/58)</f>
        <v>186.20689655172413</v>
      </c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 t="s">
        <v>53</v>
      </c>
      <c r="W22" s="86">
        <f>+VLOOKUP(A22,infradensité!$A$2:$B$67,2,FALSE)</f>
        <v>0.38</v>
      </c>
      <c r="X22" s="86">
        <v>1.3</v>
      </c>
      <c r="Y22" s="88">
        <f t="shared" si="6"/>
        <v>91.986206896551735</v>
      </c>
      <c r="Z22" s="88">
        <f t="shared" ref="Z22" si="8">+EXP(-1.0587+0.8836*LN(Y22)+0.284)</f>
        <v>25.043639997661771</v>
      </c>
      <c r="AA22" s="88" t="str">
        <f t="shared" si="0"/>
        <v>Sapin pectiné_F2_Cas général_GS Arc Jurassien_30_</v>
      </c>
      <c r="AB22" s="86">
        <v>30</v>
      </c>
      <c r="AC22" s="88">
        <f t="shared" si="7"/>
        <v>203.82698334075519</v>
      </c>
      <c r="AD22" s="86">
        <f t="shared" si="1"/>
        <v>3057.4047501113278</v>
      </c>
      <c r="AE22" s="86">
        <f t="shared" ref="AE22:AE40" si="9">+SUM($AD$21:$AD$40)/$AB$40</f>
        <v>307.54224442084734</v>
      </c>
    </row>
    <row r="23" spans="1:31" hidden="1" x14ac:dyDescent="0.25">
      <c r="A23" s="79" t="s">
        <v>221</v>
      </c>
      <c r="B23" s="79" t="s">
        <v>10</v>
      </c>
      <c r="C23" s="79" t="s">
        <v>222</v>
      </c>
      <c r="D23" s="89" t="s">
        <v>223</v>
      </c>
      <c r="E23" s="79">
        <v>101</v>
      </c>
      <c r="F23" s="79">
        <v>57</v>
      </c>
      <c r="G23" s="79">
        <v>18.2</v>
      </c>
      <c r="H23" s="83" t="s">
        <v>224</v>
      </c>
      <c r="I23" s="83" t="s">
        <v>224</v>
      </c>
      <c r="J23" s="86">
        <f>+J24/60%</f>
        <v>360</v>
      </c>
      <c r="K23" s="83"/>
      <c r="L23" s="83"/>
      <c r="M23" s="84"/>
      <c r="N23" s="84"/>
      <c r="O23" s="84"/>
      <c r="P23" s="85">
        <v>949</v>
      </c>
      <c r="Q23" s="85">
        <v>27.8</v>
      </c>
      <c r="R23" s="85"/>
      <c r="S23" s="85">
        <v>216</v>
      </c>
      <c r="T23" s="80">
        <v>0.7</v>
      </c>
      <c r="U23" s="80">
        <v>5.6</v>
      </c>
      <c r="V23" s="81" t="str">
        <f>+IF(I23=0,"ap","av_ap")</f>
        <v>av_ap</v>
      </c>
      <c r="W23" s="81">
        <f>+VLOOKUP(A23,infradensité!$A$2:$B$67,2,FALSE)</f>
        <v>0.38</v>
      </c>
      <c r="X23" s="81">
        <v>1.3</v>
      </c>
      <c r="Y23" s="82">
        <f t="shared" si="3"/>
        <v>177.84000000000003</v>
      </c>
      <c r="Z23" s="82">
        <f t="shared" si="5"/>
        <v>44.841288830609102</v>
      </c>
      <c r="AA23" s="82" t="str">
        <f t="shared" si="0"/>
        <v>Sapin pectiné_F2_Cas général_GS Arc Jurassien_57_</v>
      </c>
      <c r="AB23" s="79">
        <v>57</v>
      </c>
      <c r="AC23" s="82">
        <f t="shared" si="4"/>
        <v>387.83657804664426</v>
      </c>
      <c r="AD23" s="86">
        <f t="shared" si="1"/>
        <v>7987.4580787298928</v>
      </c>
      <c r="AE23" s="86">
        <f t="shared" si="9"/>
        <v>307.54224442084734</v>
      </c>
    </row>
    <row r="24" spans="1:31" hidden="1" x14ac:dyDescent="0.25">
      <c r="A24" s="79" t="s">
        <v>221</v>
      </c>
      <c r="B24" s="79" t="s">
        <v>10</v>
      </c>
      <c r="C24" s="79" t="s">
        <v>222</v>
      </c>
      <c r="D24" s="89" t="s">
        <v>223</v>
      </c>
      <c r="E24" s="79">
        <v>101</v>
      </c>
      <c r="F24" s="79">
        <v>57</v>
      </c>
      <c r="G24" s="79">
        <v>18.2</v>
      </c>
      <c r="H24" s="85">
        <v>949</v>
      </c>
      <c r="I24" s="85">
        <v>27.8</v>
      </c>
      <c r="J24" s="85">
        <v>216</v>
      </c>
      <c r="K24" s="85">
        <v>216</v>
      </c>
      <c r="L24" s="83"/>
      <c r="M24" s="84"/>
      <c r="N24" s="84"/>
      <c r="O24" s="84"/>
      <c r="P24" s="85"/>
      <c r="Q24" s="85"/>
      <c r="R24" s="85"/>
      <c r="S24" s="85"/>
      <c r="T24" s="80"/>
      <c r="U24" s="80"/>
      <c r="V24" s="81" t="s">
        <v>53</v>
      </c>
      <c r="W24" s="81">
        <f>+VLOOKUP(A24,infradensité!$A$2:$B$67,2,FALSE)</f>
        <v>0.38</v>
      </c>
      <c r="X24" s="81">
        <v>1.3</v>
      </c>
      <c r="Y24" s="82">
        <f t="shared" si="3"/>
        <v>106.70400000000001</v>
      </c>
      <c r="Z24" s="82">
        <f t="shared" si="5"/>
        <v>28.55305168433533</v>
      </c>
      <c r="AA24" s="82" t="str">
        <f t="shared" si="0"/>
        <v>Sapin pectiné_F2_Cas général_GS Arc Jurassien_57_</v>
      </c>
      <c r="AB24" s="79">
        <v>57</v>
      </c>
      <c r="AC24" s="82">
        <f t="shared" si="4"/>
        <v>235.57269835021739</v>
      </c>
      <c r="AD24" s="86">
        <f t="shared" si="1"/>
        <v>0</v>
      </c>
      <c r="AE24" s="86">
        <f t="shared" si="9"/>
        <v>307.54224442084734</v>
      </c>
    </row>
    <row r="25" spans="1:31" hidden="1" x14ac:dyDescent="0.25">
      <c r="A25" s="79" t="s">
        <v>221</v>
      </c>
      <c r="B25" s="79" t="s">
        <v>10</v>
      </c>
      <c r="C25" s="79" t="s">
        <v>222</v>
      </c>
      <c r="D25" s="89" t="s">
        <v>223</v>
      </c>
      <c r="E25" s="79">
        <v>101</v>
      </c>
      <c r="F25" s="79">
        <v>65</v>
      </c>
      <c r="G25" s="79">
        <v>21</v>
      </c>
      <c r="H25" s="83">
        <v>949</v>
      </c>
      <c r="I25" s="83">
        <v>37</v>
      </c>
      <c r="J25" s="83">
        <v>330</v>
      </c>
      <c r="K25" s="83">
        <v>27</v>
      </c>
      <c r="L25" s="83">
        <v>22</v>
      </c>
      <c r="M25" s="84">
        <v>241</v>
      </c>
      <c r="N25" s="84">
        <v>9</v>
      </c>
      <c r="O25" s="84">
        <v>80</v>
      </c>
      <c r="P25" s="85">
        <v>708</v>
      </c>
      <c r="Q25" s="85">
        <v>28</v>
      </c>
      <c r="R25" s="85"/>
      <c r="S25" s="85">
        <v>250</v>
      </c>
      <c r="T25" s="80">
        <v>1.1000000000000001</v>
      </c>
      <c r="U25" s="80">
        <v>14.2</v>
      </c>
      <c r="V25" s="81" t="str">
        <f>+IF(I25=0,"ap","av_ap")</f>
        <v>av_ap</v>
      </c>
      <c r="W25" s="81">
        <f>+VLOOKUP(A25,infradensité!$A$2:$B$67,2,FALSE)</f>
        <v>0.38</v>
      </c>
      <c r="X25" s="81">
        <v>1.3</v>
      </c>
      <c r="Y25" s="82">
        <f t="shared" si="3"/>
        <v>163.02000000000001</v>
      </c>
      <c r="Z25" s="82">
        <f t="shared" si="5"/>
        <v>41.52294175893757</v>
      </c>
      <c r="AA25" s="82" t="str">
        <f t="shared" si="0"/>
        <v>Sapin pectiné_F2_Cas général_GS Arc Jurassien_65_</v>
      </c>
      <c r="AB25" s="79">
        <v>65</v>
      </c>
      <c r="AC25" s="82">
        <f t="shared" si="4"/>
        <v>356.24562356348292</v>
      </c>
      <c r="AD25" s="86">
        <f t="shared" si="1"/>
        <v>2367.2732876548012</v>
      </c>
      <c r="AE25" s="86">
        <f t="shared" si="9"/>
        <v>307.54224442084734</v>
      </c>
    </row>
    <row r="26" spans="1:31" hidden="1" x14ac:dyDescent="0.25">
      <c r="A26" s="79" t="s">
        <v>221</v>
      </c>
      <c r="B26" s="79" t="s">
        <v>10</v>
      </c>
      <c r="C26" s="79" t="s">
        <v>222</v>
      </c>
      <c r="D26" s="89" t="s">
        <v>223</v>
      </c>
      <c r="E26" s="79">
        <v>101</v>
      </c>
      <c r="F26" s="79">
        <v>65</v>
      </c>
      <c r="G26" s="79">
        <v>21</v>
      </c>
      <c r="H26" s="85">
        <v>708</v>
      </c>
      <c r="I26" s="85">
        <v>28</v>
      </c>
      <c r="J26" s="85">
        <v>250</v>
      </c>
      <c r="K26" s="85">
        <v>250</v>
      </c>
      <c r="L26" s="83"/>
      <c r="M26" s="84"/>
      <c r="N26" s="84"/>
      <c r="O26" s="84"/>
      <c r="P26" s="85"/>
      <c r="Q26" s="85"/>
      <c r="R26" s="85"/>
      <c r="S26" s="85"/>
      <c r="T26" s="80"/>
      <c r="U26" s="80"/>
      <c r="V26" s="81" t="s">
        <v>53</v>
      </c>
      <c r="W26" s="81">
        <f>+VLOOKUP(A26,infradensité!$A$2:$B$67,2,FALSE)</f>
        <v>0.38</v>
      </c>
      <c r="X26" s="81">
        <v>1.3</v>
      </c>
      <c r="Y26" s="82">
        <f t="shared" si="3"/>
        <v>123.50000000000001</v>
      </c>
      <c r="Z26" s="82">
        <f t="shared" si="5"/>
        <v>32.489945930859669</v>
      </c>
      <c r="AA26" s="82" t="str">
        <f t="shared" si="0"/>
        <v>Sapin pectiné_F2_Cas général_GS Arc Jurassien_65_</v>
      </c>
      <c r="AB26" s="79">
        <v>65</v>
      </c>
      <c r="AC26" s="82">
        <f t="shared" si="4"/>
        <v>271.6824891629139</v>
      </c>
      <c r="AD26" s="86">
        <f t="shared" si="1"/>
        <v>0</v>
      </c>
      <c r="AE26" s="86">
        <f t="shared" si="9"/>
        <v>307.54224442084734</v>
      </c>
    </row>
    <row r="27" spans="1:31" hidden="1" x14ac:dyDescent="0.25">
      <c r="A27" s="79" t="s">
        <v>221</v>
      </c>
      <c r="B27" s="79" t="s">
        <v>10</v>
      </c>
      <c r="C27" s="79" t="s">
        <v>222</v>
      </c>
      <c r="D27" s="89" t="s">
        <v>223</v>
      </c>
      <c r="E27" s="79">
        <v>101</v>
      </c>
      <c r="F27" s="79">
        <v>73</v>
      </c>
      <c r="G27" s="79">
        <v>23.5</v>
      </c>
      <c r="H27" s="83">
        <v>708</v>
      </c>
      <c r="I27" s="83">
        <v>36.1</v>
      </c>
      <c r="J27" s="83">
        <v>360</v>
      </c>
      <c r="K27" s="83">
        <v>31</v>
      </c>
      <c r="L27" s="83">
        <v>25</v>
      </c>
      <c r="M27" s="84">
        <v>159</v>
      </c>
      <c r="N27" s="84">
        <v>7.5</v>
      </c>
      <c r="O27" s="84">
        <v>74</v>
      </c>
      <c r="P27" s="85">
        <v>549</v>
      </c>
      <c r="Q27" s="85">
        <v>28.6</v>
      </c>
      <c r="R27" s="85"/>
      <c r="S27" s="85">
        <v>286</v>
      </c>
      <c r="T27" s="80">
        <v>1</v>
      </c>
      <c r="U27" s="80">
        <v>13.7</v>
      </c>
      <c r="V27" s="81" t="str">
        <f>+IF(I27=0,"ap","av_ap")</f>
        <v>av_ap</v>
      </c>
      <c r="W27" s="81">
        <f>+VLOOKUP(A27,infradensité!$A$2:$B$67,2,FALSE)</f>
        <v>0.38</v>
      </c>
      <c r="X27" s="81">
        <v>1.3</v>
      </c>
      <c r="Y27" s="82">
        <f t="shared" si="3"/>
        <v>177.84000000000003</v>
      </c>
      <c r="Z27" s="82">
        <f t="shared" si="5"/>
        <v>44.841288830609102</v>
      </c>
      <c r="AA27" s="82" t="str">
        <f t="shared" si="0"/>
        <v>Sapin pectiné_F2_Cas général_GS Arc Jurassien_73_</v>
      </c>
      <c r="AB27" s="79">
        <v>73</v>
      </c>
      <c r="AC27" s="82">
        <f t="shared" si="4"/>
        <v>387.83657804664426</v>
      </c>
      <c r="AD27" s="86">
        <f t="shared" si="1"/>
        <v>2638.0762688382329</v>
      </c>
      <c r="AE27" s="86">
        <f t="shared" si="9"/>
        <v>307.54224442084734</v>
      </c>
    </row>
    <row r="28" spans="1:31" hidden="1" x14ac:dyDescent="0.25">
      <c r="A28" s="79" t="s">
        <v>221</v>
      </c>
      <c r="B28" s="79" t="s">
        <v>10</v>
      </c>
      <c r="C28" s="79" t="s">
        <v>222</v>
      </c>
      <c r="D28" s="89" t="s">
        <v>223</v>
      </c>
      <c r="E28" s="79">
        <v>101</v>
      </c>
      <c r="F28" s="79">
        <v>73</v>
      </c>
      <c r="G28" s="79">
        <v>23.5</v>
      </c>
      <c r="H28" s="85">
        <v>549</v>
      </c>
      <c r="I28" s="85">
        <v>28.6</v>
      </c>
      <c r="J28" s="85">
        <v>286</v>
      </c>
      <c r="K28" s="85">
        <v>286</v>
      </c>
      <c r="L28" s="83"/>
      <c r="M28" s="84"/>
      <c r="N28" s="84"/>
      <c r="O28" s="84"/>
      <c r="P28" s="85"/>
      <c r="Q28" s="85"/>
      <c r="R28" s="85"/>
      <c r="S28" s="85"/>
      <c r="T28" s="80"/>
      <c r="U28" s="80"/>
      <c r="V28" s="81" t="s">
        <v>53</v>
      </c>
      <c r="W28" s="81">
        <f>+VLOOKUP(A28,infradensité!$A$2:$B$67,2,FALSE)</f>
        <v>0.38</v>
      </c>
      <c r="X28" s="81">
        <v>1.3</v>
      </c>
      <c r="Y28" s="82">
        <f t="shared" si="3"/>
        <v>141.28400000000002</v>
      </c>
      <c r="Z28" s="82">
        <f t="shared" si="5"/>
        <v>36.590995389162657</v>
      </c>
      <c r="AA28" s="82" t="str">
        <f t="shared" si="0"/>
        <v>Sapin pectiné_F2_Cas général_GS Arc Jurassien_73_</v>
      </c>
      <c r="AB28" s="79">
        <v>73</v>
      </c>
      <c r="AC28" s="82">
        <f t="shared" si="4"/>
        <v>309.79895030279164</v>
      </c>
      <c r="AD28" s="86">
        <f t="shared" si="1"/>
        <v>0</v>
      </c>
      <c r="AE28" s="86">
        <f t="shared" si="9"/>
        <v>307.54224442084734</v>
      </c>
    </row>
    <row r="29" spans="1:31" hidden="1" x14ac:dyDescent="0.25">
      <c r="A29" s="79" t="s">
        <v>221</v>
      </c>
      <c r="B29" s="79" t="s">
        <v>10</v>
      </c>
      <c r="C29" s="79" t="s">
        <v>222</v>
      </c>
      <c r="D29" s="89" t="s">
        <v>223</v>
      </c>
      <c r="E29" s="79">
        <v>101</v>
      </c>
      <c r="F29" s="79">
        <v>81</v>
      </c>
      <c r="G29" s="79">
        <v>25.7</v>
      </c>
      <c r="H29" s="83">
        <v>549</v>
      </c>
      <c r="I29" s="83">
        <v>35.799999999999997</v>
      </c>
      <c r="J29" s="83">
        <v>390</v>
      </c>
      <c r="K29" s="83">
        <v>34</v>
      </c>
      <c r="L29" s="83">
        <v>29</v>
      </c>
      <c r="M29" s="84">
        <v>120</v>
      </c>
      <c r="N29" s="84">
        <v>7.6</v>
      </c>
      <c r="O29" s="84">
        <v>83</v>
      </c>
      <c r="P29" s="85">
        <v>429</v>
      </c>
      <c r="Q29" s="85">
        <v>28.1</v>
      </c>
      <c r="R29" s="85"/>
      <c r="S29" s="85">
        <v>307</v>
      </c>
      <c r="T29" s="80">
        <v>0.9</v>
      </c>
      <c r="U29" s="80">
        <v>13</v>
      </c>
      <c r="V29" s="81" t="str">
        <f>+IF(I29=0,"ap","av_ap")</f>
        <v>av_ap</v>
      </c>
      <c r="W29" s="81">
        <f>+VLOOKUP(A29,infradensité!$A$2:$B$67,2,FALSE)</f>
        <v>0.38</v>
      </c>
      <c r="X29" s="81">
        <v>1.3</v>
      </c>
      <c r="Y29" s="82">
        <f t="shared" si="3"/>
        <v>192.66000000000003</v>
      </c>
      <c r="Z29" s="82">
        <f t="shared" si="5"/>
        <v>48.127564387788738</v>
      </c>
      <c r="AA29" s="82" t="str">
        <f t="shared" si="0"/>
        <v>Sapin pectiné_F2_Cas général_GS Arc Jurassien_81_</v>
      </c>
      <c r="AB29" s="79">
        <v>81</v>
      </c>
      <c r="AC29" s="82">
        <f t="shared" si="4"/>
        <v>419.37167464206544</v>
      </c>
      <c r="AD29" s="86">
        <f t="shared" si="1"/>
        <v>2916.6824997794283</v>
      </c>
      <c r="AE29" s="86">
        <f t="shared" si="9"/>
        <v>307.54224442084734</v>
      </c>
    </row>
    <row r="30" spans="1:31" hidden="1" x14ac:dyDescent="0.25">
      <c r="A30" s="79" t="s">
        <v>221</v>
      </c>
      <c r="B30" s="79" t="s">
        <v>10</v>
      </c>
      <c r="C30" s="79" t="s">
        <v>222</v>
      </c>
      <c r="D30" s="89" t="s">
        <v>223</v>
      </c>
      <c r="E30" s="79">
        <v>101</v>
      </c>
      <c r="F30" s="79">
        <v>81</v>
      </c>
      <c r="G30" s="79">
        <v>25.7</v>
      </c>
      <c r="H30" s="85">
        <v>429</v>
      </c>
      <c r="I30" s="85">
        <v>28.1</v>
      </c>
      <c r="J30" s="85">
        <v>307</v>
      </c>
      <c r="K30" s="85">
        <v>307</v>
      </c>
      <c r="L30" s="83"/>
      <c r="M30" s="84"/>
      <c r="N30" s="84"/>
      <c r="O30" s="84"/>
      <c r="P30" s="85"/>
      <c r="Q30" s="85"/>
      <c r="R30" s="85"/>
      <c r="S30" s="85"/>
      <c r="T30" s="80"/>
      <c r="U30" s="80"/>
      <c r="V30" s="81" t="s">
        <v>53</v>
      </c>
      <c r="W30" s="81">
        <f>+VLOOKUP(A30,infradensité!$A$2:$B$67,2,FALSE)</f>
        <v>0.38</v>
      </c>
      <c r="X30" s="81">
        <v>1.3</v>
      </c>
      <c r="Y30" s="82">
        <f t="shared" si="3"/>
        <v>151.65800000000002</v>
      </c>
      <c r="Z30" s="82">
        <f t="shared" si="5"/>
        <v>38.955130673358774</v>
      </c>
      <c r="AA30" s="82" t="str">
        <f t="shared" si="0"/>
        <v>Sapin pectiné_F2_Cas général_GS Arc Jurassien_81_</v>
      </c>
      <c r="AB30" s="79">
        <v>81</v>
      </c>
      <c r="AC30" s="82">
        <f t="shared" si="4"/>
        <v>331.98453592276655</v>
      </c>
      <c r="AD30" s="86">
        <f t="shared" si="1"/>
        <v>0</v>
      </c>
      <c r="AE30" s="86">
        <f t="shared" si="9"/>
        <v>307.54224442084734</v>
      </c>
    </row>
    <row r="31" spans="1:31" hidden="1" x14ac:dyDescent="0.25">
      <c r="A31" s="79" t="s">
        <v>221</v>
      </c>
      <c r="B31" s="79" t="s">
        <v>10</v>
      </c>
      <c r="C31" s="79" t="s">
        <v>222</v>
      </c>
      <c r="D31" s="89" t="s">
        <v>223</v>
      </c>
      <c r="E31" s="79">
        <v>101</v>
      </c>
      <c r="F31" s="79">
        <v>90</v>
      </c>
      <c r="G31" s="79">
        <v>27.9</v>
      </c>
      <c r="H31" s="83">
        <v>429</v>
      </c>
      <c r="I31" s="83">
        <v>35.200000000000003</v>
      </c>
      <c r="J31" s="83">
        <v>415</v>
      </c>
      <c r="K31" s="83">
        <v>37</v>
      </c>
      <c r="L31" s="83">
        <v>32</v>
      </c>
      <c r="M31" s="84">
        <v>86</v>
      </c>
      <c r="N31" s="84">
        <v>6.6</v>
      </c>
      <c r="O31" s="84">
        <v>78</v>
      </c>
      <c r="P31" s="85">
        <v>343</v>
      </c>
      <c r="Q31" s="85">
        <v>28.6</v>
      </c>
      <c r="R31" s="85"/>
      <c r="S31" s="85">
        <v>33</v>
      </c>
      <c r="T31" s="80">
        <v>0.8</v>
      </c>
      <c r="U31" s="80">
        <v>12</v>
      </c>
      <c r="V31" s="81" t="str">
        <f>+IF(I31=0,"ap","av_ap")</f>
        <v>av_ap</v>
      </c>
      <c r="W31" s="81">
        <f>+VLOOKUP(A31,infradensité!$A$2:$B$67,2,FALSE)</f>
        <v>0.38</v>
      </c>
      <c r="X31" s="81">
        <v>1.3</v>
      </c>
      <c r="Y31" s="82">
        <f t="shared" si="3"/>
        <v>205.01000000000002</v>
      </c>
      <c r="Z31" s="82">
        <f t="shared" si="5"/>
        <v>50.843623629804377</v>
      </c>
      <c r="AA31" s="82" t="str">
        <f t="shared" si="0"/>
        <v>Sapin pectiné_F2_Cas général_GS Arc Jurassien_90_</v>
      </c>
      <c r="AB31" s="79">
        <v>90</v>
      </c>
      <c r="AC31" s="82">
        <f t="shared" si="4"/>
        <v>445.61172782190926</v>
      </c>
      <c r="AD31" s="86">
        <f t="shared" si="1"/>
        <v>3499.1831868510408</v>
      </c>
      <c r="AE31" s="86">
        <f t="shared" si="9"/>
        <v>307.54224442084734</v>
      </c>
    </row>
    <row r="32" spans="1:31" hidden="1" x14ac:dyDescent="0.25">
      <c r="A32" s="79" t="s">
        <v>221</v>
      </c>
      <c r="B32" s="79" t="s">
        <v>10</v>
      </c>
      <c r="C32" s="79" t="s">
        <v>222</v>
      </c>
      <c r="D32" s="89" t="s">
        <v>223</v>
      </c>
      <c r="E32" s="79">
        <v>101</v>
      </c>
      <c r="F32" s="79">
        <v>90</v>
      </c>
      <c r="G32" s="79">
        <v>27.9</v>
      </c>
      <c r="H32" s="85">
        <v>343</v>
      </c>
      <c r="I32" s="85">
        <v>28.6</v>
      </c>
      <c r="J32" s="85">
        <v>337</v>
      </c>
      <c r="K32" s="85">
        <v>33</v>
      </c>
      <c r="L32" s="83"/>
      <c r="M32" s="84"/>
      <c r="N32" s="84"/>
      <c r="O32" s="84"/>
      <c r="P32" s="85"/>
      <c r="Q32" s="85"/>
      <c r="R32" s="85"/>
      <c r="S32" s="85"/>
      <c r="T32" s="80"/>
      <c r="U32" s="80"/>
      <c r="V32" s="81" t="s">
        <v>53</v>
      </c>
      <c r="W32" s="81">
        <f>+VLOOKUP(A32,infradensité!$A$2:$B$67,2,FALSE)</f>
        <v>0.38</v>
      </c>
      <c r="X32" s="81">
        <v>1.3</v>
      </c>
      <c r="Y32" s="82">
        <f t="shared" si="3"/>
        <v>166.47800000000001</v>
      </c>
      <c r="Z32" s="82">
        <f t="shared" si="5"/>
        <v>42.300254210470946</v>
      </c>
      <c r="AA32" s="82" t="str">
        <f t="shared" si="0"/>
        <v>Sapin pectiné_F2_Cas général_GS Arc Jurassien_90_</v>
      </c>
      <c r="AB32" s="79">
        <v>90</v>
      </c>
      <c r="AC32" s="82">
        <f t="shared" si="4"/>
        <v>363.62212608323688</v>
      </c>
      <c r="AD32" s="86">
        <f t="shared" si="1"/>
        <v>0</v>
      </c>
      <c r="AE32" s="86">
        <f t="shared" si="9"/>
        <v>307.54224442084734</v>
      </c>
    </row>
    <row r="33" spans="1:31" hidden="1" x14ac:dyDescent="0.25">
      <c r="A33" s="79" t="s">
        <v>221</v>
      </c>
      <c r="B33" s="79" t="s">
        <v>10</v>
      </c>
      <c r="C33" s="79" t="s">
        <v>222</v>
      </c>
      <c r="D33" s="89" t="s">
        <v>223</v>
      </c>
      <c r="E33" s="79">
        <v>101</v>
      </c>
      <c r="F33" s="79">
        <v>99</v>
      </c>
      <c r="G33" s="79">
        <v>29.8</v>
      </c>
      <c r="H33" s="83">
        <v>343</v>
      </c>
      <c r="I33" s="83">
        <v>34.799999999999997</v>
      </c>
      <c r="J33" s="83">
        <v>435</v>
      </c>
      <c r="K33" s="83">
        <v>41</v>
      </c>
      <c r="L33" s="83">
        <v>36</v>
      </c>
      <c r="M33" s="84">
        <v>62</v>
      </c>
      <c r="N33" s="84">
        <v>6.2</v>
      </c>
      <c r="O33" s="84">
        <v>76</v>
      </c>
      <c r="P33" s="85">
        <v>281</v>
      </c>
      <c r="Q33" s="85">
        <v>28.7</v>
      </c>
      <c r="R33" s="85"/>
      <c r="S33" s="85">
        <v>359</v>
      </c>
      <c r="T33" s="80">
        <v>0.7</v>
      </c>
      <c r="U33" s="80">
        <v>10.9</v>
      </c>
      <c r="V33" s="81" t="str">
        <f>+IF(I33=0,"ap","av_ap")</f>
        <v>av_ap</v>
      </c>
      <c r="W33" s="81">
        <f>+VLOOKUP(A33,infradensité!$A$2:$B$67,2,FALSE)</f>
        <v>0.38</v>
      </c>
      <c r="X33" s="81">
        <v>1.3</v>
      </c>
      <c r="Y33" s="82">
        <f t="shared" si="3"/>
        <v>214.89000000000001</v>
      </c>
      <c r="Z33" s="82">
        <f t="shared" si="5"/>
        <v>53.002737944530729</v>
      </c>
      <c r="AA33" s="82" t="str">
        <f t="shared" si="0"/>
        <v>Sapin pectiné_F2_Cas général_GS Arc Jurassien_99_</v>
      </c>
      <c r="AB33" s="79">
        <v>99</v>
      </c>
      <c r="AC33" s="82">
        <f t="shared" si="4"/>
        <v>466.57985192005771</v>
      </c>
      <c r="AD33" s="86">
        <f t="shared" si="1"/>
        <v>3735.9089010148255</v>
      </c>
      <c r="AE33" s="86">
        <f t="shared" si="9"/>
        <v>307.54224442084734</v>
      </c>
    </row>
    <row r="34" spans="1:31" hidden="1" x14ac:dyDescent="0.25">
      <c r="A34" s="79" t="s">
        <v>221</v>
      </c>
      <c r="B34" s="79" t="s">
        <v>10</v>
      </c>
      <c r="C34" s="79" t="s">
        <v>222</v>
      </c>
      <c r="D34" s="89" t="s">
        <v>223</v>
      </c>
      <c r="E34" s="79">
        <v>101</v>
      </c>
      <c r="F34" s="79">
        <v>99</v>
      </c>
      <c r="G34" s="79">
        <v>29.8</v>
      </c>
      <c r="H34" s="85">
        <v>281</v>
      </c>
      <c r="I34" s="85">
        <v>28.7</v>
      </c>
      <c r="J34" s="85">
        <v>359</v>
      </c>
      <c r="K34" s="85">
        <v>359</v>
      </c>
      <c r="L34" s="83"/>
      <c r="M34" s="84"/>
      <c r="N34" s="84"/>
      <c r="O34" s="84"/>
      <c r="P34" s="85"/>
      <c r="Q34" s="85"/>
      <c r="R34" s="85"/>
      <c r="S34" s="85"/>
      <c r="T34" s="80"/>
      <c r="U34" s="80"/>
      <c r="V34" s="81" t="s">
        <v>53</v>
      </c>
      <c r="W34" s="81">
        <f>+VLOOKUP(A34,infradensité!$A$2:$B$67,2,FALSE)</f>
        <v>0.38</v>
      </c>
      <c r="X34" s="81">
        <v>1.3</v>
      </c>
      <c r="Y34" s="82">
        <f t="shared" si="3"/>
        <v>177.34600000000003</v>
      </c>
      <c r="Z34" s="82">
        <f t="shared" si="5"/>
        <v>44.731210566830789</v>
      </c>
      <c r="AA34" s="82" t="str">
        <f t="shared" si="0"/>
        <v>Sapin pectiné_F2_Cas général_GS Arc Jurassien_99_</v>
      </c>
      <c r="AB34" s="79">
        <v>99</v>
      </c>
      <c r="AC34" s="82">
        <f t="shared" si="4"/>
        <v>386.78447507056359</v>
      </c>
      <c r="AD34" s="86">
        <f t="shared" si="1"/>
        <v>0</v>
      </c>
      <c r="AE34" s="86">
        <f t="shared" si="9"/>
        <v>307.54224442084734</v>
      </c>
    </row>
    <row r="35" spans="1:31" hidden="1" x14ac:dyDescent="0.25">
      <c r="A35" s="79" t="s">
        <v>221</v>
      </c>
      <c r="B35" s="79" t="s">
        <v>10</v>
      </c>
      <c r="C35" s="79" t="s">
        <v>222</v>
      </c>
      <c r="D35" s="89" t="s">
        <v>223</v>
      </c>
      <c r="E35" s="79">
        <v>101</v>
      </c>
      <c r="F35" s="79">
        <v>108</v>
      </c>
      <c r="G35" s="79">
        <v>31.5</v>
      </c>
      <c r="H35" s="83">
        <v>281</v>
      </c>
      <c r="I35" s="83">
        <v>34.200000000000003</v>
      </c>
      <c r="J35" s="83">
        <v>449</v>
      </c>
      <c r="K35" s="83">
        <v>44</v>
      </c>
      <c r="L35" s="83">
        <v>39</v>
      </c>
      <c r="M35" s="84">
        <v>47</v>
      </c>
      <c r="N35" s="84">
        <v>5.3</v>
      </c>
      <c r="O35" s="84">
        <v>70</v>
      </c>
      <c r="P35" s="85">
        <v>234</v>
      </c>
      <c r="Q35" s="85">
        <v>28.9</v>
      </c>
      <c r="R35" s="85"/>
      <c r="S35" s="85">
        <v>379</v>
      </c>
      <c r="T35" s="80">
        <v>0.6</v>
      </c>
      <c r="U35" s="80">
        <v>9.9</v>
      </c>
      <c r="V35" s="81" t="str">
        <f>+IF(I35=0,"ap","av_ap")</f>
        <v>av_ap</v>
      </c>
      <c r="W35" s="81">
        <f>+VLOOKUP(A35,infradensité!$A$2:$B$67,2,FALSE)</f>
        <v>0.38</v>
      </c>
      <c r="X35" s="81">
        <v>1.3</v>
      </c>
      <c r="Y35" s="82">
        <f t="shared" si="3"/>
        <v>221.80600000000001</v>
      </c>
      <c r="Z35" s="82">
        <f t="shared" si="5"/>
        <v>54.507223931528578</v>
      </c>
      <c r="AA35" s="82" t="str">
        <f t="shared" si="0"/>
        <v>Sapin pectiné_F2_Cas général_GS Arc Jurassien_108_</v>
      </c>
      <c r="AB35" s="79">
        <v>108</v>
      </c>
      <c r="AC35" s="82">
        <f t="shared" si="4"/>
        <v>481.2455316807455</v>
      </c>
      <c r="AD35" s="86">
        <f t="shared" si="1"/>
        <v>3906.1350303808908</v>
      </c>
      <c r="AE35" s="86">
        <f t="shared" si="9"/>
        <v>307.54224442084734</v>
      </c>
    </row>
    <row r="36" spans="1:31" hidden="1" x14ac:dyDescent="0.25">
      <c r="A36" s="79" t="s">
        <v>221</v>
      </c>
      <c r="B36" s="79" t="s">
        <v>10</v>
      </c>
      <c r="C36" s="79" t="s">
        <v>222</v>
      </c>
      <c r="D36" s="89" t="s">
        <v>223</v>
      </c>
      <c r="E36" s="79">
        <v>101</v>
      </c>
      <c r="F36" s="79">
        <v>108</v>
      </c>
      <c r="G36" s="79">
        <v>31.5</v>
      </c>
      <c r="H36" s="85">
        <v>234</v>
      </c>
      <c r="I36" s="85">
        <v>28.9</v>
      </c>
      <c r="J36" s="85">
        <v>379</v>
      </c>
      <c r="K36" s="85">
        <v>379</v>
      </c>
      <c r="L36" s="83"/>
      <c r="M36" s="84"/>
      <c r="N36" s="84"/>
      <c r="O36" s="84"/>
      <c r="P36" s="85"/>
      <c r="Q36" s="85"/>
      <c r="R36" s="85"/>
      <c r="S36" s="85"/>
      <c r="T36" s="80"/>
      <c r="U36" s="80"/>
      <c r="V36" s="81" t="s">
        <v>53</v>
      </c>
      <c r="W36" s="81">
        <f>+VLOOKUP(A36,infradensité!$A$2:$B$67,2,FALSE)</f>
        <v>0.38</v>
      </c>
      <c r="X36" s="81">
        <v>1.3</v>
      </c>
      <c r="Y36" s="82">
        <f t="shared" si="3"/>
        <v>187.22600000000003</v>
      </c>
      <c r="Z36" s="82">
        <f t="shared" si="5"/>
        <v>46.926136857153836</v>
      </c>
      <c r="AA36" s="82" t="str">
        <f t="shared" si="0"/>
        <v>Sapin pectiné_F2_Cas général_GS Arc Jurassien_108_</v>
      </c>
      <c r="AB36" s="79">
        <v>108</v>
      </c>
      <c r="AC36" s="82">
        <f t="shared" si="4"/>
        <v>407.81497169287627</v>
      </c>
      <c r="AD36" s="86">
        <f t="shared" si="1"/>
        <v>0</v>
      </c>
      <c r="AE36" s="86">
        <f t="shared" si="9"/>
        <v>307.54224442084734</v>
      </c>
    </row>
    <row r="37" spans="1:31" hidden="1" x14ac:dyDescent="0.25">
      <c r="A37" s="79" t="s">
        <v>221</v>
      </c>
      <c r="B37" s="79" t="s">
        <v>10</v>
      </c>
      <c r="C37" s="79" t="s">
        <v>222</v>
      </c>
      <c r="D37" s="89" t="s">
        <v>223</v>
      </c>
      <c r="E37" s="79">
        <v>101</v>
      </c>
      <c r="F37" s="79">
        <v>118</v>
      </c>
      <c r="G37" s="79">
        <v>33.200000000000003</v>
      </c>
      <c r="H37" s="83">
        <v>234</v>
      </c>
      <c r="I37" s="83">
        <v>34.200000000000003</v>
      </c>
      <c r="J37" s="83">
        <v>468</v>
      </c>
      <c r="K37" s="83">
        <v>47</v>
      </c>
      <c r="L37" s="83">
        <v>43</v>
      </c>
      <c r="M37" s="84">
        <v>33</v>
      </c>
      <c r="N37" s="84">
        <v>5</v>
      </c>
      <c r="O37" s="84">
        <v>68</v>
      </c>
      <c r="P37" s="85">
        <v>201</v>
      </c>
      <c r="Q37" s="85">
        <v>29.2</v>
      </c>
      <c r="R37" s="85"/>
      <c r="S37" s="85">
        <v>399</v>
      </c>
      <c r="T37" s="80">
        <v>0.5</v>
      </c>
      <c r="U37" s="80">
        <v>8.9</v>
      </c>
      <c r="V37" s="81" t="str">
        <f>+IF(I37=0,"ap","av_ap")</f>
        <v>av_ap</v>
      </c>
      <c r="W37" s="81">
        <f>+VLOOKUP(A37,infradensité!$A$2:$B$67,2,FALSE)</f>
        <v>0.38</v>
      </c>
      <c r="X37" s="81">
        <v>1.3</v>
      </c>
      <c r="Y37" s="82">
        <f t="shared" si="3"/>
        <v>231.19200000000004</v>
      </c>
      <c r="Z37" s="82">
        <f t="shared" si="5"/>
        <v>56.540342208595227</v>
      </c>
      <c r="AA37" s="82" t="str">
        <f t="shared" si="0"/>
        <v>Sapin pectiné_F2_Cas général_GS Arc Jurassien_118_</v>
      </c>
      <c r="AB37" s="79">
        <v>118</v>
      </c>
      <c r="AC37" s="82">
        <f t="shared" si="4"/>
        <v>501.13382934663673</v>
      </c>
      <c r="AD37" s="86">
        <f t="shared" si="1"/>
        <v>4544.7440051975645</v>
      </c>
      <c r="AE37" s="86">
        <f t="shared" si="9"/>
        <v>307.54224442084734</v>
      </c>
    </row>
    <row r="38" spans="1:31" hidden="1" x14ac:dyDescent="0.25">
      <c r="A38" s="79" t="s">
        <v>221</v>
      </c>
      <c r="B38" s="79" t="s">
        <v>10</v>
      </c>
      <c r="C38" s="79" t="s">
        <v>222</v>
      </c>
      <c r="D38" s="89" t="s">
        <v>223</v>
      </c>
      <c r="E38" s="79">
        <v>101</v>
      </c>
      <c r="F38" s="79">
        <v>118</v>
      </c>
      <c r="G38" s="79">
        <v>33.200000000000003</v>
      </c>
      <c r="H38" s="85">
        <v>201</v>
      </c>
      <c r="I38" s="85">
        <v>29.2</v>
      </c>
      <c r="J38" s="85">
        <v>399</v>
      </c>
      <c r="K38" s="85">
        <v>399</v>
      </c>
      <c r="L38" s="83"/>
      <c r="M38" s="84"/>
      <c r="N38" s="84"/>
      <c r="O38" s="84"/>
      <c r="P38" s="85"/>
      <c r="Q38" s="85"/>
      <c r="R38" s="85"/>
      <c r="S38" s="85"/>
      <c r="T38" s="80"/>
      <c r="U38" s="80"/>
      <c r="V38" s="81" t="s">
        <v>53</v>
      </c>
      <c r="W38" s="81">
        <f>+VLOOKUP(A38,infradensité!$A$2:$B$67,2,FALSE)</f>
        <v>0.38</v>
      </c>
      <c r="X38" s="81">
        <v>1.3</v>
      </c>
      <c r="Y38" s="82">
        <f t="shared" si="3"/>
        <v>197.10600000000002</v>
      </c>
      <c r="Z38" s="82">
        <f t="shared" si="5"/>
        <v>49.10761559016612</v>
      </c>
      <c r="AA38" s="82" t="str">
        <f t="shared" si="0"/>
        <v>Sapin pectiné_F2_Cas général_GS Arc Jurassien_118_</v>
      </c>
      <c r="AB38" s="79">
        <v>118</v>
      </c>
      <c r="AC38" s="82">
        <f t="shared" si="4"/>
        <v>428.8220471528727</v>
      </c>
      <c r="AD38" s="86">
        <f t="shared" si="1"/>
        <v>0</v>
      </c>
      <c r="AE38" s="86">
        <f t="shared" si="9"/>
        <v>307.54224442084734</v>
      </c>
    </row>
    <row r="39" spans="1:31" hidden="1" x14ac:dyDescent="0.25">
      <c r="A39" s="79" t="s">
        <v>221</v>
      </c>
      <c r="B39" s="79" t="s">
        <v>10</v>
      </c>
      <c r="C39" s="79" t="s">
        <v>222</v>
      </c>
      <c r="D39" s="89" t="s">
        <v>223</v>
      </c>
      <c r="E39" s="79">
        <v>101</v>
      </c>
      <c r="F39" s="79">
        <v>128</v>
      </c>
      <c r="G39" s="79">
        <v>34.700000000000003</v>
      </c>
      <c r="H39" s="83">
        <v>201</v>
      </c>
      <c r="I39" s="83">
        <v>33.9</v>
      </c>
      <c r="J39" s="83">
        <v>480</v>
      </c>
      <c r="K39" s="83">
        <v>50</v>
      </c>
      <c r="L39" s="83">
        <v>46</v>
      </c>
      <c r="M39" s="84" t="s">
        <v>225</v>
      </c>
      <c r="N39" s="84" t="s">
        <v>225</v>
      </c>
      <c r="O39" s="84" t="s">
        <v>225</v>
      </c>
      <c r="P39" s="85" t="s">
        <v>225</v>
      </c>
      <c r="Q39" s="85" t="s">
        <v>225</v>
      </c>
      <c r="R39" s="85" t="s">
        <v>225</v>
      </c>
      <c r="S39" s="85" t="s">
        <v>225</v>
      </c>
      <c r="T39" s="80">
        <v>0.7</v>
      </c>
      <c r="U39" s="80">
        <v>8.6999999999999993</v>
      </c>
      <c r="V39" s="81" t="str">
        <f>+IF(I39=0,"ap","av_ap")</f>
        <v>av_ap</v>
      </c>
      <c r="W39" s="81">
        <f>+VLOOKUP(A39,infradensité!$A$2:$B$67,2,FALSE)</f>
        <v>0.38</v>
      </c>
      <c r="X39" s="81">
        <v>1.3</v>
      </c>
      <c r="Y39" s="82">
        <f t="shared" si="3"/>
        <v>237.12000000000003</v>
      </c>
      <c r="Z39" s="82">
        <f t="shared" si="5"/>
        <v>57.819449746919268</v>
      </c>
      <c r="AA39" s="82" t="str">
        <f t="shared" si="0"/>
        <v>Sapin pectiné_F2_Cas général_GS Arc Jurassien_128_</v>
      </c>
      <c r="AB39" s="79">
        <v>128</v>
      </c>
      <c r="AC39" s="82">
        <f t="shared" si="4"/>
        <v>513.6862083092177</v>
      </c>
      <c r="AD39" s="86">
        <f t="shared" si="1"/>
        <v>4712.5412773104517</v>
      </c>
      <c r="AE39" s="86">
        <f t="shared" si="9"/>
        <v>307.54224442084734</v>
      </c>
    </row>
    <row r="40" spans="1:31" hidden="1" x14ac:dyDescent="0.25">
      <c r="A40" s="79" t="s">
        <v>221</v>
      </c>
      <c r="B40" s="79" t="s">
        <v>10</v>
      </c>
      <c r="C40" s="79" t="s">
        <v>222</v>
      </c>
      <c r="D40" s="89" t="s">
        <v>223</v>
      </c>
      <c r="E40" s="79">
        <v>101</v>
      </c>
      <c r="F40" s="79">
        <v>128</v>
      </c>
      <c r="G40" s="79">
        <v>34.700000000000003</v>
      </c>
      <c r="H40" s="85" t="s">
        <v>225</v>
      </c>
      <c r="I40" s="85" t="s">
        <v>225</v>
      </c>
      <c r="J40" s="86">
        <v>0</v>
      </c>
      <c r="K40" s="85" t="s">
        <v>225</v>
      </c>
      <c r="L40" s="83"/>
      <c r="M40" s="84"/>
      <c r="N40" s="84"/>
      <c r="O40" s="84"/>
      <c r="P40" s="85"/>
      <c r="Q40" s="85"/>
      <c r="R40" s="85"/>
      <c r="S40" s="85"/>
      <c r="T40" s="80"/>
      <c r="U40" s="80"/>
      <c r="V40" s="81" t="s">
        <v>53</v>
      </c>
      <c r="W40" s="81">
        <f>+VLOOKUP(A40,infradensité!$A$2:$B$67,2,FALSE)</f>
        <v>0.38</v>
      </c>
      <c r="X40" s="81">
        <v>1.3</v>
      </c>
      <c r="Y40" s="82">
        <f t="shared" si="3"/>
        <v>0</v>
      </c>
      <c r="Z40" s="88">
        <v>0</v>
      </c>
      <c r="AA40" s="88" t="str">
        <f t="shared" si="0"/>
        <v>Sapin pectiné_F2_Cas général_GS Arc Jurassien_128_</v>
      </c>
      <c r="AB40" s="79">
        <v>128</v>
      </c>
      <c r="AC40" s="82">
        <f t="shared" si="4"/>
        <v>0</v>
      </c>
      <c r="AD40" s="86">
        <f t="shared" si="1"/>
        <v>0</v>
      </c>
      <c r="AE40" s="86">
        <f t="shared" si="9"/>
        <v>307.54224442084734</v>
      </c>
    </row>
    <row r="41" spans="1:31" hidden="1" x14ac:dyDescent="0.25">
      <c r="A41" s="86" t="s">
        <v>221</v>
      </c>
      <c r="B41" s="86" t="s">
        <v>144</v>
      </c>
      <c r="C41" s="86" t="s">
        <v>222</v>
      </c>
      <c r="D41" s="87" t="s">
        <v>223</v>
      </c>
      <c r="E41" s="86">
        <v>102</v>
      </c>
      <c r="F41" s="86">
        <v>0</v>
      </c>
      <c r="G41" s="86">
        <v>16.8</v>
      </c>
      <c r="H41" s="86" t="s">
        <v>224</v>
      </c>
      <c r="I41" s="86" t="s">
        <v>224</v>
      </c>
      <c r="J41" s="86">
        <v>0</v>
      </c>
      <c r="K41" s="86"/>
      <c r="L41" s="86"/>
      <c r="M41" s="86"/>
      <c r="N41" s="86"/>
      <c r="O41" s="86"/>
      <c r="P41" s="86">
        <v>1154</v>
      </c>
      <c r="Q41" s="86">
        <v>28.8</v>
      </c>
      <c r="R41" s="86"/>
      <c r="S41" s="86">
        <v>202</v>
      </c>
      <c r="T41" s="86">
        <v>0.6</v>
      </c>
      <c r="U41" s="86">
        <v>4</v>
      </c>
      <c r="V41" s="86" t="s">
        <v>51</v>
      </c>
      <c r="W41" s="86">
        <v>0.38</v>
      </c>
      <c r="X41" s="86">
        <v>1.3</v>
      </c>
      <c r="Y41" s="88">
        <f t="shared" si="3"/>
        <v>0</v>
      </c>
      <c r="Z41" s="88">
        <v>0</v>
      </c>
      <c r="AA41" s="88" t="str">
        <f t="shared" si="0"/>
        <v>Sapin pectiné_F3_Cas général_GS Arc Jurassien_0_</v>
      </c>
      <c r="AB41" s="86">
        <v>0</v>
      </c>
      <c r="AC41" s="82">
        <f t="shared" si="4"/>
        <v>0</v>
      </c>
      <c r="AD41" s="86">
        <f t="shared" si="1"/>
        <v>0</v>
      </c>
      <c r="AE41" s="86">
        <f>+SUM($AD$41:$AD$64)/$AB$64</f>
        <v>310.64275352258716</v>
      </c>
    </row>
    <row r="42" spans="1:31" hidden="1" x14ac:dyDescent="0.25">
      <c r="A42" s="86" t="s">
        <v>221</v>
      </c>
      <c r="B42" s="86" t="s">
        <v>144</v>
      </c>
      <c r="C42" s="86" t="s">
        <v>222</v>
      </c>
      <c r="D42" s="87" t="s">
        <v>223</v>
      </c>
      <c r="E42" s="86">
        <v>102</v>
      </c>
      <c r="F42" s="86">
        <v>30</v>
      </c>
      <c r="G42" s="86">
        <v>16.8</v>
      </c>
      <c r="H42" s="86" t="s">
        <v>224</v>
      </c>
      <c r="I42" s="86" t="s">
        <v>224</v>
      </c>
      <c r="J42" s="86">
        <f>+J43/67*30</f>
        <v>150.74626865671644</v>
      </c>
      <c r="K42" s="86"/>
      <c r="L42" s="86"/>
      <c r="M42" s="86"/>
      <c r="N42" s="86"/>
      <c r="O42" s="86"/>
      <c r="P42" s="86">
        <v>1154</v>
      </c>
      <c r="Q42" s="86">
        <v>28.8</v>
      </c>
      <c r="R42" s="86"/>
      <c r="S42" s="86">
        <v>202</v>
      </c>
      <c r="T42" s="86">
        <v>0.6</v>
      </c>
      <c r="U42" s="86">
        <v>4</v>
      </c>
      <c r="V42" s="86" t="s">
        <v>51</v>
      </c>
      <c r="W42" s="86">
        <v>0.38</v>
      </c>
      <c r="X42" s="86">
        <v>1.3</v>
      </c>
      <c r="Y42" s="88">
        <f t="shared" si="3"/>
        <v>74.468656716417925</v>
      </c>
      <c r="Z42" s="88">
        <f t="shared" si="5"/>
        <v>20.779154257365697</v>
      </c>
      <c r="AA42" s="88" t="str">
        <f t="shared" si="0"/>
        <v>Sapin pectiné_F3_Cas général_GS Arc Jurassien_30_</v>
      </c>
      <c r="AB42" s="86">
        <v>30</v>
      </c>
      <c r="AC42" s="82">
        <f t="shared" si="4"/>
        <v>165.88993744600648</v>
      </c>
      <c r="AD42" s="86">
        <f t="shared" si="1"/>
        <v>2488.3490616900972</v>
      </c>
      <c r="AE42" s="86">
        <f t="shared" ref="AE42:AE64" si="10">+SUM($AD$41:$AD$64)/$AB$64</f>
        <v>310.64275352258716</v>
      </c>
    </row>
    <row r="43" spans="1:31" hidden="1" x14ac:dyDescent="0.25">
      <c r="A43" s="79" t="s">
        <v>221</v>
      </c>
      <c r="B43" s="79" t="s">
        <v>144</v>
      </c>
      <c r="C43" s="79" t="s">
        <v>222</v>
      </c>
      <c r="D43" s="89" t="s">
        <v>223</v>
      </c>
      <c r="E43" s="79">
        <v>102</v>
      </c>
      <c r="F43" s="79">
        <v>66</v>
      </c>
      <c r="G43" s="79">
        <v>16.8</v>
      </c>
      <c r="H43" s="83" t="s">
        <v>224</v>
      </c>
      <c r="I43" s="83" t="s">
        <v>224</v>
      </c>
      <c r="J43" s="83">
        <f>+J44/60%</f>
        <v>336.66666666666669</v>
      </c>
      <c r="K43" s="83"/>
      <c r="L43" s="83"/>
      <c r="M43" s="84"/>
      <c r="N43" s="84"/>
      <c r="O43" s="84"/>
      <c r="P43" s="85">
        <v>1154</v>
      </c>
      <c r="Q43" s="85">
        <v>28.8</v>
      </c>
      <c r="R43" s="85"/>
      <c r="S43" s="85">
        <v>202</v>
      </c>
      <c r="T43" s="80">
        <v>0.6</v>
      </c>
      <c r="U43" s="80">
        <v>4</v>
      </c>
      <c r="V43" s="81" t="str">
        <f>+IF(I43=0,"ap","av_ap")</f>
        <v>av_ap</v>
      </c>
      <c r="W43" s="81">
        <f>+VLOOKUP(A43,infradensité!$A$2:$B$67,2,FALSE)</f>
        <v>0.38</v>
      </c>
      <c r="X43" s="81">
        <v>1.3</v>
      </c>
      <c r="Y43" s="82">
        <f t="shared" si="3"/>
        <v>166.31333333333336</v>
      </c>
      <c r="Z43" s="82">
        <f t="shared" si="5"/>
        <v>42.26328224503348</v>
      </c>
      <c r="AA43" s="82" t="str">
        <f t="shared" si="0"/>
        <v>Sapin pectiné_F3_Cas général_GS Arc Jurassien_66_</v>
      </c>
      <c r="AB43" s="79">
        <v>66</v>
      </c>
      <c r="AC43" s="82">
        <f t="shared" si="4"/>
        <v>363.27093879898888</v>
      </c>
      <c r="AD43" s="86">
        <f t="shared" si="1"/>
        <v>9524.8957724099164</v>
      </c>
      <c r="AE43" s="86">
        <f t="shared" si="10"/>
        <v>310.64275352258716</v>
      </c>
    </row>
    <row r="44" spans="1:31" hidden="1" x14ac:dyDescent="0.25">
      <c r="A44" s="79" t="s">
        <v>221</v>
      </c>
      <c r="B44" s="79" t="s">
        <v>144</v>
      </c>
      <c r="C44" s="79" t="s">
        <v>222</v>
      </c>
      <c r="D44" s="89" t="s">
        <v>223</v>
      </c>
      <c r="E44" s="79">
        <v>102</v>
      </c>
      <c r="F44" s="79">
        <v>66</v>
      </c>
      <c r="G44" s="79">
        <v>16.8</v>
      </c>
      <c r="H44" s="85">
        <v>1154</v>
      </c>
      <c r="I44" s="85">
        <v>28.8</v>
      </c>
      <c r="J44" s="85">
        <v>202</v>
      </c>
      <c r="K44" s="85">
        <v>202</v>
      </c>
      <c r="L44" s="83"/>
      <c r="M44" s="84"/>
      <c r="N44" s="84"/>
      <c r="O44" s="84"/>
      <c r="P44" s="85"/>
      <c r="Q44" s="85"/>
      <c r="R44" s="85"/>
      <c r="S44" s="85"/>
      <c r="T44" s="80"/>
      <c r="U44" s="80"/>
      <c r="V44" s="81" t="s">
        <v>53</v>
      </c>
      <c r="W44" s="81">
        <f>+VLOOKUP(A44,infradensité!$A$2:$B$67,2,FALSE)</f>
        <v>0.38</v>
      </c>
      <c r="X44" s="81">
        <v>1.3</v>
      </c>
      <c r="Y44" s="82">
        <f t="shared" si="3"/>
        <v>99.788000000000011</v>
      </c>
      <c r="Z44" s="82">
        <f t="shared" si="5"/>
        <v>26.911485235195922</v>
      </c>
      <c r="AA44" s="82" t="str">
        <f t="shared" si="0"/>
        <v>Sapin pectiné_F3_Cas général_GS Arc Jurassien_66_</v>
      </c>
      <c r="AB44" s="79">
        <v>66</v>
      </c>
      <c r="AC44" s="82">
        <f t="shared" si="4"/>
        <v>220.66827011796624</v>
      </c>
      <c r="AD44" s="86">
        <f t="shared" si="1"/>
        <v>0</v>
      </c>
      <c r="AE44" s="86">
        <f t="shared" si="10"/>
        <v>310.64275352258716</v>
      </c>
    </row>
    <row r="45" spans="1:31" hidden="1" x14ac:dyDescent="0.25">
      <c r="A45" s="79" t="s">
        <v>221</v>
      </c>
      <c r="B45" s="79" t="s">
        <v>144</v>
      </c>
      <c r="C45" s="79" t="s">
        <v>222</v>
      </c>
      <c r="D45" s="89" t="s">
        <v>223</v>
      </c>
      <c r="E45" s="79">
        <v>102</v>
      </c>
      <c r="F45" s="79">
        <v>74</v>
      </c>
      <c r="G45" s="79">
        <v>19</v>
      </c>
      <c r="H45" s="83">
        <v>1154</v>
      </c>
      <c r="I45" s="83">
        <v>36.200000000000003</v>
      </c>
      <c r="J45" s="83">
        <v>290</v>
      </c>
      <c r="K45" s="83">
        <v>26</v>
      </c>
      <c r="L45" s="83">
        <v>20</v>
      </c>
      <c r="M45" s="84">
        <v>245</v>
      </c>
      <c r="N45" s="84">
        <v>7.2</v>
      </c>
      <c r="O45" s="84">
        <v>57</v>
      </c>
      <c r="P45" s="85">
        <v>909</v>
      </c>
      <c r="Q45" s="85">
        <v>29</v>
      </c>
      <c r="R45" s="85"/>
      <c r="S45" s="85">
        <v>233</v>
      </c>
      <c r="T45" s="80">
        <v>0.9</v>
      </c>
      <c r="U45" s="80">
        <v>11</v>
      </c>
      <c r="V45" s="81" t="str">
        <f>+IF(I45=0,"ap","av_ap")</f>
        <v>av_ap</v>
      </c>
      <c r="W45" s="81">
        <f>+VLOOKUP(A45,infradensité!$A$2:$B$67,2,FALSE)</f>
        <v>0.38</v>
      </c>
      <c r="X45" s="81">
        <v>1.3</v>
      </c>
      <c r="Y45" s="82">
        <f t="shared" si="3"/>
        <v>143.26000000000002</v>
      </c>
      <c r="Z45" s="82">
        <f t="shared" si="5"/>
        <v>37.042822268316883</v>
      </c>
      <c r="AA45" s="82" t="str">
        <f t="shared" si="0"/>
        <v>Sapin pectiné_F3_Cas général_GS Arc Jurassien_74_</v>
      </c>
      <c r="AB45" s="79">
        <v>74</v>
      </c>
      <c r="AC45" s="82">
        <f t="shared" si="4"/>
        <v>314.02741545065192</v>
      </c>
      <c r="AD45" s="86">
        <f t="shared" si="1"/>
        <v>2138.7827422744726</v>
      </c>
      <c r="AE45" s="86">
        <f t="shared" si="10"/>
        <v>310.64275352258716</v>
      </c>
    </row>
    <row r="46" spans="1:31" hidden="1" x14ac:dyDescent="0.25">
      <c r="A46" s="79" t="s">
        <v>221</v>
      </c>
      <c r="B46" s="79" t="s">
        <v>144</v>
      </c>
      <c r="C46" s="79" t="s">
        <v>222</v>
      </c>
      <c r="D46" s="89" t="s">
        <v>223</v>
      </c>
      <c r="E46" s="79">
        <v>102</v>
      </c>
      <c r="F46" s="79">
        <v>74</v>
      </c>
      <c r="G46" s="79">
        <v>19</v>
      </c>
      <c r="H46" s="85">
        <v>909</v>
      </c>
      <c r="I46" s="85">
        <v>29</v>
      </c>
      <c r="J46" s="85">
        <v>233</v>
      </c>
      <c r="K46" s="85">
        <v>233</v>
      </c>
      <c r="L46" s="83"/>
      <c r="M46" s="84"/>
      <c r="N46" s="84"/>
      <c r="O46" s="84"/>
      <c r="P46" s="85"/>
      <c r="Q46" s="85"/>
      <c r="R46" s="85"/>
      <c r="S46" s="85"/>
      <c r="T46" s="80"/>
      <c r="U46" s="80"/>
      <c r="V46" s="81" t="s">
        <v>53</v>
      </c>
      <c r="W46" s="81">
        <f>+VLOOKUP(A46,infradensité!$A$2:$B$67,2,FALSE)</f>
        <v>0.38</v>
      </c>
      <c r="X46" s="81">
        <v>1.3</v>
      </c>
      <c r="Y46" s="82">
        <f t="shared" si="3"/>
        <v>115.10200000000002</v>
      </c>
      <c r="Z46" s="82">
        <f t="shared" si="5"/>
        <v>30.529865341702248</v>
      </c>
      <c r="AA46" s="82" t="str">
        <f t="shared" si="0"/>
        <v>Sapin pectiné_F3_Cas général_GS Arc Jurassien_74_</v>
      </c>
      <c r="AB46" s="79">
        <v>74</v>
      </c>
      <c r="AC46" s="82">
        <f t="shared" si="4"/>
        <v>253.64216547013143</v>
      </c>
      <c r="AD46" s="86">
        <f t="shared" si="1"/>
        <v>0</v>
      </c>
      <c r="AE46" s="86">
        <f t="shared" si="10"/>
        <v>310.64275352258716</v>
      </c>
    </row>
    <row r="47" spans="1:31" hidden="1" x14ac:dyDescent="0.25">
      <c r="A47" s="79" t="s">
        <v>221</v>
      </c>
      <c r="B47" s="79" t="s">
        <v>144</v>
      </c>
      <c r="C47" s="79" t="s">
        <v>222</v>
      </c>
      <c r="D47" s="89" t="s">
        <v>223</v>
      </c>
      <c r="E47" s="79">
        <v>102</v>
      </c>
      <c r="F47" s="79">
        <v>82</v>
      </c>
      <c r="G47" s="79">
        <v>21</v>
      </c>
      <c r="H47" s="83">
        <v>909</v>
      </c>
      <c r="I47" s="83">
        <v>35.799999999999997</v>
      </c>
      <c r="J47" s="83">
        <v>317</v>
      </c>
      <c r="K47" s="83">
        <v>28</v>
      </c>
      <c r="L47" s="83">
        <v>22</v>
      </c>
      <c r="M47" s="84">
        <v>174</v>
      </c>
      <c r="N47" s="84">
        <v>6.6</v>
      </c>
      <c r="O47" s="84">
        <v>58</v>
      </c>
      <c r="P47" s="85">
        <v>735</v>
      </c>
      <c r="Q47" s="85">
        <v>29.1</v>
      </c>
      <c r="R47" s="85"/>
      <c r="S47" s="85">
        <v>259</v>
      </c>
      <c r="T47" s="80">
        <v>0.8</v>
      </c>
      <c r="U47" s="80">
        <v>10.6</v>
      </c>
      <c r="V47" s="81" t="str">
        <f>+IF(I47=0,"ap","av_ap")</f>
        <v>av_ap</v>
      </c>
      <c r="W47" s="81">
        <f>+VLOOKUP(A47,infradensité!$A$2:$B$67,2,FALSE)</f>
        <v>0.38</v>
      </c>
      <c r="X47" s="81">
        <v>1.3</v>
      </c>
      <c r="Y47" s="82">
        <f t="shared" si="3"/>
        <v>156.59800000000001</v>
      </c>
      <c r="Z47" s="82">
        <f t="shared" si="5"/>
        <v>40.074227657235376</v>
      </c>
      <c r="AA47" s="82" t="str">
        <f t="shared" si="0"/>
        <v>Sapin pectiné_F3_Cas général_GS Arc Jurassien_82_</v>
      </c>
      <c r="AB47" s="79">
        <v>82</v>
      </c>
      <c r="AC47" s="82">
        <f t="shared" si="4"/>
        <v>342.53746316968494</v>
      </c>
      <c r="AD47" s="86">
        <f t="shared" si="1"/>
        <v>2384.7185145592657</v>
      </c>
      <c r="AE47" s="86">
        <f t="shared" si="10"/>
        <v>310.64275352258716</v>
      </c>
    </row>
    <row r="48" spans="1:31" hidden="1" x14ac:dyDescent="0.25">
      <c r="A48" s="79" t="s">
        <v>221</v>
      </c>
      <c r="B48" s="79" t="s">
        <v>144</v>
      </c>
      <c r="C48" s="79" t="s">
        <v>222</v>
      </c>
      <c r="D48" s="89" t="s">
        <v>223</v>
      </c>
      <c r="E48" s="79">
        <v>102</v>
      </c>
      <c r="F48" s="79">
        <v>82</v>
      </c>
      <c r="G48" s="79">
        <v>21</v>
      </c>
      <c r="H48" s="85">
        <v>735</v>
      </c>
      <c r="I48" s="85">
        <v>29.1</v>
      </c>
      <c r="J48" s="85">
        <v>259</v>
      </c>
      <c r="K48" s="85">
        <v>259</v>
      </c>
      <c r="L48" s="83"/>
      <c r="M48" s="84"/>
      <c r="N48" s="84"/>
      <c r="O48" s="84"/>
      <c r="P48" s="85"/>
      <c r="Q48" s="85"/>
      <c r="R48" s="85"/>
      <c r="S48" s="85"/>
      <c r="T48" s="80"/>
      <c r="U48" s="80"/>
      <c r="V48" s="81" t="s">
        <v>53</v>
      </c>
      <c r="W48" s="81">
        <f>+VLOOKUP(A48,infradensité!$A$2:$B$67,2,FALSE)</f>
        <v>0.38</v>
      </c>
      <c r="X48" s="81">
        <v>1.3</v>
      </c>
      <c r="Y48" s="82">
        <f t="shared" si="3"/>
        <v>127.94600000000001</v>
      </c>
      <c r="Z48" s="82">
        <f t="shared" si="5"/>
        <v>33.521301210731274</v>
      </c>
      <c r="AA48" s="82" t="str">
        <f t="shared" si="0"/>
        <v>Sapin pectiné_F3_Cas général_GS Arc Jurassien_82_</v>
      </c>
      <c r="AB48" s="79">
        <v>82</v>
      </c>
      <c r="AC48" s="82">
        <f t="shared" si="4"/>
        <v>281.22221627535697</v>
      </c>
      <c r="AD48" s="86">
        <f t="shared" si="1"/>
        <v>0</v>
      </c>
      <c r="AE48" s="86">
        <f t="shared" si="10"/>
        <v>310.64275352258716</v>
      </c>
    </row>
    <row r="49" spans="1:31" hidden="1" x14ac:dyDescent="0.25">
      <c r="A49" s="79" t="s">
        <v>221</v>
      </c>
      <c r="B49" s="79" t="s">
        <v>144</v>
      </c>
      <c r="C49" s="79" t="s">
        <v>222</v>
      </c>
      <c r="D49" s="89" t="s">
        <v>223</v>
      </c>
      <c r="E49" s="79">
        <v>102</v>
      </c>
      <c r="F49" s="79">
        <v>91</v>
      </c>
      <c r="G49" s="79">
        <v>23.1</v>
      </c>
      <c r="H49" s="83">
        <v>735</v>
      </c>
      <c r="I49" s="83">
        <v>36.1</v>
      </c>
      <c r="J49" s="83">
        <v>354</v>
      </c>
      <c r="K49" s="83">
        <v>31</v>
      </c>
      <c r="L49" s="83">
        <v>25</v>
      </c>
      <c r="M49" s="84">
        <v>152</v>
      </c>
      <c r="N49" s="84">
        <v>6.8</v>
      </c>
      <c r="O49" s="84">
        <v>66</v>
      </c>
      <c r="P49" s="85">
        <v>583</v>
      </c>
      <c r="Q49" s="85">
        <v>29.3</v>
      </c>
      <c r="R49" s="85"/>
      <c r="S49" s="85">
        <v>288</v>
      </c>
      <c r="T49" s="80">
        <v>0.8</v>
      </c>
      <c r="U49" s="80">
        <v>10.6</v>
      </c>
      <c r="V49" s="81" t="str">
        <f>+IF(I49=0,"ap","av_ap")</f>
        <v>av_ap</v>
      </c>
      <c r="W49" s="81">
        <f>+VLOOKUP(A49,infradensité!$A$2:$B$67,2,FALSE)</f>
        <v>0.38</v>
      </c>
      <c r="X49" s="81">
        <v>1.3</v>
      </c>
      <c r="Y49" s="82">
        <f t="shared" si="3"/>
        <v>174.876</v>
      </c>
      <c r="Z49" s="82">
        <f t="shared" si="5"/>
        <v>44.180281557018105</v>
      </c>
      <c r="AA49" s="82" t="str">
        <f t="shared" si="0"/>
        <v>Sapin pectiné_F3_Cas général_GS Arc Jurassien_91_</v>
      </c>
      <c r="AB49" s="79">
        <v>91</v>
      </c>
      <c r="AC49" s="82">
        <f t="shared" si="4"/>
        <v>381.5230237118065</v>
      </c>
      <c r="AD49" s="86">
        <f t="shared" si="1"/>
        <v>2982.3535799422357</v>
      </c>
      <c r="AE49" s="86">
        <f t="shared" si="10"/>
        <v>310.64275352258716</v>
      </c>
    </row>
    <row r="50" spans="1:31" hidden="1" x14ac:dyDescent="0.25">
      <c r="A50" s="79" t="s">
        <v>221</v>
      </c>
      <c r="B50" s="79" t="s">
        <v>144</v>
      </c>
      <c r="C50" s="79" t="s">
        <v>222</v>
      </c>
      <c r="D50" s="89" t="s">
        <v>223</v>
      </c>
      <c r="E50" s="79">
        <v>102</v>
      </c>
      <c r="F50" s="79">
        <v>91</v>
      </c>
      <c r="G50" s="79">
        <v>23.1</v>
      </c>
      <c r="H50" s="85">
        <v>583</v>
      </c>
      <c r="I50" s="85">
        <v>29.3</v>
      </c>
      <c r="J50" s="85">
        <v>288</v>
      </c>
      <c r="K50" s="85">
        <v>288</v>
      </c>
      <c r="L50" s="83"/>
      <c r="M50" s="84"/>
      <c r="N50" s="84"/>
      <c r="O50" s="84"/>
      <c r="P50" s="85"/>
      <c r="Q50" s="85"/>
      <c r="R50" s="85"/>
      <c r="S50" s="85"/>
      <c r="T50" s="80"/>
      <c r="U50" s="80"/>
      <c r="V50" s="81" t="s">
        <v>53</v>
      </c>
      <c r="W50" s="81">
        <f>+VLOOKUP(A50,infradensité!$A$2:$B$67,2,FALSE)</f>
        <v>0.38</v>
      </c>
      <c r="X50" s="81">
        <v>1.3</v>
      </c>
      <c r="Y50" s="82">
        <f t="shared" si="3"/>
        <v>142.27200000000002</v>
      </c>
      <c r="Z50" s="82">
        <f t="shared" si="5"/>
        <v>36.817000136193229</v>
      </c>
      <c r="AA50" s="82" t="str">
        <f t="shared" si="0"/>
        <v>Sapin pectiné_F3_Cas général_GS Arc Jurassien_91_</v>
      </c>
      <c r="AB50" s="79">
        <v>91</v>
      </c>
      <c r="AC50" s="82">
        <f t="shared" si="4"/>
        <v>311.91334190386988</v>
      </c>
      <c r="AD50" s="86">
        <f t="shared" si="1"/>
        <v>0</v>
      </c>
      <c r="AE50" s="86">
        <f t="shared" si="10"/>
        <v>310.64275352258716</v>
      </c>
    </row>
    <row r="51" spans="1:31" hidden="1" x14ac:dyDescent="0.25">
      <c r="A51" s="79" t="s">
        <v>221</v>
      </c>
      <c r="B51" s="79" t="s">
        <v>144</v>
      </c>
      <c r="C51" s="79" t="s">
        <v>222</v>
      </c>
      <c r="D51" s="89" t="s">
        <v>223</v>
      </c>
      <c r="E51" s="79">
        <v>102</v>
      </c>
      <c r="F51" s="79">
        <v>100</v>
      </c>
      <c r="G51" s="79">
        <v>25</v>
      </c>
      <c r="H51" s="83">
        <v>583</v>
      </c>
      <c r="I51" s="83">
        <v>35.5</v>
      </c>
      <c r="J51" s="83">
        <v>377</v>
      </c>
      <c r="K51" s="83">
        <v>33</v>
      </c>
      <c r="L51" s="83">
        <v>28</v>
      </c>
      <c r="M51" s="84">
        <v>118</v>
      </c>
      <c r="N51" s="84">
        <v>6.7</v>
      </c>
      <c r="O51" s="84">
        <v>71</v>
      </c>
      <c r="P51" s="85">
        <v>465</v>
      </c>
      <c r="Q51" s="85">
        <v>28.8</v>
      </c>
      <c r="R51" s="85"/>
      <c r="S51" s="85">
        <v>306</v>
      </c>
      <c r="T51" s="80">
        <v>0.7</v>
      </c>
      <c r="U51" s="80">
        <v>9.8000000000000007</v>
      </c>
      <c r="V51" s="81" t="str">
        <f>+IF(I51=0,"ap","av_ap")</f>
        <v>av_ap</v>
      </c>
      <c r="W51" s="81">
        <f>+VLOOKUP(A51,infradensité!$A$2:$B$67,2,FALSE)</f>
        <v>0.38</v>
      </c>
      <c r="X51" s="81">
        <v>1.3</v>
      </c>
      <c r="Y51" s="82">
        <f t="shared" si="3"/>
        <v>186.23800000000003</v>
      </c>
      <c r="Z51" s="82">
        <f t="shared" si="5"/>
        <v>46.707262481562239</v>
      </c>
      <c r="AA51" s="82" t="str">
        <f t="shared" si="0"/>
        <v>Sapin pectiné_F3_Cas général_GS Arc Jurassien_100_</v>
      </c>
      <c r="AB51" s="79">
        <v>100</v>
      </c>
      <c r="AC51" s="82">
        <f t="shared" si="4"/>
        <v>405.71299882205426</v>
      </c>
      <c r="AD51" s="86">
        <f t="shared" si="1"/>
        <v>3229.3185332666585</v>
      </c>
      <c r="AE51" s="86">
        <f t="shared" si="10"/>
        <v>310.64275352258716</v>
      </c>
    </row>
    <row r="52" spans="1:31" hidden="1" x14ac:dyDescent="0.25">
      <c r="A52" s="79" t="s">
        <v>221</v>
      </c>
      <c r="B52" s="79" t="s">
        <v>144</v>
      </c>
      <c r="C52" s="79" t="s">
        <v>222</v>
      </c>
      <c r="D52" s="89" t="s">
        <v>223</v>
      </c>
      <c r="E52" s="79">
        <v>102</v>
      </c>
      <c r="F52" s="79">
        <v>100</v>
      </c>
      <c r="G52" s="79">
        <v>25</v>
      </c>
      <c r="H52" s="85">
        <v>465</v>
      </c>
      <c r="I52" s="85">
        <v>28.8</v>
      </c>
      <c r="J52" s="85">
        <v>306</v>
      </c>
      <c r="K52" s="85">
        <v>306</v>
      </c>
      <c r="L52" s="83"/>
      <c r="M52" s="84"/>
      <c r="N52" s="84"/>
      <c r="O52" s="84"/>
      <c r="P52" s="85"/>
      <c r="Q52" s="85"/>
      <c r="R52" s="85"/>
      <c r="S52" s="85"/>
      <c r="T52" s="80"/>
      <c r="U52" s="80"/>
      <c r="V52" s="81" t="s">
        <v>53</v>
      </c>
      <c r="W52" s="81">
        <f>+VLOOKUP(A52,infradensité!$A$2:$B$67,2,FALSE)</f>
        <v>0.38</v>
      </c>
      <c r="X52" s="81">
        <v>1.3</v>
      </c>
      <c r="Y52" s="82">
        <f t="shared" si="3"/>
        <v>151.16400000000002</v>
      </c>
      <c r="Z52" s="82">
        <f t="shared" si="5"/>
        <v>38.84298967415998</v>
      </c>
      <c r="AA52" s="82" t="str">
        <f t="shared" si="0"/>
        <v>Sapin pectiné_F3_Cas général_GS Arc Jurassien_100_</v>
      </c>
      <c r="AB52" s="79">
        <v>100</v>
      </c>
      <c r="AC52" s="82">
        <f t="shared" si="4"/>
        <v>330.92884034916193</v>
      </c>
      <c r="AD52" s="86">
        <f t="shared" si="1"/>
        <v>0</v>
      </c>
      <c r="AE52" s="86">
        <f t="shared" si="10"/>
        <v>310.64275352258716</v>
      </c>
    </row>
    <row r="53" spans="1:31" hidden="1" x14ac:dyDescent="0.25">
      <c r="A53" s="79" t="s">
        <v>221</v>
      </c>
      <c r="B53" s="79" t="s">
        <v>144</v>
      </c>
      <c r="C53" s="79" t="s">
        <v>222</v>
      </c>
      <c r="D53" s="89" t="s">
        <v>223</v>
      </c>
      <c r="E53" s="79">
        <v>102</v>
      </c>
      <c r="F53" s="79">
        <v>110</v>
      </c>
      <c r="G53" s="79">
        <v>26.9</v>
      </c>
      <c r="H53" s="83">
        <v>465</v>
      </c>
      <c r="I53" s="83">
        <v>35</v>
      </c>
      <c r="J53" s="83">
        <v>398</v>
      </c>
      <c r="K53" s="83">
        <v>36</v>
      </c>
      <c r="L53" s="83">
        <v>31</v>
      </c>
      <c r="M53" s="84">
        <v>87</v>
      </c>
      <c r="N53" s="84">
        <v>5.9</v>
      </c>
      <c r="O53" s="84">
        <v>67</v>
      </c>
      <c r="P53" s="85">
        <v>378</v>
      </c>
      <c r="Q53" s="85">
        <v>29.1</v>
      </c>
      <c r="R53" s="85"/>
      <c r="S53" s="85">
        <v>331</v>
      </c>
      <c r="T53" s="80">
        <v>0.6</v>
      </c>
      <c r="U53" s="80">
        <v>9.1999999999999993</v>
      </c>
      <c r="V53" s="81" t="str">
        <f>+IF(I53=0,"ap","av_ap")</f>
        <v>av_ap</v>
      </c>
      <c r="W53" s="81">
        <f>+VLOOKUP(A53,infradensité!$A$2:$B$67,2,FALSE)</f>
        <v>0.38</v>
      </c>
      <c r="X53" s="81">
        <v>1.3</v>
      </c>
      <c r="Y53" s="82">
        <f t="shared" si="3"/>
        <v>196.61200000000002</v>
      </c>
      <c r="Z53" s="82">
        <f t="shared" si="5"/>
        <v>48.99884911314534</v>
      </c>
      <c r="AA53" s="82" t="str">
        <f t="shared" si="0"/>
        <v>Sapin pectiné_F3_Cas général_GS Arc Jurassien_110_</v>
      </c>
      <c r="AB53" s="79">
        <v>110</v>
      </c>
      <c r="AC53" s="82">
        <f t="shared" si="4"/>
        <v>427.77222887206153</v>
      </c>
      <c r="AD53" s="86">
        <f t="shared" si="1"/>
        <v>3793.505346106117</v>
      </c>
      <c r="AE53" s="86">
        <f t="shared" si="10"/>
        <v>310.64275352258716</v>
      </c>
    </row>
    <row r="54" spans="1:31" hidden="1" x14ac:dyDescent="0.25">
      <c r="A54" s="79" t="s">
        <v>221</v>
      </c>
      <c r="B54" s="79" t="s">
        <v>144</v>
      </c>
      <c r="C54" s="79" t="s">
        <v>222</v>
      </c>
      <c r="D54" s="89" t="s">
        <v>223</v>
      </c>
      <c r="E54" s="79">
        <v>102</v>
      </c>
      <c r="F54" s="79">
        <v>110</v>
      </c>
      <c r="G54" s="79">
        <v>26.9</v>
      </c>
      <c r="H54" s="85">
        <v>378</v>
      </c>
      <c r="I54" s="85">
        <v>29.1</v>
      </c>
      <c r="J54" s="85">
        <v>331</v>
      </c>
      <c r="K54" s="85">
        <v>331</v>
      </c>
      <c r="L54" s="83"/>
      <c r="M54" s="84"/>
      <c r="N54" s="84"/>
      <c r="O54" s="84"/>
      <c r="P54" s="85"/>
      <c r="Q54" s="85"/>
      <c r="R54" s="85"/>
      <c r="S54" s="85"/>
      <c r="T54" s="80"/>
      <c r="U54" s="80"/>
      <c r="V54" s="81" t="s">
        <v>53</v>
      </c>
      <c r="W54" s="81">
        <f>+VLOOKUP(A54,infradensité!$A$2:$B$67,2,FALSE)</f>
        <v>0.38</v>
      </c>
      <c r="X54" s="81">
        <v>1.3</v>
      </c>
      <c r="Y54" s="82">
        <f t="shared" si="3"/>
        <v>163.51400000000001</v>
      </c>
      <c r="Z54" s="82">
        <f t="shared" si="5"/>
        <v>41.634102994996795</v>
      </c>
      <c r="AA54" s="82" t="str">
        <f t="shared" si="0"/>
        <v>Sapin pectiné_F3_Cas général_GS Arc Jurassien_110_</v>
      </c>
      <c r="AB54" s="79">
        <v>110</v>
      </c>
      <c r="AC54" s="82">
        <f t="shared" si="4"/>
        <v>357.29961271628605</v>
      </c>
      <c r="AD54" s="86">
        <f t="shared" si="1"/>
        <v>0</v>
      </c>
      <c r="AE54" s="86">
        <f t="shared" si="10"/>
        <v>310.64275352258716</v>
      </c>
    </row>
    <row r="55" spans="1:31" hidden="1" x14ac:dyDescent="0.25">
      <c r="A55" s="79" t="s">
        <v>221</v>
      </c>
      <c r="B55" s="79" t="s">
        <v>144</v>
      </c>
      <c r="C55" s="79" t="s">
        <v>222</v>
      </c>
      <c r="D55" s="89" t="s">
        <v>223</v>
      </c>
      <c r="E55" s="79">
        <v>102</v>
      </c>
      <c r="F55" s="79">
        <v>120</v>
      </c>
      <c r="G55" s="79">
        <v>28.6</v>
      </c>
      <c r="H55" s="83">
        <v>378</v>
      </c>
      <c r="I55" s="83">
        <v>34.6</v>
      </c>
      <c r="J55" s="83">
        <v>417</v>
      </c>
      <c r="K55" s="83">
        <v>39</v>
      </c>
      <c r="L55" s="83">
        <v>34</v>
      </c>
      <c r="M55" s="84">
        <v>70</v>
      </c>
      <c r="N55" s="84">
        <v>5.9</v>
      </c>
      <c r="O55" s="84">
        <v>70</v>
      </c>
      <c r="P55" s="85">
        <v>308</v>
      </c>
      <c r="Q55" s="85">
        <v>28.8</v>
      </c>
      <c r="R55" s="85"/>
      <c r="S55" s="85">
        <v>346</v>
      </c>
      <c r="T55" s="80">
        <v>0.6</v>
      </c>
      <c r="U55" s="80">
        <v>8.5</v>
      </c>
      <c r="V55" s="81" t="str">
        <f>+IF(I55=0,"ap","av_ap")</f>
        <v>av_ap</v>
      </c>
      <c r="W55" s="81">
        <f>+VLOOKUP(A55,infradensité!$A$2:$B$67,2,FALSE)</f>
        <v>0.38</v>
      </c>
      <c r="X55" s="81">
        <v>1.3</v>
      </c>
      <c r="Y55" s="82">
        <f t="shared" si="3"/>
        <v>205.99800000000002</v>
      </c>
      <c r="Z55" s="82">
        <f t="shared" si="5"/>
        <v>51.060071088166737</v>
      </c>
      <c r="AA55" s="82" t="str">
        <f t="shared" si="0"/>
        <v>Sapin pectiné_F3_Cas général_GS Arc Jurassien_120_</v>
      </c>
      <c r="AB55" s="79">
        <v>120</v>
      </c>
      <c r="AC55" s="82">
        <f t="shared" si="4"/>
        <v>447.70947381189035</v>
      </c>
      <c r="AD55" s="86">
        <f t="shared" si="1"/>
        <v>4025.0454326408817</v>
      </c>
      <c r="AE55" s="86">
        <f t="shared" si="10"/>
        <v>310.64275352258716</v>
      </c>
    </row>
    <row r="56" spans="1:31" hidden="1" x14ac:dyDescent="0.25">
      <c r="A56" s="79" t="s">
        <v>221</v>
      </c>
      <c r="B56" s="79" t="s">
        <v>144</v>
      </c>
      <c r="C56" s="79" t="s">
        <v>222</v>
      </c>
      <c r="D56" s="89" t="s">
        <v>223</v>
      </c>
      <c r="E56" s="79">
        <v>102</v>
      </c>
      <c r="F56" s="79">
        <v>120</v>
      </c>
      <c r="G56" s="79">
        <v>28.6</v>
      </c>
      <c r="H56" s="85">
        <v>308</v>
      </c>
      <c r="I56" s="85">
        <v>28.8</v>
      </c>
      <c r="J56" s="85">
        <v>346</v>
      </c>
      <c r="K56" s="85">
        <v>346</v>
      </c>
      <c r="L56" s="83"/>
      <c r="M56" s="84"/>
      <c r="N56" s="84"/>
      <c r="O56" s="84"/>
      <c r="P56" s="85"/>
      <c r="Q56" s="85"/>
      <c r="R56" s="85"/>
      <c r="S56" s="85"/>
      <c r="T56" s="80"/>
      <c r="U56" s="80"/>
      <c r="V56" s="81" t="s">
        <v>53</v>
      </c>
      <c r="W56" s="81">
        <f>+VLOOKUP(A56,infradensité!$A$2:$B$67,2,FALSE)</f>
        <v>0.38</v>
      </c>
      <c r="X56" s="81">
        <v>1.3</v>
      </c>
      <c r="Y56" s="82">
        <f t="shared" si="3"/>
        <v>170.92400000000001</v>
      </c>
      <c r="Z56" s="82">
        <f t="shared" si="5"/>
        <v>43.296903516038341</v>
      </c>
      <c r="AA56" s="82" t="str">
        <f t="shared" si="0"/>
        <v>Sapin pectiné_F3_Cas général_GS Arc Jurassien_120_</v>
      </c>
      <c r="AB56" s="79">
        <v>120</v>
      </c>
      <c r="AC56" s="82">
        <f t="shared" si="4"/>
        <v>373.1014069571001</v>
      </c>
      <c r="AD56" s="86">
        <f t="shared" si="1"/>
        <v>0</v>
      </c>
      <c r="AE56" s="86">
        <f t="shared" si="10"/>
        <v>310.64275352258716</v>
      </c>
    </row>
    <row r="57" spans="1:31" hidden="1" x14ac:dyDescent="0.25">
      <c r="A57" s="79" t="s">
        <v>221</v>
      </c>
      <c r="B57" s="79" t="s">
        <v>144</v>
      </c>
      <c r="C57" s="79" t="s">
        <v>222</v>
      </c>
      <c r="D57" s="89" t="s">
        <v>223</v>
      </c>
      <c r="E57" s="79">
        <v>102</v>
      </c>
      <c r="F57" s="79">
        <v>132</v>
      </c>
      <c r="G57" s="79">
        <v>30.5</v>
      </c>
      <c r="H57" s="83">
        <v>308</v>
      </c>
      <c r="I57" s="83">
        <v>34.700000000000003</v>
      </c>
      <c r="J57" s="83">
        <v>441</v>
      </c>
      <c r="K57" s="83">
        <v>43</v>
      </c>
      <c r="L57" s="83">
        <v>38</v>
      </c>
      <c r="M57" s="84">
        <v>52</v>
      </c>
      <c r="N57" s="84">
        <v>5.6</v>
      </c>
      <c r="O57" s="84">
        <v>71</v>
      </c>
      <c r="P57" s="85">
        <v>256</v>
      </c>
      <c r="Q57" s="85">
        <v>29.1</v>
      </c>
      <c r="R57" s="85"/>
      <c r="S57" s="85">
        <v>370</v>
      </c>
      <c r="T57" s="80">
        <v>0.5</v>
      </c>
      <c r="U57" s="80">
        <v>7.8</v>
      </c>
      <c r="V57" s="81" t="str">
        <f>+IF(I57=0,"ap","av_ap")</f>
        <v>av_ap</v>
      </c>
      <c r="W57" s="81">
        <f>+VLOOKUP(A57,infradensité!$A$2:$B$67,2,FALSE)</f>
        <v>0.38</v>
      </c>
      <c r="X57" s="81">
        <v>1.3</v>
      </c>
      <c r="Y57" s="82">
        <f t="shared" si="3"/>
        <v>217.85400000000001</v>
      </c>
      <c r="Z57" s="82">
        <f t="shared" si="5"/>
        <v>53.648197462535144</v>
      </c>
      <c r="AA57" s="82" t="str">
        <f t="shared" si="0"/>
        <v>Sapin pectiné_F3_Cas général_GS Arc Jurassien_132_</v>
      </c>
      <c r="AB57" s="79">
        <v>132</v>
      </c>
      <c r="AC57" s="82">
        <f t="shared" si="4"/>
        <v>472.86632724724865</v>
      </c>
      <c r="AD57" s="86">
        <f t="shared" si="1"/>
        <v>5075.8064052260925</v>
      </c>
      <c r="AE57" s="86">
        <f t="shared" si="10"/>
        <v>310.64275352258716</v>
      </c>
    </row>
    <row r="58" spans="1:31" hidden="1" x14ac:dyDescent="0.25">
      <c r="A58" s="79" t="s">
        <v>221</v>
      </c>
      <c r="B58" s="79" t="s">
        <v>144</v>
      </c>
      <c r="C58" s="79" t="s">
        <v>222</v>
      </c>
      <c r="D58" s="89" t="s">
        <v>223</v>
      </c>
      <c r="E58" s="79">
        <v>102</v>
      </c>
      <c r="F58" s="79">
        <v>132</v>
      </c>
      <c r="G58" s="79">
        <v>30.5</v>
      </c>
      <c r="H58" s="85">
        <v>256</v>
      </c>
      <c r="I58" s="85">
        <v>29.1</v>
      </c>
      <c r="J58" s="85">
        <v>370</v>
      </c>
      <c r="K58" s="85">
        <v>370</v>
      </c>
      <c r="L58" s="83"/>
      <c r="M58" s="84"/>
      <c r="N58" s="84"/>
      <c r="O58" s="84"/>
      <c r="P58" s="85"/>
      <c r="Q58" s="85"/>
      <c r="R58" s="85"/>
      <c r="S58" s="85"/>
      <c r="T58" s="80"/>
      <c r="U58" s="80"/>
      <c r="V58" s="81" t="s">
        <v>53</v>
      </c>
      <c r="W58" s="81">
        <f>+VLOOKUP(A58,infradensité!$A$2:$B$67,2,FALSE)</f>
        <v>0.38</v>
      </c>
      <c r="X58" s="81">
        <v>1.3</v>
      </c>
      <c r="Y58" s="82">
        <f t="shared" si="3"/>
        <v>182.78000000000003</v>
      </c>
      <c r="Z58" s="82">
        <f t="shared" si="5"/>
        <v>45.940132169554303</v>
      </c>
      <c r="AA58" s="82" t="str">
        <f t="shared" si="0"/>
        <v>Sapin pectiné_F3_Cas général_GS Arc Jurassien_132_</v>
      </c>
      <c r="AB58" s="79">
        <v>132</v>
      </c>
      <c r="AC58" s="82">
        <f t="shared" si="4"/>
        <v>398.35423019530714</v>
      </c>
      <c r="AD58" s="86">
        <f t="shared" si="1"/>
        <v>0</v>
      </c>
      <c r="AE58" s="86">
        <f t="shared" si="10"/>
        <v>310.64275352258716</v>
      </c>
    </row>
    <row r="59" spans="1:31" hidden="1" x14ac:dyDescent="0.25">
      <c r="A59" s="79" t="s">
        <v>221</v>
      </c>
      <c r="B59" s="79" t="s">
        <v>144</v>
      </c>
      <c r="C59" s="79" t="s">
        <v>222</v>
      </c>
      <c r="D59" s="89" t="s">
        <v>223</v>
      </c>
      <c r="E59" s="79">
        <v>102</v>
      </c>
      <c r="F59" s="79">
        <v>144</v>
      </c>
      <c r="G59" s="79">
        <v>32.1</v>
      </c>
      <c r="H59" s="83">
        <v>256</v>
      </c>
      <c r="I59" s="83">
        <v>34.299999999999997</v>
      </c>
      <c r="J59" s="83">
        <v>455</v>
      </c>
      <c r="K59" s="83">
        <v>46</v>
      </c>
      <c r="L59" s="83">
        <v>41</v>
      </c>
      <c r="M59" s="84">
        <v>49</v>
      </c>
      <c r="N59" s="84">
        <v>5.7</v>
      </c>
      <c r="O59" s="84">
        <v>76</v>
      </c>
      <c r="P59" s="85">
        <v>207</v>
      </c>
      <c r="Q59" s="85">
        <v>28.6</v>
      </c>
      <c r="R59" s="85"/>
      <c r="S59" s="85">
        <v>379</v>
      </c>
      <c r="T59" s="80">
        <v>0.4</v>
      </c>
      <c r="U59" s="80">
        <v>7.1</v>
      </c>
      <c r="V59" s="81" t="str">
        <f>+IF(I59=0,"ap","av_ap")</f>
        <v>av_ap</v>
      </c>
      <c r="W59" s="81">
        <f>+VLOOKUP(A59,infradensité!$A$2:$B$67,2,FALSE)</f>
        <v>0.38</v>
      </c>
      <c r="X59" s="81">
        <v>1.3</v>
      </c>
      <c r="Y59" s="82">
        <f t="shared" si="3"/>
        <v>224.77</v>
      </c>
      <c r="Z59" s="82">
        <f t="shared" si="5"/>
        <v>55.150323850805421</v>
      </c>
      <c r="AA59" s="82" t="str">
        <f t="shared" si="0"/>
        <v>Sapin pectiné_F3_Cas général_GS Arc Jurassien_144_</v>
      </c>
      <c r="AB59" s="79">
        <v>144</v>
      </c>
      <c r="AC59" s="82">
        <f t="shared" si="4"/>
        <v>487.52789737348598</v>
      </c>
      <c r="AD59" s="86">
        <f t="shared" si="1"/>
        <v>5315.2927654127579</v>
      </c>
      <c r="AE59" s="86">
        <f t="shared" si="10"/>
        <v>310.64275352258716</v>
      </c>
    </row>
    <row r="60" spans="1:31" hidden="1" x14ac:dyDescent="0.25">
      <c r="A60" s="79" t="s">
        <v>221</v>
      </c>
      <c r="B60" s="79" t="s">
        <v>144</v>
      </c>
      <c r="C60" s="79" t="s">
        <v>222</v>
      </c>
      <c r="D60" s="89" t="s">
        <v>223</v>
      </c>
      <c r="E60" s="79">
        <v>102</v>
      </c>
      <c r="F60" s="79">
        <v>144</v>
      </c>
      <c r="G60" s="79">
        <v>32.1</v>
      </c>
      <c r="H60" s="85">
        <v>207</v>
      </c>
      <c r="I60" s="85">
        <v>28.6</v>
      </c>
      <c r="J60" s="85">
        <v>379</v>
      </c>
      <c r="K60" s="85">
        <v>379</v>
      </c>
      <c r="L60" s="83"/>
      <c r="M60" s="84"/>
      <c r="N60" s="84"/>
      <c r="O60" s="84"/>
      <c r="P60" s="85"/>
      <c r="Q60" s="85"/>
      <c r="R60" s="85"/>
      <c r="S60" s="85"/>
      <c r="T60" s="80"/>
      <c r="U60" s="80"/>
      <c r="V60" s="81" t="s">
        <v>53</v>
      </c>
      <c r="W60" s="81">
        <f>+VLOOKUP(A60,infradensité!$A$2:$B$67,2,FALSE)</f>
        <v>0.38</v>
      </c>
      <c r="X60" s="81">
        <v>1.3</v>
      </c>
      <c r="Y60" s="82">
        <f t="shared" si="3"/>
        <v>187.22600000000003</v>
      </c>
      <c r="Z60" s="82">
        <f t="shared" si="5"/>
        <v>46.926136857153836</v>
      </c>
      <c r="AA60" s="82" t="str">
        <f t="shared" si="0"/>
        <v>Sapin pectiné_F3_Cas général_GS Arc Jurassien_144_</v>
      </c>
      <c r="AB60" s="79">
        <v>144</v>
      </c>
      <c r="AC60" s="82">
        <f t="shared" si="4"/>
        <v>407.81497169287627</v>
      </c>
      <c r="AD60" s="86">
        <f t="shared" si="1"/>
        <v>0</v>
      </c>
      <c r="AE60" s="86">
        <f t="shared" si="10"/>
        <v>310.64275352258716</v>
      </c>
    </row>
    <row r="61" spans="1:31" hidden="1" x14ac:dyDescent="0.25">
      <c r="A61" s="79" t="s">
        <v>221</v>
      </c>
      <c r="B61" s="79" t="s">
        <v>144</v>
      </c>
      <c r="C61" s="79" t="s">
        <v>222</v>
      </c>
      <c r="D61" s="89" t="s">
        <v>223</v>
      </c>
      <c r="E61" s="79">
        <v>102</v>
      </c>
      <c r="F61" s="79">
        <v>156</v>
      </c>
      <c r="G61" s="79">
        <v>33.6</v>
      </c>
      <c r="H61" s="83">
        <v>207</v>
      </c>
      <c r="I61" s="83">
        <v>33.200000000000003</v>
      </c>
      <c r="J61" s="83">
        <v>456</v>
      </c>
      <c r="K61" s="83">
        <v>49</v>
      </c>
      <c r="L61" s="83">
        <v>45</v>
      </c>
      <c r="M61" s="84">
        <v>28</v>
      </c>
      <c r="N61" s="84">
        <v>4.7</v>
      </c>
      <c r="O61" s="84">
        <v>65</v>
      </c>
      <c r="P61" s="85">
        <v>179</v>
      </c>
      <c r="Q61" s="85">
        <v>28.5</v>
      </c>
      <c r="R61" s="85"/>
      <c r="S61" s="85">
        <v>391</v>
      </c>
      <c r="T61" s="80">
        <v>0.4</v>
      </c>
      <c r="U61" s="80">
        <v>6.4</v>
      </c>
      <c r="V61" s="81" t="str">
        <f>+IF(I61=0,"ap","av_ap")</f>
        <v>av_ap</v>
      </c>
      <c r="W61" s="81">
        <f>+VLOOKUP(A61,infradensité!$A$2:$B$67,2,FALSE)</f>
        <v>0.38</v>
      </c>
      <c r="X61" s="81">
        <v>1.3</v>
      </c>
      <c r="Y61" s="82">
        <f t="shared" si="3"/>
        <v>225.26400000000001</v>
      </c>
      <c r="Z61" s="82">
        <f t="shared" si="5"/>
        <v>55.257410879343809</v>
      </c>
      <c r="AA61" s="82" t="str">
        <f t="shared" si="0"/>
        <v>Sapin pectiné_F3_Cas général_GS Arc Jurassien_156_</v>
      </c>
      <c r="AB61" s="79">
        <v>156</v>
      </c>
      <c r="AC61" s="82">
        <f t="shared" si="4"/>
        <v>488.57479061485714</v>
      </c>
      <c r="AD61" s="86">
        <f t="shared" si="1"/>
        <v>5378.3385738464003</v>
      </c>
      <c r="AE61" s="86">
        <f t="shared" si="10"/>
        <v>310.64275352258716</v>
      </c>
    </row>
    <row r="62" spans="1:31" hidden="1" x14ac:dyDescent="0.25">
      <c r="A62" s="79" t="s">
        <v>221</v>
      </c>
      <c r="B62" s="79" t="s">
        <v>144</v>
      </c>
      <c r="C62" s="79" t="s">
        <v>222</v>
      </c>
      <c r="D62" s="89" t="s">
        <v>223</v>
      </c>
      <c r="E62" s="79">
        <v>102</v>
      </c>
      <c r="F62" s="79">
        <v>156</v>
      </c>
      <c r="G62" s="79">
        <v>33.6</v>
      </c>
      <c r="H62" s="85">
        <v>179</v>
      </c>
      <c r="I62" s="85">
        <v>28.5</v>
      </c>
      <c r="J62" s="85">
        <v>391</v>
      </c>
      <c r="K62" s="85">
        <v>391</v>
      </c>
      <c r="L62" s="83"/>
      <c r="M62" s="84"/>
      <c r="N62" s="84"/>
      <c r="O62" s="84"/>
      <c r="P62" s="85"/>
      <c r="Q62" s="85"/>
      <c r="R62" s="85"/>
      <c r="S62" s="85"/>
      <c r="T62" s="80"/>
      <c r="U62" s="80"/>
      <c r="V62" s="81" t="s">
        <v>53</v>
      </c>
      <c r="W62" s="81">
        <f>+VLOOKUP(A62,infradensité!$A$2:$B$67,2,FALSE)</f>
        <v>0.38</v>
      </c>
      <c r="X62" s="81">
        <v>1.3</v>
      </c>
      <c r="Y62" s="82">
        <f t="shared" si="3"/>
        <v>193.15400000000002</v>
      </c>
      <c r="Z62" s="82">
        <f t="shared" si="5"/>
        <v>48.236587915544575</v>
      </c>
      <c r="AA62" s="82" t="str">
        <f t="shared" si="0"/>
        <v>Sapin pectiné_F3_Cas général_GS Arc Jurassien_156_</v>
      </c>
      <c r="AB62" s="79">
        <v>156</v>
      </c>
      <c r="AC62" s="82">
        <f t="shared" si="4"/>
        <v>420.42194061957343</v>
      </c>
      <c r="AD62" s="86">
        <f t="shared" si="1"/>
        <v>0</v>
      </c>
      <c r="AE62" s="86">
        <f t="shared" si="10"/>
        <v>310.64275352258716</v>
      </c>
    </row>
    <row r="63" spans="1:31" hidden="1" x14ac:dyDescent="0.25">
      <c r="A63" s="79" t="s">
        <v>221</v>
      </c>
      <c r="B63" s="79" t="s">
        <v>144</v>
      </c>
      <c r="C63" s="79" t="s">
        <v>222</v>
      </c>
      <c r="D63" s="89" t="s">
        <v>223</v>
      </c>
      <c r="E63" s="79">
        <v>102</v>
      </c>
      <c r="F63" s="79">
        <v>170</v>
      </c>
      <c r="G63" s="79">
        <v>35.1</v>
      </c>
      <c r="H63" s="83">
        <v>179</v>
      </c>
      <c r="I63" s="83">
        <v>33.200000000000003</v>
      </c>
      <c r="J63" s="83">
        <v>471</v>
      </c>
      <c r="K63" s="83">
        <v>52</v>
      </c>
      <c r="L63" s="83">
        <v>49</v>
      </c>
      <c r="M63" s="84" t="s">
        <v>225</v>
      </c>
      <c r="N63" s="84" t="s">
        <v>225</v>
      </c>
      <c r="O63" s="84" t="s">
        <v>225</v>
      </c>
      <c r="P63" s="85" t="s">
        <v>225</v>
      </c>
      <c r="Q63" s="85"/>
      <c r="R63" s="85"/>
      <c r="S63" s="85"/>
      <c r="T63" s="80">
        <v>0.6</v>
      </c>
      <c r="U63" s="80">
        <v>6.9</v>
      </c>
      <c r="V63" s="81" t="str">
        <f>+IF(I63=0,"ap","av_ap")</f>
        <v>av_ap</v>
      </c>
      <c r="W63" s="81">
        <f>+VLOOKUP(A63,infradensité!$A$2:$B$67,2,FALSE)</f>
        <v>0.38</v>
      </c>
      <c r="X63" s="81">
        <v>1.3</v>
      </c>
      <c r="Y63" s="82">
        <f t="shared" si="3"/>
        <v>232.67400000000004</v>
      </c>
      <c r="Z63" s="82">
        <f t="shared" si="5"/>
        <v>56.860473311927038</v>
      </c>
      <c r="AA63" s="82" t="str">
        <f t="shared" si="0"/>
        <v>Sapin pectiné_F3_Cas général_GS Arc Jurassien_170_</v>
      </c>
      <c r="AB63" s="79">
        <v>170</v>
      </c>
      <c r="AC63" s="82">
        <f t="shared" si="4"/>
        <v>504.27254101827293</v>
      </c>
      <c r="AD63" s="86">
        <f t="shared" si="1"/>
        <v>6472.8613714649246</v>
      </c>
      <c r="AE63" s="86">
        <f t="shared" si="10"/>
        <v>310.64275352258716</v>
      </c>
    </row>
    <row r="64" spans="1:31" hidden="1" x14ac:dyDescent="0.25">
      <c r="A64" s="79" t="s">
        <v>221</v>
      </c>
      <c r="B64" s="79" t="s">
        <v>144</v>
      </c>
      <c r="C64" s="79" t="s">
        <v>222</v>
      </c>
      <c r="D64" s="89" t="s">
        <v>223</v>
      </c>
      <c r="E64" s="79">
        <v>102</v>
      </c>
      <c r="F64" s="79">
        <v>170</v>
      </c>
      <c r="G64" s="79">
        <v>35.1</v>
      </c>
      <c r="H64" s="85" t="s">
        <v>225</v>
      </c>
      <c r="I64" s="83"/>
      <c r="J64" s="86">
        <v>0</v>
      </c>
      <c r="K64" s="83"/>
      <c r="L64" s="83"/>
      <c r="M64" s="84"/>
      <c r="N64" s="84"/>
      <c r="O64" s="84"/>
      <c r="P64" s="85"/>
      <c r="Q64" s="85"/>
      <c r="R64" s="85"/>
      <c r="S64" s="85"/>
      <c r="T64" s="80"/>
      <c r="U64" s="80"/>
      <c r="V64" s="81" t="s">
        <v>53</v>
      </c>
      <c r="W64" s="81">
        <f>+VLOOKUP(A64,infradensité!$A$2:$B$67,2,FALSE)</f>
        <v>0.38</v>
      </c>
      <c r="X64" s="81">
        <v>1.3</v>
      </c>
      <c r="Y64" s="82">
        <f t="shared" si="3"/>
        <v>0</v>
      </c>
      <c r="Z64" s="88">
        <v>0</v>
      </c>
      <c r="AA64" s="88" t="str">
        <f t="shared" si="0"/>
        <v>Sapin pectiné_F3_Cas général_GS Arc Jurassien_170_</v>
      </c>
      <c r="AB64" s="79">
        <v>170</v>
      </c>
      <c r="AC64" s="82">
        <f t="shared" si="4"/>
        <v>0</v>
      </c>
      <c r="AD64" s="86">
        <f t="shared" si="1"/>
        <v>0</v>
      </c>
      <c r="AE64" s="86">
        <f t="shared" si="10"/>
        <v>310.64275352258716</v>
      </c>
    </row>
    <row r="65" spans="1:31" hidden="1" x14ac:dyDescent="0.25">
      <c r="A65" s="79" t="s">
        <v>221</v>
      </c>
      <c r="B65" s="79" t="s">
        <v>9</v>
      </c>
      <c r="C65" s="79" t="s">
        <v>226</v>
      </c>
      <c r="D65" s="89" t="s">
        <v>227</v>
      </c>
      <c r="E65" s="79">
        <v>171</v>
      </c>
      <c r="F65" s="79">
        <v>50</v>
      </c>
      <c r="G65" s="79">
        <v>20.100000000000001</v>
      </c>
      <c r="H65" s="83">
        <v>1500</v>
      </c>
      <c r="I65" s="83">
        <v>41</v>
      </c>
      <c r="J65" s="83"/>
      <c r="K65" s="83">
        <v>32</v>
      </c>
      <c r="L65" s="83"/>
      <c r="M65" s="84"/>
      <c r="N65" s="84"/>
      <c r="O65" s="84">
        <v>80</v>
      </c>
      <c r="P65" s="85">
        <v>735</v>
      </c>
      <c r="Q65" s="85">
        <v>29</v>
      </c>
      <c r="R65" s="85"/>
      <c r="S65" s="85"/>
      <c r="T65" s="80"/>
      <c r="U65" s="80"/>
      <c r="V65" s="81" t="str">
        <f>+IF(I65=0,"ap","av_ap")</f>
        <v>av_ap</v>
      </c>
      <c r="W65" s="81">
        <f>+VLOOKUP(A65,infradensité!$A$2:$B$67,2,FALSE)</f>
        <v>0.38</v>
      </c>
      <c r="X65" s="81">
        <v>1.3</v>
      </c>
      <c r="Y65" s="82">
        <f t="shared" si="3"/>
        <v>0</v>
      </c>
      <c r="Z65" s="82" t="e">
        <f t="shared" ref="Z65:Z66" si="11">+EXP(-1.0587+0.8836*LN(Y65)+0.284)</f>
        <v>#NUM!</v>
      </c>
      <c r="AA65" s="82" t="str">
        <f t="shared" si="0"/>
        <v>Sapin pectiné_F1_SP1_d5_GSM Alpes du Sud_50_</v>
      </c>
      <c r="AB65" s="79">
        <v>50</v>
      </c>
      <c r="AC65" s="82" t="e">
        <f t="shared" si="4"/>
        <v>#NUM!</v>
      </c>
      <c r="AD65" s="86" t="e">
        <f t="shared" si="1"/>
        <v>#NUM!</v>
      </c>
      <c r="AE65" s="81"/>
    </row>
    <row r="66" spans="1:31" hidden="1" x14ac:dyDescent="0.25">
      <c r="A66" s="79" t="s">
        <v>221</v>
      </c>
      <c r="B66" s="79" t="s">
        <v>9</v>
      </c>
      <c r="C66" s="79" t="s">
        <v>226</v>
      </c>
      <c r="D66" s="89" t="s">
        <v>227</v>
      </c>
      <c r="E66" s="79">
        <v>171</v>
      </c>
      <c r="F66" s="79">
        <v>50</v>
      </c>
      <c r="G66" s="79">
        <v>20.100000000000001</v>
      </c>
      <c r="H66" s="85">
        <v>735</v>
      </c>
      <c r="I66" s="85">
        <v>29</v>
      </c>
      <c r="J66" s="83"/>
      <c r="K66" s="83"/>
      <c r="L66" s="83"/>
      <c r="M66" s="84"/>
      <c r="N66" s="84"/>
      <c r="O66" s="84"/>
      <c r="P66" s="85"/>
      <c r="Q66" s="85"/>
      <c r="R66" s="85"/>
      <c r="S66" s="85"/>
      <c r="T66" s="80"/>
      <c r="U66" s="80"/>
      <c r="V66" s="81" t="s">
        <v>53</v>
      </c>
      <c r="W66" s="81">
        <f>+VLOOKUP(A66,infradensité!$A$2:$B$67,2,FALSE)</f>
        <v>0.38</v>
      </c>
      <c r="X66" s="81">
        <v>1.3</v>
      </c>
      <c r="Y66" s="82">
        <f t="shared" si="3"/>
        <v>0</v>
      </c>
      <c r="Z66" s="82" t="e">
        <f t="shared" si="11"/>
        <v>#NUM!</v>
      </c>
      <c r="AA66" s="82" t="str">
        <f t="shared" si="0"/>
        <v>Sapin pectiné_F1_SP1_d5_GSM Alpes du Sud_50_</v>
      </c>
      <c r="AB66" s="79">
        <v>50</v>
      </c>
      <c r="AC66" s="82" t="e">
        <f t="shared" si="4"/>
        <v>#NUM!</v>
      </c>
      <c r="AD66" s="86" t="e">
        <f t="shared" si="1"/>
        <v>#NUM!</v>
      </c>
      <c r="AE66" s="81"/>
    </row>
    <row r="67" spans="1:31" hidden="1" x14ac:dyDescent="0.25">
      <c r="A67" s="79" t="s">
        <v>221</v>
      </c>
      <c r="B67" s="79" t="s">
        <v>9</v>
      </c>
      <c r="C67" s="79" t="s">
        <v>226</v>
      </c>
      <c r="D67" s="89" t="s">
        <v>227</v>
      </c>
      <c r="E67" s="79">
        <v>171</v>
      </c>
      <c r="F67" s="79">
        <v>50</v>
      </c>
      <c r="G67" s="79">
        <v>20.100000000000001</v>
      </c>
      <c r="H67" s="83">
        <v>1500</v>
      </c>
      <c r="I67" s="83">
        <v>41</v>
      </c>
      <c r="J67" s="83"/>
      <c r="K67" s="83">
        <v>32</v>
      </c>
      <c r="L67" s="83"/>
      <c r="M67" s="84"/>
      <c r="N67" s="84"/>
      <c r="O67" s="84">
        <v>80</v>
      </c>
      <c r="P67" s="85">
        <v>735</v>
      </c>
      <c r="Q67" s="85">
        <v>29</v>
      </c>
      <c r="R67" s="85"/>
      <c r="S67" s="85"/>
      <c r="T67" s="80"/>
      <c r="U67" s="80"/>
      <c r="V67" s="81" t="str">
        <f>+IF(I67=0,"ap","av_ap")</f>
        <v>av_ap</v>
      </c>
      <c r="W67" s="81">
        <f>+VLOOKUP(A67,infradensité!$A$2:$B$67,2,FALSE)</f>
        <v>0.38</v>
      </c>
      <c r="X67" s="81">
        <v>1.3</v>
      </c>
      <c r="Y67" s="82">
        <f t="shared" si="3"/>
        <v>0</v>
      </c>
      <c r="Z67" s="82" t="e">
        <f t="shared" si="5"/>
        <v>#NUM!</v>
      </c>
      <c r="AA67" s="82" t="str">
        <f t="shared" ref="AA67:AA130" si="12">+_xlfn.CONCAT(A67,"_",B67,"_",C67,"_",D67,"_",AB67,"_")</f>
        <v>Sapin pectiné_F1_SP1_d5_GSM Alpes du Sud_50_</v>
      </c>
      <c r="AB67" s="79">
        <v>50</v>
      </c>
      <c r="AC67" s="82" t="e">
        <f t="shared" si="4"/>
        <v>#NUM!</v>
      </c>
      <c r="AD67" s="86" t="e">
        <f t="shared" si="1"/>
        <v>#NUM!</v>
      </c>
      <c r="AE67" s="81"/>
    </row>
    <row r="68" spans="1:31" hidden="1" x14ac:dyDescent="0.25">
      <c r="A68" s="79" t="s">
        <v>221</v>
      </c>
      <c r="B68" s="79" t="s">
        <v>9</v>
      </c>
      <c r="C68" s="79" t="s">
        <v>226</v>
      </c>
      <c r="D68" s="89" t="s">
        <v>227</v>
      </c>
      <c r="E68" s="79">
        <v>171</v>
      </c>
      <c r="F68" s="79">
        <v>50</v>
      </c>
      <c r="G68" s="79">
        <v>20.100000000000001</v>
      </c>
      <c r="H68" s="85">
        <v>735</v>
      </c>
      <c r="I68" s="85">
        <v>29</v>
      </c>
      <c r="J68" s="83"/>
      <c r="K68" s="83"/>
      <c r="L68" s="83"/>
      <c r="M68" s="84"/>
      <c r="N68" s="84"/>
      <c r="O68" s="84"/>
      <c r="P68" s="85"/>
      <c r="Q68" s="85"/>
      <c r="R68" s="85"/>
      <c r="S68" s="85"/>
      <c r="T68" s="80"/>
      <c r="U68" s="80"/>
      <c r="V68" s="81" t="s">
        <v>53</v>
      </c>
      <c r="W68" s="81">
        <f>+VLOOKUP(A68,infradensité!$A$2:$B$67,2,FALSE)</f>
        <v>0.38</v>
      </c>
      <c r="X68" s="81">
        <v>1.3</v>
      </c>
      <c r="Y68" s="82">
        <f t="shared" si="3"/>
        <v>0</v>
      </c>
      <c r="Z68" s="82" t="e">
        <f t="shared" si="5"/>
        <v>#NUM!</v>
      </c>
      <c r="AA68" s="82" t="str">
        <f t="shared" si="12"/>
        <v>Sapin pectiné_F1_SP1_d5_GSM Alpes du Sud_50_</v>
      </c>
      <c r="AB68" s="79">
        <v>50</v>
      </c>
      <c r="AC68" s="82" t="e">
        <f t="shared" si="4"/>
        <v>#NUM!</v>
      </c>
      <c r="AD68" s="86" t="e">
        <f t="shared" ref="AD68:AD131" si="13">+IF(AC68=0,0,(AC68+AC67)*(AB68-AB67)/2)</f>
        <v>#NUM!</v>
      </c>
      <c r="AE68" s="81"/>
    </row>
    <row r="69" spans="1:31" hidden="1" x14ac:dyDescent="0.25">
      <c r="A69" s="79" t="s">
        <v>221</v>
      </c>
      <c r="B69" s="79" t="s">
        <v>9</v>
      </c>
      <c r="C69" s="79" t="s">
        <v>226</v>
      </c>
      <c r="D69" s="89" t="s">
        <v>227</v>
      </c>
      <c r="E69" s="79">
        <v>171</v>
      </c>
      <c r="F69" s="79">
        <v>60</v>
      </c>
      <c r="G69" s="79">
        <v>22.1</v>
      </c>
      <c r="H69" s="83">
        <v>710</v>
      </c>
      <c r="I69" s="83">
        <v>42</v>
      </c>
      <c r="J69" s="83"/>
      <c r="K69" s="83">
        <v>37</v>
      </c>
      <c r="L69" s="83"/>
      <c r="M69" s="84"/>
      <c r="N69" s="84"/>
      <c r="O69" s="84">
        <v>80</v>
      </c>
      <c r="P69" s="85">
        <v>485</v>
      </c>
      <c r="Q69" s="85">
        <v>29</v>
      </c>
      <c r="R69" s="85"/>
      <c r="S69" s="85"/>
      <c r="T69" s="80"/>
      <c r="U69" s="80"/>
      <c r="V69" s="81" t="str">
        <f>+IF(I69=0,"ap","av_ap")</f>
        <v>av_ap</v>
      </c>
      <c r="W69" s="81">
        <f>+VLOOKUP(A69,infradensité!$A$2:$B$67,2,FALSE)</f>
        <v>0.38</v>
      </c>
      <c r="X69" s="81">
        <v>1.3</v>
      </c>
      <c r="Y69" s="82">
        <f t="shared" si="3"/>
        <v>0</v>
      </c>
      <c r="Z69" s="82" t="e">
        <f t="shared" si="5"/>
        <v>#NUM!</v>
      </c>
      <c r="AA69" s="82" t="str">
        <f t="shared" si="12"/>
        <v>Sapin pectiné_F1_SP1_d5_GSM Alpes du Sud_60_</v>
      </c>
      <c r="AB69" s="79">
        <v>60</v>
      </c>
      <c r="AC69" s="82" t="e">
        <f t="shared" si="4"/>
        <v>#NUM!</v>
      </c>
      <c r="AD69" s="86" t="e">
        <f t="shared" si="13"/>
        <v>#NUM!</v>
      </c>
      <c r="AE69" s="81"/>
    </row>
    <row r="70" spans="1:31" hidden="1" x14ac:dyDescent="0.25">
      <c r="A70" s="79" t="s">
        <v>221</v>
      </c>
      <c r="B70" s="79" t="s">
        <v>9</v>
      </c>
      <c r="C70" s="79" t="s">
        <v>226</v>
      </c>
      <c r="D70" s="89" t="s">
        <v>227</v>
      </c>
      <c r="E70" s="79">
        <v>171</v>
      </c>
      <c r="F70" s="79">
        <v>60</v>
      </c>
      <c r="G70" s="79">
        <v>22.1</v>
      </c>
      <c r="H70" s="85">
        <v>485</v>
      </c>
      <c r="I70" s="85">
        <v>29</v>
      </c>
      <c r="J70" s="83"/>
      <c r="K70" s="83"/>
      <c r="L70" s="83"/>
      <c r="M70" s="84"/>
      <c r="N70" s="84"/>
      <c r="O70" s="84"/>
      <c r="P70" s="85"/>
      <c r="Q70" s="85"/>
      <c r="R70" s="85"/>
      <c r="S70" s="85"/>
      <c r="T70" s="80"/>
      <c r="U70" s="80"/>
      <c r="V70" s="81" t="s">
        <v>53</v>
      </c>
      <c r="W70" s="81">
        <f>+VLOOKUP(A70,infradensité!$A$2:$B$67,2,FALSE)</f>
        <v>0.38</v>
      </c>
      <c r="X70" s="81">
        <v>1.3</v>
      </c>
      <c r="Y70" s="82">
        <f t="shared" si="3"/>
        <v>0</v>
      </c>
      <c r="Z70" s="82" t="e">
        <f t="shared" si="5"/>
        <v>#NUM!</v>
      </c>
      <c r="AA70" s="82" t="str">
        <f t="shared" si="12"/>
        <v>Sapin pectiné_F1_SP1_d5_GSM Alpes du Sud_60_</v>
      </c>
      <c r="AB70" s="79">
        <v>60</v>
      </c>
      <c r="AC70" s="82" t="e">
        <f t="shared" si="4"/>
        <v>#NUM!</v>
      </c>
      <c r="AD70" s="86" t="e">
        <f t="shared" si="13"/>
        <v>#NUM!</v>
      </c>
      <c r="AE70" s="81"/>
    </row>
    <row r="71" spans="1:31" hidden="1" x14ac:dyDescent="0.25">
      <c r="A71" s="79" t="s">
        <v>221</v>
      </c>
      <c r="B71" s="79" t="s">
        <v>9</v>
      </c>
      <c r="C71" s="79" t="s">
        <v>226</v>
      </c>
      <c r="D71" s="89" t="s">
        <v>227</v>
      </c>
      <c r="E71" s="79">
        <v>171</v>
      </c>
      <c r="F71" s="79">
        <v>70</v>
      </c>
      <c r="G71" s="79">
        <v>23.6</v>
      </c>
      <c r="H71" s="83">
        <v>475</v>
      </c>
      <c r="I71" s="83">
        <v>39</v>
      </c>
      <c r="J71" s="83"/>
      <c r="K71" s="83">
        <v>41</v>
      </c>
      <c r="L71" s="83"/>
      <c r="M71" s="84"/>
      <c r="N71" s="84"/>
      <c r="O71" s="84">
        <v>96</v>
      </c>
      <c r="P71" s="85">
        <v>355</v>
      </c>
      <c r="Q71" s="85">
        <v>29</v>
      </c>
      <c r="R71" s="85"/>
      <c r="S71" s="85"/>
      <c r="T71" s="80"/>
      <c r="U71" s="80"/>
      <c r="V71" s="81" t="str">
        <f>+IF(I71=0,"ap","av_ap")</f>
        <v>av_ap</v>
      </c>
      <c r="W71" s="81">
        <f>+VLOOKUP(A71,infradensité!$A$2:$B$67,2,FALSE)</f>
        <v>0.38</v>
      </c>
      <c r="X71" s="81">
        <v>1.3</v>
      </c>
      <c r="Y71" s="82">
        <f t="shared" si="3"/>
        <v>0</v>
      </c>
      <c r="Z71" s="82" t="e">
        <f t="shared" si="5"/>
        <v>#NUM!</v>
      </c>
      <c r="AA71" s="82" t="str">
        <f t="shared" si="12"/>
        <v>Sapin pectiné_F1_SP1_d5_GSM Alpes du Sud_70_</v>
      </c>
      <c r="AB71" s="79">
        <v>70</v>
      </c>
      <c r="AC71" s="82" t="e">
        <f t="shared" si="4"/>
        <v>#NUM!</v>
      </c>
      <c r="AD71" s="86" t="e">
        <f t="shared" si="13"/>
        <v>#NUM!</v>
      </c>
      <c r="AE71" s="81"/>
    </row>
    <row r="72" spans="1:31" hidden="1" x14ac:dyDescent="0.25">
      <c r="A72" s="79" t="s">
        <v>221</v>
      </c>
      <c r="B72" s="79" t="s">
        <v>9</v>
      </c>
      <c r="C72" s="79" t="s">
        <v>226</v>
      </c>
      <c r="D72" s="89" t="s">
        <v>227</v>
      </c>
      <c r="E72" s="79">
        <v>171</v>
      </c>
      <c r="F72" s="79">
        <v>70</v>
      </c>
      <c r="G72" s="79">
        <v>23.6</v>
      </c>
      <c r="H72" s="85">
        <v>355</v>
      </c>
      <c r="I72" s="85">
        <v>29</v>
      </c>
      <c r="J72" s="83"/>
      <c r="K72" s="83"/>
      <c r="L72" s="83"/>
      <c r="M72" s="84"/>
      <c r="N72" s="84"/>
      <c r="O72" s="84"/>
      <c r="P72" s="85"/>
      <c r="Q72" s="85"/>
      <c r="R72" s="85"/>
      <c r="S72" s="85"/>
      <c r="T72" s="80"/>
      <c r="U72" s="80"/>
      <c r="V72" s="81" t="s">
        <v>53</v>
      </c>
      <c r="W72" s="81">
        <f>+VLOOKUP(A72,infradensité!$A$2:$B$67,2,FALSE)</f>
        <v>0.38</v>
      </c>
      <c r="X72" s="81">
        <v>1.3</v>
      </c>
      <c r="Y72" s="82">
        <f t="shared" si="3"/>
        <v>0</v>
      </c>
      <c r="Z72" s="82" t="e">
        <f t="shared" si="5"/>
        <v>#NUM!</v>
      </c>
      <c r="AA72" s="82" t="str">
        <f t="shared" si="12"/>
        <v>Sapin pectiné_F1_SP1_d5_GSM Alpes du Sud_70_</v>
      </c>
      <c r="AB72" s="79">
        <v>70</v>
      </c>
      <c r="AC72" s="82" t="e">
        <f t="shared" si="4"/>
        <v>#NUM!</v>
      </c>
      <c r="AD72" s="86" t="e">
        <f t="shared" si="13"/>
        <v>#NUM!</v>
      </c>
      <c r="AE72" s="81"/>
    </row>
    <row r="73" spans="1:31" hidden="1" x14ac:dyDescent="0.25">
      <c r="A73" s="79" t="s">
        <v>221</v>
      </c>
      <c r="B73" s="79" t="s">
        <v>9</v>
      </c>
      <c r="C73" s="79" t="s">
        <v>226</v>
      </c>
      <c r="D73" s="89" t="s">
        <v>227</v>
      </c>
      <c r="E73" s="79">
        <v>171</v>
      </c>
      <c r="F73" s="79">
        <v>80</v>
      </c>
      <c r="G73" s="79">
        <v>24.5</v>
      </c>
      <c r="H73" s="83">
        <v>350</v>
      </c>
      <c r="I73" s="83">
        <v>38</v>
      </c>
      <c r="J73" s="83"/>
      <c r="K73" s="83">
        <v>45</v>
      </c>
      <c r="L73" s="83"/>
      <c r="M73" s="84"/>
      <c r="N73" s="84"/>
      <c r="O73" s="84">
        <v>91</v>
      </c>
      <c r="P73" s="85">
        <v>270</v>
      </c>
      <c r="Q73" s="85">
        <v>29</v>
      </c>
      <c r="R73" s="85"/>
      <c r="S73" s="85"/>
      <c r="T73" s="80"/>
      <c r="U73" s="80"/>
      <c r="V73" s="81" t="str">
        <f>+IF(I73=0,"ap","av_ap")</f>
        <v>av_ap</v>
      </c>
      <c r="W73" s="81">
        <f>+VLOOKUP(A73,infradensité!$A$2:$B$67,2,FALSE)</f>
        <v>0.38</v>
      </c>
      <c r="X73" s="81">
        <v>1.3</v>
      </c>
      <c r="Y73" s="82">
        <f t="shared" si="3"/>
        <v>0</v>
      </c>
      <c r="Z73" s="82" t="e">
        <f t="shared" si="5"/>
        <v>#NUM!</v>
      </c>
      <c r="AA73" s="82" t="str">
        <f t="shared" si="12"/>
        <v>Sapin pectiné_F1_SP1_d5_GSM Alpes du Sud_80_</v>
      </c>
      <c r="AB73" s="79">
        <v>80</v>
      </c>
      <c r="AC73" s="82" t="e">
        <f t="shared" si="4"/>
        <v>#NUM!</v>
      </c>
      <c r="AD73" s="86" t="e">
        <f t="shared" si="13"/>
        <v>#NUM!</v>
      </c>
      <c r="AE73" s="81"/>
    </row>
    <row r="74" spans="1:31" hidden="1" x14ac:dyDescent="0.25">
      <c r="A74" s="79" t="s">
        <v>221</v>
      </c>
      <c r="B74" s="79" t="s">
        <v>9</v>
      </c>
      <c r="C74" s="79" t="s">
        <v>226</v>
      </c>
      <c r="D74" s="89" t="s">
        <v>227</v>
      </c>
      <c r="E74" s="79">
        <v>171</v>
      </c>
      <c r="F74" s="79">
        <v>80</v>
      </c>
      <c r="G74" s="79">
        <v>24.5</v>
      </c>
      <c r="H74" s="85">
        <v>270</v>
      </c>
      <c r="I74" s="85">
        <v>29</v>
      </c>
      <c r="J74" s="83"/>
      <c r="K74" s="83"/>
      <c r="L74" s="83"/>
      <c r="M74" s="84"/>
      <c r="N74" s="84"/>
      <c r="O74" s="84"/>
      <c r="P74" s="85"/>
      <c r="Q74" s="85"/>
      <c r="R74" s="85"/>
      <c r="S74" s="85"/>
      <c r="T74" s="80"/>
      <c r="U74" s="80"/>
      <c r="V74" s="81" t="s">
        <v>53</v>
      </c>
      <c r="W74" s="81">
        <f>+VLOOKUP(A74,infradensité!$A$2:$B$67,2,FALSE)</f>
        <v>0.38</v>
      </c>
      <c r="X74" s="81">
        <v>1.3</v>
      </c>
      <c r="Y74" s="82">
        <f t="shared" si="3"/>
        <v>0</v>
      </c>
      <c r="Z74" s="82" t="e">
        <f t="shared" si="5"/>
        <v>#NUM!</v>
      </c>
      <c r="AA74" s="82" t="str">
        <f t="shared" si="12"/>
        <v>Sapin pectiné_F1_SP1_d5_GSM Alpes du Sud_80_</v>
      </c>
      <c r="AB74" s="79">
        <v>80</v>
      </c>
      <c r="AC74" s="82" t="e">
        <f t="shared" si="4"/>
        <v>#NUM!</v>
      </c>
      <c r="AD74" s="86" t="e">
        <f t="shared" si="13"/>
        <v>#NUM!</v>
      </c>
      <c r="AE74" s="81"/>
    </row>
    <row r="75" spans="1:31" hidden="1" x14ac:dyDescent="0.25">
      <c r="A75" s="79" t="s">
        <v>221</v>
      </c>
      <c r="B75" s="79" t="s">
        <v>9</v>
      </c>
      <c r="C75" s="79" t="s">
        <v>226</v>
      </c>
      <c r="D75" s="89" t="s">
        <v>227</v>
      </c>
      <c r="E75" s="79">
        <v>171</v>
      </c>
      <c r="F75" s="79">
        <v>90</v>
      </c>
      <c r="G75" s="79">
        <v>25.1</v>
      </c>
      <c r="H75" s="83">
        <v>265</v>
      </c>
      <c r="I75" s="83">
        <v>35</v>
      </c>
      <c r="J75" s="83"/>
      <c r="K75" s="83">
        <v>48</v>
      </c>
      <c r="L75" s="83"/>
      <c r="M75" s="84"/>
      <c r="N75" s="84"/>
      <c r="O75" s="84">
        <v>61</v>
      </c>
      <c r="P75" s="85">
        <v>220</v>
      </c>
      <c r="Q75" s="85">
        <v>30</v>
      </c>
      <c r="R75" s="85"/>
      <c r="S75" s="85"/>
      <c r="T75" s="80"/>
      <c r="U75" s="80"/>
      <c r="V75" s="81" t="str">
        <f>+IF(I75=0,"ap","av_ap")</f>
        <v>av_ap</v>
      </c>
      <c r="W75" s="81">
        <f>+VLOOKUP(A75,infradensité!$A$2:$B$67,2,FALSE)</f>
        <v>0.38</v>
      </c>
      <c r="X75" s="81">
        <v>1.3</v>
      </c>
      <c r="Y75" s="82">
        <f t="shared" si="3"/>
        <v>0</v>
      </c>
      <c r="Z75" s="82" t="e">
        <f t="shared" si="5"/>
        <v>#NUM!</v>
      </c>
      <c r="AA75" s="82" t="str">
        <f t="shared" si="12"/>
        <v>Sapin pectiné_F1_SP1_d5_GSM Alpes du Sud_90_</v>
      </c>
      <c r="AB75" s="79">
        <v>90</v>
      </c>
      <c r="AC75" s="82" t="e">
        <f t="shared" si="4"/>
        <v>#NUM!</v>
      </c>
      <c r="AD75" s="86" t="e">
        <f t="shared" si="13"/>
        <v>#NUM!</v>
      </c>
      <c r="AE75" s="81"/>
    </row>
    <row r="76" spans="1:31" hidden="1" x14ac:dyDescent="0.25">
      <c r="A76" s="79" t="s">
        <v>221</v>
      </c>
      <c r="B76" s="79" t="s">
        <v>9</v>
      </c>
      <c r="C76" s="79" t="s">
        <v>226</v>
      </c>
      <c r="D76" s="89" t="s">
        <v>227</v>
      </c>
      <c r="E76" s="79">
        <v>171</v>
      </c>
      <c r="F76" s="79">
        <v>90</v>
      </c>
      <c r="G76" s="79">
        <v>25.1</v>
      </c>
      <c r="H76" s="85">
        <v>220</v>
      </c>
      <c r="I76" s="85">
        <v>30</v>
      </c>
      <c r="J76" s="83"/>
      <c r="K76" s="83"/>
      <c r="L76" s="83"/>
      <c r="M76" s="84"/>
      <c r="N76" s="84"/>
      <c r="O76" s="84"/>
      <c r="P76" s="85"/>
      <c r="Q76" s="85"/>
      <c r="R76" s="85"/>
      <c r="S76" s="85"/>
      <c r="T76" s="80"/>
      <c r="U76" s="80"/>
      <c r="V76" s="81" t="s">
        <v>53</v>
      </c>
      <c r="W76" s="81">
        <f>+VLOOKUP(A76,infradensité!$A$2:$B$67,2,FALSE)</f>
        <v>0.38</v>
      </c>
      <c r="X76" s="81">
        <v>1.3</v>
      </c>
      <c r="Y76" s="82">
        <f t="shared" ref="Y76:Y143" si="14">+X76*W76*J76</f>
        <v>0</v>
      </c>
      <c r="Z76" s="82" t="e">
        <f t="shared" si="5"/>
        <v>#NUM!</v>
      </c>
      <c r="AA76" s="82" t="str">
        <f t="shared" si="12"/>
        <v>Sapin pectiné_F1_SP1_d5_GSM Alpes du Sud_90_</v>
      </c>
      <c r="AB76" s="79">
        <v>90</v>
      </c>
      <c r="AC76" s="82" t="e">
        <f t="shared" ref="AC76:AC143" si="15">+(Z76+Y76)*0.475*44/12</f>
        <v>#NUM!</v>
      </c>
      <c r="AD76" s="86" t="e">
        <f t="shared" si="13"/>
        <v>#NUM!</v>
      </c>
      <c r="AE76" s="81"/>
    </row>
    <row r="77" spans="1:31" hidden="1" x14ac:dyDescent="0.25">
      <c r="A77" s="79" t="s">
        <v>221</v>
      </c>
      <c r="B77" s="79" t="s">
        <v>9</v>
      </c>
      <c r="C77" s="79" t="s">
        <v>226</v>
      </c>
      <c r="D77" s="89" t="s">
        <v>227</v>
      </c>
      <c r="E77" s="79">
        <v>171</v>
      </c>
      <c r="F77" s="79">
        <v>100</v>
      </c>
      <c r="G77" s="79">
        <v>24.2</v>
      </c>
      <c r="H77" s="83">
        <v>215</v>
      </c>
      <c r="I77" s="83">
        <v>35</v>
      </c>
      <c r="J77" s="83"/>
      <c r="K77" s="83">
        <v>51</v>
      </c>
      <c r="L77" s="83"/>
      <c r="M77" s="84"/>
      <c r="N77" s="84"/>
      <c r="O77" s="84">
        <v>171</v>
      </c>
      <c r="P77" s="85">
        <v>125</v>
      </c>
      <c r="Q77" s="85">
        <v>20</v>
      </c>
      <c r="R77" s="85"/>
      <c r="S77" s="85"/>
      <c r="T77" s="80"/>
      <c r="U77" s="80"/>
      <c r="V77" s="81" t="str">
        <f>+IF(I77=0,"ap","av_ap")</f>
        <v>av_ap</v>
      </c>
      <c r="W77" s="81">
        <f>+VLOOKUP(A77,infradensité!$A$2:$B$67,2,FALSE)</f>
        <v>0.38</v>
      </c>
      <c r="X77" s="81">
        <v>1.3</v>
      </c>
      <c r="Y77" s="82">
        <f t="shared" si="14"/>
        <v>0</v>
      </c>
      <c r="Z77" s="82" t="e">
        <f t="shared" ref="Z77:Z144" si="16">+EXP(-1.0587+0.8836*LN(Y77)+0.284)</f>
        <v>#NUM!</v>
      </c>
      <c r="AA77" s="82" t="str">
        <f t="shared" si="12"/>
        <v>Sapin pectiné_F1_SP1_d5_GSM Alpes du Sud_100_</v>
      </c>
      <c r="AB77" s="79">
        <v>100</v>
      </c>
      <c r="AC77" s="82" t="e">
        <f t="shared" si="15"/>
        <v>#NUM!</v>
      </c>
      <c r="AD77" s="86" t="e">
        <f t="shared" si="13"/>
        <v>#NUM!</v>
      </c>
      <c r="AE77" s="81"/>
    </row>
    <row r="78" spans="1:31" hidden="1" x14ac:dyDescent="0.25">
      <c r="A78" s="79" t="s">
        <v>221</v>
      </c>
      <c r="B78" s="79" t="s">
        <v>9</v>
      </c>
      <c r="C78" s="79" t="s">
        <v>226</v>
      </c>
      <c r="D78" s="89" t="s">
        <v>227</v>
      </c>
      <c r="E78" s="79">
        <v>171</v>
      </c>
      <c r="F78" s="79">
        <v>100</v>
      </c>
      <c r="G78" s="79">
        <v>24.2</v>
      </c>
      <c r="H78" s="85">
        <v>125</v>
      </c>
      <c r="I78" s="85">
        <v>20</v>
      </c>
      <c r="J78" s="83"/>
      <c r="K78" s="83"/>
      <c r="L78" s="83"/>
      <c r="M78" s="84"/>
      <c r="N78" s="84"/>
      <c r="O78" s="84"/>
      <c r="P78" s="85"/>
      <c r="Q78" s="85"/>
      <c r="R78" s="85"/>
      <c r="S78" s="85"/>
      <c r="T78" s="80"/>
      <c r="U78" s="80"/>
      <c r="V78" s="81" t="s">
        <v>53</v>
      </c>
      <c r="W78" s="81">
        <f>+VLOOKUP(A78,infradensité!$A$2:$B$67,2,FALSE)</f>
        <v>0.38</v>
      </c>
      <c r="X78" s="81">
        <v>1.3</v>
      </c>
      <c r="Y78" s="82">
        <f t="shared" si="14"/>
        <v>0</v>
      </c>
      <c r="Z78" s="82" t="e">
        <f t="shared" si="16"/>
        <v>#NUM!</v>
      </c>
      <c r="AA78" s="82" t="str">
        <f t="shared" si="12"/>
        <v>Sapin pectiné_F1_SP1_d5_GSM Alpes du Sud_100_</v>
      </c>
      <c r="AB78" s="79">
        <v>100</v>
      </c>
      <c r="AC78" s="82" t="e">
        <f t="shared" si="15"/>
        <v>#NUM!</v>
      </c>
      <c r="AD78" s="86" t="e">
        <f t="shared" si="13"/>
        <v>#NUM!</v>
      </c>
      <c r="AE78" s="81"/>
    </row>
    <row r="79" spans="1:31" hidden="1" x14ac:dyDescent="0.25">
      <c r="A79" s="79" t="s">
        <v>221</v>
      </c>
      <c r="B79" s="79" t="s">
        <v>9</v>
      </c>
      <c r="C79" s="79" t="s">
        <v>226</v>
      </c>
      <c r="D79" s="89" t="s">
        <v>227</v>
      </c>
      <c r="E79" s="79">
        <v>171</v>
      </c>
      <c r="F79" s="79">
        <v>110</v>
      </c>
      <c r="G79" s="79">
        <v>23.8</v>
      </c>
      <c r="H79" s="83">
        <v>125</v>
      </c>
      <c r="I79" s="83">
        <v>24</v>
      </c>
      <c r="J79" s="83"/>
      <c r="K79" s="83">
        <v>51</v>
      </c>
      <c r="L79" s="83"/>
      <c r="M79" s="84"/>
      <c r="N79" s="84"/>
      <c r="O79" s="84">
        <v>151</v>
      </c>
      <c r="P79" s="85">
        <v>60</v>
      </c>
      <c r="Q79" s="85">
        <v>12</v>
      </c>
      <c r="R79" s="85"/>
      <c r="S79" s="85"/>
      <c r="T79" s="80"/>
      <c r="U79" s="80"/>
      <c r="V79" s="81" t="str">
        <f>+IF(I79=0,"ap","av_ap")</f>
        <v>av_ap</v>
      </c>
      <c r="W79" s="81">
        <f>+VLOOKUP(A79,infradensité!$A$2:$B$67,2,FALSE)</f>
        <v>0.38</v>
      </c>
      <c r="X79" s="81">
        <v>1.3</v>
      </c>
      <c r="Y79" s="82">
        <f t="shared" si="14"/>
        <v>0</v>
      </c>
      <c r="Z79" s="82" t="e">
        <f t="shared" si="16"/>
        <v>#NUM!</v>
      </c>
      <c r="AA79" s="82" t="str">
        <f t="shared" si="12"/>
        <v>Sapin pectiné_F1_SP1_d5_GSM Alpes du Sud_110_</v>
      </c>
      <c r="AB79" s="79">
        <v>110</v>
      </c>
      <c r="AC79" s="82" t="e">
        <f t="shared" si="15"/>
        <v>#NUM!</v>
      </c>
      <c r="AD79" s="86" t="e">
        <f t="shared" si="13"/>
        <v>#NUM!</v>
      </c>
      <c r="AE79" s="81"/>
    </row>
    <row r="80" spans="1:31" hidden="1" x14ac:dyDescent="0.25">
      <c r="A80" s="79" t="s">
        <v>221</v>
      </c>
      <c r="B80" s="79" t="s">
        <v>9</v>
      </c>
      <c r="C80" s="79" t="s">
        <v>226</v>
      </c>
      <c r="D80" s="89" t="s">
        <v>227</v>
      </c>
      <c r="E80" s="79">
        <v>171</v>
      </c>
      <c r="F80" s="79">
        <v>110</v>
      </c>
      <c r="G80" s="79">
        <v>23.8</v>
      </c>
      <c r="H80" s="85">
        <v>60</v>
      </c>
      <c r="I80" s="85">
        <v>12</v>
      </c>
      <c r="J80" s="83"/>
      <c r="K80" s="83"/>
      <c r="L80" s="83"/>
      <c r="M80" s="84"/>
      <c r="N80" s="84"/>
      <c r="O80" s="84"/>
      <c r="P80" s="85"/>
      <c r="Q80" s="85"/>
      <c r="R80" s="85"/>
      <c r="S80" s="85"/>
      <c r="T80" s="80"/>
      <c r="U80" s="80"/>
      <c r="V80" s="81" t="s">
        <v>53</v>
      </c>
      <c r="W80" s="81">
        <f>+VLOOKUP(A80,infradensité!$A$2:$B$67,2,FALSE)</f>
        <v>0.38</v>
      </c>
      <c r="X80" s="81">
        <v>1.3</v>
      </c>
      <c r="Y80" s="82">
        <f t="shared" si="14"/>
        <v>0</v>
      </c>
      <c r="Z80" s="82" t="e">
        <f t="shared" si="16"/>
        <v>#NUM!</v>
      </c>
      <c r="AA80" s="82" t="str">
        <f t="shared" si="12"/>
        <v>Sapin pectiné_F1_SP1_d5_GSM Alpes du Sud_110_</v>
      </c>
      <c r="AB80" s="79">
        <v>110</v>
      </c>
      <c r="AC80" s="82" t="e">
        <f t="shared" si="15"/>
        <v>#NUM!</v>
      </c>
      <c r="AD80" s="86" t="e">
        <f t="shared" si="13"/>
        <v>#NUM!</v>
      </c>
      <c r="AE80" s="81"/>
    </row>
    <row r="81" spans="1:31" hidden="1" x14ac:dyDescent="0.25">
      <c r="A81" s="79" t="s">
        <v>221</v>
      </c>
      <c r="B81" s="79" t="s">
        <v>9</v>
      </c>
      <c r="C81" s="79" t="s">
        <v>226</v>
      </c>
      <c r="D81" s="89" t="s">
        <v>227</v>
      </c>
      <c r="E81" s="79">
        <v>171</v>
      </c>
      <c r="F81" s="79">
        <v>120</v>
      </c>
      <c r="G81" s="79">
        <v>24.3</v>
      </c>
      <c r="H81" s="83">
        <v>60</v>
      </c>
      <c r="I81" s="83">
        <v>14</v>
      </c>
      <c r="J81" s="83"/>
      <c r="K81" s="83">
        <v>55</v>
      </c>
      <c r="L81" s="83"/>
      <c r="M81" s="84"/>
      <c r="N81" s="84"/>
      <c r="O81" s="84">
        <v>169</v>
      </c>
      <c r="P81" s="85">
        <v>0</v>
      </c>
      <c r="Q81" s="85">
        <v>0</v>
      </c>
      <c r="R81" s="85"/>
      <c r="S81" s="85"/>
      <c r="T81" s="80"/>
      <c r="U81" s="80"/>
      <c r="V81" s="81" t="str">
        <f>+IF(I81=0,"ap","av_ap")</f>
        <v>av_ap</v>
      </c>
      <c r="W81" s="81">
        <f>+VLOOKUP(A81,infradensité!$A$2:$B$67,2,FALSE)</f>
        <v>0.38</v>
      </c>
      <c r="X81" s="81">
        <v>1.3</v>
      </c>
      <c r="Y81" s="82">
        <f t="shared" si="14"/>
        <v>0</v>
      </c>
      <c r="Z81" s="82" t="e">
        <f t="shared" si="16"/>
        <v>#NUM!</v>
      </c>
      <c r="AA81" s="82" t="str">
        <f t="shared" si="12"/>
        <v>Sapin pectiné_F1_SP1_d5_GSM Alpes du Sud_120_</v>
      </c>
      <c r="AB81" s="79">
        <v>120</v>
      </c>
      <c r="AC81" s="82" t="e">
        <f t="shared" si="15"/>
        <v>#NUM!</v>
      </c>
      <c r="AD81" s="86" t="e">
        <f t="shared" si="13"/>
        <v>#NUM!</v>
      </c>
      <c r="AE81" s="81"/>
    </row>
    <row r="82" spans="1:31" hidden="1" x14ac:dyDescent="0.25">
      <c r="A82" s="79" t="s">
        <v>221</v>
      </c>
      <c r="B82" s="79" t="s">
        <v>9</v>
      </c>
      <c r="C82" s="79" t="s">
        <v>226</v>
      </c>
      <c r="D82" s="89" t="s">
        <v>227</v>
      </c>
      <c r="E82" s="79">
        <v>171</v>
      </c>
      <c r="F82" s="79">
        <v>120</v>
      </c>
      <c r="G82" s="79">
        <v>24.3</v>
      </c>
      <c r="H82" s="85">
        <v>0</v>
      </c>
      <c r="I82" s="85">
        <v>0</v>
      </c>
      <c r="J82" s="83"/>
      <c r="K82" s="83"/>
      <c r="L82" s="83"/>
      <c r="M82" s="84"/>
      <c r="N82" s="84"/>
      <c r="O82" s="84"/>
      <c r="P82" s="85"/>
      <c r="Q82" s="85"/>
      <c r="R82" s="85"/>
      <c r="S82" s="85"/>
      <c r="T82" s="80"/>
      <c r="U82" s="80"/>
      <c r="V82" s="81" t="s">
        <v>53</v>
      </c>
      <c r="W82" s="81">
        <f>+VLOOKUP(A82,infradensité!$A$2:$B$67,2,FALSE)</f>
        <v>0.38</v>
      </c>
      <c r="X82" s="81">
        <v>1.3</v>
      </c>
      <c r="Y82" s="82">
        <f t="shared" si="14"/>
        <v>0</v>
      </c>
      <c r="Z82" s="82" t="e">
        <f t="shared" si="16"/>
        <v>#NUM!</v>
      </c>
      <c r="AA82" s="82" t="str">
        <f t="shared" si="12"/>
        <v>Sapin pectiné_F1_SP1_d5_GSM Alpes du Sud_120_</v>
      </c>
      <c r="AB82" s="79">
        <v>120</v>
      </c>
      <c r="AC82" s="82" t="e">
        <f t="shared" si="15"/>
        <v>#NUM!</v>
      </c>
      <c r="AD82" s="86" t="e">
        <f t="shared" si="13"/>
        <v>#NUM!</v>
      </c>
      <c r="AE82" s="81"/>
    </row>
    <row r="83" spans="1:31" hidden="1" x14ac:dyDescent="0.25">
      <c r="A83" s="79" t="s">
        <v>221</v>
      </c>
      <c r="B83" s="79" t="s">
        <v>10</v>
      </c>
      <c r="C83" s="79" t="s">
        <v>228</v>
      </c>
      <c r="D83" s="89" t="s">
        <v>227</v>
      </c>
      <c r="E83" s="79">
        <v>172</v>
      </c>
      <c r="F83" s="79">
        <v>70</v>
      </c>
      <c r="G83" s="79">
        <v>17</v>
      </c>
      <c r="H83" s="83">
        <v>2300</v>
      </c>
      <c r="I83" s="83">
        <v>43</v>
      </c>
      <c r="J83" s="83"/>
      <c r="K83" s="83">
        <v>24</v>
      </c>
      <c r="L83" s="83"/>
      <c r="M83" s="84"/>
      <c r="N83" s="84"/>
      <c r="O83" s="84"/>
      <c r="P83" s="85"/>
      <c r="Q83" s="85"/>
      <c r="R83" s="85"/>
      <c r="S83" s="85"/>
      <c r="T83" s="80"/>
      <c r="U83" s="80"/>
      <c r="V83" s="81" t="str">
        <f>+IF(I83=0,"ap","av_ap")</f>
        <v>av_ap</v>
      </c>
      <c r="W83" s="81">
        <f>+VLOOKUP(A83,infradensité!$A$2:$B$67,2,FALSE)</f>
        <v>0.38</v>
      </c>
      <c r="X83" s="81">
        <v>1.3</v>
      </c>
      <c r="Y83" s="82">
        <f t="shared" si="14"/>
        <v>0</v>
      </c>
      <c r="Z83" s="82" t="e">
        <f t="shared" si="16"/>
        <v>#NUM!</v>
      </c>
      <c r="AA83" s="82" t="str">
        <f t="shared" si="12"/>
        <v>Sapin pectiné_F2_SP2_4_GSM Alpes du Sud_70_</v>
      </c>
      <c r="AB83" s="79">
        <v>70</v>
      </c>
      <c r="AC83" s="82" t="e">
        <f t="shared" si="15"/>
        <v>#NUM!</v>
      </c>
      <c r="AD83" s="86" t="e">
        <f t="shared" si="13"/>
        <v>#NUM!</v>
      </c>
      <c r="AE83" s="81"/>
    </row>
    <row r="84" spans="1:31" hidden="1" x14ac:dyDescent="0.25">
      <c r="A84" s="79" t="s">
        <v>221</v>
      </c>
      <c r="B84" s="79" t="s">
        <v>10</v>
      </c>
      <c r="C84" s="79" t="s">
        <v>228</v>
      </c>
      <c r="D84" s="89" t="s">
        <v>227</v>
      </c>
      <c r="E84" s="79">
        <v>172</v>
      </c>
      <c r="F84" s="79">
        <v>70</v>
      </c>
      <c r="G84" s="79">
        <v>17</v>
      </c>
      <c r="H84" s="83"/>
      <c r="I84" s="83"/>
      <c r="J84" s="83"/>
      <c r="K84" s="83"/>
      <c r="L84" s="83"/>
      <c r="M84" s="84"/>
      <c r="N84" s="84"/>
      <c r="O84" s="84"/>
      <c r="P84" s="85"/>
      <c r="Q84" s="85"/>
      <c r="R84" s="85"/>
      <c r="S84" s="85"/>
      <c r="T84" s="80"/>
      <c r="U84" s="80"/>
      <c r="V84" s="81" t="s">
        <v>53</v>
      </c>
      <c r="W84" s="81">
        <f>+VLOOKUP(A84,infradensité!$A$2:$B$67,2,FALSE)</f>
        <v>0.38</v>
      </c>
      <c r="X84" s="81">
        <v>1.3</v>
      </c>
      <c r="Y84" s="82">
        <f t="shared" si="14"/>
        <v>0</v>
      </c>
      <c r="Z84" s="82" t="e">
        <f t="shared" si="16"/>
        <v>#NUM!</v>
      </c>
      <c r="AA84" s="82" t="str">
        <f t="shared" si="12"/>
        <v>Sapin pectiné_F2_SP2_4_GSM Alpes du Sud_70_</v>
      </c>
      <c r="AB84" s="79">
        <v>70</v>
      </c>
      <c r="AC84" s="82" t="e">
        <f t="shared" si="15"/>
        <v>#NUM!</v>
      </c>
      <c r="AD84" s="86" t="e">
        <f t="shared" si="13"/>
        <v>#NUM!</v>
      </c>
      <c r="AE84" s="81"/>
    </row>
    <row r="85" spans="1:31" hidden="1" x14ac:dyDescent="0.25">
      <c r="A85" s="79" t="s">
        <v>221</v>
      </c>
      <c r="B85" s="79" t="s">
        <v>10</v>
      </c>
      <c r="C85" s="79" t="s">
        <v>228</v>
      </c>
      <c r="D85" s="89" t="s">
        <v>227</v>
      </c>
      <c r="E85" s="79">
        <v>172</v>
      </c>
      <c r="F85" s="79">
        <v>75</v>
      </c>
      <c r="G85" s="79">
        <v>17.2</v>
      </c>
      <c r="H85" s="83">
        <v>2240</v>
      </c>
      <c r="I85" s="83">
        <v>50</v>
      </c>
      <c r="J85" s="83"/>
      <c r="K85" s="83">
        <v>26</v>
      </c>
      <c r="L85" s="83"/>
      <c r="M85" s="84"/>
      <c r="N85" s="84"/>
      <c r="O85" s="84">
        <v>100</v>
      </c>
      <c r="P85" s="85">
        <v>900</v>
      </c>
      <c r="Q85" s="85">
        <v>23</v>
      </c>
      <c r="R85" s="85"/>
      <c r="S85" s="85"/>
      <c r="T85" s="80"/>
      <c r="U85" s="80"/>
      <c r="V85" s="81" t="str">
        <f>+IF(I85=0,"ap","av_ap")</f>
        <v>av_ap</v>
      </c>
      <c r="W85" s="81">
        <f>+VLOOKUP(A85,infradensité!$A$2:$B$67,2,FALSE)</f>
        <v>0.38</v>
      </c>
      <c r="X85" s="81">
        <v>1.3</v>
      </c>
      <c r="Y85" s="82">
        <f t="shared" si="14"/>
        <v>0</v>
      </c>
      <c r="Z85" s="82" t="e">
        <f t="shared" si="16"/>
        <v>#NUM!</v>
      </c>
      <c r="AA85" s="82" t="str">
        <f t="shared" si="12"/>
        <v>Sapin pectiné_F2_SP2_4_GSM Alpes du Sud_75_</v>
      </c>
      <c r="AB85" s="79">
        <v>75</v>
      </c>
      <c r="AC85" s="82" t="e">
        <f t="shared" si="15"/>
        <v>#NUM!</v>
      </c>
      <c r="AD85" s="86" t="e">
        <f t="shared" si="13"/>
        <v>#NUM!</v>
      </c>
      <c r="AE85" s="81"/>
    </row>
    <row r="86" spans="1:31" hidden="1" x14ac:dyDescent="0.25">
      <c r="A86" s="79" t="s">
        <v>221</v>
      </c>
      <c r="B86" s="79" t="s">
        <v>10</v>
      </c>
      <c r="C86" s="79" t="s">
        <v>228</v>
      </c>
      <c r="D86" s="89" t="s">
        <v>227</v>
      </c>
      <c r="E86" s="79">
        <v>172</v>
      </c>
      <c r="F86" s="79">
        <v>75</v>
      </c>
      <c r="G86" s="79">
        <v>17.2</v>
      </c>
      <c r="H86" s="85">
        <v>900</v>
      </c>
      <c r="I86" s="85">
        <v>23</v>
      </c>
      <c r="J86" s="83"/>
      <c r="K86" s="83"/>
      <c r="L86" s="83"/>
      <c r="M86" s="84"/>
      <c r="N86" s="84"/>
      <c r="O86" s="84"/>
      <c r="P86" s="85"/>
      <c r="Q86" s="85"/>
      <c r="R86" s="85"/>
      <c r="S86" s="85"/>
      <c r="T86" s="80"/>
      <c r="U86" s="80"/>
      <c r="V86" s="81" t="s">
        <v>53</v>
      </c>
      <c r="W86" s="81">
        <f>+VLOOKUP(A86,infradensité!$A$2:$B$67,2,FALSE)</f>
        <v>0.38</v>
      </c>
      <c r="X86" s="81">
        <v>1.3</v>
      </c>
      <c r="Y86" s="82">
        <f t="shared" si="14"/>
        <v>0</v>
      </c>
      <c r="Z86" s="82" t="e">
        <f t="shared" si="16"/>
        <v>#NUM!</v>
      </c>
      <c r="AA86" s="82" t="str">
        <f t="shared" si="12"/>
        <v>Sapin pectiné_F2_SP2_4_GSM Alpes du Sud_75_</v>
      </c>
      <c r="AB86" s="79">
        <v>75</v>
      </c>
      <c r="AC86" s="82" t="e">
        <f t="shared" si="15"/>
        <v>#NUM!</v>
      </c>
      <c r="AD86" s="86" t="e">
        <f t="shared" si="13"/>
        <v>#NUM!</v>
      </c>
      <c r="AE86" s="81"/>
    </row>
    <row r="87" spans="1:31" hidden="1" x14ac:dyDescent="0.25">
      <c r="A87" s="79" t="s">
        <v>221</v>
      </c>
      <c r="B87" s="79" t="s">
        <v>10</v>
      </c>
      <c r="C87" s="79" t="s">
        <v>228</v>
      </c>
      <c r="D87" s="89" t="s">
        <v>227</v>
      </c>
      <c r="E87" s="79">
        <v>172</v>
      </c>
      <c r="F87" s="79">
        <v>95</v>
      </c>
      <c r="G87" s="79">
        <v>18.3</v>
      </c>
      <c r="H87" s="83">
        <v>850</v>
      </c>
      <c r="I87" s="83">
        <v>40</v>
      </c>
      <c r="J87" s="83"/>
      <c r="K87" s="83">
        <v>33</v>
      </c>
      <c r="L87" s="83"/>
      <c r="M87" s="84"/>
      <c r="N87" s="84"/>
      <c r="O87" s="84">
        <v>80</v>
      </c>
      <c r="P87" s="85">
        <v>525</v>
      </c>
      <c r="Q87" s="85">
        <v>27</v>
      </c>
      <c r="R87" s="85"/>
      <c r="S87" s="85"/>
      <c r="T87" s="80"/>
      <c r="U87" s="80"/>
      <c r="V87" s="81" t="str">
        <f>+IF(I87=0,"ap","av_ap")</f>
        <v>av_ap</v>
      </c>
      <c r="W87" s="81">
        <f>+VLOOKUP(A87,infradensité!$A$2:$B$67,2,FALSE)</f>
        <v>0.38</v>
      </c>
      <c r="X87" s="81">
        <v>1.3</v>
      </c>
      <c r="Y87" s="82">
        <f t="shared" si="14"/>
        <v>0</v>
      </c>
      <c r="Z87" s="82" t="e">
        <f t="shared" si="16"/>
        <v>#NUM!</v>
      </c>
      <c r="AA87" s="82" t="str">
        <f t="shared" si="12"/>
        <v>Sapin pectiné_F2_SP2_4_GSM Alpes du Sud_95_</v>
      </c>
      <c r="AB87" s="79">
        <v>95</v>
      </c>
      <c r="AC87" s="82" t="e">
        <f t="shared" si="15"/>
        <v>#NUM!</v>
      </c>
      <c r="AD87" s="86" t="e">
        <f t="shared" si="13"/>
        <v>#NUM!</v>
      </c>
      <c r="AE87" s="81"/>
    </row>
    <row r="88" spans="1:31" hidden="1" x14ac:dyDescent="0.25">
      <c r="A88" s="79" t="s">
        <v>221</v>
      </c>
      <c r="B88" s="79" t="s">
        <v>10</v>
      </c>
      <c r="C88" s="79" t="s">
        <v>228</v>
      </c>
      <c r="D88" s="89" t="s">
        <v>227</v>
      </c>
      <c r="E88" s="79">
        <v>172</v>
      </c>
      <c r="F88" s="79">
        <v>95</v>
      </c>
      <c r="G88" s="79">
        <v>18.3</v>
      </c>
      <c r="H88" s="85">
        <v>525</v>
      </c>
      <c r="I88" s="85">
        <v>27</v>
      </c>
      <c r="J88" s="83"/>
      <c r="K88" s="83"/>
      <c r="L88" s="83"/>
      <c r="M88" s="84"/>
      <c r="N88" s="84"/>
      <c r="O88" s="84"/>
      <c r="P88" s="85"/>
      <c r="Q88" s="85"/>
      <c r="R88" s="85"/>
      <c r="S88" s="85"/>
      <c r="T88" s="80"/>
      <c r="U88" s="80"/>
      <c r="V88" s="81" t="s">
        <v>53</v>
      </c>
      <c r="W88" s="81">
        <f>+VLOOKUP(A88,infradensité!$A$2:$B$67,2,FALSE)</f>
        <v>0.38</v>
      </c>
      <c r="X88" s="81">
        <v>1.3</v>
      </c>
      <c r="Y88" s="82">
        <f t="shared" si="14"/>
        <v>0</v>
      </c>
      <c r="Z88" s="82" t="e">
        <f t="shared" si="16"/>
        <v>#NUM!</v>
      </c>
      <c r="AA88" s="82" t="str">
        <f t="shared" si="12"/>
        <v>Sapin pectiné_F2_SP2_4_GSM Alpes du Sud_95_</v>
      </c>
      <c r="AB88" s="79">
        <v>95</v>
      </c>
      <c r="AC88" s="82" t="e">
        <f t="shared" si="15"/>
        <v>#NUM!</v>
      </c>
      <c r="AD88" s="86" t="e">
        <f t="shared" si="13"/>
        <v>#NUM!</v>
      </c>
      <c r="AE88" s="81"/>
    </row>
    <row r="89" spans="1:31" hidden="1" x14ac:dyDescent="0.25">
      <c r="A89" s="79" t="s">
        <v>221</v>
      </c>
      <c r="B89" s="79" t="s">
        <v>10</v>
      </c>
      <c r="C89" s="79" t="s">
        <v>228</v>
      </c>
      <c r="D89" s="89" t="s">
        <v>227</v>
      </c>
      <c r="E89" s="79">
        <v>172</v>
      </c>
      <c r="F89" s="79">
        <v>115</v>
      </c>
      <c r="G89" s="79">
        <v>18.899999999999999</v>
      </c>
      <c r="H89" s="83">
        <v>505</v>
      </c>
      <c r="I89" s="83">
        <v>39</v>
      </c>
      <c r="J89" s="83"/>
      <c r="K89" s="83">
        <v>39</v>
      </c>
      <c r="L89" s="83"/>
      <c r="M89" s="84"/>
      <c r="N89" s="84"/>
      <c r="O89" s="84">
        <v>83</v>
      </c>
      <c r="P89" s="85">
        <v>360</v>
      </c>
      <c r="Q89" s="85">
        <v>29</v>
      </c>
      <c r="R89" s="85"/>
      <c r="S89" s="85"/>
      <c r="T89" s="80"/>
      <c r="U89" s="80"/>
      <c r="V89" s="81" t="str">
        <f>+IF(I89=0,"ap","av_ap")</f>
        <v>av_ap</v>
      </c>
      <c r="W89" s="81">
        <f>+VLOOKUP(A89,infradensité!$A$2:$B$67,2,FALSE)</f>
        <v>0.38</v>
      </c>
      <c r="X89" s="81">
        <v>1.3</v>
      </c>
      <c r="Y89" s="82">
        <f t="shared" si="14"/>
        <v>0</v>
      </c>
      <c r="Z89" s="82" t="e">
        <f t="shared" si="16"/>
        <v>#NUM!</v>
      </c>
      <c r="AA89" s="82" t="str">
        <f t="shared" si="12"/>
        <v>Sapin pectiné_F2_SP2_4_GSM Alpes du Sud_115_</v>
      </c>
      <c r="AB89" s="79">
        <v>115</v>
      </c>
      <c r="AC89" s="82" t="e">
        <f t="shared" si="15"/>
        <v>#NUM!</v>
      </c>
      <c r="AD89" s="86" t="e">
        <f t="shared" si="13"/>
        <v>#NUM!</v>
      </c>
      <c r="AE89" s="81"/>
    </row>
    <row r="90" spans="1:31" hidden="1" x14ac:dyDescent="0.25">
      <c r="A90" s="79" t="s">
        <v>221</v>
      </c>
      <c r="B90" s="79" t="s">
        <v>10</v>
      </c>
      <c r="C90" s="79" t="s">
        <v>228</v>
      </c>
      <c r="D90" s="89" t="s">
        <v>227</v>
      </c>
      <c r="E90" s="79">
        <v>172</v>
      </c>
      <c r="F90" s="79">
        <v>115</v>
      </c>
      <c r="G90" s="79">
        <v>18.899999999999999</v>
      </c>
      <c r="H90" s="85">
        <v>360</v>
      </c>
      <c r="I90" s="85">
        <v>29</v>
      </c>
      <c r="J90" s="83"/>
      <c r="K90" s="83"/>
      <c r="L90" s="83"/>
      <c r="M90" s="84"/>
      <c r="N90" s="84"/>
      <c r="O90" s="84"/>
      <c r="P90" s="85"/>
      <c r="Q90" s="85"/>
      <c r="R90" s="85"/>
      <c r="S90" s="85"/>
      <c r="T90" s="80"/>
      <c r="U90" s="80"/>
      <c r="V90" s="81" t="s">
        <v>53</v>
      </c>
      <c r="W90" s="81">
        <f>+VLOOKUP(A90,infradensité!$A$2:$B$67,2,FALSE)</f>
        <v>0.38</v>
      </c>
      <c r="X90" s="81">
        <v>1.3</v>
      </c>
      <c r="Y90" s="82">
        <f t="shared" si="14"/>
        <v>0</v>
      </c>
      <c r="Z90" s="82" t="e">
        <f t="shared" si="16"/>
        <v>#NUM!</v>
      </c>
      <c r="AA90" s="82" t="str">
        <f t="shared" si="12"/>
        <v>Sapin pectiné_F2_SP2_4_GSM Alpes du Sud_115_</v>
      </c>
      <c r="AB90" s="79">
        <v>115</v>
      </c>
      <c r="AC90" s="82" t="e">
        <f t="shared" si="15"/>
        <v>#NUM!</v>
      </c>
      <c r="AD90" s="86" t="e">
        <f t="shared" si="13"/>
        <v>#NUM!</v>
      </c>
      <c r="AE90" s="81"/>
    </row>
    <row r="91" spans="1:31" hidden="1" x14ac:dyDescent="0.25">
      <c r="A91" s="79" t="s">
        <v>221</v>
      </c>
      <c r="B91" s="79" t="s">
        <v>10</v>
      </c>
      <c r="C91" s="79" t="s">
        <v>228</v>
      </c>
      <c r="D91" s="89" t="s">
        <v>227</v>
      </c>
      <c r="E91" s="79">
        <v>172</v>
      </c>
      <c r="F91" s="79">
        <v>135</v>
      </c>
      <c r="G91" s="79">
        <v>19</v>
      </c>
      <c r="H91" s="83">
        <v>340</v>
      </c>
      <c r="I91" s="83">
        <v>37</v>
      </c>
      <c r="J91" s="83"/>
      <c r="K91" s="83">
        <v>44</v>
      </c>
      <c r="L91" s="83"/>
      <c r="M91" s="84"/>
      <c r="N91" s="84"/>
      <c r="O91" s="84">
        <v>78</v>
      </c>
      <c r="P91" s="85">
        <v>250</v>
      </c>
      <c r="Q91" s="85">
        <v>28</v>
      </c>
      <c r="R91" s="85"/>
      <c r="S91" s="85"/>
      <c r="T91" s="80"/>
      <c r="U91" s="80"/>
      <c r="V91" s="81" t="str">
        <f>+IF(I91=0,"ap","av_ap")</f>
        <v>av_ap</v>
      </c>
      <c r="W91" s="81">
        <f>+VLOOKUP(A91,infradensité!$A$2:$B$67,2,FALSE)</f>
        <v>0.38</v>
      </c>
      <c r="X91" s="81">
        <v>1.3</v>
      </c>
      <c r="Y91" s="82">
        <f t="shared" si="14"/>
        <v>0</v>
      </c>
      <c r="Z91" s="82" t="e">
        <f t="shared" si="16"/>
        <v>#NUM!</v>
      </c>
      <c r="AA91" s="82" t="str">
        <f t="shared" si="12"/>
        <v>Sapin pectiné_F2_SP2_4_GSM Alpes du Sud_135_</v>
      </c>
      <c r="AB91" s="79">
        <v>135</v>
      </c>
      <c r="AC91" s="82" t="e">
        <f t="shared" si="15"/>
        <v>#NUM!</v>
      </c>
      <c r="AD91" s="86" t="e">
        <f t="shared" si="13"/>
        <v>#NUM!</v>
      </c>
      <c r="AE91" s="81"/>
    </row>
    <row r="92" spans="1:31" hidden="1" x14ac:dyDescent="0.25">
      <c r="A92" s="79" t="s">
        <v>221</v>
      </c>
      <c r="B92" s="79" t="s">
        <v>10</v>
      </c>
      <c r="C92" s="79" t="s">
        <v>228</v>
      </c>
      <c r="D92" s="89" t="s">
        <v>227</v>
      </c>
      <c r="E92" s="79">
        <v>172</v>
      </c>
      <c r="F92" s="79">
        <v>135</v>
      </c>
      <c r="G92" s="79">
        <v>19</v>
      </c>
      <c r="H92" s="85">
        <v>250</v>
      </c>
      <c r="I92" s="85">
        <v>28</v>
      </c>
      <c r="J92" s="83"/>
      <c r="K92" s="83"/>
      <c r="L92" s="83"/>
      <c r="M92" s="84"/>
      <c r="N92" s="84"/>
      <c r="O92" s="84"/>
      <c r="P92" s="85"/>
      <c r="Q92" s="85"/>
      <c r="R92" s="85"/>
      <c r="S92" s="85"/>
      <c r="T92" s="80"/>
      <c r="U92" s="80"/>
      <c r="V92" s="81" t="s">
        <v>53</v>
      </c>
      <c r="W92" s="81">
        <f>+VLOOKUP(A92,infradensité!$A$2:$B$67,2,FALSE)</f>
        <v>0.38</v>
      </c>
      <c r="X92" s="81">
        <v>1.3</v>
      </c>
      <c r="Y92" s="82">
        <f t="shared" si="14"/>
        <v>0</v>
      </c>
      <c r="Z92" s="82" t="e">
        <f t="shared" si="16"/>
        <v>#NUM!</v>
      </c>
      <c r="AA92" s="82" t="str">
        <f t="shared" si="12"/>
        <v>Sapin pectiné_F2_SP2_4_GSM Alpes du Sud_135_</v>
      </c>
      <c r="AB92" s="79">
        <v>135</v>
      </c>
      <c r="AC92" s="82" t="e">
        <f t="shared" si="15"/>
        <v>#NUM!</v>
      </c>
      <c r="AD92" s="86" t="e">
        <f t="shared" si="13"/>
        <v>#NUM!</v>
      </c>
      <c r="AE92" s="81"/>
    </row>
    <row r="93" spans="1:31" hidden="1" x14ac:dyDescent="0.25">
      <c r="A93" s="79" t="s">
        <v>221</v>
      </c>
      <c r="B93" s="79" t="s">
        <v>10</v>
      </c>
      <c r="C93" s="79" t="s">
        <v>228</v>
      </c>
      <c r="D93" s="89" t="s">
        <v>227</v>
      </c>
      <c r="E93" s="79">
        <v>172</v>
      </c>
      <c r="F93" s="79">
        <v>150</v>
      </c>
      <c r="G93" s="79">
        <v>18.7</v>
      </c>
      <c r="H93" s="83">
        <v>235</v>
      </c>
      <c r="I93" s="83">
        <v>32</v>
      </c>
      <c r="J93" s="83"/>
      <c r="K93" s="83">
        <v>47</v>
      </c>
      <c r="L93" s="83"/>
      <c r="M93" s="84"/>
      <c r="N93" s="84"/>
      <c r="O93" s="84">
        <v>94</v>
      </c>
      <c r="P93" s="85">
        <v>150</v>
      </c>
      <c r="Q93" s="85">
        <v>22</v>
      </c>
      <c r="R93" s="85"/>
      <c r="S93" s="85"/>
      <c r="T93" s="80"/>
      <c r="U93" s="80"/>
      <c r="V93" s="81" t="str">
        <f>+IF(I93=0,"ap","av_ap")</f>
        <v>av_ap</v>
      </c>
      <c r="W93" s="81">
        <f>+VLOOKUP(A93,infradensité!$A$2:$B$67,2,FALSE)</f>
        <v>0.38</v>
      </c>
      <c r="X93" s="81">
        <v>1.3</v>
      </c>
      <c r="Y93" s="82">
        <f t="shared" si="14"/>
        <v>0</v>
      </c>
      <c r="Z93" s="82" t="e">
        <f t="shared" si="16"/>
        <v>#NUM!</v>
      </c>
      <c r="AA93" s="82" t="str">
        <f t="shared" si="12"/>
        <v>Sapin pectiné_F2_SP2_4_GSM Alpes du Sud_150_</v>
      </c>
      <c r="AB93" s="79">
        <v>150</v>
      </c>
      <c r="AC93" s="82" t="e">
        <f t="shared" si="15"/>
        <v>#NUM!</v>
      </c>
      <c r="AD93" s="86" t="e">
        <f t="shared" si="13"/>
        <v>#NUM!</v>
      </c>
      <c r="AE93" s="81"/>
    </row>
    <row r="94" spans="1:31" hidden="1" x14ac:dyDescent="0.25">
      <c r="A94" s="79" t="s">
        <v>221</v>
      </c>
      <c r="B94" s="79" t="s">
        <v>10</v>
      </c>
      <c r="C94" s="79" t="s">
        <v>228</v>
      </c>
      <c r="D94" s="89" t="s">
        <v>227</v>
      </c>
      <c r="E94" s="79">
        <v>172</v>
      </c>
      <c r="F94" s="79">
        <v>150</v>
      </c>
      <c r="G94" s="79">
        <v>18.7</v>
      </c>
      <c r="H94" s="85">
        <v>150</v>
      </c>
      <c r="I94" s="85">
        <v>22</v>
      </c>
      <c r="J94" s="83"/>
      <c r="K94" s="83"/>
      <c r="L94" s="83"/>
      <c r="M94" s="84"/>
      <c r="N94" s="84"/>
      <c r="O94" s="84"/>
      <c r="P94" s="85"/>
      <c r="Q94" s="85"/>
      <c r="R94" s="85"/>
      <c r="S94" s="85"/>
      <c r="T94" s="80"/>
      <c r="U94" s="80"/>
      <c r="V94" s="81" t="s">
        <v>53</v>
      </c>
      <c r="W94" s="81">
        <f>+VLOOKUP(A94,infradensité!$A$2:$B$67,2,FALSE)</f>
        <v>0.38</v>
      </c>
      <c r="X94" s="81">
        <v>1.3</v>
      </c>
      <c r="Y94" s="82">
        <f t="shared" si="14"/>
        <v>0</v>
      </c>
      <c r="Z94" s="82" t="e">
        <f t="shared" si="16"/>
        <v>#NUM!</v>
      </c>
      <c r="AA94" s="82" t="str">
        <f t="shared" si="12"/>
        <v>Sapin pectiné_F2_SP2_4_GSM Alpes du Sud_150_</v>
      </c>
      <c r="AB94" s="79">
        <v>150</v>
      </c>
      <c r="AC94" s="82" t="e">
        <f t="shared" si="15"/>
        <v>#NUM!</v>
      </c>
      <c r="AD94" s="86" t="e">
        <f t="shared" si="13"/>
        <v>#NUM!</v>
      </c>
      <c r="AE94" s="81"/>
    </row>
    <row r="95" spans="1:31" hidden="1" x14ac:dyDescent="0.25">
      <c r="A95" s="79" t="s">
        <v>221</v>
      </c>
      <c r="B95" s="79" t="s">
        <v>10</v>
      </c>
      <c r="C95" s="79" t="s">
        <v>228</v>
      </c>
      <c r="D95" s="89" t="s">
        <v>227</v>
      </c>
      <c r="E95" s="79">
        <v>172</v>
      </c>
      <c r="F95" s="79">
        <v>160</v>
      </c>
      <c r="G95" s="79">
        <v>17.899999999999999</v>
      </c>
      <c r="H95" s="83">
        <v>150</v>
      </c>
      <c r="I95" s="83">
        <v>24</v>
      </c>
      <c r="J95" s="83"/>
      <c r="K95" s="83">
        <v>49</v>
      </c>
      <c r="L95" s="83"/>
      <c r="M95" s="84"/>
      <c r="N95" s="84"/>
      <c r="O95" s="84">
        <v>104</v>
      </c>
      <c r="P95" s="85">
        <v>75</v>
      </c>
      <c r="Q95" s="85">
        <v>13</v>
      </c>
      <c r="R95" s="85"/>
      <c r="S95" s="85"/>
      <c r="T95" s="80"/>
      <c r="U95" s="80"/>
      <c r="V95" s="81" t="str">
        <f>+IF(I95=0,"ap","av_ap")</f>
        <v>av_ap</v>
      </c>
      <c r="W95" s="81">
        <f>+VLOOKUP(A95,infradensité!$A$2:$B$67,2,FALSE)</f>
        <v>0.38</v>
      </c>
      <c r="X95" s="81">
        <v>1.3</v>
      </c>
      <c r="Y95" s="82">
        <f t="shared" si="14"/>
        <v>0</v>
      </c>
      <c r="Z95" s="82" t="e">
        <f t="shared" si="16"/>
        <v>#NUM!</v>
      </c>
      <c r="AA95" s="82" t="str">
        <f t="shared" si="12"/>
        <v>Sapin pectiné_F2_SP2_4_GSM Alpes du Sud_160_</v>
      </c>
      <c r="AB95" s="79">
        <v>160</v>
      </c>
      <c r="AC95" s="82" t="e">
        <f t="shared" si="15"/>
        <v>#NUM!</v>
      </c>
      <c r="AD95" s="86" t="e">
        <f t="shared" si="13"/>
        <v>#NUM!</v>
      </c>
      <c r="AE95" s="81"/>
    </row>
    <row r="96" spans="1:31" hidden="1" x14ac:dyDescent="0.25">
      <c r="A96" s="79" t="s">
        <v>221</v>
      </c>
      <c r="B96" s="79" t="s">
        <v>10</v>
      </c>
      <c r="C96" s="79" t="s">
        <v>228</v>
      </c>
      <c r="D96" s="89" t="s">
        <v>227</v>
      </c>
      <c r="E96" s="79">
        <v>172</v>
      </c>
      <c r="F96" s="79">
        <v>160</v>
      </c>
      <c r="G96" s="79">
        <v>17.899999999999999</v>
      </c>
      <c r="H96" s="85">
        <v>75</v>
      </c>
      <c r="I96" s="85">
        <v>13</v>
      </c>
      <c r="J96" s="83"/>
      <c r="K96" s="83"/>
      <c r="L96" s="83"/>
      <c r="M96" s="84"/>
      <c r="N96" s="84"/>
      <c r="O96" s="84"/>
      <c r="P96" s="85"/>
      <c r="Q96" s="85"/>
      <c r="R96" s="85"/>
      <c r="S96" s="85"/>
      <c r="T96" s="80"/>
      <c r="U96" s="80"/>
      <c r="V96" s="81" t="s">
        <v>53</v>
      </c>
      <c r="W96" s="81">
        <f>+VLOOKUP(A96,infradensité!$A$2:$B$67,2,FALSE)</f>
        <v>0.38</v>
      </c>
      <c r="X96" s="81">
        <v>1.3</v>
      </c>
      <c r="Y96" s="82">
        <f t="shared" si="14"/>
        <v>0</v>
      </c>
      <c r="Z96" s="82" t="e">
        <f t="shared" si="16"/>
        <v>#NUM!</v>
      </c>
      <c r="AA96" s="82" t="str">
        <f t="shared" si="12"/>
        <v>Sapin pectiné_F2_SP2_4_GSM Alpes du Sud_160_</v>
      </c>
      <c r="AB96" s="79">
        <v>160</v>
      </c>
      <c r="AC96" s="82" t="e">
        <f t="shared" si="15"/>
        <v>#NUM!</v>
      </c>
      <c r="AD96" s="86" t="e">
        <f t="shared" si="13"/>
        <v>#NUM!</v>
      </c>
      <c r="AE96" s="81"/>
    </row>
    <row r="97" spans="1:31" hidden="1" x14ac:dyDescent="0.25">
      <c r="A97" s="79" t="s">
        <v>221</v>
      </c>
      <c r="B97" s="79" t="s">
        <v>10</v>
      </c>
      <c r="C97" s="79" t="s">
        <v>228</v>
      </c>
      <c r="D97" s="89" t="s">
        <v>227</v>
      </c>
      <c r="E97" s="79">
        <v>172</v>
      </c>
      <c r="F97" s="79">
        <v>170</v>
      </c>
      <c r="G97" s="79">
        <v>18</v>
      </c>
      <c r="H97" s="83">
        <v>75</v>
      </c>
      <c r="I97" s="83">
        <v>15</v>
      </c>
      <c r="J97" s="83"/>
      <c r="K97" s="83">
        <v>50</v>
      </c>
      <c r="L97" s="83"/>
      <c r="M97" s="84"/>
      <c r="N97" s="84"/>
      <c r="O97" s="84">
        <v>136</v>
      </c>
      <c r="P97" s="85">
        <v>0</v>
      </c>
      <c r="Q97" s="85">
        <v>0</v>
      </c>
      <c r="R97" s="85"/>
      <c r="S97" s="85"/>
      <c r="T97" s="80"/>
      <c r="U97" s="80"/>
      <c r="V97" s="81" t="str">
        <f>+IF(I97=0,"ap","av_ap")</f>
        <v>av_ap</v>
      </c>
      <c r="W97" s="81">
        <f>+VLOOKUP(A97,infradensité!$A$2:$B$67,2,FALSE)</f>
        <v>0.38</v>
      </c>
      <c r="X97" s="81">
        <v>1.3</v>
      </c>
      <c r="Y97" s="82">
        <f t="shared" si="14"/>
        <v>0</v>
      </c>
      <c r="Z97" s="82" t="e">
        <f t="shared" si="16"/>
        <v>#NUM!</v>
      </c>
      <c r="AA97" s="82" t="str">
        <f t="shared" si="12"/>
        <v>Sapin pectiné_F2_SP2_4_GSM Alpes du Sud_170_</v>
      </c>
      <c r="AB97" s="79">
        <v>170</v>
      </c>
      <c r="AC97" s="82" t="e">
        <f t="shared" si="15"/>
        <v>#NUM!</v>
      </c>
      <c r="AD97" s="86" t="e">
        <f t="shared" si="13"/>
        <v>#NUM!</v>
      </c>
      <c r="AE97" s="81"/>
    </row>
    <row r="98" spans="1:31" hidden="1" x14ac:dyDescent="0.25">
      <c r="A98" s="79" t="s">
        <v>221</v>
      </c>
      <c r="B98" s="79" t="s">
        <v>10</v>
      </c>
      <c r="C98" s="79" t="s">
        <v>228</v>
      </c>
      <c r="D98" s="89" t="s">
        <v>227</v>
      </c>
      <c r="E98" s="79">
        <v>172</v>
      </c>
      <c r="F98" s="79">
        <v>170</v>
      </c>
      <c r="G98" s="79">
        <v>18</v>
      </c>
      <c r="H98" s="85">
        <v>0</v>
      </c>
      <c r="I98" s="85">
        <v>0</v>
      </c>
      <c r="J98" s="83"/>
      <c r="K98" s="83"/>
      <c r="L98" s="83"/>
      <c r="M98" s="84"/>
      <c r="N98" s="84"/>
      <c r="O98" s="84"/>
      <c r="P98" s="85"/>
      <c r="Q98" s="85"/>
      <c r="R98" s="85"/>
      <c r="S98" s="85"/>
      <c r="T98" s="80"/>
      <c r="U98" s="80"/>
      <c r="V98" s="81" t="s">
        <v>53</v>
      </c>
      <c r="W98" s="81">
        <f>+VLOOKUP(A98,infradensité!$A$2:$B$67,2,FALSE)</f>
        <v>0.38</v>
      </c>
      <c r="X98" s="81">
        <v>1.3</v>
      </c>
      <c r="Y98" s="82">
        <f t="shared" si="14"/>
        <v>0</v>
      </c>
      <c r="Z98" s="82" t="e">
        <f t="shared" si="16"/>
        <v>#NUM!</v>
      </c>
      <c r="AA98" s="82" t="str">
        <f t="shared" si="12"/>
        <v>Sapin pectiné_F2_SP2_4_GSM Alpes du Sud_170_</v>
      </c>
      <c r="AB98" s="79">
        <v>170</v>
      </c>
      <c r="AC98" s="82" t="e">
        <f t="shared" si="15"/>
        <v>#NUM!</v>
      </c>
      <c r="AD98" s="86" t="e">
        <f t="shared" si="13"/>
        <v>#NUM!</v>
      </c>
      <c r="AE98" s="81"/>
    </row>
    <row r="99" spans="1:31" hidden="1" x14ac:dyDescent="0.25">
      <c r="A99" s="86" t="s">
        <v>229</v>
      </c>
      <c r="B99" s="86" t="s">
        <v>424</v>
      </c>
      <c r="C99" s="86" t="s">
        <v>183</v>
      </c>
      <c r="D99" s="87" t="s">
        <v>223</v>
      </c>
      <c r="E99" s="86">
        <v>103</v>
      </c>
      <c r="F99" s="86">
        <v>0</v>
      </c>
      <c r="G99" s="86">
        <v>16.5</v>
      </c>
      <c r="H99" s="86"/>
      <c r="I99" s="86" t="s">
        <v>224</v>
      </c>
      <c r="J99" s="86">
        <v>0</v>
      </c>
      <c r="K99" s="86"/>
      <c r="L99" s="86"/>
      <c r="M99" s="86"/>
      <c r="N99" s="86"/>
      <c r="O99" s="86"/>
      <c r="P99" s="86">
        <v>875</v>
      </c>
      <c r="Q99" s="86">
        <v>26.7</v>
      </c>
      <c r="R99" s="86"/>
      <c r="S99" s="86">
        <v>189</v>
      </c>
      <c r="T99" s="86">
        <v>1.6</v>
      </c>
      <c r="U99" s="86">
        <v>11</v>
      </c>
      <c r="V99" s="86" t="str">
        <f>+IF(I99=0,"ap","av_ap")</f>
        <v>av_ap</v>
      </c>
      <c r="W99" s="86">
        <f>+VLOOKUP(A99,infradensité!$A$2:$B$67,2,FALSE)</f>
        <v>0.37</v>
      </c>
      <c r="X99" s="86">
        <v>1.3</v>
      </c>
      <c r="Y99" s="88">
        <f t="shared" si="14"/>
        <v>0</v>
      </c>
      <c r="Z99" s="88">
        <v>0</v>
      </c>
      <c r="AA99" s="88" t="str">
        <f t="shared" si="12"/>
        <v>Epicéa_FBonne_Entree 16-17 m_GS Arc Jurassien_0_</v>
      </c>
      <c r="AB99" s="86">
        <v>0</v>
      </c>
      <c r="AC99" s="88">
        <f t="shared" si="15"/>
        <v>0</v>
      </c>
      <c r="AD99" s="86">
        <f t="shared" si="13"/>
        <v>0</v>
      </c>
      <c r="AE99" s="86">
        <f>+SUM($AD$99:$AD$112)/$AB$112</f>
        <v>270.19385739049358</v>
      </c>
    </row>
    <row r="100" spans="1:31" hidden="1" x14ac:dyDescent="0.25">
      <c r="A100" s="79" t="s">
        <v>229</v>
      </c>
      <c r="B100" s="86" t="s">
        <v>424</v>
      </c>
      <c r="C100" s="79" t="s">
        <v>183</v>
      </c>
      <c r="D100" s="89" t="s">
        <v>223</v>
      </c>
      <c r="E100" s="79">
        <v>103</v>
      </c>
      <c r="F100" s="79">
        <v>22</v>
      </c>
      <c r="G100" s="79">
        <v>16.5</v>
      </c>
      <c r="H100" s="83"/>
      <c r="I100" s="83" t="s">
        <v>224</v>
      </c>
      <c r="J100" s="86">
        <f>189/60%</f>
        <v>315</v>
      </c>
      <c r="K100" s="83"/>
      <c r="L100" s="83"/>
      <c r="M100" s="84"/>
      <c r="N100" s="84"/>
      <c r="O100" s="84"/>
      <c r="P100" s="85">
        <v>875</v>
      </c>
      <c r="Q100" s="85">
        <v>26.7</v>
      </c>
      <c r="R100" s="85"/>
      <c r="S100" s="85">
        <v>189</v>
      </c>
      <c r="T100" s="80">
        <v>1.6</v>
      </c>
      <c r="U100" s="80">
        <v>11</v>
      </c>
      <c r="V100" s="81" t="str">
        <f>+IF(I100=0,"ap","av_ap")</f>
        <v>av_ap</v>
      </c>
      <c r="W100" s="81">
        <f>+VLOOKUP(A100,infradensité!$A$2:$B$67,2,FALSE)</f>
        <v>0.37</v>
      </c>
      <c r="X100" s="81">
        <v>1.3</v>
      </c>
      <c r="Y100" s="82">
        <f t="shared" si="14"/>
        <v>151.51499999999999</v>
      </c>
      <c r="Z100" s="82">
        <f t="shared" si="16"/>
        <v>38.922673183770968</v>
      </c>
      <c r="AA100" s="82" t="str">
        <f t="shared" si="12"/>
        <v>Epicéa_FBonne_Entree 16-17 m_GS Arc Jurassien_22_</v>
      </c>
      <c r="AB100" s="79">
        <v>22</v>
      </c>
      <c r="AC100" s="82">
        <f t="shared" si="15"/>
        <v>331.67894746173442</v>
      </c>
      <c r="AD100" s="86">
        <f t="shared" si="13"/>
        <v>3648.4684220790787</v>
      </c>
      <c r="AE100" s="86">
        <f t="shared" ref="AE100:AE112" si="17">+SUM($AD$99:$AD$112)/$AB$112</f>
        <v>270.19385739049358</v>
      </c>
    </row>
    <row r="101" spans="1:31" hidden="1" x14ac:dyDescent="0.25">
      <c r="A101" s="79" t="s">
        <v>229</v>
      </c>
      <c r="B101" s="86" t="s">
        <v>424</v>
      </c>
      <c r="C101" s="79" t="s">
        <v>183</v>
      </c>
      <c r="D101" s="89" t="s">
        <v>223</v>
      </c>
      <c r="E101" s="79">
        <v>103</v>
      </c>
      <c r="F101" s="79">
        <v>22</v>
      </c>
      <c r="G101" s="79">
        <v>16.5</v>
      </c>
      <c r="H101" s="85">
        <v>875</v>
      </c>
      <c r="I101" s="85">
        <v>26.7</v>
      </c>
      <c r="J101" s="85">
        <v>189</v>
      </c>
      <c r="K101" s="85">
        <v>189</v>
      </c>
      <c r="L101" s="83"/>
      <c r="M101" s="84"/>
      <c r="N101" s="84"/>
      <c r="O101" s="84"/>
      <c r="P101" s="85"/>
      <c r="Q101" s="85"/>
      <c r="R101" s="85"/>
      <c r="S101" s="85"/>
      <c r="T101" s="80"/>
      <c r="U101" s="80"/>
      <c r="V101" s="81" t="s">
        <v>53</v>
      </c>
      <c r="W101" s="81">
        <f>+VLOOKUP(A101,infradensité!$A$2:$B$67,2,FALSE)</f>
        <v>0.37</v>
      </c>
      <c r="X101" s="81">
        <v>1.3</v>
      </c>
      <c r="Y101" s="82">
        <f t="shared" si="14"/>
        <v>90.908999999999992</v>
      </c>
      <c r="Z101" s="82">
        <f t="shared" si="16"/>
        <v>24.784325519878429</v>
      </c>
      <c r="AA101" s="82" t="str">
        <f t="shared" si="12"/>
        <v>Epicéa_FBonne_Entree 16-17 m_GS Arc Jurassien_22_</v>
      </c>
      <c r="AB101" s="79">
        <v>22</v>
      </c>
      <c r="AC101" s="82">
        <f t="shared" si="15"/>
        <v>201.49920861378823</v>
      </c>
      <c r="AD101" s="86">
        <f t="shared" si="13"/>
        <v>0</v>
      </c>
      <c r="AE101" s="86">
        <f t="shared" si="17"/>
        <v>270.19385739049358</v>
      </c>
    </row>
    <row r="102" spans="1:31" hidden="1" x14ac:dyDescent="0.25">
      <c r="A102" s="79" t="s">
        <v>229</v>
      </c>
      <c r="B102" s="86" t="s">
        <v>424</v>
      </c>
      <c r="C102" s="79" t="s">
        <v>183</v>
      </c>
      <c r="D102" s="89" t="s">
        <v>223</v>
      </c>
      <c r="E102" s="79">
        <v>103</v>
      </c>
      <c r="F102" s="79">
        <v>27</v>
      </c>
      <c r="G102" s="79">
        <v>19.5</v>
      </c>
      <c r="H102" s="83">
        <v>875</v>
      </c>
      <c r="I102" s="83">
        <v>35.9</v>
      </c>
      <c r="J102" s="83">
        <v>296</v>
      </c>
      <c r="K102" s="83">
        <v>31.7</v>
      </c>
      <c r="L102" s="83">
        <v>22.9</v>
      </c>
      <c r="M102" s="84">
        <v>250</v>
      </c>
      <c r="N102" s="84">
        <v>8.9</v>
      </c>
      <c r="O102" s="84">
        <v>72.400000000000006</v>
      </c>
      <c r="P102" s="85">
        <v>625</v>
      </c>
      <c r="Q102" s="85">
        <v>27</v>
      </c>
      <c r="R102" s="85"/>
      <c r="S102" s="85">
        <v>224</v>
      </c>
      <c r="T102" s="80">
        <v>1.8</v>
      </c>
      <c r="U102" s="80">
        <v>21.4</v>
      </c>
      <c r="V102" s="81" t="str">
        <f>+IF(I102=0,"ap","av_ap")</f>
        <v>av_ap</v>
      </c>
      <c r="W102" s="81">
        <f>+VLOOKUP(A102,infradensité!$A$2:$B$67,2,FALSE)</f>
        <v>0.37</v>
      </c>
      <c r="X102" s="81">
        <v>1.3</v>
      </c>
      <c r="Y102" s="82">
        <f t="shared" si="14"/>
        <v>142.376</v>
      </c>
      <c r="Z102" s="82">
        <f t="shared" si="16"/>
        <v>36.840779461983459</v>
      </c>
      <c r="AA102" s="82" t="str">
        <f t="shared" si="12"/>
        <v>Epicéa_FBonne_Entree 16-17 m_GS Arc Jurassien_27_</v>
      </c>
      <c r="AB102" s="79">
        <v>27</v>
      </c>
      <c r="AC102" s="82">
        <f t="shared" si="15"/>
        <v>312.13589089628783</v>
      </c>
      <c r="AD102" s="86">
        <f t="shared" si="13"/>
        <v>1284.0877487751902</v>
      </c>
      <c r="AE102" s="86">
        <f t="shared" si="17"/>
        <v>270.19385739049358</v>
      </c>
    </row>
    <row r="103" spans="1:31" hidden="1" x14ac:dyDescent="0.25">
      <c r="A103" s="79" t="s">
        <v>229</v>
      </c>
      <c r="B103" s="86" t="s">
        <v>424</v>
      </c>
      <c r="C103" s="79" t="s">
        <v>183</v>
      </c>
      <c r="D103" s="89" t="s">
        <v>223</v>
      </c>
      <c r="E103" s="79">
        <v>103</v>
      </c>
      <c r="F103" s="79">
        <v>27</v>
      </c>
      <c r="G103" s="79">
        <v>19.5</v>
      </c>
      <c r="H103" s="85">
        <v>625</v>
      </c>
      <c r="I103" s="85">
        <v>27</v>
      </c>
      <c r="J103" s="85">
        <v>224</v>
      </c>
      <c r="K103" s="85">
        <v>224</v>
      </c>
      <c r="L103" s="83"/>
      <c r="M103" s="84"/>
      <c r="N103" s="84"/>
      <c r="O103" s="84"/>
      <c r="P103" s="85"/>
      <c r="Q103" s="85"/>
      <c r="R103" s="85"/>
      <c r="S103" s="85"/>
      <c r="T103" s="80"/>
      <c r="U103" s="80"/>
      <c r="V103" s="81" t="s">
        <v>53</v>
      </c>
      <c r="W103" s="81">
        <f>+VLOOKUP(A103,infradensité!$A$2:$B$67,2,FALSE)</f>
        <v>0.37</v>
      </c>
      <c r="X103" s="81">
        <v>1.3</v>
      </c>
      <c r="Y103" s="82">
        <f t="shared" si="14"/>
        <v>107.744</v>
      </c>
      <c r="Z103" s="82">
        <f t="shared" si="16"/>
        <v>28.798814029880067</v>
      </c>
      <c r="AA103" s="82" t="str">
        <f t="shared" si="12"/>
        <v>Epicéa_FBonne_Entree 16-17 m_GS Arc Jurassien_27_</v>
      </c>
      <c r="AB103" s="79">
        <v>27</v>
      </c>
      <c r="AC103" s="82">
        <f t="shared" si="15"/>
        <v>237.81206776870781</v>
      </c>
      <c r="AD103" s="86">
        <f t="shared" si="13"/>
        <v>0</v>
      </c>
      <c r="AE103" s="86">
        <f t="shared" si="17"/>
        <v>270.19385739049358</v>
      </c>
    </row>
    <row r="104" spans="1:31" hidden="1" x14ac:dyDescent="0.25">
      <c r="A104" s="86" t="s">
        <v>229</v>
      </c>
      <c r="B104" s="86" t="s">
        <v>424</v>
      </c>
      <c r="C104" s="86" t="s">
        <v>183</v>
      </c>
      <c r="D104" s="87" t="s">
        <v>223</v>
      </c>
      <c r="E104" s="86">
        <v>103</v>
      </c>
      <c r="F104" s="86">
        <v>30</v>
      </c>
      <c r="G104" s="86">
        <v>22.7</v>
      </c>
      <c r="H104" s="86"/>
      <c r="I104" s="86"/>
      <c r="J104" s="86">
        <f>+((J105-J103)/6)*3+J103</f>
        <v>287.5</v>
      </c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>
        <f>+VLOOKUP(A104,infradensité!$A$2:$B$67,2,FALSE)</f>
        <v>0.37</v>
      </c>
      <c r="X104" s="86">
        <v>1.3</v>
      </c>
      <c r="Y104" s="88">
        <f t="shared" si="14"/>
        <v>138.28749999999999</v>
      </c>
      <c r="Z104" s="88">
        <f t="shared" si="16"/>
        <v>35.904415223629279</v>
      </c>
      <c r="AA104" s="88" t="str">
        <f t="shared" si="12"/>
        <v>Epicéa_FBonne_Entree 16-17 m_GS Arc Jurassien_30_</v>
      </c>
      <c r="AB104" s="86">
        <v>30</v>
      </c>
      <c r="AC104" s="88">
        <f t="shared" si="15"/>
        <v>303.38425234782096</v>
      </c>
      <c r="AD104" s="86">
        <f t="shared" si="13"/>
        <v>811.79448017479319</v>
      </c>
      <c r="AE104" s="86">
        <f t="shared" si="17"/>
        <v>270.19385739049358</v>
      </c>
    </row>
    <row r="105" spans="1:31" hidden="1" x14ac:dyDescent="0.25">
      <c r="A105" s="79" t="s">
        <v>229</v>
      </c>
      <c r="B105" s="86" t="s">
        <v>424</v>
      </c>
      <c r="C105" s="79" t="s">
        <v>183</v>
      </c>
      <c r="D105" s="89" t="s">
        <v>223</v>
      </c>
      <c r="E105" s="79">
        <v>103</v>
      </c>
      <c r="F105" s="79">
        <v>33</v>
      </c>
      <c r="G105" s="79">
        <v>22.7</v>
      </c>
      <c r="H105" s="83">
        <v>625</v>
      </c>
      <c r="I105" s="83">
        <v>37.299999999999997</v>
      </c>
      <c r="J105" s="83">
        <v>351</v>
      </c>
      <c r="K105" s="83">
        <v>36.700000000000003</v>
      </c>
      <c r="L105" s="83">
        <v>27.6</v>
      </c>
      <c r="M105" s="84">
        <v>169</v>
      </c>
      <c r="N105" s="84">
        <v>9.4</v>
      </c>
      <c r="O105" s="84">
        <v>87.7</v>
      </c>
      <c r="P105" s="85">
        <v>456</v>
      </c>
      <c r="Q105" s="85">
        <v>28</v>
      </c>
      <c r="R105" s="85"/>
      <c r="S105" s="85">
        <v>263</v>
      </c>
      <c r="T105" s="80">
        <v>1.7</v>
      </c>
      <c r="U105" s="80">
        <v>21.2</v>
      </c>
      <c r="V105" s="81" t="str">
        <f>+IF(I105=0,"ap","av_ap")</f>
        <v>av_ap</v>
      </c>
      <c r="W105" s="81">
        <f>+VLOOKUP(A105,infradensité!$A$2:$B$67,2,FALSE)</f>
        <v>0.37</v>
      </c>
      <c r="X105" s="81">
        <v>1.3</v>
      </c>
      <c r="Y105" s="82">
        <f t="shared" si="14"/>
        <v>168.83099999999999</v>
      </c>
      <c r="Z105" s="82">
        <f t="shared" si="16"/>
        <v>42.828101421759989</v>
      </c>
      <c r="AA105" s="82" t="str">
        <f t="shared" si="12"/>
        <v>Epicéa_FBonne_Entree 16-17 m_GS Arc Jurassien_33_</v>
      </c>
      <c r="AB105" s="79">
        <v>33</v>
      </c>
      <c r="AC105" s="82">
        <f t="shared" si="15"/>
        <v>368.63960164289864</v>
      </c>
      <c r="AD105" s="86">
        <f t="shared" si="13"/>
        <v>1008.0357809860793</v>
      </c>
      <c r="AE105" s="86">
        <f t="shared" si="17"/>
        <v>270.19385739049358</v>
      </c>
    </row>
    <row r="106" spans="1:31" hidden="1" x14ac:dyDescent="0.25">
      <c r="A106" s="79" t="s">
        <v>229</v>
      </c>
      <c r="B106" s="86" t="s">
        <v>424</v>
      </c>
      <c r="C106" s="79" t="s">
        <v>183</v>
      </c>
      <c r="D106" s="89" t="s">
        <v>223</v>
      </c>
      <c r="E106" s="79">
        <v>103</v>
      </c>
      <c r="F106" s="79">
        <v>33</v>
      </c>
      <c r="G106" s="79">
        <v>22.7</v>
      </c>
      <c r="H106" s="85">
        <v>456</v>
      </c>
      <c r="I106" s="85">
        <v>28</v>
      </c>
      <c r="J106" s="85">
        <v>263</v>
      </c>
      <c r="K106" s="85">
        <v>263</v>
      </c>
      <c r="L106" s="83"/>
      <c r="M106" s="84"/>
      <c r="N106" s="84"/>
      <c r="O106" s="84"/>
      <c r="P106" s="85"/>
      <c r="Q106" s="85"/>
      <c r="R106" s="85"/>
      <c r="S106" s="85"/>
      <c r="T106" s="80"/>
      <c r="U106" s="80"/>
      <c r="V106" s="81" t="s">
        <v>53</v>
      </c>
      <c r="W106" s="81">
        <f>+VLOOKUP(A106,infradensité!$A$2:$B$67,2,FALSE)</f>
        <v>0.37</v>
      </c>
      <c r="X106" s="81">
        <v>1.3</v>
      </c>
      <c r="Y106" s="82">
        <f t="shared" si="14"/>
        <v>126.503</v>
      </c>
      <c r="Z106" s="82">
        <f t="shared" si="16"/>
        <v>33.187027386382113</v>
      </c>
      <c r="AA106" s="82" t="str">
        <f t="shared" si="12"/>
        <v>Epicéa_FBonne_Entree 16-17 m_GS Arc Jurassien_33_</v>
      </c>
      <c r="AB106" s="79">
        <v>33</v>
      </c>
      <c r="AC106" s="82">
        <f t="shared" si="15"/>
        <v>278.1267976979488</v>
      </c>
      <c r="AD106" s="86">
        <f t="shared" si="13"/>
        <v>0</v>
      </c>
      <c r="AE106" s="86">
        <f t="shared" si="17"/>
        <v>270.19385739049358</v>
      </c>
    </row>
    <row r="107" spans="1:31" hidden="1" x14ac:dyDescent="0.25">
      <c r="A107" s="79" t="s">
        <v>229</v>
      </c>
      <c r="B107" s="86" t="s">
        <v>424</v>
      </c>
      <c r="C107" s="79" t="s">
        <v>183</v>
      </c>
      <c r="D107" s="89" t="s">
        <v>223</v>
      </c>
      <c r="E107" s="79">
        <v>103</v>
      </c>
      <c r="F107" s="79">
        <v>39</v>
      </c>
      <c r="G107" s="79">
        <v>25.4</v>
      </c>
      <c r="H107" s="83">
        <v>456</v>
      </c>
      <c r="I107" s="83">
        <v>37.299999999999997</v>
      </c>
      <c r="J107" s="83">
        <v>386</v>
      </c>
      <c r="K107" s="83">
        <v>41.6</v>
      </c>
      <c r="L107" s="83">
        <v>32.299999999999997</v>
      </c>
      <c r="M107" s="84">
        <v>105</v>
      </c>
      <c r="N107" s="84">
        <v>7.6</v>
      </c>
      <c r="O107" s="84">
        <v>78.8</v>
      </c>
      <c r="P107" s="85">
        <v>351</v>
      </c>
      <c r="Q107" s="85" t="s">
        <v>230</v>
      </c>
      <c r="R107" s="85"/>
      <c r="S107" s="85">
        <v>307</v>
      </c>
      <c r="T107" s="80">
        <v>1.6</v>
      </c>
      <c r="U107" s="80">
        <v>20.5</v>
      </c>
      <c r="V107" s="81" t="str">
        <f>+IF(I107=0,"ap","av_ap")</f>
        <v>av_ap</v>
      </c>
      <c r="W107" s="81">
        <f>+VLOOKUP(A107,infradensité!$A$2:$B$67,2,FALSE)</f>
        <v>0.37</v>
      </c>
      <c r="X107" s="81">
        <v>1.3</v>
      </c>
      <c r="Y107" s="82">
        <f t="shared" si="14"/>
        <v>185.666</v>
      </c>
      <c r="Z107" s="82">
        <f t="shared" si="16"/>
        <v>46.580483994788317</v>
      </c>
      <c r="AA107" s="82" t="str">
        <f t="shared" si="12"/>
        <v>Epicéa_FBonne_Entree 16-17 m_GS Arc Jurassien_39_</v>
      </c>
      <c r="AB107" s="79">
        <v>39</v>
      </c>
      <c r="AC107" s="82">
        <f t="shared" si="15"/>
        <v>404.49595962425633</v>
      </c>
      <c r="AD107" s="86">
        <f t="shared" si="13"/>
        <v>2047.8682719666156</v>
      </c>
      <c r="AE107" s="86">
        <f t="shared" si="17"/>
        <v>270.19385739049358</v>
      </c>
    </row>
    <row r="108" spans="1:31" hidden="1" x14ac:dyDescent="0.25">
      <c r="A108" s="79" t="s">
        <v>229</v>
      </c>
      <c r="B108" s="86" t="s">
        <v>424</v>
      </c>
      <c r="C108" s="79" t="s">
        <v>183</v>
      </c>
      <c r="D108" s="89" t="s">
        <v>223</v>
      </c>
      <c r="E108" s="79">
        <v>103</v>
      </c>
      <c r="F108" s="79">
        <v>39</v>
      </c>
      <c r="G108" s="79">
        <v>25.4</v>
      </c>
      <c r="H108" s="85">
        <v>351</v>
      </c>
      <c r="I108" s="85" t="s">
        <v>230</v>
      </c>
      <c r="J108" s="85">
        <v>307</v>
      </c>
      <c r="K108" s="85">
        <v>307</v>
      </c>
      <c r="L108" s="83"/>
      <c r="M108" s="84"/>
      <c r="N108" s="84"/>
      <c r="O108" s="84"/>
      <c r="P108" s="85"/>
      <c r="Q108" s="85"/>
      <c r="R108" s="85"/>
      <c r="S108" s="85"/>
      <c r="T108" s="80"/>
      <c r="U108" s="80"/>
      <c r="V108" s="81" t="s">
        <v>53</v>
      </c>
      <c r="W108" s="81">
        <f>+VLOOKUP(A108,infradensité!$A$2:$B$67,2,FALSE)</f>
        <v>0.37</v>
      </c>
      <c r="X108" s="81">
        <v>1.3</v>
      </c>
      <c r="Y108" s="82">
        <f t="shared" si="14"/>
        <v>147.667</v>
      </c>
      <c r="Z108" s="82">
        <f t="shared" si="16"/>
        <v>38.047920274932522</v>
      </c>
      <c r="AA108" s="82" t="str">
        <f t="shared" si="12"/>
        <v>Epicéa_FBonne_Entree 16-17 m_GS Arc Jurassien_39_</v>
      </c>
      <c r="AB108" s="79">
        <v>39</v>
      </c>
      <c r="AC108" s="82">
        <f t="shared" si="15"/>
        <v>323.4534861455075</v>
      </c>
      <c r="AD108" s="86">
        <f t="shared" si="13"/>
        <v>0</v>
      </c>
      <c r="AE108" s="86">
        <f t="shared" si="17"/>
        <v>270.19385739049358</v>
      </c>
    </row>
    <row r="109" spans="1:31" hidden="1" x14ac:dyDescent="0.25">
      <c r="A109" s="79" t="s">
        <v>229</v>
      </c>
      <c r="B109" s="86" t="s">
        <v>424</v>
      </c>
      <c r="C109" s="79" t="s">
        <v>183</v>
      </c>
      <c r="D109" s="89" t="s">
        <v>223</v>
      </c>
      <c r="E109" s="79">
        <v>103</v>
      </c>
      <c r="F109" s="79">
        <v>45</v>
      </c>
      <c r="G109" s="79">
        <v>27.8</v>
      </c>
      <c r="H109" s="83">
        <v>351</v>
      </c>
      <c r="I109" s="83">
        <v>38</v>
      </c>
      <c r="J109" s="83">
        <v>423</v>
      </c>
      <c r="K109" s="83">
        <v>46.4</v>
      </c>
      <c r="L109" s="83">
        <v>37.1</v>
      </c>
      <c r="M109" s="84">
        <v>72</v>
      </c>
      <c r="N109" s="84">
        <v>7.4</v>
      </c>
      <c r="O109" s="84">
        <v>82.5</v>
      </c>
      <c r="P109" s="85">
        <v>279</v>
      </c>
      <c r="Q109" s="85">
        <v>30.6</v>
      </c>
      <c r="R109" s="85"/>
      <c r="S109" s="85">
        <v>341</v>
      </c>
      <c r="T109" s="80">
        <v>1.4</v>
      </c>
      <c r="U109" s="80">
        <v>19.3</v>
      </c>
      <c r="V109" s="81" t="str">
        <f>+IF(I109=0,"ap","av_ap")</f>
        <v>av_ap</v>
      </c>
      <c r="W109" s="81">
        <f>+VLOOKUP(A109,infradensité!$A$2:$B$67,2,FALSE)</f>
        <v>0.37</v>
      </c>
      <c r="X109" s="81">
        <v>1.3</v>
      </c>
      <c r="Y109" s="82">
        <f t="shared" si="14"/>
        <v>203.46299999999999</v>
      </c>
      <c r="Z109" s="82">
        <f t="shared" si="16"/>
        <v>50.504468259946009</v>
      </c>
      <c r="AA109" s="82" t="str">
        <f t="shared" si="12"/>
        <v>Epicéa_FBonne_Entree 16-17 m_GS Arc Jurassien_45_</v>
      </c>
      <c r="AB109" s="79">
        <v>45</v>
      </c>
      <c r="AC109" s="82">
        <f t="shared" si="15"/>
        <v>442.32667388607257</v>
      </c>
      <c r="AD109" s="86">
        <f t="shared" si="13"/>
        <v>2297.3404800947401</v>
      </c>
      <c r="AE109" s="86">
        <f t="shared" si="17"/>
        <v>270.19385739049358</v>
      </c>
    </row>
    <row r="110" spans="1:31" hidden="1" x14ac:dyDescent="0.25">
      <c r="A110" s="79" t="s">
        <v>229</v>
      </c>
      <c r="B110" s="86" t="s">
        <v>424</v>
      </c>
      <c r="C110" s="79" t="s">
        <v>183</v>
      </c>
      <c r="D110" s="89" t="s">
        <v>223</v>
      </c>
      <c r="E110" s="79">
        <v>103</v>
      </c>
      <c r="F110" s="79">
        <v>45</v>
      </c>
      <c r="G110" s="79">
        <v>27.8</v>
      </c>
      <c r="H110" s="85">
        <v>279</v>
      </c>
      <c r="I110" s="85">
        <v>30.6</v>
      </c>
      <c r="J110" s="85">
        <v>341</v>
      </c>
      <c r="K110" s="85">
        <v>341</v>
      </c>
      <c r="L110" s="83"/>
      <c r="M110" s="84"/>
      <c r="N110" s="84"/>
      <c r="O110" s="84"/>
      <c r="P110" s="85"/>
      <c r="Q110" s="85"/>
      <c r="R110" s="85"/>
      <c r="S110" s="85"/>
      <c r="T110" s="80"/>
      <c r="U110" s="80"/>
      <c r="V110" s="81" t="s">
        <v>53</v>
      </c>
      <c r="W110" s="81">
        <f>+VLOOKUP(A110,infradensité!$A$2:$B$67,2,FALSE)</f>
        <v>0.37</v>
      </c>
      <c r="X110" s="81">
        <v>1.3</v>
      </c>
      <c r="Y110" s="82">
        <f t="shared" si="14"/>
        <v>164.02099999999999</v>
      </c>
      <c r="Z110" s="82">
        <f t="shared" si="16"/>
        <v>41.748148887274446</v>
      </c>
      <c r="AA110" s="82" t="str">
        <f t="shared" si="12"/>
        <v>Epicéa_FBonne_Entree 16-17 m_GS Arc Jurassien_45_</v>
      </c>
      <c r="AB110" s="79">
        <v>45</v>
      </c>
      <c r="AC110" s="82">
        <f t="shared" si="15"/>
        <v>358.38126764533627</v>
      </c>
      <c r="AD110" s="86">
        <f t="shared" si="13"/>
        <v>0</v>
      </c>
      <c r="AE110" s="86">
        <f t="shared" si="17"/>
        <v>270.19385739049358</v>
      </c>
    </row>
    <row r="111" spans="1:31" hidden="1" x14ac:dyDescent="0.25">
      <c r="A111" s="79" t="s">
        <v>229</v>
      </c>
      <c r="B111" s="86" t="s">
        <v>424</v>
      </c>
      <c r="C111" s="79" t="s">
        <v>183</v>
      </c>
      <c r="D111" s="89" t="s">
        <v>223</v>
      </c>
      <c r="E111" s="79">
        <v>103</v>
      </c>
      <c r="F111" s="79">
        <v>52</v>
      </c>
      <c r="G111" s="79">
        <v>30.1</v>
      </c>
      <c r="H111" s="83">
        <v>279</v>
      </c>
      <c r="I111" s="83">
        <v>39.1</v>
      </c>
      <c r="J111" s="83">
        <v>465</v>
      </c>
      <c r="K111" s="83">
        <v>51.5</v>
      </c>
      <c r="L111" s="83">
        <v>42.3</v>
      </c>
      <c r="M111" s="84" t="s">
        <v>225</v>
      </c>
      <c r="N111" s="84" t="s">
        <v>225</v>
      </c>
      <c r="O111" s="84" t="s">
        <v>225</v>
      </c>
      <c r="P111" s="85" t="s">
        <v>225</v>
      </c>
      <c r="Q111" s="85" t="s">
        <v>225</v>
      </c>
      <c r="R111" s="85"/>
      <c r="S111" s="85" t="s">
        <v>225</v>
      </c>
      <c r="T111" s="80">
        <v>1.6</v>
      </c>
      <c r="U111" s="80">
        <v>16.7</v>
      </c>
      <c r="V111" s="81" t="str">
        <f>+IF(I111=0,"ap","av_ap")</f>
        <v>av_ap</v>
      </c>
      <c r="W111" s="81">
        <f>+VLOOKUP(A111,infradensité!$A$2:$B$67,2,FALSE)</f>
        <v>0.37</v>
      </c>
      <c r="X111" s="81">
        <v>1.3</v>
      </c>
      <c r="Y111" s="82">
        <f t="shared" si="14"/>
        <v>223.66499999999999</v>
      </c>
      <c r="Z111" s="82">
        <f t="shared" si="16"/>
        <v>54.91068778736684</v>
      </c>
      <c r="AA111" s="82" t="str">
        <f t="shared" si="12"/>
        <v>Epicéa_FBonne_Entree 16-17 m_GS Arc Jurassien_52_</v>
      </c>
      <c r="AB111" s="79">
        <v>52</v>
      </c>
      <c r="AC111" s="82">
        <f t="shared" si="15"/>
        <v>485.18598956299729</v>
      </c>
      <c r="AD111" s="86">
        <f t="shared" si="13"/>
        <v>2952.4854002291677</v>
      </c>
      <c r="AE111" s="86">
        <f t="shared" si="17"/>
        <v>270.19385739049358</v>
      </c>
    </row>
    <row r="112" spans="1:31" hidden="1" x14ac:dyDescent="0.25">
      <c r="A112" s="79" t="s">
        <v>229</v>
      </c>
      <c r="B112" s="86" t="s">
        <v>424</v>
      </c>
      <c r="C112" s="79" t="s">
        <v>183</v>
      </c>
      <c r="D112" s="89" t="s">
        <v>223</v>
      </c>
      <c r="E112" s="79">
        <v>103</v>
      </c>
      <c r="F112" s="79">
        <v>52</v>
      </c>
      <c r="G112" s="79">
        <v>30.1</v>
      </c>
      <c r="H112" s="86">
        <v>0</v>
      </c>
      <c r="I112" s="86">
        <v>0</v>
      </c>
      <c r="J112" s="86">
        <v>0</v>
      </c>
      <c r="K112" s="86">
        <v>0</v>
      </c>
      <c r="L112" s="83"/>
      <c r="M112" s="84"/>
      <c r="N112" s="84"/>
      <c r="O112" s="84"/>
      <c r="P112" s="85"/>
      <c r="Q112" s="85"/>
      <c r="R112" s="85"/>
      <c r="S112" s="85"/>
      <c r="T112" s="80"/>
      <c r="U112" s="80"/>
      <c r="V112" s="81" t="s">
        <v>53</v>
      </c>
      <c r="W112" s="81">
        <f>+VLOOKUP(A112,infradensité!$A$2:$B$67,2,FALSE)</f>
        <v>0.37</v>
      </c>
      <c r="X112" s="81">
        <v>1.3</v>
      </c>
      <c r="Y112" s="82">
        <f t="shared" si="14"/>
        <v>0</v>
      </c>
      <c r="Z112" s="82">
        <v>0</v>
      </c>
      <c r="AA112" s="82" t="str">
        <f t="shared" si="12"/>
        <v>Epicéa_FBonne_Entree 16-17 m_GS Arc Jurassien_52_</v>
      </c>
      <c r="AB112" s="79">
        <v>52</v>
      </c>
      <c r="AC112" s="82">
        <f t="shared" si="15"/>
        <v>0</v>
      </c>
      <c r="AD112" s="86">
        <f t="shared" si="13"/>
        <v>0</v>
      </c>
      <c r="AE112" s="86">
        <f t="shared" si="17"/>
        <v>270.19385739049358</v>
      </c>
    </row>
    <row r="113" spans="1:31" hidden="1" x14ac:dyDescent="0.25">
      <c r="A113" s="86" t="s">
        <v>229</v>
      </c>
      <c r="B113" s="86" t="s">
        <v>425</v>
      </c>
      <c r="C113" s="86" t="s">
        <v>183</v>
      </c>
      <c r="D113" s="87" t="s">
        <v>223</v>
      </c>
      <c r="E113" s="86">
        <v>103</v>
      </c>
      <c r="F113" s="86">
        <v>0</v>
      </c>
      <c r="G113" s="86">
        <v>16.2</v>
      </c>
      <c r="H113" s="86"/>
      <c r="I113" s="86">
        <v>0</v>
      </c>
      <c r="J113" s="86"/>
      <c r="K113" s="86"/>
      <c r="L113" s="86"/>
      <c r="M113" s="86"/>
      <c r="N113" s="86"/>
      <c r="O113" s="86"/>
      <c r="P113" s="86">
        <v>885</v>
      </c>
      <c r="Q113" s="86">
        <v>25.7</v>
      </c>
      <c r="R113" s="86"/>
      <c r="S113" s="86">
        <v>178</v>
      </c>
      <c r="T113" s="86">
        <v>1.3</v>
      </c>
      <c r="U113" s="86">
        <v>9</v>
      </c>
      <c r="V113" s="86" t="str">
        <f>+IF(I113=0,"ap","av_ap")</f>
        <v>ap</v>
      </c>
      <c r="W113" s="86">
        <f>+VLOOKUP(A113,infradensité!$A$2:$B$67,2,FALSE)</f>
        <v>0.37</v>
      </c>
      <c r="X113" s="86">
        <v>1.3</v>
      </c>
      <c r="Y113" s="88">
        <f t="shared" si="14"/>
        <v>0</v>
      </c>
      <c r="Z113" s="88">
        <v>0</v>
      </c>
      <c r="AA113" s="88" t="str">
        <f t="shared" si="12"/>
        <v>Epicéa_Fmoyenne_Entree 16-17 m_GS Arc Jurassien_0_</v>
      </c>
      <c r="AB113" s="86">
        <v>0</v>
      </c>
      <c r="AC113" s="88">
        <f t="shared" si="15"/>
        <v>0</v>
      </c>
      <c r="AD113" s="86">
        <f t="shared" si="13"/>
        <v>0</v>
      </c>
      <c r="AE113" s="86">
        <f>+SUM($AD$113:$AD$130)/$AB$130</f>
        <v>270.17494016810156</v>
      </c>
    </row>
    <row r="114" spans="1:31" hidden="1" x14ac:dyDescent="0.25">
      <c r="A114" s="79" t="s">
        <v>229</v>
      </c>
      <c r="B114" s="86" t="s">
        <v>425</v>
      </c>
      <c r="C114" s="79" t="s">
        <v>183</v>
      </c>
      <c r="D114" s="89" t="s">
        <v>223</v>
      </c>
      <c r="E114" s="79">
        <v>103</v>
      </c>
      <c r="F114" s="79">
        <v>27</v>
      </c>
      <c r="G114" s="79">
        <v>16.2</v>
      </c>
      <c r="H114" s="83"/>
      <c r="I114" s="83" t="s">
        <v>224</v>
      </c>
      <c r="J114" s="86">
        <f>+J115/80%</f>
        <v>222.5</v>
      </c>
      <c r="K114" s="83"/>
      <c r="L114" s="83"/>
      <c r="M114" s="84"/>
      <c r="N114" s="84"/>
      <c r="O114" s="84"/>
      <c r="P114" s="85">
        <v>885</v>
      </c>
      <c r="Q114" s="85">
        <v>25.7</v>
      </c>
      <c r="R114" s="85"/>
      <c r="S114" s="85">
        <v>178</v>
      </c>
      <c r="T114" s="80">
        <v>1.3</v>
      </c>
      <c r="U114" s="80">
        <v>9</v>
      </c>
      <c r="V114" s="81" t="str">
        <f>+IF(I114=0,"ap","av_ap")</f>
        <v>av_ap</v>
      </c>
      <c r="W114" s="81">
        <f>+VLOOKUP(A114,infradensité!$A$2:$B$67,2,FALSE)</f>
        <v>0.37</v>
      </c>
      <c r="X114" s="81">
        <v>1.3</v>
      </c>
      <c r="Y114" s="82">
        <f t="shared" si="14"/>
        <v>107.02249999999999</v>
      </c>
      <c r="Z114" s="82">
        <f t="shared" si="16"/>
        <v>28.628345898748957</v>
      </c>
      <c r="AA114" s="82" t="str">
        <f t="shared" si="12"/>
        <v>Epicéa_Fmoyenne_Entree 16-17 m_GS Arc Jurassien_27_</v>
      </c>
      <c r="AB114" s="79">
        <v>27</v>
      </c>
      <c r="AC114" s="82">
        <f t="shared" si="15"/>
        <v>236.2585566069877</v>
      </c>
      <c r="AD114" s="86">
        <f t="shared" si="13"/>
        <v>3189.4905141943341</v>
      </c>
      <c r="AE114" s="86">
        <f t="shared" ref="AE114:AE130" si="18">+SUM($AD$113:$AD$130)/$AB$130</f>
        <v>270.17494016810156</v>
      </c>
    </row>
    <row r="115" spans="1:31" hidden="1" x14ac:dyDescent="0.25">
      <c r="A115" s="79" t="s">
        <v>229</v>
      </c>
      <c r="B115" s="86" t="s">
        <v>425</v>
      </c>
      <c r="C115" s="79" t="s">
        <v>183</v>
      </c>
      <c r="D115" s="89" t="s">
        <v>223</v>
      </c>
      <c r="E115" s="79">
        <v>103</v>
      </c>
      <c r="F115" s="79">
        <v>27</v>
      </c>
      <c r="G115" s="79">
        <v>16.2</v>
      </c>
      <c r="H115" s="85">
        <v>885</v>
      </c>
      <c r="I115" s="85">
        <v>25.7</v>
      </c>
      <c r="J115" s="85">
        <v>178</v>
      </c>
      <c r="K115" s="85">
        <v>178</v>
      </c>
      <c r="L115" s="83"/>
      <c r="M115" s="84"/>
      <c r="N115" s="84"/>
      <c r="O115" s="84"/>
      <c r="P115" s="85"/>
      <c r="Q115" s="85"/>
      <c r="R115" s="85"/>
      <c r="S115" s="85"/>
      <c r="T115" s="80"/>
      <c r="U115" s="80"/>
      <c r="V115" s="81" t="s">
        <v>53</v>
      </c>
      <c r="W115" s="81">
        <f>+VLOOKUP(A115,infradensité!$A$2:$B$67,2,FALSE)</f>
        <v>0.37</v>
      </c>
      <c r="X115" s="81">
        <v>1.3</v>
      </c>
      <c r="Y115" s="82">
        <f t="shared" si="14"/>
        <v>85.617999999999995</v>
      </c>
      <c r="Z115" s="82">
        <f t="shared" si="16"/>
        <v>23.505341669255262</v>
      </c>
      <c r="AA115" s="82" t="str">
        <f t="shared" si="12"/>
        <v>Epicéa_Fmoyenne_Entree 16-17 m_GS Arc Jurassien_27_</v>
      </c>
      <c r="AB115" s="79">
        <v>27</v>
      </c>
      <c r="AC115" s="82">
        <f t="shared" si="15"/>
        <v>190.05648674061956</v>
      </c>
      <c r="AD115" s="86">
        <f t="shared" si="13"/>
        <v>0</v>
      </c>
      <c r="AE115" s="86">
        <f t="shared" si="18"/>
        <v>270.17494016810156</v>
      </c>
    </row>
    <row r="116" spans="1:31" hidden="1" x14ac:dyDescent="0.25">
      <c r="A116" s="86" t="s">
        <v>229</v>
      </c>
      <c r="B116" s="86" t="s">
        <v>425</v>
      </c>
      <c r="C116" s="86" t="s">
        <v>183</v>
      </c>
      <c r="D116" s="87" t="s">
        <v>223</v>
      </c>
      <c r="E116" s="86">
        <v>103</v>
      </c>
      <c r="F116" s="86">
        <v>30</v>
      </c>
      <c r="G116" s="86">
        <v>19.3</v>
      </c>
      <c r="H116" s="86">
        <v>885</v>
      </c>
      <c r="I116" s="86"/>
      <c r="J116" s="86">
        <f>+((J117-J115)/6)*3+J115</f>
        <v>229</v>
      </c>
      <c r="K116" s="86">
        <v>30.5</v>
      </c>
      <c r="L116" s="86">
        <v>22.2</v>
      </c>
      <c r="M116" s="86">
        <v>240</v>
      </c>
      <c r="N116" s="86">
        <v>7.9</v>
      </c>
      <c r="O116" s="86">
        <v>63</v>
      </c>
      <c r="P116" s="86">
        <v>645</v>
      </c>
      <c r="Q116" s="86">
        <v>26.5</v>
      </c>
      <c r="R116" s="86"/>
      <c r="S116" s="86">
        <v>216</v>
      </c>
      <c r="T116" s="86">
        <v>1.5</v>
      </c>
      <c r="U116" s="86">
        <v>16.899999999999999</v>
      </c>
      <c r="V116" s="86" t="str">
        <f>+IF(I116=0,"ap","av_ap")</f>
        <v>ap</v>
      </c>
      <c r="W116" s="86">
        <f>+VLOOKUP(A116,infradensité!$A$2:$B$67,2,FALSE)</f>
        <v>0.37</v>
      </c>
      <c r="X116" s="86">
        <v>1.3</v>
      </c>
      <c r="Y116" s="88">
        <f t="shared" si="14"/>
        <v>110.149</v>
      </c>
      <c r="Z116" s="88">
        <f t="shared" si="16"/>
        <v>29.366087368579134</v>
      </c>
      <c r="AA116" s="88" t="str">
        <f t="shared" si="12"/>
        <v>Epicéa_Fmoyenne_Entree 16-17 m_GS Arc Jurassien_30_</v>
      </c>
      <c r="AB116" s="86">
        <v>30</v>
      </c>
      <c r="AC116" s="88">
        <f t="shared" si="15"/>
        <v>242.98877716694199</v>
      </c>
      <c r="AD116" s="86">
        <f t="shared" si="13"/>
        <v>649.56789586134232</v>
      </c>
      <c r="AE116" s="86">
        <f t="shared" si="18"/>
        <v>270.17494016810156</v>
      </c>
    </row>
    <row r="117" spans="1:31" hidden="1" x14ac:dyDescent="0.25">
      <c r="A117" s="79" t="s">
        <v>229</v>
      </c>
      <c r="B117" s="86" t="s">
        <v>425</v>
      </c>
      <c r="C117" s="79" t="s">
        <v>183</v>
      </c>
      <c r="D117" s="89" t="s">
        <v>223</v>
      </c>
      <c r="E117" s="79">
        <v>103</v>
      </c>
      <c r="F117" s="79">
        <v>33</v>
      </c>
      <c r="G117" s="79">
        <v>19.3</v>
      </c>
      <c r="H117" s="83">
        <v>885</v>
      </c>
      <c r="I117" s="83">
        <v>34.4</v>
      </c>
      <c r="J117" s="83">
        <v>280</v>
      </c>
      <c r="K117" s="83">
        <v>30.5</v>
      </c>
      <c r="L117" s="83">
        <v>22.2</v>
      </c>
      <c r="M117" s="84">
        <v>240</v>
      </c>
      <c r="N117" s="84">
        <v>7.9</v>
      </c>
      <c r="O117" s="84">
        <v>63</v>
      </c>
      <c r="P117" s="85">
        <v>645</v>
      </c>
      <c r="Q117" s="85">
        <v>26.5</v>
      </c>
      <c r="R117" s="85"/>
      <c r="S117" s="85">
        <v>216</v>
      </c>
      <c r="T117" s="80">
        <v>1.5</v>
      </c>
      <c r="U117" s="80">
        <v>16.899999999999999</v>
      </c>
      <c r="V117" s="81" t="str">
        <f>+IF(I117=0,"ap","av_ap")</f>
        <v>av_ap</v>
      </c>
      <c r="W117" s="81">
        <f>+VLOOKUP(A117,infradensité!$A$2:$B$67,2,FALSE)</f>
        <v>0.37</v>
      </c>
      <c r="X117" s="81">
        <v>1.3</v>
      </c>
      <c r="Y117" s="82">
        <f t="shared" si="14"/>
        <v>134.68</v>
      </c>
      <c r="Z117" s="82">
        <f t="shared" si="16"/>
        <v>35.075533941271715</v>
      </c>
      <c r="AA117" s="82" t="str">
        <f t="shared" si="12"/>
        <v>Epicéa_Fmoyenne_Entree 16-17 m_GS Arc Jurassien_33_</v>
      </c>
      <c r="AB117" s="79">
        <v>33</v>
      </c>
      <c r="AC117" s="82">
        <f t="shared" si="15"/>
        <v>295.65755494771491</v>
      </c>
      <c r="AD117" s="86">
        <f t="shared" si="13"/>
        <v>807.96949817198526</v>
      </c>
      <c r="AE117" s="86">
        <f t="shared" si="18"/>
        <v>270.17494016810156</v>
      </c>
    </row>
    <row r="118" spans="1:31" hidden="1" x14ac:dyDescent="0.25">
      <c r="A118" s="79" t="s">
        <v>229</v>
      </c>
      <c r="B118" s="86" t="s">
        <v>425</v>
      </c>
      <c r="C118" s="79" t="s">
        <v>183</v>
      </c>
      <c r="D118" s="89" t="s">
        <v>223</v>
      </c>
      <c r="E118" s="79">
        <v>103</v>
      </c>
      <c r="F118" s="79">
        <v>33</v>
      </c>
      <c r="G118" s="79">
        <v>19.3</v>
      </c>
      <c r="H118" s="85">
        <v>645</v>
      </c>
      <c r="I118" s="85">
        <v>26.5</v>
      </c>
      <c r="J118" s="85">
        <v>216</v>
      </c>
      <c r="K118" s="85">
        <v>216</v>
      </c>
      <c r="L118" s="83"/>
      <c r="M118" s="84"/>
      <c r="N118" s="84"/>
      <c r="O118" s="84"/>
      <c r="P118" s="85"/>
      <c r="Q118" s="85"/>
      <c r="R118" s="85"/>
      <c r="S118" s="85"/>
      <c r="T118" s="80"/>
      <c r="U118" s="80"/>
      <c r="V118" s="81" t="s">
        <v>53</v>
      </c>
      <c r="W118" s="81">
        <f>+VLOOKUP(A118,infradensité!$A$2:$B$67,2,FALSE)</f>
        <v>0.37</v>
      </c>
      <c r="X118" s="81">
        <v>1.3</v>
      </c>
      <c r="Y118" s="82">
        <f t="shared" si="14"/>
        <v>103.896</v>
      </c>
      <c r="Z118" s="82">
        <f t="shared" si="16"/>
        <v>27.888091127225799</v>
      </c>
      <c r="AA118" s="82" t="str">
        <f t="shared" si="12"/>
        <v>Epicéa_Fmoyenne_Entree 16-17 m_GS Arc Jurassien_33_</v>
      </c>
      <c r="AB118" s="79">
        <v>33</v>
      </c>
      <c r="AC118" s="82">
        <f t="shared" si="15"/>
        <v>229.52395871325157</v>
      </c>
      <c r="AD118" s="86">
        <f t="shared" si="13"/>
        <v>0</v>
      </c>
      <c r="AE118" s="86">
        <f t="shared" si="18"/>
        <v>270.17494016810156</v>
      </c>
    </row>
    <row r="119" spans="1:31" hidden="1" x14ac:dyDescent="0.25">
      <c r="A119" s="79" t="s">
        <v>229</v>
      </c>
      <c r="B119" s="86" t="s">
        <v>425</v>
      </c>
      <c r="C119" s="79" t="s">
        <v>183</v>
      </c>
      <c r="D119" s="89" t="s">
        <v>223</v>
      </c>
      <c r="E119" s="79">
        <v>103</v>
      </c>
      <c r="F119" s="79">
        <v>40</v>
      </c>
      <c r="G119" s="79">
        <v>22.4</v>
      </c>
      <c r="H119" s="83">
        <v>645</v>
      </c>
      <c r="I119" s="83">
        <v>35.700000000000003</v>
      </c>
      <c r="J119" s="83">
        <v>331</v>
      </c>
      <c r="K119" s="83">
        <v>34.799999999999997</v>
      </c>
      <c r="L119" s="83">
        <v>26.5</v>
      </c>
      <c r="M119" s="84">
        <v>150</v>
      </c>
      <c r="N119" s="84">
        <v>7.1</v>
      </c>
      <c r="O119" s="84">
        <v>66</v>
      </c>
      <c r="P119" s="85">
        <v>495</v>
      </c>
      <c r="Q119" s="85">
        <v>28.5</v>
      </c>
      <c r="R119" s="85"/>
      <c r="S119" s="85">
        <v>265</v>
      </c>
      <c r="T119" s="80">
        <v>1.3</v>
      </c>
      <c r="U119" s="80">
        <v>16.3</v>
      </c>
      <c r="V119" s="81" t="str">
        <f>+IF(I119=0,"ap","av_ap")</f>
        <v>av_ap</v>
      </c>
      <c r="W119" s="81">
        <f>+VLOOKUP(A119,infradensité!$A$2:$B$67,2,FALSE)</f>
        <v>0.37</v>
      </c>
      <c r="X119" s="81">
        <v>1.3</v>
      </c>
      <c r="Y119" s="82">
        <f t="shared" si="14"/>
        <v>159.21099999999998</v>
      </c>
      <c r="Z119" s="82">
        <f t="shared" si="16"/>
        <v>40.664503085733998</v>
      </c>
      <c r="AA119" s="82" t="str">
        <f t="shared" si="12"/>
        <v>Epicéa_Fmoyenne_Entree 16-17 m_GS Arc Jurassien_40_</v>
      </c>
      <c r="AB119" s="79">
        <v>40</v>
      </c>
      <c r="AC119" s="82">
        <f t="shared" si="15"/>
        <v>348.1165012076533</v>
      </c>
      <c r="AD119" s="86">
        <f t="shared" si="13"/>
        <v>2021.7416097231669</v>
      </c>
      <c r="AE119" s="86">
        <f t="shared" si="18"/>
        <v>270.17494016810156</v>
      </c>
    </row>
    <row r="120" spans="1:31" hidden="1" x14ac:dyDescent="0.25">
      <c r="A120" s="79" t="s">
        <v>229</v>
      </c>
      <c r="B120" s="86" t="s">
        <v>425</v>
      </c>
      <c r="C120" s="79" t="s">
        <v>183</v>
      </c>
      <c r="D120" s="89" t="s">
        <v>223</v>
      </c>
      <c r="E120" s="79">
        <v>103</v>
      </c>
      <c r="F120" s="79">
        <v>40</v>
      </c>
      <c r="G120" s="79">
        <v>22.4</v>
      </c>
      <c r="H120" s="85">
        <v>495</v>
      </c>
      <c r="I120" s="85">
        <v>28.5</v>
      </c>
      <c r="J120" s="85">
        <v>265</v>
      </c>
      <c r="K120" s="85">
        <v>265</v>
      </c>
      <c r="L120" s="83"/>
      <c r="M120" s="84"/>
      <c r="N120" s="84"/>
      <c r="O120" s="84"/>
      <c r="P120" s="85"/>
      <c r="Q120" s="85"/>
      <c r="R120" s="85"/>
      <c r="S120" s="85"/>
      <c r="T120" s="80"/>
      <c r="U120" s="80"/>
      <c r="V120" s="81" t="s">
        <v>53</v>
      </c>
      <c r="W120" s="81">
        <f>+VLOOKUP(A120,infradensité!$A$2:$B$67,2,FALSE)</f>
        <v>0.37</v>
      </c>
      <c r="X120" s="81">
        <v>1.3</v>
      </c>
      <c r="Y120" s="82">
        <f t="shared" si="14"/>
        <v>127.46499999999999</v>
      </c>
      <c r="Z120" s="82">
        <f t="shared" si="16"/>
        <v>33.409925603683597</v>
      </c>
      <c r="AA120" s="82" t="str">
        <f t="shared" si="12"/>
        <v>Epicéa_Fmoyenne_Entree 16-17 m_GS Arc Jurassien_40_</v>
      </c>
      <c r="AB120" s="79">
        <v>40</v>
      </c>
      <c r="AC120" s="82">
        <f t="shared" si="15"/>
        <v>280.19049542641557</v>
      </c>
      <c r="AD120" s="86">
        <f t="shared" si="13"/>
        <v>0</v>
      </c>
      <c r="AE120" s="86">
        <f t="shared" si="18"/>
        <v>270.17494016810156</v>
      </c>
    </row>
    <row r="121" spans="1:31" hidden="1" x14ac:dyDescent="0.25">
      <c r="A121" s="79" t="s">
        <v>229</v>
      </c>
      <c r="B121" s="86" t="s">
        <v>425</v>
      </c>
      <c r="C121" s="79" t="s">
        <v>183</v>
      </c>
      <c r="D121" s="89" t="s">
        <v>223</v>
      </c>
      <c r="E121" s="79">
        <v>103</v>
      </c>
      <c r="F121" s="79">
        <v>47</v>
      </c>
      <c r="G121" s="79">
        <v>25.1</v>
      </c>
      <c r="H121" s="83">
        <v>495</v>
      </c>
      <c r="I121" s="83">
        <v>36.5</v>
      </c>
      <c r="J121" s="83">
        <v>372</v>
      </c>
      <c r="K121" s="83">
        <v>39.1</v>
      </c>
      <c r="L121" s="83">
        <v>30.6</v>
      </c>
      <c r="M121" s="84">
        <v>105</v>
      </c>
      <c r="N121" s="84">
        <v>7</v>
      </c>
      <c r="O121" s="84">
        <v>71</v>
      </c>
      <c r="P121" s="85">
        <v>390</v>
      </c>
      <c r="Q121" s="85">
        <v>29.5</v>
      </c>
      <c r="R121" s="85"/>
      <c r="S121" s="85">
        <v>301</v>
      </c>
      <c r="T121" s="80">
        <v>1.1000000000000001</v>
      </c>
      <c r="U121" s="80">
        <v>15.3</v>
      </c>
      <c r="V121" s="81" t="str">
        <f>+IF(I121=0,"ap","av_ap")</f>
        <v>av_ap</v>
      </c>
      <c r="W121" s="81">
        <f>+VLOOKUP(A121,infradensité!$A$2:$B$67,2,FALSE)</f>
        <v>0.37</v>
      </c>
      <c r="X121" s="81">
        <v>1.3</v>
      </c>
      <c r="Y121" s="82">
        <f t="shared" si="14"/>
        <v>178.93199999999999</v>
      </c>
      <c r="Z121" s="82">
        <f t="shared" si="16"/>
        <v>45.084493609959594</v>
      </c>
      <c r="AA121" s="82" t="str">
        <f t="shared" si="12"/>
        <v>Epicéa_Fmoyenne_Entree 16-17 m_GS Arc Jurassien_47_</v>
      </c>
      <c r="AB121" s="79">
        <v>47</v>
      </c>
      <c r="AC121" s="82">
        <f t="shared" si="15"/>
        <v>390.16205970401296</v>
      </c>
      <c r="AD121" s="86">
        <f t="shared" si="13"/>
        <v>2346.2339429565</v>
      </c>
      <c r="AE121" s="86">
        <f t="shared" si="18"/>
        <v>270.17494016810156</v>
      </c>
    </row>
    <row r="122" spans="1:31" hidden="1" x14ac:dyDescent="0.25">
      <c r="A122" s="79" t="s">
        <v>229</v>
      </c>
      <c r="B122" s="86" t="s">
        <v>425</v>
      </c>
      <c r="C122" s="79" t="s">
        <v>183</v>
      </c>
      <c r="D122" s="89" t="s">
        <v>223</v>
      </c>
      <c r="E122" s="79">
        <v>103</v>
      </c>
      <c r="F122" s="79">
        <v>47</v>
      </c>
      <c r="G122" s="79">
        <v>25.1</v>
      </c>
      <c r="H122" s="85">
        <v>390</v>
      </c>
      <c r="I122" s="85">
        <v>29.5</v>
      </c>
      <c r="J122" s="85">
        <v>301</v>
      </c>
      <c r="K122" s="85">
        <v>301</v>
      </c>
      <c r="L122" s="83"/>
      <c r="M122" s="84"/>
      <c r="N122" s="84"/>
      <c r="O122" s="84"/>
      <c r="P122" s="85"/>
      <c r="Q122" s="85"/>
      <c r="R122" s="85"/>
      <c r="S122" s="85"/>
      <c r="T122" s="80"/>
      <c r="U122" s="80"/>
      <c r="V122" s="81" t="s">
        <v>53</v>
      </c>
      <c r="W122" s="81">
        <f>+VLOOKUP(A122,infradensité!$A$2:$B$67,2,FALSE)</f>
        <v>0.37</v>
      </c>
      <c r="X122" s="81">
        <v>1.3</v>
      </c>
      <c r="Y122" s="82">
        <f t="shared" si="14"/>
        <v>144.78100000000001</v>
      </c>
      <c r="Z122" s="82">
        <f t="shared" si="16"/>
        <v>37.390115770833177</v>
      </c>
      <c r="AA122" s="82" t="str">
        <f t="shared" si="12"/>
        <v>Epicéa_Fmoyenne_Entree 16-17 m_GS Arc Jurassien_47_</v>
      </c>
      <c r="AB122" s="79">
        <v>47</v>
      </c>
      <c r="AC122" s="82">
        <f t="shared" si="15"/>
        <v>317.28135996753446</v>
      </c>
      <c r="AD122" s="86">
        <f t="shared" si="13"/>
        <v>0</v>
      </c>
      <c r="AE122" s="86">
        <f t="shared" si="18"/>
        <v>270.17494016810156</v>
      </c>
    </row>
    <row r="123" spans="1:31" hidden="1" x14ac:dyDescent="0.25">
      <c r="A123" s="79" t="s">
        <v>229</v>
      </c>
      <c r="B123" s="86" t="s">
        <v>425</v>
      </c>
      <c r="C123" s="79" t="s">
        <v>183</v>
      </c>
      <c r="D123" s="89" t="s">
        <v>223</v>
      </c>
      <c r="E123" s="79">
        <v>103</v>
      </c>
      <c r="F123" s="79">
        <v>54</v>
      </c>
      <c r="G123" s="79">
        <v>27.4</v>
      </c>
      <c r="H123" s="83">
        <v>390</v>
      </c>
      <c r="I123" s="83">
        <v>36.4</v>
      </c>
      <c r="J123" s="83">
        <v>399</v>
      </c>
      <c r="K123" s="83">
        <v>42.8</v>
      </c>
      <c r="L123" s="83">
        <v>34.5</v>
      </c>
      <c r="M123" s="84">
        <v>82</v>
      </c>
      <c r="N123" s="84">
        <v>7.3</v>
      </c>
      <c r="O123" s="84">
        <v>79</v>
      </c>
      <c r="P123" s="85">
        <v>308</v>
      </c>
      <c r="Q123" s="85">
        <v>29.2</v>
      </c>
      <c r="R123" s="85"/>
      <c r="S123" s="85">
        <v>319</v>
      </c>
      <c r="T123" s="80">
        <v>1</v>
      </c>
      <c r="U123" s="80">
        <v>13.9</v>
      </c>
      <c r="V123" s="81" t="str">
        <f>+IF(I123=0,"ap","av_ap")</f>
        <v>av_ap</v>
      </c>
      <c r="W123" s="81">
        <f>+VLOOKUP(A123,infradensité!$A$2:$B$67,2,FALSE)</f>
        <v>0.37</v>
      </c>
      <c r="X123" s="81">
        <v>1.3</v>
      </c>
      <c r="Y123" s="82">
        <f t="shared" si="14"/>
        <v>191.91899999999998</v>
      </c>
      <c r="Z123" s="82">
        <f t="shared" si="16"/>
        <v>47.963968046563188</v>
      </c>
      <c r="AA123" s="82" t="str">
        <f t="shared" si="12"/>
        <v>Epicéa_Fmoyenne_Entree 16-17 m_GS Arc Jurassien_54_</v>
      </c>
      <c r="AB123" s="79">
        <v>54</v>
      </c>
      <c r="AC123" s="82">
        <f t="shared" si="15"/>
        <v>417.79616934776419</v>
      </c>
      <c r="AD123" s="86">
        <f t="shared" si="13"/>
        <v>2572.7713526035454</v>
      </c>
      <c r="AE123" s="86">
        <f t="shared" si="18"/>
        <v>270.17494016810156</v>
      </c>
    </row>
    <row r="124" spans="1:31" hidden="1" x14ac:dyDescent="0.25">
      <c r="A124" s="79" t="s">
        <v>229</v>
      </c>
      <c r="B124" s="86" t="s">
        <v>425</v>
      </c>
      <c r="C124" s="79" t="s">
        <v>183</v>
      </c>
      <c r="D124" s="89" t="s">
        <v>223</v>
      </c>
      <c r="E124" s="79">
        <v>103</v>
      </c>
      <c r="F124" s="79">
        <v>54</v>
      </c>
      <c r="G124" s="79">
        <v>27.4</v>
      </c>
      <c r="H124" s="85">
        <v>308</v>
      </c>
      <c r="I124" s="85">
        <v>29.2</v>
      </c>
      <c r="J124" s="85">
        <v>319</v>
      </c>
      <c r="K124" s="85">
        <v>319</v>
      </c>
      <c r="L124" s="83"/>
      <c r="M124" s="84"/>
      <c r="N124" s="84"/>
      <c r="O124" s="84"/>
      <c r="P124" s="85"/>
      <c r="Q124" s="85"/>
      <c r="R124" s="85"/>
      <c r="S124" s="85"/>
      <c r="T124" s="80"/>
      <c r="U124" s="80"/>
      <c r="V124" s="81" t="s">
        <v>53</v>
      </c>
      <c r="W124" s="81">
        <f>+VLOOKUP(A124,infradensité!$A$2:$B$67,2,FALSE)</f>
        <v>0.37</v>
      </c>
      <c r="X124" s="81">
        <v>1.3</v>
      </c>
      <c r="Y124" s="82">
        <f t="shared" si="14"/>
        <v>153.43899999999999</v>
      </c>
      <c r="Z124" s="82">
        <f t="shared" si="16"/>
        <v>39.35907668794875</v>
      </c>
      <c r="AA124" s="82" t="str">
        <f t="shared" si="12"/>
        <v>Epicéa_Fmoyenne_Entree 16-17 m_GS Arc Jurassien_54_</v>
      </c>
      <c r="AB124" s="79">
        <v>54</v>
      </c>
      <c r="AC124" s="82">
        <f t="shared" si="15"/>
        <v>335.78998356484402</v>
      </c>
      <c r="AD124" s="86">
        <f t="shared" si="13"/>
        <v>0</v>
      </c>
      <c r="AE124" s="86">
        <f t="shared" si="18"/>
        <v>270.17494016810156</v>
      </c>
    </row>
    <row r="125" spans="1:31" hidden="1" x14ac:dyDescent="0.25">
      <c r="A125" s="79" t="s">
        <v>229</v>
      </c>
      <c r="B125" s="86" t="s">
        <v>425</v>
      </c>
      <c r="C125" s="79" t="s">
        <v>183</v>
      </c>
      <c r="D125" s="89" t="s">
        <v>223</v>
      </c>
      <c r="E125" s="79">
        <v>103</v>
      </c>
      <c r="F125" s="79">
        <v>61</v>
      </c>
      <c r="G125" s="79">
        <v>29.4</v>
      </c>
      <c r="H125" s="83">
        <v>308</v>
      </c>
      <c r="I125" s="83">
        <v>35.1</v>
      </c>
      <c r="J125" s="83">
        <v>406</v>
      </c>
      <c r="K125" s="83">
        <v>46.2</v>
      </c>
      <c r="L125" s="83">
        <v>38.1</v>
      </c>
      <c r="M125" s="84">
        <v>55</v>
      </c>
      <c r="N125" s="84">
        <v>5.5</v>
      </c>
      <c r="O125" s="84">
        <v>63</v>
      </c>
      <c r="P125" s="85">
        <v>253</v>
      </c>
      <c r="Q125" s="85">
        <v>29.6</v>
      </c>
      <c r="R125" s="85"/>
      <c r="S125" s="85">
        <v>343</v>
      </c>
      <c r="T125" s="80">
        <v>0.8</v>
      </c>
      <c r="U125" s="80">
        <v>12.3</v>
      </c>
      <c r="V125" s="81" t="str">
        <f>+IF(I125=0,"ap","av_ap")</f>
        <v>av_ap</v>
      </c>
      <c r="W125" s="81">
        <f>+VLOOKUP(A125,infradensité!$A$2:$B$67,2,FALSE)</f>
        <v>0.37</v>
      </c>
      <c r="X125" s="81">
        <v>1.3</v>
      </c>
      <c r="Y125" s="82">
        <f t="shared" si="14"/>
        <v>195.286</v>
      </c>
      <c r="Z125" s="82">
        <f t="shared" si="16"/>
        <v>48.70673943067964</v>
      </c>
      <c r="AA125" s="82" t="str">
        <f t="shared" si="12"/>
        <v>Epicéa_Fmoyenne_Entree 16-17 m_GS Arc Jurassien_61_</v>
      </c>
      <c r="AB125" s="79">
        <v>61</v>
      </c>
      <c r="AC125" s="82">
        <f t="shared" si="15"/>
        <v>424.95402117510031</v>
      </c>
      <c r="AD125" s="86">
        <f t="shared" si="13"/>
        <v>2662.6040165898053</v>
      </c>
      <c r="AE125" s="86">
        <f t="shared" si="18"/>
        <v>270.17494016810156</v>
      </c>
    </row>
    <row r="126" spans="1:31" hidden="1" x14ac:dyDescent="0.25">
      <c r="A126" s="79" t="s">
        <v>229</v>
      </c>
      <c r="B126" s="86" t="s">
        <v>425</v>
      </c>
      <c r="C126" s="79" t="s">
        <v>183</v>
      </c>
      <c r="D126" s="89" t="s">
        <v>223</v>
      </c>
      <c r="E126" s="79">
        <v>103</v>
      </c>
      <c r="F126" s="79">
        <v>61</v>
      </c>
      <c r="G126" s="79">
        <v>29.4</v>
      </c>
      <c r="H126" s="85">
        <v>253</v>
      </c>
      <c r="I126" s="85">
        <v>29.6</v>
      </c>
      <c r="J126" s="85">
        <v>343</v>
      </c>
      <c r="K126" s="85">
        <v>343</v>
      </c>
      <c r="L126" s="83"/>
      <c r="M126" s="84"/>
      <c r="N126" s="84"/>
      <c r="O126" s="84"/>
      <c r="P126" s="85"/>
      <c r="Q126" s="85"/>
      <c r="R126" s="85"/>
      <c r="S126" s="85"/>
      <c r="T126" s="80"/>
      <c r="U126" s="80"/>
      <c r="V126" s="81" t="s">
        <v>53</v>
      </c>
      <c r="W126" s="81">
        <f>+VLOOKUP(A126,infradensité!$A$2:$B$67,2,FALSE)</f>
        <v>0.37</v>
      </c>
      <c r="X126" s="81">
        <v>1.3</v>
      </c>
      <c r="Y126" s="82">
        <f t="shared" si="14"/>
        <v>164.983</v>
      </c>
      <c r="Z126" s="82">
        <f t="shared" si="16"/>
        <v>41.964430997815199</v>
      </c>
      <c r="AA126" s="82" t="str">
        <f t="shared" si="12"/>
        <v>Epicéa_Fmoyenne_Entree 16-17 m_GS Arc Jurassien_61_</v>
      </c>
      <c r="AB126" s="79">
        <v>61</v>
      </c>
      <c r="AC126" s="82">
        <f t="shared" si="15"/>
        <v>360.43344232119483</v>
      </c>
      <c r="AD126" s="86">
        <f t="shared" si="13"/>
        <v>0</v>
      </c>
      <c r="AE126" s="86">
        <f t="shared" si="18"/>
        <v>270.17494016810156</v>
      </c>
    </row>
    <row r="127" spans="1:31" hidden="1" x14ac:dyDescent="0.25">
      <c r="A127" s="79" t="s">
        <v>229</v>
      </c>
      <c r="B127" s="86" t="s">
        <v>425</v>
      </c>
      <c r="C127" s="79" t="s">
        <v>183</v>
      </c>
      <c r="D127" s="89" t="s">
        <v>223</v>
      </c>
      <c r="E127" s="79">
        <v>103</v>
      </c>
      <c r="F127" s="79">
        <v>69</v>
      </c>
      <c r="G127" s="79">
        <v>31.2</v>
      </c>
      <c r="H127" s="83">
        <v>253</v>
      </c>
      <c r="I127" s="83">
        <v>35.299999999999997</v>
      </c>
      <c r="J127" s="83">
        <v>429</v>
      </c>
      <c r="K127" s="83">
        <v>49.9</v>
      </c>
      <c r="L127" s="83">
        <v>42.1</v>
      </c>
      <c r="M127" s="84">
        <v>45</v>
      </c>
      <c r="N127" s="84">
        <v>5.7</v>
      </c>
      <c r="O127" s="84">
        <v>69</v>
      </c>
      <c r="P127" s="85">
        <v>208</v>
      </c>
      <c r="Q127" s="85">
        <v>29.6</v>
      </c>
      <c r="R127" s="85"/>
      <c r="S127" s="85">
        <v>360</v>
      </c>
      <c r="T127" s="80">
        <v>0.7</v>
      </c>
      <c r="U127" s="80">
        <v>10.8</v>
      </c>
      <c r="V127" s="81" t="str">
        <f>+IF(I127=0,"ap","av_ap")</f>
        <v>av_ap</v>
      </c>
      <c r="W127" s="81">
        <f>+VLOOKUP(A127,infradensité!$A$2:$B$67,2,FALSE)</f>
        <v>0.37</v>
      </c>
      <c r="X127" s="81">
        <v>1.3</v>
      </c>
      <c r="Y127" s="82">
        <f t="shared" si="14"/>
        <v>206.34899999999999</v>
      </c>
      <c r="Z127" s="82">
        <f t="shared" si="16"/>
        <v>51.136937780341476</v>
      </c>
      <c r="AA127" s="82" t="str">
        <f t="shared" si="12"/>
        <v>Epicéa_Fmoyenne_Entree 16-17 m_GS Arc Jurassien_69_</v>
      </c>
      <c r="AB127" s="79">
        <v>69</v>
      </c>
      <c r="AC127" s="82">
        <f t="shared" si="15"/>
        <v>448.45467496742805</v>
      </c>
      <c r="AD127" s="86">
        <f t="shared" si="13"/>
        <v>3235.5524691544915</v>
      </c>
      <c r="AE127" s="86">
        <f t="shared" si="18"/>
        <v>270.17494016810156</v>
      </c>
    </row>
    <row r="128" spans="1:31" hidden="1" x14ac:dyDescent="0.25">
      <c r="A128" s="79" t="s">
        <v>229</v>
      </c>
      <c r="B128" s="86" t="s">
        <v>425</v>
      </c>
      <c r="C128" s="79" t="s">
        <v>183</v>
      </c>
      <c r="D128" s="89" t="s">
        <v>223</v>
      </c>
      <c r="E128" s="79">
        <v>103</v>
      </c>
      <c r="F128" s="79">
        <v>69</v>
      </c>
      <c r="G128" s="79">
        <v>31.2</v>
      </c>
      <c r="H128" s="85">
        <v>208</v>
      </c>
      <c r="I128" s="85">
        <v>29.6</v>
      </c>
      <c r="J128" s="85">
        <v>360</v>
      </c>
      <c r="K128" s="85">
        <v>360</v>
      </c>
      <c r="L128" s="83"/>
      <c r="M128" s="84"/>
      <c r="N128" s="84"/>
      <c r="O128" s="84"/>
      <c r="P128" s="85"/>
      <c r="Q128" s="85"/>
      <c r="R128" s="85"/>
      <c r="S128" s="85"/>
      <c r="T128" s="80"/>
      <c r="U128" s="80"/>
      <c r="V128" s="81" t="s">
        <v>53</v>
      </c>
      <c r="W128" s="81">
        <f>+VLOOKUP(A128,infradensité!$A$2:$B$67,2,FALSE)</f>
        <v>0.37</v>
      </c>
      <c r="X128" s="81">
        <v>1.3</v>
      </c>
      <c r="Y128" s="82">
        <f t="shared" si="14"/>
        <v>173.16</v>
      </c>
      <c r="Z128" s="82">
        <f t="shared" si="16"/>
        <v>43.796998058051557</v>
      </c>
      <c r="AA128" s="82" t="str">
        <f t="shared" si="12"/>
        <v>Epicéa_Fmoyenne_Entree 16-17 m_GS Arc Jurassien_69_</v>
      </c>
      <c r="AB128" s="79">
        <v>69</v>
      </c>
      <c r="AC128" s="82">
        <f t="shared" si="15"/>
        <v>377.86677161777311</v>
      </c>
      <c r="AD128" s="86">
        <f t="shared" si="13"/>
        <v>0</v>
      </c>
      <c r="AE128" s="86">
        <f t="shared" si="18"/>
        <v>270.17494016810156</v>
      </c>
    </row>
    <row r="129" spans="1:31" hidden="1" x14ac:dyDescent="0.25">
      <c r="A129" s="79" t="s">
        <v>229</v>
      </c>
      <c r="B129" s="86" t="s">
        <v>425</v>
      </c>
      <c r="C129" s="79" t="s">
        <v>183</v>
      </c>
      <c r="D129" s="89" t="s">
        <v>223</v>
      </c>
      <c r="E129" s="79">
        <v>103</v>
      </c>
      <c r="F129" s="79">
        <v>77</v>
      </c>
      <c r="G129" s="79">
        <v>32.700000000000003</v>
      </c>
      <c r="H129" s="83">
        <v>208</v>
      </c>
      <c r="I129" s="83">
        <v>34.200000000000003</v>
      </c>
      <c r="J129" s="83">
        <v>432</v>
      </c>
      <c r="K129" s="83">
        <v>52.9</v>
      </c>
      <c r="L129" s="83">
        <v>45.8</v>
      </c>
      <c r="M129" s="84" t="s">
        <v>225</v>
      </c>
      <c r="N129" s="84" t="s">
        <v>225</v>
      </c>
      <c r="O129" s="84"/>
      <c r="P129" s="85" t="s">
        <v>225</v>
      </c>
      <c r="Q129" s="85"/>
      <c r="R129" s="85" t="s">
        <v>225</v>
      </c>
      <c r="S129" s="85" t="s">
        <v>225</v>
      </c>
      <c r="T129" s="80">
        <v>1.2</v>
      </c>
      <c r="U129" s="80">
        <v>12.3</v>
      </c>
      <c r="V129" s="81" t="str">
        <f>+IF(I129=0,"ap","av_ap")</f>
        <v>av_ap</v>
      </c>
      <c r="W129" s="81">
        <f>+VLOOKUP(A129,infradensité!$A$2:$B$67,2,FALSE)</f>
        <v>0.37</v>
      </c>
      <c r="X129" s="81">
        <v>1.3</v>
      </c>
      <c r="Y129" s="82">
        <f t="shared" si="14"/>
        <v>207.792</v>
      </c>
      <c r="Z129" s="82">
        <f t="shared" si="16"/>
        <v>51.452785725007864</v>
      </c>
      <c r="AA129" s="82" t="str">
        <f t="shared" si="12"/>
        <v>Epicéa_Fmoyenne_Entree 16-17 m_GS Arc Jurassien_77_</v>
      </c>
      <c r="AB129" s="79">
        <v>77</v>
      </c>
      <c r="AC129" s="82">
        <f t="shared" si="15"/>
        <v>451.51800180438869</v>
      </c>
      <c r="AD129" s="86">
        <f t="shared" si="13"/>
        <v>3317.539093688647</v>
      </c>
      <c r="AE129" s="86">
        <f t="shared" si="18"/>
        <v>270.17494016810156</v>
      </c>
    </row>
    <row r="130" spans="1:31" hidden="1" x14ac:dyDescent="0.25">
      <c r="A130" s="79" t="s">
        <v>229</v>
      </c>
      <c r="B130" s="86" t="s">
        <v>425</v>
      </c>
      <c r="C130" s="79" t="s">
        <v>183</v>
      </c>
      <c r="D130" s="89" t="s">
        <v>223</v>
      </c>
      <c r="E130" s="79">
        <v>103</v>
      </c>
      <c r="F130" s="79">
        <v>77</v>
      </c>
      <c r="G130" s="79">
        <v>32.700000000000003</v>
      </c>
      <c r="H130" s="85" t="s">
        <v>225</v>
      </c>
      <c r="I130" s="83"/>
      <c r="J130" s="85" t="s">
        <v>225</v>
      </c>
      <c r="K130" s="85" t="s">
        <v>225</v>
      </c>
      <c r="L130" s="83"/>
      <c r="M130" s="84"/>
      <c r="N130" s="84"/>
      <c r="O130" s="84"/>
      <c r="P130" s="85"/>
      <c r="Q130" s="85"/>
      <c r="R130" s="85"/>
      <c r="S130" s="85"/>
      <c r="T130" s="80"/>
      <c r="U130" s="80"/>
      <c r="V130" s="81" t="s">
        <v>53</v>
      </c>
      <c r="W130" s="81">
        <f>+VLOOKUP(A130,infradensité!$A$2:$B$67,2,FALSE)</f>
        <v>0.37</v>
      </c>
      <c r="X130" s="81">
        <v>1.3</v>
      </c>
      <c r="Y130" s="88">
        <v>0</v>
      </c>
      <c r="Z130" s="88">
        <v>0</v>
      </c>
      <c r="AA130" s="88" t="str">
        <f t="shared" si="12"/>
        <v>Epicéa_Fmoyenne_Entree 16-17 m_GS Arc Jurassien_77_</v>
      </c>
      <c r="AB130" s="79">
        <v>77</v>
      </c>
      <c r="AC130" s="82">
        <f t="shared" si="15"/>
        <v>0</v>
      </c>
      <c r="AD130" s="86">
        <f t="shared" si="13"/>
        <v>0</v>
      </c>
      <c r="AE130" s="86">
        <f t="shared" si="18"/>
        <v>270.17494016810156</v>
      </c>
    </row>
    <row r="131" spans="1:31" hidden="1" x14ac:dyDescent="0.25">
      <c r="A131" s="79" t="s">
        <v>231</v>
      </c>
      <c r="B131" s="79" t="s">
        <v>9</v>
      </c>
      <c r="C131" s="79" t="s">
        <v>232</v>
      </c>
      <c r="D131" s="89" t="s">
        <v>227</v>
      </c>
      <c r="E131" s="79">
        <v>127</v>
      </c>
      <c r="F131" s="79">
        <v>12</v>
      </c>
      <c r="G131" s="79">
        <v>3</v>
      </c>
      <c r="H131" s="83">
        <v>6000</v>
      </c>
      <c r="I131" s="83" t="s">
        <v>224</v>
      </c>
      <c r="J131" s="83"/>
      <c r="K131" s="83"/>
      <c r="L131" s="83"/>
      <c r="M131" s="84"/>
      <c r="N131" s="84"/>
      <c r="O131" s="84"/>
      <c r="P131" s="85">
        <v>1100</v>
      </c>
      <c r="Q131" s="85"/>
      <c r="R131" s="85"/>
      <c r="S131" s="85"/>
      <c r="T131" s="80"/>
      <c r="U131" s="80"/>
      <c r="V131" s="81" t="str">
        <f>+IF(I131=0,"ap","av_ap")</f>
        <v>av_ap</v>
      </c>
      <c r="W131" s="81">
        <f>+VLOOKUP(A131,infradensité!$A$2:$B$67,2,FALSE)</f>
        <v>0.46</v>
      </c>
      <c r="X131" s="81">
        <v>1.3</v>
      </c>
      <c r="Y131" s="82">
        <f t="shared" si="14"/>
        <v>0</v>
      </c>
      <c r="Z131" s="82" t="e">
        <f t="shared" si="16"/>
        <v>#NUM!</v>
      </c>
      <c r="AA131" s="82" t="str">
        <f t="shared" ref="AA131:AA194" si="19">+_xlfn.CONCAT(A131,"_",B131,"_",C131,"_",D131,"_",AB131,"_")</f>
        <v>Pin Noir d'Autriche_F1_PO1_d4_GSM Alpes du Sud_12_</v>
      </c>
      <c r="AB131" s="79">
        <v>12</v>
      </c>
      <c r="AC131" s="82" t="e">
        <f t="shared" si="15"/>
        <v>#NUM!</v>
      </c>
      <c r="AD131" s="86" t="e">
        <f t="shared" si="13"/>
        <v>#NUM!</v>
      </c>
      <c r="AE131" s="81"/>
    </row>
    <row r="132" spans="1:31" hidden="1" x14ac:dyDescent="0.25">
      <c r="A132" s="79" t="s">
        <v>231</v>
      </c>
      <c r="B132" s="79" t="s">
        <v>9</v>
      </c>
      <c r="C132" s="79" t="s">
        <v>232</v>
      </c>
      <c r="D132" s="89" t="s">
        <v>227</v>
      </c>
      <c r="E132" s="79">
        <v>127</v>
      </c>
      <c r="F132" s="79">
        <v>12</v>
      </c>
      <c r="G132" s="79">
        <v>3</v>
      </c>
      <c r="H132" s="85">
        <v>1100</v>
      </c>
      <c r="I132" s="83"/>
      <c r="J132" s="83"/>
      <c r="K132" s="83"/>
      <c r="L132" s="83"/>
      <c r="M132" s="84"/>
      <c r="N132" s="84"/>
      <c r="O132" s="84"/>
      <c r="P132" s="85"/>
      <c r="Q132" s="85"/>
      <c r="R132" s="85"/>
      <c r="S132" s="85"/>
      <c r="T132" s="80"/>
      <c r="U132" s="80"/>
      <c r="V132" s="81" t="s">
        <v>53</v>
      </c>
      <c r="W132" s="81">
        <f>+VLOOKUP(A132,infradensité!$A$2:$B$67,2,FALSE)</f>
        <v>0.46</v>
      </c>
      <c r="X132" s="81">
        <v>1.3</v>
      </c>
      <c r="Y132" s="82">
        <f t="shared" si="14"/>
        <v>0</v>
      </c>
      <c r="Z132" s="82" t="e">
        <f t="shared" si="16"/>
        <v>#NUM!</v>
      </c>
      <c r="AA132" s="82" t="str">
        <f t="shared" si="19"/>
        <v>Pin Noir d'Autriche_F1_PO1_d4_GSM Alpes du Sud_12_</v>
      </c>
      <c r="AB132" s="79">
        <v>12</v>
      </c>
      <c r="AC132" s="82" t="e">
        <f t="shared" si="15"/>
        <v>#NUM!</v>
      </c>
      <c r="AD132" s="86" t="e">
        <f t="shared" ref="AD132:AD195" si="20">+IF(AC132=0,0,(AC132+AC131)*(AB132-AB131)/2)</f>
        <v>#NUM!</v>
      </c>
      <c r="AE132" s="81"/>
    </row>
    <row r="133" spans="1:31" hidden="1" x14ac:dyDescent="0.25">
      <c r="A133" s="79" t="s">
        <v>231</v>
      </c>
      <c r="B133" s="79" t="s">
        <v>9</v>
      </c>
      <c r="C133" s="79" t="s">
        <v>232</v>
      </c>
      <c r="D133" s="89" t="s">
        <v>227</v>
      </c>
      <c r="E133" s="79">
        <v>127</v>
      </c>
      <c r="F133" s="79">
        <v>40</v>
      </c>
      <c r="G133" s="79">
        <v>15.1</v>
      </c>
      <c r="H133" s="83">
        <v>1075</v>
      </c>
      <c r="I133" s="83">
        <v>35</v>
      </c>
      <c r="J133" s="83"/>
      <c r="K133" s="83">
        <v>25</v>
      </c>
      <c r="L133" s="83"/>
      <c r="M133" s="84"/>
      <c r="N133" s="84"/>
      <c r="O133" s="84">
        <v>75</v>
      </c>
      <c r="P133" s="85">
        <v>700</v>
      </c>
      <c r="Q133" s="85">
        <v>25</v>
      </c>
      <c r="R133" s="85"/>
      <c r="S133" s="85"/>
      <c r="T133" s="80"/>
      <c r="U133" s="80"/>
      <c r="V133" s="81" t="str">
        <f>+IF(I133=0,"ap","av_ap")</f>
        <v>av_ap</v>
      </c>
      <c r="W133" s="81">
        <f>+VLOOKUP(A133,infradensité!$A$2:$B$67,2,FALSE)</f>
        <v>0.46</v>
      </c>
      <c r="X133" s="81">
        <v>1.3</v>
      </c>
      <c r="Y133" s="82">
        <f t="shared" si="14"/>
        <v>0</v>
      </c>
      <c r="Z133" s="82" t="e">
        <f t="shared" si="16"/>
        <v>#NUM!</v>
      </c>
      <c r="AA133" s="82" t="str">
        <f t="shared" si="19"/>
        <v>Pin Noir d'Autriche_F1_PO1_d4_GSM Alpes du Sud_40_</v>
      </c>
      <c r="AB133" s="79">
        <v>40</v>
      </c>
      <c r="AC133" s="82" t="e">
        <f t="shared" si="15"/>
        <v>#NUM!</v>
      </c>
      <c r="AD133" s="86" t="e">
        <f t="shared" si="20"/>
        <v>#NUM!</v>
      </c>
      <c r="AE133" s="81"/>
    </row>
    <row r="134" spans="1:31" hidden="1" x14ac:dyDescent="0.25">
      <c r="A134" s="79" t="s">
        <v>231</v>
      </c>
      <c r="B134" s="79" t="s">
        <v>9</v>
      </c>
      <c r="C134" s="79" t="s">
        <v>232</v>
      </c>
      <c r="D134" s="89" t="s">
        <v>227</v>
      </c>
      <c r="E134" s="79">
        <v>127</v>
      </c>
      <c r="F134" s="79">
        <v>40</v>
      </c>
      <c r="G134" s="79">
        <v>15.1</v>
      </c>
      <c r="H134" s="85">
        <v>700</v>
      </c>
      <c r="I134" s="85">
        <v>25</v>
      </c>
      <c r="J134" s="83"/>
      <c r="K134" s="83"/>
      <c r="L134" s="83"/>
      <c r="M134" s="84"/>
      <c r="N134" s="84"/>
      <c r="O134" s="84"/>
      <c r="P134" s="85"/>
      <c r="Q134" s="85"/>
      <c r="R134" s="85"/>
      <c r="S134" s="85"/>
      <c r="T134" s="80"/>
      <c r="U134" s="80"/>
      <c r="V134" s="81" t="s">
        <v>53</v>
      </c>
      <c r="W134" s="81">
        <f>+VLOOKUP(A134,infradensité!$A$2:$B$67,2,FALSE)</f>
        <v>0.46</v>
      </c>
      <c r="X134" s="81">
        <v>1.3</v>
      </c>
      <c r="Y134" s="82">
        <f t="shared" si="14"/>
        <v>0</v>
      </c>
      <c r="Z134" s="82" t="e">
        <f t="shared" si="16"/>
        <v>#NUM!</v>
      </c>
      <c r="AA134" s="82" t="str">
        <f t="shared" si="19"/>
        <v>Pin Noir d'Autriche_F1_PO1_d4_GSM Alpes du Sud_40_</v>
      </c>
      <c r="AB134" s="79">
        <v>40</v>
      </c>
      <c r="AC134" s="82" t="e">
        <f t="shared" si="15"/>
        <v>#NUM!</v>
      </c>
      <c r="AD134" s="86" t="e">
        <f t="shared" si="20"/>
        <v>#NUM!</v>
      </c>
      <c r="AE134" s="81"/>
    </row>
    <row r="135" spans="1:31" hidden="1" x14ac:dyDescent="0.25">
      <c r="A135" s="79" t="s">
        <v>231</v>
      </c>
      <c r="B135" s="79" t="s">
        <v>9</v>
      </c>
      <c r="C135" s="79" t="s">
        <v>232</v>
      </c>
      <c r="D135" s="89" t="s">
        <v>227</v>
      </c>
      <c r="E135" s="79">
        <v>127</v>
      </c>
      <c r="F135" s="79">
        <v>55</v>
      </c>
      <c r="G135" s="79">
        <v>19.100000000000001</v>
      </c>
      <c r="H135" s="83">
        <v>685</v>
      </c>
      <c r="I135" s="83">
        <v>36</v>
      </c>
      <c r="J135" s="83"/>
      <c r="K135" s="83">
        <v>30</v>
      </c>
      <c r="L135" s="83"/>
      <c r="M135" s="84"/>
      <c r="N135" s="84"/>
      <c r="O135" s="84">
        <v>72</v>
      </c>
      <c r="P135" s="85">
        <v>500</v>
      </c>
      <c r="Q135" s="85">
        <v>28</v>
      </c>
      <c r="R135" s="85"/>
      <c r="S135" s="85"/>
      <c r="T135" s="80"/>
      <c r="U135" s="80"/>
      <c r="V135" s="81" t="str">
        <f>+IF(I135=0,"ap","av_ap")</f>
        <v>av_ap</v>
      </c>
      <c r="W135" s="81">
        <f>+VLOOKUP(A135,infradensité!$A$2:$B$67,2,FALSE)</f>
        <v>0.46</v>
      </c>
      <c r="X135" s="81">
        <v>1.3</v>
      </c>
      <c r="Y135" s="82">
        <f t="shared" si="14"/>
        <v>0</v>
      </c>
      <c r="Z135" s="82" t="e">
        <f t="shared" si="16"/>
        <v>#NUM!</v>
      </c>
      <c r="AA135" s="82" t="str">
        <f t="shared" si="19"/>
        <v>Pin Noir d'Autriche_F1_PO1_d4_GSM Alpes du Sud_55_</v>
      </c>
      <c r="AB135" s="79">
        <v>55</v>
      </c>
      <c r="AC135" s="82" t="e">
        <f t="shared" si="15"/>
        <v>#NUM!</v>
      </c>
      <c r="AD135" s="86" t="e">
        <f t="shared" si="20"/>
        <v>#NUM!</v>
      </c>
      <c r="AE135" s="81"/>
    </row>
    <row r="136" spans="1:31" hidden="1" x14ac:dyDescent="0.25">
      <c r="A136" s="79" t="s">
        <v>231</v>
      </c>
      <c r="B136" s="79" t="s">
        <v>9</v>
      </c>
      <c r="C136" s="79" t="s">
        <v>232</v>
      </c>
      <c r="D136" s="89" t="s">
        <v>227</v>
      </c>
      <c r="E136" s="79">
        <v>127</v>
      </c>
      <c r="F136" s="79">
        <v>55</v>
      </c>
      <c r="G136" s="79">
        <v>19.100000000000001</v>
      </c>
      <c r="H136" s="85">
        <v>500</v>
      </c>
      <c r="I136" s="85">
        <v>28</v>
      </c>
      <c r="J136" s="83"/>
      <c r="K136" s="83"/>
      <c r="L136" s="83"/>
      <c r="M136" s="84"/>
      <c r="N136" s="84"/>
      <c r="O136" s="84"/>
      <c r="P136" s="85"/>
      <c r="Q136" s="85"/>
      <c r="R136" s="85"/>
      <c r="S136" s="85"/>
      <c r="T136" s="80"/>
      <c r="U136" s="80"/>
      <c r="V136" s="81" t="s">
        <v>53</v>
      </c>
      <c r="W136" s="81">
        <f>+VLOOKUP(A136,infradensité!$A$2:$B$67,2,FALSE)</f>
        <v>0.46</v>
      </c>
      <c r="X136" s="81">
        <v>1.3</v>
      </c>
      <c r="Y136" s="82">
        <f t="shared" si="14"/>
        <v>0</v>
      </c>
      <c r="Z136" s="82" t="e">
        <f t="shared" si="16"/>
        <v>#NUM!</v>
      </c>
      <c r="AA136" s="82" t="str">
        <f t="shared" si="19"/>
        <v>Pin Noir d'Autriche_F1_PO1_d4_GSM Alpes du Sud_55_</v>
      </c>
      <c r="AB136" s="79">
        <v>55</v>
      </c>
      <c r="AC136" s="82" t="e">
        <f t="shared" si="15"/>
        <v>#NUM!</v>
      </c>
      <c r="AD136" s="86" t="e">
        <f t="shared" si="20"/>
        <v>#NUM!</v>
      </c>
      <c r="AE136" s="81"/>
    </row>
    <row r="137" spans="1:31" hidden="1" x14ac:dyDescent="0.25">
      <c r="A137" s="79" t="s">
        <v>231</v>
      </c>
      <c r="B137" s="79" t="s">
        <v>9</v>
      </c>
      <c r="C137" s="79" t="s">
        <v>232</v>
      </c>
      <c r="D137" s="89" t="s">
        <v>227</v>
      </c>
      <c r="E137" s="79">
        <v>127</v>
      </c>
      <c r="F137" s="79">
        <v>70</v>
      </c>
      <c r="G137" s="79">
        <v>21.7</v>
      </c>
      <c r="H137" s="83">
        <v>495</v>
      </c>
      <c r="I137" s="83">
        <v>38</v>
      </c>
      <c r="J137" s="83"/>
      <c r="K137" s="83">
        <v>36</v>
      </c>
      <c r="L137" s="83"/>
      <c r="M137" s="84"/>
      <c r="N137" s="84"/>
      <c r="O137" s="84">
        <v>76</v>
      </c>
      <c r="P137" s="85">
        <v>380</v>
      </c>
      <c r="Q137" s="85">
        <v>31</v>
      </c>
      <c r="R137" s="85"/>
      <c r="S137" s="85"/>
      <c r="T137" s="80"/>
      <c r="U137" s="80"/>
      <c r="V137" s="81" t="str">
        <f>+IF(I137=0,"ap","av_ap")</f>
        <v>av_ap</v>
      </c>
      <c r="W137" s="81">
        <f>+VLOOKUP(A137,infradensité!$A$2:$B$67,2,FALSE)</f>
        <v>0.46</v>
      </c>
      <c r="X137" s="81">
        <v>1.3</v>
      </c>
      <c r="Y137" s="82">
        <f t="shared" si="14"/>
        <v>0</v>
      </c>
      <c r="Z137" s="82" t="e">
        <f t="shared" si="16"/>
        <v>#NUM!</v>
      </c>
      <c r="AA137" s="82" t="str">
        <f t="shared" si="19"/>
        <v>Pin Noir d'Autriche_F1_PO1_d4_GSM Alpes du Sud_70_</v>
      </c>
      <c r="AB137" s="79">
        <v>70</v>
      </c>
      <c r="AC137" s="82" t="e">
        <f t="shared" si="15"/>
        <v>#NUM!</v>
      </c>
      <c r="AD137" s="86" t="e">
        <f t="shared" si="20"/>
        <v>#NUM!</v>
      </c>
      <c r="AE137" s="81"/>
    </row>
    <row r="138" spans="1:31" hidden="1" x14ac:dyDescent="0.25">
      <c r="A138" s="79" t="s">
        <v>231</v>
      </c>
      <c r="B138" s="79" t="s">
        <v>9</v>
      </c>
      <c r="C138" s="79" t="s">
        <v>232</v>
      </c>
      <c r="D138" s="89" t="s">
        <v>227</v>
      </c>
      <c r="E138" s="79">
        <v>127</v>
      </c>
      <c r="F138" s="79">
        <v>70</v>
      </c>
      <c r="G138" s="79">
        <v>21.7</v>
      </c>
      <c r="H138" s="85">
        <v>380</v>
      </c>
      <c r="I138" s="85">
        <v>31</v>
      </c>
      <c r="J138" s="83"/>
      <c r="K138" s="83"/>
      <c r="L138" s="83"/>
      <c r="M138" s="84"/>
      <c r="N138" s="84"/>
      <c r="O138" s="84"/>
      <c r="P138" s="85"/>
      <c r="Q138" s="85"/>
      <c r="R138" s="85"/>
      <c r="S138" s="85"/>
      <c r="T138" s="80"/>
      <c r="U138" s="80"/>
      <c r="V138" s="81" t="s">
        <v>53</v>
      </c>
      <c r="W138" s="81">
        <f>+VLOOKUP(A138,infradensité!$A$2:$B$67,2,FALSE)</f>
        <v>0.46</v>
      </c>
      <c r="X138" s="81">
        <v>1.3</v>
      </c>
      <c r="Y138" s="82">
        <f t="shared" si="14"/>
        <v>0</v>
      </c>
      <c r="Z138" s="82" t="e">
        <f t="shared" si="16"/>
        <v>#NUM!</v>
      </c>
      <c r="AA138" s="82" t="str">
        <f t="shared" si="19"/>
        <v>Pin Noir d'Autriche_F1_PO1_d4_GSM Alpes du Sud_70_</v>
      </c>
      <c r="AB138" s="79">
        <v>70</v>
      </c>
      <c r="AC138" s="82" t="e">
        <f t="shared" si="15"/>
        <v>#NUM!</v>
      </c>
      <c r="AD138" s="86" t="e">
        <f t="shared" si="20"/>
        <v>#NUM!</v>
      </c>
      <c r="AE138" s="81"/>
    </row>
    <row r="139" spans="1:31" hidden="1" x14ac:dyDescent="0.25">
      <c r="A139" s="79" t="s">
        <v>231</v>
      </c>
      <c r="B139" s="79" t="s">
        <v>9</v>
      </c>
      <c r="C139" s="79" t="s">
        <v>232</v>
      </c>
      <c r="D139" s="89" t="s">
        <v>227</v>
      </c>
      <c r="E139" s="79">
        <v>127</v>
      </c>
      <c r="F139" s="79">
        <v>80</v>
      </c>
      <c r="G139" s="79">
        <v>23.1</v>
      </c>
      <c r="H139" s="83">
        <v>380</v>
      </c>
      <c r="I139" s="83">
        <v>37</v>
      </c>
      <c r="J139" s="83"/>
      <c r="K139" s="83">
        <v>39</v>
      </c>
      <c r="L139" s="83"/>
      <c r="M139" s="84"/>
      <c r="N139" s="84"/>
      <c r="O139" s="84">
        <v>71</v>
      </c>
      <c r="P139" s="85">
        <v>300</v>
      </c>
      <c r="Q139" s="85">
        <v>30</v>
      </c>
      <c r="R139" s="85"/>
      <c r="S139" s="85"/>
      <c r="T139" s="80"/>
      <c r="U139" s="80"/>
      <c r="V139" s="81" t="str">
        <f>+IF(I139=0,"ap","av_ap")</f>
        <v>av_ap</v>
      </c>
      <c r="W139" s="81">
        <f>+VLOOKUP(A139,infradensité!$A$2:$B$67,2,FALSE)</f>
        <v>0.46</v>
      </c>
      <c r="X139" s="81">
        <v>1.3</v>
      </c>
      <c r="Y139" s="82">
        <f t="shared" si="14"/>
        <v>0</v>
      </c>
      <c r="Z139" s="82" t="e">
        <f t="shared" si="16"/>
        <v>#NUM!</v>
      </c>
      <c r="AA139" s="82" t="str">
        <f t="shared" si="19"/>
        <v>Pin Noir d'Autriche_F1_PO1_d4_GSM Alpes du Sud_80_</v>
      </c>
      <c r="AB139" s="79">
        <v>80</v>
      </c>
      <c r="AC139" s="82" t="e">
        <f t="shared" si="15"/>
        <v>#NUM!</v>
      </c>
      <c r="AD139" s="86" t="e">
        <f t="shared" si="20"/>
        <v>#NUM!</v>
      </c>
      <c r="AE139" s="81"/>
    </row>
    <row r="140" spans="1:31" hidden="1" x14ac:dyDescent="0.25">
      <c r="A140" s="79" t="s">
        <v>231</v>
      </c>
      <c r="B140" s="79" t="s">
        <v>9</v>
      </c>
      <c r="C140" s="79" t="s">
        <v>232</v>
      </c>
      <c r="D140" s="89" t="s">
        <v>227</v>
      </c>
      <c r="E140" s="79">
        <v>127</v>
      </c>
      <c r="F140" s="79">
        <v>80</v>
      </c>
      <c r="G140" s="79">
        <v>23.1</v>
      </c>
      <c r="H140" s="85">
        <v>300</v>
      </c>
      <c r="I140" s="85">
        <v>30</v>
      </c>
      <c r="J140" s="83"/>
      <c r="K140" s="83"/>
      <c r="L140" s="83"/>
      <c r="M140" s="84"/>
      <c r="N140" s="84"/>
      <c r="O140" s="84"/>
      <c r="P140" s="85"/>
      <c r="Q140" s="85"/>
      <c r="R140" s="85"/>
      <c r="S140" s="85"/>
      <c r="T140" s="80"/>
      <c r="U140" s="80"/>
      <c r="V140" s="81" t="s">
        <v>53</v>
      </c>
      <c r="W140" s="81">
        <f>+VLOOKUP(A140,infradensité!$A$2:$B$67,2,FALSE)</f>
        <v>0.46</v>
      </c>
      <c r="X140" s="81">
        <v>1.3</v>
      </c>
      <c r="Y140" s="82">
        <f t="shared" si="14"/>
        <v>0</v>
      </c>
      <c r="Z140" s="82" t="e">
        <f t="shared" si="16"/>
        <v>#NUM!</v>
      </c>
      <c r="AA140" s="82" t="str">
        <f t="shared" si="19"/>
        <v>Pin Noir d'Autriche_F1_PO1_d4_GSM Alpes du Sud_80_</v>
      </c>
      <c r="AB140" s="79">
        <v>80</v>
      </c>
      <c r="AC140" s="82" t="e">
        <f t="shared" si="15"/>
        <v>#NUM!</v>
      </c>
      <c r="AD140" s="86" t="e">
        <f t="shared" si="20"/>
        <v>#NUM!</v>
      </c>
      <c r="AE140" s="81"/>
    </row>
    <row r="141" spans="1:31" hidden="1" x14ac:dyDescent="0.25">
      <c r="A141" s="79" t="s">
        <v>231</v>
      </c>
      <c r="B141" s="79" t="s">
        <v>9</v>
      </c>
      <c r="C141" s="79" t="s">
        <v>232</v>
      </c>
      <c r="D141" s="89" t="s">
        <v>227</v>
      </c>
      <c r="E141" s="79">
        <v>127</v>
      </c>
      <c r="F141" s="79">
        <v>95</v>
      </c>
      <c r="G141" s="79">
        <v>24.5</v>
      </c>
      <c r="H141" s="83">
        <v>300</v>
      </c>
      <c r="I141" s="83">
        <v>39</v>
      </c>
      <c r="J141" s="83"/>
      <c r="K141" s="83">
        <v>45</v>
      </c>
      <c r="L141" s="83"/>
      <c r="M141" s="84"/>
      <c r="N141" s="84"/>
      <c r="O141" s="84">
        <v>238</v>
      </c>
      <c r="P141" s="85">
        <v>125</v>
      </c>
      <c r="Q141" s="85">
        <v>17</v>
      </c>
      <c r="R141" s="85"/>
      <c r="S141" s="85"/>
      <c r="T141" s="80"/>
      <c r="U141" s="80"/>
      <c r="V141" s="81" t="str">
        <f>+IF(I141=0,"ap","av_ap")</f>
        <v>av_ap</v>
      </c>
      <c r="W141" s="81">
        <f>+VLOOKUP(A141,infradensité!$A$2:$B$67,2,FALSE)</f>
        <v>0.46</v>
      </c>
      <c r="X141" s="81">
        <v>1.3</v>
      </c>
      <c r="Y141" s="82">
        <f t="shared" si="14"/>
        <v>0</v>
      </c>
      <c r="Z141" s="82" t="e">
        <f t="shared" si="16"/>
        <v>#NUM!</v>
      </c>
      <c r="AA141" s="82" t="str">
        <f t="shared" si="19"/>
        <v>Pin Noir d'Autriche_F1_PO1_d4_GSM Alpes du Sud_95_</v>
      </c>
      <c r="AB141" s="79">
        <v>95</v>
      </c>
      <c r="AC141" s="82" t="e">
        <f t="shared" si="15"/>
        <v>#NUM!</v>
      </c>
      <c r="AD141" s="86" t="e">
        <f t="shared" si="20"/>
        <v>#NUM!</v>
      </c>
      <c r="AE141" s="81"/>
    </row>
    <row r="142" spans="1:31" hidden="1" x14ac:dyDescent="0.25">
      <c r="A142" s="79" t="s">
        <v>231</v>
      </c>
      <c r="B142" s="79" t="s">
        <v>9</v>
      </c>
      <c r="C142" s="79" t="s">
        <v>232</v>
      </c>
      <c r="D142" s="89" t="s">
        <v>227</v>
      </c>
      <c r="E142" s="79">
        <v>127</v>
      </c>
      <c r="F142" s="79">
        <v>95</v>
      </c>
      <c r="G142" s="79">
        <v>24.5</v>
      </c>
      <c r="H142" s="85">
        <v>125</v>
      </c>
      <c r="I142" s="85">
        <v>17</v>
      </c>
      <c r="J142" s="83"/>
      <c r="K142" s="83"/>
      <c r="L142" s="83"/>
      <c r="M142" s="84"/>
      <c r="N142" s="84"/>
      <c r="O142" s="84"/>
      <c r="P142" s="85"/>
      <c r="Q142" s="85"/>
      <c r="R142" s="85"/>
      <c r="S142" s="85"/>
      <c r="T142" s="80"/>
      <c r="U142" s="80"/>
      <c r="V142" s="81" t="s">
        <v>53</v>
      </c>
      <c r="W142" s="81">
        <f>+VLOOKUP(A142,infradensité!$A$2:$B$67,2,FALSE)</f>
        <v>0.46</v>
      </c>
      <c r="X142" s="81">
        <v>1.3</v>
      </c>
      <c r="Y142" s="82">
        <f t="shared" si="14"/>
        <v>0</v>
      </c>
      <c r="Z142" s="82" t="e">
        <f t="shared" si="16"/>
        <v>#NUM!</v>
      </c>
      <c r="AA142" s="82" t="str">
        <f t="shared" si="19"/>
        <v>Pin Noir d'Autriche_F1_PO1_d4_GSM Alpes du Sud_95_</v>
      </c>
      <c r="AB142" s="79">
        <v>95</v>
      </c>
      <c r="AC142" s="82" t="e">
        <f t="shared" si="15"/>
        <v>#NUM!</v>
      </c>
      <c r="AD142" s="86" t="e">
        <f t="shared" si="20"/>
        <v>#NUM!</v>
      </c>
      <c r="AE142" s="81"/>
    </row>
    <row r="143" spans="1:31" hidden="1" x14ac:dyDescent="0.25">
      <c r="A143" s="79" t="s">
        <v>231</v>
      </c>
      <c r="B143" s="79" t="s">
        <v>9</v>
      </c>
      <c r="C143" s="79" t="s">
        <v>232</v>
      </c>
      <c r="D143" s="89" t="s">
        <v>227</v>
      </c>
      <c r="E143" s="79">
        <v>127</v>
      </c>
      <c r="F143" s="79">
        <v>105</v>
      </c>
      <c r="G143" s="79">
        <v>25.5</v>
      </c>
      <c r="H143" s="83">
        <v>125</v>
      </c>
      <c r="I143" s="83">
        <v>22</v>
      </c>
      <c r="J143" s="83"/>
      <c r="K143" s="83">
        <v>48</v>
      </c>
      <c r="L143" s="83"/>
      <c r="M143" s="84"/>
      <c r="N143" s="84"/>
      <c r="O143" s="84">
        <v>242</v>
      </c>
      <c r="P143" s="85">
        <v>0</v>
      </c>
      <c r="Q143" s="85">
        <v>0</v>
      </c>
      <c r="R143" s="85"/>
      <c r="S143" s="85"/>
      <c r="T143" s="80"/>
      <c r="U143" s="80"/>
      <c r="V143" s="81" t="str">
        <f>+IF(I143=0,"ap","av_ap")</f>
        <v>av_ap</v>
      </c>
      <c r="W143" s="81">
        <f>+VLOOKUP(A143,infradensité!$A$2:$B$67,2,FALSE)</f>
        <v>0.46</v>
      </c>
      <c r="X143" s="81">
        <v>1.3</v>
      </c>
      <c r="Y143" s="82">
        <f t="shared" si="14"/>
        <v>0</v>
      </c>
      <c r="Z143" s="82" t="e">
        <f t="shared" si="16"/>
        <v>#NUM!</v>
      </c>
      <c r="AA143" s="82" t="str">
        <f t="shared" si="19"/>
        <v>Pin Noir d'Autriche_F1_PO1_d4_GSM Alpes du Sud_105_</v>
      </c>
      <c r="AB143" s="79">
        <v>105</v>
      </c>
      <c r="AC143" s="82" t="e">
        <f t="shared" si="15"/>
        <v>#NUM!</v>
      </c>
      <c r="AD143" s="86" t="e">
        <f t="shared" si="20"/>
        <v>#NUM!</v>
      </c>
      <c r="AE143" s="81"/>
    </row>
    <row r="144" spans="1:31" hidden="1" x14ac:dyDescent="0.25">
      <c r="A144" s="79" t="s">
        <v>231</v>
      </c>
      <c r="B144" s="79" t="s">
        <v>9</v>
      </c>
      <c r="C144" s="79" t="s">
        <v>232</v>
      </c>
      <c r="D144" s="89" t="s">
        <v>227</v>
      </c>
      <c r="E144" s="79">
        <v>127</v>
      </c>
      <c r="F144" s="79">
        <v>105</v>
      </c>
      <c r="G144" s="79">
        <v>25.5</v>
      </c>
      <c r="H144" s="85">
        <v>0</v>
      </c>
      <c r="I144" s="85">
        <v>0</v>
      </c>
      <c r="J144" s="83"/>
      <c r="K144" s="83"/>
      <c r="L144" s="83"/>
      <c r="M144" s="84"/>
      <c r="N144" s="84"/>
      <c r="O144" s="84"/>
      <c r="P144" s="85"/>
      <c r="Q144" s="85"/>
      <c r="R144" s="85"/>
      <c r="S144" s="85"/>
      <c r="T144" s="80"/>
      <c r="U144" s="80"/>
      <c r="V144" s="81" t="s">
        <v>53</v>
      </c>
      <c r="W144" s="81">
        <f>+VLOOKUP(A144,infradensité!$A$2:$B$67,2,FALSE)</f>
        <v>0.46</v>
      </c>
      <c r="X144" s="81">
        <v>1.3</v>
      </c>
      <c r="Y144" s="82">
        <f t="shared" ref="Y144:Y213" si="21">+X144*W144*J144</f>
        <v>0</v>
      </c>
      <c r="Z144" s="82" t="e">
        <f t="shared" si="16"/>
        <v>#NUM!</v>
      </c>
      <c r="AA144" s="82" t="str">
        <f t="shared" si="19"/>
        <v>Pin Noir d'Autriche_F1_PO1_d4_GSM Alpes du Sud_105_</v>
      </c>
      <c r="AB144" s="79">
        <v>105</v>
      </c>
      <c r="AC144" s="82" t="e">
        <f t="shared" ref="AC144:AC213" si="22">+(Z144+Y144)*0.475*44/12</f>
        <v>#NUM!</v>
      </c>
      <c r="AD144" s="86" t="e">
        <f t="shared" si="20"/>
        <v>#NUM!</v>
      </c>
      <c r="AE144" s="81"/>
    </row>
    <row r="145" spans="1:31" hidden="1" x14ac:dyDescent="0.25">
      <c r="A145" s="79" t="s">
        <v>231</v>
      </c>
      <c r="B145" s="79" t="s">
        <v>10</v>
      </c>
      <c r="C145" s="79" t="s">
        <v>233</v>
      </c>
      <c r="D145" s="89" t="s">
        <v>227</v>
      </c>
      <c r="E145" s="79">
        <v>129</v>
      </c>
      <c r="F145" s="79">
        <v>15</v>
      </c>
      <c r="G145" s="79">
        <v>3</v>
      </c>
      <c r="H145" s="83">
        <v>6000</v>
      </c>
      <c r="I145" s="83" t="s">
        <v>224</v>
      </c>
      <c r="J145" s="83"/>
      <c r="K145" s="83"/>
      <c r="L145" s="83"/>
      <c r="M145" s="84"/>
      <c r="N145" s="84"/>
      <c r="O145" s="84"/>
      <c r="P145" s="85">
        <v>1100</v>
      </c>
      <c r="Q145" s="85"/>
      <c r="R145" s="85"/>
      <c r="S145" s="85"/>
      <c r="T145" s="80"/>
      <c r="U145" s="80"/>
      <c r="V145" s="81" t="str">
        <f>+IF(I145=0,"ap","av_ap")</f>
        <v>av_ap</v>
      </c>
      <c r="W145" s="81">
        <f>+VLOOKUP(A145,infradensité!$A$2:$B$67,2,FALSE)</f>
        <v>0.46</v>
      </c>
      <c r="X145" s="81">
        <v>1.3</v>
      </c>
      <c r="Y145" s="82">
        <f t="shared" si="21"/>
        <v>0</v>
      </c>
      <c r="Z145" s="82" t="e">
        <f t="shared" ref="Z145:Z214" si="23">+EXP(-1.0587+0.8836*LN(Y145)+0.284)</f>
        <v>#NUM!</v>
      </c>
      <c r="AA145" s="82" t="str">
        <f t="shared" si="19"/>
        <v>Pin Noir d'Autriche_F2_PO2_d4_GSM Alpes du Sud_15_</v>
      </c>
      <c r="AB145" s="79">
        <v>15</v>
      </c>
      <c r="AC145" s="82" t="e">
        <f t="shared" si="22"/>
        <v>#NUM!</v>
      </c>
      <c r="AD145" s="86" t="e">
        <f t="shared" si="20"/>
        <v>#NUM!</v>
      </c>
      <c r="AE145" s="81"/>
    </row>
    <row r="146" spans="1:31" hidden="1" x14ac:dyDescent="0.25">
      <c r="A146" s="79" t="s">
        <v>231</v>
      </c>
      <c r="B146" s="79" t="s">
        <v>10</v>
      </c>
      <c r="C146" s="79" t="s">
        <v>233</v>
      </c>
      <c r="D146" s="89" t="s">
        <v>227</v>
      </c>
      <c r="E146" s="79">
        <v>129</v>
      </c>
      <c r="F146" s="79">
        <v>15</v>
      </c>
      <c r="G146" s="79">
        <v>3</v>
      </c>
      <c r="H146" s="85">
        <v>1100</v>
      </c>
      <c r="I146" s="83"/>
      <c r="J146" s="83"/>
      <c r="K146" s="83"/>
      <c r="L146" s="83"/>
      <c r="M146" s="84"/>
      <c r="N146" s="84"/>
      <c r="O146" s="84"/>
      <c r="P146" s="85"/>
      <c r="Q146" s="85"/>
      <c r="R146" s="85"/>
      <c r="S146" s="85"/>
      <c r="T146" s="80"/>
      <c r="U146" s="80"/>
      <c r="V146" s="81" t="s">
        <v>53</v>
      </c>
      <c r="W146" s="81">
        <f>+VLOOKUP(A146,infradensité!$A$2:$B$67,2,FALSE)</f>
        <v>0.46</v>
      </c>
      <c r="X146" s="81">
        <v>1.3</v>
      </c>
      <c r="Y146" s="82">
        <f t="shared" si="21"/>
        <v>0</v>
      </c>
      <c r="Z146" s="82" t="e">
        <f t="shared" si="23"/>
        <v>#NUM!</v>
      </c>
      <c r="AA146" s="82" t="str">
        <f t="shared" si="19"/>
        <v>Pin Noir d'Autriche_F2_PO2_d4_GSM Alpes du Sud_15_</v>
      </c>
      <c r="AB146" s="79">
        <v>15</v>
      </c>
      <c r="AC146" s="82" t="e">
        <f t="shared" si="22"/>
        <v>#NUM!</v>
      </c>
      <c r="AD146" s="86" t="e">
        <f t="shared" si="20"/>
        <v>#NUM!</v>
      </c>
      <c r="AE146" s="81"/>
    </row>
    <row r="147" spans="1:31" hidden="1" x14ac:dyDescent="0.25">
      <c r="A147" s="79" t="s">
        <v>231</v>
      </c>
      <c r="B147" s="79" t="s">
        <v>10</v>
      </c>
      <c r="C147" s="79" t="s">
        <v>233</v>
      </c>
      <c r="D147" s="89" t="s">
        <v>227</v>
      </c>
      <c r="E147" s="79">
        <v>129</v>
      </c>
      <c r="F147" s="79">
        <v>45</v>
      </c>
      <c r="G147" s="79">
        <v>13.8</v>
      </c>
      <c r="H147" s="83">
        <v>1070</v>
      </c>
      <c r="I147" s="83">
        <v>29</v>
      </c>
      <c r="J147" s="83"/>
      <c r="K147" s="83">
        <v>22</v>
      </c>
      <c r="L147" s="83"/>
      <c r="M147" s="84"/>
      <c r="N147" s="84"/>
      <c r="O147" s="84">
        <v>70</v>
      </c>
      <c r="P147" s="85">
        <v>625</v>
      </c>
      <c r="Q147" s="85">
        <v>19</v>
      </c>
      <c r="R147" s="85"/>
      <c r="S147" s="85"/>
      <c r="T147" s="80"/>
      <c r="U147" s="80"/>
      <c r="V147" s="81" t="str">
        <f>+IF(I147=0,"ap","av_ap")</f>
        <v>av_ap</v>
      </c>
      <c r="W147" s="81">
        <f>+VLOOKUP(A147,infradensité!$A$2:$B$67,2,FALSE)</f>
        <v>0.46</v>
      </c>
      <c r="X147" s="81">
        <v>1.3</v>
      </c>
      <c r="Y147" s="82">
        <f t="shared" si="21"/>
        <v>0</v>
      </c>
      <c r="Z147" s="82" t="e">
        <f t="shared" si="23"/>
        <v>#NUM!</v>
      </c>
      <c r="AA147" s="82" t="str">
        <f t="shared" si="19"/>
        <v>Pin Noir d'Autriche_F2_PO2_d4_GSM Alpes du Sud_45_</v>
      </c>
      <c r="AB147" s="79">
        <v>45</v>
      </c>
      <c r="AC147" s="82" t="e">
        <f t="shared" si="22"/>
        <v>#NUM!</v>
      </c>
      <c r="AD147" s="86" t="e">
        <f t="shared" si="20"/>
        <v>#NUM!</v>
      </c>
      <c r="AE147" s="81"/>
    </row>
    <row r="148" spans="1:31" hidden="1" x14ac:dyDescent="0.25">
      <c r="A148" s="79" t="s">
        <v>231</v>
      </c>
      <c r="B148" s="79" t="s">
        <v>10</v>
      </c>
      <c r="C148" s="79" t="s">
        <v>233</v>
      </c>
      <c r="D148" s="89" t="s">
        <v>227</v>
      </c>
      <c r="E148" s="79">
        <v>129</v>
      </c>
      <c r="F148" s="79">
        <v>45</v>
      </c>
      <c r="G148" s="79">
        <v>13.8</v>
      </c>
      <c r="H148" s="85">
        <v>625</v>
      </c>
      <c r="I148" s="85">
        <v>19</v>
      </c>
      <c r="J148" s="83"/>
      <c r="K148" s="83"/>
      <c r="L148" s="83"/>
      <c r="M148" s="84"/>
      <c r="N148" s="84"/>
      <c r="O148" s="84"/>
      <c r="P148" s="85"/>
      <c r="Q148" s="85"/>
      <c r="R148" s="85"/>
      <c r="S148" s="85"/>
      <c r="T148" s="80"/>
      <c r="U148" s="80"/>
      <c r="V148" s="81" t="s">
        <v>53</v>
      </c>
      <c r="W148" s="81">
        <f>+VLOOKUP(A148,infradensité!$A$2:$B$67,2,FALSE)</f>
        <v>0.46</v>
      </c>
      <c r="X148" s="81">
        <v>1.3</v>
      </c>
      <c r="Y148" s="82">
        <f t="shared" si="21"/>
        <v>0</v>
      </c>
      <c r="Z148" s="82" t="e">
        <f t="shared" si="23"/>
        <v>#NUM!</v>
      </c>
      <c r="AA148" s="82" t="str">
        <f t="shared" si="19"/>
        <v>Pin Noir d'Autriche_F2_PO2_d4_GSM Alpes du Sud_45_</v>
      </c>
      <c r="AB148" s="79">
        <v>45</v>
      </c>
      <c r="AC148" s="82" t="e">
        <f t="shared" si="22"/>
        <v>#NUM!</v>
      </c>
      <c r="AD148" s="86" t="e">
        <f t="shared" si="20"/>
        <v>#NUM!</v>
      </c>
      <c r="AE148" s="81"/>
    </row>
    <row r="149" spans="1:31" hidden="1" x14ac:dyDescent="0.25">
      <c r="A149" s="79" t="s">
        <v>231</v>
      </c>
      <c r="B149" s="79" t="s">
        <v>10</v>
      </c>
      <c r="C149" s="79" t="s">
        <v>233</v>
      </c>
      <c r="D149" s="89" t="s">
        <v>227</v>
      </c>
      <c r="E149" s="79">
        <v>129</v>
      </c>
      <c r="F149" s="79">
        <v>60</v>
      </c>
      <c r="G149" s="79">
        <v>16.7</v>
      </c>
      <c r="H149" s="83">
        <v>620</v>
      </c>
      <c r="I149" s="83">
        <v>30</v>
      </c>
      <c r="J149" s="83"/>
      <c r="K149" s="83">
        <v>28</v>
      </c>
      <c r="L149" s="83"/>
      <c r="M149" s="84"/>
      <c r="N149" s="84"/>
      <c r="O149" s="84">
        <v>75</v>
      </c>
      <c r="P149" s="85">
        <v>400</v>
      </c>
      <c r="Q149" s="85">
        <v>21</v>
      </c>
      <c r="R149" s="85"/>
      <c r="S149" s="85"/>
      <c r="T149" s="80"/>
      <c r="U149" s="80"/>
      <c r="V149" s="81" t="str">
        <f>+IF(I149=0,"ap","av_ap")</f>
        <v>av_ap</v>
      </c>
      <c r="W149" s="81">
        <f>+VLOOKUP(A149,infradensité!$A$2:$B$67,2,FALSE)</f>
        <v>0.46</v>
      </c>
      <c r="X149" s="81">
        <v>1.3</v>
      </c>
      <c r="Y149" s="82">
        <f t="shared" si="21"/>
        <v>0</v>
      </c>
      <c r="Z149" s="82" t="e">
        <f t="shared" si="23"/>
        <v>#NUM!</v>
      </c>
      <c r="AA149" s="82" t="str">
        <f t="shared" si="19"/>
        <v>Pin Noir d'Autriche_F2_PO2_d4_GSM Alpes du Sud_60_</v>
      </c>
      <c r="AB149" s="79">
        <v>60</v>
      </c>
      <c r="AC149" s="82" t="e">
        <f t="shared" si="22"/>
        <v>#NUM!</v>
      </c>
      <c r="AD149" s="86" t="e">
        <f t="shared" si="20"/>
        <v>#NUM!</v>
      </c>
      <c r="AE149" s="81"/>
    </row>
    <row r="150" spans="1:31" hidden="1" x14ac:dyDescent="0.25">
      <c r="A150" s="79" t="s">
        <v>231</v>
      </c>
      <c r="B150" s="79" t="s">
        <v>10</v>
      </c>
      <c r="C150" s="79" t="s">
        <v>233</v>
      </c>
      <c r="D150" s="89" t="s">
        <v>227</v>
      </c>
      <c r="E150" s="79">
        <v>129</v>
      </c>
      <c r="F150" s="79">
        <v>60</v>
      </c>
      <c r="G150" s="79">
        <v>16.7</v>
      </c>
      <c r="H150" s="85">
        <v>400</v>
      </c>
      <c r="I150" s="85">
        <v>21</v>
      </c>
      <c r="J150" s="83"/>
      <c r="K150" s="83"/>
      <c r="L150" s="83"/>
      <c r="M150" s="84"/>
      <c r="N150" s="84"/>
      <c r="O150" s="84"/>
      <c r="P150" s="85"/>
      <c r="Q150" s="85"/>
      <c r="R150" s="85"/>
      <c r="S150" s="85"/>
      <c r="T150" s="80"/>
      <c r="U150" s="80"/>
      <c r="V150" s="81" t="s">
        <v>53</v>
      </c>
      <c r="W150" s="81">
        <f>+VLOOKUP(A150,infradensité!$A$2:$B$67,2,FALSE)</f>
        <v>0.46</v>
      </c>
      <c r="X150" s="81">
        <v>1.3</v>
      </c>
      <c r="Y150" s="82">
        <f t="shared" si="21"/>
        <v>0</v>
      </c>
      <c r="Z150" s="82" t="e">
        <f t="shared" si="23"/>
        <v>#NUM!</v>
      </c>
      <c r="AA150" s="82" t="str">
        <f t="shared" si="19"/>
        <v>Pin Noir d'Autriche_F2_PO2_d4_GSM Alpes du Sud_60_</v>
      </c>
      <c r="AB150" s="79">
        <v>60</v>
      </c>
      <c r="AC150" s="82" t="e">
        <f t="shared" si="22"/>
        <v>#NUM!</v>
      </c>
      <c r="AD150" s="86" t="e">
        <f t="shared" si="20"/>
        <v>#NUM!</v>
      </c>
      <c r="AE150" s="81"/>
    </row>
    <row r="151" spans="1:31" hidden="1" x14ac:dyDescent="0.25">
      <c r="A151" s="79" t="s">
        <v>231</v>
      </c>
      <c r="B151" s="79" t="s">
        <v>10</v>
      </c>
      <c r="C151" s="79" t="s">
        <v>233</v>
      </c>
      <c r="D151" s="89" t="s">
        <v>227</v>
      </c>
      <c r="E151" s="79">
        <v>129</v>
      </c>
      <c r="F151" s="79">
        <v>75</v>
      </c>
      <c r="G151" s="79">
        <v>18.600000000000001</v>
      </c>
      <c r="H151" s="83">
        <v>400</v>
      </c>
      <c r="I151" s="83">
        <v>30</v>
      </c>
      <c r="J151" s="83"/>
      <c r="K151" s="83">
        <v>35</v>
      </c>
      <c r="L151" s="83"/>
      <c r="M151" s="84"/>
      <c r="N151" s="84"/>
      <c r="O151" s="84">
        <v>73</v>
      </c>
      <c r="P151" s="85">
        <v>275</v>
      </c>
      <c r="Q151" s="85">
        <v>22</v>
      </c>
      <c r="R151" s="85"/>
      <c r="S151" s="85"/>
      <c r="T151" s="80"/>
      <c r="U151" s="80"/>
      <c r="V151" s="81" t="str">
        <f>+IF(I151=0,"ap","av_ap")</f>
        <v>av_ap</v>
      </c>
      <c r="W151" s="81">
        <f>+VLOOKUP(A151,infradensité!$A$2:$B$67,2,FALSE)</f>
        <v>0.46</v>
      </c>
      <c r="X151" s="81">
        <v>1.3</v>
      </c>
      <c r="Y151" s="82">
        <f t="shared" si="21"/>
        <v>0</v>
      </c>
      <c r="Z151" s="82" t="e">
        <f t="shared" si="23"/>
        <v>#NUM!</v>
      </c>
      <c r="AA151" s="82" t="str">
        <f t="shared" si="19"/>
        <v>Pin Noir d'Autriche_F2_PO2_d4_GSM Alpes du Sud_75_</v>
      </c>
      <c r="AB151" s="79">
        <v>75</v>
      </c>
      <c r="AC151" s="82" t="e">
        <f t="shared" si="22"/>
        <v>#NUM!</v>
      </c>
      <c r="AD151" s="86" t="e">
        <f t="shared" si="20"/>
        <v>#NUM!</v>
      </c>
      <c r="AE151" s="81"/>
    </row>
    <row r="152" spans="1:31" hidden="1" x14ac:dyDescent="0.25">
      <c r="A152" s="79" t="s">
        <v>231</v>
      </c>
      <c r="B152" s="79" t="s">
        <v>10</v>
      </c>
      <c r="C152" s="79" t="s">
        <v>233</v>
      </c>
      <c r="D152" s="89" t="s">
        <v>227</v>
      </c>
      <c r="E152" s="79">
        <v>129</v>
      </c>
      <c r="F152" s="79">
        <v>75</v>
      </c>
      <c r="G152" s="79">
        <v>18.600000000000001</v>
      </c>
      <c r="H152" s="85">
        <v>275</v>
      </c>
      <c r="I152" s="85">
        <v>22</v>
      </c>
      <c r="J152" s="83"/>
      <c r="K152" s="83"/>
      <c r="L152" s="83"/>
      <c r="M152" s="84"/>
      <c r="N152" s="84"/>
      <c r="O152" s="84"/>
      <c r="P152" s="85"/>
      <c r="Q152" s="85"/>
      <c r="R152" s="85"/>
      <c r="S152" s="85"/>
      <c r="T152" s="80"/>
      <c r="U152" s="80"/>
      <c r="V152" s="81" t="s">
        <v>53</v>
      </c>
      <c r="W152" s="81">
        <f>+VLOOKUP(A152,infradensité!$A$2:$B$67,2,FALSE)</f>
        <v>0.46</v>
      </c>
      <c r="X152" s="81">
        <v>1.3</v>
      </c>
      <c r="Y152" s="82">
        <f t="shared" si="21"/>
        <v>0</v>
      </c>
      <c r="Z152" s="82" t="e">
        <f t="shared" si="23"/>
        <v>#NUM!</v>
      </c>
      <c r="AA152" s="82" t="str">
        <f t="shared" si="19"/>
        <v>Pin Noir d'Autriche_F2_PO2_d4_GSM Alpes du Sud_75_</v>
      </c>
      <c r="AB152" s="79">
        <v>75</v>
      </c>
      <c r="AC152" s="82" t="e">
        <f t="shared" si="22"/>
        <v>#NUM!</v>
      </c>
      <c r="AD152" s="86" t="e">
        <f t="shared" si="20"/>
        <v>#NUM!</v>
      </c>
      <c r="AE152" s="81"/>
    </row>
    <row r="153" spans="1:31" hidden="1" x14ac:dyDescent="0.25">
      <c r="A153" s="79" t="s">
        <v>231</v>
      </c>
      <c r="B153" s="79" t="s">
        <v>10</v>
      </c>
      <c r="C153" s="79" t="s">
        <v>233</v>
      </c>
      <c r="D153" s="89" t="s">
        <v>227</v>
      </c>
      <c r="E153" s="79">
        <v>129</v>
      </c>
      <c r="F153" s="79">
        <v>90</v>
      </c>
      <c r="G153" s="79">
        <v>19.899999999999999</v>
      </c>
      <c r="H153" s="83">
        <v>275</v>
      </c>
      <c r="I153" s="83">
        <v>32</v>
      </c>
      <c r="J153" s="83"/>
      <c r="K153" s="83">
        <v>42</v>
      </c>
      <c r="L153" s="83"/>
      <c r="M153" s="84"/>
      <c r="N153" s="84"/>
      <c r="O153" s="84">
        <v>69</v>
      </c>
      <c r="P153" s="85">
        <v>200</v>
      </c>
      <c r="Q153" s="85">
        <v>24</v>
      </c>
      <c r="R153" s="85"/>
      <c r="S153" s="85"/>
      <c r="T153" s="80"/>
      <c r="U153" s="80"/>
      <c r="V153" s="81" t="str">
        <f>+IF(I153=0,"ap","av_ap")</f>
        <v>av_ap</v>
      </c>
      <c r="W153" s="81">
        <f>+VLOOKUP(A153,infradensité!$A$2:$B$67,2,FALSE)</f>
        <v>0.46</v>
      </c>
      <c r="X153" s="81">
        <v>1.3</v>
      </c>
      <c r="Y153" s="82">
        <f t="shared" si="21"/>
        <v>0</v>
      </c>
      <c r="Z153" s="82" t="e">
        <f t="shared" si="23"/>
        <v>#NUM!</v>
      </c>
      <c r="AA153" s="82" t="str">
        <f t="shared" si="19"/>
        <v>Pin Noir d'Autriche_F2_PO2_d4_GSM Alpes du Sud_90_</v>
      </c>
      <c r="AB153" s="79">
        <v>90</v>
      </c>
      <c r="AC153" s="82" t="e">
        <f t="shared" si="22"/>
        <v>#NUM!</v>
      </c>
      <c r="AD153" s="86" t="e">
        <f t="shared" si="20"/>
        <v>#NUM!</v>
      </c>
      <c r="AE153" s="81"/>
    </row>
    <row r="154" spans="1:31" hidden="1" x14ac:dyDescent="0.25">
      <c r="A154" s="79" t="s">
        <v>231</v>
      </c>
      <c r="B154" s="79" t="s">
        <v>10</v>
      </c>
      <c r="C154" s="79" t="s">
        <v>233</v>
      </c>
      <c r="D154" s="89" t="s">
        <v>227</v>
      </c>
      <c r="E154" s="79">
        <v>129</v>
      </c>
      <c r="F154" s="79">
        <v>90</v>
      </c>
      <c r="G154" s="79">
        <v>19.899999999999999</v>
      </c>
      <c r="H154" s="85">
        <v>200</v>
      </c>
      <c r="I154" s="85">
        <v>24</v>
      </c>
      <c r="J154" s="83"/>
      <c r="K154" s="83"/>
      <c r="L154" s="83"/>
      <c r="M154" s="84"/>
      <c r="N154" s="84"/>
      <c r="O154" s="84"/>
      <c r="P154" s="85"/>
      <c r="Q154" s="85"/>
      <c r="R154" s="85"/>
      <c r="S154" s="85"/>
      <c r="T154" s="80"/>
      <c r="U154" s="80"/>
      <c r="V154" s="81" t="s">
        <v>53</v>
      </c>
      <c r="W154" s="81">
        <f>+VLOOKUP(A154,infradensité!$A$2:$B$67,2,FALSE)</f>
        <v>0.46</v>
      </c>
      <c r="X154" s="81">
        <v>1.3</v>
      </c>
      <c r="Y154" s="82">
        <f t="shared" si="21"/>
        <v>0</v>
      </c>
      <c r="Z154" s="82" t="e">
        <f t="shared" si="23"/>
        <v>#NUM!</v>
      </c>
      <c r="AA154" s="82" t="str">
        <f t="shared" si="19"/>
        <v>Pin Noir d'Autriche_F2_PO2_d4_GSM Alpes du Sud_90_</v>
      </c>
      <c r="AB154" s="79">
        <v>90</v>
      </c>
      <c r="AC154" s="82" t="e">
        <f t="shared" si="22"/>
        <v>#NUM!</v>
      </c>
      <c r="AD154" s="86" t="e">
        <f t="shared" si="20"/>
        <v>#NUM!</v>
      </c>
      <c r="AE154" s="81"/>
    </row>
    <row r="155" spans="1:31" hidden="1" x14ac:dyDescent="0.25">
      <c r="A155" s="79" t="s">
        <v>231</v>
      </c>
      <c r="B155" s="79" t="s">
        <v>10</v>
      </c>
      <c r="C155" s="79" t="s">
        <v>233</v>
      </c>
      <c r="D155" s="89" t="s">
        <v>227</v>
      </c>
      <c r="E155" s="79">
        <v>129</v>
      </c>
      <c r="F155" s="79">
        <v>100</v>
      </c>
      <c r="G155" s="79">
        <v>20.399999999999999</v>
      </c>
      <c r="H155" s="83">
        <v>200</v>
      </c>
      <c r="I155" s="83">
        <v>30</v>
      </c>
      <c r="J155" s="83"/>
      <c r="K155" s="83">
        <v>47</v>
      </c>
      <c r="L155" s="83"/>
      <c r="M155" s="84"/>
      <c r="N155" s="84"/>
      <c r="O155" s="84">
        <v>98</v>
      </c>
      <c r="P155" s="85">
        <v>125</v>
      </c>
      <c r="Q155" s="85">
        <v>20</v>
      </c>
      <c r="R155" s="85"/>
      <c r="S155" s="85"/>
      <c r="T155" s="80"/>
      <c r="U155" s="80"/>
      <c r="V155" s="81" t="str">
        <f>+IF(I155=0,"ap","av_ap")</f>
        <v>av_ap</v>
      </c>
      <c r="W155" s="81">
        <f>+VLOOKUP(A155,infradensité!$A$2:$B$67,2,FALSE)</f>
        <v>0.46</v>
      </c>
      <c r="X155" s="81">
        <v>1.3</v>
      </c>
      <c r="Y155" s="82">
        <f t="shared" si="21"/>
        <v>0</v>
      </c>
      <c r="Z155" s="82" t="e">
        <f t="shared" si="23"/>
        <v>#NUM!</v>
      </c>
      <c r="AA155" s="82" t="str">
        <f t="shared" si="19"/>
        <v>Pin Noir d'Autriche_F2_PO2_d4_GSM Alpes du Sud_100_</v>
      </c>
      <c r="AB155" s="79">
        <v>100</v>
      </c>
      <c r="AC155" s="82" t="e">
        <f t="shared" si="22"/>
        <v>#NUM!</v>
      </c>
      <c r="AD155" s="86" t="e">
        <f t="shared" si="20"/>
        <v>#NUM!</v>
      </c>
      <c r="AE155" s="81"/>
    </row>
    <row r="156" spans="1:31" hidden="1" x14ac:dyDescent="0.25">
      <c r="A156" s="79" t="s">
        <v>231</v>
      </c>
      <c r="B156" s="79" t="s">
        <v>10</v>
      </c>
      <c r="C156" s="79" t="s">
        <v>233</v>
      </c>
      <c r="D156" s="89" t="s">
        <v>227</v>
      </c>
      <c r="E156" s="79">
        <v>129</v>
      </c>
      <c r="F156" s="79">
        <v>100</v>
      </c>
      <c r="G156" s="79">
        <v>20.399999999999999</v>
      </c>
      <c r="H156" s="85">
        <v>125</v>
      </c>
      <c r="I156" s="85">
        <v>20</v>
      </c>
      <c r="J156" s="83"/>
      <c r="K156" s="83"/>
      <c r="L156" s="83"/>
      <c r="M156" s="84"/>
      <c r="N156" s="84"/>
      <c r="O156" s="84"/>
      <c r="P156" s="85"/>
      <c r="Q156" s="85"/>
      <c r="R156" s="85"/>
      <c r="S156" s="85"/>
      <c r="T156" s="80"/>
      <c r="U156" s="80"/>
      <c r="V156" s="81" t="s">
        <v>53</v>
      </c>
      <c r="W156" s="81">
        <f>+VLOOKUP(A156,infradensité!$A$2:$B$67,2,FALSE)</f>
        <v>0.46</v>
      </c>
      <c r="X156" s="81">
        <v>1.3</v>
      </c>
      <c r="Y156" s="82">
        <f t="shared" si="21"/>
        <v>0</v>
      </c>
      <c r="Z156" s="82" t="e">
        <f t="shared" si="23"/>
        <v>#NUM!</v>
      </c>
      <c r="AA156" s="82" t="str">
        <f t="shared" si="19"/>
        <v>Pin Noir d'Autriche_F2_PO2_d4_GSM Alpes du Sud_100_</v>
      </c>
      <c r="AB156" s="79">
        <v>100</v>
      </c>
      <c r="AC156" s="82" t="e">
        <f t="shared" si="22"/>
        <v>#NUM!</v>
      </c>
      <c r="AD156" s="86" t="e">
        <f t="shared" si="20"/>
        <v>#NUM!</v>
      </c>
      <c r="AE156" s="81"/>
    </row>
    <row r="157" spans="1:31" hidden="1" x14ac:dyDescent="0.25">
      <c r="A157" s="79" t="s">
        <v>231</v>
      </c>
      <c r="B157" s="79" t="s">
        <v>10</v>
      </c>
      <c r="C157" s="79" t="s">
        <v>233</v>
      </c>
      <c r="D157" s="89" t="s">
        <v>227</v>
      </c>
      <c r="E157" s="79">
        <v>129</v>
      </c>
      <c r="F157" s="79">
        <v>110</v>
      </c>
      <c r="G157" s="79">
        <v>20.9</v>
      </c>
      <c r="H157" s="83">
        <v>125</v>
      </c>
      <c r="I157" s="83">
        <v>25</v>
      </c>
      <c r="J157" s="83"/>
      <c r="K157" s="83">
        <v>52</v>
      </c>
      <c r="L157" s="83"/>
      <c r="M157" s="84"/>
      <c r="N157" s="84"/>
      <c r="O157" s="84">
        <v>236</v>
      </c>
      <c r="P157" s="85">
        <v>0</v>
      </c>
      <c r="Q157" s="85">
        <v>0</v>
      </c>
      <c r="R157" s="85"/>
      <c r="S157" s="85"/>
      <c r="T157" s="80"/>
      <c r="U157" s="80"/>
      <c r="V157" s="81" t="str">
        <f>+IF(I157=0,"ap","av_ap")</f>
        <v>av_ap</v>
      </c>
      <c r="W157" s="81">
        <f>+VLOOKUP(A157,infradensité!$A$2:$B$67,2,FALSE)</f>
        <v>0.46</v>
      </c>
      <c r="X157" s="81">
        <v>1.3</v>
      </c>
      <c r="Y157" s="82">
        <f t="shared" si="21"/>
        <v>0</v>
      </c>
      <c r="Z157" s="82" t="e">
        <f t="shared" si="23"/>
        <v>#NUM!</v>
      </c>
      <c r="AA157" s="82" t="str">
        <f t="shared" si="19"/>
        <v>Pin Noir d'Autriche_F2_PO2_d4_GSM Alpes du Sud_110_</v>
      </c>
      <c r="AB157" s="79">
        <v>110</v>
      </c>
      <c r="AC157" s="82" t="e">
        <f t="shared" si="22"/>
        <v>#NUM!</v>
      </c>
      <c r="AD157" s="86" t="e">
        <f t="shared" si="20"/>
        <v>#NUM!</v>
      </c>
      <c r="AE157" s="81"/>
    </row>
    <row r="158" spans="1:31" hidden="1" x14ac:dyDescent="0.25">
      <c r="A158" s="79" t="s">
        <v>231</v>
      </c>
      <c r="B158" s="79" t="s">
        <v>10</v>
      </c>
      <c r="C158" s="79" t="s">
        <v>233</v>
      </c>
      <c r="D158" s="89" t="s">
        <v>227</v>
      </c>
      <c r="E158" s="79">
        <v>129</v>
      </c>
      <c r="F158" s="79">
        <v>110</v>
      </c>
      <c r="G158" s="79">
        <v>20.9</v>
      </c>
      <c r="H158" s="85">
        <v>0</v>
      </c>
      <c r="I158" s="85">
        <v>0</v>
      </c>
      <c r="J158" s="83"/>
      <c r="K158" s="83"/>
      <c r="L158" s="83"/>
      <c r="M158" s="84"/>
      <c r="N158" s="84"/>
      <c r="O158" s="84"/>
      <c r="P158" s="85"/>
      <c r="Q158" s="85"/>
      <c r="R158" s="85"/>
      <c r="S158" s="85"/>
      <c r="T158" s="80"/>
      <c r="U158" s="80"/>
      <c r="V158" s="81" t="s">
        <v>53</v>
      </c>
      <c r="W158" s="81">
        <f>+VLOOKUP(A158,infradensité!$A$2:$B$67,2,FALSE)</f>
        <v>0.46</v>
      </c>
      <c r="X158" s="81">
        <v>1.3</v>
      </c>
      <c r="Y158" s="82">
        <f t="shared" si="21"/>
        <v>0</v>
      </c>
      <c r="Z158" s="82" t="e">
        <f t="shared" si="23"/>
        <v>#NUM!</v>
      </c>
      <c r="AA158" s="82" t="str">
        <f t="shared" si="19"/>
        <v>Pin Noir d'Autriche_F2_PO2_d4_GSM Alpes du Sud_110_</v>
      </c>
      <c r="AB158" s="79">
        <v>110</v>
      </c>
      <c r="AC158" s="82" t="e">
        <f t="shared" si="22"/>
        <v>#NUM!</v>
      </c>
      <c r="AD158" s="86" t="e">
        <f t="shared" si="20"/>
        <v>#NUM!</v>
      </c>
      <c r="AE158" s="81"/>
    </row>
    <row r="159" spans="1:31" hidden="1" x14ac:dyDescent="0.25">
      <c r="A159" s="86" t="s">
        <v>234</v>
      </c>
      <c r="B159" s="86" t="s">
        <v>9</v>
      </c>
      <c r="C159" s="86" t="s">
        <v>18</v>
      </c>
      <c r="D159" s="87" t="s">
        <v>235</v>
      </c>
      <c r="E159" s="86">
        <v>333</v>
      </c>
      <c r="F159" s="86">
        <v>0</v>
      </c>
      <c r="G159" s="86">
        <v>10.5</v>
      </c>
      <c r="H159" s="86">
        <v>1600</v>
      </c>
      <c r="I159" s="86">
        <v>23.2</v>
      </c>
      <c r="J159" s="86">
        <v>0</v>
      </c>
      <c r="K159" s="86">
        <v>17</v>
      </c>
      <c r="L159" s="86">
        <v>14</v>
      </c>
      <c r="M159" s="86"/>
      <c r="N159" s="86"/>
      <c r="O159" s="86"/>
      <c r="P159" s="86"/>
      <c r="Q159" s="86"/>
      <c r="R159" s="86"/>
      <c r="S159" s="86"/>
      <c r="T159" s="86"/>
      <c r="U159" s="86"/>
      <c r="V159" s="86" t="str">
        <f>+IF(I159=0,"ap","av_ap")</f>
        <v>av_ap</v>
      </c>
      <c r="W159" s="86">
        <f>+VLOOKUP(A159,infradensité!$A$2:$B$67,2,FALSE)</f>
        <v>0.46</v>
      </c>
      <c r="X159" s="86">
        <v>1.3</v>
      </c>
      <c r="Y159" s="88">
        <f t="shared" si="21"/>
        <v>0</v>
      </c>
      <c r="Z159" s="88">
        <v>0</v>
      </c>
      <c r="AA159" s="88" t="str">
        <f t="shared" si="19"/>
        <v>Pin Laricio_F1_Classique_GS Pineraies des plaines du Centre et du Nord Ouest_0_</v>
      </c>
      <c r="AB159" s="86">
        <v>0</v>
      </c>
      <c r="AC159" s="88">
        <f t="shared" si="22"/>
        <v>0</v>
      </c>
      <c r="AD159" s="86">
        <f t="shared" si="20"/>
        <v>0</v>
      </c>
      <c r="AE159" s="86">
        <f>+SUM($AD$159:$AD$181)/$AB$181</f>
        <v>562.89039794965186</v>
      </c>
    </row>
    <row r="160" spans="1:31" hidden="1" x14ac:dyDescent="0.25">
      <c r="A160" s="79" t="s">
        <v>234</v>
      </c>
      <c r="B160" s="79" t="s">
        <v>9</v>
      </c>
      <c r="C160" s="79" t="s">
        <v>18</v>
      </c>
      <c r="D160" s="89" t="s">
        <v>235</v>
      </c>
      <c r="E160" s="79">
        <v>333</v>
      </c>
      <c r="F160" s="79">
        <v>17</v>
      </c>
      <c r="G160" s="79">
        <v>10.5</v>
      </c>
      <c r="H160" s="83">
        <v>1600</v>
      </c>
      <c r="I160" s="83">
        <v>23.2</v>
      </c>
      <c r="J160" s="83">
        <v>103</v>
      </c>
      <c r="K160" s="83">
        <v>17</v>
      </c>
      <c r="L160" s="83">
        <v>14</v>
      </c>
      <c r="M160" s="84"/>
      <c r="N160" s="84"/>
      <c r="O160" s="84"/>
      <c r="P160" s="85"/>
      <c r="Q160" s="85"/>
      <c r="R160" s="85"/>
      <c r="S160" s="85"/>
      <c r="T160" s="80"/>
      <c r="U160" s="80"/>
      <c r="V160" s="81" t="str">
        <f>+IF(I160=0,"ap","av_ap")</f>
        <v>av_ap</v>
      </c>
      <c r="W160" s="81">
        <f>+VLOOKUP(A160,infradensité!$A$2:$B$67,2,FALSE)</f>
        <v>0.46</v>
      </c>
      <c r="X160" s="81">
        <v>1.3</v>
      </c>
      <c r="Y160" s="82">
        <f t="shared" si="21"/>
        <v>61.594000000000008</v>
      </c>
      <c r="Z160" s="82">
        <f t="shared" si="23"/>
        <v>17.570665168564613</v>
      </c>
      <c r="AA160" s="82" t="str">
        <f t="shared" si="19"/>
        <v>Pin Laricio_F1_Classique_GS Pineraies des plaines du Centre et du Nord Ouest_17_</v>
      </c>
      <c r="AB160" s="79">
        <v>17</v>
      </c>
      <c r="AC160" s="82">
        <f t="shared" si="22"/>
        <v>137.8784585019167</v>
      </c>
      <c r="AD160" s="86">
        <f t="shared" si="20"/>
        <v>1171.9668972662919</v>
      </c>
      <c r="AE160" s="86">
        <f t="shared" ref="AE160:AE181" si="24">+SUM($AD$159:$AD$181)/$AB$181</f>
        <v>562.89039794965186</v>
      </c>
    </row>
    <row r="161" spans="1:31" hidden="1" x14ac:dyDescent="0.25">
      <c r="A161" s="79" t="s">
        <v>234</v>
      </c>
      <c r="B161" s="79" t="s">
        <v>9</v>
      </c>
      <c r="C161" s="79" t="s">
        <v>18</v>
      </c>
      <c r="D161" s="89" t="s">
        <v>235</v>
      </c>
      <c r="E161" s="79">
        <v>333</v>
      </c>
      <c r="F161" s="79">
        <v>17</v>
      </c>
      <c r="G161" s="79">
        <v>10.5</v>
      </c>
      <c r="H161" s="83"/>
      <c r="I161" s="83"/>
      <c r="J161" s="83"/>
      <c r="K161" s="83"/>
      <c r="L161" s="83"/>
      <c r="M161" s="84"/>
      <c r="N161" s="84"/>
      <c r="O161" s="84"/>
      <c r="P161" s="85"/>
      <c r="Q161" s="85"/>
      <c r="R161" s="85"/>
      <c r="S161" s="85"/>
      <c r="T161" s="80"/>
      <c r="U161" s="80"/>
      <c r="V161" s="81" t="s">
        <v>53</v>
      </c>
      <c r="W161" s="81">
        <f>+VLOOKUP(A161,infradensité!$A$2:$B$67,2,FALSE)</f>
        <v>0.46</v>
      </c>
      <c r="X161" s="81">
        <v>1.3</v>
      </c>
      <c r="Y161" s="82">
        <f t="shared" si="21"/>
        <v>0</v>
      </c>
      <c r="Z161" s="82" t="e">
        <f t="shared" si="23"/>
        <v>#NUM!</v>
      </c>
      <c r="AA161" s="82" t="str">
        <f t="shared" si="19"/>
        <v>Pin Laricio_F1_Classique_GS Pineraies des plaines du Centre et du Nord Ouest__</v>
      </c>
      <c r="AB161" s="86"/>
      <c r="AC161" s="88"/>
      <c r="AD161" s="86">
        <f t="shared" si="20"/>
        <v>0</v>
      </c>
      <c r="AE161" s="86">
        <f t="shared" si="24"/>
        <v>562.89039794965186</v>
      </c>
    </row>
    <row r="162" spans="1:31" hidden="1" x14ac:dyDescent="0.25">
      <c r="A162" s="79" t="s">
        <v>234</v>
      </c>
      <c r="B162" s="79" t="s">
        <v>9</v>
      </c>
      <c r="C162" s="79" t="s">
        <v>18</v>
      </c>
      <c r="D162" s="89" t="s">
        <v>235</v>
      </c>
      <c r="E162" s="79">
        <v>333</v>
      </c>
      <c r="F162" s="79">
        <v>18</v>
      </c>
      <c r="G162" s="79">
        <v>11.3</v>
      </c>
      <c r="H162" s="83">
        <v>1597</v>
      </c>
      <c r="I162" s="83">
        <v>11.3</v>
      </c>
      <c r="J162" s="83">
        <v>127</v>
      </c>
      <c r="K162" s="83">
        <v>18</v>
      </c>
      <c r="L162" s="83">
        <v>15</v>
      </c>
      <c r="M162" s="84">
        <v>595</v>
      </c>
      <c r="N162" s="84">
        <v>9.3000000000000007</v>
      </c>
      <c r="O162" s="84">
        <v>45</v>
      </c>
      <c r="P162" s="85">
        <v>1001</v>
      </c>
      <c r="Q162" s="85">
        <v>16.7</v>
      </c>
      <c r="R162" s="85"/>
      <c r="S162" s="85">
        <v>82</v>
      </c>
      <c r="T162" s="80"/>
      <c r="U162" s="80"/>
      <c r="V162" s="81" t="str">
        <f>+IF(I162=0,"ap","av_ap")</f>
        <v>av_ap</v>
      </c>
      <c r="W162" s="81">
        <f>+VLOOKUP(A162,infradensité!$A$2:$B$67,2,FALSE)</f>
        <v>0.46</v>
      </c>
      <c r="X162" s="81">
        <v>1.3</v>
      </c>
      <c r="Y162" s="82">
        <f t="shared" si="21"/>
        <v>75.946000000000012</v>
      </c>
      <c r="Z162" s="82">
        <f t="shared" si="23"/>
        <v>21.142979995226831</v>
      </c>
      <c r="AA162" s="82" t="str">
        <f t="shared" si="19"/>
        <v>Pin Laricio_F1_Classique_GS Pineraies des plaines du Centre et du Nord Ouest_18_</v>
      </c>
      <c r="AB162" s="79">
        <v>18</v>
      </c>
      <c r="AC162" s="82">
        <f t="shared" si="22"/>
        <v>169.09664015835344</v>
      </c>
      <c r="AD162" s="86">
        <f t="shared" si="20"/>
        <v>1521.869761425181</v>
      </c>
      <c r="AE162" s="86">
        <f t="shared" si="24"/>
        <v>562.89039794965186</v>
      </c>
    </row>
    <row r="163" spans="1:31" hidden="1" x14ac:dyDescent="0.25">
      <c r="A163" s="79" t="s">
        <v>234</v>
      </c>
      <c r="B163" s="79" t="s">
        <v>9</v>
      </c>
      <c r="C163" s="79" t="s">
        <v>18</v>
      </c>
      <c r="D163" s="89" t="s">
        <v>235</v>
      </c>
      <c r="E163" s="79">
        <v>333</v>
      </c>
      <c r="F163" s="79">
        <v>18</v>
      </c>
      <c r="G163" s="79">
        <v>11.3</v>
      </c>
      <c r="H163" s="85">
        <v>1001</v>
      </c>
      <c r="I163" s="85">
        <v>16.7</v>
      </c>
      <c r="J163" s="85">
        <v>82</v>
      </c>
      <c r="K163" s="85">
        <v>82</v>
      </c>
      <c r="L163" s="83"/>
      <c r="M163" s="84"/>
      <c r="N163" s="84"/>
      <c r="O163" s="84"/>
      <c r="P163" s="85"/>
      <c r="Q163" s="85"/>
      <c r="R163" s="85"/>
      <c r="S163" s="85"/>
      <c r="T163" s="80"/>
      <c r="U163" s="80"/>
      <c r="V163" s="81" t="s">
        <v>53</v>
      </c>
      <c r="W163" s="81">
        <f>+VLOOKUP(A163,infradensité!$A$2:$B$67,2,FALSE)</f>
        <v>0.46</v>
      </c>
      <c r="X163" s="81">
        <v>1.3</v>
      </c>
      <c r="Y163" s="82">
        <f t="shared" si="21"/>
        <v>49.036000000000008</v>
      </c>
      <c r="Z163" s="82">
        <f t="shared" si="23"/>
        <v>14.364521080802803</v>
      </c>
      <c r="AA163" s="82" t="str">
        <f t="shared" si="19"/>
        <v>Pin Laricio_F1_Classique_GS Pineraies des plaines du Centre et du Nord Ouest_18_</v>
      </c>
      <c r="AB163" s="79">
        <v>18</v>
      </c>
      <c r="AC163" s="82">
        <f t="shared" si="22"/>
        <v>110.42257421573156</v>
      </c>
      <c r="AD163" s="86">
        <f t="shared" si="20"/>
        <v>0</v>
      </c>
      <c r="AE163" s="86">
        <f t="shared" si="24"/>
        <v>562.89039794965186</v>
      </c>
    </row>
    <row r="164" spans="1:31" hidden="1" x14ac:dyDescent="0.25">
      <c r="A164" s="79" t="s">
        <v>234</v>
      </c>
      <c r="B164" s="79" t="s">
        <v>9</v>
      </c>
      <c r="C164" s="79" t="s">
        <v>18</v>
      </c>
      <c r="D164" s="89" t="s">
        <v>235</v>
      </c>
      <c r="E164" s="79">
        <v>333</v>
      </c>
      <c r="F164" s="79">
        <v>23</v>
      </c>
      <c r="G164" s="79">
        <v>14.6</v>
      </c>
      <c r="H164" s="83">
        <v>998</v>
      </c>
      <c r="I164" s="83">
        <v>14.6</v>
      </c>
      <c r="J164" s="83">
        <v>193</v>
      </c>
      <c r="K164" s="83">
        <v>23</v>
      </c>
      <c r="L164" s="83">
        <v>19</v>
      </c>
      <c r="M164" s="84">
        <v>298</v>
      </c>
      <c r="N164" s="84">
        <v>7.5</v>
      </c>
      <c r="O164" s="84">
        <v>51</v>
      </c>
      <c r="P164" s="85">
        <v>700</v>
      </c>
      <c r="Q164" s="85">
        <v>20.3</v>
      </c>
      <c r="R164" s="85"/>
      <c r="S164" s="85">
        <v>143</v>
      </c>
      <c r="T164" s="80"/>
      <c r="U164" s="80"/>
      <c r="V164" s="81" t="str">
        <f>+IF(I164=0,"ap","av_ap")</f>
        <v>av_ap</v>
      </c>
      <c r="W164" s="81">
        <f>+VLOOKUP(A164,infradensité!$A$2:$B$67,2,FALSE)</f>
        <v>0.46</v>
      </c>
      <c r="X164" s="81">
        <v>1.3</v>
      </c>
      <c r="Y164" s="82">
        <f t="shared" si="21"/>
        <v>115.41400000000002</v>
      </c>
      <c r="Z164" s="82">
        <f t="shared" si="23"/>
        <v>30.602976534547519</v>
      </c>
      <c r="AA164" s="82" t="str">
        <f t="shared" si="19"/>
        <v>Pin Laricio_F1_Classique_GS Pineraies des plaines du Centre et du Nord Ouest_23_</v>
      </c>
      <c r="AB164" s="79">
        <v>23</v>
      </c>
      <c r="AC164" s="82">
        <f t="shared" si="22"/>
        <v>254.31290079767027</v>
      </c>
      <c r="AD164" s="86">
        <f t="shared" si="20"/>
        <v>911.83868753350453</v>
      </c>
      <c r="AE164" s="86">
        <f t="shared" si="24"/>
        <v>562.89039794965186</v>
      </c>
    </row>
    <row r="165" spans="1:31" hidden="1" x14ac:dyDescent="0.25">
      <c r="A165" s="79" t="s">
        <v>234</v>
      </c>
      <c r="B165" s="79" t="s">
        <v>9</v>
      </c>
      <c r="C165" s="79" t="s">
        <v>18</v>
      </c>
      <c r="D165" s="89" t="s">
        <v>235</v>
      </c>
      <c r="E165" s="79">
        <v>333</v>
      </c>
      <c r="F165" s="79">
        <v>23</v>
      </c>
      <c r="G165" s="79">
        <v>14.6</v>
      </c>
      <c r="H165" s="85">
        <v>700</v>
      </c>
      <c r="I165" s="85">
        <v>20.3</v>
      </c>
      <c r="J165" s="85">
        <v>143</v>
      </c>
      <c r="K165" s="85">
        <v>143</v>
      </c>
      <c r="L165" s="83"/>
      <c r="M165" s="84"/>
      <c r="N165" s="84"/>
      <c r="O165" s="84"/>
      <c r="P165" s="85"/>
      <c r="Q165" s="85"/>
      <c r="R165" s="85"/>
      <c r="S165" s="85"/>
      <c r="T165" s="80"/>
      <c r="U165" s="80"/>
      <c r="V165" s="81" t="s">
        <v>53</v>
      </c>
      <c r="W165" s="81">
        <f>+VLOOKUP(A165,infradensité!$A$2:$B$67,2,FALSE)</f>
        <v>0.46</v>
      </c>
      <c r="X165" s="81">
        <v>1.3</v>
      </c>
      <c r="Y165" s="82">
        <f t="shared" si="21"/>
        <v>85.51400000000001</v>
      </c>
      <c r="Z165" s="82">
        <f t="shared" si="23"/>
        <v>23.480111436812177</v>
      </c>
      <c r="AA165" s="82" t="str">
        <f t="shared" si="19"/>
        <v>Pin Laricio_F1_Classique_GS Pineraies des plaines du Centre et du Nord Ouest_23_</v>
      </c>
      <c r="AB165" s="79">
        <v>23</v>
      </c>
      <c r="AC165" s="82">
        <f t="shared" si="22"/>
        <v>189.83141075244791</v>
      </c>
      <c r="AD165" s="86">
        <f t="shared" si="20"/>
        <v>0</v>
      </c>
      <c r="AE165" s="86">
        <f t="shared" si="24"/>
        <v>562.89039794965186</v>
      </c>
    </row>
    <row r="166" spans="1:31" hidden="1" x14ac:dyDescent="0.25">
      <c r="A166" s="79" t="s">
        <v>234</v>
      </c>
      <c r="B166" s="79" t="s">
        <v>9</v>
      </c>
      <c r="C166" s="79" t="s">
        <v>18</v>
      </c>
      <c r="D166" s="89" t="s">
        <v>235</v>
      </c>
      <c r="E166" s="79">
        <v>333</v>
      </c>
      <c r="F166" s="79">
        <v>29</v>
      </c>
      <c r="G166" s="79">
        <v>18.100000000000001</v>
      </c>
      <c r="H166" s="83">
        <v>697</v>
      </c>
      <c r="I166" s="83">
        <v>18.100000000000001</v>
      </c>
      <c r="J166" s="83">
        <v>285</v>
      </c>
      <c r="K166" s="83">
        <v>28</v>
      </c>
      <c r="L166" s="83">
        <v>24</v>
      </c>
      <c r="M166" s="84">
        <v>227</v>
      </c>
      <c r="N166" s="84">
        <v>8.6999999999999993</v>
      </c>
      <c r="O166" s="84">
        <v>77</v>
      </c>
      <c r="P166" s="85">
        <v>470</v>
      </c>
      <c r="Q166" s="85">
        <v>22.7</v>
      </c>
      <c r="R166" s="85"/>
      <c r="S166" s="85">
        <v>209</v>
      </c>
      <c r="T166" s="80"/>
      <c r="U166" s="80"/>
      <c r="V166" s="81" t="str">
        <f>+IF(I166=0,"ap","av_ap")</f>
        <v>av_ap</v>
      </c>
      <c r="W166" s="81">
        <f>+VLOOKUP(A166,infradensité!$A$2:$B$67,2,FALSE)</f>
        <v>0.46</v>
      </c>
      <c r="X166" s="81">
        <v>1.3</v>
      </c>
      <c r="Y166" s="82">
        <f t="shared" si="21"/>
        <v>170.43000000000004</v>
      </c>
      <c r="Z166" s="82">
        <f t="shared" si="23"/>
        <v>43.186315117079396</v>
      </c>
      <c r="AA166" s="82" t="str">
        <f t="shared" si="19"/>
        <v>Pin Laricio_F1_Classique_GS Pineraies des plaines du Centre et du Nord Ouest_29_</v>
      </c>
      <c r="AB166" s="79">
        <v>29</v>
      </c>
      <c r="AC166" s="82">
        <f t="shared" si="22"/>
        <v>372.04841549558</v>
      </c>
      <c r="AD166" s="86">
        <f t="shared" si="20"/>
        <v>1685.6394787440838</v>
      </c>
      <c r="AE166" s="86">
        <f t="shared" si="24"/>
        <v>562.89039794965186</v>
      </c>
    </row>
    <row r="167" spans="1:31" hidden="1" x14ac:dyDescent="0.25">
      <c r="A167" s="79" t="s">
        <v>234</v>
      </c>
      <c r="B167" s="79" t="s">
        <v>9</v>
      </c>
      <c r="C167" s="79" t="s">
        <v>18</v>
      </c>
      <c r="D167" s="89" t="s">
        <v>235</v>
      </c>
      <c r="E167" s="79">
        <v>333</v>
      </c>
      <c r="F167" s="79">
        <v>29</v>
      </c>
      <c r="G167" s="79">
        <v>18.100000000000001</v>
      </c>
      <c r="H167" s="85">
        <v>470</v>
      </c>
      <c r="I167" s="85">
        <v>22.7</v>
      </c>
      <c r="J167" s="85">
        <v>209</v>
      </c>
      <c r="K167" s="85">
        <v>209</v>
      </c>
      <c r="L167" s="83"/>
      <c r="M167" s="84"/>
      <c r="N167" s="84"/>
      <c r="O167" s="84"/>
      <c r="P167" s="85"/>
      <c r="Q167" s="85"/>
      <c r="R167" s="85"/>
      <c r="S167" s="85"/>
      <c r="T167" s="80"/>
      <c r="U167" s="80"/>
      <c r="V167" s="81" t="s">
        <v>53</v>
      </c>
      <c r="W167" s="81">
        <f>+VLOOKUP(A167,infradensité!$A$2:$B$67,2,FALSE)</f>
        <v>0.46</v>
      </c>
      <c r="X167" s="81">
        <v>1.3</v>
      </c>
      <c r="Y167" s="82">
        <f t="shared" si="21"/>
        <v>124.98200000000001</v>
      </c>
      <c r="Z167" s="82">
        <f t="shared" si="23"/>
        <v>32.834203796212122</v>
      </c>
      <c r="AA167" s="82" t="str">
        <f t="shared" si="19"/>
        <v>Pin Laricio_F1_Classique_GS Pineraies des plaines du Centre et du Nord Ouest_29_</v>
      </c>
      <c r="AB167" s="79">
        <v>29</v>
      </c>
      <c r="AC167" s="82">
        <f t="shared" si="22"/>
        <v>274.86322161173609</v>
      </c>
      <c r="AD167" s="86">
        <f t="shared" si="20"/>
        <v>0</v>
      </c>
      <c r="AE167" s="86">
        <f t="shared" si="24"/>
        <v>562.89039794965186</v>
      </c>
    </row>
    <row r="168" spans="1:31" hidden="1" x14ac:dyDescent="0.25">
      <c r="A168" s="86" t="s">
        <v>234</v>
      </c>
      <c r="B168" s="86" t="s">
        <v>9</v>
      </c>
      <c r="C168" s="86" t="s">
        <v>18</v>
      </c>
      <c r="D168" s="87" t="s">
        <v>235</v>
      </c>
      <c r="E168" s="86">
        <v>333</v>
      </c>
      <c r="F168" s="86">
        <v>0</v>
      </c>
      <c r="G168" s="86">
        <v>21.5</v>
      </c>
      <c r="H168" s="86">
        <v>467</v>
      </c>
      <c r="I168" s="86">
        <v>21.5</v>
      </c>
      <c r="J168" s="86">
        <v>0</v>
      </c>
      <c r="K168" s="86">
        <v>35</v>
      </c>
      <c r="L168" s="86">
        <v>30</v>
      </c>
      <c r="M168" s="86">
        <v>136</v>
      </c>
      <c r="N168" s="86">
        <v>7.8</v>
      </c>
      <c r="O168" s="86">
        <v>84</v>
      </c>
      <c r="P168" s="86">
        <v>330</v>
      </c>
      <c r="Q168" s="86">
        <v>25.8</v>
      </c>
      <c r="R168" s="86"/>
      <c r="S168" s="86">
        <v>290</v>
      </c>
      <c r="T168" s="86"/>
      <c r="U168" s="86"/>
      <c r="V168" s="86" t="str">
        <f>+IF(I168=0,"ap","av_ap")</f>
        <v>av_ap</v>
      </c>
      <c r="W168" s="86">
        <f>+VLOOKUP(A168,infradensité!$A$2:$B$67,2,FALSE)</f>
        <v>0.46</v>
      </c>
      <c r="X168" s="86">
        <v>1.3</v>
      </c>
      <c r="Y168" s="88">
        <f t="shared" si="21"/>
        <v>0</v>
      </c>
      <c r="Z168" s="88" t="e">
        <f t="shared" si="23"/>
        <v>#NUM!</v>
      </c>
      <c r="AA168" s="88" t="str">
        <f t="shared" si="19"/>
        <v>Pin Laricio_F1_Classique_GS Pineraies des plaines du Centre et du Nord Ouest_0_</v>
      </c>
      <c r="AB168" s="86">
        <v>0</v>
      </c>
      <c r="AC168" s="88">
        <v>0</v>
      </c>
      <c r="AD168" s="86">
        <f t="shared" si="20"/>
        <v>0</v>
      </c>
      <c r="AE168" s="86">
        <f t="shared" si="24"/>
        <v>562.89039794965186</v>
      </c>
    </row>
    <row r="169" spans="1:31" hidden="1" x14ac:dyDescent="0.25">
      <c r="A169" s="86" t="s">
        <v>234</v>
      </c>
      <c r="B169" s="86" t="s">
        <v>9</v>
      </c>
      <c r="C169" s="86" t="s">
        <v>18</v>
      </c>
      <c r="D169" s="87" t="s">
        <v>235</v>
      </c>
      <c r="E169" s="86">
        <v>333</v>
      </c>
      <c r="F169" s="86">
        <v>30</v>
      </c>
      <c r="G169" s="86">
        <v>21.5</v>
      </c>
      <c r="H169" s="86">
        <v>467</v>
      </c>
      <c r="I169" s="86">
        <v>21.5</v>
      </c>
      <c r="J169" s="86">
        <f>+J170/37*30</f>
        <v>303.24324324324328</v>
      </c>
      <c r="K169" s="86">
        <v>35</v>
      </c>
      <c r="L169" s="86">
        <v>30</v>
      </c>
      <c r="M169" s="86">
        <v>136</v>
      </c>
      <c r="N169" s="86">
        <v>7.8</v>
      </c>
      <c r="O169" s="86">
        <v>84</v>
      </c>
      <c r="P169" s="86">
        <v>330</v>
      </c>
      <c r="Q169" s="86">
        <v>25.8</v>
      </c>
      <c r="R169" s="86"/>
      <c r="S169" s="86">
        <v>290</v>
      </c>
      <c r="T169" s="86"/>
      <c r="U169" s="86"/>
      <c r="V169" s="86" t="str">
        <f>+IF(I169=0,"ap","av_ap")</f>
        <v>av_ap</v>
      </c>
      <c r="W169" s="86">
        <f>+VLOOKUP(A169,infradensité!$A$2:$B$67,2,FALSE)</f>
        <v>0.46</v>
      </c>
      <c r="X169" s="86">
        <v>1.3</v>
      </c>
      <c r="Y169" s="88">
        <f t="shared" si="21"/>
        <v>181.3394594594595</v>
      </c>
      <c r="Z169" s="88">
        <f t="shared" si="23"/>
        <v>45.620062510649113</v>
      </c>
      <c r="AA169" s="88" t="str">
        <f t="shared" si="19"/>
        <v>Pin Laricio_F1_Classique_GS Pineraies des plaines du Centre et du Nord Ouest_30_</v>
      </c>
      <c r="AB169" s="86">
        <v>30</v>
      </c>
      <c r="AC169" s="88">
        <f t="shared" ref="AC169" si="25">+(Z169+Y169)*0.475*44/12</f>
        <v>395.28783409793914</v>
      </c>
      <c r="AD169" s="86">
        <f t="shared" si="20"/>
        <v>5929.3175114690875</v>
      </c>
      <c r="AE169" s="86">
        <f t="shared" si="24"/>
        <v>562.89039794965186</v>
      </c>
    </row>
    <row r="170" spans="1:31" hidden="1" x14ac:dyDescent="0.25">
      <c r="A170" s="79" t="s">
        <v>234</v>
      </c>
      <c r="B170" s="79" t="s">
        <v>9</v>
      </c>
      <c r="C170" s="79" t="s">
        <v>18</v>
      </c>
      <c r="D170" s="89" t="s">
        <v>235</v>
      </c>
      <c r="E170" s="79">
        <v>333</v>
      </c>
      <c r="F170" s="79">
        <v>36</v>
      </c>
      <c r="G170" s="79">
        <v>21.5</v>
      </c>
      <c r="H170" s="83">
        <v>467</v>
      </c>
      <c r="I170" s="83">
        <v>21.5</v>
      </c>
      <c r="J170" s="83">
        <v>374</v>
      </c>
      <c r="K170" s="83">
        <v>35</v>
      </c>
      <c r="L170" s="83">
        <v>30</v>
      </c>
      <c r="M170" s="84">
        <v>136</v>
      </c>
      <c r="N170" s="84">
        <v>7.8</v>
      </c>
      <c r="O170" s="84">
        <v>84</v>
      </c>
      <c r="P170" s="85">
        <v>330</v>
      </c>
      <c r="Q170" s="85">
        <v>25.8</v>
      </c>
      <c r="R170" s="85"/>
      <c r="S170" s="85">
        <v>290</v>
      </c>
      <c r="T170" s="80"/>
      <c r="U170" s="80"/>
      <c r="V170" s="81" t="str">
        <f>+IF(I170=0,"ap","av_ap")</f>
        <v>av_ap</v>
      </c>
      <c r="W170" s="81">
        <f>+VLOOKUP(A170,infradensité!$A$2:$B$67,2,FALSE)</f>
        <v>0.46</v>
      </c>
      <c r="X170" s="81">
        <v>1.3</v>
      </c>
      <c r="Y170" s="82">
        <f t="shared" si="21"/>
        <v>223.65200000000004</v>
      </c>
      <c r="Z170" s="82">
        <f t="shared" si="23"/>
        <v>54.907867720650223</v>
      </c>
      <c r="AA170" s="82" t="str">
        <f t="shared" si="19"/>
        <v>Pin Laricio_F1_Classique_GS Pineraies des plaines du Centre et du Nord Ouest_36_</v>
      </c>
      <c r="AB170" s="79">
        <v>36</v>
      </c>
      <c r="AC170" s="82">
        <f t="shared" si="22"/>
        <v>485.15843628013255</v>
      </c>
      <c r="AD170" s="86">
        <f t="shared" si="20"/>
        <v>2641.3388111342147</v>
      </c>
      <c r="AE170" s="86">
        <f t="shared" si="24"/>
        <v>562.89039794965186</v>
      </c>
    </row>
    <row r="171" spans="1:31" hidden="1" x14ac:dyDescent="0.25">
      <c r="A171" s="79" t="s">
        <v>234</v>
      </c>
      <c r="B171" s="79" t="s">
        <v>9</v>
      </c>
      <c r="C171" s="79" t="s">
        <v>18</v>
      </c>
      <c r="D171" s="89" t="s">
        <v>235</v>
      </c>
      <c r="E171" s="79">
        <v>333</v>
      </c>
      <c r="F171" s="79">
        <v>36</v>
      </c>
      <c r="G171" s="79">
        <v>21.5</v>
      </c>
      <c r="H171" s="85">
        <v>330</v>
      </c>
      <c r="I171" s="85">
        <v>25.8</v>
      </c>
      <c r="J171" s="85">
        <v>290</v>
      </c>
      <c r="K171" s="85">
        <v>290</v>
      </c>
      <c r="L171" s="83"/>
      <c r="M171" s="84"/>
      <c r="N171" s="84"/>
      <c r="O171" s="84"/>
      <c r="P171" s="85"/>
      <c r="Q171" s="85"/>
      <c r="R171" s="85"/>
      <c r="S171" s="85"/>
      <c r="T171" s="80"/>
      <c r="U171" s="80"/>
      <c r="V171" s="81" t="s">
        <v>53</v>
      </c>
      <c r="W171" s="81">
        <f>+VLOOKUP(A171,infradensité!$A$2:$B$67,2,FALSE)</f>
        <v>0.46</v>
      </c>
      <c r="X171" s="81">
        <v>1.3</v>
      </c>
      <c r="Y171" s="82">
        <f t="shared" si="21"/>
        <v>173.42000000000002</v>
      </c>
      <c r="Z171" s="82">
        <f t="shared" si="23"/>
        <v>43.855099630972404</v>
      </c>
      <c r="AA171" s="82" t="str">
        <f t="shared" si="19"/>
        <v>Pin Laricio_F1_Classique_GS Pineraies des plaines du Centre et du Nord Ouest_36_</v>
      </c>
      <c r="AB171" s="79">
        <v>36</v>
      </c>
      <c r="AC171" s="82">
        <f t="shared" si="22"/>
        <v>378.42079852394363</v>
      </c>
      <c r="AD171" s="86">
        <f t="shared" si="20"/>
        <v>0</v>
      </c>
      <c r="AE171" s="86">
        <f t="shared" si="24"/>
        <v>562.89039794965186</v>
      </c>
    </row>
    <row r="172" spans="1:31" hidden="1" x14ac:dyDescent="0.25">
      <c r="A172" s="79" t="s">
        <v>234</v>
      </c>
      <c r="B172" s="79" t="s">
        <v>9</v>
      </c>
      <c r="C172" s="79" t="s">
        <v>18</v>
      </c>
      <c r="D172" s="89" t="s">
        <v>235</v>
      </c>
      <c r="E172" s="79">
        <v>333</v>
      </c>
      <c r="F172" s="79">
        <v>44</v>
      </c>
      <c r="G172" s="79">
        <v>24.6</v>
      </c>
      <c r="H172" s="83">
        <v>329</v>
      </c>
      <c r="I172" s="83">
        <v>24.6</v>
      </c>
      <c r="J172" s="83">
        <v>476</v>
      </c>
      <c r="K172" s="83">
        <v>41</v>
      </c>
      <c r="L172" s="83">
        <v>38</v>
      </c>
      <c r="M172" s="84">
        <v>84</v>
      </c>
      <c r="N172" s="84">
        <v>7</v>
      </c>
      <c r="O172" s="84">
        <v>88</v>
      </c>
      <c r="P172" s="85">
        <v>245</v>
      </c>
      <c r="Q172" s="85">
        <v>29.6</v>
      </c>
      <c r="R172" s="85"/>
      <c r="S172" s="85">
        <v>388</v>
      </c>
      <c r="T172" s="80"/>
      <c r="U172" s="80"/>
      <c r="V172" s="81" t="str">
        <f>+IF(I172=0,"ap","av_ap")</f>
        <v>av_ap</v>
      </c>
      <c r="W172" s="81">
        <f>+VLOOKUP(A172,infradensité!$A$2:$B$67,2,FALSE)</f>
        <v>0.46</v>
      </c>
      <c r="X172" s="81">
        <v>1.3</v>
      </c>
      <c r="Y172" s="82">
        <f t="shared" si="21"/>
        <v>284.64800000000002</v>
      </c>
      <c r="Z172" s="82">
        <f t="shared" si="23"/>
        <v>67.948321729376303</v>
      </c>
      <c r="AA172" s="82" t="str">
        <f t="shared" si="19"/>
        <v>Pin Laricio_F1_Classique_GS Pineraies des plaines du Centre et du Nord Ouest_44_</v>
      </c>
      <c r="AB172" s="79">
        <v>44</v>
      </c>
      <c r="AC172" s="82">
        <f t="shared" si="22"/>
        <v>614.10526034533029</v>
      </c>
      <c r="AD172" s="86">
        <f t="shared" si="20"/>
        <v>3970.1042354770957</v>
      </c>
      <c r="AE172" s="86">
        <f t="shared" si="24"/>
        <v>562.89039794965186</v>
      </c>
    </row>
    <row r="173" spans="1:31" hidden="1" x14ac:dyDescent="0.25">
      <c r="A173" s="79" t="s">
        <v>234</v>
      </c>
      <c r="B173" s="79" t="s">
        <v>9</v>
      </c>
      <c r="C173" s="79" t="s">
        <v>18</v>
      </c>
      <c r="D173" s="89" t="s">
        <v>235</v>
      </c>
      <c r="E173" s="79">
        <v>333</v>
      </c>
      <c r="F173" s="79">
        <v>44</v>
      </c>
      <c r="G173" s="79">
        <v>24.6</v>
      </c>
      <c r="H173" s="85">
        <v>245</v>
      </c>
      <c r="I173" s="85">
        <v>29.6</v>
      </c>
      <c r="J173" s="85">
        <v>388</v>
      </c>
      <c r="K173" s="85">
        <v>388</v>
      </c>
      <c r="L173" s="83"/>
      <c r="M173" s="84"/>
      <c r="N173" s="84"/>
      <c r="O173" s="84"/>
      <c r="P173" s="85"/>
      <c r="Q173" s="85"/>
      <c r="R173" s="85"/>
      <c r="S173" s="85"/>
      <c r="T173" s="80"/>
      <c r="U173" s="80"/>
      <c r="V173" s="81" t="s">
        <v>53</v>
      </c>
      <c r="W173" s="81">
        <f>+VLOOKUP(A173,infradensité!$A$2:$B$67,2,FALSE)</f>
        <v>0.46</v>
      </c>
      <c r="X173" s="81">
        <v>1.3</v>
      </c>
      <c r="Y173" s="82">
        <f t="shared" si="21"/>
        <v>232.02400000000003</v>
      </c>
      <c r="Z173" s="82">
        <f t="shared" si="23"/>
        <v>56.720094243161071</v>
      </c>
      <c r="AA173" s="82" t="str">
        <f t="shared" si="19"/>
        <v>Pin Laricio_F1_Classique_GS Pineraies des plaines du Centre et du Nord Ouest_44_</v>
      </c>
      <c r="AB173" s="79">
        <v>44</v>
      </c>
      <c r="AC173" s="82">
        <f t="shared" si="22"/>
        <v>502.89596414017223</v>
      </c>
      <c r="AD173" s="86">
        <f t="shared" si="20"/>
        <v>0</v>
      </c>
      <c r="AE173" s="86">
        <f t="shared" si="24"/>
        <v>562.89039794965186</v>
      </c>
    </row>
    <row r="174" spans="1:31" hidden="1" x14ac:dyDescent="0.25">
      <c r="A174" s="79" t="s">
        <v>234</v>
      </c>
      <c r="B174" s="79" t="s">
        <v>9</v>
      </c>
      <c r="C174" s="79" t="s">
        <v>18</v>
      </c>
      <c r="D174" s="89" t="s">
        <v>235</v>
      </c>
      <c r="E174" s="79">
        <v>333</v>
      </c>
      <c r="F174" s="79">
        <v>54</v>
      </c>
      <c r="G174" s="79">
        <v>27.5</v>
      </c>
      <c r="H174" s="83">
        <v>245</v>
      </c>
      <c r="I174" s="83">
        <v>27.5</v>
      </c>
      <c r="J174" s="83">
        <v>611</v>
      </c>
      <c r="K174" s="83">
        <v>49</v>
      </c>
      <c r="L174" s="83">
        <v>46</v>
      </c>
      <c r="M174" s="84">
        <v>45</v>
      </c>
      <c r="N174" s="84">
        <v>6.6</v>
      </c>
      <c r="O174" s="84">
        <v>95</v>
      </c>
      <c r="P174" s="85">
        <v>200</v>
      </c>
      <c r="Q174" s="85">
        <v>35</v>
      </c>
      <c r="R174" s="85"/>
      <c r="S174" s="85">
        <v>516</v>
      </c>
      <c r="T174" s="80"/>
      <c r="U174" s="80"/>
      <c r="V174" s="81" t="str">
        <f>+IF(I174=0,"ap","av_ap")</f>
        <v>av_ap</v>
      </c>
      <c r="W174" s="81">
        <f>+VLOOKUP(A174,infradensité!$A$2:$B$67,2,FALSE)</f>
        <v>0.46</v>
      </c>
      <c r="X174" s="81">
        <v>1.3</v>
      </c>
      <c r="Y174" s="82">
        <f t="shared" si="21"/>
        <v>365.37800000000004</v>
      </c>
      <c r="Z174" s="82">
        <f t="shared" si="23"/>
        <v>84.721033379606425</v>
      </c>
      <c r="AA174" s="82" t="str">
        <f t="shared" si="19"/>
        <v>Pin Laricio_F1_Classique_GS Pineraies des plaines du Centre et du Nord Ouest_54_</v>
      </c>
      <c r="AB174" s="79">
        <v>54</v>
      </c>
      <c r="AC174" s="82">
        <f t="shared" si="22"/>
        <v>783.92248313614789</v>
      </c>
      <c r="AD174" s="86">
        <f t="shared" si="20"/>
        <v>6434.0922363816007</v>
      </c>
      <c r="AE174" s="86">
        <f t="shared" si="24"/>
        <v>562.89039794965186</v>
      </c>
    </row>
    <row r="175" spans="1:31" hidden="1" x14ac:dyDescent="0.25">
      <c r="A175" s="79" t="s">
        <v>234</v>
      </c>
      <c r="B175" s="79" t="s">
        <v>9</v>
      </c>
      <c r="C175" s="79" t="s">
        <v>18</v>
      </c>
      <c r="D175" s="89" t="s">
        <v>235</v>
      </c>
      <c r="E175" s="79">
        <v>333</v>
      </c>
      <c r="F175" s="79">
        <v>54</v>
      </c>
      <c r="G175" s="79">
        <v>27.5</v>
      </c>
      <c r="H175" s="85">
        <v>200</v>
      </c>
      <c r="I175" s="85">
        <v>35</v>
      </c>
      <c r="J175" s="85">
        <v>516</v>
      </c>
      <c r="K175" s="85">
        <v>516</v>
      </c>
      <c r="L175" s="83"/>
      <c r="M175" s="84"/>
      <c r="N175" s="84"/>
      <c r="O175" s="84"/>
      <c r="P175" s="85"/>
      <c r="Q175" s="85"/>
      <c r="R175" s="85"/>
      <c r="S175" s="85"/>
      <c r="T175" s="80"/>
      <c r="U175" s="80"/>
      <c r="V175" s="81" t="s">
        <v>53</v>
      </c>
      <c r="W175" s="81">
        <f>+VLOOKUP(A175,infradensité!$A$2:$B$67,2,FALSE)</f>
        <v>0.46</v>
      </c>
      <c r="X175" s="81">
        <v>1.3</v>
      </c>
      <c r="Y175" s="82">
        <f t="shared" si="21"/>
        <v>308.56800000000004</v>
      </c>
      <c r="Z175" s="82">
        <f t="shared" si="23"/>
        <v>72.969691037219945</v>
      </c>
      <c r="AA175" s="82" t="str">
        <f t="shared" si="19"/>
        <v>Pin Laricio_F1_Classique_GS Pineraies des plaines du Centre et du Nord Ouest_54_</v>
      </c>
      <c r="AB175" s="79">
        <v>54</v>
      </c>
      <c r="AC175" s="82">
        <f t="shared" si="22"/>
        <v>664.5114785564914</v>
      </c>
      <c r="AD175" s="86">
        <f t="shared" si="20"/>
        <v>0</v>
      </c>
      <c r="AE175" s="86">
        <f t="shared" si="24"/>
        <v>562.89039794965186</v>
      </c>
    </row>
    <row r="176" spans="1:31" hidden="1" x14ac:dyDescent="0.25">
      <c r="A176" s="79" t="s">
        <v>234</v>
      </c>
      <c r="B176" s="79" t="s">
        <v>9</v>
      </c>
      <c r="C176" s="79" t="s">
        <v>18</v>
      </c>
      <c r="D176" s="89" t="s">
        <v>235</v>
      </c>
      <c r="E176" s="79">
        <v>333</v>
      </c>
      <c r="F176" s="79">
        <v>64</v>
      </c>
      <c r="G176" s="79">
        <v>29.5</v>
      </c>
      <c r="H176" s="83">
        <v>200</v>
      </c>
      <c r="I176" s="83">
        <v>29.5</v>
      </c>
      <c r="J176" s="83">
        <v>715</v>
      </c>
      <c r="K176" s="83">
        <v>55</v>
      </c>
      <c r="L176" s="83">
        <v>54</v>
      </c>
      <c r="M176" s="84">
        <v>30</v>
      </c>
      <c r="N176" s="84">
        <v>5.9</v>
      </c>
      <c r="O176" s="84">
        <v>93</v>
      </c>
      <c r="P176" s="85">
        <v>170</v>
      </c>
      <c r="Q176" s="85">
        <v>39</v>
      </c>
      <c r="R176" s="85"/>
      <c r="S176" s="85">
        <v>622</v>
      </c>
      <c r="T176" s="80"/>
      <c r="U176" s="80"/>
      <c r="V176" s="81" t="str">
        <f>+IF(I176=0,"ap","av_ap")</f>
        <v>av_ap</v>
      </c>
      <c r="W176" s="81">
        <f>+VLOOKUP(A176,infradensité!$A$2:$B$67,2,FALSE)</f>
        <v>0.46</v>
      </c>
      <c r="X176" s="81">
        <v>1.3</v>
      </c>
      <c r="Y176" s="82">
        <f t="shared" si="21"/>
        <v>427.57000000000005</v>
      </c>
      <c r="Z176" s="82">
        <f t="shared" si="23"/>
        <v>97.344193108275022</v>
      </c>
      <c r="AA176" s="82" t="str">
        <f t="shared" si="19"/>
        <v>Pin Laricio_F1_Classique_GS Pineraies des plaines du Centre et du Nord Ouest_64_</v>
      </c>
      <c r="AB176" s="79">
        <v>64</v>
      </c>
      <c r="AC176" s="82">
        <f t="shared" si="22"/>
        <v>914.22555299691237</v>
      </c>
      <c r="AD176" s="86">
        <f t="shared" si="20"/>
        <v>7893.6851577670186</v>
      </c>
      <c r="AE176" s="86">
        <f t="shared" si="24"/>
        <v>562.89039794965186</v>
      </c>
    </row>
    <row r="177" spans="1:31" hidden="1" x14ac:dyDescent="0.25">
      <c r="A177" s="79" t="s">
        <v>234</v>
      </c>
      <c r="B177" s="79" t="s">
        <v>9</v>
      </c>
      <c r="C177" s="79" t="s">
        <v>18</v>
      </c>
      <c r="D177" s="89" t="s">
        <v>235</v>
      </c>
      <c r="E177" s="79">
        <v>333</v>
      </c>
      <c r="F177" s="79">
        <v>64</v>
      </c>
      <c r="G177" s="79">
        <v>29.5</v>
      </c>
      <c r="H177" s="85">
        <v>170</v>
      </c>
      <c r="I177" s="85">
        <v>39</v>
      </c>
      <c r="J177" s="85">
        <v>622</v>
      </c>
      <c r="K177" s="85">
        <v>622</v>
      </c>
      <c r="L177" s="83"/>
      <c r="M177" s="84"/>
      <c r="N177" s="84"/>
      <c r="O177" s="84"/>
      <c r="P177" s="85"/>
      <c r="Q177" s="85"/>
      <c r="R177" s="85"/>
      <c r="S177" s="85"/>
      <c r="T177" s="80"/>
      <c r="U177" s="80"/>
      <c r="V177" s="81" t="s">
        <v>53</v>
      </c>
      <c r="W177" s="81">
        <f>+VLOOKUP(A177,infradensité!$A$2:$B$67,2,FALSE)</f>
        <v>0.46</v>
      </c>
      <c r="X177" s="81">
        <v>1.3</v>
      </c>
      <c r="Y177" s="82">
        <f t="shared" si="21"/>
        <v>371.95600000000007</v>
      </c>
      <c r="Z177" s="82">
        <f t="shared" si="23"/>
        <v>86.067346758003751</v>
      </c>
      <c r="AA177" s="82" t="str">
        <f t="shared" si="19"/>
        <v>Pin Laricio_F1_Classique_GS Pineraies des plaines du Centre et du Nord Ouest_64_</v>
      </c>
      <c r="AB177" s="79">
        <v>64</v>
      </c>
      <c r="AC177" s="82">
        <f t="shared" si="22"/>
        <v>797.72399560352324</v>
      </c>
      <c r="AD177" s="86">
        <f t="shared" si="20"/>
        <v>0</v>
      </c>
      <c r="AE177" s="86">
        <f t="shared" si="24"/>
        <v>562.89039794965186</v>
      </c>
    </row>
    <row r="178" spans="1:31" hidden="1" x14ac:dyDescent="0.25">
      <c r="A178" s="79" t="s">
        <v>234</v>
      </c>
      <c r="B178" s="79" t="s">
        <v>9</v>
      </c>
      <c r="C178" s="79" t="s">
        <v>18</v>
      </c>
      <c r="D178" s="89" t="s">
        <v>235</v>
      </c>
      <c r="E178" s="79">
        <v>333</v>
      </c>
      <c r="F178" s="79">
        <v>70</v>
      </c>
      <c r="G178" s="79">
        <v>30.4</v>
      </c>
      <c r="H178" s="83">
        <v>170</v>
      </c>
      <c r="I178" s="83">
        <v>30.4</v>
      </c>
      <c r="J178" s="83">
        <v>725</v>
      </c>
      <c r="K178" s="83">
        <v>59</v>
      </c>
      <c r="L178" s="83">
        <v>57</v>
      </c>
      <c r="M178" s="84"/>
      <c r="N178" s="84"/>
      <c r="O178" s="84"/>
      <c r="P178" s="85">
        <v>170</v>
      </c>
      <c r="Q178" s="85">
        <v>44.1</v>
      </c>
      <c r="R178" s="85"/>
      <c r="S178" s="85">
        <v>725</v>
      </c>
      <c r="T178" s="80"/>
      <c r="U178" s="80"/>
      <c r="V178" s="81" t="str">
        <f>+IF(I178=0,"ap","av_ap")</f>
        <v>av_ap</v>
      </c>
      <c r="W178" s="81">
        <f>+VLOOKUP(A178,infradensité!$A$2:$B$67,2,FALSE)</f>
        <v>0.46</v>
      </c>
      <c r="X178" s="81">
        <v>1.3</v>
      </c>
      <c r="Y178" s="82">
        <f t="shared" si="21"/>
        <v>433.55000000000007</v>
      </c>
      <c r="Z178" s="82">
        <f t="shared" si="23"/>
        <v>98.546202578313242</v>
      </c>
      <c r="AA178" s="82" t="str">
        <f t="shared" si="19"/>
        <v>Pin Laricio_F1_Classique_GS Pineraies des plaines du Centre et du Nord Ouest_70_</v>
      </c>
      <c r="AB178" s="79">
        <v>70</v>
      </c>
      <c r="AC178" s="82">
        <f t="shared" si="22"/>
        <v>926.73421949056228</v>
      </c>
      <c r="AD178" s="86">
        <f t="shared" si="20"/>
        <v>5173.3746452822561</v>
      </c>
      <c r="AE178" s="86">
        <f t="shared" si="24"/>
        <v>562.89039794965186</v>
      </c>
    </row>
    <row r="179" spans="1:31" hidden="1" x14ac:dyDescent="0.25">
      <c r="A179" s="79" t="s">
        <v>234</v>
      </c>
      <c r="B179" s="79" t="s">
        <v>9</v>
      </c>
      <c r="C179" s="79" t="s">
        <v>18</v>
      </c>
      <c r="D179" s="89" t="s">
        <v>235</v>
      </c>
      <c r="E179" s="79">
        <v>333</v>
      </c>
      <c r="F179" s="79">
        <v>70</v>
      </c>
      <c r="G179" s="79">
        <v>30.4</v>
      </c>
      <c r="H179" s="85">
        <v>170</v>
      </c>
      <c r="I179" s="85">
        <v>44.1</v>
      </c>
      <c r="J179" s="85">
        <v>725</v>
      </c>
      <c r="K179" s="85">
        <v>725</v>
      </c>
      <c r="L179" s="83"/>
      <c r="M179" s="84"/>
      <c r="N179" s="84"/>
      <c r="O179" s="84"/>
      <c r="P179" s="85"/>
      <c r="Q179" s="85"/>
      <c r="R179" s="85"/>
      <c r="S179" s="85"/>
      <c r="T179" s="80"/>
      <c r="U179" s="80"/>
      <c r="V179" s="81" t="s">
        <v>53</v>
      </c>
      <c r="W179" s="81">
        <f>+VLOOKUP(A179,infradensité!$A$2:$B$67,2,FALSE)</f>
        <v>0.46</v>
      </c>
      <c r="X179" s="81">
        <v>1.3</v>
      </c>
      <c r="Y179" s="82">
        <f t="shared" si="21"/>
        <v>433.55000000000007</v>
      </c>
      <c r="Z179" s="82">
        <f t="shared" si="23"/>
        <v>98.546202578313242</v>
      </c>
      <c r="AA179" s="82" t="str">
        <f t="shared" si="19"/>
        <v>Pin Laricio_F1_Classique_GS Pineraies des plaines du Centre et du Nord Ouest_70_</v>
      </c>
      <c r="AB179" s="79">
        <v>70</v>
      </c>
      <c r="AC179" s="82">
        <f t="shared" si="22"/>
        <v>926.73421949056228</v>
      </c>
      <c r="AD179" s="86">
        <f t="shared" si="20"/>
        <v>0</v>
      </c>
      <c r="AE179" s="86">
        <f t="shared" si="24"/>
        <v>562.89039794965186</v>
      </c>
    </row>
    <row r="180" spans="1:31" hidden="1" x14ac:dyDescent="0.25">
      <c r="A180" s="79" t="s">
        <v>234</v>
      </c>
      <c r="B180" s="79" t="s">
        <v>9</v>
      </c>
      <c r="C180" s="79" t="s">
        <v>18</v>
      </c>
      <c r="D180" s="89" t="s">
        <v>235</v>
      </c>
      <c r="E180" s="79">
        <v>333</v>
      </c>
      <c r="F180" s="79">
        <v>75</v>
      </c>
      <c r="G180" s="79">
        <v>31.1</v>
      </c>
      <c r="H180" s="83">
        <v>170</v>
      </c>
      <c r="I180" s="83">
        <v>31.1</v>
      </c>
      <c r="J180" s="83">
        <v>805</v>
      </c>
      <c r="K180" s="83">
        <v>61</v>
      </c>
      <c r="L180" s="83">
        <v>60</v>
      </c>
      <c r="M180" s="84"/>
      <c r="N180" s="84"/>
      <c r="O180" s="84"/>
      <c r="P180" s="85">
        <v>170</v>
      </c>
      <c r="Q180" s="85">
        <v>47.9</v>
      </c>
      <c r="R180" s="85"/>
      <c r="S180" s="85">
        <v>805</v>
      </c>
      <c r="T180" s="80"/>
      <c r="U180" s="80"/>
      <c r="V180" s="81" t="str">
        <f>+IF(I180=0,"ap","av_ap")</f>
        <v>av_ap</v>
      </c>
      <c r="W180" s="81">
        <f>+VLOOKUP(A180,infradensité!$A$2:$B$67,2,FALSE)</f>
        <v>0.46</v>
      </c>
      <c r="X180" s="81">
        <v>1.3</v>
      </c>
      <c r="Y180" s="82">
        <f t="shared" si="21"/>
        <v>481.39000000000004</v>
      </c>
      <c r="Z180" s="82">
        <f t="shared" si="23"/>
        <v>108.09521531494514</v>
      </c>
      <c r="AA180" s="82" t="str">
        <f t="shared" si="19"/>
        <v>Pin Laricio_F1_Classique_GS Pineraies des plaines du Centre et du Nord Ouest_75_</v>
      </c>
      <c r="AB180" s="79">
        <v>75</v>
      </c>
      <c r="AC180" s="82">
        <f t="shared" si="22"/>
        <v>1026.6867500068627</v>
      </c>
      <c r="AD180" s="86">
        <f t="shared" si="20"/>
        <v>4883.552423743562</v>
      </c>
      <c r="AE180" s="86">
        <f t="shared" si="24"/>
        <v>562.89039794965186</v>
      </c>
    </row>
    <row r="181" spans="1:31" hidden="1" x14ac:dyDescent="0.25">
      <c r="A181" s="79" t="s">
        <v>234</v>
      </c>
      <c r="B181" s="79" t="s">
        <v>9</v>
      </c>
      <c r="C181" s="79" t="s">
        <v>18</v>
      </c>
      <c r="D181" s="89" t="s">
        <v>235</v>
      </c>
      <c r="E181" s="79">
        <v>333</v>
      </c>
      <c r="F181" s="79">
        <v>75</v>
      </c>
      <c r="G181" s="79">
        <v>31.1</v>
      </c>
      <c r="H181" s="85">
        <v>170</v>
      </c>
      <c r="I181" s="85">
        <v>47.9</v>
      </c>
      <c r="J181" s="86">
        <v>0</v>
      </c>
      <c r="K181" s="85">
        <v>805</v>
      </c>
      <c r="L181" s="83"/>
      <c r="M181" s="84"/>
      <c r="N181" s="84"/>
      <c r="O181" s="84"/>
      <c r="P181" s="85"/>
      <c r="Q181" s="85"/>
      <c r="R181" s="85"/>
      <c r="S181" s="85"/>
      <c r="T181" s="80"/>
      <c r="U181" s="80"/>
      <c r="V181" s="81" t="s">
        <v>53</v>
      </c>
      <c r="W181" s="81">
        <f>+VLOOKUP(A181,infradensité!$A$2:$B$67,2,FALSE)</f>
        <v>0.46</v>
      </c>
      <c r="X181" s="81">
        <v>1.3</v>
      </c>
      <c r="Y181" s="82">
        <f t="shared" si="21"/>
        <v>0</v>
      </c>
      <c r="Z181" s="82" t="e">
        <f t="shared" si="23"/>
        <v>#NUM!</v>
      </c>
      <c r="AA181" s="82" t="str">
        <f t="shared" si="19"/>
        <v>Pin Laricio_F1_Classique_GS Pineraies des plaines du Centre et du Nord Ouest_75_</v>
      </c>
      <c r="AB181" s="79">
        <v>75</v>
      </c>
      <c r="AC181" s="88">
        <v>0</v>
      </c>
      <c r="AD181" s="86">
        <f t="shared" si="20"/>
        <v>0</v>
      </c>
      <c r="AE181" s="86">
        <f t="shared" si="24"/>
        <v>562.89039794965186</v>
      </c>
    </row>
    <row r="182" spans="1:31" hidden="1" x14ac:dyDescent="0.25">
      <c r="A182" s="86" t="s">
        <v>234</v>
      </c>
      <c r="B182" s="86" t="s">
        <v>10</v>
      </c>
      <c r="C182" s="86" t="s">
        <v>18</v>
      </c>
      <c r="D182" s="87" t="s">
        <v>235</v>
      </c>
      <c r="E182" s="86">
        <v>333</v>
      </c>
      <c r="F182" s="86">
        <v>0</v>
      </c>
      <c r="G182" s="86">
        <v>10.5</v>
      </c>
      <c r="H182" s="86">
        <v>1600</v>
      </c>
      <c r="I182" s="86">
        <v>23.2</v>
      </c>
      <c r="J182" s="86">
        <v>0</v>
      </c>
      <c r="K182" s="86">
        <v>17</v>
      </c>
      <c r="L182" s="86">
        <v>14</v>
      </c>
      <c r="M182" s="86"/>
      <c r="N182" s="86"/>
      <c r="O182" s="86"/>
      <c r="P182" s="86"/>
      <c r="Q182" s="86"/>
      <c r="R182" s="86"/>
      <c r="S182" s="86">
        <v>103</v>
      </c>
      <c r="T182" s="86"/>
      <c r="U182" s="86"/>
      <c r="V182" s="86" t="str">
        <f>+IF(I182=0,"ap","av_ap")</f>
        <v>av_ap</v>
      </c>
      <c r="W182" s="86">
        <f>+VLOOKUP(A182,infradensité!$A$2:$B$67,2,FALSE)</f>
        <v>0.46</v>
      </c>
      <c r="X182" s="86">
        <v>1.3</v>
      </c>
      <c r="Y182" s="88">
        <f t="shared" si="21"/>
        <v>0</v>
      </c>
      <c r="Z182" s="88" t="e">
        <f t="shared" si="23"/>
        <v>#NUM!</v>
      </c>
      <c r="AA182" s="88" t="str">
        <f t="shared" si="19"/>
        <v>Pin Laricio_F2_Classique_GS Pineraies des plaines du Centre et du Nord Ouest_0_</v>
      </c>
      <c r="AB182" s="86">
        <v>0</v>
      </c>
      <c r="AC182" s="88">
        <v>0</v>
      </c>
      <c r="AD182" s="86">
        <f t="shared" si="20"/>
        <v>0</v>
      </c>
      <c r="AE182" s="86">
        <f>+SUM($AD$182:$AD$203)/$AB$203</f>
        <v>399.25429082580115</v>
      </c>
    </row>
    <row r="183" spans="1:31" hidden="1" x14ac:dyDescent="0.25">
      <c r="A183" s="79" t="s">
        <v>234</v>
      </c>
      <c r="B183" s="79" t="s">
        <v>10</v>
      </c>
      <c r="C183" s="79" t="s">
        <v>18</v>
      </c>
      <c r="D183" s="89" t="s">
        <v>235</v>
      </c>
      <c r="E183" s="79">
        <v>333</v>
      </c>
      <c r="F183" s="79">
        <v>20</v>
      </c>
      <c r="G183" s="79">
        <v>10.5</v>
      </c>
      <c r="H183" s="83">
        <v>1600</v>
      </c>
      <c r="I183" s="83">
        <v>23.2</v>
      </c>
      <c r="J183" s="83">
        <v>103</v>
      </c>
      <c r="K183" s="83">
        <v>17</v>
      </c>
      <c r="L183" s="83">
        <v>14</v>
      </c>
      <c r="M183" s="84"/>
      <c r="N183" s="84"/>
      <c r="O183" s="84"/>
      <c r="P183" s="85"/>
      <c r="Q183" s="85"/>
      <c r="R183" s="85"/>
      <c r="S183" s="85">
        <v>103</v>
      </c>
      <c r="T183" s="80"/>
      <c r="U183" s="80"/>
      <c r="V183" s="81" t="str">
        <f>+IF(I183=0,"ap","av_ap")</f>
        <v>av_ap</v>
      </c>
      <c r="W183" s="81">
        <f>+VLOOKUP(A183,infradensité!$A$2:$B$67,2,FALSE)</f>
        <v>0.46</v>
      </c>
      <c r="X183" s="81">
        <v>1.3</v>
      </c>
      <c r="Y183" s="82">
        <f t="shared" si="21"/>
        <v>61.594000000000008</v>
      </c>
      <c r="Z183" s="82">
        <f t="shared" si="23"/>
        <v>17.570665168564613</v>
      </c>
      <c r="AA183" s="82" t="str">
        <f t="shared" si="19"/>
        <v>Pin Laricio_F2_Classique_GS Pineraies des plaines du Centre et du Nord Ouest_20_</v>
      </c>
      <c r="AB183" s="79">
        <v>20</v>
      </c>
      <c r="AC183" s="82">
        <f t="shared" si="22"/>
        <v>137.8784585019167</v>
      </c>
      <c r="AD183" s="86">
        <f t="shared" si="20"/>
        <v>1378.784585019167</v>
      </c>
      <c r="AE183" s="86">
        <f t="shared" ref="AE183:AE203" si="26">+SUM($AD$182:$AD$203)/$AB$203</f>
        <v>399.25429082580115</v>
      </c>
    </row>
    <row r="184" spans="1:31" hidden="1" x14ac:dyDescent="0.25">
      <c r="A184" s="79" t="s">
        <v>234</v>
      </c>
      <c r="B184" s="79" t="s">
        <v>10</v>
      </c>
      <c r="C184" s="79" t="s">
        <v>18</v>
      </c>
      <c r="D184" s="89" t="s">
        <v>235</v>
      </c>
      <c r="E184" s="79">
        <v>333</v>
      </c>
      <c r="F184" s="79">
        <v>20</v>
      </c>
      <c r="G184" s="79">
        <v>10.5</v>
      </c>
      <c r="H184" s="83"/>
      <c r="I184" s="83"/>
      <c r="J184" s="85">
        <v>103</v>
      </c>
      <c r="K184" s="85">
        <v>103</v>
      </c>
      <c r="L184" s="83"/>
      <c r="M184" s="84"/>
      <c r="N184" s="84"/>
      <c r="O184" s="84"/>
      <c r="P184" s="85"/>
      <c r="Q184" s="85"/>
      <c r="R184" s="85"/>
      <c r="S184" s="85"/>
      <c r="T184" s="80"/>
      <c r="U184" s="80"/>
      <c r="V184" s="81" t="s">
        <v>53</v>
      </c>
      <c r="W184" s="81">
        <f>+VLOOKUP(A184,infradensité!$A$2:$B$67,2,FALSE)</f>
        <v>0.46</v>
      </c>
      <c r="X184" s="81">
        <v>1.3</v>
      </c>
      <c r="Y184" s="82">
        <f t="shared" si="21"/>
        <v>61.594000000000008</v>
      </c>
      <c r="Z184" s="82">
        <f t="shared" si="23"/>
        <v>17.570665168564613</v>
      </c>
      <c r="AA184" s="82" t="str">
        <f t="shared" si="19"/>
        <v>Pin Laricio_F2_Classique_GS Pineraies des plaines du Centre et du Nord Ouest_20_</v>
      </c>
      <c r="AB184" s="79">
        <v>20</v>
      </c>
      <c r="AC184" s="82">
        <f t="shared" si="22"/>
        <v>137.8784585019167</v>
      </c>
      <c r="AD184" s="86">
        <f t="shared" si="20"/>
        <v>0</v>
      </c>
      <c r="AE184" s="86">
        <f t="shared" si="26"/>
        <v>399.25429082580115</v>
      </c>
    </row>
    <row r="185" spans="1:31" hidden="1" x14ac:dyDescent="0.25">
      <c r="A185" s="79" t="s">
        <v>234</v>
      </c>
      <c r="B185" s="79" t="s">
        <v>10</v>
      </c>
      <c r="C185" s="79" t="s">
        <v>18</v>
      </c>
      <c r="D185" s="89" t="s">
        <v>235</v>
      </c>
      <c r="E185" s="79">
        <v>333</v>
      </c>
      <c r="F185" s="79">
        <v>21</v>
      </c>
      <c r="G185" s="79">
        <v>11.1</v>
      </c>
      <c r="H185" s="83">
        <v>1597</v>
      </c>
      <c r="I185" s="83">
        <v>25.5</v>
      </c>
      <c r="J185" s="83">
        <v>123</v>
      </c>
      <c r="K185" s="83">
        <v>18</v>
      </c>
      <c r="L185" s="83">
        <v>14</v>
      </c>
      <c r="M185" s="84">
        <v>647</v>
      </c>
      <c r="N185" s="84">
        <v>11.7</v>
      </c>
      <c r="O185" s="84">
        <v>58</v>
      </c>
      <c r="P185" s="85">
        <v>950</v>
      </c>
      <c r="Q185" s="85">
        <v>13.8</v>
      </c>
      <c r="R185" s="85"/>
      <c r="S185" s="85">
        <v>64</v>
      </c>
      <c r="T185" s="80"/>
      <c r="U185" s="80"/>
      <c r="V185" s="81" t="str">
        <f>+IF(I185=0,"ap","av_ap")</f>
        <v>av_ap</v>
      </c>
      <c r="W185" s="81">
        <f>+VLOOKUP(A185,infradensité!$A$2:$B$67,2,FALSE)</f>
        <v>0.46</v>
      </c>
      <c r="X185" s="81">
        <v>1.3</v>
      </c>
      <c r="Y185" s="82">
        <f t="shared" si="21"/>
        <v>73.554000000000016</v>
      </c>
      <c r="Z185" s="82">
        <f t="shared" si="23"/>
        <v>20.553481077376691</v>
      </c>
      <c r="AA185" s="82" t="str">
        <f t="shared" si="19"/>
        <v>Pin Laricio_F2_Classique_GS Pineraies des plaines du Centre et du Nord Ouest_21_</v>
      </c>
      <c r="AB185" s="79">
        <v>21</v>
      </c>
      <c r="AC185" s="82">
        <f t="shared" si="22"/>
        <v>163.90386287643108</v>
      </c>
      <c r="AD185" s="86">
        <f t="shared" si="20"/>
        <v>150.89116068917389</v>
      </c>
      <c r="AE185" s="86">
        <f t="shared" si="26"/>
        <v>399.25429082580115</v>
      </c>
    </row>
    <row r="186" spans="1:31" hidden="1" x14ac:dyDescent="0.25">
      <c r="A186" s="79" t="s">
        <v>234</v>
      </c>
      <c r="B186" s="79" t="s">
        <v>10</v>
      </c>
      <c r="C186" s="79" t="s">
        <v>18</v>
      </c>
      <c r="D186" s="89" t="s">
        <v>235</v>
      </c>
      <c r="E186" s="79">
        <v>333</v>
      </c>
      <c r="F186" s="79">
        <v>21</v>
      </c>
      <c r="G186" s="79">
        <v>11.1</v>
      </c>
      <c r="H186" s="85">
        <v>950</v>
      </c>
      <c r="I186" s="85">
        <v>13.8</v>
      </c>
      <c r="J186" s="85">
        <v>64</v>
      </c>
      <c r="K186" s="85">
        <v>64</v>
      </c>
      <c r="L186" s="83"/>
      <c r="M186" s="84"/>
      <c r="N186" s="84"/>
      <c r="O186" s="84"/>
      <c r="P186" s="85"/>
      <c r="Q186" s="85"/>
      <c r="R186" s="85"/>
      <c r="S186" s="85"/>
      <c r="T186" s="80"/>
      <c r="U186" s="80"/>
      <c r="V186" s="81" t="s">
        <v>53</v>
      </c>
      <c r="W186" s="81">
        <f>+VLOOKUP(A186,infradensité!$A$2:$B$67,2,FALSE)</f>
        <v>0.46</v>
      </c>
      <c r="X186" s="81">
        <v>1.3</v>
      </c>
      <c r="Y186" s="82">
        <f t="shared" si="21"/>
        <v>38.272000000000006</v>
      </c>
      <c r="Z186" s="82">
        <f t="shared" si="23"/>
        <v>11.539469830637579</v>
      </c>
      <c r="AA186" s="82" t="str">
        <f t="shared" si="19"/>
        <v>Pin Laricio_F2_Classique_GS Pineraies des plaines du Centre et du Nord Ouest_21_</v>
      </c>
      <c r="AB186" s="79">
        <v>21</v>
      </c>
      <c r="AC186" s="82">
        <f t="shared" si="22"/>
        <v>86.754976621693785</v>
      </c>
      <c r="AD186" s="86">
        <f t="shared" si="20"/>
        <v>0</v>
      </c>
      <c r="AE186" s="86">
        <f t="shared" si="26"/>
        <v>399.25429082580115</v>
      </c>
    </row>
    <row r="187" spans="1:31" hidden="1" x14ac:dyDescent="0.25">
      <c r="A187" s="79" t="s">
        <v>234</v>
      </c>
      <c r="B187" s="79" t="s">
        <v>10</v>
      </c>
      <c r="C187" s="79" t="s">
        <v>18</v>
      </c>
      <c r="D187" s="89" t="s">
        <v>235</v>
      </c>
      <c r="E187" s="79">
        <v>333</v>
      </c>
      <c r="F187" s="79">
        <v>27</v>
      </c>
      <c r="G187" s="79">
        <v>14.3</v>
      </c>
      <c r="H187" s="83">
        <v>944</v>
      </c>
      <c r="I187" s="83">
        <v>24.4</v>
      </c>
      <c r="J187" s="83">
        <v>164</v>
      </c>
      <c r="K187" s="83">
        <v>23</v>
      </c>
      <c r="L187" s="83">
        <v>18</v>
      </c>
      <c r="M187" s="84">
        <v>294</v>
      </c>
      <c r="N187" s="84">
        <v>7.2</v>
      </c>
      <c r="O187" s="84">
        <v>48</v>
      </c>
      <c r="P187" s="85">
        <v>650</v>
      </c>
      <c r="Q187" s="85">
        <v>17.2</v>
      </c>
      <c r="R187" s="85"/>
      <c r="S187" s="85">
        <v>117</v>
      </c>
      <c r="T187" s="80"/>
      <c r="U187" s="80"/>
      <c r="V187" s="81" t="str">
        <f>+IF(I187=0,"ap","av_ap")</f>
        <v>av_ap</v>
      </c>
      <c r="W187" s="81">
        <f>+VLOOKUP(A187,infradensité!$A$2:$B$67,2,FALSE)</f>
        <v>0.46</v>
      </c>
      <c r="X187" s="81">
        <v>1.3</v>
      </c>
      <c r="Y187" s="82">
        <f t="shared" si="21"/>
        <v>98.072000000000017</v>
      </c>
      <c r="Z187" s="82">
        <f t="shared" si="23"/>
        <v>26.50215899830313</v>
      </c>
      <c r="AA187" s="82" t="str">
        <f t="shared" si="19"/>
        <v>Pin Laricio_F2_Classique_GS Pineraies des plaines du Centre et du Nord Ouest_27_</v>
      </c>
      <c r="AB187" s="79">
        <v>27</v>
      </c>
      <c r="AC187" s="82">
        <f t="shared" si="22"/>
        <v>216.96666025537797</v>
      </c>
      <c r="AD187" s="86">
        <f t="shared" si="20"/>
        <v>911.16491063121532</v>
      </c>
      <c r="AE187" s="86">
        <f t="shared" si="26"/>
        <v>399.25429082580115</v>
      </c>
    </row>
    <row r="188" spans="1:31" hidden="1" x14ac:dyDescent="0.25">
      <c r="A188" s="79" t="s">
        <v>234</v>
      </c>
      <c r="B188" s="79" t="s">
        <v>10</v>
      </c>
      <c r="C188" s="79" t="s">
        <v>18</v>
      </c>
      <c r="D188" s="89" t="s">
        <v>235</v>
      </c>
      <c r="E188" s="79">
        <v>333</v>
      </c>
      <c r="F188" s="79">
        <v>27</v>
      </c>
      <c r="G188" s="79">
        <v>14.3</v>
      </c>
      <c r="H188" s="85">
        <v>650</v>
      </c>
      <c r="I188" s="85">
        <v>17.2</v>
      </c>
      <c r="J188" s="85">
        <v>117</v>
      </c>
      <c r="K188" s="85">
        <v>117</v>
      </c>
      <c r="L188" s="83"/>
      <c r="M188" s="84"/>
      <c r="N188" s="84"/>
      <c r="O188" s="84"/>
      <c r="P188" s="85"/>
      <c r="Q188" s="85"/>
      <c r="R188" s="85"/>
      <c r="S188" s="85"/>
      <c r="T188" s="80"/>
      <c r="U188" s="80"/>
      <c r="V188" s="81" t="s">
        <v>53</v>
      </c>
      <c r="W188" s="81">
        <f>+VLOOKUP(A188,infradensité!$A$2:$B$67,2,FALSE)</f>
        <v>0.46</v>
      </c>
      <c r="X188" s="81">
        <v>1.3</v>
      </c>
      <c r="Y188" s="82">
        <f t="shared" si="21"/>
        <v>69.966000000000008</v>
      </c>
      <c r="Z188" s="82">
        <f t="shared" si="23"/>
        <v>19.665013934342461</v>
      </c>
      <c r="AA188" s="82" t="str">
        <f t="shared" si="19"/>
        <v>Pin Laricio_F2_Classique_GS Pineraies des plaines du Centre et du Nord Ouest_27_</v>
      </c>
      <c r="AB188" s="79">
        <v>27</v>
      </c>
      <c r="AC188" s="82">
        <f t="shared" si="22"/>
        <v>156.10734926897979</v>
      </c>
      <c r="AD188" s="86">
        <f t="shared" si="20"/>
        <v>0</v>
      </c>
      <c r="AE188" s="86">
        <f t="shared" si="26"/>
        <v>399.25429082580115</v>
      </c>
    </row>
    <row r="189" spans="1:31" hidden="1" x14ac:dyDescent="0.25">
      <c r="A189" s="86" t="s">
        <v>234</v>
      </c>
      <c r="B189" s="86" t="s">
        <v>10</v>
      </c>
      <c r="C189" s="86" t="s">
        <v>18</v>
      </c>
      <c r="D189" s="87" t="s">
        <v>235</v>
      </c>
      <c r="E189" s="86">
        <v>333</v>
      </c>
      <c r="F189" s="86">
        <v>30</v>
      </c>
      <c r="G189" s="86">
        <v>17.7</v>
      </c>
      <c r="H189" s="86">
        <v>645</v>
      </c>
      <c r="I189" s="86">
        <v>27.6</v>
      </c>
      <c r="J189" s="88">
        <f>+((J190-J188)/7)*3+J188</f>
        <v>170.14285714285714</v>
      </c>
      <c r="K189" s="86">
        <v>28</v>
      </c>
      <c r="L189" s="86">
        <v>23</v>
      </c>
      <c r="M189" s="86">
        <v>204</v>
      </c>
      <c r="N189" s="86">
        <v>7.9</v>
      </c>
      <c r="O189" s="86">
        <v>67</v>
      </c>
      <c r="P189" s="86">
        <v>440</v>
      </c>
      <c r="Q189" s="86">
        <v>19.7</v>
      </c>
      <c r="R189" s="86"/>
      <c r="S189" s="86">
        <v>174</v>
      </c>
      <c r="T189" s="86"/>
      <c r="U189" s="86"/>
      <c r="V189" s="86" t="str">
        <f>+IF(I189=0,"ap","av_ap")</f>
        <v>av_ap</v>
      </c>
      <c r="W189" s="86">
        <f>+VLOOKUP(A189,infradensité!$A$2:$B$67,2,FALSE)</f>
        <v>0.46</v>
      </c>
      <c r="X189" s="86">
        <v>1.3</v>
      </c>
      <c r="Y189" s="88">
        <f t="shared" si="21"/>
        <v>101.74542857142859</v>
      </c>
      <c r="Z189" s="88">
        <f t="shared" si="23"/>
        <v>27.377402144542657</v>
      </c>
      <c r="AA189" s="88" t="str">
        <f t="shared" si="19"/>
        <v>Pin Laricio_F2_Classique_GS Pineraies des plaines du Centre et du Nord Ouest_30_</v>
      </c>
      <c r="AB189" s="86">
        <v>30</v>
      </c>
      <c r="AC189" s="88">
        <f t="shared" si="22"/>
        <v>224.88893016364992</v>
      </c>
      <c r="AD189" s="86">
        <f t="shared" si="20"/>
        <v>571.49441914894453</v>
      </c>
      <c r="AE189" s="86">
        <f t="shared" si="26"/>
        <v>399.25429082580115</v>
      </c>
    </row>
    <row r="190" spans="1:31" hidden="1" x14ac:dyDescent="0.25">
      <c r="A190" s="79" t="s">
        <v>234</v>
      </c>
      <c r="B190" s="79" t="s">
        <v>10</v>
      </c>
      <c r="C190" s="79" t="s">
        <v>18</v>
      </c>
      <c r="D190" s="89" t="s">
        <v>235</v>
      </c>
      <c r="E190" s="79">
        <v>333</v>
      </c>
      <c r="F190" s="79">
        <v>34</v>
      </c>
      <c r="G190" s="79">
        <v>17.7</v>
      </c>
      <c r="H190" s="83">
        <v>645</v>
      </c>
      <c r="I190" s="83">
        <v>27.6</v>
      </c>
      <c r="J190" s="83">
        <v>241</v>
      </c>
      <c r="K190" s="83">
        <v>28</v>
      </c>
      <c r="L190" s="83">
        <v>23</v>
      </c>
      <c r="M190" s="84">
        <v>204</v>
      </c>
      <c r="N190" s="84">
        <v>7.9</v>
      </c>
      <c r="O190" s="84">
        <v>67</v>
      </c>
      <c r="P190" s="85">
        <v>440</v>
      </c>
      <c r="Q190" s="85">
        <v>19.7</v>
      </c>
      <c r="R190" s="85"/>
      <c r="S190" s="85">
        <v>174</v>
      </c>
      <c r="T190" s="80"/>
      <c r="U190" s="80"/>
      <c r="V190" s="81" t="str">
        <f>+IF(I190=0,"ap","av_ap")</f>
        <v>av_ap</v>
      </c>
      <c r="W190" s="81">
        <f>+VLOOKUP(A190,infradensité!$A$2:$B$67,2,FALSE)</f>
        <v>0.46</v>
      </c>
      <c r="X190" s="81">
        <v>1.3</v>
      </c>
      <c r="Y190" s="82">
        <f t="shared" si="21"/>
        <v>144.11800000000002</v>
      </c>
      <c r="Z190" s="82">
        <f t="shared" si="23"/>
        <v>37.238783899454766</v>
      </c>
      <c r="AA190" s="82" t="str">
        <f t="shared" si="19"/>
        <v>Pin Laricio_F2_Classique_GS Pineraies des plaines du Centre et du Nord Ouest_34_</v>
      </c>
      <c r="AB190" s="79">
        <v>34</v>
      </c>
      <c r="AC190" s="82">
        <f t="shared" si="22"/>
        <v>315.86306529155041</v>
      </c>
      <c r="AD190" s="86">
        <f t="shared" si="20"/>
        <v>1081.5039909104007</v>
      </c>
      <c r="AE190" s="86">
        <f t="shared" si="26"/>
        <v>399.25429082580115</v>
      </c>
    </row>
    <row r="191" spans="1:31" hidden="1" x14ac:dyDescent="0.25">
      <c r="A191" s="79" t="s">
        <v>234</v>
      </c>
      <c r="B191" s="79" t="s">
        <v>10</v>
      </c>
      <c r="C191" s="79" t="s">
        <v>18</v>
      </c>
      <c r="D191" s="89" t="s">
        <v>235</v>
      </c>
      <c r="E191" s="79">
        <v>333</v>
      </c>
      <c r="F191" s="79">
        <v>34</v>
      </c>
      <c r="G191" s="79">
        <v>17.7</v>
      </c>
      <c r="H191" s="85">
        <v>440</v>
      </c>
      <c r="I191" s="85">
        <v>19.7</v>
      </c>
      <c r="J191" s="85">
        <v>174</v>
      </c>
      <c r="K191" s="85">
        <v>174</v>
      </c>
      <c r="L191" s="83"/>
      <c r="M191" s="84"/>
      <c r="N191" s="84"/>
      <c r="O191" s="84"/>
      <c r="P191" s="85"/>
      <c r="Q191" s="85"/>
      <c r="R191" s="85"/>
      <c r="S191" s="85"/>
      <c r="T191" s="80"/>
      <c r="U191" s="80"/>
      <c r="V191" s="81" t="s">
        <v>53</v>
      </c>
      <c r="W191" s="81">
        <f>+VLOOKUP(A191,infradensité!$A$2:$B$67,2,FALSE)</f>
        <v>0.46</v>
      </c>
      <c r="X191" s="81">
        <v>1.3</v>
      </c>
      <c r="Y191" s="82">
        <f t="shared" si="21"/>
        <v>104.05200000000002</v>
      </c>
      <c r="Z191" s="82">
        <f t="shared" si="23"/>
        <v>27.925087771564417</v>
      </c>
      <c r="AA191" s="82" t="str">
        <f t="shared" si="19"/>
        <v>Pin Laricio_F2_Classique_GS Pineraies des plaines du Centre et du Nord Ouest_34_</v>
      </c>
      <c r="AB191" s="79">
        <v>34</v>
      </c>
      <c r="AC191" s="82">
        <f t="shared" si="22"/>
        <v>229.8600945354747</v>
      </c>
      <c r="AD191" s="86">
        <f t="shared" si="20"/>
        <v>0</v>
      </c>
      <c r="AE191" s="86">
        <f t="shared" si="26"/>
        <v>399.25429082580115</v>
      </c>
    </row>
    <row r="192" spans="1:31" hidden="1" x14ac:dyDescent="0.25">
      <c r="A192" s="79" t="s">
        <v>234</v>
      </c>
      <c r="B192" s="79" t="s">
        <v>10</v>
      </c>
      <c r="C192" s="79" t="s">
        <v>18</v>
      </c>
      <c r="D192" s="89" t="s">
        <v>235</v>
      </c>
      <c r="E192" s="79">
        <v>333</v>
      </c>
      <c r="F192" s="79">
        <v>42</v>
      </c>
      <c r="G192" s="79">
        <v>20.8</v>
      </c>
      <c r="H192" s="83">
        <v>438</v>
      </c>
      <c r="I192" s="83">
        <v>29.7</v>
      </c>
      <c r="J192" s="83">
        <v>316</v>
      </c>
      <c r="K192" s="83">
        <v>35</v>
      </c>
      <c r="L192" s="83">
        <v>29</v>
      </c>
      <c r="M192" s="84">
        <v>128</v>
      </c>
      <c r="N192" s="84">
        <v>7.4</v>
      </c>
      <c r="O192" s="84">
        <v>77</v>
      </c>
      <c r="P192" s="85">
        <v>310</v>
      </c>
      <c r="Q192" s="85">
        <v>22.3</v>
      </c>
      <c r="R192" s="85"/>
      <c r="S192" s="85">
        <v>239</v>
      </c>
      <c r="T192" s="80"/>
      <c r="U192" s="80"/>
      <c r="V192" s="81" t="str">
        <f>+IF(I192=0,"ap","av_ap")</f>
        <v>av_ap</v>
      </c>
      <c r="W192" s="81">
        <f>+VLOOKUP(A192,infradensité!$A$2:$B$67,2,FALSE)</f>
        <v>0.46</v>
      </c>
      <c r="X192" s="81">
        <v>1.3</v>
      </c>
      <c r="Y192" s="82">
        <f t="shared" si="21"/>
        <v>188.96800000000002</v>
      </c>
      <c r="Z192" s="82">
        <f t="shared" si="23"/>
        <v>47.311720031947068</v>
      </c>
      <c r="AA192" s="82" t="str">
        <f t="shared" si="19"/>
        <v>Pin Laricio_F2_Classique_GS Pineraies des plaines du Centre et du Nord Ouest_42_</v>
      </c>
      <c r="AB192" s="79">
        <v>42</v>
      </c>
      <c r="AC192" s="82">
        <f t="shared" si="22"/>
        <v>411.52051238897451</v>
      </c>
      <c r="AD192" s="86">
        <f t="shared" si="20"/>
        <v>2565.522427697797</v>
      </c>
      <c r="AE192" s="86">
        <f t="shared" si="26"/>
        <v>399.25429082580115</v>
      </c>
    </row>
    <row r="193" spans="1:31" hidden="1" x14ac:dyDescent="0.25">
      <c r="A193" s="79" t="s">
        <v>234</v>
      </c>
      <c r="B193" s="79" t="s">
        <v>10</v>
      </c>
      <c r="C193" s="79" t="s">
        <v>18</v>
      </c>
      <c r="D193" s="89" t="s">
        <v>235</v>
      </c>
      <c r="E193" s="79">
        <v>333</v>
      </c>
      <c r="F193" s="79">
        <v>42</v>
      </c>
      <c r="G193" s="79">
        <v>20.8</v>
      </c>
      <c r="H193" s="85">
        <v>310</v>
      </c>
      <c r="I193" s="85">
        <v>22.3</v>
      </c>
      <c r="J193" s="85">
        <v>239</v>
      </c>
      <c r="K193" s="85">
        <v>239</v>
      </c>
      <c r="L193" s="83"/>
      <c r="M193" s="84"/>
      <c r="N193" s="84"/>
      <c r="O193" s="84"/>
      <c r="P193" s="85"/>
      <c r="Q193" s="85"/>
      <c r="R193" s="85"/>
      <c r="S193" s="85"/>
      <c r="T193" s="80"/>
      <c r="U193" s="80"/>
      <c r="V193" s="81" t="s">
        <v>53</v>
      </c>
      <c r="W193" s="81">
        <f>+VLOOKUP(A193,infradensité!$A$2:$B$67,2,FALSE)</f>
        <v>0.46</v>
      </c>
      <c r="X193" s="81">
        <v>1.3</v>
      </c>
      <c r="Y193" s="82">
        <f t="shared" si="21"/>
        <v>142.92200000000003</v>
      </c>
      <c r="Z193" s="82">
        <f t="shared" si="23"/>
        <v>36.965587791044591</v>
      </c>
      <c r="AA193" s="82" t="str">
        <f t="shared" si="19"/>
        <v>Pin Laricio_F2_Classique_GS Pineraies des plaines du Centre et du Nord Ouest_42_</v>
      </c>
      <c r="AB193" s="79">
        <v>42</v>
      </c>
      <c r="AC193" s="82">
        <f t="shared" si="22"/>
        <v>313.30421540273602</v>
      </c>
      <c r="AD193" s="86">
        <f t="shared" si="20"/>
        <v>0</v>
      </c>
      <c r="AE193" s="86">
        <f t="shared" si="26"/>
        <v>399.25429082580115</v>
      </c>
    </row>
    <row r="194" spans="1:31" hidden="1" x14ac:dyDescent="0.25">
      <c r="A194" s="79" t="s">
        <v>234</v>
      </c>
      <c r="B194" s="79" t="s">
        <v>10</v>
      </c>
      <c r="C194" s="79" t="s">
        <v>18</v>
      </c>
      <c r="D194" s="89" t="s">
        <v>235</v>
      </c>
      <c r="E194" s="79">
        <v>333</v>
      </c>
      <c r="F194" s="79">
        <v>52</v>
      </c>
      <c r="G194" s="79">
        <v>23.8</v>
      </c>
      <c r="H194" s="83">
        <v>308</v>
      </c>
      <c r="I194" s="83">
        <v>32.799999999999997</v>
      </c>
      <c r="J194" s="83">
        <v>408</v>
      </c>
      <c r="K194" s="83">
        <v>42</v>
      </c>
      <c r="L194" s="83">
        <v>37</v>
      </c>
      <c r="M194" s="84">
        <v>77</v>
      </c>
      <c r="N194" s="84">
        <v>6.5</v>
      </c>
      <c r="O194" s="84">
        <v>79</v>
      </c>
      <c r="P194" s="85">
        <v>230</v>
      </c>
      <c r="Q194" s="85">
        <v>26.3</v>
      </c>
      <c r="R194" s="85"/>
      <c r="S194" s="85">
        <v>329</v>
      </c>
      <c r="T194" s="80"/>
      <c r="U194" s="80"/>
      <c r="V194" s="81" t="str">
        <f>+IF(I194=0,"ap","av_ap")</f>
        <v>av_ap</v>
      </c>
      <c r="W194" s="81">
        <f>+VLOOKUP(A194,infradensité!$A$2:$B$67,2,FALSE)</f>
        <v>0.46</v>
      </c>
      <c r="X194" s="81">
        <v>1.3</v>
      </c>
      <c r="Y194" s="82">
        <f t="shared" si="21"/>
        <v>243.98400000000004</v>
      </c>
      <c r="Z194" s="82">
        <f t="shared" si="23"/>
        <v>59.295884425255011</v>
      </c>
      <c r="AA194" s="82" t="str">
        <f t="shared" si="19"/>
        <v>Pin Laricio_F2_Classique_GS Pineraies des plaines du Centre et du Nord Ouest_52_</v>
      </c>
      <c r="AB194" s="79">
        <v>52</v>
      </c>
      <c r="AC194" s="82">
        <f t="shared" si="22"/>
        <v>528.21246537398576</v>
      </c>
      <c r="AD194" s="86">
        <f t="shared" si="20"/>
        <v>4207.5834038836092</v>
      </c>
      <c r="AE194" s="86">
        <f t="shared" si="26"/>
        <v>399.25429082580115</v>
      </c>
    </row>
    <row r="195" spans="1:31" hidden="1" x14ac:dyDescent="0.25">
      <c r="A195" s="79" t="s">
        <v>234</v>
      </c>
      <c r="B195" s="79" t="s">
        <v>10</v>
      </c>
      <c r="C195" s="79" t="s">
        <v>18</v>
      </c>
      <c r="D195" s="89" t="s">
        <v>235</v>
      </c>
      <c r="E195" s="79">
        <v>333</v>
      </c>
      <c r="F195" s="79">
        <v>52</v>
      </c>
      <c r="G195" s="79">
        <v>23.8</v>
      </c>
      <c r="H195" s="85">
        <v>230</v>
      </c>
      <c r="I195" s="85">
        <v>26.3</v>
      </c>
      <c r="J195" s="85">
        <v>329</v>
      </c>
      <c r="K195" s="85">
        <v>329</v>
      </c>
      <c r="L195" s="83"/>
      <c r="M195" s="84"/>
      <c r="N195" s="84"/>
      <c r="O195" s="84"/>
      <c r="P195" s="85"/>
      <c r="Q195" s="85"/>
      <c r="R195" s="85"/>
      <c r="S195" s="85"/>
      <c r="T195" s="80"/>
      <c r="U195" s="80"/>
      <c r="V195" s="81" t="s">
        <v>53</v>
      </c>
      <c r="W195" s="81">
        <f>+VLOOKUP(A195,infradensité!$A$2:$B$67,2,FALSE)</f>
        <v>0.46</v>
      </c>
      <c r="X195" s="81">
        <v>1.3</v>
      </c>
      <c r="Y195" s="82">
        <f t="shared" si="21"/>
        <v>196.74200000000002</v>
      </c>
      <c r="Z195" s="82">
        <f t="shared" si="23"/>
        <v>49.027474951150033</v>
      </c>
      <c r="AA195" s="82" t="str">
        <f t="shared" ref="AA195:AA258" si="27">+_xlfn.CONCAT(A195,"_",B195,"_",C195,"_",D195,"_",AB195,"_")</f>
        <v>Pin Laricio_F2_Classique_GS Pineraies des plaines du Centre et du Nord Ouest_52_</v>
      </c>
      <c r="AB195" s="79">
        <v>52</v>
      </c>
      <c r="AC195" s="82">
        <f t="shared" si="22"/>
        <v>428.04850220658636</v>
      </c>
      <c r="AD195" s="86">
        <f t="shared" si="20"/>
        <v>0</v>
      </c>
      <c r="AE195" s="86">
        <f t="shared" si="26"/>
        <v>399.25429082580115</v>
      </c>
    </row>
    <row r="196" spans="1:31" hidden="1" x14ac:dyDescent="0.25">
      <c r="A196" s="79" t="s">
        <v>234</v>
      </c>
      <c r="B196" s="79" t="s">
        <v>10</v>
      </c>
      <c r="C196" s="79" t="s">
        <v>18</v>
      </c>
      <c r="D196" s="89" t="s">
        <v>235</v>
      </c>
      <c r="E196" s="79">
        <v>333</v>
      </c>
      <c r="F196" s="79">
        <v>62</v>
      </c>
      <c r="G196" s="79">
        <v>25.9</v>
      </c>
      <c r="H196" s="83">
        <v>230</v>
      </c>
      <c r="I196" s="83">
        <v>35.200000000000003</v>
      </c>
      <c r="J196" s="83">
        <v>483</v>
      </c>
      <c r="K196" s="83">
        <v>49</v>
      </c>
      <c r="L196" s="83">
        <v>44</v>
      </c>
      <c r="M196" s="84">
        <v>44</v>
      </c>
      <c r="N196" s="84">
        <v>5</v>
      </c>
      <c r="O196" s="84">
        <v>67</v>
      </c>
      <c r="P196" s="85">
        <v>185</v>
      </c>
      <c r="Q196" s="85">
        <v>30.2</v>
      </c>
      <c r="R196" s="85"/>
      <c r="S196" s="85">
        <v>416</v>
      </c>
      <c r="T196" s="80"/>
      <c r="U196" s="80"/>
      <c r="V196" s="81" t="str">
        <f>+IF(I196=0,"ap","av_ap")</f>
        <v>av_ap</v>
      </c>
      <c r="W196" s="81">
        <f>+VLOOKUP(A196,infradensité!$A$2:$B$67,2,FALSE)</f>
        <v>0.46</v>
      </c>
      <c r="X196" s="81">
        <v>1.3</v>
      </c>
      <c r="Y196" s="82">
        <f t="shared" si="21"/>
        <v>288.83400000000006</v>
      </c>
      <c r="Z196" s="82">
        <f t="shared" si="23"/>
        <v>68.830498636563377</v>
      </c>
      <c r="AA196" s="82" t="str">
        <f t="shared" si="27"/>
        <v>Pin Laricio_F2_Classique_GS Pineraies des plaines du Centre et du Nord Ouest_62_</v>
      </c>
      <c r="AB196" s="79">
        <v>62</v>
      </c>
      <c r="AC196" s="82">
        <f t="shared" si="22"/>
        <v>622.932335125348</v>
      </c>
      <c r="AD196" s="86">
        <f t="shared" ref="AD196:AD259" si="28">+IF(AC196=0,0,(AC196+AC195)*(AB196-AB195)/2)</f>
        <v>5254.9041866596708</v>
      </c>
      <c r="AE196" s="86">
        <f t="shared" si="26"/>
        <v>399.25429082580115</v>
      </c>
    </row>
    <row r="197" spans="1:31" hidden="1" x14ac:dyDescent="0.25">
      <c r="A197" s="79" t="s">
        <v>234</v>
      </c>
      <c r="B197" s="79" t="s">
        <v>10</v>
      </c>
      <c r="C197" s="79" t="s">
        <v>18</v>
      </c>
      <c r="D197" s="89" t="s">
        <v>235</v>
      </c>
      <c r="E197" s="79">
        <v>333</v>
      </c>
      <c r="F197" s="79">
        <v>62</v>
      </c>
      <c r="G197" s="79">
        <v>25.9</v>
      </c>
      <c r="H197" s="85">
        <v>185</v>
      </c>
      <c r="I197" s="85">
        <v>30.2</v>
      </c>
      <c r="J197" s="85">
        <v>416</v>
      </c>
      <c r="K197" s="85">
        <v>416</v>
      </c>
      <c r="L197" s="83"/>
      <c r="M197" s="84"/>
      <c r="N197" s="84"/>
      <c r="O197" s="84"/>
      <c r="P197" s="85"/>
      <c r="Q197" s="85"/>
      <c r="R197" s="85"/>
      <c r="S197" s="85"/>
      <c r="T197" s="80"/>
      <c r="U197" s="80"/>
      <c r="V197" s="81" t="s">
        <v>53</v>
      </c>
      <c r="W197" s="81">
        <f>+VLOOKUP(A197,infradensité!$A$2:$B$67,2,FALSE)</f>
        <v>0.46</v>
      </c>
      <c r="X197" s="81">
        <v>1.3</v>
      </c>
      <c r="Y197" s="82">
        <f t="shared" si="21"/>
        <v>248.76800000000003</v>
      </c>
      <c r="Z197" s="82">
        <f t="shared" si="23"/>
        <v>60.322050791163747</v>
      </c>
      <c r="AA197" s="82" t="str">
        <f t="shared" si="27"/>
        <v>Pin Laricio_F2_Classique_GS Pineraies des plaines du Centre et du Nord Ouest_62_</v>
      </c>
      <c r="AB197" s="79">
        <v>62</v>
      </c>
      <c r="AC197" s="82">
        <f t="shared" si="22"/>
        <v>538.3318384612769</v>
      </c>
      <c r="AD197" s="86">
        <f t="shared" si="28"/>
        <v>0</v>
      </c>
      <c r="AE197" s="86">
        <f t="shared" si="26"/>
        <v>399.25429082580115</v>
      </c>
    </row>
    <row r="198" spans="1:31" hidden="1" x14ac:dyDescent="0.25">
      <c r="A198" s="79" t="s">
        <v>234</v>
      </c>
      <c r="B198" s="79" t="s">
        <v>10</v>
      </c>
      <c r="C198" s="79" t="s">
        <v>18</v>
      </c>
      <c r="D198" s="89" t="s">
        <v>235</v>
      </c>
      <c r="E198" s="79">
        <v>333</v>
      </c>
      <c r="F198" s="79">
        <v>72</v>
      </c>
      <c r="G198" s="79">
        <v>27.4</v>
      </c>
      <c r="H198" s="83">
        <v>185</v>
      </c>
      <c r="I198" s="83">
        <v>37.6</v>
      </c>
      <c r="J198" s="83">
        <v>550</v>
      </c>
      <c r="K198" s="83">
        <v>54</v>
      </c>
      <c r="L198" s="83">
        <v>51</v>
      </c>
      <c r="M198" s="84">
        <v>30</v>
      </c>
      <c r="N198" s="84">
        <v>4.2</v>
      </c>
      <c r="O198" s="84">
        <v>60</v>
      </c>
      <c r="P198" s="85">
        <v>155</v>
      </c>
      <c r="Q198" s="85">
        <v>33.299999999999997</v>
      </c>
      <c r="R198" s="85"/>
      <c r="S198" s="85">
        <v>490</v>
      </c>
      <c r="T198" s="80"/>
      <c r="U198" s="80"/>
      <c r="V198" s="81" t="str">
        <f>+IF(I198=0,"ap","av_ap")</f>
        <v>av_ap</v>
      </c>
      <c r="W198" s="81">
        <f>+VLOOKUP(A198,infradensité!$A$2:$B$67,2,FALSE)</f>
        <v>0.46</v>
      </c>
      <c r="X198" s="81">
        <v>1.3</v>
      </c>
      <c r="Y198" s="82">
        <f t="shared" si="21"/>
        <v>328.90000000000003</v>
      </c>
      <c r="Z198" s="82">
        <f t="shared" si="23"/>
        <v>77.202204808855612</v>
      </c>
      <c r="AA198" s="82" t="str">
        <f t="shared" si="27"/>
        <v>Pin Laricio_F2_Classique_GS Pineraies des plaines du Centre et du Nord Ouest_72_</v>
      </c>
      <c r="AB198" s="79">
        <v>72</v>
      </c>
      <c r="AC198" s="82">
        <f t="shared" si="22"/>
        <v>707.29467337542349</v>
      </c>
      <c r="AD198" s="86">
        <f t="shared" si="28"/>
        <v>6228.132559183503</v>
      </c>
      <c r="AE198" s="86">
        <f t="shared" si="26"/>
        <v>399.25429082580115</v>
      </c>
    </row>
    <row r="199" spans="1:31" hidden="1" x14ac:dyDescent="0.25">
      <c r="A199" s="79" t="s">
        <v>234</v>
      </c>
      <c r="B199" s="79" t="s">
        <v>10</v>
      </c>
      <c r="C199" s="79" t="s">
        <v>18</v>
      </c>
      <c r="D199" s="89" t="s">
        <v>235</v>
      </c>
      <c r="E199" s="79">
        <v>333</v>
      </c>
      <c r="F199" s="79">
        <v>72</v>
      </c>
      <c r="G199" s="79">
        <v>27.4</v>
      </c>
      <c r="H199" s="85">
        <v>155</v>
      </c>
      <c r="I199" s="85">
        <v>33.299999999999997</v>
      </c>
      <c r="J199" s="85">
        <v>490</v>
      </c>
      <c r="K199" s="85">
        <v>490</v>
      </c>
      <c r="L199" s="83"/>
      <c r="M199" s="84"/>
      <c r="N199" s="84"/>
      <c r="O199" s="84"/>
      <c r="P199" s="85"/>
      <c r="Q199" s="85"/>
      <c r="R199" s="85"/>
      <c r="S199" s="85"/>
      <c r="T199" s="80"/>
      <c r="U199" s="80"/>
      <c r="V199" s="81" t="s">
        <v>53</v>
      </c>
      <c r="W199" s="81">
        <f>+VLOOKUP(A199,infradensité!$A$2:$B$67,2,FALSE)</f>
        <v>0.46</v>
      </c>
      <c r="X199" s="81">
        <v>1.3</v>
      </c>
      <c r="Y199" s="82">
        <f t="shared" si="21"/>
        <v>293.02000000000004</v>
      </c>
      <c r="Z199" s="82">
        <f t="shared" si="23"/>
        <v>69.71118854917674</v>
      </c>
      <c r="AA199" s="82" t="str">
        <f t="shared" si="27"/>
        <v>Pin Laricio_F2_Classique_GS Pineraies des plaines du Centre et du Nord Ouest_72_</v>
      </c>
      <c r="AB199" s="79">
        <v>72</v>
      </c>
      <c r="AC199" s="82">
        <f t="shared" si="22"/>
        <v>631.75682005648275</v>
      </c>
      <c r="AD199" s="86">
        <f t="shared" si="28"/>
        <v>0</v>
      </c>
      <c r="AE199" s="86">
        <f t="shared" si="26"/>
        <v>399.25429082580115</v>
      </c>
    </row>
    <row r="200" spans="1:31" hidden="1" x14ac:dyDescent="0.25">
      <c r="A200" s="79" t="s">
        <v>234</v>
      </c>
      <c r="B200" s="79" t="s">
        <v>10</v>
      </c>
      <c r="C200" s="79" t="s">
        <v>18</v>
      </c>
      <c r="D200" s="89" t="s">
        <v>235</v>
      </c>
      <c r="E200" s="79">
        <v>333</v>
      </c>
      <c r="F200" s="79">
        <v>80</v>
      </c>
      <c r="G200" s="79">
        <v>28.3</v>
      </c>
      <c r="H200" s="83">
        <v>155</v>
      </c>
      <c r="I200" s="83">
        <v>38.200000000000003</v>
      </c>
      <c r="J200" s="83">
        <v>581</v>
      </c>
      <c r="K200" s="83">
        <v>59</v>
      </c>
      <c r="L200" s="83">
        <v>56</v>
      </c>
      <c r="M200" s="84"/>
      <c r="N200" s="84"/>
      <c r="O200" s="84"/>
      <c r="P200" s="85">
        <v>155</v>
      </c>
      <c r="Q200" s="85">
        <v>38.200000000000003</v>
      </c>
      <c r="R200" s="85"/>
      <c r="S200" s="85">
        <v>581</v>
      </c>
      <c r="T200" s="80"/>
      <c r="U200" s="80"/>
      <c r="V200" s="81" t="str">
        <f>+IF(I200=0,"ap","av_ap")</f>
        <v>av_ap</v>
      </c>
      <c r="W200" s="81">
        <f>+VLOOKUP(A200,infradensité!$A$2:$B$67,2,FALSE)</f>
        <v>0.46</v>
      </c>
      <c r="X200" s="81">
        <v>1.3</v>
      </c>
      <c r="Y200" s="82">
        <f t="shared" si="21"/>
        <v>347.43800000000005</v>
      </c>
      <c r="Z200" s="82">
        <f t="shared" si="23"/>
        <v>81.034743470048156</v>
      </c>
      <c r="AA200" s="82" t="str">
        <f t="shared" si="27"/>
        <v>Pin Laricio_F2_Classique_GS Pineraies des plaines du Centre et du Nord Ouest_80_</v>
      </c>
      <c r="AB200" s="79">
        <v>80</v>
      </c>
      <c r="AC200" s="82">
        <f t="shared" si="22"/>
        <v>746.25669487700054</v>
      </c>
      <c r="AD200" s="86">
        <f t="shared" si="28"/>
        <v>5512.0540597339332</v>
      </c>
      <c r="AE200" s="86">
        <f t="shared" si="26"/>
        <v>399.25429082580115</v>
      </c>
    </row>
    <row r="201" spans="1:31" hidden="1" x14ac:dyDescent="0.25">
      <c r="A201" s="79" t="s">
        <v>234</v>
      </c>
      <c r="B201" s="79" t="s">
        <v>10</v>
      </c>
      <c r="C201" s="79" t="s">
        <v>18</v>
      </c>
      <c r="D201" s="89" t="s">
        <v>235</v>
      </c>
      <c r="E201" s="79">
        <v>333</v>
      </c>
      <c r="F201" s="79">
        <v>80</v>
      </c>
      <c r="G201" s="79">
        <v>28.3</v>
      </c>
      <c r="H201" s="85">
        <v>155</v>
      </c>
      <c r="I201" s="85">
        <v>38.200000000000003</v>
      </c>
      <c r="J201" s="85">
        <v>581</v>
      </c>
      <c r="K201" s="85">
        <v>581</v>
      </c>
      <c r="L201" s="83"/>
      <c r="M201" s="84"/>
      <c r="N201" s="84"/>
      <c r="O201" s="84"/>
      <c r="P201" s="85"/>
      <c r="Q201" s="85"/>
      <c r="R201" s="85"/>
      <c r="S201" s="85"/>
      <c r="T201" s="80"/>
      <c r="U201" s="80"/>
      <c r="V201" s="81" t="s">
        <v>53</v>
      </c>
      <c r="W201" s="81">
        <f>+VLOOKUP(A201,infradensité!$A$2:$B$67,2,FALSE)</f>
        <v>0.46</v>
      </c>
      <c r="X201" s="81">
        <v>1.3</v>
      </c>
      <c r="Y201" s="82">
        <f t="shared" si="21"/>
        <v>347.43800000000005</v>
      </c>
      <c r="Z201" s="82">
        <f t="shared" si="23"/>
        <v>81.034743470048156</v>
      </c>
      <c r="AA201" s="82" t="str">
        <f t="shared" si="27"/>
        <v>Pin Laricio_F2_Classique_GS Pineraies des plaines du Centre et du Nord Ouest_80_</v>
      </c>
      <c r="AB201" s="79">
        <v>80</v>
      </c>
      <c r="AC201" s="82">
        <f t="shared" si="22"/>
        <v>746.25669487700054</v>
      </c>
      <c r="AD201" s="86">
        <f t="shared" si="28"/>
        <v>0</v>
      </c>
      <c r="AE201" s="86">
        <f t="shared" si="26"/>
        <v>399.25429082580115</v>
      </c>
    </row>
    <row r="202" spans="1:31" hidden="1" x14ac:dyDescent="0.25">
      <c r="A202" s="79" t="s">
        <v>234</v>
      </c>
      <c r="B202" s="79" t="s">
        <v>10</v>
      </c>
      <c r="C202" s="79" t="s">
        <v>18</v>
      </c>
      <c r="D202" s="89" t="s">
        <v>235</v>
      </c>
      <c r="E202" s="79">
        <v>333</v>
      </c>
      <c r="F202" s="79">
        <v>90</v>
      </c>
      <c r="G202" s="79">
        <v>29.1</v>
      </c>
      <c r="H202" s="83">
        <v>155</v>
      </c>
      <c r="I202" s="83">
        <v>42.3</v>
      </c>
      <c r="J202" s="83">
        <v>678</v>
      </c>
      <c r="K202" s="83">
        <v>62</v>
      </c>
      <c r="L202" s="83">
        <v>60</v>
      </c>
      <c r="M202" s="84"/>
      <c r="N202" s="84"/>
      <c r="O202" s="84"/>
      <c r="P202" s="85">
        <v>155</v>
      </c>
      <c r="Q202" s="85">
        <v>43.3</v>
      </c>
      <c r="R202" s="85"/>
      <c r="S202" s="85">
        <v>678</v>
      </c>
      <c r="T202" s="80"/>
      <c r="U202" s="80"/>
      <c r="V202" s="81" t="str">
        <f>+IF(I202=0,"ap","av_ap")</f>
        <v>av_ap</v>
      </c>
      <c r="W202" s="81">
        <f>+VLOOKUP(A202,infradensité!$A$2:$B$67,2,FALSE)</f>
        <v>0.46</v>
      </c>
      <c r="X202" s="81">
        <v>1.3</v>
      </c>
      <c r="Y202" s="82">
        <f t="shared" si="21"/>
        <v>405.44400000000007</v>
      </c>
      <c r="Z202" s="82">
        <f t="shared" si="23"/>
        <v>92.879482837859186</v>
      </c>
      <c r="AA202" s="82" t="str">
        <f t="shared" si="27"/>
        <v>Pin Laricio_F2_Classique_GS Pineraies des plaines du Centre et du Nord Ouest_90_</v>
      </c>
      <c r="AB202" s="79">
        <v>90</v>
      </c>
      <c r="AC202" s="82">
        <f t="shared" si="22"/>
        <v>867.9133992759381</v>
      </c>
      <c r="AD202" s="86">
        <f t="shared" si="28"/>
        <v>8070.8504707646935</v>
      </c>
      <c r="AE202" s="86">
        <f t="shared" si="26"/>
        <v>399.25429082580115</v>
      </c>
    </row>
    <row r="203" spans="1:31" hidden="1" x14ac:dyDescent="0.25">
      <c r="A203" s="79" t="s">
        <v>234</v>
      </c>
      <c r="B203" s="79" t="s">
        <v>10</v>
      </c>
      <c r="C203" s="79" t="s">
        <v>18</v>
      </c>
      <c r="D203" s="89" t="s">
        <v>235</v>
      </c>
      <c r="E203" s="79">
        <v>333</v>
      </c>
      <c r="F203" s="79">
        <v>90</v>
      </c>
      <c r="G203" s="79">
        <v>29.1</v>
      </c>
      <c r="H203" s="85">
        <v>155</v>
      </c>
      <c r="I203" s="85">
        <v>43.3</v>
      </c>
      <c r="J203" s="85">
        <v>678</v>
      </c>
      <c r="K203" s="85">
        <v>678</v>
      </c>
      <c r="L203" s="83"/>
      <c r="M203" s="84"/>
      <c r="N203" s="84"/>
      <c r="O203" s="84"/>
      <c r="P203" s="85"/>
      <c r="Q203" s="85"/>
      <c r="R203" s="85"/>
      <c r="S203" s="85"/>
      <c r="T203" s="80"/>
      <c r="U203" s="80"/>
      <c r="V203" s="81" t="s">
        <v>53</v>
      </c>
      <c r="W203" s="81">
        <f>+VLOOKUP(A203,infradensité!$A$2:$B$67,2,FALSE)</f>
        <v>0.46</v>
      </c>
      <c r="X203" s="81">
        <v>1.3</v>
      </c>
      <c r="Y203" s="82">
        <f t="shared" si="21"/>
        <v>405.44400000000007</v>
      </c>
      <c r="Z203" s="82">
        <f t="shared" si="23"/>
        <v>92.879482837859186</v>
      </c>
      <c r="AA203" s="82" t="str">
        <f t="shared" si="27"/>
        <v>Pin Laricio_F2_Classique_GS Pineraies des plaines du Centre et du Nord Ouest_90_</v>
      </c>
      <c r="AB203" s="79">
        <v>90</v>
      </c>
      <c r="AC203" s="88">
        <v>0</v>
      </c>
      <c r="AD203" s="86">
        <f t="shared" si="28"/>
        <v>0</v>
      </c>
      <c r="AE203" s="86">
        <f t="shared" si="26"/>
        <v>399.25429082580115</v>
      </c>
    </row>
    <row r="204" spans="1:31" hidden="1" x14ac:dyDescent="0.25">
      <c r="A204" s="86" t="s">
        <v>236</v>
      </c>
      <c r="B204" s="86" t="s">
        <v>9</v>
      </c>
      <c r="C204" s="86" t="s">
        <v>18</v>
      </c>
      <c r="D204" s="87" t="s">
        <v>235</v>
      </c>
      <c r="E204" s="86">
        <v>334</v>
      </c>
      <c r="F204" s="86">
        <v>0</v>
      </c>
      <c r="G204" s="86">
        <v>8</v>
      </c>
      <c r="H204" s="86">
        <v>1250</v>
      </c>
      <c r="I204" s="86">
        <v>11</v>
      </c>
      <c r="J204" s="86">
        <v>0</v>
      </c>
      <c r="K204" s="86">
        <v>15</v>
      </c>
      <c r="L204" s="86">
        <v>11</v>
      </c>
      <c r="M204" s="86">
        <v>471</v>
      </c>
      <c r="N204" s="86">
        <v>12</v>
      </c>
      <c r="O204" s="86">
        <v>56</v>
      </c>
      <c r="P204" s="86">
        <v>1250</v>
      </c>
      <c r="Q204" s="86">
        <v>11</v>
      </c>
      <c r="R204" s="86"/>
      <c r="S204" s="86"/>
      <c r="T204" s="86"/>
      <c r="U204" s="86"/>
      <c r="V204" s="86" t="str">
        <f>+IF(I204=0,"ap","av_ap")</f>
        <v>av_ap</v>
      </c>
      <c r="W204" s="86">
        <f>+VLOOKUP(A204,infradensité!$A$2:$B$67,2,FALSE)</f>
        <v>0.46</v>
      </c>
      <c r="X204" s="86">
        <v>1.3</v>
      </c>
      <c r="Y204" s="88">
        <f t="shared" si="21"/>
        <v>0</v>
      </c>
      <c r="Z204" s="88" t="e">
        <f t="shared" si="23"/>
        <v>#NUM!</v>
      </c>
      <c r="AA204" s="88" t="str">
        <f t="shared" si="27"/>
        <v>Pin Maritime_F1_Classique_GS Pineraies des plaines du Centre et du Nord Ouest_0_</v>
      </c>
      <c r="AB204" s="86">
        <v>0</v>
      </c>
      <c r="AC204" s="88">
        <v>0</v>
      </c>
      <c r="AD204" s="86">
        <f t="shared" si="28"/>
        <v>0</v>
      </c>
      <c r="AE204" s="86">
        <f>+SUM($AD$204:$AD$222)/$AB$222</f>
        <v>403.58514131240372</v>
      </c>
    </row>
    <row r="205" spans="1:31" hidden="1" x14ac:dyDescent="0.25">
      <c r="A205" s="79" t="s">
        <v>236</v>
      </c>
      <c r="B205" s="79" t="s">
        <v>9</v>
      </c>
      <c r="C205" s="79" t="s">
        <v>18</v>
      </c>
      <c r="D205" s="89" t="s">
        <v>235</v>
      </c>
      <c r="E205" s="79">
        <v>334</v>
      </c>
      <c r="F205" s="79">
        <v>10</v>
      </c>
      <c r="G205" s="79">
        <v>8</v>
      </c>
      <c r="H205" s="83">
        <v>1250</v>
      </c>
      <c r="I205" s="83">
        <v>11</v>
      </c>
      <c r="J205" s="83">
        <v>58</v>
      </c>
      <c r="K205" s="83">
        <v>15</v>
      </c>
      <c r="L205" s="83">
        <v>11</v>
      </c>
      <c r="M205" s="84">
        <v>471</v>
      </c>
      <c r="N205" s="84">
        <v>12</v>
      </c>
      <c r="O205" s="84">
        <v>56</v>
      </c>
      <c r="P205" s="85">
        <v>1250</v>
      </c>
      <c r="Q205" s="85">
        <v>11</v>
      </c>
      <c r="R205" s="85"/>
      <c r="S205" s="85"/>
      <c r="T205" s="80"/>
      <c r="U205" s="80"/>
      <c r="V205" s="81" t="str">
        <f>+IF(I205=0,"ap","av_ap")</f>
        <v>av_ap</v>
      </c>
      <c r="W205" s="81">
        <f>+VLOOKUP(A205,infradensité!$A$2:$B$67,2,FALSE)</f>
        <v>0.46</v>
      </c>
      <c r="X205" s="81">
        <v>1.3</v>
      </c>
      <c r="Y205" s="82">
        <f t="shared" si="21"/>
        <v>34.684000000000005</v>
      </c>
      <c r="Z205" s="82">
        <f t="shared" si="23"/>
        <v>10.578161814566405</v>
      </c>
      <c r="AA205" s="82" t="str">
        <f t="shared" si="27"/>
        <v>Pin Maritime_F1_Classique_GS Pineraies des plaines du Centre et du Nord Ouest_10_</v>
      </c>
      <c r="AB205" s="79">
        <v>10</v>
      </c>
      <c r="AC205" s="82">
        <f t="shared" si="22"/>
        <v>78.831598493703169</v>
      </c>
      <c r="AD205" s="86">
        <f t="shared" si="28"/>
        <v>394.15799246851583</v>
      </c>
      <c r="AE205" s="86">
        <f t="shared" ref="AE205:AE222" si="29">+SUM($AD$204:$AD$222)/$AB$222</f>
        <v>403.58514131240372</v>
      </c>
    </row>
    <row r="206" spans="1:31" hidden="1" x14ac:dyDescent="0.25">
      <c r="A206" s="79" t="s">
        <v>236</v>
      </c>
      <c r="B206" s="79" t="s">
        <v>9</v>
      </c>
      <c r="C206" s="79" t="s">
        <v>18</v>
      </c>
      <c r="D206" s="89" t="s">
        <v>235</v>
      </c>
      <c r="E206" s="79">
        <v>334</v>
      </c>
      <c r="F206" s="79">
        <v>15</v>
      </c>
      <c r="G206" s="79">
        <v>12</v>
      </c>
      <c r="H206" s="83">
        <v>1250</v>
      </c>
      <c r="I206" s="83">
        <v>29.2</v>
      </c>
      <c r="J206" s="83">
        <v>178</v>
      </c>
      <c r="K206" s="83">
        <v>25</v>
      </c>
      <c r="L206" s="83">
        <v>17</v>
      </c>
      <c r="M206" s="84">
        <v>203</v>
      </c>
      <c r="N206" s="84">
        <v>10</v>
      </c>
      <c r="O206" s="84">
        <v>58</v>
      </c>
      <c r="P206" s="85">
        <v>779</v>
      </c>
      <c r="Q206" s="85">
        <v>19.100000000000001</v>
      </c>
      <c r="R206" s="85"/>
      <c r="S206" s="85">
        <v>122</v>
      </c>
      <c r="T206" s="80"/>
      <c r="U206" s="80"/>
      <c r="V206" s="81" t="str">
        <f>+IF(I206=0,"ap","av_ap")</f>
        <v>av_ap</v>
      </c>
      <c r="W206" s="81">
        <f>+VLOOKUP(A206,infradensité!$A$2:$B$67,2,FALSE)</f>
        <v>0.46</v>
      </c>
      <c r="X206" s="81">
        <v>1.3</v>
      </c>
      <c r="Y206" s="82">
        <f t="shared" si="21"/>
        <v>106.44400000000002</v>
      </c>
      <c r="Z206" s="82">
        <f t="shared" si="23"/>
        <v>28.491567625901922</v>
      </c>
      <c r="AA206" s="82" t="str">
        <f t="shared" si="27"/>
        <v>Pin Maritime_F1_Classique_GS Pineraies des plaines du Centre et du Nord Ouest_15_</v>
      </c>
      <c r="AB206" s="79">
        <v>15</v>
      </c>
      <c r="AC206" s="82">
        <f t="shared" si="22"/>
        <v>235.01278028177919</v>
      </c>
      <c r="AD206" s="86">
        <f t="shared" si="28"/>
        <v>784.61094693870587</v>
      </c>
      <c r="AE206" s="86">
        <f t="shared" si="29"/>
        <v>403.58514131240372</v>
      </c>
    </row>
    <row r="207" spans="1:31" hidden="1" x14ac:dyDescent="0.25">
      <c r="A207" s="79" t="s">
        <v>236</v>
      </c>
      <c r="B207" s="79" t="s">
        <v>9</v>
      </c>
      <c r="C207" s="79" t="s">
        <v>18</v>
      </c>
      <c r="D207" s="89" t="s">
        <v>235</v>
      </c>
      <c r="E207" s="79">
        <v>334</v>
      </c>
      <c r="F207" s="79">
        <v>15</v>
      </c>
      <c r="G207" s="79">
        <v>12</v>
      </c>
      <c r="H207" s="85">
        <v>779</v>
      </c>
      <c r="I207" s="85">
        <v>19.100000000000001</v>
      </c>
      <c r="J207" s="85">
        <v>122</v>
      </c>
      <c r="K207" s="85">
        <v>122</v>
      </c>
      <c r="L207" s="83"/>
      <c r="M207" s="84"/>
      <c r="N207" s="84"/>
      <c r="O207" s="84"/>
      <c r="P207" s="85"/>
      <c r="Q207" s="85"/>
      <c r="R207" s="85"/>
      <c r="S207" s="85"/>
      <c r="T207" s="80"/>
      <c r="U207" s="80"/>
      <c r="V207" s="81" t="s">
        <v>53</v>
      </c>
      <c r="W207" s="81">
        <f>+VLOOKUP(A207,infradensité!$A$2:$B$67,2,FALSE)</f>
        <v>0.46</v>
      </c>
      <c r="X207" s="81">
        <v>1.3</v>
      </c>
      <c r="Y207" s="82">
        <f t="shared" si="21"/>
        <v>72.956000000000017</v>
      </c>
      <c r="Z207" s="82">
        <f t="shared" si="23"/>
        <v>20.405760140212273</v>
      </c>
      <c r="AA207" s="82" t="str">
        <f t="shared" si="27"/>
        <v>Pin Maritime_F1_Classique_GS Pineraies des plaines du Centre et du Nord Ouest_15_</v>
      </c>
      <c r="AB207" s="79">
        <v>15</v>
      </c>
      <c r="AC207" s="82">
        <f t="shared" si="22"/>
        <v>162.60506557753638</v>
      </c>
      <c r="AD207" s="86">
        <f t="shared" si="28"/>
        <v>0</v>
      </c>
      <c r="AE207" s="86">
        <f t="shared" si="29"/>
        <v>403.58514131240372</v>
      </c>
    </row>
    <row r="208" spans="1:31" hidden="1" x14ac:dyDescent="0.25">
      <c r="A208" s="79" t="s">
        <v>236</v>
      </c>
      <c r="B208" s="79" t="s">
        <v>9</v>
      </c>
      <c r="C208" s="79" t="s">
        <v>18</v>
      </c>
      <c r="D208" s="89" t="s">
        <v>235</v>
      </c>
      <c r="E208" s="79">
        <v>334</v>
      </c>
      <c r="F208" s="79">
        <v>21</v>
      </c>
      <c r="G208" s="79">
        <v>15</v>
      </c>
      <c r="H208" s="83">
        <v>780</v>
      </c>
      <c r="I208" s="83">
        <v>31.7</v>
      </c>
      <c r="J208" s="83">
        <v>244</v>
      </c>
      <c r="K208" s="83">
        <v>31</v>
      </c>
      <c r="L208" s="83">
        <v>23</v>
      </c>
      <c r="M208" s="84">
        <v>144</v>
      </c>
      <c r="N208" s="84">
        <v>10</v>
      </c>
      <c r="O208" s="84">
        <v>79</v>
      </c>
      <c r="P208" s="85">
        <v>577</v>
      </c>
      <c r="Q208" s="85">
        <v>23.2</v>
      </c>
      <c r="R208" s="85"/>
      <c r="S208" s="85">
        <v>186</v>
      </c>
      <c r="T208" s="80"/>
      <c r="U208" s="80"/>
      <c r="V208" s="81" t="str">
        <f>+IF(I208=0,"ap","av_ap")</f>
        <v>av_ap</v>
      </c>
      <c r="W208" s="81">
        <f>+VLOOKUP(A208,infradensité!$A$2:$B$67,2,FALSE)</f>
        <v>0.46</v>
      </c>
      <c r="X208" s="81">
        <v>1.3</v>
      </c>
      <c r="Y208" s="82">
        <f t="shared" si="21"/>
        <v>145.91200000000003</v>
      </c>
      <c r="Z208" s="82">
        <f t="shared" si="23"/>
        <v>37.648084239987625</v>
      </c>
      <c r="AA208" s="82" t="str">
        <f t="shared" si="27"/>
        <v>Pin Maritime_F1_Classique_GS Pineraies des plaines du Centre et du Nord Ouest_21_</v>
      </c>
      <c r="AB208" s="79">
        <v>21</v>
      </c>
      <c r="AC208" s="82">
        <f t="shared" si="22"/>
        <v>319.70048005131179</v>
      </c>
      <c r="AD208" s="86">
        <f t="shared" si="28"/>
        <v>1446.9166368865444</v>
      </c>
      <c r="AE208" s="86">
        <f t="shared" si="29"/>
        <v>403.58514131240372</v>
      </c>
    </row>
    <row r="209" spans="1:31" hidden="1" x14ac:dyDescent="0.25">
      <c r="A209" s="79" t="s">
        <v>236</v>
      </c>
      <c r="B209" s="79" t="s">
        <v>9</v>
      </c>
      <c r="C209" s="79" t="s">
        <v>18</v>
      </c>
      <c r="D209" s="89" t="s">
        <v>235</v>
      </c>
      <c r="E209" s="79">
        <v>334</v>
      </c>
      <c r="F209" s="79">
        <v>21</v>
      </c>
      <c r="G209" s="79">
        <v>15</v>
      </c>
      <c r="H209" s="85">
        <v>577</v>
      </c>
      <c r="I209" s="85">
        <v>23.2</v>
      </c>
      <c r="J209" s="85">
        <v>186</v>
      </c>
      <c r="K209" s="85">
        <v>186</v>
      </c>
      <c r="L209" s="83"/>
      <c r="M209" s="84"/>
      <c r="N209" s="84"/>
      <c r="O209" s="84"/>
      <c r="P209" s="85"/>
      <c r="Q209" s="85"/>
      <c r="R209" s="85"/>
      <c r="S209" s="85"/>
      <c r="T209" s="80"/>
      <c r="U209" s="80"/>
      <c r="V209" s="81" t="s">
        <v>53</v>
      </c>
      <c r="W209" s="81">
        <f>+VLOOKUP(A209,infradensité!$A$2:$B$67,2,FALSE)</f>
        <v>0.46</v>
      </c>
      <c r="X209" s="81">
        <v>1.3</v>
      </c>
      <c r="Y209" s="82">
        <f t="shared" si="21"/>
        <v>111.22800000000002</v>
      </c>
      <c r="Z209" s="82">
        <f t="shared" si="23"/>
        <v>29.620123744783829</v>
      </c>
      <c r="AA209" s="82" t="str">
        <f t="shared" si="27"/>
        <v>Pin Maritime_F1_Classique_GS Pineraies des plaines du Centre et du Nord Ouest_21_</v>
      </c>
      <c r="AB209" s="79">
        <v>21</v>
      </c>
      <c r="AC209" s="82">
        <f t="shared" si="22"/>
        <v>245.31048218883188</v>
      </c>
      <c r="AD209" s="86">
        <f t="shared" si="28"/>
        <v>0</v>
      </c>
      <c r="AE209" s="86">
        <f t="shared" si="29"/>
        <v>403.58514131240372</v>
      </c>
    </row>
    <row r="210" spans="1:31" hidden="1" x14ac:dyDescent="0.25">
      <c r="A210" s="79" t="s">
        <v>236</v>
      </c>
      <c r="B210" s="79" t="s">
        <v>9</v>
      </c>
      <c r="C210" s="79" t="s">
        <v>18</v>
      </c>
      <c r="D210" s="89" t="s">
        <v>235</v>
      </c>
      <c r="E210" s="79">
        <v>334</v>
      </c>
      <c r="F210" s="79">
        <v>27</v>
      </c>
      <c r="G210" s="79">
        <v>18.5</v>
      </c>
      <c r="H210" s="83">
        <v>580</v>
      </c>
      <c r="I210" s="83">
        <v>35.799999999999997</v>
      </c>
      <c r="J210" s="83">
        <v>340</v>
      </c>
      <c r="K210" s="83">
        <v>37</v>
      </c>
      <c r="L210" s="83">
        <v>28</v>
      </c>
      <c r="M210" s="84">
        <v>86</v>
      </c>
      <c r="N210" s="84">
        <v>9</v>
      </c>
      <c r="O210" s="84">
        <v>88</v>
      </c>
      <c r="P210" s="85">
        <v>436</v>
      </c>
      <c r="Q210" s="85">
        <v>27.5</v>
      </c>
      <c r="R210" s="85"/>
      <c r="S210" s="85">
        <v>261</v>
      </c>
      <c r="T210" s="80"/>
      <c r="U210" s="80"/>
      <c r="V210" s="81" t="str">
        <f>+IF(I210=0,"ap","av_ap")</f>
        <v>av_ap</v>
      </c>
      <c r="W210" s="81">
        <f>+VLOOKUP(A210,infradensité!$A$2:$B$67,2,FALSE)</f>
        <v>0.46</v>
      </c>
      <c r="X210" s="81">
        <v>1.3</v>
      </c>
      <c r="Y210" s="82">
        <f t="shared" si="21"/>
        <v>203.32000000000002</v>
      </c>
      <c r="Z210" s="82">
        <f t="shared" si="23"/>
        <v>50.473102640215579</v>
      </c>
      <c r="AA210" s="82" t="str">
        <f t="shared" si="27"/>
        <v>Pin Maritime_F1_Classique_GS Pineraies des plaines du Centre et du Nord Ouest_27_</v>
      </c>
      <c r="AB210" s="79">
        <v>27</v>
      </c>
      <c r="AC210" s="82">
        <f t="shared" si="22"/>
        <v>442.02298709837549</v>
      </c>
      <c r="AD210" s="86">
        <f t="shared" si="28"/>
        <v>2062.0004078616221</v>
      </c>
      <c r="AE210" s="86">
        <f t="shared" si="29"/>
        <v>403.58514131240372</v>
      </c>
    </row>
    <row r="211" spans="1:31" hidden="1" x14ac:dyDescent="0.25">
      <c r="A211" s="79" t="s">
        <v>236</v>
      </c>
      <c r="B211" s="79" t="s">
        <v>9</v>
      </c>
      <c r="C211" s="79" t="s">
        <v>18</v>
      </c>
      <c r="D211" s="89" t="s">
        <v>235</v>
      </c>
      <c r="E211" s="79">
        <v>334</v>
      </c>
      <c r="F211" s="79">
        <v>27</v>
      </c>
      <c r="G211" s="79">
        <v>18.5</v>
      </c>
      <c r="H211" s="85">
        <v>436</v>
      </c>
      <c r="I211" s="85">
        <v>27.5</v>
      </c>
      <c r="J211" s="85">
        <v>261</v>
      </c>
      <c r="K211" s="85">
        <v>261</v>
      </c>
      <c r="L211" s="83"/>
      <c r="M211" s="84"/>
      <c r="N211" s="84"/>
      <c r="O211" s="84"/>
      <c r="P211" s="85"/>
      <c r="Q211" s="85"/>
      <c r="R211" s="85"/>
      <c r="S211" s="85"/>
      <c r="T211" s="80"/>
      <c r="U211" s="80"/>
      <c r="V211" s="81" t="s">
        <v>53</v>
      </c>
      <c r="W211" s="81">
        <f>+VLOOKUP(A211,infradensité!$A$2:$B$67,2,FALSE)</f>
        <v>0.46</v>
      </c>
      <c r="X211" s="81">
        <v>1.3</v>
      </c>
      <c r="Y211" s="82">
        <f t="shared" si="21"/>
        <v>156.07800000000003</v>
      </c>
      <c r="Z211" s="82">
        <f t="shared" si="23"/>
        <v>39.956623674978466</v>
      </c>
      <c r="AA211" s="82" t="str">
        <f t="shared" si="27"/>
        <v>Pin Maritime_F1_Classique_GS Pineraies des plaines du Centre et du Nord Ouest_27_</v>
      </c>
      <c r="AB211" s="79">
        <v>27</v>
      </c>
      <c r="AC211" s="82">
        <f t="shared" si="22"/>
        <v>341.42696956725422</v>
      </c>
      <c r="AD211" s="86">
        <f t="shared" si="28"/>
        <v>0</v>
      </c>
      <c r="AE211" s="86">
        <f t="shared" si="29"/>
        <v>403.58514131240372</v>
      </c>
    </row>
    <row r="212" spans="1:31" hidden="1" x14ac:dyDescent="0.25">
      <c r="A212" s="86" t="s">
        <v>236</v>
      </c>
      <c r="B212" s="86" t="s">
        <v>9</v>
      </c>
      <c r="C212" s="86" t="s">
        <v>18</v>
      </c>
      <c r="D212" s="87" t="s">
        <v>235</v>
      </c>
      <c r="E212" s="86">
        <v>334</v>
      </c>
      <c r="F212" s="86">
        <v>30</v>
      </c>
      <c r="G212" s="86">
        <v>23</v>
      </c>
      <c r="H212" s="86">
        <v>436</v>
      </c>
      <c r="I212" s="86">
        <v>38.299999999999997</v>
      </c>
      <c r="J212" s="86">
        <f>+(J213-J211)/8*3+J211</f>
        <v>331.5</v>
      </c>
      <c r="K212" s="86">
        <v>43</v>
      </c>
      <c r="L212" s="86">
        <v>33</v>
      </c>
      <c r="M212" s="86">
        <v>60</v>
      </c>
      <c r="N212" s="86">
        <v>8</v>
      </c>
      <c r="O212" s="86">
        <v>89</v>
      </c>
      <c r="P212" s="86">
        <v>350</v>
      </c>
      <c r="Q212" s="86">
        <v>30.8</v>
      </c>
      <c r="R212" s="86"/>
      <c r="S212" s="86">
        <v>361</v>
      </c>
      <c r="T212" s="86"/>
      <c r="U212" s="86"/>
      <c r="V212" s="86" t="str">
        <f>+IF(I212=0,"ap","av_ap")</f>
        <v>av_ap</v>
      </c>
      <c r="W212" s="86">
        <f>+VLOOKUP(A212,infradensité!$A$2:$B$67,2,FALSE)</f>
        <v>0.46</v>
      </c>
      <c r="X212" s="86">
        <v>1.3</v>
      </c>
      <c r="Y212" s="88">
        <f t="shared" si="21"/>
        <v>198.23700000000002</v>
      </c>
      <c r="Z212" s="88">
        <f t="shared" si="23"/>
        <v>49.356514254260809</v>
      </c>
      <c r="AA212" s="88" t="str">
        <f t="shared" si="27"/>
        <v>Pin Maritime_F1_Classique_GS Pineraies des plaines du Centre et du Nord Ouest_30_</v>
      </c>
      <c r="AB212" s="86">
        <v>30</v>
      </c>
      <c r="AC212" s="88">
        <f t="shared" si="22"/>
        <v>431.22537065950428</v>
      </c>
      <c r="AD212" s="86">
        <f t="shared" si="28"/>
        <v>1158.9785103401377</v>
      </c>
      <c r="AE212" s="86">
        <f t="shared" si="29"/>
        <v>403.58514131240372</v>
      </c>
    </row>
    <row r="213" spans="1:31" hidden="1" x14ac:dyDescent="0.25">
      <c r="A213" s="79" t="s">
        <v>236</v>
      </c>
      <c r="B213" s="79" t="s">
        <v>9</v>
      </c>
      <c r="C213" s="79" t="s">
        <v>18</v>
      </c>
      <c r="D213" s="89" t="s">
        <v>235</v>
      </c>
      <c r="E213" s="79">
        <v>334</v>
      </c>
      <c r="F213" s="79">
        <v>35</v>
      </c>
      <c r="G213" s="79">
        <v>23</v>
      </c>
      <c r="H213" s="83">
        <v>436</v>
      </c>
      <c r="I213" s="83">
        <v>38.299999999999997</v>
      </c>
      <c r="J213" s="83">
        <v>449</v>
      </c>
      <c r="K213" s="83">
        <v>43</v>
      </c>
      <c r="L213" s="83">
        <v>33</v>
      </c>
      <c r="M213" s="84">
        <v>60</v>
      </c>
      <c r="N213" s="84">
        <v>8</v>
      </c>
      <c r="O213" s="84">
        <v>89</v>
      </c>
      <c r="P213" s="85">
        <v>350</v>
      </c>
      <c r="Q213" s="85">
        <v>30.8</v>
      </c>
      <c r="R213" s="85"/>
      <c r="S213" s="85">
        <v>361</v>
      </c>
      <c r="T213" s="80"/>
      <c r="U213" s="80"/>
      <c r="V213" s="81" t="str">
        <f>+IF(I213=0,"ap","av_ap")</f>
        <v>av_ap</v>
      </c>
      <c r="W213" s="81">
        <f>+VLOOKUP(A213,infradensité!$A$2:$B$67,2,FALSE)</f>
        <v>0.46</v>
      </c>
      <c r="X213" s="81">
        <v>1.3</v>
      </c>
      <c r="Y213" s="82">
        <f t="shared" si="21"/>
        <v>268.50200000000007</v>
      </c>
      <c r="Z213" s="82">
        <f t="shared" si="23"/>
        <v>64.531253013339168</v>
      </c>
      <c r="AA213" s="82" t="str">
        <f t="shared" si="27"/>
        <v>Pin Maritime_F1_Classique_GS Pineraies des plaines du Centre et du Nord Ouest_35_</v>
      </c>
      <c r="AB213" s="79">
        <v>35</v>
      </c>
      <c r="AC213" s="82">
        <f t="shared" si="22"/>
        <v>580.03291566489906</v>
      </c>
      <c r="AD213" s="86">
        <f t="shared" si="28"/>
        <v>2528.1457158110084</v>
      </c>
      <c r="AE213" s="86">
        <f t="shared" si="29"/>
        <v>403.58514131240372</v>
      </c>
    </row>
    <row r="214" spans="1:31" hidden="1" x14ac:dyDescent="0.25">
      <c r="A214" s="79" t="s">
        <v>236</v>
      </c>
      <c r="B214" s="79" t="s">
        <v>9</v>
      </c>
      <c r="C214" s="79" t="s">
        <v>18</v>
      </c>
      <c r="D214" s="89" t="s">
        <v>235</v>
      </c>
      <c r="E214" s="79">
        <v>334</v>
      </c>
      <c r="F214" s="79">
        <v>35</v>
      </c>
      <c r="G214" s="79">
        <v>23</v>
      </c>
      <c r="H214" s="85">
        <v>350</v>
      </c>
      <c r="I214" s="85">
        <v>30.8</v>
      </c>
      <c r="J214" s="85">
        <v>361</v>
      </c>
      <c r="K214" s="85">
        <v>361</v>
      </c>
      <c r="L214" s="83"/>
      <c r="M214" s="84"/>
      <c r="N214" s="84"/>
      <c r="O214" s="84"/>
      <c r="P214" s="85"/>
      <c r="Q214" s="85"/>
      <c r="R214" s="85"/>
      <c r="S214" s="85"/>
      <c r="T214" s="80"/>
      <c r="U214" s="80"/>
      <c r="V214" s="81" t="s">
        <v>53</v>
      </c>
      <c r="W214" s="81">
        <f>+VLOOKUP(A214,infradensité!$A$2:$B$67,2,FALSE)</f>
        <v>0.46</v>
      </c>
      <c r="X214" s="81">
        <v>1.3</v>
      </c>
      <c r="Y214" s="82">
        <f t="shared" ref="Y214:Y281" si="30">+X214*W214*J214</f>
        <v>215.87800000000004</v>
      </c>
      <c r="Z214" s="82">
        <f t="shared" si="23"/>
        <v>53.218005570801431</v>
      </c>
      <c r="AA214" s="82" t="str">
        <f t="shared" si="27"/>
        <v>Pin Maritime_F1_Classique_GS Pineraies des plaines du Centre et du Nord Ouest_35_</v>
      </c>
      <c r="AB214" s="79">
        <v>35</v>
      </c>
      <c r="AC214" s="82">
        <f t="shared" ref="AC214:AC281" si="31">+(Z214+Y214)*0.475*44/12</f>
        <v>468.67554303581255</v>
      </c>
      <c r="AD214" s="86">
        <f t="shared" si="28"/>
        <v>0</v>
      </c>
      <c r="AE214" s="86">
        <f t="shared" si="29"/>
        <v>403.58514131240372</v>
      </c>
    </row>
    <row r="215" spans="1:31" hidden="1" x14ac:dyDescent="0.25">
      <c r="A215" s="79" t="s">
        <v>236</v>
      </c>
      <c r="B215" s="79" t="s">
        <v>9</v>
      </c>
      <c r="C215" s="79" t="s">
        <v>18</v>
      </c>
      <c r="D215" s="89" t="s">
        <v>235</v>
      </c>
      <c r="E215" s="79">
        <v>334</v>
      </c>
      <c r="F215" s="79">
        <v>43</v>
      </c>
      <c r="G215" s="79">
        <v>26</v>
      </c>
      <c r="H215" s="83">
        <v>350</v>
      </c>
      <c r="I215" s="83">
        <v>40</v>
      </c>
      <c r="J215" s="83">
        <v>532</v>
      </c>
      <c r="K215" s="83">
        <v>48</v>
      </c>
      <c r="L215" s="83">
        <v>38</v>
      </c>
      <c r="M215" s="84">
        <v>50</v>
      </c>
      <c r="N215" s="84">
        <v>6</v>
      </c>
      <c r="O215" s="84">
        <v>86</v>
      </c>
      <c r="P215" s="85">
        <v>290</v>
      </c>
      <c r="Q215" s="85">
        <v>33.299999999999997</v>
      </c>
      <c r="R215" s="85"/>
      <c r="S215" s="85">
        <v>443</v>
      </c>
      <c r="T215" s="80"/>
      <c r="U215" s="80"/>
      <c r="V215" s="81" t="str">
        <f>+IF(I215=0,"ap","av_ap")</f>
        <v>av_ap</v>
      </c>
      <c r="W215" s="81">
        <f>+VLOOKUP(A215,infradensité!$A$2:$B$67,2,FALSE)</f>
        <v>0.46</v>
      </c>
      <c r="X215" s="81">
        <v>1.3</v>
      </c>
      <c r="Y215" s="82">
        <f t="shared" si="30"/>
        <v>318.13600000000002</v>
      </c>
      <c r="Z215" s="82">
        <f t="shared" ref="Z215:Z282" si="32">+EXP(-1.0587+0.8836*LN(Y215)+0.284)</f>
        <v>74.965380442161177</v>
      </c>
      <c r="AA215" s="82" t="str">
        <f t="shared" si="27"/>
        <v>Pin Maritime_F1_Classique_GS Pineraies des plaines du Centre et du Nord Ouest_43_</v>
      </c>
      <c r="AB215" s="79">
        <v>43</v>
      </c>
      <c r="AC215" s="82">
        <f t="shared" si="31"/>
        <v>684.65157093676407</v>
      </c>
      <c r="AD215" s="86">
        <f t="shared" si="28"/>
        <v>4613.3084558903065</v>
      </c>
      <c r="AE215" s="86">
        <f t="shared" si="29"/>
        <v>403.58514131240372</v>
      </c>
    </row>
    <row r="216" spans="1:31" hidden="1" x14ac:dyDescent="0.25">
      <c r="A216" s="79" t="s">
        <v>236</v>
      </c>
      <c r="B216" s="79" t="s">
        <v>9</v>
      </c>
      <c r="C216" s="79" t="s">
        <v>18</v>
      </c>
      <c r="D216" s="89" t="s">
        <v>235</v>
      </c>
      <c r="E216" s="79">
        <v>334</v>
      </c>
      <c r="F216" s="79">
        <v>43</v>
      </c>
      <c r="G216" s="79">
        <v>26</v>
      </c>
      <c r="H216" s="85">
        <v>290</v>
      </c>
      <c r="I216" s="85">
        <v>33.299999999999997</v>
      </c>
      <c r="J216" s="85">
        <v>443</v>
      </c>
      <c r="K216" s="85">
        <v>443</v>
      </c>
      <c r="L216" s="83"/>
      <c r="M216" s="84"/>
      <c r="N216" s="84"/>
      <c r="O216" s="84"/>
      <c r="P216" s="85"/>
      <c r="Q216" s="85"/>
      <c r="R216" s="85"/>
      <c r="S216" s="85"/>
      <c r="T216" s="80"/>
      <c r="U216" s="80"/>
      <c r="V216" s="81" t="s">
        <v>53</v>
      </c>
      <c r="W216" s="81">
        <f>+VLOOKUP(A216,infradensité!$A$2:$B$67,2,FALSE)</f>
        <v>0.46</v>
      </c>
      <c r="X216" s="81">
        <v>1.3</v>
      </c>
      <c r="Y216" s="82">
        <f t="shared" si="30"/>
        <v>264.91400000000004</v>
      </c>
      <c r="Z216" s="82">
        <f t="shared" si="32"/>
        <v>63.768700008671622</v>
      </c>
      <c r="AA216" s="82" t="str">
        <f t="shared" si="27"/>
        <v>Pin Maritime_F1_Classique_GS Pineraies des plaines du Centre et du Nord Ouest_43_</v>
      </c>
      <c r="AB216" s="79">
        <v>43</v>
      </c>
      <c r="AC216" s="82">
        <f t="shared" si="31"/>
        <v>572.4557025151031</v>
      </c>
      <c r="AD216" s="86">
        <f t="shared" si="28"/>
        <v>0</v>
      </c>
      <c r="AE216" s="86">
        <f t="shared" si="29"/>
        <v>403.58514131240372</v>
      </c>
    </row>
    <row r="217" spans="1:31" hidden="1" x14ac:dyDescent="0.25">
      <c r="A217" s="79" t="s">
        <v>236</v>
      </c>
      <c r="B217" s="79" t="s">
        <v>9</v>
      </c>
      <c r="C217" s="79" t="s">
        <v>18</v>
      </c>
      <c r="D217" s="89" t="s">
        <v>235</v>
      </c>
      <c r="E217" s="79">
        <v>334</v>
      </c>
      <c r="F217" s="79">
        <v>51</v>
      </c>
      <c r="G217" s="79">
        <v>28</v>
      </c>
      <c r="H217" s="83">
        <v>290</v>
      </c>
      <c r="I217" s="83">
        <v>38.299999999999997</v>
      </c>
      <c r="J217" s="83">
        <v>548</v>
      </c>
      <c r="K217" s="83">
        <v>51</v>
      </c>
      <c r="L217" s="83">
        <v>41</v>
      </c>
      <c r="M217" s="84"/>
      <c r="N217" s="84"/>
      <c r="O217" s="84"/>
      <c r="P217" s="85">
        <v>240</v>
      </c>
      <c r="Q217" s="85">
        <v>32</v>
      </c>
      <c r="R217" s="85"/>
      <c r="S217" s="85">
        <v>462</v>
      </c>
      <c r="T217" s="80"/>
      <c r="U217" s="80"/>
      <c r="V217" s="81" t="str">
        <f>+IF(I217=0,"ap","av_ap")</f>
        <v>av_ap</v>
      </c>
      <c r="W217" s="81">
        <f>+VLOOKUP(A217,infradensité!$A$2:$B$67,2,FALSE)</f>
        <v>0.46</v>
      </c>
      <c r="X217" s="81">
        <v>1.3</v>
      </c>
      <c r="Y217" s="82">
        <f t="shared" si="30"/>
        <v>327.70400000000006</v>
      </c>
      <c r="Z217" s="82">
        <f t="shared" si="32"/>
        <v>76.954094537214459</v>
      </c>
      <c r="AA217" s="82" t="str">
        <f t="shared" si="27"/>
        <v>Pin Maritime_F1_Classique_GS Pineraies des plaines du Centre et du Nord Ouest_51_</v>
      </c>
      <c r="AB217" s="79">
        <v>51</v>
      </c>
      <c r="AC217" s="82">
        <f t="shared" si="31"/>
        <v>704.77951465231536</v>
      </c>
      <c r="AD217" s="86">
        <f t="shared" si="28"/>
        <v>5108.9408686696734</v>
      </c>
      <c r="AE217" s="86">
        <f t="shared" si="29"/>
        <v>403.58514131240372</v>
      </c>
    </row>
    <row r="218" spans="1:31" hidden="1" x14ac:dyDescent="0.25">
      <c r="A218" s="79" t="s">
        <v>236</v>
      </c>
      <c r="B218" s="79" t="s">
        <v>9</v>
      </c>
      <c r="C218" s="79" t="s">
        <v>18</v>
      </c>
      <c r="D218" s="89" t="s">
        <v>235</v>
      </c>
      <c r="E218" s="79">
        <v>334</v>
      </c>
      <c r="F218" s="79">
        <v>51</v>
      </c>
      <c r="G218" s="79">
        <v>28</v>
      </c>
      <c r="H218" s="85">
        <v>240</v>
      </c>
      <c r="I218" s="85">
        <v>32</v>
      </c>
      <c r="J218" s="85">
        <v>462</v>
      </c>
      <c r="K218" s="85">
        <v>462</v>
      </c>
      <c r="L218" s="83"/>
      <c r="M218" s="84"/>
      <c r="N218" s="84"/>
      <c r="O218" s="84"/>
      <c r="P218" s="85"/>
      <c r="Q218" s="85"/>
      <c r="R218" s="85"/>
      <c r="S218" s="85"/>
      <c r="T218" s="80"/>
      <c r="U218" s="80"/>
      <c r="V218" s="81" t="s">
        <v>53</v>
      </c>
      <c r="W218" s="81">
        <f>+VLOOKUP(A218,infradensité!$A$2:$B$67,2,FALSE)</f>
        <v>0.46</v>
      </c>
      <c r="X218" s="81">
        <v>1.3</v>
      </c>
      <c r="Y218" s="82">
        <f t="shared" si="30"/>
        <v>276.27600000000007</v>
      </c>
      <c r="Z218" s="82">
        <f t="shared" si="32"/>
        <v>66.179408416217214</v>
      </c>
      <c r="AA218" s="82" t="str">
        <f t="shared" si="27"/>
        <v>Pin Maritime_F1_Classique_GS Pineraies des plaines du Centre et du Nord Ouest_51_</v>
      </c>
      <c r="AB218" s="79">
        <v>51</v>
      </c>
      <c r="AC218" s="82">
        <f t="shared" si="31"/>
        <v>596.4431696582451</v>
      </c>
      <c r="AD218" s="86">
        <f t="shared" si="28"/>
        <v>0</v>
      </c>
      <c r="AE218" s="86">
        <f t="shared" si="29"/>
        <v>403.58514131240372</v>
      </c>
    </row>
    <row r="219" spans="1:31" hidden="1" x14ac:dyDescent="0.25">
      <c r="A219" s="79" t="s">
        <v>236</v>
      </c>
      <c r="B219" s="79" t="s">
        <v>9</v>
      </c>
      <c r="C219" s="79" t="s">
        <v>18</v>
      </c>
      <c r="D219" s="89" t="s">
        <v>235</v>
      </c>
      <c r="E219" s="79">
        <v>334</v>
      </c>
      <c r="F219" s="79">
        <v>56</v>
      </c>
      <c r="G219" s="79">
        <v>29</v>
      </c>
      <c r="H219" s="83">
        <v>238</v>
      </c>
      <c r="I219" s="83">
        <v>35.4</v>
      </c>
      <c r="J219" s="83">
        <v>545</v>
      </c>
      <c r="K219" s="83">
        <v>54</v>
      </c>
      <c r="L219" s="83">
        <v>44</v>
      </c>
      <c r="M219" s="84"/>
      <c r="N219" s="84"/>
      <c r="O219" s="84"/>
      <c r="P219" s="85">
        <v>238</v>
      </c>
      <c r="Q219" s="85">
        <v>35.4</v>
      </c>
      <c r="R219" s="85"/>
      <c r="S219" s="85">
        <v>545</v>
      </c>
      <c r="T219" s="80"/>
      <c r="U219" s="80"/>
      <c r="V219" s="81" t="str">
        <f>+IF(I219=0,"ap","av_ap")</f>
        <v>av_ap</v>
      </c>
      <c r="W219" s="81">
        <f>+VLOOKUP(A219,infradensité!$A$2:$B$67,2,FALSE)</f>
        <v>0.46</v>
      </c>
      <c r="X219" s="81">
        <v>1.3</v>
      </c>
      <c r="Y219" s="82">
        <f t="shared" si="30"/>
        <v>325.91000000000003</v>
      </c>
      <c r="Z219" s="82">
        <f t="shared" si="32"/>
        <v>76.581731324699831</v>
      </c>
      <c r="AA219" s="82" t="str">
        <f t="shared" si="27"/>
        <v>Pin Maritime_F1_Classique_GS Pineraies des plaines du Centre et du Nord Ouest_56_</v>
      </c>
      <c r="AB219" s="79">
        <v>56</v>
      </c>
      <c r="AC219" s="82">
        <f t="shared" si="31"/>
        <v>701.00643205718552</v>
      </c>
      <c r="AD219" s="86">
        <f t="shared" si="28"/>
        <v>3243.6240042885765</v>
      </c>
      <c r="AE219" s="86">
        <f t="shared" si="29"/>
        <v>403.58514131240372</v>
      </c>
    </row>
    <row r="220" spans="1:31" hidden="1" x14ac:dyDescent="0.25">
      <c r="A220" s="79" t="s">
        <v>236</v>
      </c>
      <c r="B220" s="79" t="s">
        <v>9</v>
      </c>
      <c r="C220" s="79" t="s">
        <v>18</v>
      </c>
      <c r="D220" s="89" t="s">
        <v>235</v>
      </c>
      <c r="E220" s="79">
        <v>334</v>
      </c>
      <c r="F220" s="79">
        <v>56</v>
      </c>
      <c r="G220" s="79">
        <v>29</v>
      </c>
      <c r="H220" s="85">
        <v>238</v>
      </c>
      <c r="I220" s="85">
        <v>35.4</v>
      </c>
      <c r="J220" s="85">
        <v>545</v>
      </c>
      <c r="K220" s="85">
        <v>545</v>
      </c>
      <c r="L220" s="83"/>
      <c r="M220" s="84"/>
      <c r="N220" s="84"/>
      <c r="O220" s="84"/>
      <c r="P220" s="85"/>
      <c r="Q220" s="85"/>
      <c r="R220" s="85"/>
      <c r="S220" s="85"/>
      <c r="T220" s="80"/>
      <c r="U220" s="80"/>
      <c r="V220" s="81" t="s">
        <v>53</v>
      </c>
      <c r="W220" s="81">
        <f>+VLOOKUP(A220,infradensité!$A$2:$B$67,2,FALSE)</f>
        <v>0.46</v>
      </c>
      <c r="X220" s="81">
        <v>1.3</v>
      </c>
      <c r="Y220" s="82">
        <f t="shared" si="30"/>
        <v>325.91000000000003</v>
      </c>
      <c r="Z220" s="82">
        <f t="shared" si="32"/>
        <v>76.581731324699831</v>
      </c>
      <c r="AA220" s="82" t="str">
        <f t="shared" si="27"/>
        <v>Pin Maritime_F1_Classique_GS Pineraies des plaines du Centre et du Nord Ouest_56_</v>
      </c>
      <c r="AB220" s="79">
        <v>56</v>
      </c>
      <c r="AC220" s="82">
        <f t="shared" si="31"/>
        <v>701.00643205718552</v>
      </c>
      <c r="AD220" s="86">
        <f t="shared" si="28"/>
        <v>0</v>
      </c>
      <c r="AE220" s="86">
        <f t="shared" si="29"/>
        <v>403.58514131240372</v>
      </c>
    </row>
    <row r="221" spans="1:31" hidden="1" x14ac:dyDescent="0.25">
      <c r="A221" s="79" t="s">
        <v>236</v>
      </c>
      <c r="B221" s="79" t="s">
        <v>9</v>
      </c>
      <c r="C221" s="79" t="s">
        <v>18</v>
      </c>
      <c r="D221" s="89" t="s">
        <v>235</v>
      </c>
      <c r="E221" s="79">
        <v>334</v>
      </c>
      <c r="F221" s="79">
        <v>60</v>
      </c>
      <c r="G221" s="79">
        <v>30</v>
      </c>
      <c r="H221" s="83">
        <v>238</v>
      </c>
      <c r="I221" s="83">
        <v>37.5</v>
      </c>
      <c r="J221" s="83">
        <v>573</v>
      </c>
      <c r="K221" s="83">
        <v>55</v>
      </c>
      <c r="L221" s="83">
        <v>45</v>
      </c>
      <c r="M221" s="84"/>
      <c r="N221" s="84"/>
      <c r="O221" s="84"/>
      <c r="P221" s="85">
        <v>238</v>
      </c>
      <c r="Q221" s="85">
        <v>37.5</v>
      </c>
      <c r="R221" s="85"/>
      <c r="S221" s="85">
        <v>573</v>
      </c>
      <c r="T221" s="80"/>
      <c r="U221" s="80"/>
      <c r="V221" s="81" t="str">
        <f>+IF(I221=0,"ap","av_ap")</f>
        <v>av_ap</v>
      </c>
      <c r="W221" s="81">
        <f>+VLOOKUP(A221,infradensité!$A$2:$B$67,2,FALSE)</f>
        <v>0.46</v>
      </c>
      <c r="X221" s="81">
        <v>1.3</v>
      </c>
      <c r="Y221" s="82">
        <f t="shared" si="30"/>
        <v>342.65400000000005</v>
      </c>
      <c r="Z221" s="82">
        <f t="shared" si="32"/>
        <v>80.048031236773483</v>
      </c>
      <c r="AA221" s="82" t="str">
        <f t="shared" si="27"/>
        <v>Pin Maritime_F1_Classique_GS Pineraies des plaines du Centre et du Nord Ouest_60_</v>
      </c>
      <c r="AB221" s="79">
        <v>60</v>
      </c>
      <c r="AC221" s="82">
        <f t="shared" si="31"/>
        <v>736.20603773738048</v>
      </c>
      <c r="AD221" s="86">
        <f t="shared" si="28"/>
        <v>2874.424939589132</v>
      </c>
      <c r="AE221" s="86">
        <f t="shared" si="29"/>
        <v>403.58514131240372</v>
      </c>
    </row>
    <row r="222" spans="1:31" hidden="1" x14ac:dyDescent="0.25">
      <c r="A222" s="79" t="s">
        <v>236</v>
      </c>
      <c r="B222" s="79" t="s">
        <v>9</v>
      </c>
      <c r="C222" s="79" t="s">
        <v>18</v>
      </c>
      <c r="D222" s="89" t="s">
        <v>235</v>
      </c>
      <c r="E222" s="79">
        <v>334</v>
      </c>
      <c r="F222" s="79">
        <v>60</v>
      </c>
      <c r="G222" s="79">
        <v>30</v>
      </c>
      <c r="H222" s="85">
        <v>238</v>
      </c>
      <c r="I222" s="85">
        <v>37.5</v>
      </c>
      <c r="J222" s="85">
        <v>573</v>
      </c>
      <c r="K222" s="85">
        <v>573</v>
      </c>
      <c r="L222" s="83"/>
      <c r="M222" s="84"/>
      <c r="N222" s="84"/>
      <c r="O222" s="84"/>
      <c r="P222" s="85"/>
      <c r="Q222" s="85"/>
      <c r="R222" s="85"/>
      <c r="S222" s="85"/>
      <c r="T222" s="80"/>
      <c r="U222" s="80"/>
      <c r="V222" s="81" t="s">
        <v>53</v>
      </c>
      <c r="W222" s="81">
        <f>+VLOOKUP(A222,infradensité!$A$2:$B$67,2,FALSE)</f>
        <v>0.46</v>
      </c>
      <c r="X222" s="81">
        <v>1.3</v>
      </c>
      <c r="Y222" s="82">
        <f t="shared" si="30"/>
        <v>342.65400000000005</v>
      </c>
      <c r="Z222" s="82">
        <f t="shared" si="32"/>
        <v>80.048031236773483</v>
      </c>
      <c r="AA222" s="82" t="str">
        <f t="shared" si="27"/>
        <v>Pin Maritime_F1_Classique_GS Pineraies des plaines du Centre et du Nord Ouest_60_</v>
      </c>
      <c r="AB222" s="79">
        <v>60</v>
      </c>
      <c r="AC222" s="88">
        <v>0</v>
      </c>
      <c r="AD222" s="86">
        <f t="shared" si="28"/>
        <v>0</v>
      </c>
      <c r="AE222" s="86">
        <f t="shared" si="29"/>
        <v>403.58514131240372</v>
      </c>
    </row>
    <row r="223" spans="1:31" hidden="1" x14ac:dyDescent="0.25">
      <c r="A223" s="79" t="s">
        <v>237</v>
      </c>
      <c r="B223" s="79" t="s">
        <v>10</v>
      </c>
      <c r="C223" s="79" t="s">
        <v>18</v>
      </c>
      <c r="D223" s="89" t="s">
        <v>235</v>
      </c>
      <c r="E223" s="79">
        <v>334</v>
      </c>
      <c r="F223" s="79">
        <v>20</v>
      </c>
      <c r="G223" s="79">
        <v>10.5</v>
      </c>
      <c r="H223" s="83">
        <v>1600</v>
      </c>
      <c r="I223" s="83">
        <v>23.2</v>
      </c>
      <c r="J223" s="83">
        <v>103</v>
      </c>
      <c r="K223" s="83">
        <v>10.5</v>
      </c>
      <c r="L223" s="83">
        <v>14</v>
      </c>
      <c r="M223" s="84"/>
      <c r="N223" s="84"/>
      <c r="O223" s="84"/>
      <c r="P223" s="85"/>
      <c r="Q223" s="85"/>
      <c r="R223" s="85"/>
      <c r="S223" s="85"/>
      <c r="T223" s="80"/>
      <c r="U223" s="80"/>
      <c r="V223" s="81" t="str">
        <f>+IF(I223=0,"ap","av_ap")</f>
        <v>av_ap</v>
      </c>
      <c r="W223" s="81" t="e">
        <f>+VLOOKUP(A223,infradensité!$A$2:$B$67,2,FALSE)</f>
        <v>#N/A</v>
      </c>
      <c r="X223" s="81">
        <v>1.3</v>
      </c>
      <c r="Y223" s="82" t="e">
        <f t="shared" si="30"/>
        <v>#N/A</v>
      </c>
      <c r="Z223" s="82" t="e">
        <f t="shared" si="32"/>
        <v>#N/A</v>
      </c>
      <c r="AA223" s="82" t="str">
        <f t="shared" si="27"/>
        <v>Pin Laricio bis_F2_Classique_GS Pineraies des plaines du Centre et du Nord Ouest_20_</v>
      </c>
      <c r="AB223" s="79">
        <v>20</v>
      </c>
      <c r="AC223" s="82" t="e">
        <f t="shared" si="31"/>
        <v>#N/A</v>
      </c>
      <c r="AD223" s="86" t="e">
        <f t="shared" si="28"/>
        <v>#N/A</v>
      </c>
      <c r="AE223" s="81"/>
    </row>
    <row r="224" spans="1:31" hidden="1" x14ac:dyDescent="0.25">
      <c r="A224" s="79" t="s">
        <v>237</v>
      </c>
      <c r="B224" s="79" t="s">
        <v>10</v>
      </c>
      <c r="C224" s="79" t="s">
        <v>18</v>
      </c>
      <c r="D224" s="89" t="s">
        <v>235</v>
      </c>
      <c r="E224" s="79">
        <v>334</v>
      </c>
      <c r="F224" s="79">
        <v>20</v>
      </c>
      <c r="G224" s="79">
        <v>10.5</v>
      </c>
      <c r="H224" s="83"/>
      <c r="I224" s="83"/>
      <c r="J224" s="83"/>
      <c r="K224" s="83"/>
      <c r="L224" s="83"/>
      <c r="M224" s="84"/>
      <c r="N224" s="84"/>
      <c r="O224" s="84"/>
      <c r="P224" s="85"/>
      <c r="Q224" s="85"/>
      <c r="R224" s="85"/>
      <c r="S224" s="85"/>
      <c r="T224" s="80"/>
      <c r="U224" s="80"/>
      <c r="V224" s="81" t="s">
        <v>53</v>
      </c>
      <c r="W224" s="81" t="e">
        <f>+VLOOKUP(A224,infradensité!$A$2:$B$67,2,FALSE)</f>
        <v>#N/A</v>
      </c>
      <c r="X224" s="81">
        <v>1.3</v>
      </c>
      <c r="Y224" s="82" t="e">
        <f t="shared" si="30"/>
        <v>#N/A</v>
      </c>
      <c r="Z224" s="82" t="e">
        <f t="shared" si="32"/>
        <v>#N/A</v>
      </c>
      <c r="AA224" s="82" t="str">
        <f t="shared" si="27"/>
        <v>Pin Laricio bis_F2_Classique_GS Pineraies des plaines du Centre et du Nord Ouest_20_</v>
      </c>
      <c r="AB224" s="79">
        <v>20</v>
      </c>
      <c r="AC224" s="82" t="e">
        <f t="shared" si="31"/>
        <v>#N/A</v>
      </c>
      <c r="AD224" s="86" t="e">
        <f t="shared" si="28"/>
        <v>#N/A</v>
      </c>
      <c r="AE224" s="81"/>
    </row>
    <row r="225" spans="1:31" hidden="1" x14ac:dyDescent="0.25">
      <c r="A225" s="79" t="s">
        <v>237</v>
      </c>
      <c r="B225" s="79" t="s">
        <v>10</v>
      </c>
      <c r="C225" s="79" t="s">
        <v>18</v>
      </c>
      <c r="D225" s="89" t="s">
        <v>235</v>
      </c>
      <c r="E225" s="79">
        <v>334</v>
      </c>
      <c r="F225" s="79">
        <v>21</v>
      </c>
      <c r="G225" s="79">
        <v>11.1</v>
      </c>
      <c r="H225" s="83">
        <v>1597</v>
      </c>
      <c r="I225" s="83">
        <v>25.5</v>
      </c>
      <c r="J225" s="83">
        <v>123</v>
      </c>
      <c r="K225" s="83">
        <v>11.1</v>
      </c>
      <c r="L225" s="83">
        <v>14</v>
      </c>
      <c r="M225" s="84">
        <v>647</v>
      </c>
      <c r="N225" s="84">
        <v>11.7</v>
      </c>
      <c r="O225" s="84">
        <v>58</v>
      </c>
      <c r="P225" s="85">
        <v>950</v>
      </c>
      <c r="Q225" s="85">
        <v>13.8</v>
      </c>
      <c r="R225" s="85"/>
      <c r="S225" s="85">
        <v>64</v>
      </c>
      <c r="T225" s="80"/>
      <c r="U225" s="80"/>
      <c r="V225" s="81" t="str">
        <f>+IF(I225=0,"ap","av_ap")</f>
        <v>av_ap</v>
      </c>
      <c r="W225" s="81" t="e">
        <f>+VLOOKUP(A225,infradensité!$A$2:$B$67,2,FALSE)</f>
        <v>#N/A</v>
      </c>
      <c r="X225" s="81">
        <v>1.3</v>
      </c>
      <c r="Y225" s="82" t="e">
        <f t="shared" si="30"/>
        <v>#N/A</v>
      </c>
      <c r="Z225" s="82" t="e">
        <f t="shared" si="32"/>
        <v>#N/A</v>
      </c>
      <c r="AA225" s="82" t="str">
        <f t="shared" si="27"/>
        <v>Pin Laricio bis_F2_Classique_GS Pineraies des plaines du Centre et du Nord Ouest_21_</v>
      </c>
      <c r="AB225" s="79">
        <v>21</v>
      </c>
      <c r="AC225" s="82" t="e">
        <f t="shared" si="31"/>
        <v>#N/A</v>
      </c>
      <c r="AD225" s="86" t="e">
        <f t="shared" si="28"/>
        <v>#N/A</v>
      </c>
      <c r="AE225" s="81"/>
    </row>
    <row r="226" spans="1:31" hidden="1" x14ac:dyDescent="0.25">
      <c r="A226" s="79" t="s">
        <v>237</v>
      </c>
      <c r="B226" s="79" t="s">
        <v>10</v>
      </c>
      <c r="C226" s="79" t="s">
        <v>18</v>
      </c>
      <c r="D226" s="89" t="s">
        <v>235</v>
      </c>
      <c r="E226" s="79">
        <v>334</v>
      </c>
      <c r="F226" s="79">
        <v>21</v>
      </c>
      <c r="G226" s="79">
        <v>11.1</v>
      </c>
      <c r="H226" s="85">
        <v>950</v>
      </c>
      <c r="I226" s="85">
        <v>13.8</v>
      </c>
      <c r="J226" s="85">
        <v>64</v>
      </c>
      <c r="K226" s="85">
        <v>64</v>
      </c>
      <c r="L226" s="83"/>
      <c r="M226" s="84"/>
      <c r="N226" s="84"/>
      <c r="O226" s="84"/>
      <c r="P226" s="85"/>
      <c r="Q226" s="85"/>
      <c r="R226" s="85"/>
      <c r="S226" s="85"/>
      <c r="T226" s="80"/>
      <c r="U226" s="80"/>
      <c r="V226" s="81" t="s">
        <v>53</v>
      </c>
      <c r="W226" s="81" t="e">
        <f>+VLOOKUP(A226,infradensité!$A$2:$B$67,2,FALSE)</f>
        <v>#N/A</v>
      </c>
      <c r="X226" s="81">
        <v>1.3</v>
      </c>
      <c r="Y226" s="82" t="e">
        <f t="shared" si="30"/>
        <v>#N/A</v>
      </c>
      <c r="Z226" s="82" t="e">
        <f t="shared" si="32"/>
        <v>#N/A</v>
      </c>
      <c r="AA226" s="82" t="str">
        <f t="shared" si="27"/>
        <v>Pin Laricio bis_F2_Classique_GS Pineraies des plaines du Centre et du Nord Ouest_21_</v>
      </c>
      <c r="AB226" s="79">
        <v>21</v>
      </c>
      <c r="AC226" s="82" t="e">
        <f t="shared" si="31"/>
        <v>#N/A</v>
      </c>
      <c r="AD226" s="86" t="e">
        <f t="shared" si="28"/>
        <v>#N/A</v>
      </c>
      <c r="AE226" s="81"/>
    </row>
    <row r="227" spans="1:31" hidden="1" x14ac:dyDescent="0.25">
      <c r="A227" s="79" t="s">
        <v>237</v>
      </c>
      <c r="B227" s="79" t="s">
        <v>10</v>
      </c>
      <c r="C227" s="79" t="s">
        <v>18</v>
      </c>
      <c r="D227" s="89" t="s">
        <v>235</v>
      </c>
      <c r="E227" s="79">
        <v>334</v>
      </c>
      <c r="F227" s="79">
        <v>27</v>
      </c>
      <c r="G227" s="79">
        <v>14.3</v>
      </c>
      <c r="H227" s="83">
        <v>944</v>
      </c>
      <c r="I227" s="83">
        <v>24.4</v>
      </c>
      <c r="J227" s="83">
        <v>164</v>
      </c>
      <c r="K227" s="83">
        <v>14.3</v>
      </c>
      <c r="L227" s="83">
        <v>18</v>
      </c>
      <c r="M227" s="84">
        <v>294</v>
      </c>
      <c r="N227" s="84">
        <v>7.2</v>
      </c>
      <c r="O227" s="84">
        <v>48</v>
      </c>
      <c r="P227" s="85">
        <v>650</v>
      </c>
      <c r="Q227" s="85">
        <v>17.2</v>
      </c>
      <c r="R227" s="85"/>
      <c r="S227" s="85">
        <v>117</v>
      </c>
      <c r="T227" s="80"/>
      <c r="U227" s="80"/>
      <c r="V227" s="81" t="str">
        <f>+IF(I227=0,"ap","av_ap")</f>
        <v>av_ap</v>
      </c>
      <c r="W227" s="81" t="e">
        <f>+VLOOKUP(A227,infradensité!$A$2:$B$67,2,FALSE)</f>
        <v>#N/A</v>
      </c>
      <c r="X227" s="81">
        <v>1.3</v>
      </c>
      <c r="Y227" s="82" t="e">
        <f t="shared" si="30"/>
        <v>#N/A</v>
      </c>
      <c r="Z227" s="82" t="e">
        <f t="shared" si="32"/>
        <v>#N/A</v>
      </c>
      <c r="AA227" s="82" t="str">
        <f t="shared" si="27"/>
        <v>Pin Laricio bis_F2_Classique_GS Pineraies des plaines du Centre et du Nord Ouest_27_</v>
      </c>
      <c r="AB227" s="79">
        <v>27</v>
      </c>
      <c r="AC227" s="82" t="e">
        <f t="shared" si="31"/>
        <v>#N/A</v>
      </c>
      <c r="AD227" s="86" t="e">
        <f t="shared" si="28"/>
        <v>#N/A</v>
      </c>
      <c r="AE227" s="81"/>
    </row>
    <row r="228" spans="1:31" hidden="1" x14ac:dyDescent="0.25">
      <c r="A228" s="79" t="s">
        <v>237</v>
      </c>
      <c r="B228" s="79" t="s">
        <v>10</v>
      </c>
      <c r="C228" s="79" t="s">
        <v>18</v>
      </c>
      <c r="D228" s="89" t="s">
        <v>235</v>
      </c>
      <c r="E228" s="79">
        <v>334</v>
      </c>
      <c r="F228" s="79">
        <v>27</v>
      </c>
      <c r="G228" s="79">
        <v>14.3</v>
      </c>
      <c r="H228" s="85">
        <v>650</v>
      </c>
      <c r="I228" s="85">
        <v>17.2</v>
      </c>
      <c r="J228" s="85">
        <v>117</v>
      </c>
      <c r="K228" s="85">
        <v>117</v>
      </c>
      <c r="L228" s="83"/>
      <c r="M228" s="84"/>
      <c r="N228" s="84"/>
      <c r="O228" s="84"/>
      <c r="P228" s="85"/>
      <c r="Q228" s="85"/>
      <c r="R228" s="85"/>
      <c r="S228" s="85"/>
      <c r="T228" s="80"/>
      <c r="U228" s="80"/>
      <c r="V228" s="81" t="s">
        <v>53</v>
      </c>
      <c r="W228" s="81" t="e">
        <f>+VLOOKUP(A228,infradensité!$A$2:$B$67,2,FALSE)</f>
        <v>#N/A</v>
      </c>
      <c r="X228" s="81">
        <v>1.3</v>
      </c>
      <c r="Y228" s="82" t="e">
        <f t="shared" si="30"/>
        <v>#N/A</v>
      </c>
      <c r="Z228" s="82" t="e">
        <f t="shared" si="32"/>
        <v>#N/A</v>
      </c>
      <c r="AA228" s="82" t="str">
        <f t="shared" si="27"/>
        <v>Pin Laricio bis_F2_Classique_GS Pineraies des plaines du Centre et du Nord Ouest_27_</v>
      </c>
      <c r="AB228" s="79">
        <v>27</v>
      </c>
      <c r="AC228" s="82" t="e">
        <f t="shared" si="31"/>
        <v>#N/A</v>
      </c>
      <c r="AD228" s="86" t="e">
        <f t="shared" si="28"/>
        <v>#N/A</v>
      </c>
      <c r="AE228" s="81"/>
    </row>
    <row r="229" spans="1:31" hidden="1" x14ac:dyDescent="0.25">
      <c r="A229" s="79" t="s">
        <v>237</v>
      </c>
      <c r="B229" s="79" t="s">
        <v>10</v>
      </c>
      <c r="C229" s="79" t="s">
        <v>18</v>
      </c>
      <c r="D229" s="89" t="s">
        <v>235</v>
      </c>
      <c r="E229" s="79">
        <v>334</v>
      </c>
      <c r="F229" s="79">
        <v>34</v>
      </c>
      <c r="G229" s="79">
        <v>17.7</v>
      </c>
      <c r="H229" s="83">
        <v>645</v>
      </c>
      <c r="I229" s="83">
        <v>27.6</v>
      </c>
      <c r="J229" s="83">
        <v>241</v>
      </c>
      <c r="K229" s="83">
        <v>17.7</v>
      </c>
      <c r="L229" s="83">
        <v>23</v>
      </c>
      <c r="M229" s="84">
        <v>204</v>
      </c>
      <c r="N229" s="84">
        <v>7.9</v>
      </c>
      <c r="O229" s="84">
        <v>67</v>
      </c>
      <c r="P229" s="85">
        <v>440</v>
      </c>
      <c r="Q229" s="85">
        <v>19.7</v>
      </c>
      <c r="R229" s="85"/>
      <c r="S229" s="85">
        <v>174</v>
      </c>
      <c r="T229" s="80"/>
      <c r="U229" s="80"/>
      <c r="V229" s="81" t="str">
        <f>+IF(I229=0,"ap","av_ap")</f>
        <v>av_ap</v>
      </c>
      <c r="W229" s="81" t="e">
        <f>+VLOOKUP(A229,infradensité!$A$2:$B$67,2,FALSE)</f>
        <v>#N/A</v>
      </c>
      <c r="X229" s="81">
        <v>1.3</v>
      </c>
      <c r="Y229" s="82" t="e">
        <f t="shared" si="30"/>
        <v>#N/A</v>
      </c>
      <c r="Z229" s="82" t="e">
        <f t="shared" si="32"/>
        <v>#N/A</v>
      </c>
      <c r="AA229" s="82" t="str">
        <f t="shared" si="27"/>
        <v>Pin Laricio bis_F2_Classique_GS Pineraies des plaines du Centre et du Nord Ouest_34_</v>
      </c>
      <c r="AB229" s="79">
        <v>34</v>
      </c>
      <c r="AC229" s="82" t="e">
        <f t="shared" si="31"/>
        <v>#N/A</v>
      </c>
      <c r="AD229" s="86" t="e">
        <f t="shared" si="28"/>
        <v>#N/A</v>
      </c>
      <c r="AE229" s="81"/>
    </row>
    <row r="230" spans="1:31" hidden="1" x14ac:dyDescent="0.25">
      <c r="A230" s="79" t="s">
        <v>237</v>
      </c>
      <c r="B230" s="79" t="s">
        <v>10</v>
      </c>
      <c r="C230" s="79" t="s">
        <v>18</v>
      </c>
      <c r="D230" s="89" t="s">
        <v>235</v>
      </c>
      <c r="E230" s="79">
        <v>334</v>
      </c>
      <c r="F230" s="79">
        <v>34</v>
      </c>
      <c r="G230" s="79">
        <v>17.7</v>
      </c>
      <c r="H230" s="85">
        <v>440</v>
      </c>
      <c r="I230" s="85">
        <v>19.7</v>
      </c>
      <c r="J230" s="85">
        <v>174</v>
      </c>
      <c r="K230" s="85">
        <v>174</v>
      </c>
      <c r="L230" s="83"/>
      <c r="M230" s="84"/>
      <c r="N230" s="84"/>
      <c r="O230" s="84"/>
      <c r="P230" s="85"/>
      <c r="Q230" s="85"/>
      <c r="R230" s="85"/>
      <c r="S230" s="85"/>
      <c r="T230" s="80"/>
      <c r="U230" s="80"/>
      <c r="V230" s="81" t="s">
        <v>53</v>
      </c>
      <c r="W230" s="81" t="e">
        <f>+VLOOKUP(A230,infradensité!$A$2:$B$67,2,FALSE)</f>
        <v>#N/A</v>
      </c>
      <c r="X230" s="81">
        <v>1.3</v>
      </c>
      <c r="Y230" s="82" t="e">
        <f t="shared" si="30"/>
        <v>#N/A</v>
      </c>
      <c r="Z230" s="82" t="e">
        <f t="shared" si="32"/>
        <v>#N/A</v>
      </c>
      <c r="AA230" s="82" t="str">
        <f t="shared" si="27"/>
        <v>Pin Laricio bis_F2_Classique_GS Pineraies des plaines du Centre et du Nord Ouest_34_</v>
      </c>
      <c r="AB230" s="79">
        <v>34</v>
      </c>
      <c r="AC230" s="82" t="e">
        <f t="shared" si="31"/>
        <v>#N/A</v>
      </c>
      <c r="AD230" s="86" t="e">
        <f t="shared" si="28"/>
        <v>#N/A</v>
      </c>
      <c r="AE230" s="81"/>
    </row>
    <row r="231" spans="1:31" hidden="1" x14ac:dyDescent="0.25">
      <c r="A231" s="79" t="s">
        <v>237</v>
      </c>
      <c r="B231" s="79" t="s">
        <v>10</v>
      </c>
      <c r="C231" s="79" t="s">
        <v>18</v>
      </c>
      <c r="D231" s="89" t="s">
        <v>235</v>
      </c>
      <c r="E231" s="79">
        <v>334</v>
      </c>
      <c r="F231" s="79">
        <v>42</v>
      </c>
      <c r="G231" s="79">
        <v>20.8</v>
      </c>
      <c r="H231" s="83">
        <v>438</v>
      </c>
      <c r="I231" s="83">
        <v>29.7</v>
      </c>
      <c r="J231" s="83">
        <v>316</v>
      </c>
      <c r="K231" s="83">
        <v>20.8</v>
      </c>
      <c r="L231" s="83">
        <v>29</v>
      </c>
      <c r="M231" s="84">
        <v>128</v>
      </c>
      <c r="N231" s="84">
        <v>7.4</v>
      </c>
      <c r="O231" s="84">
        <v>77</v>
      </c>
      <c r="P231" s="85">
        <v>310</v>
      </c>
      <c r="Q231" s="85">
        <v>22.3</v>
      </c>
      <c r="R231" s="85"/>
      <c r="S231" s="85">
        <v>239</v>
      </c>
      <c r="T231" s="80"/>
      <c r="U231" s="80"/>
      <c r="V231" s="81" t="str">
        <f>+IF(I231=0,"ap","av_ap")</f>
        <v>av_ap</v>
      </c>
      <c r="W231" s="81" t="e">
        <f>+VLOOKUP(A231,infradensité!$A$2:$B$67,2,FALSE)</f>
        <v>#N/A</v>
      </c>
      <c r="X231" s="81">
        <v>1.3</v>
      </c>
      <c r="Y231" s="82" t="e">
        <f t="shared" si="30"/>
        <v>#N/A</v>
      </c>
      <c r="Z231" s="82" t="e">
        <f t="shared" si="32"/>
        <v>#N/A</v>
      </c>
      <c r="AA231" s="82" t="str">
        <f t="shared" si="27"/>
        <v>Pin Laricio bis_F2_Classique_GS Pineraies des plaines du Centre et du Nord Ouest_42_</v>
      </c>
      <c r="AB231" s="79">
        <v>42</v>
      </c>
      <c r="AC231" s="82" t="e">
        <f t="shared" si="31"/>
        <v>#N/A</v>
      </c>
      <c r="AD231" s="86" t="e">
        <f t="shared" si="28"/>
        <v>#N/A</v>
      </c>
      <c r="AE231" s="81"/>
    </row>
    <row r="232" spans="1:31" hidden="1" x14ac:dyDescent="0.25">
      <c r="A232" s="79" t="s">
        <v>237</v>
      </c>
      <c r="B232" s="79" t="s">
        <v>10</v>
      </c>
      <c r="C232" s="79" t="s">
        <v>18</v>
      </c>
      <c r="D232" s="89" t="s">
        <v>235</v>
      </c>
      <c r="E232" s="79">
        <v>334</v>
      </c>
      <c r="F232" s="79">
        <v>42</v>
      </c>
      <c r="G232" s="79">
        <v>20.8</v>
      </c>
      <c r="H232" s="85">
        <v>310</v>
      </c>
      <c r="I232" s="85">
        <v>22.3</v>
      </c>
      <c r="J232" s="85">
        <v>239</v>
      </c>
      <c r="K232" s="85">
        <v>239</v>
      </c>
      <c r="L232" s="83"/>
      <c r="M232" s="84"/>
      <c r="N232" s="84"/>
      <c r="O232" s="84"/>
      <c r="P232" s="85"/>
      <c r="Q232" s="85"/>
      <c r="R232" s="85"/>
      <c r="S232" s="85"/>
      <c r="T232" s="80"/>
      <c r="U232" s="80"/>
      <c r="V232" s="81" t="s">
        <v>53</v>
      </c>
      <c r="W232" s="81" t="e">
        <f>+VLOOKUP(A232,infradensité!$A$2:$B$67,2,FALSE)</f>
        <v>#N/A</v>
      </c>
      <c r="X232" s="81">
        <v>1.3</v>
      </c>
      <c r="Y232" s="82" t="e">
        <f t="shared" si="30"/>
        <v>#N/A</v>
      </c>
      <c r="Z232" s="82" t="e">
        <f t="shared" si="32"/>
        <v>#N/A</v>
      </c>
      <c r="AA232" s="82" t="str">
        <f t="shared" si="27"/>
        <v>Pin Laricio bis_F2_Classique_GS Pineraies des plaines du Centre et du Nord Ouest_42_</v>
      </c>
      <c r="AB232" s="79">
        <v>42</v>
      </c>
      <c r="AC232" s="82" t="e">
        <f t="shared" si="31"/>
        <v>#N/A</v>
      </c>
      <c r="AD232" s="86" t="e">
        <f t="shared" si="28"/>
        <v>#N/A</v>
      </c>
      <c r="AE232" s="81"/>
    </row>
    <row r="233" spans="1:31" hidden="1" x14ac:dyDescent="0.25">
      <c r="A233" s="79" t="s">
        <v>237</v>
      </c>
      <c r="B233" s="79" t="s">
        <v>10</v>
      </c>
      <c r="C233" s="79" t="s">
        <v>18</v>
      </c>
      <c r="D233" s="89" t="s">
        <v>235</v>
      </c>
      <c r="E233" s="79">
        <v>334</v>
      </c>
      <c r="F233" s="79">
        <v>52</v>
      </c>
      <c r="G233" s="79">
        <v>23.8</v>
      </c>
      <c r="H233" s="83">
        <v>308</v>
      </c>
      <c r="I233" s="83">
        <v>32.799999999999997</v>
      </c>
      <c r="J233" s="83">
        <v>408</v>
      </c>
      <c r="K233" s="83">
        <v>23.8</v>
      </c>
      <c r="L233" s="83">
        <v>37</v>
      </c>
      <c r="M233" s="84">
        <v>77</v>
      </c>
      <c r="N233" s="84">
        <v>6.5</v>
      </c>
      <c r="O233" s="84">
        <v>79</v>
      </c>
      <c r="P233" s="85">
        <v>230</v>
      </c>
      <c r="Q233" s="85">
        <v>26.3</v>
      </c>
      <c r="R233" s="85"/>
      <c r="S233" s="85">
        <v>329</v>
      </c>
      <c r="T233" s="80"/>
      <c r="U233" s="80"/>
      <c r="V233" s="81" t="str">
        <f>+IF(I233=0,"ap","av_ap")</f>
        <v>av_ap</v>
      </c>
      <c r="W233" s="81" t="e">
        <f>+VLOOKUP(A233,infradensité!$A$2:$B$67,2,FALSE)</f>
        <v>#N/A</v>
      </c>
      <c r="X233" s="81">
        <v>1.3</v>
      </c>
      <c r="Y233" s="82" t="e">
        <f t="shared" si="30"/>
        <v>#N/A</v>
      </c>
      <c r="Z233" s="82" t="e">
        <f t="shared" si="32"/>
        <v>#N/A</v>
      </c>
      <c r="AA233" s="82" t="str">
        <f t="shared" si="27"/>
        <v>Pin Laricio bis_F2_Classique_GS Pineraies des plaines du Centre et du Nord Ouest_52_</v>
      </c>
      <c r="AB233" s="79">
        <v>52</v>
      </c>
      <c r="AC233" s="82" t="e">
        <f t="shared" si="31"/>
        <v>#N/A</v>
      </c>
      <c r="AD233" s="86" t="e">
        <f t="shared" si="28"/>
        <v>#N/A</v>
      </c>
      <c r="AE233" s="81"/>
    </row>
    <row r="234" spans="1:31" hidden="1" x14ac:dyDescent="0.25">
      <c r="A234" s="79" t="s">
        <v>237</v>
      </c>
      <c r="B234" s="79" t="s">
        <v>10</v>
      </c>
      <c r="C234" s="79" t="s">
        <v>18</v>
      </c>
      <c r="D234" s="89" t="s">
        <v>235</v>
      </c>
      <c r="E234" s="79">
        <v>334</v>
      </c>
      <c r="F234" s="79">
        <v>52</v>
      </c>
      <c r="G234" s="79">
        <v>23.8</v>
      </c>
      <c r="H234" s="85">
        <v>230</v>
      </c>
      <c r="I234" s="85">
        <v>26.3</v>
      </c>
      <c r="J234" s="85">
        <v>329</v>
      </c>
      <c r="K234" s="85">
        <v>329</v>
      </c>
      <c r="L234" s="83"/>
      <c r="M234" s="84"/>
      <c r="N234" s="84"/>
      <c r="O234" s="84"/>
      <c r="P234" s="85"/>
      <c r="Q234" s="85"/>
      <c r="R234" s="85"/>
      <c r="S234" s="85"/>
      <c r="T234" s="80"/>
      <c r="U234" s="80"/>
      <c r="V234" s="81" t="s">
        <v>53</v>
      </c>
      <c r="W234" s="81" t="e">
        <f>+VLOOKUP(A234,infradensité!$A$2:$B$67,2,FALSE)</f>
        <v>#N/A</v>
      </c>
      <c r="X234" s="81">
        <v>1.3</v>
      </c>
      <c r="Y234" s="82" t="e">
        <f t="shared" si="30"/>
        <v>#N/A</v>
      </c>
      <c r="Z234" s="82" t="e">
        <f t="shared" si="32"/>
        <v>#N/A</v>
      </c>
      <c r="AA234" s="82" t="str">
        <f t="shared" si="27"/>
        <v>Pin Laricio bis_F2_Classique_GS Pineraies des plaines du Centre et du Nord Ouest_52_</v>
      </c>
      <c r="AB234" s="79">
        <v>52</v>
      </c>
      <c r="AC234" s="82" t="e">
        <f t="shared" si="31"/>
        <v>#N/A</v>
      </c>
      <c r="AD234" s="86" t="e">
        <f t="shared" si="28"/>
        <v>#N/A</v>
      </c>
      <c r="AE234" s="81"/>
    </row>
    <row r="235" spans="1:31" hidden="1" x14ac:dyDescent="0.25">
      <c r="A235" s="79" t="s">
        <v>237</v>
      </c>
      <c r="B235" s="79" t="s">
        <v>10</v>
      </c>
      <c r="C235" s="79" t="s">
        <v>18</v>
      </c>
      <c r="D235" s="89" t="s">
        <v>235</v>
      </c>
      <c r="E235" s="79">
        <v>334</v>
      </c>
      <c r="F235" s="79">
        <v>62</v>
      </c>
      <c r="G235" s="79">
        <v>25.9</v>
      </c>
      <c r="H235" s="83">
        <v>230</v>
      </c>
      <c r="I235" s="83">
        <v>35.200000000000003</v>
      </c>
      <c r="J235" s="83">
        <v>483</v>
      </c>
      <c r="K235" s="83">
        <v>25.9</v>
      </c>
      <c r="L235" s="83">
        <v>44</v>
      </c>
      <c r="M235" s="84">
        <v>44</v>
      </c>
      <c r="N235" s="84">
        <v>5</v>
      </c>
      <c r="O235" s="84">
        <v>67</v>
      </c>
      <c r="P235" s="85">
        <v>185</v>
      </c>
      <c r="Q235" s="85">
        <v>30.2</v>
      </c>
      <c r="R235" s="85"/>
      <c r="S235" s="85">
        <v>416</v>
      </c>
      <c r="T235" s="80"/>
      <c r="U235" s="80"/>
      <c r="V235" s="81" t="str">
        <f>+IF(I235=0,"ap","av_ap")</f>
        <v>av_ap</v>
      </c>
      <c r="W235" s="81" t="e">
        <f>+VLOOKUP(A235,infradensité!$A$2:$B$67,2,FALSE)</f>
        <v>#N/A</v>
      </c>
      <c r="X235" s="81">
        <v>1.3</v>
      </c>
      <c r="Y235" s="82" t="e">
        <f t="shared" si="30"/>
        <v>#N/A</v>
      </c>
      <c r="Z235" s="82" t="e">
        <f t="shared" si="32"/>
        <v>#N/A</v>
      </c>
      <c r="AA235" s="82" t="str">
        <f t="shared" si="27"/>
        <v>Pin Laricio bis_F2_Classique_GS Pineraies des plaines du Centre et du Nord Ouest_62_</v>
      </c>
      <c r="AB235" s="79">
        <v>62</v>
      </c>
      <c r="AC235" s="82" t="e">
        <f t="shared" si="31"/>
        <v>#N/A</v>
      </c>
      <c r="AD235" s="86" t="e">
        <f t="shared" si="28"/>
        <v>#N/A</v>
      </c>
      <c r="AE235" s="81"/>
    </row>
    <row r="236" spans="1:31" hidden="1" x14ac:dyDescent="0.25">
      <c r="A236" s="79" t="s">
        <v>237</v>
      </c>
      <c r="B236" s="79" t="s">
        <v>10</v>
      </c>
      <c r="C236" s="79" t="s">
        <v>18</v>
      </c>
      <c r="D236" s="89" t="s">
        <v>235</v>
      </c>
      <c r="E236" s="79">
        <v>334</v>
      </c>
      <c r="F236" s="79">
        <v>62</v>
      </c>
      <c r="G236" s="79">
        <v>25.9</v>
      </c>
      <c r="H236" s="85">
        <v>185</v>
      </c>
      <c r="I236" s="85">
        <v>30.2</v>
      </c>
      <c r="J236" s="85">
        <v>416</v>
      </c>
      <c r="K236" s="85">
        <v>416</v>
      </c>
      <c r="L236" s="83"/>
      <c r="M236" s="84"/>
      <c r="N236" s="84"/>
      <c r="O236" s="84"/>
      <c r="P236" s="85"/>
      <c r="Q236" s="85"/>
      <c r="R236" s="85"/>
      <c r="S236" s="85"/>
      <c r="T236" s="80"/>
      <c r="U236" s="80"/>
      <c r="V236" s="81" t="s">
        <v>53</v>
      </c>
      <c r="W236" s="81" t="e">
        <f>+VLOOKUP(A236,infradensité!$A$2:$B$67,2,FALSE)</f>
        <v>#N/A</v>
      </c>
      <c r="X236" s="81">
        <v>1.3</v>
      </c>
      <c r="Y236" s="82" t="e">
        <f t="shared" si="30"/>
        <v>#N/A</v>
      </c>
      <c r="Z236" s="82" t="e">
        <f t="shared" si="32"/>
        <v>#N/A</v>
      </c>
      <c r="AA236" s="82" t="str">
        <f t="shared" si="27"/>
        <v>Pin Laricio bis_F2_Classique_GS Pineraies des plaines du Centre et du Nord Ouest_62_</v>
      </c>
      <c r="AB236" s="79">
        <v>62</v>
      </c>
      <c r="AC236" s="82" t="e">
        <f t="shared" si="31"/>
        <v>#N/A</v>
      </c>
      <c r="AD236" s="86" t="e">
        <f t="shared" si="28"/>
        <v>#N/A</v>
      </c>
      <c r="AE236" s="81"/>
    </row>
    <row r="237" spans="1:31" hidden="1" x14ac:dyDescent="0.25">
      <c r="A237" s="79" t="s">
        <v>237</v>
      </c>
      <c r="B237" s="79" t="s">
        <v>10</v>
      </c>
      <c r="C237" s="79" t="s">
        <v>18</v>
      </c>
      <c r="D237" s="89" t="s">
        <v>235</v>
      </c>
      <c r="E237" s="79">
        <v>334</v>
      </c>
      <c r="F237" s="79">
        <v>72</v>
      </c>
      <c r="G237" s="79">
        <v>27.4</v>
      </c>
      <c r="H237" s="83">
        <v>185</v>
      </c>
      <c r="I237" s="83">
        <v>37.6</v>
      </c>
      <c r="J237" s="83">
        <v>550</v>
      </c>
      <c r="K237" s="83">
        <v>27.4</v>
      </c>
      <c r="L237" s="83">
        <v>51</v>
      </c>
      <c r="M237" s="84">
        <v>30</v>
      </c>
      <c r="N237" s="84">
        <v>4.2</v>
      </c>
      <c r="O237" s="84">
        <v>60</v>
      </c>
      <c r="P237" s="85">
        <v>155</v>
      </c>
      <c r="Q237" s="85">
        <v>33.299999999999997</v>
      </c>
      <c r="R237" s="85"/>
      <c r="S237" s="85">
        <v>490</v>
      </c>
      <c r="T237" s="80"/>
      <c r="U237" s="80"/>
      <c r="V237" s="81" t="str">
        <f>+IF(I237=0,"ap","av_ap")</f>
        <v>av_ap</v>
      </c>
      <c r="W237" s="81" t="e">
        <f>+VLOOKUP(A237,infradensité!$A$2:$B$67,2,FALSE)</f>
        <v>#N/A</v>
      </c>
      <c r="X237" s="81">
        <v>1.3</v>
      </c>
      <c r="Y237" s="82" t="e">
        <f t="shared" si="30"/>
        <v>#N/A</v>
      </c>
      <c r="Z237" s="82" t="e">
        <f t="shared" si="32"/>
        <v>#N/A</v>
      </c>
      <c r="AA237" s="82" t="str">
        <f t="shared" si="27"/>
        <v>Pin Laricio bis_F2_Classique_GS Pineraies des plaines du Centre et du Nord Ouest_72_</v>
      </c>
      <c r="AB237" s="79">
        <v>72</v>
      </c>
      <c r="AC237" s="82" t="e">
        <f t="shared" si="31"/>
        <v>#N/A</v>
      </c>
      <c r="AD237" s="86" t="e">
        <f t="shared" si="28"/>
        <v>#N/A</v>
      </c>
      <c r="AE237" s="81"/>
    </row>
    <row r="238" spans="1:31" hidden="1" x14ac:dyDescent="0.25">
      <c r="A238" s="79" t="s">
        <v>237</v>
      </c>
      <c r="B238" s="79" t="s">
        <v>10</v>
      </c>
      <c r="C238" s="79" t="s">
        <v>18</v>
      </c>
      <c r="D238" s="89" t="s">
        <v>235</v>
      </c>
      <c r="E238" s="79">
        <v>334</v>
      </c>
      <c r="F238" s="79">
        <v>72</v>
      </c>
      <c r="G238" s="79">
        <v>27.4</v>
      </c>
      <c r="H238" s="85">
        <v>155</v>
      </c>
      <c r="I238" s="85">
        <v>33.299999999999997</v>
      </c>
      <c r="J238" s="85">
        <v>490</v>
      </c>
      <c r="K238" s="85">
        <v>490</v>
      </c>
      <c r="L238" s="83"/>
      <c r="M238" s="84"/>
      <c r="N238" s="84"/>
      <c r="O238" s="84"/>
      <c r="P238" s="85"/>
      <c r="Q238" s="85"/>
      <c r="R238" s="85"/>
      <c r="S238" s="85"/>
      <c r="T238" s="80"/>
      <c r="U238" s="80"/>
      <c r="V238" s="81" t="s">
        <v>53</v>
      </c>
      <c r="W238" s="81" t="e">
        <f>+VLOOKUP(A238,infradensité!$A$2:$B$67,2,FALSE)</f>
        <v>#N/A</v>
      </c>
      <c r="X238" s="81">
        <v>1.3</v>
      </c>
      <c r="Y238" s="82" t="e">
        <f t="shared" si="30"/>
        <v>#N/A</v>
      </c>
      <c r="Z238" s="82" t="e">
        <f t="shared" si="32"/>
        <v>#N/A</v>
      </c>
      <c r="AA238" s="82" t="str">
        <f t="shared" si="27"/>
        <v>Pin Laricio bis_F2_Classique_GS Pineraies des plaines du Centre et du Nord Ouest_72_</v>
      </c>
      <c r="AB238" s="79">
        <v>72</v>
      </c>
      <c r="AC238" s="82" t="e">
        <f t="shared" si="31"/>
        <v>#N/A</v>
      </c>
      <c r="AD238" s="86" t="e">
        <f t="shared" si="28"/>
        <v>#N/A</v>
      </c>
      <c r="AE238" s="81"/>
    </row>
    <row r="239" spans="1:31" hidden="1" x14ac:dyDescent="0.25">
      <c r="A239" s="79" t="s">
        <v>237</v>
      </c>
      <c r="B239" s="79" t="s">
        <v>10</v>
      </c>
      <c r="C239" s="79" t="s">
        <v>18</v>
      </c>
      <c r="D239" s="89" t="s">
        <v>235</v>
      </c>
      <c r="E239" s="79">
        <v>334</v>
      </c>
      <c r="F239" s="79">
        <v>80</v>
      </c>
      <c r="G239" s="79">
        <v>28.3</v>
      </c>
      <c r="H239" s="83">
        <v>155</v>
      </c>
      <c r="I239" s="83">
        <v>38.200000000000003</v>
      </c>
      <c r="J239" s="83">
        <v>581</v>
      </c>
      <c r="K239" s="83">
        <v>28.3</v>
      </c>
      <c r="L239" s="83">
        <v>56</v>
      </c>
      <c r="M239" s="84"/>
      <c r="N239" s="84"/>
      <c r="O239" s="84"/>
      <c r="P239" s="85">
        <v>155</v>
      </c>
      <c r="Q239" s="85">
        <v>38.200000000000003</v>
      </c>
      <c r="R239" s="85"/>
      <c r="S239" s="85">
        <v>581</v>
      </c>
      <c r="T239" s="80"/>
      <c r="U239" s="80"/>
      <c r="V239" s="81" t="str">
        <f>+IF(I239=0,"ap","av_ap")</f>
        <v>av_ap</v>
      </c>
      <c r="W239" s="81" t="e">
        <f>+VLOOKUP(A239,infradensité!$A$2:$B$67,2,FALSE)</f>
        <v>#N/A</v>
      </c>
      <c r="X239" s="81">
        <v>1.3</v>
      </c>
      <c r="Y239" s="82" t="e">
        <f t="shared" si="30"/>
        <v>#N/A</v>
      </c>
      <c r="Z239" s="82" t="e">
        <f t="shared" si="32"/>
        <v>#N/A</v>
      </c>
      <c r="AA239" s="82" t="str">
        <f t="shared" si="27"/>
        <v>Pin Laricio bis_F2_Classique_GS Pineraies des plaines du Centre et du Nord Ouest_80_</v>
      </c>
      <c r="AB239" s="79">
        <v>80</v>
      </c>
      <c r="AC239" s="82" t="e">
        <f t="shared" si="31"/>
        <v>#N/A</v>
      </c>
      <c r="AD239" s="86" t="e">
        <f t="shared" si="28"/>
        <v>#N/A</v>
      </c>
      <c r="AE239" s="81"/>
    </row>
    <row r="240" spans="1:31" hidden="1" x14ac:dyDescent="0.25">
      <c r="A240" s="79" t="s">
        <v>237</v>
      </c>
      <c r="B240" s="79" t="s">
        <v>10</v>
      </c>
      <c r="C240" s="79" t="s">
        <v>18</v>
      </c>
      <c r="D240" s="89" t="s">
        <v>235</v>
      </c>
      <c r="E240" s="79">
        <v>334</v>
      </c>
      <c r="F240" s="79">
        <v>80</v>
      </c>
      <c r="G240" s="79">
        <v>28.3</v>
      </c>
      <c r="H240" s="85">
        <v>155</v>
      </c>
      <c r="I240" s="85">
        <v>38.200000000000003</v>
      </c>
      <c r="J240" s="85">
        <v>581</v>
      </c>
      <c r="K240" s="85">
        <v>581</v>
      </c>
      <c r="L240" s="83"/>
      <c r="M240" s="84"/>
      <c r="N240" s="84"/>
      <c r="O240" s="84"/>
      <c r="P240" s="85"/>
      <c r="Q240" s="85"/>
      <c r="R240" s="85"/>
      <c r="S240" s="85"/>
      <c r="T240" s="80"/>
      <c r="U240" s="80"/>
      <c r="V240" s="81" t="s">
        <v>53</v>
      </c>
      <c r="W240" s="81" t="e">
        <f>+VLOOKUP(A240,infradensité!$A$2:$B$67,2,FALSE)</f>
        <v>#N/A</v>
      </c>
      <c r="X240" s="81">
        <v>1.3</v>
      </c>
      <c r="Y240" s="82" t="e">
        <f t="shared" si="30"/>
        <v>#N/A</v>
      </c>
      <c r="Z240" s="82" t="e">
        <f t="shared" si="32"/>
        <v>#N/A</v>
      </c>
      <c r="AA240" s="82" t="str">
        <f t="shared" si="27"/>
        <v>Pin Laricio bis_F2_Classique_GS Pineraies des plaines du Centre et du Nord Ouest_80_</v>
      </c>
      <c r="AB240" s="79">
        <v>80</v>
      </c>
      <c r="AC240" s="82" t="e">
        <f t="shared" si="31"/>
        <v>#N/A</v>
      </c>
      <c r="AD240" s="86" t="e">
        <f t="shared" si="28"/>
        <v>#N/A</v>
      </c>
      <c r="AE240" s="81"/>
    </row>
    <row r="241" spans="1:31" hidden="1" x14ac:dyDescent="0.25">
      <c r="A241" s="79" t="s">
        <v>237</v>
      </c>
      <c r="B241" s="79" t="s">
        <v>10</v>
      </c>
      <c r="C241" s="79" t="s">
        <v>18</v>
      </c>
      <c r="D241" s="89" t="s">
        <v>235</v>
      </c>
      <c r="E241" s="79">
        <v>334</v>
      </c>
      <c r="F241" s="79">
        <v>90</v>
      </c>
      <c r="G241" s="79">
        <v>29.1</v>
      </c>
      <c r="H241" s="83">
        <v>155</v>
      </c>
      <c r="I241" s="83">
        <v>43.3</v>
      </c>
      <c r="J241" s="83">
        <v>678</v>
      </c>
      <c r="K241" s="83">
        <v>29.1</v>
      </c>
      <c r="L241" s="83">
        <v>60</v>
      </c>
      <c r="M241" s="84"/>
      <c r="N241" s="84"/>
      <c r="O241" s="84"/>
      <c r="P241" s="85">
        <v>155</v>
      </c>
      <c r="Q241" s="85">
        <v>43.3</v>
      </c>
      <c r="R241" s="85"/>
      <c r="S241" s="85">
        <v>678</v>
      </c>
      <c r="T241" s="80"/>
      <c r="U241" s="80"/>
      <c r="V241" s="81" t="str">
        <f>+IF(I241=0,"ap","av_ap")</f>
        <v>av_ap</v>
      </c>
      <c r="W241" s="81" t="e">
        <f>+VLOOKUP(A241,infradensité!$A$2:$B$67,2,FALSE)</f>
        <v>#N/A</v>
      </c>
      <c r="X241" s="81">
        <v>1.3</v>
      </c>
      <c r="Y241" s="82" t="e">
        <f t="shared" si="30"/>
        <v>#N/A</v>
      </c>
      <c r="Z241" s="82" t="e">
        <f t="shared" si="32"/>
        <v>#N/A</v>
      </c>
      <c r="AA241" s="82" t="str">
        <f t="shared" si="27"/>
        <v>Pin Laricio bis_F2_Classique_GS Pineraies des plaines du Centre et du Nord Ouest_90_</v>
      </c>
      <c r="AB241" s="79">
        <v>90</v>
      </c>
      <c r="AC241" s="82" t="e">
        <f t="shared" si="31"/>
        <v>#N/A</v>
      </c>
      <c r="AD241" s="86" t="e">
        <f t="shared" si="28"/>
        <v>#N/A</v>
      </c>
      <c r="AE241" s="81"/>
    </row>
    <row r="242" spans="1:31" hidden="1" x14ac:dyDescent="0.25">
      <c r="A242" s="79" t="s">
        <v>237</v>
      </c>
      <c r="B242" s="79" t="s">
        <v>10</v>
      </c>
      <c r="C242" s="79" t="s">
        <v>18</v>
      </c>
      <c r="D242" s="89" t="s">
        <v>235</v>
      </c>
      <c r="E242" s="79">
        <v>334</v>
      </c>
      <c r="F242" s="79">
        <v>90</v>
      </c>
      <c r="G242" s="79">
        <v>29.1</v>
      </c>
      <c r="H242" s="85">
        <v>155</v>
      </c>
      <c r="I242" s="85">
        <v>43.3</v>
      </c>
      <c r="J242" s="85">
        <v>678</v>
      </c>
      <c r="K242" s="85">
        <v>678</v>
      </c>
      <c r="L242" s="83"/>
      <c r="M242" s="84"/>
      <c r="N242" s="84"/>
      <c r="O242" s="84"/>
      <c r="P242" s="85"/>
      <c r="Q242" s="85"/>
      <c r="R242" s="85"/>
      <c r="S242" s="85"/>
      <c r="T242" s="80"/>
      <c r="U242" s="80"/>
      <c r="V242" s="81" t="s">
        <v>53</v>
      </c>
      <c r="W242" s="81" t="e">
        <f>+VLOOKUP(A242,infradensité!$A$2:$B$67,2,FALSE)</f>
        <v>#N/A</v>
      </c>
      <c r="X242" s="81">
        <v>1.3</v>
      </c>
      <c r="Y242" s="82" t="e">
        <f t="shared" si="30"/>
        <v>#N/A</v>
      </c>
      <c r="Z242" s="82" t="e">
        <f t="shared" si="32"/>
        <v>#N/A</v>
      </c>
      <c r="AA242" s="82" t="str">
        <f t="shared" si="27"/>
        <v>Pin Laricio bis_F2_Classique_GS Pineraies des plaines du Centre et du Nord Ouest_90_</v>
      </c>
      <c r="AB242" s="79">
        <v>90</v>
      </c>
      <c r="AC242" s="82" t="e">
        <f t="shared" si="31"/>
        <v>#N/A</v>
      </c>
      <c r="AD242" s="86" t="e">
        <f t="shared" si="28"/>
        <v>#N/A</v>
      </c>
      <c r="AE242" s="81"/>
    </row>
    <row r="243" spans="1:31" hidden="1" x14ac:dyDescent="0.25">
      <c r="A243" s="86" t="s">
        <v>238</v>
      </c>
      <c r="B243" s="86" t="s">
        <v>9</v>
      </c>
      <c r="C243" s="5" t="s">
        <v>143</v>
      </c>
      <c r="D243" s="87" t="s">
        <v>239</v>
      </c>
      <c r="E243" s="86">
        <v>32</v>
      </c>
      <c r="F243" s="86">
        <v>0</v>
      </c>
      <c r="G243" s="86" t="s">
        <v>240</v>
      </c>
      <c r="H243" s="86"/>
      <c r="I243" s="86">
        <v>0</v>
      </c>
      <c r="J243" s="86">
        <v>0</v>
      </c>
      <c r="K243" s="86"/>
      <c r="L243" s="86"/>
      <c r="M243" s="86"/>
      <c r="N243" s="86"/>
      <c r="O243" s="86"/>
      <c r="P243" s="86">
        <v>900</v>
      </c>
      <c r="Q243" s="86" t="s">
        <v>241</v>
      </c>
      <c r="R243" s="86"/>
      <c r="S243" s="86">
        <v>132</v>
      </c>
      <c r="T243" s="86"/>
      <c r="U243" s="86"/>
      <c r="V243" s="86" t="str">
        <f>+IF(I243=0,"ap","av_ap")</f>
        <v>ap</v>
      </c>
      <c r="W243" s="86">
        <f>+VLOOKUP(A243,infradensité!$A$2:$B$67,2,FALSE)</f>
        <v>0.55000000000000004</v>
      </c>
      <c r="X243" s="86">
        <v>1.56</v>
      </c>
      <c r="Y243" s="88">
        <f t="shared" si="30"/>
        <v>0</v>
      </c>
      <c r="Z243" s="88" t="e">
        <f t="shared" si="32"/>
        <v>#NUM!</v>
      </c>
      <c r="AA243" s="88" t="str">
        <f t="shared" si="27"/>
        <v>Hêtre commun_F1_Entree 19-20m_GS Hêtraies et hêtraies sapinières des Pyrénées_0_</v>
      </c>
      <c r="AB243" s="86">
        <v>0</v>
      </c>
      <c r="AC243" s="88">
        <v>0</v>
      </c>
      <c r="AD243" s="86">
        <f t="shared" si="28"/>
        <v>0</v>
      </c>
      <c r="AE243" s="86">
        <f>+SUM($AD$243:$AD$262)/$AB$262</f>
        <v>382.7551119057016</v>
      </c>
    </row>
    <row r="244" spans="1:31" hidden="1" x14ac:dyDescent="0.25">
      <c r="A244" s="86" t="s">
        <v>238</v>
      </c>
      <c r="B244" s="86" t="s">
        <v>9</v>
      </c>
      <c r="C244" s="5" t="s">
        <v>143</v>
      </c>
      <c r="D244" s="87" t="s">
        <v>239</v>
      </c>
      <c r="E244" s="86">
        <v>32</v>
      </c>
      <c r="F244" s="86">
        <v>30</v>
      </c>
      <c r="G244" s="86" t="s">
        <v>240</v>
      </c>
      <c r="H244" s="86"/>
      <c r="I244" s="86" t="s">
        <v>224</v>
      </c>
      <c r="J244" s="86">
        <f>+((J245-J243)/42*30)</f>
        <v>157.14285714285714</v>
      </c>
      <c r="K244" s="86"/>
      <c r="L244" s="86"/>
      <c r="M244" s="86"/>
      <c r="N244" s="86"/>
      <c r="O244" s="86"/>
      <c r="P244" s="86">
        <v>900</v>
      </c>
      <c r="Q244" s="86" t="s">
        <v>241</v>
      </c>
      <c r="R244" s="86"/>
      <c r="S244" s="86">
        <v>132</v>
      </c>
      <c r="T244" s="86"/>
      <c r="U244" s="86"/>
      <c r="V244" s="86" t="str">
        <f>+IF(I244=0,"ap","av_ap")</f>
        <v>av_ap</v>
      </c>
      <c r="W244" s="86">
        <f>+VLOOKUP(A244,infradensité!$A$2:$B$67,2,FALSE)</f>
        <v>0.55000000000000004</v>
      </c>
      <c r="X244" s="86">
        <v>1.56</v>
      </c>
      <c r="Y244" s="88">
        <f t="shared" si="30"/>
        <v>134.82857142857145</v>
      </c>
      <c r="Z244" s="88">
        <f t="shared" si="32"/>
        <v>35.109721203026325</v>
      </c>
      <c r="AA244" s="88" t="str">
        <f t="shared" si="27"/>
        <v>Hêtre commun_F1_Entree 19-20m_GS Hêtraies et hêtraies sapinières des Pyrénées_30_</v>
      </c>
      <c r="AB244" s="86">
        <v>30</v>
      </c>
      <c r="AC244" s="88">
        <f t="shared" ref="AC244" si="33">+(Z244+Y244)*0.475*44/12</f>
        <v>295.97585966669948</v>
      </c>
      <c r="AD244" s="86">
        <f t="shared" si="28"/>
        <v>4439.6378950004919</v>
      </c>
      <c r="AE244" s="86">
        <f t="shared" ref="AE244:AE262" si="34">+SUM($AD$243:$AD$262)/$AB$262</f>
        <v>382.7551119057016</v>
      </c>
    </row>
    <row r="245" spans="1:31" hidden="1" x14ac:dyDescent="0.25">
      <c r="A245" s="79" t="s">
        <v>238</v>
      </c>
      <c r="B245" s="79" t="s">
        <v>9</v>
      </c>
      <c r="C245" s="5" t="s">
        <v>143</v>
      </c>
      <c r="D245" s="89" t="s">
        <v>239</v>
      </c>
      <c r="E245" s="79">
        <v>32</v>
      </c>
      <c r="F245" s="79">
        <v>42</v>
      </c>
      <c r="G245" s="79" t="s">
        <v>240</v>
      </c>
      <c r="H245" s="83"/>
      <c r="I245" s="86" t="s">
        <v>224</v>
      </c>
      <c r="J245" s="86">
        <f>+J246/60%</f>
        <v>220</v>
      </c>
      <c r="K245" s="83"/>
      <c r="L245" s="83"/>
      <c r="M245" s="84"/>
      <c r="N245" s="84"/>
      <c r="O245" s="84"/>
      <c r="P245" s="85">
        <v>900</v>
      </c>
      <c r="Q245" s="85" t="s">
        <v>241</v>
      </c>
      <c r="R245" s="85"/>
      <c r="S245" s="85">
        <v>132</v>
      </c>
      <c r="T245" s="80"/>
      <c r="U245" s="80"/>
      <c r="V245" s="81" t="str">
        <f>+IF(I245=0,"ap","av_ap")</f>
        <v>av_ap</v>
      </c>
      <c r="W245" s="81">
        <f>+VLOOKUP(A245,infradensité!$A$2:$B$67,2,FALSE)</f>
        <v>0.55000000000000004</v>
      </c>
      <c r="X245" s="81">
        <v>1.56</v>
      </c>
      <c r="Y245" s="82">
        <f t="shared" si="30"/>
        <v>188.76000000000002</v>
      </c>
      <c r="Z245" s="82">
        <f t="shared" si="32"/>
        <v>47.265702073783714</v>
      </c>
      <c r="AA245" s="82" t="str">
        <f t="shared" si="27"/>
        <v>Hêtre commun_F1_Entree 19-20m_GS Hêtraies et hêtraies sapinières des Pyrénées_42_</v>
      </c>
      <c r="AB245" s="79">
        <v>42</v>
      </c>
      <c r="AC245" s="82">
        <f t="shared" si="31"/>
        <v>411.07809777850667</v>
      </c>
      <c r="AD245" s="86">
        <f t="shared" si="28"/>
        <v>4242.3237446712374</v>
      </c>
      <c r="AE245" s="86">
        <f t="shared" si="34"/>
        <v>382.7551119057016</v>
      </c>
    </row>
    <row r="246" spans="1:31" hidden="1" x14ac:dyDescent="0.25">
      <c r="A246" s="79" t="s">
        <v>238</v>
      </c>
      <c r="B246" s="79" t="s">
        <v>9</v>
      </c>
      <c r="C246" s="5" t="s">
        <v>143</v>
      </c>
      <c r="D246" s="89" t="s">
        <v>239</v>
      </c>
      <c r="E246" s="79">
        <v>32</v>
      </c>
      <c r="F246" s="79">
        <v>42</v>
      </c>
      <c r="G246" s="79" t="s">
        <v>240</v>
      </c>
      <c r="H246" s="85">
        <v>900</v>
      </c>
      <c r="I246" s="85" t="s">
        <v>241</v>
      </c>
      <c r="J246" s="85">
        <v>132</v>
      </c>
      <c r="K246" s="85">
        <v>132</v>
      </c>
      <c r="L246" s="83"/>
      <c r="M246" s="84"/>
      <c r="N246" s="84"/>
      <c r="O246" s="84"/>
      <c r="P246" s="85"/>
      <c r="Q246" s="85"/>
      <c r="R246" s="85"/>
      <c r="S246" s="85"/>
      <c r="T246" s="80"/>
      <c r="U246" s="80"/>
      <c r="V246" s="81" t="s">
        <v>53</v>
      </c>
      <c r="W246" s="81">
        <f>+VLOOKUP(A246,infradensité!$A$2:$B$67,2,FALSE)</f>
        <v>0.55000000000000004</v>
      </c>
      <c r="X246" s="81">
        <v>1.56</v>
      </c>
      <c r="Y246" s="82">
        <f t="shared" si="30"/>
        <v>113.25600000000001</v>
      </c>
      <c r="Z246" s="82">
        <f t="shared" si="32"/>
        <v>30.096816336106439</v>
      </c>
      <c r="AA246" s="82" t="str">
        <f t="shared" si="27"/>
        <v>Hêtre commun_F1_Entree 19-20m_GS Hêtraies et hêtraies sapinières des Pyrénées_42_</v>
      </c>
      <c r="AB246" s="79">
        <v>42</v>
      </c>
      <c r="AC246" s="82">
        <f t="shared" si="31"/>
        <v>249.67282178538542</v>
      </c>
      <c r="AD246" s="86">
        <f t="shared" si="28"/>
        <v>0</v>
      </c>
      <c r="AE246" s="86">
        <f t="shared" si="34"/>
        <v>382.7551119057016</v>
      </c>
    </row>
    <row r="247" spans="1:31" hidden="1" x14ac:dyDescent="0.25">
      <c r="A247" s="79" t="s">
        <v>238</v>
      </c>
      <c r="B247" s="79" t="s">
        <v>9</v>
      </c>
      <c r="C247" s="5" t="s">
        <v>143</v>
      </c>
      <c r="D247" s="89" t="s">
        <v>239</v>
      </c>
      <c r="E247" s="79">
        <v>32</v>
      </c>
      <c r="F247" s="79">
        <v>48</v>
      </c>
      <c r="G247" s="79" t="s">
        <v>242</v>
      </c>
      <c r="H247" s="83">
        <v>900</v>
      </c>
      <c r="I247" s="83" t="s">
        <v>243</v>
      </c>
      <c r="J247" s="83">
        <v>207</v>
      </c>
      <c r="K247" s="83" t="s">
        <v>244</v>
      </c>
      <c r="L247" s="83" t="s">
        <v>245</v>
      </c>
      <c r="M247" s="84">
        <v>252</v>
      </c>
      <c r="N247" s="84" t="s">
        <v>246</v>
      </c>
      <c r="O247" s="84">
        <v>48</v>
      </c>
      <c r="P247" s="85">
        <v>648</v>
      </c>
      <c r="Q247" s="85">
        <v>18</v>
      </c>
      <c r="R247" s="85"/>
      <c r="S247" s="85">
        <v>160</v>
      </c>
      <c r="T247" s="80"/>
      <c r="U247" s="80"/>
      <c r="V247" s="81" t="str">
        <f>+IF(I247=0,"ap","av_ap")</f>
        <v>av_ap</v>
      </c>
      <c r="W247" s="81">
        <f>+VLOOKUP(A247,infradensité!$A$2:$B$67,2,FALSE)</f>
        <v>0.55000000000000004</v>
      </c>
      <c r="X247" s="81">
        <v>1.56</v>
      </c>
      <c r="Y247" s="82">
        <f t="shared" si="30"/>
        <v>177.60600000000002</v>
      </c>
      <c r="Z247" s="82">
        <f t="shared" si="32"/>
        <v>44.789150937858665</v>
      </c>
      <c r="AA247" s="82" t="str">
        <f t="shared" si="27"/>
        <v>Hêtre commun_F1_Entree 19-20m_GS Hêtraies et hêtraies sapinières des Pyrénées_48_</v>
      </c>
      <c r="AB247" s="79">
        <v>48</v>
      </c>
      <c r="AC247" s="82">
        <f t="shared" si="31"/>
        <v>387.33822121677053</v>
      </c>
      <c r="AD247" s="86">
        <f t="shared" si="28"/>
        <v>1911.0331290064678</v>
      </c>
      <c r="AE247" s="86">
        <f t="shared" si="34"/>
        <v>382.7551119057016</v>
      </c>
    </row>
    <row r="248" spans="1:31" hidden="1" x14ac:dyDescent="0.25">
      <c r="A248" s="79" t="s">
        <v>238</v>
      </c>
      <c r="B248" s="79" t="s">
        <v>9</v>
      </c>
      <c r="C248" s="5" t="s">
        <v>143</v>
      </c>
      <c r="D248" s="89" t="s">
        <v>239</v>
      </c>
      <c r="E248" s="79">
        <v>32</v>
      </c>
      <c r="F248" s="79">
        <v>48</v>
      </c>
      <c r="G248" s="79" t="s">
        <v>242</v>
      </c>
      <c r="H248" s="85">
        <v>648</v>
      </c>
      <c r="I248" s="85">
        <v>18</v>
      </c>
      <c r="J248" s="85">
        <v>160</v>
      </c>
      <c r="K248" s="85">
        <v>160</v>
      </c>
      <c r="L248" s="83"/>
      <c r="M248" s="84"/>
      <c r="N248" s="84"/>
      <c r="O248" s="84"/>
      <c r="P248" s="85"/>
      <c r="Q248" s="85"/>
      <c r="R248" s="85"/>
      <c r="S248" s="85"/>
      <c r="T248" s="80"/>
      <c r="U248" s="80"/>
      <c r="V248" s="81" t="s">
        <v>53</v>
      </c>
      <c r="W248" s="81">
        <f>+VLOOKUP(A248,infradensité!$A$2:$B$67,2,FALSE)</f>
        <v>0.55000000000000004</v>
      </c>
      <c r="X248" s="81">
        <v>1.56</v>
      </c>
      <c r="Y248" s="82">
        <f t="shared" si="30"/>
        <v>137.28000000000003</v>
      </c>
      <c r="Z248" s="82">
        <f t="shared" si="32"/>
        <v>35.673181961873446</v>
      </c>
      <c r="AA248" s="82" t="str">
        <f t="shared" si="27"/>
        <v>Hêtre commun_F1_Entree 19-20m_GS Hêtraies et hêtraies sapinières des Pyrénées_48_</v>
      </c>
      <c r="AB248" s="79">
        <v>48</v>
      </c>
      <c r="AC248" s="82">
        <f t="shared" si="31"/>
        <v>301.22679191692964</v>
      </c>
      <c r="AD248" s="86">
        <f t="shared" si="28"/>
        <v>0</v>
      </c>
      <c r="AE248" s="86">
        <f t="shared" si="34"/>
        <v>382.7551119057016</v>
      </c>
    </row>
    <row r="249" spans="1:31" hidden="1" x14ac:dyDescent="0.25">
      <c r="A249" s="79" t="s">
        <v>238</v>
      </c>
      <c r="B249" s="79" t="s">
        <v>9</v>
      </c>
      <c r="C249" s="5" t="s">
        <v>143</v>
      </c>
      <c r="D249" s="89" t="s">
        <v>239</v>
      </c>
      <c r="E249" s="79">
        <v>32</v>
      </c>
      <c r="F249" s="79">
        <v>54</v>
      </c>
      <c r="G249" s="79" t="s">
        <v>243</v>
      </c>
      <c r="H249" s="83">
        <v>648</v>
      </c>
      <c r="I249" s="83" t="s">
        <v>247</v>
      </c>
      <c r="J249" s="83">
        <v>228</v>
      </c>
      <c r="K249" s="83" t="s">
        <v>248</v>
      </c>
      <c r="L249" s="83" t="s">
        <v>249</v>
      </c>
      <c r="M249" s="84">
        <v>147</v>
      </c>
      <c r="N249" s="84" t="s">
        <v>250</v>
      </c>
      <c r="O249" s="84">
        <v>50</v>
      </c>
      <c r="P249" s="85">
        <v>501</v>
      </c>
      <c r="Q249" s="85" t="s">
        <v>251</v>
      </c>
      <c r="R249" s="85"/>
      <c r="S249" s="85">
        <v>178</v>
      </c>
      <c r="T249" s="80"/>
      <c r="U249" s="80"/>
      <c r="V249" s="81" t="str">
        <f>+IF(I249=0,"ap","av_ap")</f>
        <v>av_ap</v>
      </c>
      <c r="W249" s="81">
        <f>+VLOOKUP(A249,infradensité!$A$2:$B$67,2,FALSE)</f>
        <v>0.55000000000000004</v>
      </c>
      <c r="X249" s="81">
        <v>1.56</v>
      </c>
      <c r="Y249" s="82">
        <f t="shared" si="30"/>
        <v>195.62400000000002</v>
      </c>
      <c r="Z249" s="82">
        <f t="shared" si="32"/>
        <v>48.781220625276006</v>
      </c>
      <c r="AA249" s="82" t="str">
        <f t="shared" si="27"/>
        <v>Hêtre commun_F1_Entree 19-20m_GS Hêtraies et hêtraies sapinières des Pyrénées_54_</v>
      </c>
      <c r="AB249" s="79">
        <v>54</v>
      </c>
      <c r="AC249" s="82">
        <f t="shared" si="31"/>
        <v>425.67242592235567</v>
      </c>
      <c r="AD249" s="86">
        <f t="shared" si="28"/>
        <v>2180.6976535178555</v>
      </c>
      <c r="AE249" s="86">
        <f t="shared" si="34"/>
        <v>382.7551119057016</v>
      </c>
    </row>
    <row r="250" spans="1:31" hidden="1" x14ac:dyDescent="0.25">
      <c r="A250" s="79" t="s">
        <v>238</v>
      </c>
      <c r="B250" s="79" t="s">
        <v>9</v>
      </c>
      <c r="C250" s="5" t="s">
        <v>143</v>
      </c>
      <c r="D250" s="89" t="s">
        <v>239</v>
      </c>
      <c r="E250" s="79">
        <v>32</v>
      </c>
      <c r="F250" s="79">
        <v>54</v>
      </c>
      <c r="G250" s="79" t="s">
        <v>243</v>
      </c>
      <c r="H250" s="85">
        <v>501</v>
      </c>
      <c r="I250" s="85" t="s">
        <v>251</v>
      </c>
      <c r="J250" s="85">
        <v>178</v>
      </c>
      <c r="K250" s="85">
        <v>178</v>
      </c>
      <c r="L250" s="83"/>
      <c r="M250" s="84"/>
      <c r="N250" s="84"/>
      <c r="O250" s="84"/>
      <c r="P250" s="85"/>
      <c r="Q250" s="85"/>
      <c r="R250" s="85"/>
      <c r="S250" s="85"/>
      <c r="T250" s="80"/>
      <c r="U250" s="80"/>
      <c r="V250" s="81" t="s">
        <v>53</v>
      </c>
      <c r="W250" s="81">
        <f>+VLOOKUP(A250,infradensité!$A$2:$B$67,2,FALSE)</f>
        <v>0.55000000000000004</v>
      </c>
      <c r="X250" s="81">
        <v>1.56</v>
      </c>
      <c r="Y250" s="82">
        <f t="shared" si="30"/>
        <v>152.72400000000002</v>
      </c>
      <c r="Z250" s="82">
        <f t="shared" si="32"/>
        <v>39.196974505553527</v>
      </c>
      <c r="AA250" s="82" t="str">
        <f t="shared" si="27"/>
        <v>Hêtre commun_F1_Entree 19-20m_GS Hêtraies et hêtraies sapinières des Pyrénées_54_</v>
      </c>
      <c r="AB250" s="79">
        <v>54</v>
      </c>
      <c r="AC250" s="82">
        <f t="shared" si="31"/>
        <v>334.26236393050573</v>
      </c>
      <c r="AD250" s="86">
        <f t="shared" si="28"/>
        <v>0</v>
      </c>
      <c r="AE250" s="86">
        <f t="shared" si="34"/>
        <v>382.7551119057016</v>
      </c>
    </row>
    <row r="251" spans="1:31" hidden="1" x14ac:dyDescent="0.25">
      <c r="A251" s="79" t="s">
        <v>238</v>
      </c>
      <c r="B251" s="79" t="s">
        <v>9</v>
      </c>
      <c r="C251" s="5" t="s">
        <v>143</v>
      </c>
      <c r="D251" s="89" t="s">
        <v>239</v>
      </c>
      <c r="E251" s="79">
        <v>32</v>
      </c>
      <c r="F251" s="79">
        <v>63</v>
      </c>
      <c r="G251" s="79" t="s">
        <v>252</v>
      </c>
      <c r="H251" s="83">
        <v>501</v>
      </c>
      <c r="I251" s="83" t="s">
        <v>253</v>
      </c>
      <c r="J251" s="83">
        <v>280</v>
      </c>
      <c r="K251" s="83" t="s">
        <v>254</v>
      </c>
      <c r="L251" s="83" t="s">
        <v>253</v>
      </c>
      <c r="M251" s="84">
        <v>150</v>
      </c>
      <c r="N251" s="84" t="s">
        <v>255</v>
      </c>
      <c r="O251" s="84">
        <v>74</v>
      </c>
      <c r="P251" s="85">
        <v>351</v>
      </c>
      <c r="Q251" s="85" t="s">
        <v>256</v>
      </c>
      <c r="R251" s="85"/>
      <c r="S251" s="85">
        <v>206</v>
      </c>
      <c r="T251" s="80"/>
      <c r="U251" s="80"/>
      <c r="V251" s="81" t="str">
        <f>+IF(I251=0,"ap","av_ap")</f>
        <v>av_ap</v>
      </c>
      <c r="W251" s="81">
        <f>+VLOOKUP(A251,infradensité!$A$2:$B$67,2,FALSE)</f>
        <v>0.55000000000000004</v>
      </c>
      <c r="X251" s="81">
        <v>1.56</v>
      </c>
      <c r="Y251" s="82">
        <f t="shared" si="30"/>
        <v>240.24000000000004</v>
      </c>
      <c r="Z251" s="82">
        <f t="shared" si="32"/>
        <v>58.491164647183133</v>
      </c>
      <c r="AA251" s="82" t="str">
        <f t="shared" si="27"/>
        <v>Hêtre commun_F1_Entree 19-20m_GS Hêtraies et hêtraies sapinières des Pyrénées_63_</v>
      </c>
      <c r="AB251" s="79">
        <v>63</v>
      </c>
      <c r="AC251" s="82">
        <f t="shared" si="31"/>
        <v>520.29011176051063</v>
      </c>
      <c r="AD251" s="86">
        <f t="shared" si="28"/>
        <v>3845.4861406095733</v>
      </c>
      <c r="AE251" s="86">
        <f t="shared" si="34"/>
        <v>382.7551119057016</v>
      </c>
    </row>
    <row r="252" spans="1:31" hidden="1" x14ac:dyDescent="0.25">
      <c r="A252" s="79" t="s">
        <v>238</v>
      </c>
      <c r="B252" s="79" t="s">
        <v>9</v>
      </c>
      <c r="C252" s="5" t="s">
        <v>143</v>
      </c>
      <c r="D252" s="89" t="s">
        <v>239</v>
      </c>
      <c r="E252" s="79">
        <v>32</v>
      </c>
      <c r="F252" s="79">
        <v>63</v>
      </c>
      <c r="G252" s="79" t="s">
        <v>252</v>
      </c>
      <c r="H252" s="85">
        <v>351</v>
      </c>
      <c r="I252" s="85" t="s">
        <v>256</v>
      </c>
      <c r="J252" s="85">
        <v>206</v>
      </c>
      <c r="K252" s="85">
        <v>206</v>
      </c>
      <c r="L252" s="83"/>
      <c r="M252" s="84"/>
      <c r="N252" s="84"/>
      <c r="O252" s="84"/>
      <c r="P252" s="85"/>
      <c r="Q252" s="85"/>
      <c r="R252" s="85"/>
      <c r="S252" s="85"/>
      <c r="T252" s="80"/>
      <c r="U252" s="80"/>
      <c r="V252" s="81" t="s">
        <v>53</v>
      </c>
      <c r="W252" s="81">
        <f>+VLOOKUP(A252,infradensité!$A$2:$B$67,2,FALSE)</f>
        <v>0.55000000000000004</v>
      </c>
      <c r="X252" s="81">
        <v>1.56</v>
      </c>
      <c r="Y252" s="82">
        <f t="shared" si="30"/>
        <v>176.74800000000002</v>
      </c>
      <c r="Z252" s="82">
        <f t="shared" si="32"/>
        <v>44.597910160550732</v>
      </c>
      <c r="AA252" s="82" t="str">
        <f t="shared" si="27"/>
        <v>Hêtre commun_F1_Entree 19-20m_GS Hêtraies et hêtraies sapinières des Pyrénées_63_</v>
      </c>
      <c r="AB252" s="79">
        <v>63</v>
      </c>
      <c r="AC252" s="82">
        <f t="shared" si="31"/>
        <v>385.51079352962591</v>
      </c>
      <c r="AD252" s="86">
        <f t="shared" si="28"/>
        <v>0</v>
      </c>
      <c r="AE252" s="86">
        <f t="shared" si="34"/>
        <v>382.7551119057016</v>
      </c>
    </row>
    <row r="253" spans="1:31" hidden="1" x14ac:dyDescent="0.25">
      <c r="A253" s="79" t="s">
        <v>238</v>
      </c>
      <c r="B253" s="79" t="s">
        <v>9</v>
      </c>
      <c r="C253" s="5" t="s">
        <v>143</v>
      </c>
      <c r="D253" s="89" t="s">
        <v>239</v>
      </c>
      <c r="E253" s="79">
        <v>32</v>
      </c>
      <c r="F253" s="79">
        <v>72</v>
      </c>
      <c r="G253" s="79" t="s">
        <v>257</v>
      </c>
      <c r="H253" s="83">
        <v>351</v>
      </c>
      <c r="I253" s="83">
        <v>25</v>
      </c>
      <c r="J253" s="83">
        <v>303</v>
      </c>
      <c r="K253" s="83" t="s">
        <v>258</v>
      </c>
      <c r="L253" s="83" t="s">
        <v>259</v>
      </c>
      <c r="M253" s="84">
        <v>90</v>
      </c>
      <c r="N253" s="84" t="s">
        <v>260</v>
      </c>
      <c r="O253" s="84">
        <v>76</v>
      </c>
      <c r="P253" s="85">
        <v>261</v>
      </c>
      <c r="Q253" s="85" t="s">
        <v>261</v>
      </c>
      <c r="R253" s="85"/>
      <c r="S253" s="85">
        <v>227</v>
      </c>
      <c r="T253" s="80"/>
      <c r="U253" s="80"/>
      <c r="V253" s="81" t="str">
        <f>+IF(I253=0,"ap","av_ap")</f>
        <v>av_ap</v>
      </c>
      <c r="W253" s="81">
        <f>+VLOOKUP(A253,infradensité!$A$2:$B$67,2,FALSE)</f>
        <v>0.55000000000000004</v>
      </c>
      <c r="X253" s="81">
        <v>1.56</v>
      </c>
      <c r="Y253" s="82">
        <f t="shared" si="30"/>
        <v>259.97400000000005</v>
      </c>
      <c r="Z253" s="82">
        <f t="shared" si="32"/>
        <v>62.716835774589946</v>
      </c>
      <c r="AA253" s="82" t="str">
        <f t="shared" si="27"/>
        <v>Hêtre commun_F1_Entree 19-20m_GS Hêtraies et hêtraies sapinières des Pyrénées_72_</v>
      </c>
      <c r="AB253" s="79">
        <v>72</v>
      </c>
      <c r="AC253" s="82">
        <f t="shared" si="31"/>
        <v>562.01987230741088</v>
      </c>
      <c r="AD253" s="86">
        <f t="shared" si="28"/>
        <v>4263.8879962666661</v>
      </c>
      <c r="AE253" s="86">
        <f t="shared" si="34"/>
        <v>382.7551119057016</v>
      </c>
    </row>
    <row r="254" spans="1:31" hidden="1" x14ac:dyDescent="0.25">
      <c r="A254" s="79" t="s">
        <v>238</v>
      </c>
      <c r="B254" s="79" t="s">
        <v>9</v>
      </c>
      <c r="C254" s="5" t="s">
        <v>143</v>
      </c>
      <c r="D254" s="89" t="s">
        <v>239</v>
      </c>
      <c r="E254" s="79">
        <v>32</v>
      </c>
      <c r="F254" s="79">
        <v>72</v>
      </c>
      <c r="G254" s="79" t="s">
        <v>257</v>
      </c>
      <c r="H254" s="85">
        <v>261</v>
      </c>
      <c r="I254" s="85" t="s">
        <v>261</v>
      </c>
      <c r="J254" s="85">
        <v>227</v>
      </c>
      <c r="K254" s="85">
        <v>227</v>
      </c>
      <c r="L254" s="83"/>
      <c r="M254" s="84"/>
      <c r="N254" s="84"/>
      <c r="O254" s="84"/>
      <c r="P254" s="85"/>
      <c r="Q254" s="85"/>
      <c r="R254" s="85"/>
      <c r="S254" s="85"/>
      <c r="T254" s="80"/>
      <c r="U254" s="80"/>
      <c r="V254" s="81" t="s">
        <v>53</v>
      </c>
      <c r="W254" s="81">
        <f>+VLOOKUP(A254,infradensité!$A$2:$B$67,2,FALSE)</f>
        <v>0.55000000000000004</v>
      </c>
      <c r="X254" s="81">
        <v>1.56</v>
      </c>
      <c r="Y254" s="82">
        <f t="shared" si="30"/>
        <v>194.76600000000002</v>
      </c>
      <c r="Z254" s="82">
        <f t="shared" si="32"/>
        <v>48.592123663984928</v>
      </c>
      <c r="AA254" s="82" t="str">
        <f t="shared" si="27"/>
        <v>Hêtre commun_F1_Entree 19-20m_GS Hêtraies et hêtraies sapinières des Pyrénées_72_</v>
      </c>
      <c r="AB254" s="79">
        <v>72</v>
      </c>
      <c r="AC254" s="82">
        <f t="shared" si="31"/>
        <v>423.84873204810714</v>
      </c>
      <c r="AD254" s="86">
        <f t="shared" si="28"/>
        <v>0</v>
      </c>
      <c r="AE254" s="86">
        <f t="shared" si="34"/>
        <v>382.7551119057016</v>
      </c>
    </row>
    <row r="255" spans="1:31" hidden="1" x14ac:dyDescent="0.25">
      <c r="A255" s="79" t="s">
        <v>238</v>
      </c>
      <c r="B255" s="79" t="s">
        <v>9</v>
      </c>
      <c r="C255" s="5" t="s">
        <v>143</v>
      </c>
      <c r="D255" s="89" t="s">
        <v>239</v>
      </c>
      <c r="E255" s="79">
        <v>32</v>
      </c>
      <c r="F255" s="79">
        <v>81</v>
      </c>
      <c r="G255" s="79" t="s">
        <v>262</v>
      </c>
      <c r="H255" s="83">
        <v>261</v>
      </c>
      <c r="I255" s="83" t="s">
        <v>263</v>
      </c>
      <c r="J255" s="83">
        <v>321</v>
      </c>
      <c r="K255" s="83" t="s">
        <v>264</v>
      </c>
      <c r="L255" s="83" t="s">
        <v>265</v>
      </c>
      <c r="M255" s="84">
        <v>71</v>
      </c>
      <c r="N255" s="84" t="s">
        <v>266</v>
      </c>
      <c r="O255" s="84">
        <v>74</v>
      </c>
      <c r="P255" s="85">
        <v>190</v>
      </c>
      <c r="Q255" s="85" t="s">
        <v>261</v>
      </c>
      <c r="R255" s="85"/>
      <c r="S255" s="85">
        <v>247</v>
      </c>
      <c r="T255" s="80"/>
      <c r="U255" s="80"/>
      <c r="V255" s="81" t="str">
        <f>+IF(I255=0,"ap","av_ap")</f>
        <v>av_ap</v>
      </c>
      <c r="W255" s="81">
        <f>+VLOOKUP(A255,infradensité!$A$2:$B$67,2,FALSE)</f>
        <v>0.55000000000000004</v>
      </c>
      <c r="X255" s="81">
        <v>1.56</v>
      </c>
      <c r="Y255" s="82">
        <f t="shared" si="30"/>
        <v>275.41800000000001</v>
      </c>
      <c r="Z255" s="82">
        <f t="shared" si="32"/>
        <v>65.997772680817278</v>
      </c>
      <c r="AA255" s="82" t="str">
        <f t="shared" si="27"/>
        <v>Hêtre commun_F1_Entree 19-20m_GS Hêtraies et hêtraies sapinières des Pyrénées_81_</v>
      </c>
      <c r="AB255" s="79">
        <v>81</v>
      </c>
      <c r="AC255" s="82">
        <f t="shared" si="31"/>
        <v>594.63247075242339</v>
      </c>
      <c r="AD255" s="86">
        <f t="shared" si="28"/>
        <v>4583.1654126023877</v>
      </c>
      <c r="AE255" s="86">
        <f t="shared" si="34"/>
        <v>382.7551119057016</v>
      </c>
    </row>
    <row r="256" spans="1:31" hidden="1" x14ac:dyDescent="0.25">
      <c r="A256" s="79" t="s">
        <v>238</v>
      </c>
      <c r="B256" s="79" t="s">
        <v>9</v>
      </c>
      <c r="C256" s="5" t="s">
        <v>143</v>
      </c>
      <c r="D256" s="89" t="s">
        <v>239</v>
      </c>
      <c r="E256" s="79">
        <v>32</v>
      </c>
      <c r="F256" s="79">
        <v>81</v>
      </c>
      <c r="G256" s="79" t="s">
        <v>262</v>
      </c>
      <c r="H256" s="85">
        <v>190</v>
      </c>
      <c r="I256" s="85" t="s">
        <v>261</v>
      </c>
      <c r="J256" s="85">
        <v>247</v>
      </c>
      <c r="K256" s="85">
        <v>247</v>
      </c>
      <c r="L256" s="83"/>
      <c r="M256" s="84"/>
      <c r="N256" s="84"/>
      <c r="O256" s="84"/>
      <c r="P256" s="85"/>
      <c r="Q256" s="85"/>
      <c r="R256" s="85"/>
      <c r="S256" s="85"/>
      <c r="T256" s="80"/>
      <c r="U256" s="80"/>
      <c r="V256" s="81" t="s">
        <v>53</v>
      </c>
      <c r="W256" s="81">
        <f>+VLOOKUP(A256,infradensité!$A$2:$B$67,2,FALSE)</f>
        <v>0.55000000000000004</v>
      </c>
      <c r="X256" s="81">
        <v>1.56</v>
      </c>
      <c r="Y256" s="82">
        <f t="shared" si="30"/>
        <v>211.92600000000002</v>
      </c>
      <c r="Z256" s="82">
        <f t="shared" si="32"/>
        <v>52.356241262970116</v>
      </c>
      <c r="AA256" s="82" t="str">
        <f t="shared" si="27"/>
        <v>Hêtre commun_F1_Entree 19-20m_GS Hêtraies et hêtraies sapinières des Pyrénées_81_</v>
      </c>
      <c r="AB256" s="79">
        <v>81</v>
      </c>
      <c r="AC256" s="82">
        <f t="shared" si="31"/>
        <v>460.291570199673</v>
      </c>
      <c r="AD256" s="86">
        <f t="shared" si="28"/>
        <v>0</v>
      </c>
      <c r="AE256" s="86">
        <f t="shared" si="34"/>
        <v>382.7551119057016</v>
      </c>
    </row>
    <row r="257" spans="1:31" hidden="1" x14ac:dyDescent="0.25">
      <c r="A257" s="79" t="s">
        <v>238</v>
      </c>
      <c r="B257" s="79" t="s">
        <v>9</v>
      </c>
      <c r="C257" s="5" t="s">
        <v>143</v>
      </c>
      <c r="D257" s="89" t="s">
        <v>239</v>
      </c>
      <c r="E257" s="79">
        <v>32</v>
      </c>
      <c r="F257" s="79">
        <v>90</v>
      </c>
      <c r="G257" s="79" t="s">
        <v>267</v>
      </c>
      <c r="H257" s="83">
        <v>190</v>
      </c>
      <c r="I257" s="83">
        <v>24</v>
      </c>
      <c r="J257" s="83">
        <v>335</v>
      </c>
      <c r="K257" s="83">
        <v>46</v>
      </c>
      <c r="L257" s="83" t="s">
        <v>268</v>
      </c>
      <c r="M257" s="84">
        <v>49</v>
      </c>
      <c r="N257" s="84" t="s">
        <v>269</v>
      </c>
      <c r="O257" s="84">
        <v>73</v>
      </c>
      <c r="P257" s="85">
        <v>141</v>
      </c>
      <c r="Q257" s="85" t="s">
        <v>270</v>
      </c>
      <c r="R257" s="85"/>
      <c r="S257" s="85">
        <v>262</v>
      </c>
      <c r="T257" s="80"/>
      <c r="U257" s="80"/>
      <c r="V257" s="81" t="str">
        <f>+IF(I257=0,"ap","av_ap")</f>
        <v>av_ap</v>
      </c>
      <c r="W257" s="81">
        <f>+VLOOKUP(A257,infradensité!$A$2:$B$67,2,FALSE)</f>
        <v>0.55000000000000004</v>
      </c>
      <c r="X257" s="81">
        <v>1.56</v>
      </c>
      <c r="Y257" s="82">
        <f t="shared" si="30"/>
        <v>287.43</v>
      </c>
      <c r="Z257" s="82">
        <f t="shared" si="32"/>
        <v>68.534780142555803</v>
      </c>
      <c r="AA257" s="82" t="str">
        <f t="shared" si="27"/>
        <v>Hêtre commun_F1_Entree 19-20m_GS Hêtraies et hêtraies sapinières des Pyrénées_90_</v>
      </c>
      <c r="AB257" s="79">
        <v>90</v>
      </c>
      <c r="AC257" s="82">
        <f t="shared" si="31"/>
        <v>619.97199208161805</v>
      </c>
      <c r="AD257" s="86">
        <f t="shared" si="28"/>
        <v>4861.1860302658097</v>
      </c>
      <c r="AE257" s="86">
        <f t="shared" si="34"/>
        <v>382.7551119057016</v>
      </c>
    </row>
    <row r="258" spans="1:31" hidden="1" x14ac:dyDescent="0.25">
      <c r="A258" s="79" t="s">
        <v>238</v>
      </c>
      <c r="B258" s="79" t="s">
        <v>9</v>
      </c>
      <c r="C258" s="5" t="s">
        <v>143</v>
      </c>
      <c r="D258" s="89" t="s">
        <v>239</v>
      </c>
      <c r="E258" s="79">
        <v>32</v>
      </c>
      <c r="F258" s="79">
        <v>90</v>
      </c>
      <c r="G258" s="79" t="s">
        <v>267</v>
      </c>
      <c r="H258" s="85">
        <v>141</v>
      </c>
      <c r="I258" s="85" t="s">
        <v>270</v>
      </c>
      <c r="J258" s="85">
        <v>262</v>
      </c>
      <c r="K258" s="85">
        <v>262</v>
      </c>
      <c r="L258" s="83"/>
      <c r="M258" s="84"/>
      <c r="N258" s="84"/>
      <c r="O258" s="84"/>
      <c r="P258" s="85"/>
      <c r="Q258" s="85"/>
      <c r="R258" s="85"/>
      <c r="S258" s="85"/>
      <c r="T258" s="80"/>
      <c r="U258" s="80"/>
      <c r="V258" s="81" t="s">
        <v>53</v>
      </c>
      <c r="W258" s="81">
        <f>+VLOOKUP(A258,infradensité!$A$2:$B$67,2,FALSE)</f>
        <v>0.55000000000000004</v>
      </c>
      <c r="X258" s="81">
        <v>1.56</v>
      </c>
      <c r="Y258" s="82">
        <f t="shared" si="30"/>
        <v>224.79600000000002</v>
      </c>
      <c r="Z258" s="82">
        <f t="shared" si="32"/>
        <v>55.155960692691153</v>
      </c>
      <c r="AA258" s="82" t="str">
        <f t="shared" si="27"/>
        <v>Hêtre commun_F1_Entree 19-20m_GS Hêtraies et hêtraies sapinières des Pyrénées_90_</v>
      </c>
      <c r="AB258" s="79">
        <v>90</v>
      </c>
      <c r="AC258" s="82">
        <f t="shared" si="31"/>
        <v>487.58299820643714</v>
      </c>
      <c r="AD258" s="86">
        <f t="shared" si="28"/>
        <v>0</v>
      </c>
      <c r="AE258" s="86">
        <f t="shared" si="34"/>
        <v>382.7551119057016</v>
      </c>
    </row>
    <row r="259" spans="1:31" hidden="1" x14ac:dyDescent="0.25">
      <c r="A259" s="79" t="s">
        <v>238</v>
      </c>
      <c r="B259" s="79" t="s">
        <v>9</v>
      </c>
      <c r="C259" s="5" t="s">
        <v>143</v>
      </c>
      <c r="D259" s="89" t="s">
        <v>239</v>
      </c>
      <c r="E259" s="79">
        <v>32</v>
      </c>
      <c r="F259" s="79">
        <v>99</v>
      </c>
      <c r="G259" s="79" t="s">
        <v>254</v>
      </c>
      <c r="H259" s="83">
        <v>141</v>
      </c>
      <c r="I259" s="83" t="s">
        <v>243</v>
      </c>
      <c r="J259" s="83">
        <v>344</v>
      </c>
      <c r="K259" s="83" t="s">
        <v>271</v>
      </c>
      <c r="L259" s="83" t="s">
        <v>272</v>
      </c>
      <c r="M259" s="84">
        <v>33</v>
      </c>
      <c r="N259" s="84" t="s">
        <v>250</v>
      </c>
      <c r="O259" s="84">
        <v>76</v>
      </c>
      <c r="P259" s="85">
        <v>108</v>
      </c>
      <c r="Q259" s="85" t="s">
        <v>245</v>
      </c>
      <c r="R259" s="85"/>
      <c r="S259" s="85">
        <v>268</v>
      </c>
      <c r="T259" s="80"/>
      <c r="U259" s="80"/>
      <c r="V259" s="81" t="str">
        <f>+IF(I259=0,"ap","av_ap")</f>
        <v>av_ap</v>
      </c>
      <c r="W259" s="81">
        <f>+VLOOKUP(A259,infradensité!$A$2:$B$67,2,FALSE)</f>
        <v>0.55000000000000004</v>
      </c>
      <c r="X259" s="81">
        <v>1.56</v>
      </c>
      <c r="Y259" s="82">
        <f t="shared" si="30"/>
        <v>295.15200000000004</v>
      </c>
      <c r="Z259" s="82">
        <f t="shared" si="32"/>
        <v>70.159174796274201</v>
      </c>
      <c r="AA259" s="82" t="str">
        <f t="shared" ref="AA259:AA322" si="35">+_xlfn.CONCAT(A259,"_",B259,"_",C259,"_",D259,"_",AB259,"_")</f>
        <v>Hêtre commun_F1_Entree 19-20m_GS Hêtraies et hêtraies sapinières des Pyrénées_99_</v>
      </c>
      <c r="AB259" s="79">
        <v>99</v>
      </c>
      <c r="AC259" s="82">
        <f t="shared" si="31"/>
        <v>636.250296103511</v>
      </c>
      <c r="AD259" s="86">
        <f t="shared" si="28"/>
        <v>5057.2498243947666</v>
      </c>
      <c r="AE259" s="86">
        <f t="shared" si="34"/>
        <v>382.7551119057016</v>
      </c>
    </row>
    <row r="260" spans="1:31" hidden="1" x14ac:dyDescent="0.25">
      <c r="A260" s="79" t="s">
        <v>238</v>
      </c>
      <c r="B260" s="79" t="s">
        <v>9</v>
      </c>
      <c r="C260" s="5" t="s">
        <v>143</v>
      </c>
      <c r="D260" s="89" t="s">
        <v>239</v>
      </c>
      <c r="E260" s="79">
        <v>32</v>
      </c>
      <c r="F260" s="79">
        <v>99</v>
      </c>
      <c r="G260" s="79" t="s">
        <v>254</v>
      </c>
      <c r="H260" s="85">
        <v>108</v>
      </c>
      <c r="I260" s="85" t="s">
        <v>245</v>
      </c>
      <c r="J260" s="85">
        <v>268</v>
      </c>
      <c r="K260" s="85">
        <v>268</v>
      </c>
      <c r="L260" s="83"/>
      <c r="M260" s="84"/>
      <c r="N260" s="84"/>
      <c r="O260" s="84"/>
      <c r="P260" s="85"/>
      <c r="Q260" s="85"/>
      <c r="R260" s="85"/>
      <c r="S260" s="85"/>
      <c r="T260" s="80"/>
      <c r="U260" s="80"/>
      <c r="V260" s="81" t="s">
        <v>53</v>
      </c>
      <c r="W260" s="81">
        <f>+VLOOKUP(A260,infradensité!$A$2:$B$67,2,FALSE)</f>
        <v>0.55000000000000004</v>
      </c>
      <c r="X260" s="81">
        <v>1.56</v>
      </c>
      <c r="Y260" s="82">
        <f t="shared" si="30"/>
        <v>229.94400000000002</v>
      </c>
      <c r="Z260" s="82">
        <f t="shared" si="32"/>
        <v>56.270572850262418</v>
      </c>
      <c r="AA260" s="82" t="str">
        <f t="shared" si="35"/>
        <v>Hêtre commun_F1_Entree 19-20m_GS Hêtraies et hêtraies sapinières des Pyrénées_99_</v>
      </c>
      <c r="AB260" s="79">
        <v>99</v>
      </c>
      <c r="AC260" s="82">
        <f t="shared" si="31"/>
        <v>498.49038104754032</v>
      </c>
      <c r="AD260" s="86">
        <f t="shared" ref="AD260:AD323" si="36">+IF(AC260=0,0,(AC260+AC259)*(AB260-AB259)/2)</f>
        <v>0</v>
      </c>
      <c r="AE260" s="86">
        <f t="shared" si="34"/>
        <v>382.7551119057016</v>
      </c>
    </row>
    <row r="261" spans="1:31" hidden="1" x14ac:dyDescent="0.25">
      <c r="A261" s="79" t="s">
        <v>238</v>
      </c>
      <c r="B261" s="79" t="s">
        <v>9</v>
      </c>
      <c r="C261" s="5" t="s">
        <v>143</v>
      </c>
      <c r="D261" s="89" t="s">
        <v>239</v>
      </c>
      <c r="E261" s="79">
        <v>32</v>
      </c>
      <c r="F261" s="79">
        <v>111</v>
      </c>
      <c r="G261" s="79" t="s">
        <v>273</v>
      </c>
      <c r="H261" s="83">
        <v>108</v>
      </c>
      <c r="I261" s="83" t="s">
        <v>274</v>
      </c>
      <c r="J261" s="83">
        <v>371</v>
      </c>
      <c r="K261" s="83" t="s">
        <v>275</v>
      </c>
      <c r="L261" s="83" t="s">
        <v>276</v>
      </c>
      <c r="M261" s="84"/>
      <c r="N261" s="84"/>
      <c r="O261" s="84"/>
      <c r="P261" s="85"/>
      <c r="Q261" s="85"/>
      <c r="R261" s="85"/>
      <c r="S261" s="85"/>
      <c r="T261" s="80"/>
      <c r="U261" s="80"/>
      <c r="V261" s="81" t="str">
        <f>+IF(I261=0,"ap","av_ap")</f>
        <v>av_ap</v>
      </c>
      <c r="W261" s="81">
        <f>+VLOOKUP(A261,infradensité!$A$2:$B$67,2,FALSE)</f>
        <v>0.55000000000000004</v>
      </c>
      <c r="X261" s="81">
        <v>1.56</v>
      </c>
      <c r="Y261" s="82">
        <f t="shared" si="30"/>
        <v>318.31800000000004</v>
      </c>
      <c r="Z261" s="82">
        <f t="shared" si="32"/>
        <v>75.003273580132586</v>
      </c>
      <c r="AA261" s="82" t="str">
        <f t="shared" si="35"/>
        <v>Hêtre commun_F1_Entree 19-20m_GS Hêtraies et hêtraies sapinières des Pyrénées_111_</v>
      </c>
      <c r="AB261" s="79">
        <v>111</v>
      </c>
      <c r="AC261" s="82">
        <f t="shared" si="31"/>
        <v>685.03455148539763</v>
      </c>
      <c r="AD261" s="86">
        <f t="shared" si="36"/>
        <v>7101.1495951976285</v>
      </c>
      <c r="AE261" s="86">
        <f t="shared" si="34"/>
        <v>382.7551119057016</v>
      </c>
    </row>
    <row r="262" spans="1:31" hidden="1" x14ac:dyDescent="0.25">
      <c r="A262" s="79" t="s">
        <v>238</v>
      </c>
      <c r="B262" s="79" t="s">
        <v>9</v>
      </c>
      <c r="C262" s="5" t="s">
        <v>143</v>
      </c>
      <c r="D262" s="89" t="s">
        <v>239</v>
      </c>
      <c r="E262" s="79">
        <v>32</v>
      </c>
      <c r="F262" s="79">
        <v>111</v>
      </c>
      <c r="G262" s="79" t="s">
        <v>273</v>
      </c>
      <c r="H262" s="83"/>
      <c r="I262" s="83"/>
      <c r="J262" s="83"/>
      <c r="K262" s="83"/>
      <c r="L262" s="83"/>
      <c r="M262" s="84"/>
      <c r="N262" s="84"/>
      <c r="O262" s="84"/>
      <c r="P262" s="85"/>
      <c r="Q262" s="85"/>
      <c r="R262" s="85"/>
      <c r="S262" s="85"/>
      <c r="T262" s="80"/>
      <c r="U262" s="80"/>
      <c r="V262" s="81" t="s">
        <v>53</v>
      </c>
      <c r="W262" s="81">
        <f>+VLOOKUP(A262,infradensité!$A$2:$B$67,2,FALSE)</f>
        <v>0.55000000000000004</v>
      </c>
      <c r="X262" s="81">
        <v>1.56</v>
      </c>
      <c r="Y262" s="82">
        <f t="shared" si="30"/>
        <v>0</v>
      </c>
      <c r="Z262" s="82" t="e">
        <f t="shared" si="32"/>
        <v>#NUM!</v>
      </c>
      <c r="AA262" s="82" t="str">
        <f t="shared" si="35"/>
        <v>Hêtre commun_F1_Entree 19-20m_GS Hêtraies et hêtraies sapinières des Pyrénées_111_</v>
      </c>
      <c r="AB262" s="79">
        <v>111</v>
      </c>
      <c r="AC262" s="88">
        <v>0</v>
      </c>
      <c r="AD262" s="86">
        <f t="shared" si="36"/>
        <v>0</v>
      </c>
      <c r="AE262" s="86">
        <f t="shared" si="34"/>
        <v>382.7551119057016</v>
      </c>
    </row>
    <row r="263" spans="1:31" hidden="1" x14ac:dyDescent="0.25">
      <c r="A263" s="86" t="s">
        <v>238</v>
      </c>
      <c r="B263" s="86" t="s">
        <v>10</v>
      </c>
      <c r="C263" s="5" t="s">
        <v>143</v>
      </c>
      <c r="D263" s="87" t="s">
        <v>239</v>
      </c>
      <c r="E263" s="86">
        <v>0</v>
      </c>
      <c r="F263" s="86">
        <v>0</v>
      </c>
      <c r="G263" s="86" t="s">
        <v>277</v>
      </c>
      <c r="H263" s="86"/>
      <c r="I263" s="86" t="s">
        <v>224</v>
      </c>
      <c r="J263" s="86">
        <v>0</v>
      </c>
      <c r="K263" s="86"/>
      <c r="L263" s="86"/>
      <c r="M263" s="86"/>
      <c r="N263" s="86"/>
      <c r="O263" s="86"/>
      <c r="P263" s="86">
        <v>838</v>
      </c>
      <c r="Q263" s="86" t="s">
        <v>241</v>
      </c>
      <c r="R263" s="86"/>
      <c r="S263" s="86">
        <v>144</v>
      </c>
      <c r="T263" s="86"/>
      <c r="U263" s="86"/>
      <c r="V263" s="86" t="str">
        <f t="shared" ref="V263:V264" si="37">+IF(I263=0,"ap","av_ap")</f>
        <v>av_ap</v>
      </c>
      <c r="W263" s="86">
        <f>+VLOOKUP(A263,infradensité!$A$2:$B$67,2,FALSE)</f>
        <v>0.55000000000000004</v>
      </c>
      <c r="X263" s="86">
        <v>1.56</v>
      </c>
      <c r="Y263" s="88">
        <f t="shared" si="30"/>
        <v>0</v>
      </c>
      <c r="Z263" s="88" t="e">
        <f t="shared" si="32"/>
        <v>#NUM!</v>
      </c>
      <c r="AA263" s="88" t="str">
        <f t="shared" si="35"/>
        <v>Hêtre commun_F2_Entree 19-20m_GS Hêtraies et hêtraies sapinières des Pyrénées_0_</v>
      </c>
      <c r="AB263" s="86">
        <v>0</v>
      </c>
      <c r="AC263" s="88">
        <v>0</v>
      </c>
      <c r="AD263" s="86">
        <f t="shared" si="36"/>
        <v>0</v>
      </c>
      <c r="AE263" s="86">
        <f>+SUM($AD$263:$AD$279)/$AB$279</f>
        <v>388.66856558899315</v>
      </c>
    </row>
    <row r="264" spans="1:31" hidden="1" x14ac:dyDescent="0.25">
      <c r="A264" s="86" t="s">
        <v>238</v>
      </c>
      <c r="B264" s="86" t="s">
        <v>10</v>
      </c>
      <c r="C264" s="5" t="s">
        <v>143</v>
      </c>
      <c r="D264" s="87" t="s">
        <v>239</v>
      </c>
      <c r="E264" s="86">
        <v>30</v>
      </c>
      <c r="F264" s="86">
        <v>30</v>
      </c>
      <c r="G264" s="86" t="s">
        <v>277</v>
      </c>
      <c r="H264" s="86"/>
      <c r="I264" s="86" t="s">
        <v>224</v>
      </c>
      <c r="J264" s="86">
        <f>+J265/33*30</f>
        <v>218.18181818181819</v>
      </c>
      <c r="K264" s="86"/>
      <c r="L264" s="86"/>
      <c r="M264" s="86"/>
      <c r="N264" s="86"/>
      <c r="O264" s="86"/>
      <c r="P264" s="86">
        <v>838</v>
      </c>
      <c r="Q264" s="86" t="s">
        <v>241</v>
      </c>
      <c r="R264" s="86"/>
      <c r="S264" s="86">
        <v>144</v>
      </c>
      <c r="T264" s="86"/>
      <c r="U264" s="86"/>
      <c r="V264" s="86" t="str">
        <f t="shared" si="37"/>
        <v>av_ap</v>
      </c>
      <c r="W264" s="86">
        <f>+VLOOKUP(A264,infradensité!$A$2:$B$67,2,FALSE)</f>
        <v>0.55000000000000004</v>
      </c>
      <c r="X264" s="86">
        <v>1.56</v>
      </c>
      <c r="Y264" s="88">
        <f t="shared" si="30"/>
        <v>187.20000000000002</v>
      </c>
      <c r="Z264" s="88">
        <f t="shared" si="32"/>
        <v>46.920378730551299</v>
      </c>
      <c r="AA264" s="88" t="str">
        <f t="shared" si="35"/>
        <v>Hêtre commun_F2_Entree 19-20m_GS Hêtraies et hêtraies sapinières des Pyrénées_30_</v>
      </c>
      <c r="AB264" s="86">
        <v>30</v>
      </c>
      <c r="AC264" s="88">
        <f t="shared" ref="AC264" si="38">+(Z264+Y264)*0.475*44/12</f>
        <v>407.75965962237683</v>
      </c>
      <c r="AD264" s="86">
        <f t="shared" si="36"/>
        <v>6116.3948943356527</v>
      </c>
      <c r="AE264" s="86">
        <f t="shared" ref="AE264:AE279" si="39">+SUM($AD$263:$AD$279)/$AB$279</f>
        <v>388.66856558899315</v>
      </c>
    </row>
    <row r="265" spans="1:31" hidden="1" x14ac:dyDescent="0.25">
      <c r="A265" s="79" t="s">
        <v>238</v>
      </c>
      <c r="B265" s="79" t="s">
        <v>10</v>
      </c>
      <c r="C265" s="5" t="s">
        <v>143</v>
      </c>
      <c r="D265" s="89" t="s">
        <v>239</v>
      </c>
      <c r="E265" s="79">
        <v>33</v>
      </c>
      <c r="F265" s="79">
        <v>57</v>
      </c>
      <c r="G265" s="79" t="s">
        <v>277</v>
      </c>
      <c r="H265" s="83"/>
      <c r="I265" s="83" t="s">
        <v>224</v>
      </c>
      <c r="J265" s="86">
        <f>+J266/60%</f>
        <v>240</v>
      </c>
      <c r="K265" s="83"/>
      <c r="L265" s="83"/>
      <c r="M265" s="84"/>
      <c r="N265" s="84"/>
      <c r="O265" s="84"/>
      <c r="P265" s="85">
        <v>838</v>
      </c>
      <c r="Q265" s="85" t="s">
        <v>241</v>
      </c>
      <c r="R265" s="85"/>
      <c r="S265" s="85">
        <v>144</v>
      </c>
      <c r="T265" s="80"/>
      <c r="U265" s="80"/>
      <c r="V265" s="81" t="str">
        <f>+IF(I265=0,"ap","av_ap")</f>
        <v>av_ap</v>
      </c>
      <c r="W265" s="81">
        <f>+VLOOKUP(A265,infradensité!$A$2:$B$67,2,FALSE)</f>
        <v>0.55000000000000004</v>
      </c>
      <c r="X265" s="81">
        <v>1.56</v>
      </c>
      <c r="Y265" s="82">
        <f t="shared" si="30"/>
        <v>205.92000000000002</v>
      </c>
      <c r="Z265" s="82">
        <f t="shared" si="32"/>
        <v>51.042987531485686</v>
      </c>
      <c r="AA265" s="82" t="str">
        <f t="shared" si="35"/>
        <v>Hêtre commun_F2_Entree 19-20m_GS Hêtraies et hêtraies sapinières des Pyrénées_57_</v>
      </c>
      <c r="AB265" s="79">
        <v>57</v>
      </c>
      <c r="AC265" s="88">
        <f t="shared" si="31"/>
        <v>447.54386995067085</v>
      </c>
      <c r="AD265" s="86">
        <f t="shared" si="36"/>
        <v>11546.597649236142</v>
      </c>
      <c r="AE265" s="86">
        <f t="shared" si="39"/>
        <v>388.66856558899315</v>
      </c>
    </row>
    <row r="266" spans="1:31" hidden="1" x14ac:dyDescent="0.25">
      <c r="A266" s="79" t="s">
        <v>238</v>
      </c>
      <c r="B266" s="79" t="s">
        <v>10</v>
      </c>
      <c r="C266" s="5" t="s">
        <v>143</v>
      </c>
      <c r="D266" s="89" t="s">
        <v>239</v>
      </c>
      <c r="E266" s="79">
        <v>33</v>
      </c>
      <c r="F266" s="79">
        <v>57</v>
      </c>
      <c r="G266" s="79" t="s">
        <v>277</v>
      </c>
      <c r="H266" s="85">
        <v>838</v>
      </c>
      <c r="I266" s="85" t="s">
        <v>241</v>
      </c>
      <c r="J266" s="85">
        <v>144</v>
      </c>
      <c r="K266" s="85">
        <v>144</v>
      </c>
      <c r="L266" s="83"/>
      <c r="M266" s="84"/>
      <c r="N266" s="84"/>
      <c r="O266" s="84"/>
      <c r="P266" s="85"/>
      <c r="Q266" s="85"/>
      <c r="R266" s="85"/>
      <c r="S266" s="85"/>
      <c r="T266" s="80"/>
      <c r="U266" s="80"/>
      <c r="V266" s="81" t="s">
        <v>53</v>
      </c>
      <c r="W266" s="81">
        <f>+VLOOKUP(A266,infradensité!$A$2:$B$67,2,FALSE)</f>
        <v>0.55000000000000004</v>
      </c>
      <c r="X266" s="81">
        <v>1.56</v>
      </c>
      <c r="Y266" s="82">
        <f t="shared" si="30"/>
        <v>123.55200000000002</v>
      </c>
      <c r="Z266" s="82">
        <f t="shared" si="32"/>
        <v>32.502033262579566</v>
      </c>
      <c r="AA266" s="82" t="str">
        <f t="shared" si="35"/>
        <v>Hêtre commun_F2_Entree 19-20m_GS Hêtraies et hêtraies sapinières des Pyrénées_57_</v>
      </c>
      <c r="AB266" s="79">
        <v>57</v>
      </c>
      <c r="AC266" s="82">
        <f t="shared" si="31"/>
        <v>271.79410793232609</v>
      </c>
      <c r="AD266" s="86">
        <f t="shared" si="36"/>
        <v>0</v>
      </c>
      <c r="AE266" s="86">
        <f t="shared" si="39"/>
        <v>388.66856558899315</v>
      </c>
    </row>
    <row r="267" spans="1:31" hidden="1" x14ac:dyDescent="0.25">
      <c r="A267" s="79" t="s">
        <v>238</v>
      </c>
      <c r="B267" s="79" t="s">
        <v>10</v>
      </c>
      <c r="C267" s="5" t="s">
        <v>143</v>
      </c>
      <c r="D267" s="89" t="s">
        <v>239</v>
      </c>
      <c r="E267" s="79">
        <v>33</v>
      </c>
      <c r="F267" s="79">
        <v>66</v>
      </c>
      <c r="G267" s="79" t="s">
        <v>278</v>
      </c>
      <c r="H267" s="83">
        <v>838</v>
      </c>
      <c r="I267" s="83" t="s">
        <v>279</v>
      </c>
      <c r="J267" s="83">
        <v>225</v>
      </c>
      <c r="K267" s="83" t="s">
        <v>280</v>
      </c>
      <c r="L267" s="83" t="s">
        <v>281</v>
      </c>
      <c r="M267" s="84">
        <v>238</v>
      </c>
      <c r="N267" s="84" t="s">
        <v>255</v>
      </c>
      <c r="O267" s="84">
        <v>64</v>
      </c>
      <c r="P267" s="85">
        <v>600</v>
      </c>
      <c r="Q267" s="85" t="s">
        <v>282</v>
      </c>
      <c r="R267" s="85"/>
      <c r="S267" s="85">
        <v>161</v>
      </c>
      <c r="T267" s="80"/>
      <c r="U267" s="80"/>
      <c r="V267" s="81" t="str">
        <f>+IF(I267=0,"ap","av_ap")</f>
        <v>av_ap</v>
      </c>
      <c r="W267" s="81">
        <f>+VLOOKUP(A267,infradensité!$A$2:$B$67,2,FALSE)</f>
        <v>0.55000000000000004</v>
      </c>
      <c r="X267" s="81">
        <v>1.56</v>
      </c>
      <c r="Y267" s="82">
        <f t="shared" si="30"/>
        <v>193.05</v>
      </c>
      <c r="Z267" s="82">
        <f t="shared" si="32"/>
        <v>48.213638293804941</v>
      </c>
      <c r="AA267" s="82" t="str">
        <f t="shared" si="35"/>
        <v>Hêtre commun_F2_Entree 19-20m_GS Hêtraies et hêtraies sapinières des Pyrénées_66_</v>
      </c>
      <c r="AB267" s="79">
        <v>66</v>
      </c>
      <c r="AC267" s="82">
        <f t="shared" si="31"/>
        <v>420.20083669504356</v>
      </c>
      <c r="AD267" s="86">
        <f t="shared" si="36"/>
        <v>3113.9772508231636</v>
      </c>
      <c r="AE267" s="86">
        <f t="shared" si="39"/>
        <v>388.66856558899315</v>
      </c>
    </row>
    <row r="268" spans="1:31" hidden="1" x14ac:dyDescent="0.25">
      <c r="A268" s="79" t="s">
        <v>238</v>
      </c>
      <c r="B268" s="79" t="s">
        <v>10</v>
      </c>
      <c r="C268" s="5" t="s">
        <v>143</v>
      </c>
      <c r="D268" s="89" t="s">
        <v>239</v>
      </c>
      <c r="E268" s="79">
        <v>33</v>
      </c>
      <c r="F268" s="79">
        <v>66</v>
      </c>
      <c r="G268" s="79" t="s">
        <v>278</v>
      </c>
      <c r="H268" s="85">
        <v>600</v>
      </c>
      <c r="I268" s="85" t="s">
        <v>282</v>
      </c>
      <c r="J268" s="85">
        <v>161</v>
      </c>
      <c r="K268" s="85">
        <v>161</v>
      </c>
      <c r="L268" s="83"/>
      <c r="M268" s="84"/>
      <c r="N268" s="84"/>
      <c r="O268" s="84"/>
      <c r="P268" s="85"/>
      <c r="Q268" s="85"/>
      <c r="R268" s="85"/>
      <c r="S268" s="85"/>
      <c r="T268" s="80"/>
      <c r="U268" s="80"/>
      <c r="V268" s="81" t="s">
        <v>53</v>
      </c>
      <c r="W268" s="81">
        <f>+VLOOKUP(A268,infradensité!$A$2:$B$67,2,FALSE)</f>
        <v>0.55000000000000004</v>
      </c>
      <c r="X268" s="81">
        <v>1.56</v>
      </c>
      <c r="Y268" s="82">
        <f t="shared" si="30"/>
        <v>138.13800000000001</v>
      </c>
      <c r="Z268" s="82">
        <f t="shared" si="32"/>
        <v>35.870115614757175</v>
      </c>
      <c r="AA268" s="82" t="str">
        <f t="shared" si="35"/>
        <v>Hêtre commun_F2_Entree 19-20m_GS Hêtraies et hêtraies sapinières des Pyrénées_66_</v>
      </c>
      <c r="AB268" s="79">
        <v>66</v>
      </c>
      <c r="AC268" s="82">
        <f t="shared" si="31"/>
        <v>303.06413469570208</v>
      </c>
      <c r="AD268" s="86">
        <f t="shared" si="36"/>
        <v>0</v>
      </c>
      <c r="AE268" s="86">
        <f t="shared" si="39"/>
        <v>388.66856558899315</v>
      </c>
    </row>
    <row r="269" spans="1:31" hidden="1" x14ac:dyDescent="0.25">
      <c r="A269" s="79" t="s">
        <v>238</v>
      </c>
      <c r="B269" s="79" t="s">
        <v>10</v>
      </c>
      <c r="C269" s="5" t="s">
        <v>143</v>
      </c>
      <c r="D269" s="89" t="s">
        <v>239</v>
      </c>
      <c r="E269" s="79">
        <v>33</v>
      </c>
      <c r="F269" s="79">
        <v>75</v>
      </c>
      <c r="G269" s="79" t="s">
        <v>263</v>
      </c>
      <c r="H269" s="83">
        <v>600</v>
      </c>
      <c r="I269" s="83" t="s">
        <v>243</v>
      </c>
      <c r="J269" s="83">
        <v>241</v>
      </c>
      <c r="K269" s="83" t="s">
        <v>283</v>
      </c>
      <c r="L269" s="83" t="s">
        <v>278</v>
      </c>
      <c r="M269" s="84">
        <v>229</v>
      </c>
      <c r="N269" s="84" t="s">
        <v>284</v>
      </c>
      <c r="O269" s="84">
        <v>67</v>
      </c>
      <c r="P269" s="85">
        <v>371</v>
      </c>
      <c r="Q269" s="85" t="s">
        <v>285</v>
      </c>
      <c r="R269" s="85"/>
      <c r="S269" s="85">
        <v>174</v>
      </c>
      <c r="T269" s="80"/>
      <c r="U269" s="80"/>
      <c r="V269" s="81" t="str">
        <f>+IF(I269=0,"ap","av_ap")</f>
        <v>av_ap</v>
      </c>
      <c r="W269" s="81">
        <f>+VLOOKUP(A269,infradensité!$A$2:$B$67,2,FALSE)</f>
        <v>0.55000000000000004</v>
      </c>
      <c r="X269" s="81">
        <v>1.56</v>
      </c>
      <c r="Y269" s="82">
        <f t="shared" si="30"/>
        <v>206.77800000000002</v>
      </c>
      <c r="Z269" s="82">
        <f t="shared" si="32"/>
        <v>51.230865296361095</v>
      </c>
      <c r="AA269" s="82" t="str">
        <f t="shared" si="35"/>
        <v>Hêtre commun_F2_Entree 19-20m_GS Hêtraies et hêtraies sapinières des Pyrénées_75_</v>
      </c>
      <c r="AB269" s="79">
        <v>75</v>
      </c>
      <c r="AC269" s="82">
        <f t="shared" si="31"/>
        <v>449.36544039116228</v>
      </c>
      <c r="AD269" s="86">
        <f t="shared" si="36"/>
        <v>3385.9330878908895</v>
      </c>
      <c r="AE269" s="86">
        <f t="shared" si="39"/>
        <v>388.66856558899315</v>
      </c>
    </row>
    <row r="270" spans="1:31" hidden="1" x14ac:dyDescent="0.25">
      <c r="A270" s="79" t="s">
        <v>238</v>
      </c>
      <c r="B270" s="79" t="s">
        <v>10</v>
      </c>
      <c r="C270" s="5" t="s">
        <v>143</v>
      </c>
      <c r="D270" s="89" t="s">
        <v>239</v>
      </c>
      <c r="E270" s="79">
        <v>33</v>
      </c>
      <c r="F270" s="79">
        <v>75</v>
      </c>
      <c r="G270" s="79" t="s">
        <v>263</v>
      </c>
      <c r="H270" s="85">
        <v>371</v>
      </c>
      <c r="I270" s="85" t="s">
        <v>285</v>
      </c>
      <c r="J270" s="85">
        <v>174</v>
      </c>
      <c r="K270" s="85">
        <v>174</v>
      </c>
      <c r="L270" s="83"/>
      <c r="M270" s="84"/>
      <c r="N270" s="84"/>
      <c r="O270" s="84"/>
      <c r="P270" s="85"/>
      <c r="Q270" s="85"/>
      <c r="R270" s="85"/>
      <c r="S270" s="85"/>
      <c r="T270" s="80"/>
      <c r="U270" s="80"/>
      <c r="V270" s="81" t="s">
        <v>53</v>
      </c>
      <c r="W270" s="81">
        <f>+VLOOKUP(A270,infradensité!$A$2:$B$67,2,FALSE)</f>
        <v>0.55000000000000004</v>
      </c>
      <c r="X270" s="81">
        <v>1.56</v>
      </c>
      <c r="Y270" s="82">
        <f t="shared" si="30"/>
        <v>149.29200000000003</v>
      </c>
      <c r="Z270" s="82">
        <f t="shared" si="32"/>
        <v>38.417645803815446</v>
      </c>
      <c r="AA270" s="82" t="str">
        <f t="shared" si="35"/>
        <v>Hêtre commun_F2_Entree 19-20m_GS Hêtraies et hêtraies sapinières des Pyrénées_75_</v>
      </c>
      <c r="AB270" s="79">
        <v>75</v>
      </c>
      <c r="AC270" s="82">
        <f t="shared" si="31"/>
        <v>326.92763310831191</v>
      </c>
      <c r="AD270" s="86">
        <f t="shared" si="36"/>
        <v>0</v>
      </c>
      <c r="AE270" s="86">
        <f t="shared" si="39"/>
        <v>388.66856558899315</v>
      </c>
    </row>
    <row r="271" spans="1:31" hidden="1" x14ac:dyDescent="0.25">
      <c r="A271" s="79" t="s">
        <v>238</v>
      </c>
      <c r="B271" s="79" t="s">
        <v>10</v>
      </c>
      <c r="C271" s="5" t="s">
        <v>143</v>
      </c>
      <c r="D271" s="89" t="s">
        <v>239</v>
      </c>
      <c r="E271" s="79">
        <v>33</v>
      </c>
      <c r="F271" s="79">
        <v>84</v>
      </c>
      <c r="G271" s="79" t="s">
        <v>286</v>
      </c>
      <c r="H271" s="83">
        <v>371</v>
      </c>
      <c r="I271" s="83" t="s">
        <v>287</v>
      </c>
      <c r="J271" s="83">
        <v>252</v>
      </c>
      <c r="K271" s="83" t="s">
        <v>288</v>
      </c>
      <c r="L271" s="83" t="s">
        <v>289</v>
      </c>
      <c r="M271" s="84">
        <v>92</v>
      </c>
      <c r="N271" s="84" t="s">
        <v>250</v>
      </c>
      <c r="O271" s="84">
        <v>57</v>
      </c>
      <c r="P271" s="85">
        <v>279</v>
      </c>
      <c r="Q271" s="85" t="s">
        <v>282</v>
      </c>
      <c r="R271" s="85"/>
      <c r="S271" s="85">
        <v>195</v>
      </c>
      <c r="T271" s="80"/>
      <c r="U271" s="80"/>
      <c r="V271" s="81" t="str">
        <f>+IF(I271=0,"ap","av_ap")</f>
        <v>av_ap</v>
      </c>
      <c r="W271" s="81">
        <f>+VLOOKUP(A271,infradensité!$A$2:$B$67,2,FALSE)</f>
        <v>0.55000000000000004</v>
      </c>
      <c r="X271" s="81">
        <v>1.56</v>
      </c>
      <c r="Y271" s="82">
        <f t="shared" si="30"/>
        <v>216.21600000000004</v>
      </c>
      <c r="Z271" s="82">
        <f t="shared" si="32"/>
        <v>53.291623409473033</v>
      </c>
      <c r="AA271" s="82" t="str">
        <f t="shared" si="35"/>
        <v>Hêtre commun_F2_Entree 19-20m_GS Hêtraies et hêtraies sapinières des Pyrénées_84_</v>
      </c>
      <c r="AB271" s="79">
        <v>84</v>
      </c>
      <c r="AC271" s="82">
        <f t="shared" si="31"/>
        <v>469.39244410483224</v>
      </c>
      <c r="AD271" s="86">
        <f t="shared" si="36"/>
        <v>3583.4403474591486</v>
      </c>
      <c r="AE271" s="86">
        <f t="shared" si="39"/>
        <v>388.66856558899315</v>
      </c>
    </row>
    <row r="272" spans="1:31" hidden="1" x14ac:dyDescent="0.25">
      <c r="A272" s="79" t="s">
        <v>238</v>
      </c>
      <c r="B272" s="79" t="s">
        <v>10</v>
      </c>
      <c r="C272" s="5" t="s">
        <v>143</v>
      </c>
      <c r="D272" s="89" t="s">
        <v>239</v>
      </c>
      <c r="E272" s="79">
        <v>33</v>
      </c>
      <c r="F272" s="79">
        <v>84</v>
      </c>
      <c r="G272" s="79" t="s">
        <v>286</v>
      </c>
      <c r="H272" s="85">
        <v>279</v>
      </c>
      <c r="I272" s="85" t="s">
        <v>282</v>
      </c>
      <c r="J272" s="85">
        <v>195</v>
      </c>
      <c r="K272" s="85">
        <v>195</v>
      </c>
      <c r="L272" s="83"/>
      <c r="M272" s="84"/>
      <c r="N272" s="84"/>
      <c r="O272" s="84"/>
      <c r="P272" s="85"/>
      <c r="Q272" s="85"/>
      <c r="R272" s="85"/>
      <c r="S272" s="85"/>
      <c r="T272" s="80"/>
      <c r="U272" s="80"/>
      <c r="V272" s="81" t="s">
        <v>53</v>
      </c>
      <c r="W272" s="81">
        <f>+VLOOKUP(A272,infradensité!$A$2:$B$67,2,FALSE)</f>
        <v>0.55000000000000004</v>
      </c>
      <c r="X272" s="81">
        <v>1.56</v>
      </c>
      <c r="Y272" s="82">
        <f t="shared" si="30"/>
        <v>167.31000000000003</v>
      </c>
      <c r="Z272" s="82">
        <f t="shared" si="32"/>
        <v>42.486994942347515</v>
      </c>
      <c r="AA272" s="82" t="str">
        <f t="shared" si="35"/>
        <v>Hêtre commun_F2_Entree 19-20m_GS Hêtraies et hêtraies sapinières des Pyrénées_84_</v>
      </c>
      <c r="AB272" s="79">
        <v>84</v>
      </c>
      <c r="AC272" s="82">
        <f t="shared" si="31"/>
        <v>365.39643285792198</v>
      </c>
      <c r="AD272" s="86">
        <f t="shared" si="36"/>
        <v>0</v>
      </c>
      <c r="AE272" s="86">
        <f t="shared" si="39"/>
        <v>388.66856558899315</v>
      </c>
    </row>
    <row r="273" spans="1:31" hidden="1" x14ac:dyDescent="0.25">
      <c r="A273" s="79" t="s">
        <v>238</v>
      </c>
      <c r="B273" s="79" t="s">
        <v>10</v>
      </c>
      <c r="C273" s="5" t="s">
        <v>143</v>
      </c>
      <c r="D273" s="89" t="s">
        <v>239</v>
      </c>
      <c r="E273" s="79">
        <v>33</v>
      </c>
      <c r="F273" s="79">
        <v>93</v>
      </c>
      <c r="G273" s="79" t="s">
        <v>290</v>
      </c>
      <c r="H273" s="83">
        <v>279</v>
      </c>
      <c r="I273" s="83" t="s">
        <v>287</v>
      </c>
      <c r="J273" s="83">
        <v>269</v>
      </c>
      <c r="K273" s="83" t="s">
        <v>258</v>
      </c>
      <c r="L273" s="83" t="s">
        <v>291</v>
      </c>
      <c r="M273" s="84">
        <v>67</v>
      </c>
      <c r="N273" s="84" t="s">
        <v>292</v>
      </c>
      <c r="O273" s="84">
        <v>57</v>
      </c>
      <c r="P273" s="85">
        <v>212</v>
      </c>
      <c r="Q273" s="85" t="s">
        <v>293</v>
      </c>
      <c r="R273" s="85"/>
      <c r="S273" s="85">
        <v>212</v>
      </c>
      <c r="T273" s="80"/>
      <c r="U273" s="80"/>
      <c r="V273" s="81" t="str">
        <f>+IF(I273=0,"ap","av_ap")</f>
        <v>av_ap</v>
      </c>
      <c r="W273" s="81">
        <f>+VLOOKUP(A273,infradensité!$A$2:$B$67,2,FALSE)</f>
        <v>0.55000000000000004</v>
      </c>
      <c r="X273" s="81">
        <v>1.56</v>
      </c>
      <c r="Y273" s="82">
        <f t="shared" si="30"/>
        <v>230.80200000000002</v>
      </c>
      <c r="Z273" s="82">
        <f t="shared" si="32"/>
        <v>56.456057535276258</v>
      </c>
      <c r="AA273" s="82" t="str">
        <f t="shared" si="35"/>
        <v>Hêtre commun_F2_Entree 19-20m_GS Hêtraies et hêtraies sapinières des Pyrénées_93_</v>
      </c>
      <c r="AB273" s="79">
        <v>93</v>
      </c>
      <c r="AC273" s="82">
        <f t="shared" si="31"/>
        <v>500.30778354060618</v>
      </c>
      <c r="AD273" s="86">
        <f t="shared" si="36"/>
        <v>3895.6689737933766</v>
      </c>
      <c r="AE273" s="86">
        <f t="shared" si="39"/>
        <v>388.66856558899315</v>
      </c>
    </row>
    <row r="274" spans="1:31" hidden="1" x14ac:dyDescent="0.25">
      <c r="A274" s="79" t="s">
        <v>238</v>
      </c>
      <c r="B274" s="79" t="s">
        <v>10</v>
      </c>
      <c r="C274" s="5" t="s">
        <v>143</v>
      </c>
      <c r="D274" s="89" t="s">
        <v>239</v>
      </c>
      <c r="E274" s="79">
        <v>33</v>
      </c>
      <c r="F274" s="79">
        <v>93</v>
      </c>
      <c r="G274" s="79" t="s">
        <v>290</v>
      </c>
      <c r="H274" s="85">
        <v>212</v>
      </c>
      <c r="I274" s="85" t="s">
        <v>293</v>
      </c>
      <c r="J274" s="85">
        <v>212</v>
      </c>
      <c r="K274" s="85">
        <v>212</v>
      </c>
      <c r="L274" s="83"/>
      <c r="M274" s="84"/>
      <c r="N274" s="84"/>
      <c r="O274" s="84"/>
      <c r="P274" s="85"/>
      <c r="Q274" s="85"/>
      <c r="R274" s="85"/>
      <c r="S274" s="85"/>
      <c r="T274" s="80"/>
      <c r="U274" s="80"/>
      <c r="V274" s="81" t="s">
        <v>53</v>
      </c>
      <c r="W274" s="81">
        <f>+VLOOKUP(A274,infradensité!$A$2:$B$67,2,FALSE)</f>
        <v>0.55000000000000004</v>
      </c>
      <c r="X274" s="81">
        <v>1.56</v>
      </c>
      <c r="Y274" s="82">
        <f t="shared" si="30"/>
        <v>181.89600000000002</v>
      </c>
      <c r="Z274" s="82">
        <f t="shared" si="32"/>
        <v>45.743753647228822</v>
      </c>
      <c r="AA274" s="82" t="str">
        <f t="shared" si="35"/>
        <v>Hêtre commun_F2_Entree 19-20m_GS Hêtraies et hêtraies sapinières des Pyrénées_93_</v>
      </c>
      <c r="AB274" s="79">
        <v>93</v>
      </c>
      <c r="AC274" s="82">
        <f t="shared" si="31"/>
        <v>396.47257093559023</v>
      </c>
      <c r="AD274" s="86">
        <f t="shared" si="36"/>
        <v>0</v>
      </c>
      <c r="AE274" s="86">
        <f t="shared" si="39"/>
        <v>388.66856558899315</v>
      </c>
    </row>
    <row r="275" spans="1:31" hidden="1" x14ac:dyDescent="0.25">
      <c r="A275" s="79" t="s">
        <v>238</v>
      </c>
      <c r="B275" s="79" t="s">
        <v>10</v>
      </c>
      <c r="C275" s="5" t="s">
        <v>143</v>
      </c>
      <c r="D275" s="89" t="s">
        <v>239</v>
      </c>
      <c r="E275" s="79">
        <v>33</v>
      </c>
      <c r="F275" s="79">
        <v>105</v>
      </c>
      <c r="G275" s="79" t="s">
        <v>294</v>
      </c>
      <c r="H275" s="83">
        <v>212</v>
      </c>
      <c r="I275" s="83" t="s">
        <v>295</v>
      </c>
      <c r="J275" s="83">
        <v>307</v>
      </c>
      <c r="K275" s="83" t="s">
        <v>296</v>
      </c>
      <c r="L275" s="83" t="s">
        <v>297</v>
      </c>
      <c r="M275" s="84">
        <v>56</v>
      </c>
      <c r="N275" s="84" t="s">
        <v>298</v>
      </c>
      <c r="O275" s="84">
        <v>75</v>
      </c>
      <c r="P275" s="85">
        <v>156</v>
      </c>
      <c r="Q275" s="85" t="s">
        <v>299</v>
      </c>
      <c r="R275" s="85"/>
      <c r="S275" s="85">
        <v>232</v>
      </c>
      <c r="T275" s="80"/>
      <c r="U275" s="80"/>
      <c r="V275" s="81" t="str">
        <f>+IF(I275=0,"ap","av_ap")</f>
        <v>av_ap</v>
      </c>
      <c r="W275" s="81">
        <f>+VLOOKUP(A275,infradensité!$A$2:$B$67,2,FALSE)</f>
        <v>0.55000000000000004</v>
      </c>
      <c r="X275" s="81">
        <v>1.56</v>
      </c>
      <c r="Y275" s="82">
        <f t="shared" si="30"/>
        <v>263.40600000000001</v>
      </c>
      <c r="Z275" s="82">
        <f t="shared" si="32"/>
        <v>63.447848663121114</v>
      </c>
      <c r="AA275" s="82" t="str">
        <f t="shared" si="35"/>
        <v>Hêtre commun_F2_Entree 19-20m_GS Hêtraies et hêtraies sapinières des Pyrénées_105_</v>
      </c>
      <c r="AB275" s="79">
        <v>105</v>
      </c>
      <c r="AC275" s="82">
        <f t="shared" si="31"/>
        <v>569.27045308826928</v>
      </c>
      <c r="AD275" s="86">
        <f t="shared" si="36"/>
        <v>5794.4581441431574</v>
      </c>
      <c r="AE275" s="86">
        <f t="shared" si="39"/>
        <v>388.66856558899315</v>
      </c>
    </row>
    <row r="276" spans="1:31" hidden="1" x14ac:dyDescent="0.25">
      <c r="A276" s="79" t="s">
        <v>238</v>
      </c>
      <c r="B276" s="79" t="s">
        <v>10</v>
      </c>
      <c r="C276" s="5" t="s">
        <v>143</v>
      </c>
      <c r="D276" s="89" t="s">
        <v>239</v>
      </c>
      <c r="E276" s="79">
        <v>33</v>
      </c>
      <c r="F276" s="79">
        <v>105</v>
      </c>
      <c r="G276" s="79" t="s">
        <v>294</v>
      </c>
      <c r="H276" s="85">
        <v>156</v>
      </c>
      <c r="I276" s="85" t="s">
        <v>299</v>
      </c>
      <c r="J276" s="85">
        <v>232</v>
      </c>
      <c r="K276" s="85">
        <v>232</v>
      </c>
      <c r="L276" s="83"/>
      <c r="M276" s="84"/>
      <c r="N276" s="84"/>
      <c r="O276" s="84"/>
      <c r="P276" s="85"/>
      <c r="Q276" s="85"/>
      <c r="R276" s="85"/>
      <c r="S276" s="85"/>
      <c r="T276" s="80"/>
      <c r="U276" s="80"/>
      <c r="V276" s="81" t="s">
        <v>53</v>
      </c>
      <c r="W276" s="81">
        <f>+VLOOKUP(A276,infradensité!$A$2:$B$67,2,FALSE)</f>
        <v>0.55000000000000004</v>
      </c>
      <c r="X276" s="81">
        <v>1.56</v>
      </c>
      <c r="Y276" s="82">
        <f t="shared" si="30"/>
        <v>199.05600000000001</v>
      </c>
      <c r="Z276" s="82">
        <f t="shared" si="32"/>
        <v>49.536648006253934</v>
      </c>
      <c r="AA276" s="82" t="str">
        <f t="shared" si="35"/>
        <v>Hêtre commun_F2_Entree 19-20m_GS Hêtraies et hêtraies sapinières des Pyrénées_105_</v>
      </c>
      <c r="AB276" s="79">
        <v>105</v>
      </c>
      <c r="AC276" s="82">
        <f t="shared" si="31"/>
        <v>432.96552861089231</v>
      </c>
      <c r="AD276" s="86">
        <f t="shared" si="36"/>
        <v>0</v>
      </c>
      <c r="AE276" s="86">
        <f t="shared" si="39"/>
        <v>388.66856558899315</v>
      </c>
    </row>
    <row r="277" spans="1:31" hidden="1" x14ac:dyDescent="0.25">
      <c r="A277" s="79" t="s">
        <v>238</v>
      </c>
      <c r="B277" s="79" t="s">
        <v>10</v>
      </c>
      <c r="C277" s="5" t="s">
        <v>143</v>
      </c>
      <c r="D277" s="89" t="s">
        <v>239</v>
      </c>
      <c r="E277" s="79">
        <v>33</v>
      </c>
      <c r="F277" s="79">
        <v>117</v>
      </c>
      <c r="G277" s="79" t="s">
        <v>300</v>
      </c>
      <c r="H277" s="83">
        <v>156</v>
      </c>
      <c r="I277" s="83" t="s">
        <v>301</v>
      </c>
      <c r="J277" s="83">
        <v>321</v>
      </c>
      <c r="K277" s="83" t="s">
        <v>302</v>
      </c>
      <c r="L277" s="83" t="s">
        <v>303</v>
      </c>
      <c r="M277" s="84">
        <v>37</v>
      </c>
      <c r="N277" s="84" t="s">
        <v>250</v>
      </c>
      <c r="O277" s="84">
        <v>70</v>
      </c>
      <c r="P277" s="85">
        <v>119</v>
      </c>
      <c r="Q277" s="85" t="s">
        <v>304</v>
      </c>
      <c r="R277" s="85"/>
      <c r="S277" s="85">
        <v>252</v>
      </c>
      <c r="T277" s="80"/>
      <c r="U277" s="80"/>
      <c r="V277" s="81" t="str">
        <f>+IF(I277=0,"ap","av_ap")</f>
        <v>av_ap</v>
      </c>
      <c r="W277" s="81">
        <f>+VLOOKUP(A277,infradensité!$A$2:$B$67,2,FALSE)</f>
        <v>0.55000000000000004</v>
      </c>
      <c r="X277" s="81">
        <v>1.56</v>
      </c>
      <c r="Y277" s="82">
        <f t="shared" si="30"/>
        <v>275.41800000000001</v>
      </c>
      <c r="Z277" s="82">
        <f t="shared" si="32"/>
        <v>65.997772680817278</v>
      </c>
      <c r="AA277" s="82" t="str">
        <f t="shared" si="35"/>
        <v>Hêtre commun_F2_Entree 19-20m_GS Hêtraies et hêtraies sapinières des Pyrénées_117_</v>
      </c>
      <c r="AB277" s="79">
        <v>117</v>
      </c>
      <c r="AC277" s="82">
        <f t="shared" si="31"/>
        <v>594.63247075242339</v>
      </c>
      <c r="AD277" s="86">
        <f t="shared" si="36"/>
        <v>6165.5879961798946</v>
      </c>
      <c r="AE277" s="86">
        <f t="shared" si="39"/>
        <v>388.66856558899315</v>
      </c>
    </row>
    <row r="278" spans="1:31" hidden="1" x14ac:dyDescent="0.25">
      <c r="A278" s="79" t="s">
        <v>238</v>
      </c>
      <c r="B278" s="79" t="s">
        <v>10</v>
      </c>
      <c r="C278" s="5" t="s">
        <v>143</v>
      </c>
      <c r="D278" s="89" t="s">
        <v>239</v>
      </c>
      <c r="E278" s="79">
        <v>33</v>
      </c>
      <c r="F278" s="79">
        <v>117</v>
      </c>
      <c r="G278" s="79" t="s">
        <v>300</v>
      </c>
      <c r="H278" s="85">
        <v>119</v>
      </c>
      <c r="I278" s="85" t="s">
        <v>304</v>
      </c>
      <c r="J278" s="85">
        <v>252</v>
      </c>
      <c r="K278" s="85">
        <v>252</v>
      </c>
      <c r="L278" s="83"/>
      <c r="M278" s="84"/>
      <c r="N278" s="84"/>
      <c r="O278" s="84"/>
      <c r="P278" s="85"/>
      <c r="Q278" s="85"/>
      <c r="R278" s="85"/>
      <c r="S278" s="85"/>
      <c r="T278" s="80"/>
      <c r="U278" s="80"/>
      <c r="V278" s="81" t="s">
        <v>53</v>
      </c>
      <c r="W278" s="81">
        <f>+VLOOKUP(A278,infradensité!$A$2:$B$67,2,FALSE)</f>
        <v>0.55000000000000004</v>
      </c>
      <c r="X278" s="81">
        <v>1.56</v>
      </c>
      <c r="Y278" s="82">
        <f t="shared" si="30"/>
        <v>216.21600000000004</v>
      </c>
      <c r="Z278" s="82">
        <f t="shared" si="32"/>
        <v>53.291623409473033</v>
      </c>
      <c r="AA278" s="82" t="str">
        <f t="shared" si="35"/>
        <v>Hêtre commun_F2_Entree 19-20m_GS Hêtraies et hêtraies sapinières des Pyrénées_117_</v>
      </c>
      <c r="AB278" s="79">
        <v>117</v>
      </c>
      <c r="AC278" s="82">
        <f t="shared" si="31"/>
        <v>469.39244410483224</v>
      </c>
      <c r="AD278" s="86">
        <f t="shared" si="36"/>
        <v>0</v>
      </c>
      <c r="AE278" s="86">
        <f t="shared" si="39"/>
        <v>388.66856558899315</v>
      </c>
    </row>
    <row r="279" spans="1:31" hidden="1" x14ac:dyDescent="0.25">
      <c r="A279" s="79" t="s">
        <v>238</v>
      </c>
      <c r="B279" s="79" t="s">
        <v>10</v>
      </c>
      <c r="C279" s="5" t="s">
        <v>143</v>
      </c>
      <c r="D279" s="89" t="s">
        <v>239</v>
      </c>
      <c r="E279" s="79">
        <v>33</v>
      </c>
      <c r="F279" s="79">
        <v>129</v>
      </c>
      <c r="G279" s="79">
        <v>34</v>
      </c>
      <c r="H279" s="83">
        <v>119</v>
      </c>
      <c r="I279" s="83" t="s">
        <v>301</v>
      </c>
      <c r="J279" s="83">
        <v>335</v>
      </c>
      <c r="K279" s="83" t="s">
        <v>305</v>
      </c>
      <c r="L279" s="83" t="s">
        <v>305</v>
      </c>
      <c r="M279" s="84"/>
      <c r="N279" s="84"/>
      <c r="O279" s="84"/>
      <c r="P279" s="85"/>
      <c r="Q279" s="85"/>
      <c r="R279" s="85"/>
      <c r="S279" s="85"/>
      <c r="T279" s="80"/>
      <c r="U279" s="80"/>
      <c r="V279" s="81" t="str">
        <f>+IF(I279=0,"ap","av_ap")</f>
        <v>av_ap</v>
      </c>
      <c r="W279" s="81">
        <f>+VLOOKUP(A279,infradensité!$A$2:$B$67,2,FALSE)</f>
        <v>0.55000000000000004</v>
      </c>
      <c r="X279" s="81">
        <v>1.56</v>
      </c>
      <c r="Y279" s="82">
        <f t="shared" si="30"/>
        <v>287.43</v>
      </c>
      <c r="Z279" s="82">
        <f t="shared" si="32"/>
        <v>68.534780142555803</v>
      </c>
      <c r="AA279" s="82" t="str">
        <f t="shared" si="35"/>
        <v>Hêtre commun_F2_Entree 19-20m_GS Hêtraies et hêtraies sapinières des Pyrénées_129_</v>
      </c>
      <c r="AB279" s="79">
        <v>129</v>
      </c>
      <c r="AC279" s="82">
        <f t="shared" si="31"/>
        <v>619.97199208161805</v>
      </c>
      <c r="AD279" s="86">
        <f t="shared" si="36"/>
        <v>6536.1866171187021</v>
      </c>
      <c r="AE279" s="86">
        <f t="shared" si="39"/>
        <v>388.66856558899315</v>
      </c>
    </row>
    <row r="280" spans="1:31" hidden="1" x14ac:dyDescent="0.25">
      <c r="A280" s="79" t="s">
        <v>221</v>
      </c>
      <c r="B280" s="79" t="s">
        <v>9</v>
      </c>
      <c r="C280" s="79" t="s">
        <v>306</v>
      </c>
      <c r="D280" s="89" t="s">
        <v>307</v>
      </c>
      <c r="E280" s="79">
        <v>74</v>
      </c>
      <c r="F280" s="79">
        <v>47</v>
      </c>
      <c r="G280" s="79">
        <v>18.7</v>
      </c>
      <c r="H280" s="83"/>
      <c r="I280" s="83"/>
      <c r="J280" s="83"/>
      <c r="K280" s="83"/>
      <c r="L280" s="83"/>
      <c r="M280" s="84"/>
      <c r="N280" s="84"/>
      <c r="O280" s="84"/>
      <c r="P280" s="85">
        <v>850</v>
      </c>
      <c r="Q280" s="85">
        <v>25</v>
      </c>
      <c r="R280" s="85">
        <v>27</v>
      </c>
      <c r="S280" s="85"/>
      <c r="T280" s="80"/>
      <c r="U280" s="80"/>
      <c r="V280" s="81" t="s">
        <v>53</v>
      </c>
      <c r="W280" s="81">
        <f>+VLOOKUP(A280,infradensité!$A$2:$B$67,2,FALSE)</f>
        <v>0.38</v>
      </c>
      <c r="X280" s="81">
        <v>1.3</v>
      </c>
      <c r="Y280" s="82">
        <f t="shared" si="30"/>
        <v>0</v>
      </c>
      <c r="Z280" s="82" t="e">
        <f t="shared" si="32"/>
        <v>#NUM!</v>
      </c>
      <c r="AA280" s="82" t="str">
        <f t="shared" si="35"/>
        <v>Sapin pectiné_F1_Normal_GS Sapinières du Massif Central_47_</v>
      </c>
      <c r="AB280" s="79">
        <v>47</v>
      </c>
      <c r="AC280" s="82" t="e">
        <f t="shared" si="31"/>
        <v>#NUM!</v>
      </c>
      <c r="AD280" s="86" t="e">
        <f t="shared" si="36"/>
        <v>#NUM!</v>
      </c>
      <c r="AE280" s="81"/>
    </row>
    <row r="281" spans="1:31" hidden="1" x14ac:dyDescent="0.25">
      <c r="A281" s="79" t="s">
        <v>221</v>
      </c>
      <c r="B281" s="79" t="s">
        <v>9</v>
      </c>
      <c r="C281" s="79" t="s">
        <v>306</v>
      </c>
      <c r="D281" s="89" t="s">
        <v>307</v>
      </c>
      <c r="E281" s="79">
        <v>74</v>
      </c>
      <c r="F281" s="79">
        <v>53</v>
      </c>
      <c r="G281" s="79">
        <v>21.4</v>
      </c>
      <c r="H281" s="83"/>
      <c r="I281" s="83"/>
      <c r="J281" s="83"/>
      <c r="K281" s="83"/>
      <c r="L281" s="83"/>
      <c r="M281" s="84"/>
      <c r="N281" s="84"/>
      <c r="O281" s="84"/>
      <c r="P281" s="85">
        <v>584</v>
      </c>
      <c r="Q281" s="85">
        <v>27</v>
      </c>
      <c r="R281" s="85">
        <v>29</v>
      </c>
      <c r="S281" s="85"/>
      <c r="T281" s="80"/>
      <c r="U281" s="80"/>
      <c r="V281" s="81" t="s">
        <v>53</v>
      </c>
      <c r="W281" s="81">
        <f>+VLOOKUP(A281,infradensité!$A$2:$B$67,2,FALSE)</f>
        <v>0.38</v>
      </c>
      <c r="X281" s="81">
        <v>1.3</v>
      </c>
      <c r="Y281" s="82">
        <f t="shared" si="30"/>
        <v>0</v>
      </c>
      <c r="Z281" s="82" t="e">
        <f t="shared" si="32"/>
        <v>#NUM!</v>
      </c>
      <c r="AA281" s="82" t="str">
        <f t="shared" si="35"/>
        <v>Sapin pectiné_F1_Normal_GS Sapinières du Massif Central_53_</v>
      </c>
      <c r="AB281" s="79">
        <v>53</v>
      </c>
      <c r="AC281" s="82" t="e">
        <f t="shared" si="31"/>
        <v>#NUM!</v>
      </c>
      <c r="AD281" s="86" t="e">
        <f t="shared" si="36"/>
        <v>#NUM!</v>
      </c>
      <c r="AE281" s="81"/>
    </row>
    <row r="282" spans="1:31" hidden="1" x14ac:dyDescent="0.25">
      <c r="A282" s="79" t="s">
        <v>221</v>
      </c>
      <c r="B282" s="79" t="s">
        <v>9</v>
      </c>
      <c r="C282" s="79" t="s">
        <v>306</v>
      </c>
      <c r="D282" s="89" t="s">
        <v>307</v>
      </c>
      <c r="E282" s="79">
        <v>74</v>
      </c>
      <c r="F282" s="79">
        <v>60</v>
      </c>
      <c r="G282" s="79">
        <v>24.3</v>
      </c>
      <c r="H282" s="83"/>
      <c r="I282" s="83"/>
      <c r="J282" s="83"/>
      <c r="K282" s="83"/>
      <c r="L282" s="83"/>
      <c r="M282" s="84"/>
      <c r="N282" s="84"/>
      <c r="O282" s="84"/>
      <c r="P282" s="85">
        <v>390</v>
      </c>
      <c r="Q282" s="85">
        <v>29</v>
      </c>
      <c r="R282" s="85">
        <v>30</v>
      </c>
      <c r="S282" s="85"/>
      <c r="T282" s="80"/>
      <c r="U282" s="80"/>
      <c r="V282" s="81" t="s">
        <v>53</v>
      </c>
      <c r="W282" s="81">
        <f>+VLOOKUP(A282,infradensité!$A$2:$B$67,2,FALSE)</f>
        <v>0.38</v>
      </c>
      <c r="X282" s="81">
        <v>1.3</v>
      </c>
      <c r="Y282" s="82">
        <f t="shared" ref="Y282:Y346" si="40">+X282*W282*J282</f>
        <v>0</v>
      </c>
      <c r="Z282" s="82" t="e">
        <f t="shared" si="32"/>
        <v>#NUM!</v>
      </c>
      <c r="AA282" s="82" t="str">
        <f t="shared" si="35"/>
        <v>Sapin pectiné_F1_Normal_GS Sapinières du Massif Central_60_</v>
      </c>
      <c r="AB282" s="79">
        <v>60</v>
      </c>
      <c r="AC282" s="82" t="e">
        <f t="shared" ref="AC282:AC346" si="41">+(Z282+Y282)*0.475*44/12</f>
        <v>#NUM!</v>
      </c>
      <c r="AD282" s="86" t="e">
        <f t="shared" si="36"/>
        <v>#NUM!</v>
      </c>
      <c r="AE282" s="81"/>
    </row>
    <row r="283" spans="1:31" hidden="1" x14ac:dyDescent="0.25">
      <c r="A283" s="79" t="s">
        <v>221</v>
      </c>
      <c r="B283" s="79" t="s">
        <v>9</v>
      </c>
      <c r="C283" s="79" t="s">
        <v>306</v>
      </c>
      <c r="D283" s="89" t="s">
        <v>307</v>
      </c>
      <c r="E283" s="79">
        <v>74</v>
      </c>
      <c r="F283" s="79">
        <v>68</v>
      </c>
      <c r="G283" s="79">
        <v>27.1</v>
      </c>
      <c r="H283" s="83"/>
      <c r="I283" s="83"/>
      <c r="J283" s="83"/>
      <c r="K283" s="83"/>
      <c r="L283" s="83"/>
      <c r="M283" s="84"/>
      <c r="N283" s="84"/>
      <c r="O283" s="84"/>
      <c r="P283" s="85">
        <v>265</v>
      </c>
      <c r="Q283" s="85">
        <v>29</v>
      </c>
      <c r="R283" s="85">
        <v>30</v>
      </c>
      <c r="S283" s="85"/>
      <c r="T283" s="80"/>
      <c r="U283" s="80"/>
      <c r="V283" s="81" t="s">
        <v>53</v>
      </c>
      <c r="W283" s="81">
        <f>+VLOOKUP(A283,infradensité!$A$2:$B$67,2,FALSE)</f>
        <v>0.38</v>
      </c>
      <c r="X283" s="81">
        <v>1.3</v>
      </c>
      <c r="Y283" s="82">
        <f t="shared" si="40"/>
        <v>0</v>
      </c>
      <c r="Z283" s="82" t="e">
        <f t="shared" ref="Z283:Z347" si="42">+EXP(-1.0587+0.8836*LN(Y283)+0.284)</f>
        <v>#NUM!</v>
      </c>
      <c r="AA283" s="82" t="str">
        <f t="shared" si="35"/>
        <v>Sapin pectiné_F1_Normal_GS Sapinières du Massif Central_68_</v>
      </c>
      <c r="AB283" s="79">
        <v>68</v>
      </c>
      <c r="AC283" s="82" t="e">
        <f t="shared" si="41"/>
        <v>#NUM!</v>
      </c>
      <c r="AD283" s="86" t="e">
        <f t="shared" si="36"/>
        <v>#NUM!</v>
      </c>
      <c r="AE283" s="81"/>
    </row>
    <row r="284" spans="1:31" hidden="1" x14ac:dyDescent="0.25">
      <c r="A284" s="79" t="s">
        <v>221</v>
      </c>
      <c r="B284" s="79" t="s">
        <v>9</v>
      </c>
      <c r="C284" s="79" t="s">
        <v>306</v>
      </c>
      <c r="D284" s="89" t="s">
        <v>307</v>
      </c>
      <c r="E284" s="79">
        <v>74</v>
      </c>
      <c r="F284" s="79">
        <v>76</v>
      </c>
      <c r="G284" s="79">
        <v>29.5</v>
      </c>
      <c r="H284" s="83"/>
      <c r="I284" s="83"/>
      <c r="J284" s="83"/>
      <c r="K284" s="83"/>
      <c r="L284" s="83"/>
      <c r="M284" s="84"/>
      <c r="N284" s="84"/>
      <c r="O284" s="84"/>
      <c r="P284" s="85">
        <v>190</v>
      </c>
      <c r="Q284" s="85">
        <v>29</v>
      </c>
      <c r="R284" s="85">
        <v>30</v>
      </c>
      <c r="S284" s="85"/>
      <c r="T284" s="80"/>
      <c r="U284" s="80"/>
      <c r="V284" s="81" t="s">
        <v>53</v>
      </c>
      <c r="W284" s="81">
        <f>+VLOOKUP(A284,infradensité!$A$2:$B$67,2,FALSE)</f>
        <v>0.38</v>
      </c>
      <c r="X284" s="81">
        <v>1.3</v>
      </c>
      <c r="Y284" s="82">
        <f t="shared" si="40"/>
        <v>0</v>
      </c>
      <c r="Z284" s="82" t="e">
        <f t="shared" si="42"/>
        <v>#NUM!</v>
      </c>
      <c r="AA284" s="82" t="str">
        <f t="shared" si="35"/>
        <v>Sapin pectiné_F1_Normal_GS Sapinières du Massif Central_76_</v>
      </c>
      <c r="AB284" s="79">
        <v>76</v>
      </c>
      <c r="AC284" s="82" t="e">
        <f t="shared" si="41"/>
        <v>#NUM!</v>
      </c>
      <c r="AD284" s="86" t="e">
        <f t="shared" si="36"/>
        <v>#NUM!</v>
      </c>
      <c r="AE284" s="81"/>
    </row>
    <row r="285" spans="1:31" hidden="1" x14ac:dyDescent="0.25">
      <c r="A285" s="79" t="s">
        <v>221</v>
      </c>
      <c r="B285" s="79" t="s">
        <v>9</v>
      </c>
      <c r="C285" s="79" t="s">
        <v>306</v>
      </c>
      <c r="D285" s="89" t="s">
        <v>307</v>
      </c>
      <c r="E285" s="79">
        <v>74</v>
      </c>
      <c r="F285" s="79">
        <v>84</v>
      </c>
      <c r="G285" s="79">
        <v>31.6</v>
      </c>
      <c r="H285" s="83"/>
      <c r="I285" s="83"/>
      <c r="J285" s="83"/>
      <c r="K285" s="83"/>
      <c r="L285" s="83"/>
      <c r="M285" s="84"/>
      <c r="N285" s="84"/>
      <c r="O285" s="84"/>
      <c r="P285" s="85">
        <v>115</v>
      </c>
      <c r="Q285" s="85">
        <v>23</v>
      </c>
      <c r="R285" s="85">
        <v>25</v>
      </c>
      <c r="S285" s="85"/>
      <c r="T285" s="80"/>
      <c r="U285" s="80"/>
      <c r="V285" s="81" t="s">
        <v>53</v>
      </c>
      <c r="W285" s="81">
        <f>+VLOOKUP(A285,infradensité!$A$2:$B$67,2,FALSE)</f>
        <v>0.38</v>
      </c>
      <c r="X285" s="81">
        <v>1.3</v>
      </c>
      <c r="Y285" s="82">
        <f t="shared" si="40"/>
        <v>0</v>
      </c>
      <c r="Z285" s="82" t="e">
        <f t="shared" si="42"/>
        <v>#NUM!</v>
      </c>
      <c r="AA285" s="82" t="str">
        <f t="shared" si="35"/>
        <v>Sapin pectiné_F1_Normal_GS Sapinières du Massif Central_84_</v>
      </c>
      <c r="AB285" s="79">
        <v>84</v>
      </c>
      <c r="AC285" s="82" t="e">
        <f t="shared" si="41"/>
        <v>#NUM!</v>
      </c>
      <c r="AD285" s="86" t="e">
        <f t="shared" si="36"/>
        <v>#NUM!</v>
      </c>
      <c r="AE285" s="81"/>
    </row>
    <row r="286" spans="1:31" hidden="1" x14ac:dyDescent="0.25">
      <c r="A286" s="79" t="s">
        <v>221</v>
      </c>
      <c r="B286" s="79" t="s">
        <v>9</v>
      </c>
      <c r="C286" s="79" t="s">
        <v>306</v>
      </c>
      <c r="D286" s="89" t="s">
        <v>307</v>
      </c>
      <c r="E286" s="79">
        <v>74</v>
      </c>
      <c r="F286" s="79">
        <v>89</v>
      </c>
      <c r="G286" s="79">
        <v>32.700000000000003</v>
      </c>
      <c r="H286" s="83"/>
      <c r="I286" s="83"/>
      <c r="J286" s="83"/>
      <c r="K286" s="83"/>
      <c r="L286" s="83"/>
      <c r="M286" s="84"/>
      <c r="N286" s="84"/>
      <c r="O286" s="84"/>
      <c r="P286" s="85">
        <v>50</v>
      </c>
      <c r="Q286" s="85">
        <v>10</v>
      </c>
      <c r="R286" s="85">
        <v>12</v>
      </c>
      <c r="S286" s="85"/>
      <c r="T286" s="80"/>
      <c r="U286" s="80"/>
      <c r="V286" s="81" t="s">
        <v>53</v>
      </c>
      <c r="W286" s="81">
        <f>+VLOOKUP(A286,infradensité!$A$2:$B$67,2,FALSE)</f>
        <v>0.38</v>
      </c>
      <c r="X286" s="81">
        <v>1.3</v>
      </c>
      <c r="Y286" s="82">
        <f t="shared" si="40"/>
        <v>0</v>
      </c>
      <c r="Z286" s="82" t="e">
        <f t="shared" si="42"/>
        <v>#NUM!</v>
      </c>
      <c r="AA286" s="82" t="str">
        <f t="shared" si="35"/>
        <v>Sapin pectiné_F1_Normal_GS Sapinières du Massif Central_89_</v>
      </c>
      <c r="AB286" s="79">
        <v>89</v>
      </c>
      <c r="AC286" s="82" t="e">
        <f t="shared" si="41"/>
        <v>#NUM!</v>
      </c>
      <c r="AD286" s="86" t="e">
        <f t="shared" si="36"/>
        <v>#NUM!</v>
      </c>
      <c r="AE286" s="81"/>
    </row>
    <row r="287" spans="1:31" hidden="1" x14ac:dyDescent="0.25">
      <c r="A287" s="79" t="s">
        <v>221</v>
      </c>
      <c r="B287" s="79" t="s">
        <v>9</v>
      </c>
      <c r="C287" s="79" t="s">
        <v>306</v>
      </c>
      <c r="D287" s="89" t="s">
        <v>307</v>
      </c>
      <c r="E287" s="79">
        <v>74</v>
      </c>
      <c r="F287" s="79">
        <v>94</v>
      </c>
      <c r="G287" s="79">
        <v>33.799999999999997</v>
      </c>
      <c r="H287" s="83"/>
      <c r="I287" s="83"/>
      <c r="J287" s="83"/>
      <c r="K287" s="83"/>
      <c r="L287" s="83"/>
      <c r="M287" s="84"/>
      <c r="N287" s="84"/>
      <c r="O287" s="84"/>
      <c r="P287" s="85">
        <v>0</v>
      </c>
      <c r="Q287" s="85">
        <v>0</v>
      </c>
      <c r="R287" s="85">
        <v>0</v>
      </c>
      <c r="S287" s="85"/>
      <c r="T287" s="80"/>
      <c r="U287" s="80"/>
      <c r="V287" s="81" t="s">
        <v>53</v>
      </c>
      <c r="W287" s="81">
        <f>+VLOOKUP(A287,infradensité!$A$2:$B$67,2,FALSE)</f>
        <v>0.38</v>
      </c>
      <c r="X287" s="81">
        <v>1.3</v>
      </c>
      <c r="Y287" s="82">
        <f t="shared" si="40"/>
        <v>0</v>
      </c>
      <c r="Z287" s="82" t="e">
        <f t="shared" si="42"/>
        <v>#NUM!</v>
      </c>
      <c r="AA287" s="82" t="str">
        <f t="shared" si="35"/>
        <v>Sapin pectiné_F1_Normal_GS Sapinières du Massif Central_94_</v>
      </c>
      <c r="AB287" s="79">
        <v>94</v>
      </c>
      <c r="AC287" s="82" t="e">
        <f t="shared" si="41"/>
        <v>#NUM!</v>
      </c>
      <c r="AD287" s="86" t="e">
        <f t="shared" si="36"/>
        <v>#NUM!</v>
      </c>
      <c r="AE287" s="81"/>
    </row>
    <row r="288" spans="1:31" hidden="1" x14ac:dyDescent="0.25">
      <c r="A288" s="79" t="s">
        <v>221</v>
      </c>
      <c r="B288" s="79" t="s">
        <v>10</v>
      </c>
      <c r="C288" s="79" t="s">
        <v>306</v>
      </c>
      <c r="D288" s="89" t="s">
        <v>307</v>
      </c>
      <c r="E288" s="79">
        <v>74</v>
      </c>
      <c r="F288" s="79">
        <v>57</v>
      </c>
      <c r="G288" s="79">
        <v>18.2</v>
      </c>
      <c r="H288" s="83"/>
      <c r="I288" s="83"/>
      <c r="J288" s="83"/>
      <c r="K288" s="83"/>
      <c r="L288" s="83"/>
      <c r="M288" s="84"/>
      <c r="N288" s="84"/>
      <c r="O288" s="84"/>
      <c r="P288" s="85">
        <v>780</v>
      </c>
      <c r="Q288" s="85">
        <v>24.5</v>
      </c>
      <c r="R288" s="85">
        <v>26.5</v>
      </c>
      <c r="S288" s="85"/>
      <c r="T288" s="80"/>
      <c r="U288" s="80"/>
      <c r="V288" s="81" t="s">
        <v>53</v>
      </c>
      <c r="W288" s="81">
        <f>+VLOOKUP(A288,infradensité!$A$2:$B$67,2,FALSE)</f>
        <v>0.38</v>
      </c>
      <c r="X288" s="81">
        <v>1.3</v>
      </c>
      <c r="Y288" s="82">
        <f t="shared" si="40"/>
        <v>0</v>
      </c>
      <c r="Z288" s="82" t="e">
        <f t="shared" si="42"/>
        <v>#NUM!</v>
      </c>
      <c r="AA288" s="82" t="str">
        <f t="shared" si="35"/>
        <v>Sapin pectiné_F2_Normal_GS Sapinières du Massif Central_57_</v>
      </c>
      <c r="AB288" s="79">
        <v>57</v>
      </c>
      <c r="AC288" s="82" t="e">
        <f t="shared" si="41"/>
        <v>#NUM!</v>
      </c>
      <c r="AD288" s="86" t="e">
        <f t="shared" si="36"/>
        <v>#NUM!</v>
      </c>
      <c r="AE288" s="81"/>
    </row>
    <row r="289" spans="1:31" hidden="1" x14ac:dyDescent="0.25">
      <c r="A289" s="79" t="s">
        <v>221</v>
      </c>
      <c r="B289" s="79" t="s">
        <v>10</v>
      </c>
      <c r="C289" s="79" t="s">
        <v>306</v>
      </c>
      <c r="D289" s="89" t="s">
        <v>307</v>
      </c>
      <c r="E289" s="79">
        <v>74</v>
      </c>
      <c r="F289" s="79">
        <v>64</v>
      </c>
      <c r="G289" s="79">
        <v>20.7</v>
      </c>
      <c r="H289" s="83"/>
      <c r="I289" s="83"/>
      <c r="J289" s="83"/>
      <c r="K289" s="83"/>
      <c r="L289" s="83"/>
      <c r="M289" s="84"/>
      <c r="N289" s="84"/>
      <c r="O289" s="84"/>
      <c r="P289" s="85">
        <v>553</v>
      </c>
      <c r="Q289" s="85">
        <v>26</v>
      </c>
      <c r="R289" s="85">
        <v>28</v>
      </c>
      <c r="S289" s="85"/>
      <c r="T289" s="80"/>
      <c r="U289" s="80"/>
      <c r="V289" s="81" t="s">
        <v>53</v>
      </c>
      <c r="W289" s="81">
        <f>+VLOOKUP(A289,infradensité!$A$2:$B$67,2,FALSE)</f>
        <v>0.38</v>
      </c>
      <c r="X289" s="81">
        <v>1.3</v>
      </c>
      <c r="Y289" s="82">
        <f t="shared" si="40"/>
        <v>0</v>
      </c>
      <c r="Z289" s="82" t="e">
        <f t="shared" si="42"/>
        <v>#NUM!</v>
      </c>
      <c r="AA289" s="82" t="str">
        <f t="shared" si="35"/>
        <v>Sapin pectiné_F2_Normal_GS Sapinières du Massif Central_64_</v>
      </c>
      <c r="AB289" s="79">
        <v>64</v>
      </c>
      <c r="AC289" s="82" t="e">
        <f t="shared" si="41"/>
        <v>#NUM!</v>
      </c>
      <c r="AD289" s="86" t="e">
        <f t="shared" si="36"/>
        <v>#NUM!</v>
      </c>
      <c r="AE289" s="81"/>
    </row>
    <row r="290" spans="1:31" hidden="1" x14ac:dyDescent="0.25">
      <c r="A290" s="79" t="s">
        <v>221</v>
      </c>
      <c r="B290" s="79" t="s">
        <v>10</v>
      </c>
      <c r="C290" s="79" t="s">
        <v>306</v>
      </c>
      <c r="D290" s="89" t="s">
        <v>307</v>
      </c>
      <c r="E290" s="79">
        <v>74</v>
      </c>
      <c r="F290" s="79">
        <v>72</v>
      </c>
      <c r="G290" s="79">
        <v>23.2</v>
      </c>
      <c r="H290" s="83"/>
      <c r="I290" s="83"/>
      <c r="J290" s="83"/>
      <c r="K290" s="83"/>
      <c r="L290" s="83"/>
      <c r="M290" s="84"/>
      <c r="N290" s="84"/>
      <c r="O290" s="84"/>
      <c r="P290" s="85">
        <v>392</v>
      </c>
      <c r="Q290" s="85">
        <v>27</v>
      </c>
      <c r="R290" s="85">
        <v>29</v>
      </c>
      <c r="S290" s="85"/>
      <c r="T290" s="80"/>
      <c r="U290" s="80"/>
      <c r="V290" s="81" t="s">
        <v>53</v>
      </c>
      <c r="W290" s="81">
        <f>+VLOOKUP(A290,infradensité!$A$2:$B$67,2,FALSE)</f>
        <v>0.38</v>
      </c>
      <c r="X290" s="81">
        <v>1.3</v>
      </c>
      <c r="Y290" s="82">
        <f t="shared" si="40"/>
        <v>0</v>
      </c>
      <c r="Z290" s="82" t="e">
        <f t="shared" si="42"/>
        <v>#NUM!</v>
      </c>
      <c r="AA290" s="82" t="str">
        <f t="shared" si="35"/>
        <v>Sapin pectiné_F2_Normal_GS Sapinières du Massif Central_72_</v>
      </c>
      <c r="AB290" s="79">
        <v>72</v>
      </c>
      <c r="AC290" s="82" t="e">
        <f t="shared" si="41"/>
        <v>#NUM!</v>
      </c>
      <c r="AD290" s="86" t="e">
        <f t="shared" si="36"/>
        <v>#NUM!</v>
      </c>
      <c r="AE290" s="81"/>
    </row>
    <row r="291" spans="1:31" hidden="1" x14ac:dyDescent="0.25">
      <c r="A291" s="79" t="s">
        <v>221</v>
      </c>
      <c r="B291" s="79" t="s">
        <v>10</v>
      </c>
      <c r="C291" s="79" t="s">
        <v>306</v>
      </c>
      <c r="D291" s="89" t="s">
        <v>307</v>
      </c>
      <c r="E291" s="79">
        <v>74</v>
      </c>
      <c r="F291" s="79">
        <v>80</v>
      </c>
      <c r="G291" s="79">
        <v>25.4</v>
      </c>
      <c r="H291" s="83"/>
      <c r="I291" s="83"/>
      <c r="J291" s="83"/>
      <c r="K291" s="83"/>
      <c r="L291" s="83"/>
      <c r="M291" s="84"/>
      <c r="N291" s="84"/>
      <c r="O291" s="84"/>
      <c r="P291" s="85">
        <v>290</v>
      </c>
      <c r="Q291" s="85">
        <v>27</v>
      </c>
      <c r="R291" s="85">
        <v>29</v>
      </c>
      <c r="S291" s="85"/>
      <c r="T291" s="80"/>
      <c r="U291" s="80"/>
      <c r="V291" s="81" t="s">
        <v>53</v>
      </c>
      <c r="W291" s="81">
        <f>+VLOOKUP(A291,infradensité!$A$2:$B$67,2,FALSE)</f>
        <v>0.38</v>
      </c>
      <c r="X291" s="81">
        <v>1.3</v>
      </c>
      <c r="Y291" s="82">
        <f t="shared" si="40"/>
        <v>0</v>
      </c>
      <c r="Z291" s="82" t="e">
        <f t="shared" si="42"/>
        <v>#NUM!</v>
      </c>
      <c r="AA291" s="82" t="str">
        <f t="shared" si="35"/>
        <v>Sapin pectiné_F2_Normal_GS Sapinières du Massif Central_80_</v>
      </c>
      <c r="AB291" s="79">
        <v>80</v>
      </c>
      <c r="AC291" s="82" t="e">
        <f t="shared" si="41"/>
        <v>#NUM!</v>
      </c>
      <c r="AD291" s="86" t="e">
        <f t="shared" si="36"/>
        <v>#NUM!</v>
      </c>
      <c r="AE291" s="81"/>
    </row>
    <row r="292" spans="1:31" hidden="1" x14ac:dyDescent="0.25">
      <c r="A292" s="79" t="s">
        <v>221</v>
      </c>
      <c r="B292" s="79" t="s">
        <v>10</v>
      </c>
      <c r="C292" s="79" t="s">
        <v>306</v>
      </c>
      <c r="D292" s="89" t="s">
        <v>307</v>
      </c>
      <c r="E292" s="79">
        <v>74</v>
      </c>
      <c r="F292" s="79">
        <v>88</v>
      </c>
      <c r="G292" s="79">
        <v>27.4</v>
      </c>
      <c r="H292" s="83"/>
      <c r="I292" s="83"/>
      <c r="J292" s="83"/>
      <c r="K292" s="83"/>
      <c r="L292" s="83"/>
      <c r="M292" s="84"/>
      <c r="N292" s="84"/>
      <c r="O292" s="84"/>
      <c r="P292" s="85">
        <v>220</v>
      </c>
      <c r="Q292" s="85">
        <v>27</v>
      </c>
      <c r="R292" s="85">
        <v>29</v>
      </c>
      <c r="S292" s="85"/>
      <c r="T292" s="80"/>
      <c r="U292" s="80"/>
      <c r="V292" s="81" t="s">
        <v>53</v>
      </c>
      <c r="W292" s="81">
        <f>+VLOOKUP(A292,infradensité!$A$2:$B$67,2,FALSE)</f>
        <v>0.38</v>
      </c>
      <c r="X292" s="81">
        <v>1.3</v>
      </c>
      <c r="Y292" s="82">
        <f t="shared" si="40"/>
        <v>0</v>
      </c>
      <c r="Z292" s="82" t="e">
        <f t="shared" si="42"/>
        <v>#NUM!</v>
      </c>
      <c r="AA292" s="82" t="str">
        <f t="shared" si="35"/>
        <v>Sapin pectiné_F2_Normal_GS Sapinières du Massif Central_88_</v>
      </c>
      <c r="AB292" s="79">
        <v>88</v>
      </c>
      <c r="AC292" s="82" t="e">
        <f t="shared" si="41"/>
        <v>#NUM!</v>
      </c>
      <c r="AD292" s="86" t="e">
        <f t="shared" si="36"/>
        <v>#NUM!</v>
      </c>
      <c r="AE292" s="81"/>
    </row>
    <row r="293" spans="1:31" hidden="1" x14ac:dyDescent="0.25">
      <c r="A293" s="79" t="s">
        <v>221</v>
      </c>
      <c r="B293" s="79" t="s">
        <v>10</v>
      </c>
      <c r="C293" s="79" t="s">
        <v>306</v>
      </c>
      <c r="D293" s="89" t="s">
        <v>307</v>
      </c>
      <c r="E293" s="79">
        <v>74</v>
      </c>
      <c r="F293" s="79">
        <v>96</v>
      </c>
      <c r="G293" s="79">
        <v>29.2</v>
      </c>
      <c r="H293" s="83"/>
      <c r="I293" s="83"/>
      <c r="J293" s="83"/>
      <c r="K293" s="83"/>
      <c r="L293" s="83"/>
      <c r="M293" s="84"/>
      <c r="N293" s="84"/>
      <c r="O293" s="84"/>
      <c r="P293" s="85">
        <v>130</v>
      </c>
      <c r="Q293" s="85">
        <v>20</v>
      </c>
      <c r="R293" s="85">
        <v>23</v>
      </c>
      <c r="S293" s="85"/>
      <c r="T293" s="80"/>
      <c r="U293" s="80"/>
      <c r="V293" s="81" t="s">
        <v>53</v>
      </c>
      <c r="W293" s="81">
        <f>+VLOOKUP(A293,infradensité!$A$2:$B$67,2,FALSE)</f>
        <v>0.38</v>
      </c>
      <c r="X293" s="81">
        <v>1.3</v>
      </c>
      <c r="Y293" s="82">
        <f t="shared" si="40"/>
        <v>0</v>
      </c>
      <c r="Z293" s="82" t="e">
        <f t="shared" si="42"/>
        <v>#NUM!</v>
      </c>
      <c r="AA293" s="82" t="str">
        <f t="shared" si="35"/>
        <v>Sapin pectiné_F2_Normal_GS Sapinières du Massif Central_96_</v>
      </c>
      <c r="AB293" s="79">
        <v>96</v>
      </c>
      <c r="AC293" s="82" t="e">
        <f t="shared" si="41"/>
        <v>#NUM!</v>
      </c>
      <c r="AD293" s="86" t="e">
        <f t="shared" si="36"/>
        <v>#NUM!</v>
      </c>
      <c r="AE293" s="81"/>
    </row>
    <row r="294" spans="1:31" hidden="1" x14ac:dyDescent="0.25">
      <c r="A294" s="79" t="s">
        <v>221</v>
      </c>
      <c r="B294" s="79" t="s">
        <v>10</v>
      </c>
      <c r="C294" s="79" t="s">
        <v>306</v>
      </c>
      <c r="D294" s="89" t="s">
        <v>307</v>
      </c>
      <c r="E294" s="79">
        <v>74</v>
      </c>
      <c r="F294" s="79">
        <v>101</v>
      </c>
      <c r="G294" s="79">
        <v>30.2</v>
      </c>
      <c r="H294" s="83"/>
      <c r="I294" s="83"/>
      <c r="J294" s="83"/>
      <c r="K294" s="83"/>
      <c r="L294" s="83"/>
      <c r="M294" s="84"/>
      <c r="N294" s="84"/>
      <c r="O294" s="84"/>
      <c r="P294" s="85">
        <v>55</v>
      </c>
      <c r="Q294" s="85">
        <v>10</v>
      </c>
      <c r="R294" s="85">
        <v>12</v>
      </c>
      <c r="S294" s="85"/>
      <c r="T294" s="80"/>
      <c r="U294" s="80"/>
      <c r="V294" s="81" t="s">
        <v>53</v>
      </c>
      <c r="W294" s="81">
        <f>+VLOOKUP(A294,infradensité!$A$2:$B$67,2,FALSE)</f>
        <v>0.38</v>
      </c>
      <c r="X294" s="81">
        <v>1.3</v>
      </c>
      <c r="Y294" s="82">
        <f t="shared" si="40"/>
        <v>0</v>
      </c>
      <c r="Z294" s="82" t="e">
        <f t="shared" si="42"/>
        <v>#NUM!</v>
      </c>
      <c r="AA294" s="82" t="str">
        <f t="shared" si="35"/>
        <v>Sapin pectiné_F2_Normal_GS Sapinières du Massif Central_101_</v>
      </c>
      <c r="AB294" s="79">
        <v>101</v>
      </c>
      <c r="AC294" s="82" t="e">
        <f t="shared" si="41"/>
        <v>#NUM!</v>
      </c>
      <c r="AD294" s="86" t="e">
        <f t="shared" si="36"/>
        <v>#NUM!</v>
      </c>
      <c r="AE294" s="81"/>
    </row>
    <row r="295" spans="1:31" hidden="1" x14ac:dyDescent="0.25">
      <c r="A295" s="79" t="s">
        <v>221</v>
      </c>
      <c r="B295" s="79" t="s">
        <v>10</v>
      </c>
      <c r="C295" s="79" t="s">
        <v>306</v>
      </c>
      <c r="D295" s="89" t="s">
        <v>307</v>
      </c>
      <c r="E295" s="79">
        <v>74</v>
      </c>
      <c r="F295" s="79">
        <v>106</v>
      </c>
      <c r="G295" s="79">
        <v>31.2</v>
      </c>
      <c r="H295" s="83"/>
      <c r="I295" s="83"/>
      <c r="J295" s="83"/>
      <c r="K295" s="83"/>
      <c r="L295" s="83"/>
      <c r="M295" s="84"/>
      <c r="N295" s="84"/>
      <c r="O295" s="84"/>
      <c r="P295" s="85">
        <v>0</v>
      </c>
      <c r="Q295" s="85">
        <v>0</v>
      </c>
      <c r="R295" s="85">
        <v>0</v>
      </c>
      <c r="S295" s="85"/>
      <c r="T295" s="80"/>
      <c r="U295" s="80"/>
      <c r="V295" s="81" t="s">
        <v>53</v>
      </c>
      <c r="W295" s="81">
        <f>+VLOOKUP(A295,infradensité!$A$2:$B$67,2,FALSE)</f>
        <v>0.38</v>
      </c>
      <c r="X295" s="81">
        <v>1.3</v>
      </c>
      <c r="Y295" s="82">
        <f t="shared" si="40"/>
        <v>0</v>
      </c>
      <c r="Z295" s="82" t="e">
        <f t="shared" si="42"/>
        <v>#NUM!</v>
      </c>
      <c r="AA295" s="82" t="str">
        <f t="shared" si="35"/>
        <v>Sapin pectiné_F2_Normal_GS Sapinières du Massif Central_106_</v>
      </c>
      <c r="AB295" s="79">
        <v>106</v>
      </c>
      <c r="AC295" s="82" t="e">
        <f t="shared" si="41"/>
        <v>#NUM!</v>
      </c>
      <c r="AD295" s="86" t="e">
        <f t="shared" si="36"/>
        <v>#NUM!</v>
      </c>
      <c r="AE295" s="81"/>
    </row>
    <row r="296" spans="1:31" hidden="1" x14ac:dyDescent="0.25">
      <c r="A296" s="79" t="s">
        <v>221</v>
      </c>
      <c r="B296" s="79" t="s">
        <v>144</v>
      </c>
      <c r="C296" s="79" t="s">
        <v>306</v>
      </c>
      <c r="D296" s="89" t="s">
        <v>307</v>
      </c>
      <c r="E296" s="79">
        <v>74</v>
      </c>
      <c r="F296" s="79">
        <v>67</v>
      </c>
      <c r="G296" s="79">
        <v>17.100000000000001</v>
      </c>
      <c r="H296" s="83"/>
      <c r="I296" s="83"/>
      <c r="J296" s="83"/>
      <c r="K296" s="83"/>
      <c r="L296" s="83"/>
      <c r="M296" s="84"/>
      <c r="N296" s="84"/>
      <c r="O296" s="84"/>
      <c r="P296" s="85">
        <v>720</v>
      </c>
      <c r="Q296" s="85">
        <v>22.5</v>
      </c>
      <c r="R296" s="85">
        <v>25</v>
      </c>
      <c r="S296" s="85"/>
      <c r="T296" s="80"/>
      <c r="U296" s="80"/>
      <c r="V296" s="81" t="s">
        <v>53</v>
      </c>
      <c r="W296" s="81">
        <f>+VLOOKUP(A296,infradensité!$A$2:$B$67,2,FALSE)</f>
        <v>0.38</v>
      </c>
      <c r="X296" s="81">
        <v>1.3</v>
      </c>
      <c r="Y296" s="82">
        <f t="shared" si="40"/>
        <v>0</v>
      </c>
      <c r="Z296" s="82" t="e">
        <f t="shared" si="42"/>
        <v>#NUM!</v>
      </c>
      <c r="AA296" s="82" t="str">
        <f t="shared" si="35"/>
        <v>Sapin pectiné_F3_Normal_GS Sapinières du Massif Central_67_</v>
      </c>
      <c r="AB296" s="79">
        <v>67</v>
      </c>
      <c r="AC296" s="82" t="e">
        <f t="shared" si="41"/>
        <v>#NUM!</v>
      </c>
      <c r="AD296" s="86" t="e">
        <f t="shared" si="36"/>
        <v>#NUM!</v>
      </c>
      <c r="AE296" s="81"/>
    </row>
    <row r="297" spans="1:31" hidden="1" x14ac:dyDescent="0.25">
      <c r="A297" s="79" t="s">
        <v>221</v>
      </c>
      <c r="B297" s="79" t="s">
        <v>144</v>
      </c>
      <c r="C297" s="79" t="s">
        <v>306</v>
      </c>
      <c r="D297" s="89" t="s">
        <v>307</v>
      </c>
      <c r="E297" s="79">
        <v>74</v>
      </c>
      <c r="F297" s="79">
        <v>77</v>
      </c>
      <c r="G297" s="79">
        <v>19.8</v>
      </c>
      <c r="H297" s="83"/>
      <c r="I297" s="83"/>
      <c r="J297" s="83"/>
      <c r="K297" s="83"/>
      <c r="L297" s="83"/>
      <c r="M297" s="84"/>
      <c r="N297" s="84"/>
      <c r="O297" s="84"/>
      <c r="P297" s="85">
        <v>530</v>
      </c>
      <c r="Q297" s="85">
        <v>25</v>
      </c>
      <c r="R297" s="85">
        <v>27</v>
      </c>
      <c r="S297" s="85"/>
      <c r="T297" s="80"/>
      <c r="U297" s="80"/>
      <c r="V297" s="81" t="s">
        <v>53</v>
      </c>
      <c r="W297" s="81">
        <f>+VLOOKUP(A297,infradensité!$A$2:$B$67,2,FALSE)</f>
        <v>0.38</v>
      </c>
      <c r="X297" s="81">
        <v>1.3</v>
      </c>
      <c r="Y297" s="82">
        <f t="shared" si="40"/>
        <v>0</v>
      </c>
      <c r="Z297" s="82" t="e">
        <f t="shared" si="42"/>
        <v>#NUM!</v>
      </c>
      <c r="AA297" s="82" t="str">
        <f t="shared" si="35"/>
        <v>Sapin pectiné_F3_Normal_GS Sapinières du Massif Central_77_</v>
      </c>
      <c r="AB297" s="79">
        <v>77</v>
      </c>
      <c r="AC297" s="82" t="e">
        <f t="shared" si="41"/>
        <v>#NUM!</v>
      </c>
      <c r="AD297" s="86" t="e">
        <f t="shared" si="36"/>
        <v>#NUM!</v>
      </c>
      <c r="AE297" s="81"/>
    </row>
    <row r="298" spans="1:31" hidden="1" x14ac:dyDescent="0.25">
      <c r="A298" s="79" t="s">
        <v>221</v>
      </c>
      <c r="B298" s="79" t="s">
        <v>144</v>
      </c>
      <c r="C298" s="79" t="s">
        <v>306</v>
      </c>
      <c r="D298" s="89" t="s">
        <v>307</v>
      </c>
      <c r="E298" s="79">
        <v>74</v>
      </c>
      <c r="F298" s="79">
        <v>87</v>
      </c>
      <c r="G298" s="79">
        <v>22.2</v>
      </c>
      <c r="H298" s="83"/>
      <c r="I298" s="83"/>
      <c r="J298" s="83"/>
      <c r="K298" s="83"/>
      <c r="L298" s="83"/>
      <c r="M298" s="84"/>
      <c r="N298" s="84"/>
      <c r="O298" s="84"/>
      <c r="P298" s="85">
        <v>400</v>
      </c>
      <c r="Q298" s="85">
        <v>26</v>
      </c>
      <c r="R298" s="85">
        <v>28</v>
      </c>
      <c r="S298" s="85"/>
      <c r="T298" s="80"/>
      <c r="U298" s="80"/>
      <c r="V298" s="81" t="s">
        <v>53</v>
      </c>
      <c r="W298" s="81">
        <f>+VLOOKUP(A298,infradensité!$A$2:$B$67,2,FALSE)</f>
        <v>0.38</v>
      </c>
      <c r="X298" s="81">
        <v>1.3</v>
      </c>
      <c r="Y298" s="82">
        <f t="shared" si="40"/>
        <v>0</v>
      </c>
      <c r="Z298" s="82" t="e">
        <f t="shared" si="42"/>
        <v>#NUM!</v>
      </c>
      <c r="AA298" s="82" t="str">
        <f t="shared" si="35"/>
        <v>Sapin pectiné_F3_Normal_GS Sapinières du Massif Central_87_</v>
      </c>
      <c r="AB298" s="79">
        <v>87</v>
      </c>
      <c r="AC298" s="82" t="e">
        <f t="shared" si="41"/>
        <v>#NUM!</v>
      </c>
      <c r="AD298" s="86" t="e">
        <f t="shared" si="36"/>
        <v>#NUM!</v>
      </c>
      <c r="AE298" s="81"/>
    </row>
    <row r="299" spans="1:31" hidden="1" x14ac:dyDescent="0.25">
      <c r="A299" s="79" t="s">
        <v>221</v>
      </c>
      <c r="B299" s="79" t="s">
        <v>144</v>
      </c>
      <c r="C299" s="79" t="s">
        <v>306</v>
      </c>
      <c r="D299" s="89" t="s">
        <v>307</v>
      </c>
      <c r="E299" s="79">
        <v>74</v>
      </c>
      <c r="F299" s="79">
        <v>97</v>
      </c>
      <c r="G299" s="79">
        <v>24.4</v>
      </c>
      <c r="H299" s="83"/>
      <c r="I299" s="83"/>
      <c r="J299" s="83"/>
      <c r="K299" s="83"/>
      <c r="L299" s="83"/>
      <c r="M299" s="84"/>
      <c r="N299" s="84"/>
      <c r="O299" s="84"/>
      <c r="P299" s="85">
        <v>314</v>
      </c>
      <c r="Q299" s="85">
        <v>26</v>
      </c>
      <c r="R299" s="85">
        <v>28</v>
      </c>
      <c r="S299" s="85"/>
      <c r="T299" s="80"/>
      <c r="U299" s="80"/>
      <c r="V299" s="81" t="s">
        <v>53</v>
      </c>
      <c r="W299" s="81">
        <f>+VLOOKUP(A299,infradensité!$A$2:$B$67,2,FALSE)</f>
        <v>0.38</v>
      </c>
      <c r="X299" s="81">
        <v>1.3</v>
      </c>
      <c r="Y299" s="82">
        <f t="shared" si="40"/>
        <v>0</v>
      </c>
      <c r="Z299" s="82" t="e">
        <f t="shared" si="42"/>
        <v>#NUM!</v>
      </c>
      <c r="AA299" s="82" t="str">
        <f t="shared" si="35"/>
        <v>Sapin pectiné_F3_Normal_GS Sapinières du Massif Central_97_</v>
      </c>
      <c r="AB299" s="79">
        <v>97</v>
      </c>
      <c r="AC299" s="82" t="e">
        <f t="shared" si="41"/>
        <v>#NUM!</v>
      </c>
      <c r="AD299" s="86" t="e">
        <f t="shared" si="36"/>
        <v>#NUM!</v>
      </c>
      <c r="AE299" s="81"/>
    </row>
    <row r="300" spans="1:31" hidden="1" x14ac:dyDescent="0.25">
      <c r="A300" s="79" t="s">
        <v>221</v>
      </c>
      <c r="B300" s="79" t="s">
        <v>144</v>
      </c>
      <c r="C300" s="79" t="s">
        <v>306</v>
      </c>
      <c r="D300" s="89" t="s">
        <v>307</v>
      </c>
      <c r="E300" s="79">
        <v>74</v>
      </c>
      <c r="F300" s="79">
        <v>107</v>
      </c>
      <c r="G300" s="79">
        <v>26.4</v>
      </c>
      <c r="H300" s="83"/>
      <c r="I300" s="83"/>
      <c r="J300" s="83"/>
      <c r="K300" s="83"/>
      <c r="L300" s="83"/>
      <c r="M300" s="84"/>
      <c r="N300" s="84"/>
      <c r="O300" s="84"/>
      <c r="P300" s="85">
        <v>250</v>
      </c>
      <c r="Q300" s="85">
        <v>26</v>
      </c>
      <c r="R300" s="85">
        <v>28</v>
      </c>
      <c r="S300" s="85"/>
      <c r="T300" s="80"/>
      <c r="U300" s="80"/>
      <c r="V300" s="81" t="s">
        <v>53</v>
      </c>
      <c r="W300" s="81">
        <f>+VLOOKUP(A300,infradensité!$A$2:$B$67,2,FALSE)</f>
        <v>0.38</v>
      </c>
      <c r="X300" s="81">
        <v>1.3</v>
      </c>
      <c r="Y300" s="82">
        <f t="shared" si="40"/>
        <v>0</v>
      </c>
      <c r="Z300" s="82" t="e">
        <f t="shared" si="42"/>
        <v>#NUM!</v>
      </c>
      <c r="AA300" s="82" t="str">
        <f t="shared" si="35"/>
        <v>Sapin pectiné_F3_Normal_GS Sapinières du Massif Central_107_</v>
      </c>
      <c r="AB300" s="79">
        <v>107</v>
      </c>
      <c r="AC300" s="82" t="e">
        <f t="shared" si="41"/>
        <v>#NUM!</v>
      </c>
      <c r="AD300" s="86" t="e">
        <f t="shared" si="36"/>
        <v>#NUM!</v>
      </c>
      <c r="AE300" s="81"/>
    </row>
    <row r="301" spans="1:31" hidden="1" x14ac:dyDescent="0.25">
      <c r="A301" s="79" t="s">
        <v>221</v>
      </c>
      <c r="B301" s="79" t="s">
        <v>144</v>
      </c>
      <c r="C301" s="79" t="s">
        <v>306</v>
      </c>
      <c r="D301" s="89" t="s">
        <v>307</v>
      </c>
      <c r="E301" s="79">
        <v>74</v>
      </c>
      <c r="F301" s="79">
        <v>117</v>
      </c>
      <c r="G301" s="79">
        <v>28.1</v>
      </c>
      <c r="H301" s="83"/>
      <c r="I301" s="83"/>
      <c r="J301" s="83"/>
      <c r="K301" s="83"/>
      <c r="L301" s="83"/>
      <c r="M301" s="84"/>
      <c r="N301" s="84"/>
      <c r="O301" s="84"/>
      <c r="P301" s="85">
        <v>150</v>
      </c>
      <c r="Q301" s="85">
        <v>18</v>
      </c>
      <c r="R301" s="85">
        <v>20</v>
      </c>
      <c r="S301" s="85"/>
      <c r="T301" s="80"/>
      <c r="U301" s="80"/>
      <c r="V301" s="81" t="s">
        <v>53</v>
      </c>
      <c r="W301" s="81">
        <f>+VLOOKUP(A301,infradensité!$A$2:$B$67,2,FALSE)</f>
        <v>0.38</v>
      </c>
      <c r="X301" s="81">
        <v>1.3</v>
      </c>
      <c r="Y301" s="82">
        <f t="shared" si="40"/>
        <v>0</v>
      </c>
      <c r="Z301" s="82" t="e">
        <f t="shared" si="42"/>
        <v>#NUM!</v>
      </c>
      <c r="AA301" s="82" t="str">
        <f t="shared" si="35"/>
        <v>Sapin pectiné_F3_Normal_GS Sapinières du Massif Central_117_</v>
      </c>
      <c r="AB301" s="79">
        <v>117</v>
      </c>
      <c r="AC301" s="82" t="e">
        <f t="shared" si="41"/>
        <v>#NUM!</v>
      </c>
      <c r="AD301" s="86" t="e">
        <f t="shared" si="36"/>
        <v>#NUM!</v>
      </c>
      <c r="AE301" s="81"/>
    </row>
    <row r="302" spans="1:31" hidden="1" x14ac:dyDescent="0.25">
      <c r="A302" s="79" t="s">
        <v>221</v>
      </c>
      <c r="B302" s="79" t="s">
        <v>144</v>
      </c>
      <c r="C302" s="79" t="s">
        <v>306</v>
      </c>
      <c r="D302" s="89" t="s">
        <v>307</v>
      </c>
      <c r="E302" s="79">
        <v>74</v>
      </c>
      <c r="F302" s="79">
        <v>122</v>
      </c>
      <c r="G302" s="79">
        <v>29</v>
      </c>
      <c r="H302" s="83"/>
      <c r="I302" s="83"/>
      <c r="J302" s="83"/>
      <c r="K302" s="83"/>
      <c r="L302" s="83"/>
      <c r="M302" s="84"/>
      <c r="N302" s="84"/>
      <c r="O302" s="84"/>
      <c r="P302" s="85">
        <v>80</v>
      </c>
      <c r="Q302" s="85">
        <v>9</v>
      </c>
      <c r="R302" s="85">
        <v>11</v>
      </c>
      <c r="S302" s="85"/>
      <c r="T302" s="80"/>
      <c r="U302" s="80"/>
      <c r="V302" s="81" t="s">
        <v>53</v>
      </c>
      <c r="W302" s="81">
        <f>+VLOOKUP(A302,infradensité!$A$2:$B$67,2,FALSE)</f>
        <v>0.38</v>
      </c>
      <c r="X302" s="81">
        <v>1.3</v>
      </c>
      <c r="Y302" s="82">
        <f t="shared" si="40"/>
        <v>0</v>
      </c>
      <c r="Z302" s="82" t="e">
        <f t="shared" si="42"/>
        <v>#NUM!</v>
      </c>
      <c r="AA302" s="82" t="str">
        <f t="shared" si="35"/>
        <v>Sapin pectiné_F3_Normal_GS Sapinières du Massif Central_122_</v>
      </c>
      <c r="AB302" s="79">
        <v>122</v>
      </c>
      <c r="AC302" s="82" t="e">
        <f t="shared" si="41"/>
        <v>#NUM!</v>
      </c>
      <c r="AD302" s="86" t="e">
        <f t="shared" si="36"/>
        <v>#NUM!</v>
      </c>
      <c r="AE302" s="81"/>
    </row>
    <row r="303" spans="1:31" hidden="1" x14ac:dyDescent="0.25">
      <c r="A303" s="79" t="s">
        <v>221</v>
      </c>
      <c r="B303" s="79" t="s">
        <v>144</v>
      </c>
      <c r="C303" s="79" t="s">
        <v>306</v>
      </c>
      <c r="D303" s="89" t="s">
        <v>307</v>
      </c>
      <c r="E303" s="79">
        <v>74</v>
      </c>
      <c r="F303" s="79">
        <v>127</v>
      </c>
      <c r="G303" s="79">
        <v>29.7</v>
      </c>
      <c r="H303" s="83"/>
      <c r="I303" s="83"/>
      <c r="J303" s="83"/>
      <c r="K303" s="83"/>
      <c r="L303" s="83"/>
      <c r="M303" s="84"/>
      <c r="N303" s="84"/>
      <c r="O303" s="84"/>
      <c r="P303" s="85">
        <v>0</v>
      </c>
      <c r="Q303" s="85">
        <v>0</v>
      </c>
      <c r="R303" s="85">
        <v>0</v>
      </c>
      <c r="S303" s="85"/>
      <c r="T303" s="80"/>
      <c r="U303" s="80"/>
      <c r="V303" s="81" t="s">
        <v>53</v>
      </c>
      <c r="W303" s="81">
        <f>+VLOOKUP(A303,infradensité!$A$2:$B$67,2,FALSE)</f>
        <v>0.38</v>
      </c>
      <c r="X303" s="81">
        <v>1.3</v>
      </c>
      <c r="Y303" s="82">
        <f t="shared" si="40"/>
        <v>0</v>
      </c>
      <c r="Z303" s="82" t="e">
        <f t="shared" si="42"/>
        <v>#NUM!</v>
      </c>
      <c r="AA303" s="82" t="str">
        <f t="shared" si="35"/>
        <v>Sapin pectiné_F3_Normal_GS Sapinières du Massif Central_127_</v>
      </c>
      <c r="AB303" s="79">
        <v>127</v>
      </c>
      <c r="AC303" s="82" t="e">
        <f t="shared" si="41"/>
        <v>#NUM!</v>
      </c>
      <c r="AD303" s="86" t="e">
        <f t="shared" si="36"/>
        <v>#NUM!</v>
      </c>
      <c r="AE303" s="81"/>
    </row>
    <row r="304" spans="1:31" hidden="1" x14ac:dyDescent="0.25">
      <c r="A304" s="79" t="s">
        <v>308</v>
      </c>
      <c r="B304" s="79" t="s">
        <v>9</v>
      </c>
      <c r="C304" s="79" t="s">
        <v>309</v>
      </c>
      <c r="D304" s="89" t="s">
        <v>227</v>
      </c>
      <c r="E304" s="79">
        <v>185</v>
      </c>
      <c r="F304" s="79">
        <v>12</v>
      </c>
      <c r="G304" s="79">
        <v>3</v>
      </c>
      <c r="H304" s="83"/>
      <c r="I304" s="83"/>
      <c r="J304" s="83"/>
      <c r="K304" s="83"/>
      <c r="L304" s="83"/>
      <c r="M304" s="84"/>
      <c r="N304" s="84"/>
      <c r="O304" s="84"/>
      <c r="P304" s="85">
        <v>1100</v>
      </c>
      <c r="Q304" s="85"/>
      <c r="R304" s="85"/>
      <c r="S304" s="85"/>
      <c r="T304" s="80"/>
      <c r="U304" s="80"/>
      <c r="V304" s="81" t="s">
        <v>53</v>
      </c>
      <c r="W304" s="81">
        <f>+VLOOKUP(A304,infradensité!$A$2:$B$67,2,FALSE)</f>
        <v>0.36</v>
      </c>
      <c r="X304" s="81">
        <v>1.3</v>
      </c>
      <c r="Y304" s="82">
        <f t="shared" si="40"/>
        <v>0</v>
      </c>
      <c r="Z304" s="82" t="e">
        <f t="shared" si="42"/>
        <v>#NUM!</v>
      </c>
      <c r="AA304" s="82" t="str">
        <f t="shared" si="35"/>
        <v>Cèdre de l'Atlas_F1_CA1_d5_GSM Alpes du Sud_12_</v>
      </c>
      <c r="AB304" s="79">
        <v>12</v>
      </c>
      <c r="AC304" s="82" t="e">
        <f t="shared" si="41"/>
        <v>#NUM!</v>
      </c>
      <c r="AD304" s="86" t="e">
        <f t="shared" si="36"/>
        <v>#NUM!</v>
      </c>
      <c r="AE304" s="81"/>
    </row>
    <row r="305" spans="1:31" hidden="1" x14ac:dyDescent="0.25">
      <c r="A305" s="79" t="s">
        <v>308</v>
      </c>
      <c r="B305" s="79" t="s">
        <v>9</v>
      </c>
      <c r="C305" s="79" t="s">
        <v>309</v>
      </c>
      <c r="D305" s="89" t="s">
        <v>227</v>
      </c>
      <c r="E305" s="79">
        <v>185</v>
      </c>
      <c r="F305" s="79">
        <v>40</v>
      </c>
      <c r="G305" s="79">
        <v>16.3</v>
      </c>
      <c r="H305" s="83">
        <v>1100</v>
      </c>
      <c r="I305" s="83"/>
      <c r="J305" s="83"/>
      <c r="K305" s="83"/>
      <c r="L305" s="83"/>
      <c r="M305" s="84"/>
      <c r="N305" s="84"/>
      <c r="O305" s="84"/>
      <c r="P305" s="85">
        <v>600</v>
      </c>
      <c r="Q305" s="85"/>
      <c r="R305" s="85"/>
      <c r="S305" s="85"/>
      <c r="T305" s="80"/>
      <c r="U305" s="80"/>
      <c r="V305" s="81" t="s">
        <v>53</v>
      </c>
      <c r="W305" s="81">
        <f>+VLOOKUP(A305,infradensité!$A$2:$B$67,2,FALSE)</f>
        <v>0.36</v>
      </c>
      <c r="X305" s="81">
        <v>1.3</v>
      </c>
      <c r="Y305" s="82">
        <f t="shared" si="40"/>
        <v>0</v>
      </c>
      <c r="Z305" s="82" t="e">
        <f t="shared" si="42"/>
        <v>#NUM!</v>
      </c>
      <c r="AA305" s="82" t="str">
        <f t="shared" si="35"/>
        <v>Cèdre de l'Atlas_F1_CA1_d5_GSM Alpes du Sud_40_</v>
      </c>
      <c r="AB305" s="79">
        <v>40</v>
      </c>
      <c r="AC305" s="82" t="e">
        <f t="shared" si="41"/>
        <v>#NUM!</v>
      </c>
      <c r="AD305" s="86" t="e">
        <f t="shared" si="36"/>
        <v>#NUM!</v>
      </c>
      <c r="AE305" s="81"/>
    </row>
    <row r="306" spans="1:31" hidden="1" x14ac:dyDescent="0.25">
      <c r="A306" s="79" t="s">
        <v>308</v>
      </c>
      <c r="B306" s="79" t="s">
        <v>9</v>
      </c>
      <c r="C306" s="79" t="s">
        <v>309</v>
      </c>
      <c r="D306" s="89" t="s">
        <v>227</v>
      </c>
      <c r="E306" s="79">
        <v>185</v>
      </c>
      <c r="F306" s="79">
        <v>50</v>
      </c>
      <c r="G306" s="79">
        <v>20.9</v>
      </c>
      <c r="H306" s="83">
        <v>600</v>
      </c>
      <c r="I306" s="83"/>
      <c r="J306" s="83"/>
      <c r="K306" s="83"/>
      <c r="L306" s="83"/>
      <c r="M306" s="84"/>
      <c r="N306" s="84"/>
      <c r="O306" s="84"/>
      <c r="P306" s="85">
        <v>430</v>
      </c>
      <c r="Q306" s="85"/>
      <c r="R306" s="85"/>
      <c r="S306" s="85"/>
      <c r="T306" s="80"/>
      <c r="U306" s="80"/>
      <c r="V306" s="81" t="s">
        <v>53</v>
      </c>
      <c r="W306" s="81">
        <f>+VLOOKUP(A306,infradensité!$A$2:$B$67,2,FALSE)</f>
        <v>0.36</v>
      </c>
      <c r="X306" s="81">
        <v>1.3</v>
      </c>
      <c r="Y306" s="82">
        <f t="shared" si="40"/>
        <v>0</v>
      </c>
      <c r="Z306" s="82" t="e">
        <f t="shared" si="42"/>
        <v>#NUM!</v>
      </c>
      <c r="AA306" s="82" t="str">
        <f t="shared" si="35"/>
        <v>Cèdre de l'Atlas_F1_CA1_d5_GSM Alpes du Sud_50_</v>
      </c>
      <c r="AB306" s="79">
        <v>50</v>
      </c>
      <c r="AC306" s="82" t="e">
        <f t="shared" si="41"/>
        <v>#NUM!</v>
      </c>
      <c r="AD306" s="86" t="e">
        <f t="shared" si="36"/>
        <v>#NUM!</v>
      </c>
      <c r="AE306" s="81"/>
    </row>
    <row r="307" spans="1:31" hidden="1" x14ac:dyDescent="0.25">
      <c r="A307" s="79" t="s">
        <v>308</v>
      </c>
      <c r="B307" s="79" t="s">
        <v>9</v>
      </c>
      <c r="C307" s="79" t="s">
        <v>309</v>
      </c>
      <c r="D307" s="89" t="s">
        <v>227</v>
      </c>
      <c r="E307" s="79">
        <v>185</v>
      </c>
      <c r="F307" s="79">
        <v>60</v>
      </c>
      <c r="G307" s="79">
        <v>25</v>
      </c>
      <c r="H307" s="83">
        <v>430</v>
      </c>
      <c r="I307" s="83"/>
      <c r="J307" s="83"/>
      <c r="K307" s="83"/>
      <c r="L307" s="83"/>
      <c r="M307" s="84"/>
      <c r="N307" s="84"/>
      <c r="O307" s="84"/>
      <c r="P307" s="85">
        <v>320</v>
      </c>
      <c r="Q307" s="85"/>
      <c r="R307" s="85"/>
      <c r="S307" s="85"/>
      <c r="T307" s="80"/>
      <c r="U307" s="80"/>
      <c r="V307" s="81" t="s">
        <v>53</v>
      </c>
      <c r="W307" s="81">
        <f>+VLOOKUP(A307,infradensité!$A$2:$B$67,2,FALSE)</f>
        <v>0.36</v>
      </c>
      <c r="X307" s="81">
        <v>1.3</v>
      </c>
      <c r="Y307" s="82">
        <f t="shared" si="40"/>
        <v>0</v>
      </c>
      <c r="Z307" s="82" t="e">
        <f t="shared" si="42"/>
        <v>#NUM!</v>
      </c>
      <c r="AA307" s="82" t="str">
        <f t="shared" si="35"/>
        <v>Cèdre de l'Atlas_F1_CA1_d5_GSM Alpes du Sud_60_</v>
      </c>
      <c r="AB307" s="79">
        <v>60</v>
      </c>
      <c r="AC307" s="82" t="e">
        <f t="shared" si="41"/>
        <v>#NUM!</v>
      </c>
      <c r="AD307" s="86" t="e">
        <f t="shared" si="36"/>
        <v>#NUM!</v>
      </c>
      <c r="AE307" s="81"/>
    </row>
    <row r="308" spans="1:31" hidden="1" x14ac:dyDescent="0.25">
      <c r="A308" s="79" t="s">
        <v>308</v>
      </c>
      <c r="B308" s="79" t="s">
        <v>9</v>
      </c>
      <c r="C308" s="79" t="s">
        <v>309</v>
      </c>
      <c r="D308" s="89" t="s">
        <v>227</v>
      </c>
      <c r="E308" s="79">
        <v>185</v>
      </c>
      <c r="F308" s="79">
        <v>70</v>
      </c>
      <c r="G308" s="79">
        <v>28.4</v>
      </c>
      <c r="H308" s="83">
        <v>320</v>
      </c>
      <c r="I308" s="83"/>
      <c r="J308" s="83"/>
      <c r="K308" s="83"/>
      <c r="L308" s="83"/>
      <c r="M308" s="84"/>
      <c r="N308" s="84"/>
      <c r="O308" s="84"/>
      <c r="P308" s="85">
        <v>245</v>
      </c>
      <c r="Q308" s="85"/>
      <c r="R308" s="85"/>
      <c r="S308" s="85"/>
      <c r="T308" s="80"/>
      <c r="U308" s="80"/>
      <c r="V308" s="81" t="s">
        <v>53</v>
      </c>
      <c r="W308" s="81">
        <f>+VLOOKUP(A308,infradensité!$A$2:$B$67,2,FALSE)</f>
        <v>0.36</v>
      </c>
      <c r="X308" s="81">
        <v>1.3</v>
      </c>
      <c r="Y308" s="82">
        <f t="shared" si="40"/>
        <v>0</v>
      </c>
      <c r="Z308" s="82" t="e">
        <f t="shared" si="42"/>
        <v>#NUM!</v>
      </c>
      <c r="AA308" s="82" t="str">
        <f t="shared" si="35"/>
        <v>Cèdre de l'Atlas_F1_CA1_d5_GSM Alpes du Sud_70_</v>
      </c>
      <c r="AB308" s="79">
        <v>70</v>
      </c>
      <c r="AC308" s="82" t="e">
        <f t="shared" si="41"/>
        <v>#NUM!</v>
      </c>
      <c r="AD308" s="86" t="e">
        <f t="shared" si="36"/>
        <v>#NUM!</v>
      </c>
      <c r="AE308" s="81"/>
    </row>
    <row r="309" spans="1:31" hidden="1" x14ac:dyDescent="0.25">
      <c r="A309" s="79" t="s">
        <v>308</v>
      </c>
      <c r="B309" s="79" t="s">
        <v>9</v>
      </c>
      <c r="C309" s="79" t="s">
        <v>309</v>
      </c>
      <c r="D309" s="89" t="s">
        <v>227</v>
      </c>
      <c r="E309" s="79">
        <v>185</v>
      </c>
      <c r="F309" s="79">
        <v>80</v>
      </c>
      <c r="G309" s="79">
        <v>31.2</v>
      </c>
      <c r="H309" s="83">
        <v>245</v>
      </c>
      <c r="I309" s="83"/>
      <c r="J309" s="83"/>
      <c r="K309" s="83"/>
      <c r="L309" s="83"/>
      <c r="M309" s="84"/>
      <c r="N309" s="84"/>
      <c r="O309" s="84"/>
      <c r="P309" s="85">
        <v>200</v>
      </c>
      <c r="Q309" s="85"/>
      <c r="R309" s="85"/>
      <c r="S309" s="85"/>
      <c r="T309" s="80"/>
      <c r="U309" s="80"/>
      <c r="V309" s="81" t="s">
        <v>53</v>
      </c>
      <c r="W309" s="81">
        <f>+VLOOKUP(A309,infradensité!$A$2:$B$67,2,FALSE)</f>
        <v>0.36</v>
      </c>
      <c r="X309" s="81">
        <v>1.3</v>
      </c>
      <c r="Y309" s="82">
        <f t="shared" si="40"/>
        <v>0</v>
      </c>
      <c r="Z309" s="82" t="e">
        <f t="shared" si="42"/>
        <v>#NUM!</v>
      </c>
      <c r="AA309" s="82" t="str">
        <f t="shared" si="35"/>
        <v>Cèdre de l'Atlas_F1_CA1_d5_GSM Alpes du Sud_80_</v>
      </c>
      <c r="AB309" s="79">
        <v>80</v>
      </c>
      <c r="AC309" s="82" t="e">
        <f t="shared" si="41"/>
        <v>#NUM!</v>
      </c>
      <c r="AD309" s="86" t="e">
        <f t="shared" si="36"/>
        <v>#NUM!</v>
      </c>
      <c r="AE309" s="81"/>
    </row>
    <row r="310" spans="1:31" hidden="1" x14ac:dyDescent="0.25">
      <c r="A310" s="79" t="s">
        <v>308</v>
      </c>
      <c r="B310" s="79" t="s">
        <v>9</v>
      </c>
      <c r="C310" s="79" t="s">
        <v>309</v>
      </c>
      <c r="D310" s="89" t="s">
        <v>227</v>
      </c>
      <c r="E310" s="79">
        <v>185</v>
      </c>
      <c r="F310" s="79">
        <v>95</v>
      </c>
      <c r="G310" s="79">
        <v>34.200000000000003</v>
      </c>
      <c r="H310" s="83">
        <v>200</v>
      </c>
      <c r="I310" s="83"/>
      <c r="J310" s="83"/>
      <c r="K310" s="83"/>
      <c r="L310" s="83"/>
      <c r="M310" s="84"/>
      <c r="N310" s="84"/>
      <c r="O310" s="84"/>
      <c r="P310" s="85">
        <v>110</v>
      </c>
      <c r="Q310" s="85"/>
      <c r="R310" s="85"/>
      <c r="S310" s="85"/>
      <c r="T310" s="80"/>
      <c r="U310" s="80"/>
      <c r="V310" s="81" t="s">
        <v>53</v>
      </c>
      <c r="W310" s="81">
        <f>+VLOOKUP(A310,infradensité!$A$2:$B$67,2,FALSE)</f>
        <v>0.36</v>
      </c>
      <c r="X310" s="81">
        <v>1.3</v>
      </c>
      <c r="Y310" s="82">
        <f t="shared" si="40"/>
        <v>0</v>
      </c>
      <c r="Z310" s="82" t="e">
        <f t="shared" si="42"/>
        <v>#NUM!</v>
      </c>
      <c r="AA310" s="82" t="str">
        <f t="shared" si="35"/>
        <v>Cèdre de l'Atlas_F1_CA1_d5_GSM Alpes du Sud_95_</v>
      </c>
      <c r="AB310" s="79">
        <v>95</v>
      </c>
      <c r="AC310" s="82" t="e">
        <f t="shared" si="41"/>
        <v>#NUM!</v>
      </c>
      <c r="AD310" s="86" t="e">
        <f t="shared" si="36"/>
        <v>#NUM!</v>
      </c>
      <c r="AE310" s="81"/>
    </row>
    <row r="311" spans="1:31" hidden="1" x14ac:dyDescent="0.25">
      <c r="A311" s="79" t="s">
        <v>308</v>
      </c>
      <c r="B311" s="79" t="s">
        <v>9</v>
      </c>
      <c r="C311" s="79" t="s">
        <v>309</v>
      </c>
      <c r="D311" s="89" t="s">
        <v>227</v>
      </c>
      <c r="E311" s="79">
        <v>185</v>
      </c>
      <c r="F311" s="79">
        <v>105</v>
      </c>
      <c r="G311" s="79">
        <v>35.6</v>
      </c>
      <c r="H311" s="83">
        <v>110</v>
      </c>
      <c r="I311" s="83"/>
      <c r="J311" s="83"/>
      <c r="K311" s="83"/>
      <c r="L311" s="83"/>
      <c r="M311" s="84"/>
      <c r="N311" s="84"/>
      <c r="O311" s="84"/>
      <c r="P311" s="85">
        <v>0</v>
      </c>
      <c r="Q311" s="85"/>
      <c r="R311" s="85"/>
      <c r="S311" s="85"/>
      <c r="T311" s="80"/>
      <c r="U311" s="80"/>
      <c r="V311" s="81" t="s">
        <v>53</v>
      </c>
      <c r="W311" s="81">
        <f>+VLOOKUP(A311,infradensité!$A$2:$B$67,2,FALSE)</f>
        <v>0.36</v>
      </c>
      <c r="X311" s="81">
        <v>1.3</v>
      </c>
      <c r="Y311" s="82">
        <f t="shared" si="40"/>
        <v>0</v>
      </c>
      <c r="Z311" s="82" t="e">
        <f t="shared" si="42"/>
        <v>#NUM!</v>
      </c>
      <c r="AA311" s="82" t="str">
        <f t="shared" si="35"/>
        <v>Cèdre de l'Atlas_F1_CA1_d5_GSM Alpes du Sud_105_</v>
      </c>
      <c r="AB311" s="79">
        <v>105</v>
      </c>
      <c r="AC311" s="82" t="e">
        <f t="shared" si="41"/>
        <v>#NUM!</v>
      </c>
      <c r="AD311" s="86" t="e">
        <f t="shared" si="36"/>
        <v>#NUM!</v>
      </c>
      <c r="AE311" s="81"/>
    </row>
    <row r="312" spans="1:31" hidden="1" x14ac:dyDescent="0.25">
      <c r="A312" s="79" t="s">
        <v>308</v>
      </c>
      <c r="B312" s="79" t="s">
        <v>10</v>
      </c>
      <c r="C312" s="79" t="s">
        <v>310</v>
      </c>
      <c r="D312" s="89" t="s">
        <v>227</v>
      </c>
      <c r="E312" s="79">
        <v>186</v>
      </c>
      <c r="F312" s="79">
        <v>15</v>
      </c>
      <c r="G312" s="79">
        <v>3</v>
      </c>
      <c r="H312" s="83"/>
      <c r="I312" s="83"/>
      <c r="J312" s="83"/>
      <c r="K312" s="83"/>
      <c r="L312" s="83"/>
      <c r="M312" s="84"/>
      <c r="N312" s="84"/>
      <c r="O312" s="84"/>
      <c r="P312" s="85">
        <v>1100</v>
      </c>
      <c r="Q312" s="85"/>
      <c r="R312" s="85"/>
      <c r="S312" s="85"/>
      <c r="T312" s="80"/>
      <c r="U312" s="80"/>
      <c r="V312" s="81" t="s">
        <v>53</v>
      </c>
      <c r="W312" s="81">
        <f>+VLOOKUP(A312,infradensité!$A$2:$B$67,2,FALSE)</f>
        <v>0.36</v>
      </c>
      <c r="X312" s="81">
        <v>1.3</v>
      </c>
      <c r="Y312" s="82">
        <f t="shared" si="40"/>
        <v>0</v>
      </c>
      <c r="Z312" s="82" t="e">
        <f t="shared" si="42"/>
        <v>#NUM!</v>
      </c>
      <c r="AA312" s="82" t="str">
        <f t="shared" si="35"/>
        <v>Cèdre de l'Atlas_F2_CA2_d5_GSM Alpes du Sud_15_</v>
      </c>
      <c r="AB312" s="79">
        <v>15</v>
      </c>
      <c r="AC312" s="82" t="e">
        <f t="shared" si="41"/>
        <v>#NUM!</v>
      </c>
      <c r="AD312" s="86" t="e">
        <f t="shared" si="36"/>
        <v>#NUM!</v>
      </c>
      <c r="AE312" s="81"/>
    </row>
    <row r="313" spans="1:31" hidden="1" x14ac:dyDescent="0.25">
      <c r="A313" s="79" t="s">
        <v>308</v>
      </c>
      <c r="B313" s="79" t="s">
        <v>10</v>
      </c>
      <c r="C313" s="79" t="s">
        <v>310</v>
      </c>
      <c r="D313" s="89" t="s">
        <v>227</v>
      </c>
      <c r="E313" s="79">
        <v>186</v>
      </c>
      <c r="F313" s="79">
        <v>45</v>
      </c>
      <c r="G313" s="79">
        <v>15.9</v>
      </c>
      <c r="H313" s="83">
        <v>1100</v>
      </c>
      <c r="I313" s="83"/>
      <c r="J313" s="83"/>
      <c r="K313" s="83"/>
      <c r="L313" s="83"/>
      <c r="M313" s="84"/>
      <c r="N313" s="84"/>
      <c r="O313" s="84"/>
      <c r="P313" s="85">
        <v>600</v>
      </c>
      <c r="Q313" s="85"/>
      <c r="R313" s="85"/>
      <c r="S313" s="85"/>
      <c r="T313" s="80"/>
      <c r="U313" s="80"/>
      <c r="V313" s="81" t="s">
        <v>53</v>
      </c>
      <c r="W313" s="81">
        <f>+VLOOKUP(A313,infradensité!$A$2:$B$67,2,FALSE)</f>
        <v>0.36</v>
      </c>
      <c r="X313" s="81">
        <v>1.3</v>
      </c>
      <c r="Y313" s="82">
        <f t="shared" si="40"/>
        <v>0</v>
      </c>
      <c r="Z313" s="82" t="e">
        <f t="shared" si="42"/>
        <v>#NUM!</v>
      </c>
      <c r="AA313" s="82" t="str">
        <f t="shared" si="35"/>
        <v>Cèdre de l'Atlas_F2_CA2_d5_GSM Alpes du Sud_45_</v>
      </c>
      <c r="AB313" s="79">
        <v>45</v>
      </c>
      <c r="AC313" s="82" t="e">
        <f t="shared" si="41"/>
        <v>#NUM!</v>
      </c>
      <c r="AD313" s="86" t="e">
        <f t="shared" si="36"/>
        <v>#NUM!</v>
      </c>
      <c r="AE313" s="81"/>
    </row>
    <row r="314" spans="1:31" hidden="1" x14ac:dyDescent="0.25">
      <c r="A314" s="79" t="s">
        <v>308</v>
      </c>
      <c r="B314" s="79" t="s">
        <v>10</v>
      </c>
      <c r="C314" s="79" t="s">
        <v>310</v>
      </c>
      <c r="D314" s="89" t="s">
        <v>227</v>
      </c>
      <c r="E314" s="79">
        <v>186</v>
      </c>
      <c r="F314" s="79">
        <v>55</v>
      </c>
      <c r="G314" s="79">
        <v>19.600000000000001</v>
      </c>
      <c r="H314" s="83">
        <v>600</v>
      </c>
      <c r="I314" s="83"/>
      <c r="J314" s="83"/>
      <c r="K314" s="83"/>
      <c r="L314" s="83"/>
      <c r="M314" s="84"/>
      <c r="N314" s="84"/>
      <c r="O314" s="84"/>
      <c r="P314" s="85">
        <v>430</v>
      </c>
      <c r="Q314" s="85"/>
      <c r="R314" s="85"/>
      <c r="S314" s="85"/>
      <c r="T314" s="80"/>
      <c r="U314" s="80"/>
      <c r="V314" s="81" t="s">
        <v>53</v>
      </c>
      <c r="W314" s="81">
        <f>+VLOOKUP(A314,infradensité!$A$2:$B$67,2,FALSE)</f>
        <v>0.36</v>
      </c>
      <c r="X314" s="81">
        <v>1.3</v>
      </c>
      <c r="Y314" s="82">
        <f t="shared" si="40"/>
        <v>0</v>
      </c>
      <c r="Z314" s="82" t="e">
        <f t="shared" si="42"/>
        <v>#NUM!</v>
      </c>
      <c r="AA314" s="82" t="str">
        <f t="shared" si="35"/>
        <v>Cèdre de l'Atlas_F2_CA2_d5_GSM Alpes du Sud_55_</v>
      </c>
      <c r="AB314" s="79">
        <v>55</v>
      </c>
      <c r="AC314" s="82" t="e">
        <f t="shared" si="41"/>
        <v>#NUM!</v>
      </c>
      <c r="AD314" s="86" t="e">
        <f t="shared" si="36"/>
        <v>#NUM!</v>
      </c>
      <c r="AE314" s="81"/>
    </row>
    <row r="315" spans="1:31" hidden="1" x14ac:dyDescent="0.25">
      <c r="A315" s="79" t="s">
        <v>308</v>
      </c>
      <c r="B315" s="79" t="s">
        <v>10</v>
      </c>
      <c r="C315" s="79" t="s">
        <v>310</v>
      </c>
      <c r="D315" s="89" t="s">
        <v>227</v>
      </c>
      <c r="E315" s="79">
        <v>186</v>
      </c>
      <c r="F315" s="79">
        <v>65</v>
      </c>
      <c r="G315" s="79">
        <v>22.9</v>
      </c>
      <c r="H315" s="83">
        <v>430</v>
      </c>
      <c r="I315" s="83"/>
      <c r="J315" s="83"/>
      <c r="K315" s="83"/>
      <c r="L315" s="83"/>
      <c r="M315" s="84"/>
      <c r="N315" s="84"/>
      <c r="O315" s="84"/>
      <c r="P315" s="85">
        <v>320</v>
      </c>
      <c r="Q315" s="85"/>
      <c r="R315" s="85"/>
      <c r="S315" s="85"/>
      <c r="T315" s="80"/>
      <c r="U315" s="80"/>
      <c r="V315" s="81" t="s">
        <v>53</v>
      </c>
      <c r="W315" s="81">
        <f>+VLOOKUP(A315,infradensité!$A$2:$B$67,2,FALSE)</f>
        <v>0.36</v>
      </c>
      <c r="X315" s="81">
        <v>1.3</v>
      </c>
      <c r="Y315" s="82">
        <f t="shared" si="40"/>
        <v>0</v>
      </c>
      <c r="Z315" s="82" t="e">
        <f t="shared" si="42"/>
        <v>#NUM!</v>
      </c>
      <c r="AA315" s="82" t="str">
        <f t="shared" si="35"/>
        <v>Cèdre de l'Atlas_F2_CA2_d5_GSM Alpes du Sud_65_</v>
      </c>
      <c r="AB315" s="79">
        <v>65</v>
      </c>
      <c r="AC315" s="82" t="e">
        <f t="shared" si="41"/>
        <v>#NUM!</v>
      </c>
      <c r="AD315" s="86" t="e">
        <f t="shared" si="36"/>
        <v>#NUM!</v>
      </c>
      <c r="AE315" s="81"/>
    </row>
    <row r="316" spans="1:31" hidden="1" x14ac:dyDescent="0.25">
      <c r="A316" s="79" t="s">
        <v>308</v>
      </c>
      <c r="B316" s="79" t="s">
        <v>10</v>
      </c>
      <c r="C316" s="79" t="s">
        <v>310</v>
      </c>
      <c r="D316" s="89" t="s">
        <v>227</v>
      </c>
      <c r="E316" s="79">
        <v>186</v>
      </c>
      <c r="F316" s="79">
        <v>75</v>
      </c>
      <c r="G316" s="79">
        <v>25.6</v>
      </c>
      <c r="H316" s="83">
        <v>320</v>
      </c>
      <c r="I316" s="83"/>
      <c r="J316" s="83"/>
      <c r="K316" s="83"/>
      <c r="L316" s="83"/>
      <c r="M316" s="84"/>
      <c r="N316" s="84"/>
      <c r="O316" s="84"/>
      <c r="P316" s="85">
        <v>245</v>
      </c>
      <c r="Q316" s="85"/>
      <c r="R316" s="85"/>
      <c r="S316" s="85"/>
      <c r="T316" s="80"/>
      <c r="U316" s="80"/>
      <c r="V316" s="81" t="s">
        <v>53</v>
      </c>
      <c r="W316" s="81">
        <f>+VLOOKUP(A316,infradensité!$A$2:$B$67,2,FALSE)</f>
        <v>0.36</v>
      </c>
      <c r="X316" s="81">
        <v>1.3</v>
      </c>
      <c r="Y316" s="82">
        <f t="shared" si="40"/>
        <v>0</v>
      </c>
      <c r="Z316" s="82" t="e">
        <f t="shared" si="42"/>
        <v>#NUM!</v>
      </c>
      <c r="AA316" s="82" t="str">
        <f t="shared" si="35"/>
        <v>Cèdre de l'Atlas_F2_CA2_d5_GSM Alpes du Sud_75_</v>
      </c>
      <c r="AB316" s="79">
        <v>75</v>
      </c>
      <c r="AC316" s="82" t="e">
        <f t="shared" si="41"/>
        <v>#NUM!</v>
      </c>
      <c r="AD316" s="86" t="e">
        <f t="shared" si="36"/>
        <v>#NUM!</v>
      </c>
      <c r="AE316" s="81"/>
    </row>
    <row r="317" spans="1:31" hidden="1" x14ac:dyDescent="0.25">
      <c r="A317" s="79" t="s">
        <v>308</v>
      </c>
      <c r="B317" s="79" t="s">
        <v>10</v>
      </c>
      <c r="C317" s="79" t="s">
        <v>310</v>
      </c>
      <c r="D317" s="89" t="s">
        <v>227</v>
      </c>
      <c r="E317" s="79">
        <v>186</v>
      </c>
      <c r="F317" s="79">
        <v>90</v>
      </c>
      <c r="G317" s="79">
        <v>28.6</v>
      </c>
      <c r="H317" s="83">
        <v>245</v>
      </c>
      <c r="I317" s="83"/>
      <c r="J317" s="83"/>
      <c r="K317" s="83"/>
      <c r="L317" s="83"/>
      <c r="M317" s="84"/>
      <c r="N317" s="84"/>
      <c r="O317" s="84"/>
      <c r="P317" s="85">
        <v>200</v>
      </c>
      <c r="Q317" s="85"/>
      <c r="R317" s="85"/>
      <c r="S317" s="85"/>
      <c r="T317" s="80"/>
      <c r="U317" s="80"/>
      <c r="V317" s="81" t="s">
        <v>53</v>
      </c>
      <c r="W317" s="81">
        <f>+VLOOKUP(A317,infradensité!$A$2:$B$67,2,FALSE)</f>
        <v>0.36</v>
      </c>
      <c r="X317" s="81">
        <v>1.3</v>
      </c>
      <c r="Y317" s="82">
        <f t="shared" si="40"/>
        <v>0</v>
      </c>
      <c r="Z317" s="82" t="e">
        <f t="shared" si="42"/>
        <v>#NUM!</v>
      </c>
      <c r="AA317" s="82" t="str">
        <f t="shared" si="35"/>
        <v>Cèdre de l'Atlas_F2_CA2_d5_GSM Alpes du Sud_90_</v>
      </c>
      <c r="AB317" s="79">
        <v>90</v>
      </c>
      <c r="AC317" s="82" t="e">
        <f t="shared" si="41"/>
        <v>#NUM!</v>
      </c>
      <c r="AD317" s="86" t="e">
        <f t="shared" si="36"/>
        <v>#NUM!</v>
      </c>
      <c r="AE317" s="81"/>
    </row>
    <row r="318" spans="1:31" hidden="1" x14ac:dyDescent="0.25">
      <c r="A318" s="79" t="s">
        <v>308</v>
      </c>
      <c r="B318" s="79" t="s">
        <v>10</v>
      </c>
      <c r="C318" s="79" t="s">
        <v>310</v>
      </c>
      <c r="D318" s="89" t="s">
        <v>227</v>
      </c>
      <c r="E318" s="79">
        <v>186</v>
      </c>
      <c r="F318" s="79">
        <v>105</v>
      </c>
      <c r="G318" s="79">
        <v>30.5</v>
      </c>
      <c r="H318" s="83">
        <v>200</v>
      </c>
      <c r="I318" s="83"/>
      <c r="J318" s="83"/>
      <c r="K318" s="83"/>
      <c r="L318" s="83"/>
      <c r="M318" s="84"/>
      <c r="N318" s="84"/>
      <c r="O318" s="84"/>
      <c r="P318" s="85">
        <v>110</v>
      </c>
      <c r="Q318" s="85"/>
      <c r="R318" s="85"/>
      <c r="S318" s="85"/>
      <c r="T318" s="80"/>
      <c r="U318" s="80"/>
      <c r="V318" s="81" t="s">
        <v>53</v>
      </c>
      <c r="W318" s="81">
        <f>+VLOOKUP(A318,infradensité!$A$2:$B$67,2,FALSE)</f>
        <v>0.36</v>
      </c>
      <c r="X318" s="81">
        <v>1.3</v>
      </c>
      <c r="Y318" s="82">
        <f t="shared" si="40"/>
        <v>0</v>
      </c>
      <c r="Z318" s="82" t="e">
        <f t="shared" si="42"/>
        <v>#NUM!</v>
      </c>
      <c r="AA318" s="82" t="str">
        <f t="shared" si="35"/>
        <v>Cèdre de l'Atlas_F2_CA2_d5_GSM Alpes du Sud_105_</v>
      </c>
      <c r="AB318" s="79">
        <v>105</v>
      </c>
      <c r="AC318" s="82" t="e">
        <f t="shared" si="41"/>
        <v>#NUM!</v>
      </c>
      <c r="AD318" s="86" t="e">
        <f t="shared" si="36"/>
        <v>#NUM!</v>
      </c>
      <c r="AE318" s="81"/>
    </row>
    <row r="319" spans="1:31" hidden="1" x14ac:dyDescent="0.25">
      <c r="A319" s="79" t="s">
        <v>308</v>
      </c>
      <c r="B319" s="79" t="s">
        <v>10</v>
      </c>
      <c r="C319" s="79" t="s">
        <v>310</v>
      </c>
      <c r="D319" s="89" t="s">
        <v>227</v>
      </c>
      <c r="E319" s="79">
        <v>186</v>
      </c>
      <c r="F319" s="79">
        <v>115</v>
      </c>
      <c r="G319" s="79">
        <v>31.5</v>
      </c>
      <c r="H319" s="83">
        <v>110</v>
      </c>
      <c r="I319" s="83"/>
      <c r="J319" s="83"/>
      <c r="K319" s="83"/>
      <c r="L319" s="83"/>
      <c r="M319" s="84"/>
      <c r="N319" s="84"/>
      <c r="O319" s="84"/>
      <c r="P319" s="85">
        <v>0</v>
      </c>
      <c r="Q319" s="85"/>
      <c r="R319" s="85"/>
      <c r="S319" s="85"/>
      <c r="T319" s="80"/>
      <c r="U319" s="80"/>
      <c r="V319" s="81" t="s">
        <v>53</v>
      </c>
      <c r="W319" s="81">
        <f>+VLOOKUP(A319,infradensité!$A$2:$B$67,2,FALSE)</f>
        <v>0.36</v>
      </c>
      <c r="X319" s="81">
        <v>1.3</v>
      </c>
      <c r="Y319" s="82">
        <f t="shared" si="40"/>
        <v>0</v>
      </c>
      <c r="Z319" s="82" t="e">
        <f t="shared" si="42"/>
        <v>#NUM!</v>
      </c>
      <c r="AA319" s="82" t="str">
        <f t="shared" si="35"/>
        <v>Cèdre de l'Atlas_F2_CA2_d5_GSM Alpes du Sud_115_</v>
      </c>
      <c r="AB319" s="79">
        <v>115</v>
      </c>
      <c r="AC319" s="82" t="e">
        <f t="shared" si="41"/>
        <v>#NUM!</v>
      </c>
      <c r="AD319" s="86" t="e">
        <f t="shared" si="36"/>
        <v>#NUM!</v>
      </c>
      <c r="AE319" s="81"/>
    </row>
    <row r="320" spans="1:31" hidden="1" x14ac:dyDescent="0.25">
      <c r="A320" s="79" t="s">
        <v>308</v>
      </c>
      <c r="B320" s="79" t="s">
        <v>144</v>
      </c>
      <c r="C320" s="79" t="s">
        <v>311</v>
      </c>
      <c r="D320" s="89" t="s">
        <v>227</v>
      </c>
      <c r="E320" s="79">
        <v>187</v>
      </c>
      <c r="F320" s="79">
        <v>17</v>
      </c>
      <c r="G320" s="79">
        <v>3</v>
      </c>
      <c r="H320" s="83"/>
      <c r="I320" s="83"/>
      <c r="J320" s="83"/>
      <c r="K320" s="83"/>
      <c r="L320" s="83"/>
      <c r="M320" s="84"/>
      <c r="N320" s="84"/>
      <c r="O320" s="84"/>
      <c r="P320" s="85">
        <v>1100</v>
      </c>
      <c r="Q320" s="85"/>
      <c r="R320" s="85"/>
      <c r="S320" s="85"/>
      <c r="T320" s="80"/>
      <c r="U320" s="80"/>
      <c r="V320" s="81" t="s">
        <v>53</v>
      </c>
      <c r="W320" s="81">
        <f>+VLOOKUP(A320,infradensité!$A$2:$B$67,2,FALSE)</f>
        <v>0.36</v>
      </c>
      <c r="X320" s="81">
        <v>1.3</v>
      </c>
      <c r="Y320" s="82">
        <f t="shared" si="40"/>
        <v>0</v>
      </c>
      <c r="Z320" s="82" t="e">
        <f t="shared" si="42"/>
        <v>#NUM!</v>
      </c>
      <c r="AA320" s="82" t="str">
        <f t="shared" si="35"/>
        <v>Cèdre de l'Atlas_F3_CA3_d5_GSM Alpes du Sud_17_</v>
      </c>
      <c r="AB320" s="79">
        <v>17</v>
      </c>
      <c r="AC320" s="82" t="e">
        <f t="shared" si="41"/>
        <v>#NUM!</v>
      </c>
      <c r="AD320" s="86" t="e">
        <f t="shared" si="36"/>
        <v>#NUM!</v>
      </c>
      <c r="AE320" s="81"/>
    </row>
    <row r="321" spans="1:31" hidden="1" x14ac:dyDescent="0.25">
      <c r="A321" s="79" t="s">
        <v>308</v>
      </c>
      <c r="B321" s="79" t="s">
        <v>144</v>
      </c>
      <c r="C321" s="79" t="s">
        <v>311</v>
      </c>
      <c r="D321" s="89" t="s">
        <v>227</v>
      </c>
      <c r="E321" s="79">
        <v>187</v>
      </c>
      <c r="F321" s="79">
        <v>50</v>
      </c>
      <c r="G321" s="79">
        <v>14.6</v>
      </c>
      <c r="H321" s="83">
        <v>1100</v>
      </c>
      <c r="I321" s="83"/>
      <c r="J321" s="83"/>
      <c r="K321" s="83"/>
      <c r="L321" s="83"/>
      <c r="M321" s="84"/>
      <c r="N321" s="84"/>
      <c r="O321" s="84"/>
      <c r="P321" s="85">
        <v>600</v>
      </c>
      <c r="Q321" s="85"/>
      <c r="R321" s="85"/>
      <c r="S321" s="85"/>
      <c r="T321" s="80"/>
      <c r="U321" s="80"/>
      <c r="V321" s="81" t="s">
        <v>53</v>
      </c>
      <c r="W321" s="81">
        <f>+VLOOKUP(A321,infradensité!$A$2:$B$67,2,FALSE)</f>
        <v>0.36</v>
      </c>
      <c r="X321" s="81">
        <v>1.3</v>
      </c>
      <c r="Y321" s="82">
        <f t="shared" si="40"/>
        <v>0</v>
      </c>
      <c r="Z321" s="82" t="e">
        <f t="shared" si="42"/>
        <v>#NUM!</v>
      </c>
      <c r="AA321" s="82" t="str">
        <f t="shared" si="35"/>
        <v>Cèdre de l'Atlas_F3_CA3_d5_GSM Alpes du Sud_50_</v>
      </c>
      <c r="AB321" s="79">
        <v>50</v>
      </c>
      <c r="AC321" s="82" t="e">
        <f t="shared" si="41"/>
        <v>#NUM!</v>
      </c>
      <c r="AD321" s="86" t="e">
        <f t="shared" si="36"/>
        <v>#NUM!</v>
      </c>
      <c r="AE321" s="81"/>
    </row>
    <row r="322" spans="1:31" hidden="1" x14ac:dyDescent="0.25">
      <c r="A322" s="79" t="s">
        <v>308</v>
      </c>
      <c r="B322" s="79" t="s">
        <v>144</v>
      </c>
      <c r="C322" s="79" t="s">
        <v>311</v>
      </c>
      <c r="D322" s="89" t="s">
        <v>227</v>
      </c>
      <c r="E322" s="79">
        <v>187</v>
      </c>
      <c r="F322" s="79">
        <v>60</v>
      </c>
      <c r="G322" s="79">
        <v>17.600000000000001</v>
      </c>
      <c r="H322" s="83">
        <v>600</v>
      </c>
      <c r="I322" s="83"/>
      <c r="J322" s="83"/>
      <c r="K322" s="83"/>
      <c r="L322" s="83"/>
      <c r="M322" s="84"/>
      <c r="N322" s="84"/>
      <c r="O322" s="84"/>
      <c r="P322" s="85">
        <v>430</v>
      </c>
      <c r="Q322" s="85"/>
      <c r="R322" s="85"/>
      <c r="S322" s="85"/>
      <c r="T322" s="80"/>
      <c r="U322" s="80"/>
      <c r="V322" s="81" t="s">
        <v>53</v>
      </c>
      <c r="W322" s="81">
        <f>+VLOOKUP(A322,infradensité!$A$2:$B$67,2,FALSE)</f>
        <v>0.36</v>
      </c>
      <c r="X322" s="81">
        <v>1.3</v>
      </c>
      <c r="Y322" s="82">
        <f t="shared" si="40"/>
        <v>0</v>
      </c>
      <c r="Z322" s="82" t="e">
        <f t="shared" si="42"/>
        <v>#NUM!</v>
      </c>
      <c r="AA322" s="82" t="str">
        <f t="shared" si="35"/>
        <v>Cèdre de l'Atlas_F3_CA3_d5_GSM Alpes du Sud_60_</v>
      </c>
      <c r="AB322" s="79">
        <v>60</v>
      </c>
      <c r="AC322" s="82" t="e">
        <f t="shared" si="41"/>
        <v>#NUM!</v>
      </c>
      <c r="AD322" s="86" t="e">
        <f t="shared" si="36"/>
        <v>#NUM!</v>
      </c>
      <c r="AE322" s="81"/>
    </row>
    <row r="323" spans="1:31" hidden="1" x14ac:dyDescent="0.25">
      <c r="A323" s="79" t="s">
        <v>308</v>
      </c>
      <c r="B323" s="79" t="s">
        <v>144</v>
      </c>
      <c r="C323" s="79" t="s">
        <v>311</v>
      </c>
      <c r="D323" s="89" t="s">
        <v>227</v>
      </c>
      <c r="E323" s="79">
        <v>187</v>
      </c>
      <c r="F323" s="79">
        <v>75</v>
      </c>
      <c r="G323" s="79">
        <v>21.3</v>
      </c>
      <c r="H323" s="83">
        <v>430</v>
      </c>
      <c r="I323" s="83"/>
      <c r="J323" s="83"/>
      <c r="K323" s="83"/>
      <c r="L323" s="83"/>
      <c r="M323" s="84"/>
      <c r="N323" s="84"/>
      <c r="O323" s="84"/>
      <c r="P323" s="85">
        <v>320</v>
      </c>
      <c r="Q323" s="85"/>
      <c r="R323" s="85"/>
      <c r="S323" s="85"/>
      <c r="T323" s="80"/>
      <c r="U323" s="80"/>
      <c r="V323" s="81" t="s">
        <v>53</v>
      </c>
      <c r="W323" s="81">
        <f>+VLOOKUP(A323,infradensité!$A$2:$B$67,2,FALSE)</f>
        <v>0.36</v>
      </c>
      <c r="X323" s="81">
        <v>1.3</v>
      </c>
      <c r="Y323" s="82">
        <f t="shared" si="40"/>
        <v>0</v>
      </c>
      <c r="Z323" s="82" t="e">
        <f t="shared" si="42"/>
        <v>#NUM!</v>
      </c>
      <c r="AA323" s="82" t="str">
        <f t="shared" ref="AA323:AA363" si="43">+_xlfn.CONCAT(A323,"_",B323,"_",C323,"_",D323,"_",AB323,"_")</f>
        <v>Cèdre de l'Atlas_F3_CA3_d5_GSM Alpes du Sud_75_</v>
      </c>
      <c r="AB323" s="79">
        <v>75</v>
      </c>
      <c r="AC323" s="82" t="e">
        <f t="shared" si="41"/>
        <v>#NUM!</v>
      </c>
      <c r="AD323" s="86" t="e">
        <f t="shared" si="36"/>
        <v>#NUM!</v>
      </c>
      <c r="AE323" s="81"/>
    </row>
    <row r="324" spans="1:31" hidden="1" x14ac:dyDescent="0.25">
      <c r="A324" s="79" t="s">
        <v>308</v>
      </c>
      <c r="B324" s="79" t="s">
        <v>144</v>
      </c>
      <c r="C324" s="79" t="s">
        <v>311</v>
      </c>
      <c r="D324" s="89" t="s">
        <v>227</v>
      </c>
      <c r="E324" s="79">
        <v>187</v>
      </c>
      <c r="F324" s="79">
        <v>90</v>
      </c>
      <c r="G324" s="79">
        <v>23.8</v>
      </c>
      <c r="H324" s="83">
        <v>320</v>
      </c>
      <c r="I324" s="83"/>
      <c r="J324" s="83"/>
      <c r="K324" s="83"/>
      <c r="L324" s="83"/>
      <c r="M324" s="84"/>
      <c r="N324" s="84"/>
      <c r="O324" s="84"/>
      <c r="P324" s="85">
        <v>245</v>
      </c>
      <c r="Q324" s="85"/>
      <c r="R324" s="85"/>
      <c r="S324" s="85"/>
      <c r="T324" s="80"/>
      <c r="U324" s="80"/>
      <c r="V324" s="81" t="s">
        <v>53</v>
      </c>
      <c r="W324" s="81">
        <f>+VLOOKUP(A324,infradensité!$A$2:$B$67,2,FALSE)</f>
        <v>0.36</v>
      </c>
      <c r="X324" s="81">
        <v>1.3</v>
      </c>
      <c r="Y324" s="82">
        <f t="shared" si="40"/>
        <v>0</v>
      </c>
      <c r="Z324" s="82" t="e">
        <f t="shared" si="42"/>
        <v>#NUM!</v>
      </c>
      <c r="AA324" s="82" t="str">
        <f t="shared" si="43"/>
        <v>Cèdre de l'Atlas_F3_CA3_d5_GSM Alpes du Sud_90_</v>
      </c>
      <c r="AB324" s="79">
        <v>90</v>
      </c>
      <c r="AC324" s="82" t="e">
        <f t="shared" si="41"/>
        <v>#NUM!</v>
      </c>
      <c r="AD324" s="86" t="e">
        <f t="shared" ref="AD324:AD389" si="44">+IF(AC324=0,0,(AC324+AC323)*(AB324-AB323)/2)</f>
        <v>#NUM!</v>
      </c>
      <c r="AE324" s="81"/>
    </row>
    <row r="325" spans="1:31" hidden="1" x14ac:dyDescent="0.25">
      <c r="A325" s="79" t="s">
        <v>308</v>
      </c>
      <c r="B325" s="79" t="s">
        <v>144</v>
      </c>
      <c r="C325" s="79" t="s">
        <v>311</v>
      </c>
      <c r="D325" s="89" t="s">
        <v>227</v>
      </c>
      <c r="E325" s="79">
        <v>187</v>
      </c>
      <c r="F325" s="79">
        <v>105</v>
      </c>
      <c r="G325" s="79">
        <v>25</v>
      </c>
      <c r="H325" s="83">
        <v>245</v>
      </c>
      <c r="I325" s="83"/>
      <c r="J325" s="83"/>
      <c r="K325" s="83"/>
      <c r="L325" s="83"/>
      <c r="M325" s="84"/>
      <c r="N325" s="84"/>
      <c r="O325" s="84"/>
      <c r="P325" s="85">
        <v>200</v>
      </c>
      <c r="Q325" s="85"/>
      <c r="R325" s="85"/>
      <c r="S325" s="85"/>
      <c r="T325" s="80"/>
      <c r="U325" s="80"/>
      <c r="V325" s="81" t="s">
        <v>53</v>
      </c>
      <c r="W325" s="81">
        <f>+VLOOKUP(A325,infradensité!$A$2:$B$67,2,FALSE)</f>
        <v>0.36</v>
      </c>
      <c r="X325" s="81">
        <v>1.3</v>
      </c>
      <c r="Y325" s="82">
        <f t="shared" si="40"/>
        <v>0</v>
      </c>
      <c r="Z325" s="82" t="e">
        <f t="shared" si="42"/>
        <v>#NUM!</v>
      </c>
      <c r="AA325" s="82" t="str">
        <f t="shared" si="43"/>
        <v>Cèdre de l'Atlas_F3_CA3_d5_GSM Alpes du Sud_105_</v>
      </c>
      <c r="AB325" s="79">
        <v>105</v>
      </c>
      <c r="AC325" s="82" t="e">
        <f t="shared" si="41"/>
        <v>#NUM!</v>
      </c>
      <c r="AD325" s="86" t="e">
        <f t="shared" si="44"/>
        <v>#NUM!</v>
      </c>
      <c r="AE325" s="81"/>
    </row>
    <row r="326" spans="1:31" hidden="1" x14ac:dyDescent="0.25">
      <c r="A326" s="79" t="s">
        <v>308</v>
      </c>
      <c r="B326" s="79" t="s">
        <v>144</v>
      </c>
      <c r="C326" s="79" t="s">
        <v>311</v>
      </c>
      <c r="D326" s="89" t="s">
        <v>227</v>
      </c>
      <c r="E326" s="79">
        <v>187</v>
      </c>
      <c r="F326" s="79">
        <v>120</v>
      </c>
      <c r="G326" s="79">
        <v>26.7</v>
      </c>
      <c r="H326" s="83">
        <v>200</v>
      </c>
      <c r="I326" s="83"/>
      <c r="J326" s="83"/>
      <c r="K326" s="83"/>
      <c r="L326" s="83"/>
      <c r="M326" s="84"/>
      <c r="N326" s="84"/>
      <c r="O326" s="84"/>
      <c r="P326" s="85">
        <v>110</v>
      </c>
      <c r="Q326" s="85"/>
      <c r="R326" s="85"/>
      <c r="S326" s="85"/>
      <c r="T326" s="80"/>
      <c r="U326" s="80"/>
      <c r="V326" s="81" t="s">
        <v>53</v>
      </c>
      <c r="W326" s="81">
        <f>+VLOOKUP(A326,infradensité!$A$2:$B$67,2,FALSE)</f>
        <v>0.36</v>
      </c>
      <c r="X326" s="81">
        <v>1.3</v>
      </c>
      <c r="Y326" s="82">
        <f t="shared" si="40"/>
        <v>0</v>
      </c>
      <c r="Z326" s="82" t="e">
        <f t="shared" si="42"/>
        <v>#NUM!</v>
      </c>
      <c r="AA326" s="82" t="str">
        <f t="shared" si="43"/>
        <v>Cèdre de l'Atlas_F3_CA3_d5_GSM Alpes du Sud_120_</v>
      </c>
      <c r="AB326" s="79">
        <v>120</v>
      </c>
      <c r="AC326" s="82" t="e">
        <f t="shared" si="41"/>
        <v>#NUM!</v>
      </c>
      <c r="AD326" s="86" t="e">
        <f t="shared" si="44"/>
        <v>#NUM!</v>
      </c>
      <c r="AE326" s="81"/>
    </row>
    <row r="327" spans="1:31" hidden="1" x14ac:dyDescent="0.25">
      <c r="A327" s="79" t="s">
        <v>308</v>
      </c>
      <c r="B327" s="79" t="s">
        <v>144</v>
      </c>
      <c r="C327" s="79" t="s">
        <v>311</v>
      </c>
      <c r="D327" s="89" t="s">
        <v>227</v>
      </c>
      <c r="E327" s="79">
        <v>187</v>
      </c>
      <c r="F327" s="79">
        <v>130</v>
      </c>
      <c r="G327" s="79">
        <v>27.2</v>
      </c>
      <c r="H327" s="83">
        <v>110</v>
      </c>
      <c r="I327" s="83"/>
      <c r="J327" s="83"/>
      <c r="K327" s="83"/>
      <c r="L327" s="83"/>
      <c r="M327" s="84"/>
      <c r="N327" s="84"/>
      <c r="O327" s="84"/>
      <c r="P327" s="85">
        <v>0</v>
      </c>
      <c r="Q327" s="85"/>
      <c r="R327" s="85"/>
      <c r="S327" s="85"/>
      <c r="T327" s="80"/>
      <c r="U327" s="80"/>
      <c r="V327" s="81" t="s">
        <v>53</v>
      </c>
      <c r="W327" s="81">
        <f>+VLOOKUP(A327,infradensité!$A$2:$B$67,2,FALSE)</f>
        <v>0.36</v>
      </c>
      <c r="X327" s="81">
        <v>1.3</v>
      </c>
      <c r="Y327" s="82">
        <f t="shared" si="40"/>
        <v>0</v>
      </c>
      <c r="Z327" s="82" t="e">
        <f t="shared" si="42"/>
        <v>#NUM!</v>
      </c>
      <c r="AA327" s="82" t="str">
        <f t="shared" si="43"/>
        <v>Cèdre de l'Atlas_F3_CA3_d5_GSM Alpes du Sud_130_</v>
      </c>
      <c r="AB327" s="79">
        <v>130</v>
      </c>
      <c r="AC327" s="82" t="e">
        <f t="shared" si="41"/>
        <v>#NUM!</v>
      </c>
      <c r="AD327" s="86" t="e">
        <f t="shared" si="44"/>
        <v>#NUM!</v>
      </c>
      <c r="AE327" s="81"/>
    </row>
    <row r="328" spans="1:31" hidden="1" x14ac:dyDescent="0.25">
      <c r="A328" s="79" t="s">
        <v>312</v>
      </c>
      <c r="B328" s="79" t="s">
        <v>9</v>
      </c>
      <c r="C328" s="79" t="s">
        <v>313</v>
      </c>
      <c r="D328" s="89" t="s">
        <v>227</v>
      </c>
      <c r="E328" s="79">
        <v>159</v>
      </c>
      <c r="F328" s="79"/>
      <c r="G328" s="79">
        <v>4</v>
      </c>
      <c r="H328" s="83">
        <v>6000</v>
      </c>
      <c r="I328" s="83"/>
      <c r="J328" s="83"/>
      <c r="K328" s="83"/>
      <c r="L328" s="83"/>
      <c r="M328" s="84"/>
      <c r="N328" s="84"/>
      <c r="O328" s="84"/>
      <c r="P328" s="85">
        <v>1100</v>
      </c>
      <c r="Q328" s="85"/>
      <c r="R328" s="85"/>
      <c r="S328" s="85"/>
      <c r="T328" s="80"/>
      <c r="U328" s="80"/>
      <c r="V328" s="81" t="s">
        <v>53</v>
      </c>
      <c r="W328" s="81">
        <f>+VLOOKUP(A328,infradensité!$A$2:$B$67,2,FALSE)</f>
        <v>0.48</v>
      </c>
      <c r="X328" s="81">
        <v>1.3</v>
      </c>
      <c r="Y328" s="82">
        <f t="shared" si="40"/>
        <v>0</v>
      </c>
      <c r="Z328" s="82" t="e">
        <f t="shared" si="42"/>
        <v>#NUM!</v>
      </c>
      <c r="AA328" s="82" t="str">
        <f t="shared" si="43"/>
        <v>Mélèze d'Europe_F1_ME1_d5_GSM Alpes du Sud__</v>
      </c>
      <c r="AB328" s="79"/>
      <c r="AC328" s="82" t="e">
        <f t="shared" si="41"/>
        <v>#NUM!</v>
      </c>
      <c r="AD328" s="86" t="e">
        <f t="shared" si="44"/>
        <v>#NUM!</v>
      </c>
      <c r="AE328" s="81"/>
    </row>
    <row r="329" spans="1:31" hidden="1" x14ac:dyDescent="0.25">
      <c r="A329" s="79" t="s">
        <v>312</v>
      </c>
      <c r="B329" s="79" t="s">
        <v>9</v>
      </c>
      <c r="C329" s="79" t="s">
        <v>313</v>
      </c>
      <c r="D329" s="89" t="s">
        <v>227</v>
      </c>
      <c r="E329" s="79">
        <v>159</v>
      </c>
      <c r="F329" s="79">
        <v>35</v>
      </c>
      <c r="G329" s="79">
        <v>16.5</v>
      </c>
      <c r="H329" s="83">
        <v>1100</v>
      </c>
      <c r="I329" s="83"/>
      <c r="J329" s="83"/>
      <c r="K329" s="83"/>
      <c r="L329" s="83"/>
      <c r="M329" s="84"/>
      <c r="N329" s="84"/>
      <c r="O329" s="84">
        <v>66</v>
      </c>
      <c r="P329" s="85">
        <v>660</v>
      </c>
      <c r="Q329" s="85"/>
      <c r="R329" s="85"/>
      <c r="S329" s="85"/>
      <c r="T329" s="80"/>
      <c r="U329" s="80"/>
      <c r="V329" s="81" t="s">
        <v>53</v>
      </c>
      <c r="W329" s="81">
        <f>+VLOOKUP(A329,infradensité!$A$2:$B$67,2,FALSE)</f>
        <v>0.48</v>
      </c>
      <c r="X329" s="81">
        <v>1.3</v>
      </c>
      <c r="Y329" s="82">
        <f t="shared" si="40"/>
        <v>0</v>
      </c>
      <c r="Z329" s="82" t="e">
        <f t="shared" si="42"/>
        <v>#NUM!</v>
      </c>
      <c r="AA329" s="82" t="str">
        <f t="shared" si="43"/>
        <v>Mélèze d'Europe_F1_ME1_d5_GSM Alpes du Sud_35_</v>
      </c>
      <c r="AB329" s="79">
        <v>35</v>
      </c>
      <c r="AC329" s="82" t="e">
        <f t="shared" si="41"/>
        <v>#NUM!</v>
      </c>
      <c r="AD329" s="86" t="e">
        <f t="shared" si="44"/>
        <v>#NUM!</v>
      </c>
      <c r="AE329" s="81"/>
    </row>
    <row r="330" spans="1:31" hidden="1" x14ac:dyDescent="0.25">
      <c r="A330" s="79" t="s">
        <v>312</v>
      </c>
      <c r="B330" s="79" t="s">
        <v>9</v>
      </c>
      <c r="C330" s="79" t="s">
        <v>313</v>
      </c>
      <c r="D330" s="89" t="s">
        <v>227</v>
      </c>
      <c r="E330" s="79">
        <v>159</v>
      </c>
      <c r="F330" s="79">
        <v>50</v>
      </c>
      <c r="G330" s="79">
        <v>21.3</v>
      </c>
      <c r="H330" s="83">
        <v>660</v>
      </c>
      <c r="I330" s="83"/>
      <c r="J330" s="83"/>
      <c r="K330" s="83"/>
      <c r="L330" s="83"/>
      <c r="M330" s="84"/>
      <c r="N330" s="84"/>
      <c r="O330" s="84">
        <v>80</v>
      </c>
      <c r="P330" s="85">
        <v>460</v>
      </c>
      <c r="Q330" s="85"/>
      <c r="R330" s="85"/>
      <c r="S330" s="85"/>
      <c r="T330" s="80"/>
      <c r="U330" s="80"/>
      <c r="V330" s="81" t="s">
        <v>53</v>
      </c>
      <c r="W330" s="81">
        <f>+VLOOKUP(A330,infradensité!$A$2:$B$67,2,FALSE)</f>
        <v>0.48</v>
      </c>
      <c r="X330" s="81">
        <v>1.3</v>
      </c>
      <c r="Y330" s="82">
        <f t="shared" si="40"/>
        <v>0</v>
      </c>
      <c r="Z330" s="82" t="e">
        <f t="shared" si="42"/>
        <v>#NUM!</v>
      </c>
      <c r="AA330" s="82" t="str">
        <f t="shared" si="43"/>
        <v>Mélèze d'Europe_F1_ME1_d5_GSM Alpes du Sud_50_</v>
      </c>
      <c r="AB330" s="79">
        <v>50</v>
      </c>
      <c r="AC330" s="82" t="e">
        <f t="shared" si="41"/>
        <v>#NUM!</v>
      </c>
      <c r="AD330" s="86" t="e">
        <f t="shared" si="44"/>
        <v>#NUM!</v>
      </c>
      <c r="AE330" s="81"/>
    </row>
    <row r="331" spans="1:31" hidden="1" x14ac:dyDescent="0.25">
      <c r="A331" s="79" t="s">
        <v>312</v>
      </c>
      <c r="B331" s="79" t="s">
        <v>9</v>
      </c>
      <c r="C331" s="79" t="s">
        <v>313</v>
      </c>
      <c r="D331" s="89" t="s">
        <v>227</v>
      </c>
      <c r="E331" s="79">
        <v>159</v>
      </c>
      <c r="F331" s="79">
        <v>65</v>
      </c>
      <c r="G331" s="79">
        <v>25.1</v>
      </c>
      <c r="H331" s="83">
        <v>460</v>
      </c>
      <c r="I331" s="83"/>
      <c r="J331" s="83"/>
      <c r="K331" s="83"/>
      <c r="L331" s="83"/>
      <c r="M331" s="84"/>
      <c r="N331" s="84"/>
      <c r="O331" s="84">
        <v>98</v>
      </c>
      <c r="P331" s="85">
        <v>320</v>
      </c>
      <c r="Q331" s="85"/>
      <c r="R331" s="85"/>
      <c r="S331" s="85"/>
      <c r="T331" s="80"/>
      <c r="U331" s="80"/>
      <c r="V331" s="81" t="s">
        <v>53</v>
      </c>
      <c r="W331" s="81">
        <f>+VLOOKUP(A331,infradensité!$A$2:$B$67,2,FALSE)</f>
        <v>0.48</v>
      </c>
      <c r="X331" s="81">
        <v>1.3</v>
      </c>
      <c r="Y331" s="82">
        <f t="shared" si="40"/>
        <v>0</v>
      </c>
      <c r="Z331" s="82" t="e">
        <f t="shared" si="42"/>
        <v>#NUM!</v>
      </c>
      <c r="AA331" s="82" t="str">
        <f t="shared" si="43"/>
        <v>Mélèze d'Europe_F1_ME1_d5_GSM Alpes du Sud_65_</v>
      </c>
      <c r="AB331" s="79">
        <v>65</v>
      </c>
      <c r="AC331" s="82" t="e">
        <f t="shared" si="41"/>
        <v>#NUM!</v>
      </c>
      <c r="AD331" s="86" t="e">
        <f t="shared" si="44"/>
        <v>#NUM!</v>
      </c>
      <c r="AE331" s="81"/>
    </row>
    <row r="332" spans="1:31" hidden="1" x14ac:dyDescent="0.25">
      <c r="A332" s="79" t="s">
        <v>312</v>
      </c>
      <c r="B332" s="79" t="s">
        <v>9</v>
      </c>
      <c r="C332" s="79" t="s">
        <v>313</v>
      </c>
      <c r="D332" s="89" t="s">
        <v>227</v>
      </c>
      <c r="E332" s="79">
        <v>159</v>
      </c>
      <c r="F332" s="79">
        <v>80</v>
      </c>
      <c r="G332" s="79">
        <v>28</v>
      </c>
      <c r="H332" s="83">
        <v>320</v>
      </c>
      <c r="I332" s="83"/>
      <c r="J332" s="83"/>
      <c r="K332" s="83"/>
      <c r="L332" s="83"/>
      <c r="M332" s="84"/>
      <c r="N332" s="84"/>
      <c r="O332" s="84">
        <v>96</v>
      </c>
      <c r="P332" s="85">
        <v>240</v>
      </c>
      <c r="Q332" s="85"/>
      <c r="R332" s="85"/>
      <c r="S332" s="85"/>
      <c r="T332" s="80"/>
      <c r="U332" s="80"/>
      <c r="V332" s="81" t="s">
        <v>53</v>
      </c>
      <c r="W332" s="81">
        <f>+VLOOKUP(A332,infradensité!$A$2:$B$67,2,FALSE)</f>
        <v>0.48</v>
      </c>
      <c r="X332" s="81">
        <v>1.3</v>
      </c>
      <c r="Y332" s="82">
        <f t="shared" si="40"/>
        <v>0</v>
      </c>
      <c r="Z332" s="82" t="e">
        <f t="shared" si="42"/>
        <v>#NUM!</v>
      </c>
      <c r="AA332" s="82" t="str">
        <f t="shared" si="43"/>
        <v>Mélèze d'Europe_F1_ME1_d5_GSM Alpes du Sud_80_</v>
      </c>
      <c r="AB332" s="79">
        <v>80</v>
      </c>
      <c r="AC332" s="82" t="e">
        <f t="shared" si="41"/>
        <v>#NUM!</v>
      </c>
      <c r="AD332" s="86" t="e">
        <f t="shared" si="44"/>
        <v>#NUM!</v>
      </c>
      <c r="AE332" s="81"/>
    </row>
    <row r="333" spans="1:31" hidden="1" x14ac:dyDescent="0.25">
      <c r="A333" s="79" t="s">
        <v>312</v>
      </c>
      <c r="B333" s="79" t="s">
        <v>9</v>
      </c>
      <c r="C333" s="79" t="s">
        <v>313</v>
      </c>
      <c r="D333" s="89" t="s">
        <v>227</v>
      </c>
      <c r="E333" s="79">
        <v>159</v>
      </c>
      <c r="F333" s="79">
        <v>100</v>
      </c>
      <c r="G333" s="79">
        <v>31</v>
      </c>
      <c r="H333" s="83">
        <v>240</v>
      </c>
      <c r="I333" s="83"/>
      <c r="J333" s="83"/>
      <c r="K333" s="83"/>
      <c r="L333" s="83"/>
      <c r="M333" s="84"/>
      <c r="N333" s="84"/>
      <c r="O333" s="84">
        <v>90</v>
      </c>
      <c r="P333" s="85">
        <v>180</v>
      </c>
      <c r="Q333" s="85"/>
      <c r="R333" s="85"/>
      <c r="S333" s="85"/>
      <c r="T333" s="80"/>
      <c r="U333" s="80"/>
      <c r="V333" s="81" t="s">
        <v>53</v>
      </c>
      <c r="W333" s="81">
        <f>+VLOOKUP(A333,infradensité!$A$2:$B$67,2,FALSE)</f>
        <v>0.48</v>
      </c>
      <c r="X333" s="81">
        <v>1.3</v>
      </c>
      <c r="Y333" s="82">
        <f t="shared" si="40"/>
        <v>0</v>
      </c>
      <c r="Z333" s="82" t="e">
        <f t="shared" si="42"/>
        <v>#NUM!</v>
      </c>
      <c r="AA333" s="82" t="str">
        <f t="shared" si="43"/>
        <v>Mélèze d'Europe_F1_ME1_d5_GSM Alpes du Sud_100_</v>
      </c>
      <c r="AB333" s="79">
        <v>100</v>
      </c>
      <c r="AC333" s="82" t="e">
        <f t="shared" si="41"/>
        <v>#NUM!</v>
      </c>
      <c r="AD333" s="86" t="e">
        <f t="shared" si="44"/>
        <v>#NUM!</v>
      </c>
      <c r="AE333" s="81"/>
    </row>
    <row r="334" spans="1:31" hidden="1" x14ac:dyDescent="0.25">
      <c r="A334" s="79" t="s">
        <v>312</v>
      </c>
      <c r="B334" s="79" t="s">
        <v>9</v>
      </c>
      <c r="C334" s="79" t="s">
        <v>313</v>
      </c>
      <c r="D334" s="89" t="s">
        <v>227</v>
      </c>
      <c r="E334" s="79">
        <v>159</v>
      </c>
      <c r="F334" s="79">
        <v>120</v>
      </c>
      <c r="G334" s="79">
        <v>33.299999999999997</v>
      </c>
      <c r="H334" s="83">
        <v>180</v>
      </c>
      <c r="I334" s="83"/>
      <c r="J334" s="83"/>
      <c r="K334" s="83"/>
      <c r="L334" s="83"/>
      <c r="M334" s="84"/>
      <c r="N334" s="84"/>
      <c r="O334" s="84">
        <v>170</v>
      </c>
      <c r="P334" s="85">
        <v>100</v>
      </c>
      <c r="Q334" s="85"/>
      <c r="R334" s="85"/>
      <c r="S334" s="85"/>
      <c r="T334" s="80"/>
      <c r="U334" s="80"/>
      <c r="V334" s="81" t="s">
        <v>53</v>
      </c>
      <c r="W334" s="81">
        <f>+VLOOKUP(A334,infradensité!$A$2:$B$67,2,FALSE)</f>
        <v>0.48</v>
      </c>
      <c r="X334" s="81">
        <v>1.3</v>
      </c>
      <c r="Y334" s="82">
        <f t="shared" si="40"/>
        <v>0</v>
      </c>
      <c r="Z334" s="82" t="e">
        <f t="shared" si="42"/>
        <v>#NUM!</v>
      </c>
      <c r="AA334" s="82" t="str">
        <f t="shared" si="43"/>
        <v>Mélèze d'Europe_F1_ME1_d5_GSM Alpes du Sud_120_</v>
      </c>
      <c r="AB334" s="79">
        <v>120</v>
      </c>
      <c r="AC334" s="82" t="e">
        <f t="shared" si="41"/>
        <v>#NUM!</v>
      </c>
      <c r="AD334" s="86" t="e">
        <f t="shared" si="44"/>
        <v>#NUM!</v>
      </c>
      <c r="AE334" s="81"/>
    </row>
    <row r="335" spans="1:31" hidden="1" x14ac:dyDescent="0.25">
      <c r="A335" s="79" t="s">
        <v>312</v>
      </c>
      <c r="B335" s="79" t="s">
        <v>9</v>
      </c>
      <c r="C335" s="79" t="s">
        <v>313</v>
      </c>
      <c r="D335" s="89" t="s">
        <v>227</v>
      </c>
      <c r="E335" s="79">
        <v>159</v>
      </c>
      <c r="F335" s="79">
        <v>140</v>
      </c>
      <c r="G335" s="79">
        <v>35.299999999999997</v>
      </c>
      <c r="H335" s="83">
        <v>100</v>
      </c>
      <c r="I335" s="83"/>
      <c r="J335" s="83"/>
      <c r="K335" s="83"/>
      <c r="L335" s="83"/>
      <c r="M335" s="84"/>
      <c r="N335" s="84"/>
      <c r="O335" s="84">
        <v>250</v>
      </c>
      <c r="P335" s="85">
        <v>0</v>
      </c>
      <c r="Q335" s="85"/>
      <c r="R335" s="85"/>
      <c r="S335" s="85"/>
      <c r="T335" s="80"/>
      <c r="U335" s="80"/>
      <c r="V335" s="81" t="s">
        <v>53</v>
      </c>
      <c r="W335" s="81">
        <f>+VLOOKUP(A335,infradensité!$A$2:$B$67,2,FALSE)</f>
        <v>0.48</v>
      </c>
      <c r="X335" s="81">
        <v>1.3</v>
      </c>
      <c r="Y335" s="82">
        <f t="shared" si="40"/>
        <v>0</v>
      </c>
      <c r="Z335" s="82" t="e">
        <f t="shared" si="42"/>
        <v>#NUM!</v>
      </c>
      <c r="AA335" s="82" t="str">
        <f t="shared" si="43"/>
        <v>Mélèze d'Europe_F1_ME1_d5_GSM Alpes du Sud_140_</v>
      </c>
      <c r="AB335" s="79">
        <v>140</v>
      </c>
      <c r="AC335" s="82" t="e">
        <f t="shared" si="41"/>
        <v>#NUM!</v>
      </c>
      <c r="AD335" s="86" t="e">
        <f t="shared" si="44"/>
        <v>#NUM!</v>
      </c>
      <c r="AE335" s="81"/>
    </row>
    <row r="336" spans="1:31" hidden="1" x14ac:dyDescent="0.25">
      <c r="A336" s="79" t="s">
        <v>312</v>
      </c>
      <c r="B336" s="79" t="s">
        <v>10</v>
      </c>
      <c r="C336" s="79" t="s">
        <v>314</v>
      </c>
      <c r="D336" s="89" t="s">
        <v>227</v>
      </c>
      <c r="E336" s="79">
        <v>160</v>
      </c>
      <c r="F336" s="79"/>
      <c r="G336" s="79">
        <v>4</v>
      </c>
      <c r="H336" s="83">
        <v>6000</v>
      </c>
      <c r="I336" s="83"/>
      <c r="J336" s="83"/>
      <c r="K336" s="83"/>
      <c r="L336" s="83"/>
      <c r="M336" s="84"/>
      <c r="N336" s="84"/>
      <c r="O336" s="84"/>
      <c r="P336" s="85">
        <v>1100</v>
      </c>
      <c r="Q336" s="85"/>
      <c r="R336" s="85"/>
      <c r="S336" s="85"/>
      <c r="T336" s="80"/>
      <c r="U336" s="80"/>
      <c r="V336" s="81" t="s">
        <v>53</v>
      </c>
      <c r="W336" s="81">
        <f>+VLOOKUP(A336,infradensité!$A$2:$B$67,2,FALSE)</f>
        <v>0.48</v>
      </c>
      <c r="X336" s="81">
        <v>1.3</v>
      </c>
      <c r="Y336" s="82">
        <f t="shared" si="40"/>
        <v>0</v>
      </c>
      <c r="Z336" s="82" t="e">
        <f t="shared" si="42"/>
        <v>#NUM!</v>
      </c>
      <c r="AA336" s="82" t="str">
        <f t="shared" si="43"/>
        <v>Mélèze d'Europe_F2_ME2_d6_GSM Alpes du Sud__</v>
      </c>
      <c r="AB336" s="79"/>
      <c r="AC336" s="82" t="e">
        <f t="shared" si="41"/>
        <v>#NUM!</v>
      </c>
      <c r="AD336" s="86" t="e">
        <f t="shared" si="44"/>
        <v>#NUM!</v>
      </c>
      <c r="AE336" s="81"/>
    </row>
    <row r="337" spans="1:31" hidden="1" x14ac:dyDescent="0.25">
      <c r="A337" s="79" t="s">
        <v>312</v>
      </c>
      <c r="B337" s="79" t="s">
        <v>10</v>
      </c>
      <c r="C337" s="79" t="s">
        <v>314</v>
      </c>
      <c r="D337" s="89" t="s">
        <v>227</v>
      </c>
      <c r="E337" s="79">
        <v>160</v>
      </c>
      <c r="F337" s="79">
        <v>50</v>
      </c>
      <c r="G337" s="79">
        <v>16.399999999999999</v>
      </c>
      <c r="H337" s="83">
        <v>1100</v>
      </c>
      <c r="I337" s="83"/>
      <c r="J337" s="83"/>
      <c r="K337" s="83"/>
      <c r="L337" s="83"/>
      <c r="M337" s="84"/>
      <c r="N337" s="84"/>
      <c r="O337" s="84">
        <v>57</v>
      </c>
      <c r="P337" s="85">
        <v>660</v>
      </c>
      <c r="Q337" s="85"/>
      <c r="R337" s="85"/>
      <c r="S337" s="85"/>
      <c r="T337" s="80"/>
      <c r="U337" s="80"/>
      <c r="V337" s="81" t="s">
        <v>53</v>
      </c>
      <c r="W337" s="81">
        <f>+VLOOKUP(A337,infradensité!$A$2:$B$67,2,FALSE)</f>
        <v>0.48</v>
      </c>
      <c r="X337" s="81">
        <v>1.3</v>
      </c>
      <c r="Y337" s="82">
        <f t="shared" si="40"/>
        <v>0</v>
      </c>
      <c r="Z337" s="82" t="e">
        <f t="shared" si="42"/>
        <v>#NUM!</v>
      </c>
      <c r="AA337" s="82" t="str">
        <f t="shared" si="43"/>
        <v>Mélèze d'Europe_F2_ME2_d6_GSM Alpes du Sud_50_</v>
      </c>
      <c r="AB337" s="79">
        <v>50</v>
      </c>
      <c r="AC337" s="82" t="e">
        <f t="shared" si="41"/>
        <v>#NUM!</v>
      </c>
      <c r="AD337" s="86" t="e">
        <f t="shared" si="44"/>
        <v>#NUM!</v>
      </c>
      <c r="AE337" s="81"/>
    </row>
    <row r="338" spans="1:31" hidden="1" x14ac:dyDescent="0.25">
      <c r="A338" s="79" t="s">
        <v>312</v>
      </c>
      <c r="B338" s="79" t="s">
        <v>10</v>
      </c>
      <c r="C338" s="79" t="s">
        <v>314</v>
      </c>
      <c r="D338" s="89" t="s">
        <v>227</v>
      </c>
      <c r="E338" s="79">
        <v>160</v>
      </c>
      <c r="F338" s="79">
        <v>70</v>
      </c>
      <c r="G338" s="79">
        <v>20.100000000000001</v>
      </c>
      <c r="H338" s="83">
        <v>660</v>
      </c>
      <c r="I338" s="83"/>
      <c r="J338" s="83"/>
      <c r="K338" s="83"/>
      <c r="L338" s="83"/>
      <c r="M338" s="84"/>
      <c r="N338" s="84"/>
      <c r="O338" s="84">
        <v>72</v>
      </c>
      <c r="P338" s="85">
        <v>480</v>
      </c>
      <c r="Q338" s="85"/>
      <c r="R338" s="85"/>
      <c r="S338" s="85"/>
      <c r="T338" s="80"/>
      <c r="U338" s="80"/>
      <c r="V338" s="81" t="s">
        <v>53</v>
      </c>
      <c r="W338" s="81">
        <f>+VLOOKUP(A338,infradensité!$A$2:$B$67,2,FALSE)</f>
        <v>0.48</v>
      </c>
      <c r="X338" s="81">
        <v>1.3</v>
      </c>
      <c r="Y338" s="82">
        <f t="shared" si="40"/>
        <v>0</v>
      </c>
      <c r="Z338" s="82" t="e">
        <f t="shared" si="42"/>
        <v>#NUM!</v>
      </c>
      <c r="AA338" s="82" t="str">
        <f t="shared" si="43"/>
        <v>Mélèze d'Europe_F2_ME2_d6_GSM Alpes du Sud_70_</v>
      </c>
      <c r="AB338" s="79">
        <v>70</v>
      </c>
      <c r="AC338" s="82" t="e">
        <f t="shared" si="41"/>
        <v>#NUM!</v>
      </c>
      <c r="AD338" s="86" t="e">
        <f t="shared" si="44"/>
        <v>#NUM!</v>
      </c>
      <c r="AE338" s="81"/>
    </row>
    <row r="339" spans="1:31" hidden="1" x14ac:dyDescent="0.25">
      <c r="A339" s="79" t="s">
        <v>312</v>
      </c>
      <c r="B339" s="79" t="s">
        <v>10</v>
      </c>
      <c r="C339" s="79" t="s">
        <v>314</v>
      </c>
      <c r="D339" s="89" t="s">
        <v>227</v>
      </c>
      <c r="E339" s="79">
        <v>160</v>
      </c>
      <c r="F339" s="79">
        <v>90</v>
      </c>
      <c r="G339" s="79">
        <v>22.8</v>
      </c>
      <c r="H339" s="83">
        <v>480</v>
      </c>
      <c r="I339" s="83"/>
      <c r="J339" s="83"/>
      <c r="K339" s="83"/>
      <c r="L339" s="83"/>
      <c r="M339" s="84"/>
      <c r="N339" s="84"/>
      <c r="O339" s="84">
        <v>61</v>
      </c>
      <c r="P339" s="85">
        <v>370</v>
      </c>
      <c r="Q339" s="85"/>
      <c r="R339" s="85"/>
      <c r="S339" s="85"/>
      <c r="T339" s="80"/>
      <c r="U339" s="80"/>
      <c r="V339" s="81" t="s">
        <v>53</v>
      </c>
      <c r="W339" s="81">
        <f>+VLOOKUP(A339,infradensité!$A$2:$B$67,2,FALSE)</f>
        <v>0.48</v>
      </c>
      <c r="X339" s="81">
        <v>1.3</v>
      </c>
      <c r="Y339" s="82">
        <f t="shared" si="40"/>
        <v>0</v>
      </c>
      <c r="Z339" s="82" t="e">
        <f t="shared" si="42"/>
        <v>#NUM!</v>
      </c>
      <c r="AA339" s="82" t="str">
        <f t="shared" si="43"/>
        <v>Mélèze d'Europe_F2_ME2_d6_GSM Alpes du Sud_90_</v>
      </c>
      <c r="AB339" s="79">
        <v>90</v>
      </c>
      <c r="AC339" s="82" t="e">
        <f t="shared" si="41"/>
        <v>#NUM!</v>
      </c>
      <c r="AD339" s="86" t="e">
        <f t="shared" si="44"/>
        <v>#NUM!</v>
      </c>
      <c r="AE339" s="81"/>
    </row>
    <row r="340" spans="1:31" hidden="1" x14ac:dyDescent="0.25">
      <c r="A340" s="79" t="s">
        <v>312</v>
      </c>
      <c r="B340" s="79" t="s">
        <v>10</v>
      </c>
      <c r="C340" s="79" t="s">
        <v>314</v>
      </c>
      <c r="D340" s="89" t="s">
        <v>227</v>
      </c>
      <c r="E340" s="79">
        <v>160</v>
      </c>
      <c r="F340" s="79">
        <v>110</v>
      </c>
      <c r="G340" s="79">
        <v>25</v>
      </c>
      <c r="H340" s="83">
        <v>370</v>
      </c>
      <c r="I340" s="83"/>
      <c r="J340" s="83"/>
      <c r="K340" s="83"/>
      <c r="L340" s="83"/>
      <c r="M340" s="84"/>
      <c r="N340" s="84"/>
      <c r="O340" s="84">
        <v>53</v>
      </c>
      <c r="P340" s="85">
        <v>295</v>
      </c>
      <c r="Q340" s="85"/>
      <c r="R340" s="85"/>
      <c r="S340" s="85"/>
      <c r="T340" s="80"/>
      <c r="U340" s="80"/>
      <c r="V340" s="81" t="s">
        <v>53</v>
      </c>
      <c r="W340" s="81">
        <f>+VLOOKUP(A340,infradensité!$A$2:$B$67,2,FALSE)</f>
        <v>0.48</v>
      </c>
      <c r="X340" s="81">
        <v>1.3</v>
      </c>
      <c r="Y340" s="82">
        <f t="shared" si="40"/>
        <v>0</v>
      </c>
      <c r="Z340" s="82" t="e">
        <f t="shared" si="42"/>
        <v>#NUM!</v>
      </c>
      <c r="AA340" s="82" t="str">
        <f t="shared" si="43"/>
        <v>Mélèze d'Europe_F2_ME2_d6_GSM Alpes du Sud_110_</v>
      </c>
      <c r="AB340" s="79">
        <v>110</v>
      </c>
      <c r="AC340" s="82" t="e">
        <f t="shared" si="41"/>
        <v>#NUM!</v>
      </c>
      <c r="AD340" s="86" t="e">
        <f t="shared" si="44"/>
        <v>#NUM!</v>
      </c>
      <c r="AE340" s="81"/>
    </row>
    <row r="341" spans="1:31" hidden="1" x14ac:dyDescent="0.25">
      <c r="A341" s="79" t="s">
        <v>312</v>
      </c>
      <c r="B341" s="79" t="s">
        <v>10</v>
      </c>
      <c r="C341" s="79" t="s">
        <v>314</v>
      </c>
      <c r="D341" s="89" t="s">
        <v>227</v>
      </c>
      <c r="E341" s="79">
        <v>160</v>
      </c>
      <c r="F341" s="79">
        <v>130</v>
      </c>
      <c r="G341" s="79">
        <v>26.9</v>
      </c>
      <c r="H341" s="83">
        <v>295</v>
      </c>
      <c r="I341" s="83"/>
      <c r="J341" s="83"/>
      <c r="K341" s="83"/>
      <c r="L341" s="83"/>
      <c r="M341" s="84"/>
      <c r="N341" s="84"/>
      <c r="O341" s="84">
        <v>61</v>
      </c>
      <c r="P341" s="85">
        <v>240</v>
      </c>
      <c r="Q341" s="85"/>
      <c r="R341" s="85"/>
      <c r="S341" s="85"/>
      <c r="T341" s="80"/>
      <c r="U341" s="80"/>
      <c r="V341" s="81" t="s">
        <v>53</v>
      </c>
      <c r="W341" s="81">
        <f>+VLOOKUP(A341,infradensité!$A$2:$B$67,2,FALSE)</f>
        <v>0.48</v>
      </c>
      <c r="X341" s="81">
        <v>1.3</v>
      </c>
      <c r="Y341" s="82">
        <f t="shared" si="40"/>
        <v>0</v>
      </c>
      <c r="Z341" s="82" t="e">
        <f t="shared" si="42"/>
        <v>#NUM!</v>
      </c>
      <c r="AA341" s="82" t="str">
        <f t="shared" si="43"/>
        <v>Mélèze d'Europe_F2_ME2_d6_GSM Alpes du Sud_130_</v>
      </c>
      <c r="AB341" s="79">
        <v>130</v>
      </c>
      <c r="AC341" s="82" t="e">
        <f t="shared" si="41"/>
        <v>#NUM!</v>
      </c>
      <c r="AD341" s="86" t="e">
        <f t="shared" si="44"/>
        <v>#NUM!</v>
      </c>
      <c r="AE341" s="81"/>
    </row>
    <row r="342" spans="1:31" hidden="1" x14ac:dyDescent="0.25">
      <c r="A342" s="79" t="s">
        <v>312</v>
      </c>
      <c r="B342" s="79" t="s">
        <v>10</v>
      </c>
      <c r="C342" s="79" t="s">
        <v>314</v>
      </c>
      <c r="D342" s="89" t="s">
        <v>227</v>
      </c>
      <c r="E342" s="79">
        <v>160</v>
      </c>
      <c r="F342" s="79">
        <v>150</v>
      </c>
      <c r="G342" s="79">
        <v>28.6</v>
      </c>
      <c r="H342" s="83">
        <v>240</v>
      </c>
      <c r="I342" s="83"/>
      <c r="J342" s="83"/>
      <c r="K342" s="83"/>
      <c r="L342" s="83"/>
      <c r="M342" s="84"/>
      <c r="N342" s="84"/>
      <c r="O342" s="84">
        <v>75</v>
      </c>
      <c r="P342" s="85">
        <v>190</v>
      </c>
      <c r="Q342" s="85"/>
      <c r="R342" s="85"/>
      <c r="S342" s="85"/>
      <c r="T342" s="80"/>
      <c r="U342" s="80"/>
      <c r="V342" s="81" t="s">
        <v>53</v>
      </c>
      <c r="W342" s="81">
        <f>+VLOOKUP(A342,infradensité!$A$2:$B$67,2,FALSE)</f>
        <v>0.48</v>
      </c>
      <c r="X342" s="81">
        <v>1.3</v>
      </c>
      <c r="Y342" s="82">
        <f t="shared" si="40"/>
        <v>0</v>
      </c>
      <c r="Z342" s="82" t="e">
        <f t="shared" si="42"/>
        <v>#NUM!</v>
      </c>
      <c r="AA342" s="82" t="str">
        <f t="shared" si="43"/>
        <v>Mélèze d'Europe_F2_ME2_d6_GSM Alpes du Sud_150_</v>
      </c>
      <c r="AB342" s="79">
        <v>150</v>
      </c>
      <c r="AC342" s="82" t="e">
        <f t="shared" si="41"/>
        <v>#NUM!</v>
      </c>
      <c r="AD342" s="86" t="e">
        <f t="shared" si="44"/>
        <v>#NUM!</v>
      </c>
      <c r="AE342" s="81"/>
    </row>
    <row r="343" spans="1:31" hidden="1" x14ac:dyDescent="0.25">
      <c r="A343" s="79" t="s">
        <v>312</v>
      </c>
      <c r="B343" s="79" t="s">
        <v>10</v>
      </c>
      <c r="C343" s="79" t="s">
        <v>314</v>
      </c>
      <c r="D343" s="89" t="s">
        <v>227</v>
      </c>
      <c r="E343" s="79">
        <v>160</v>
      </c>
      <c r="F343" s="79">
        <v>170</v>
      </c>
      <c r="G343" s="79">
        <v>30.2</v>
      </c>
      <c r="H343" s="83">
        <v>190</v>
      </c>
      <c r="I343" s="83"/>
      <c r="J343" s="83"/>
      <c r="K343" s="83"/>
      <c r="L343" s="83"/>
      <c r="M343" s="84"/>
      <c r="N343" s="84"/>
      <c r="O343" s="84">
        <v>180</v>
      </c>
      <c r="P343" s="85">
        <v>100</v>
      </c>
      <c r="Q343" s="85"/>
      <c r="R343" s="85"/>
      <c r="S343" s="85"/>
      <c r="T343" s="80"/>
      <c r="U343" s="80"/>
      <c r="V343" s="81" t="s">
        <v>53</v>
      </c>
      <c r="W343" s="81">
        <f>+VLOOKUP(A343,infradensité!$A$2:$B$67,2,FALSE)</f>
        <v>0.48</v>
      </c>
      <c r="X343" s="81">
        <v>1.3</v>
      </c>
      <c r="Y343" s="82">
        <f t="shared" si="40"/>
        <v>0</v>
      </c>
      <c r="Z343" s="82" t="e">
        <f t="shared" si="42"/>
        <v>#NUM!</v>
      </c>
      <c r="AA343" s="82" t="str">
        <f t="shared" si="43"/>
        <v>Mélèze d'Europe_F2_ME2_d6_GSM Alpes du Sud_170_</v>
      </c>
      <c r="AB343" s="79">
        <v>170</v>
      </c>
      <c r="AC343" s="82" t="e">
        <f t="shared" si="41"/>
        <v>#NUM!</v>
      </c>
      <c r="AD343" s="86" t="e">
        <f t="shared" si="44"/>
        <v>#NUM!</v>
      </c>
      <c r="AE343" s="81"/>
    </row>
    <row r="344" spans="1:31" hidden="1" x14ac:dyDescent="0.25">
      <c r="A344" s="79" t="s">
        <v>312</v>
      </c>
      <c r="B344" s="79" t="s">
        <v>10</v>
      </c>
      <c r="C344" s="79" t="s">
        <v>314</v>
      </c>
      <c r="D344" s="89" t="s">
        <v>227</v>
      </c>
      <c r="E344" s="79">
        <v>160</v>
      </c>
      <c r="F344" s="79">
        <v>190</v>
      </c>
      <c r="G344" s="79">
        <v>31.7</v>
      </c>
      <c r="H344" s="83">
        <v>100</v>
      </c>
      <c r="I344" s="83"/>
      <c r="J344" s="83"/>
      <c r="K344" s="83"/>
      <c r="L344" s="83"/>
      <c r="M344" s="84"/>
      <c r="N344" s="84"/>
      <c r="O344" s="84">
        <v>240</v>
      </c>
      <c r="P344" s="85">
        <v>0</v>
      </c>
      <c r="Q344" s="85"/>
      <c r="R344" s="85"/>
      <c r="S344" s="85"/>
      <c r="T344" s="80"/>
      <c r="U344" s="80"/>
      <c r="V344" s="81" t="s">
        <v>53</v>
      </c>
      <c r="W344" s="81">
        <f>+VLOOKUP(A344,infradensité!$A$2:$B$67,2,FALSE)</f>
        <v>0.48</v>
      </c>
      <c r="X344" s="81">
        <v>1.3</v>
      </c>
      <c r="Y344" s="82">
        <f t="shared" si="40"/>
        <v>0</v>
      </c>
      <c r="Z344" s="82" t="e">
        <f t="shared" si="42"/>
        <v>#NUM!</v>
      </c>
      <c r="AA344" s="82" t="str">
        <f t="shared" si="43"/>
        <v>Mélèze d'Europe_F2_ME2_d6_GSM Alpes du Sud_190_</v>
      </c>
      <c r="AB344" s="79">
        <v>190</v>
      </c>
      <c r="AC344" s="82" t="e">
        <f t="shared" si="41"/>
        <v>#NUM!</v>
      </c>
      <c r="AD344" s="86" t="e">
        <f t="shared" si="44"/>
        <v>#NUM!</v>
      </c>
      <c r="AE344" s="81"/>
    </row>
    <row r="345" spans="1:31" s="1" customFormat="1" hidden="1" x14ac:dyDescent="0.25">
      <c r="A345" s="86" t="s">
        <v>236</v>
      </c>
      <c r="B345" s="86" t="s">
        <v>10</v>
      </c>
      <c r="C345" s="86" t="s">
        <v>18</v>
      </c>
      <c r="D345" s="87" t="s">
        <v>235</v>
      </c>
      <c r="E345" s="86">
        <v>333</v>
      </c>
      <c r="F345" s="86">
        <v>20</v>
      </c>
      <c r="G345" s="86"/>
      <c r="H345" s="90"/>
      <c r="I345" s="86"/>
      <c r="J345" s="86">
        <v>0</v>
      </c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>
        <f>+VLOOKUP(A345,infradensité!$A$2:$B$67,2,FALSE)</f>
        <v>0.46</v>
      </c>
      <c r="X345" s="86">
        <v>1.3</v>
      </c>
      <c r="Y345" s="88">
        <f t="shared" si="40"/>
        <v>0</v>
      </c>
      <c r="Z345" s="88" t="e">
        <f t="shared" si="42"/>
        <v>#NUM!</v>
      </c>
      <c r="AA345" s="88" t="str">
        <f t="shared" si="43"/>
        <v>Pin Maritime_F2_Classique_GS Pineraies des plaines du Centre et du Nord Ouest_0_</v>
      </c>
      <c r="AB345" s="86">
        <v>0</v>
      </c>
      <c r="AC345" s="88">
        <v>0</v>
      </c>
      <c r="AD345" s="86">
        <f t="shared" si="44"/>
        <v>0</v>
      </c>
      <c r="AE345" s="86">
        <f>+SUM($AD$345:$AD$363)/$AB$363</f>
        <v>484.32967082766908</v>
      </c>
    </row>
    <row r="346" spans="1:31" s="1" customFormat="1" hidden="1" x14ac:dyDescent="0.25">
      <c r="A346" s="79" t="s">
        <v>236</v>
      </c>
      <c r="B346" s="79" t="s">
        <v>10</v>
      </c>
      <c r="C346" s="79" t="s">
        <v>18</v>
      </c>
      <c r="D346" s="89" t="s">
        <v>235</v>
      </c>
      <c r="E346" s="79">
        <v>333</v>
      </c>
      <c r="F346" s="79">
        <v>20</v>
      </c>
      <c r="G346" s="79"/>
      <c r="H346" s="91"/>
      <c r="I346" s="83"/>
      <c r="J346" s="83">
        <v>103</v>
      </c>
      <c r="K346" s="83"/>
      <c r="L346" s="83"/>
      <c r="M346" s="84"/>
      <c r="N346" s="84"/>
      <c r="O346" s="84"/>
      <c r="P346" s="85"/>
      <c r="Q346" s="85"/>
      <c r="R346" s="85"/>
      <c r="S346" s="85"/>
      <c r="T346" s="80"/>
      <c r="U346" s="80"/>
      <c r="V346" s="81"/>
      <c r="W346" s="81">
        <f>+VLOOKUP(A346,infradensité!$A$2:$B$67,2,FALSE)</f>
        <v>0.46</v>
      </c>
      <c r="X346" s="81">
        <v>1.3</v>
      </c>
      <c r="Y346" s="82">
        <f t="shared" si="40"/>
        <v>61.594000000000008</v>
      </c>
      <c r="Z346" s="82">
        <f t="shared" si="42"/>
        <v>17.570665168564613</v>
      </c>
      <c r="AA346" s="82" t="str">
        <f t="shared" si="43"/>
        <v>Pin Maritime_F2_Classique_GS Pineraies des plaines du Centre et du Nord Ouest_20_</v>
      </c>
      <c r="AB346" s="79">
        <f t="shared" ref="AB346:AB363" si="45">F346</f>
        <v>20</v>
      </c>
      <c r="AC346" s="82">
        <f t="shared" si="41"/>
        <v>137.8784585019167</v>
      </c>
      <c r="AD346" s="86">
        <f t="shared" si="44"/>
        <v>1378.784585019167</v>
      </c>
      <c r="AE346" s="86">
        <f t="shared" ref="AE346:AE362" si="46">+SUM($AD$345:$AD$363)/$AB$363</f>
        <v>484.32967082766908</v>
      </c>
    </row>
    <row r="347" spans="1:31" s="1" customFormat="1" hidden="1" x14ac:dyDescent="0.25">
      <c r="A347" s="79" t="s">
        <v>236</v>
      </c>
      <c r="B347" s="79" t="s">
        <v>10</v>
      </c>
      <c r="C347" s="79" t="s">
        <v>18</v>
      </c>
      <c r="D347" s="89" t="s">
        <v>235</v>
      </c>
      <c r="E347" s="79">
        <v>333</v>
      </c>
      <c r="F347" s="79">
        <v>21</v>
      </c>
      <c r="G347" s="79"/>
      <c r="H347" s="83"/>
      <c r="I347" s="83"/>
      <c r="J347" s="83">
        <v>127</v>
      </c>
      <c r="K347" s="83"/>
      <c r="L347" s="83"/>
      <c r="M347" s="84"/>
      <c r="N347" s="84"/>
      <c r="O347" s="84"/>
      <c r="P347" s="85"/>
      <c r="Q347" s="85"/>
      <c r="R347" s="85"/>
      <c r="S347" s="85"/>
      <c r="T347" s="80"/>
      <c r="U347" s="80"/>
      <c r="V347" s="81"/>
      <c r="W347" s="81">
        <f>+VLOOKUP(A347,infradensité!$A$2:$B$67,2,FALSE)</f>
        <v>0.46</v>
      </c>
      <c r="X347" s="81">
        <v>1.3</v>
      </c>
      <c r="Y347" s="82">
        <f t="shared" ref="Y347:Y410" si="47">+X347*W347*J347</f>
        <v>75.946000000000012</v>
      </c>
      <c r="Z347" s="82">
        <f t="shared" si="42"/>
        <v>21.142979995226831</v>
      </c>
      <c r="AA347" s="82" t="str">
        <f t="shared" si="43"/>
        <v>Pin Maritime_F2_Classique_GS Pineraies des plaines du Centre et du Nord Ouest_21_</v>
      </c>
      <c r="AB347" s="79">
        <f t="shared" si="45"/>
        <v>21</v>
      </c>
      <c r="AC347" s="82">
        <f t="shared" ref="AC347:AC410" si="48">+(Z347+Y347)*0.475*44/12</f>
        <v>169.09664015835344</v>
      </c>
      <c r="AD347" s="86">
        <f t="shared" si="44"/>
        <v>153.48754933013507</v>
      </c>
      <c r="AE347" s="86">
        <f t="shared" si="46"/>
        <v>484.32967082766908</v>
      </c>
    </row>
    <row r="348" spans="1:31" s="1" customFormat="1" hidden="1" x14ac:dyDescent="0.25">
      <c r="A348" s="79" t="s">
        <v>236</v>
      </c>
      <c r="B348" s="79" t="s">
        <v>10</v>
      </c>
      <c r="C348" s="79" t="s">
        <v>18</v>
      </c>
      <c r="D348" s="89" t="s">
        <v>235</v>
      </c>
      <c r="E348" s="79">
        <v>333</v>
      </c>
      <c r="F348" s="79">
        <v>21</v>
      </c>
      <c r="G348" s="79"/>
      <c r="H348" s="83"/>
      <c r="I348" s="83"/>
      <c r="J348" s="83">
        <v>82</v>
      </c>
      <c r="K348" s="83"/>
      <c r="L348" s="83"/>
      <c r="M348" s="84"/>
      <c r="N348" s="84"/>
      <c r="O348" s="84"/>
      <c r="P348" s="85"/>
      <c r="Q348" s="85"/>
      <c r="R348" s="85"/>
      <c r="S348" s="85"/>
      <c r="T348" s="80"/>
      <c r="U348" s="80"/>
      <c r="V348" s="81"/>
      <c r="W348" s="81">
        <f>+VLOOKUP(A348,infradensité!$A$2:$B$67,2,FALSE)</f>
        <v>0.46</v>
      </c>
      <c r="X348" s="81">
        <v>1.3</v>
      </c>
      <c r="Y348" s="82">
        <f t="shared" si="47"/>
        <v>49.036000000000008</v>
      </c>
      <c r="Z348" s="82">
        <f t="shared" ref="Z348:Z411" si="49">+EXP(-1.0587+0.8836*LN(Y348)+0.284)</f>
        <v>14.364521080802803</v>
      </c>
      <c r="AA348" s="82" t="str">
        <f t="shared" si="43"/>
        <v>Pin Maritime_F2_Classique_GS Pineraies des plaines du Centre et du Nord Ouest_21_</v>
      </c>
      <c r="AB348" s="79">
        <f t="shared" si="45"/>
        <v>21</v>
      </c>
      <c r="AC348" s="82">
        <f t="shared" si="48"/>
        <v>110.42257421573156</v>
      </c>
      <c r="AD348" s="86">
        <f t="shared" si="44"/>
        <v>0</v>
      </c>
      <c r="AE348" s="86">
        <f t="shared" si="46"/>
        <v>484.32967082766908</v>
      </c>
    </row>
    <row r="349" spans="1:31" s="1" customFormat="1" hidden="1" x14ac:dyDescent="0.25">
      <c r="A349" s="79" t="s">
        <v>236</v>
      </c>
      <c r="B349" s="79" t="s">
        <v>10</v>
      </c>
      <c r="C349" s="79" t="s">
        <v>18</v>
      </c>
      <c r="D349" s="89" t="s">
        <v>235</v>
      </c>
      <c r="E349" s="79">
        <v>333</v>
      </c>
      <c r="F349" s="79">
        <v>27</v>
      </c>
      <c r="G349" s="79"/>
      <c r="H349" s="83"/>
      <c r="I349" s="83"/>
      <c r="J349" s="83">
        <v>193</v>
      </c>
      <c r="K349" s="83"/>
      <c r="L349" s="83"/>
      <c r="M349" s="84"/>
      <c r="N349" s="84"/>
      <c r="O349" s="84"/>
      <c r="P349" s="85"/>
      <c r="Q349" s="85"/>
      <c r="R349" s="85"/>
      <c r="S349" s="85"/>
      <c r="T349" s="80"/>
      <c r="U349" s="80"/>
      <c r="V349" s="81"/>
      <c r="W349" s="81">
        <f>+VLOOKUP(A349,infradensité!$A$2:$B$67,2,FALSE)</f>
        <v>0.46</v>
      </c>
      <c r="X349" s="81">
        <v>1.3</v>
      </c>
      <c r="Y349" s="82">
        <f t="shared" si="47"/>
        <v>115.41400000000002</v>
      </c>
      <c r="Z349" s="82">
        <f t="shared" si="49"/>
        <v>30.602976534547519</v>
      </c>
      <c r="AA349" s="82" t="str">
        <f t="shared" si="43"/>
        <v>Pin Maritime_F2_Classique_GS Pineraies des plaines du Centre et du Nord Ouest_27_</v>
      </c>
      <c r="AB349" s="79">
        <f t="shared" si="45"/>
        <v>27</v>
      </c>
      <c r="AC349" s="82">
        <f t="shared" si="48"/>
        <v>254.31290079767027</v>
      </c>
      <c r="AD349" s="86">
        <f t="shared" si="44"/>
        <v>1094.2064250402054</v>
      </c>
      <c r="AE349" s="86">
        <f t="shared" si="46"/>
        <v>484.32967082766908</v>
      </c>
    </row>
    <row r="350" spans="1:31" s="1" customFormat="1" hidden="1" x14ac:dyDescent="0.25">
      <c r="A350" s="79" t="s">
        <v>236</v>
      </c>
      <c r="B350" s="79" t="s">
        <v>10</v>
      </c>
      <c r="C350" s="79" t="s">
        <v>18</v>
      </c>
      <c r="D350" s="89" t="s">
        <v>235</v>
      </c>
      <c r="E350" s="79">
        <v>333</v>
      </c>
      <c r="F350" s="79">
        <v>27</v>
      </c>
      <c r="G350" s="79"/>
      <c r="H350" s="83"/>
      <c r="I350" s="83"/>
      <c r="J350" s="83">
        <v>143</v>
      </c>
      <c r="K350" s="83"/>
      <c r="L350" s="83"/>
      <c r="M350" s="84"/>
      <c r="N350" s="84"/>
      <c r="O350" s="84"/>
      <c r="P350" s="85"/>
      <c r="Q350" s="85"/>
      <c r="R350" s="85"/>
      <c r="S350" s="85"/>
      <c r="T350" s="80"/>
      <c r="U350" s="80"/>
      <c r="V350" s="81"/>
      <c r="W350" s="81">
        <f>+VLOOKUP(A350,infradensité!$A$2:$B$67,2,FALSE)</f>
        <v>0.46</v>
      </c>
      <c r="X350" s="81">
        <v>1.3</v>
      </c>
      <c r="Y350" s="82">
        <f t="shared" si="47"/>
        <v>85.51400000000001</v>
      </c>
      <c r="Z350" s="82">
        <f t="shared" si="49"/>
        <v>23.480111436812177</v>
      </c>
      <c r="AA350" s="82" t="str">
        <f t="shared" si="43"/>
        <v>Pin Maritime_F2_Classique_GS Pineraies des plaines du Centre et du Nord Ouest_27_</v>
      </c>
      <c r="AB350" s="79">
        <f t="shared" si="45"/>
        <v>27</v>
      </c>
      <c r="AC350" s="82">
        <f t="shared" si="48"/>
        <v>189.83141075244791</v>
      </c>
      <c r="AD350" s="86">
        <f t="shared" si="44"/>
        <v>0</v>
      </c>
      <c r="AE350" s="86">
        <f t="shared" si="46"/>
        <v>484.32967082766908</v>
      </c>
    </row>
    <row r="351" spans="1:31" s="1" customFormat="1" hidden="1" x14ac:dyDescent="0.25">
      <c r="A351" s="86" t="s">
        <v>236</v>
      </c>
      <c r="B351" s="86" t="s">
        <v>10</v>
      </c>
      <c r="C351" s="86" t="s">
        <v>18</v>
      </c>
      <c r="D351" s="87" t="s">
        <v>235</v>
      </c>
      <c r="E351" s="86">
        <v>333</v>
      </c>
      <c r="F351" s="86">
        <v>30</v>
      </c>
      <c r="G351" s="86"/>
      <c r="H351" s="86"/>
      <c r="I351" s="86"/>
      <c r="J351" s="86">
        <f>+(J352-J350)/7*3+J350</f>
        <v>203.85714285714286</v>
      </c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>
        <f>+VLOOKUP(A351,infradensité!$A$2:$B$67,2,FALSE)</f>
        <v>0.46</v>
      </c>
      <c r="X351" s="86">
        <v>1.3</v>
      </c>
      <c r="Y351" s="88">
        <f t="shared" si="47"/>
        <v>121.90657142857145</v>
      </c>
      <c r="Z351" s="88">
        <f t="shared" si="49"/>
        <v>32.119266994659604</v>
      </c>
      <c r="AA351" s="88" t="str">
        <f t="shared" si="43"/>
        <v>Pin Maritime_F2_Classique_GS Pineraies des plaines du Centre et du Nord Ouest_30_</v>
      </c>
      <c r="AB351" s="86">
        <f t="shared" si="45"/>
        <v>30</v>
      </c>
      <c r="AC351" s="88">
        <f t="shared" si="48"/>
        <v>268.26166858712742</v>
      </c>
      <c r="AD351" s="86">
        <f t="shared" si="44"/>
        <v>687.13961900936295</v>
      </c>
      <c r="AE351" s="86">
        <f t="shared" si="46"/>
        <v>484.32967082766908</v>
      </c>
    </row>
    <row r="352" spans="1:31" s="1" customFormat="1" hidden="1" x14ac:dyDescent="0.25">
      <c r="A352" s="79" t="s">
        <v>236</v>
      </c>
      <c r="B352" s="79" t="s">
        <v>10</v>
      </c>
      <c r="C352" s="79" t="s">
        <v>18</v>
      </c>
      <c r="D352" s="89" t="s">
        <v>235</v>
      </c>
      <c r="E352" s="79">
        <v>333</v>
      </c>
      <c r="F352" s="79">
        <v>34</v>
      </c>
      <c r="G352" s="79"/>
      <c r="H352" s="83"/>
      <c r="I352" s="83"/>
      <c r="J352" s="83">
        <v>285</v>
      </c>
      <c r="K352" s="83"/>
      <c r="L352" s="83"/>
      <c r="M352" s="84"/>
      <c r="N352" s="84"/>
      <c r="O352" s="84"/>
      <c r="P352" s="85"/>
      <c r="Q352" s="85"/>
      <c r="R352" s="85"/>
      <c r="S352" s="85"/>
      <c r="T352" s="80"/>
      <c r="U352" s="80"/>
      <c r="V352" s="81"/>
      <c r="W352" s="81">
        <f>+VLOOKUP(A352,infradensité!$A$2:$B$67,2,FALSE)</f>
        <v>0.46</v>
      </c>
      <c r="X352" s="81">
        <v>1.3</v>
      </c>
      <c r="Y352" s="82">
        <f t="shared" si="47"/>
        <v>170.43000000000004</v>
      </c>
      <c r="Z352" s="82">
        <f t="shared" si="49"/>
        <v>43.186315117079396</v>
      </c>
      <c r="AA352" s="82" t="str">
        <f t="shared" si="43"/>
        <v>Pin Maritime_F2_Classique_GS Pineraies des plaines du Centre et du Nord Ouest_34_</v>
      </c>
      <c r="AB352" s="79">
        <f t="shared" si="45"/>
        <v>34</v>
      </c>
      <c r="AC352" s="82">
        <f t="shared" si="48"/>
        <v>372.04841549558</v>
      </c>
      <c r="AD352" s="86">
        <f t="shared" si="44"/>
        <v>1280.6201681654147</v>
      </c>
      <c r="AE352" s="86">
        <f t="shared" si="46"/>
        <v>484.32967082766908</v>
      </c>
    </row>
    <row r="353" spans="1:31" s="1" customFormat="1" hidden="1" x14ac:dyDescent="0.25">
      <c r="A353" s="79" t="s">
        <v>236</v>
      </c>
      <c r="B353" s="79" t="s">
        <v>10</v>
      </c>
      <c r="C353" s="79" t="s">
        <v>18</v>
      </c>
      <c r="D353" s="89" t="s">
        <v>235</v>
      </c>
      <c r="E353" s="79">
        <v>333</v>
      </c>
      <c r="F353" s="79">
        <v>34</v>
      </c>
      <c r="G353" s="79"/>
      <c r="H353" s="83"/>
      <c r="I353" s="83"/>
      <c r="J353" s="83">
        <v>209</v>
      </c>
      <c r="K353" s="83"/>
      <c r="L353" s="83"/>
      <c r="M353" s="84"/>
      <c r="N353" s="84"/>
      <c r="O353" s="84"/>
      <c r="P353" s="85"/>
      <c r="Q353" s="85"/>
      <c r="R353" s="85"/>
      <c r="S353" s="85"/>
      <c r="T353" s="80"/>
      <c r="U353" s="80"/>
      <c r="V353" s="81"/>
      <c r="W353" s="81">
        <f>+VLOOKUP(A353,infradensité!$A$2:$B$67,2,FALSE)</f>
        <v>0.46</v>
      </c>
      <c r="X353" s="81">
        <v>1.3</v>
      </c>
      <c r="Y353" s="82">
        <f t="shared" si="47"/>
        <v>124.98200000000001</v>
      </c>
      <c r="Z353" s="82">
        <f t="shared" si="49"/>
        <v>32.834203796212122</v>
      </c>
      <c r="AA353" s="82" t="str">
        <f t="shared" si="43"/>
        <v>Pin Maritime_F2_Classique_GS Pineraies des plaines du Centre et du Nord Ouest_34_</v>
      </c>
      <c r="AB353" s="79">
        <f t="shared" si="45"/>
        <v>34</v>
      </c>
      <c r="AC353" s="82">
        <f t="shared" si="48"/>
        <v>274.86322161173609</v>
      </c>
      <c r="AD353" s="86">
        <f t="shared" si="44"/>
        <v>0</v>
      </c>
      <c r="AE353" s="86">
        <f t="shared" si="46"/>
        <v>484.32967082766908</v>
      </c>
    </row>
    <row r="354" spans="1:31" s="1" customFormat="1" hidden="1" x14ac:dyDescent="0.25">
      <c r="A354" s="79" t="s">
        <v>236</v>
      </c>
      <c r="B354" s="79" t="s">
        <v>10</v>
      </c>
      <c r="C354" s="79" t="s">
        <v>18</v>
      </c>
      <c r="D354" s="89" t="s">
        <v>235</v>
      </c>
      <c r="E354" s="79">
        <v>333</v>
      </c>
      <c r="F354" s="79">
        <v>42</v>
      </c>
      <c r="G354" s="79"/>
      <c r="H354" s="83"/>
      <c r="I354" s="83"/>
      <c r="J354" s="83">
        <v>374</v>
      </c>
      <c r="K354" s="83"/>
      <c r="L354" s="83"/>
      <c r="M354" s="84"/>
      <c r="N354" s="84"/>
      <c r="O354" s="84"/>
      <c r="P354" s="85"/>
      <c r="Q354" s="85"/>
      <c r="R354" s="85"/>
      <c r="S354" s="85"/>
      <c r="T354" s="80"/>
      <c r="U354" s="80"/>
      <c r="V354" s="81"/>
      <c r="W354" s="81">
        <f>+VLOOKUP(A354,infradensité!$A$2:$B$67,2,FALSE)</f>
        <v>0.46</v>
      </c>
      <c r="X354" s="81">
        <v>1.3</v>
      </c>
      <c r="Y354" s="82">
        <f t="shared" si="47"/>
        <v>223.65200000000004</v>
      </c>
      <c r="Z354" s="82">
        <f t="shared" si="49"/>
        <v>54.907867720650223</v>
      </c>
      <c r="AA354" s="82" t="str">
        <f t="shared" si="43"/>
        <v>Pin Maritime_F2_Classique_GS Pineraies des plaines du Centre et du Nord Ouest_42_</v>
      </c>
      <c r="AB354" s="79">
        <f t="shared" si="45"/>
        <v>42</v>
      </c>
      <c r="AC354" s="82">
        <f t="shared" si="48"/>
        <v>485.15843628013255</v>
      </c>
      <c r="AD354" s="86">
        <f t="shared" si="44"/>
        <v>3040.0866315674748</v>
      </c>
      <c r="AE354" s="86">
        <f t="shared" si="46"/>
        <v>484.32967082766908</v>
      </c>
    </row>
    <row r="355" spans="1:31" s="1" customFormat="1" hidden="1" x14ac:dyDescent="0.25">
      <c r="A355" s="79" t="s">
        <v>236</v>
      </c>
      <c r="B355" s="79" t="s">
        <v>10</v>
      </c>
      <c r="C355" s="79" t="s">
        <v>18</v>
      </c>
      <c r="D355" s="89" t="s">
        <v>235</v>
      </c>
      <c r="E355" s="79">
        <v>333</v>
      </c>
      <c r="F355" s="79">
        <v>42</v>
      </c>
      <c r="G355" s="79"/>
      <c r="H355" s="83"/>
      <c r="I355" s="83"/>
      <c r="J355" s="83">
        <v>290</v>
      </c>
      <c r="K355" s="83"/>
      <c r="L355" s="83"/>
      <c r="M355" s="84"/>
      <c r="N355" s="84"/>
      <c r="O355" s="84"/>
      <c r="P355" s="85"/>
      <c r="Q355" s="85"/>
      <c r="R355" s="85"/>
      <c r="S355" s="85"/>
      <c r="T355" s="80"/>
      <c r="U355" s="80"/>
      <c r="V355" s="81"/>
      <c r="W355" s="81">
        <f>+VLOOKUP(A355,infradensité!$A$2:$B$67,2,FALSE)</f>
        <v>0.46</v>
      </c>
      <c r="X355" s="81">
        <v>1.3</v>
      </c>
      <c r="Y355" s="82">
        <f t="shared" si="47"/>
        <v>173.42000000000002</v>
      </c>
      <c r="Z355" s="82">
        <f t="shared" si="49"/>
        <v>43.855099630972404</v>
      </c>
      <c r="AA355" s="82" t="str">
        <f t="shared" si="43"/>
        <v>Pin Maritime_F2_Classique_GS Pineraies des plaines du Centre et du Nord Ouest_42_</v>
      </c>
      <c r="AB355" s="79">
        <f t="shared" si="45"/>
        <v>42</v>
      </c>
      <c r="AC355" s="82">
        <f t="shared" si="48"/>
        <v>378.42079852394363</v>
      </c>
      <c r="AD355" s="86">
        <f t="shared" si="44"/>
        <v>0</v>
      </c>
      <c r="AE355" s="86">
        <f t="shared" si="46"/>
        <v>484.32967082766908</v>
      </c>
    </row>
    <row r="356" spans="1:31" s="1" customFormat="1" hidden="1" x14ac:dyDescent="0.25">
      <c r="A356" s="79" t="s">
        <v>236</v>
      </c>
      <c r="B356" s="79" t="s">
        <v>10</v>
      </c>
      <c r="C356" s="79" t="s">
        <v>18</v>
      </c>
      <c r="D356" s="89" t="s">
        <v>235</v>
      </c>
      <c r="E356" s="79">
        <v>333</v>
      </c>
      <c r="F356" s="79">
        <v>52</v>
      </c>
      <c r="G356" s="79"/>
      <c r="H356" s="83"/>
      <c r="I356" s="83"/>
      <c r="J356" s="83">
        <v>476</v>
      </c>
      <c r="K356" s="83"/>
      <c r="L356" s="83"/>
      <c r="M356" s="84"/>
      <c r="N356" s="84"/>
      <c r="O356" s="84"/>
      <c r="P356" s="85"/>
      <c r="Q356" s="85"/>
      <c r="R356" s="85"/>
      <c r="S356" s="85"/>
      <c r="T356" s="80"/>
      <c r="U356" s="80"/>
      <c r="V356" s="81"/>
      <c r="W356" s="81">
        <f>+VLOOKUP(A356,infradensité!$A$2:$B$67,2,FALSE)</f>
        <v>0.46</v>
      </c>
      <c r="X356" s="81">
        <v>1.3</v>
      </c>
      <c r="Y356" s="82">
        <f t="shared" si="47"/>
        <v>284.64800000000002</v>
      </c>
      <c r="Z356" s="82">
        <f t="shared" si="49"/>
        <v>67.948321729376303</v>
      </c>
      <c r="AA356" s="82" t="str">
        <f t="shared" si="43"/>
        <v>Pin Maritime_F2_Classique_GS Pineraies des plaines du Centre et du Nord Ouest_52_</v>
      </c>
      <c r="AB356" s="79">
        <f t="shared" si="45"/>
        <v>52</v>
      </c>
      <c r="AC356" s="82">
        <f t="shared" si="48"/>
        <v>614.10526034533029</v>
      </c>
      <c r="AD356" s="86">
        <f t="shared" si="44"/>
        <v>4962.6302943463697</v>
      </c>
      <c r="AE356" s="86">
        <f t="shared" si="46"/>
        <v>484.32967082766908</v>
      </c>
    </row>
    <row r="357" spans="1:31" s="1" customFormat="1" hidden="1" x14ac:dyDescent="0.25">
      <c r="A357" s="79" t="s">
        <v>236</v>
      </c>
      <c r="B357" s="79" t="s">
        <v>10</v>
      </c>
      <c r="C357" s="79" t="s">
        <v>18</v>
      </c>
      <c r="D357" s="89" t="s">
        <v>235</v>
      </c>
      <c r="E357" s="79">
        <v>333</v>
      </c>
      <c r="F357" s="79">
        <v>52</v>
      </c>
      <c r="G357" s="79"/>
      <c r="H357" s="83"/>
      <c r="I357" s="83"/>
      <c r="J357" s="83">
        <v>388</v>
      </c>
      <c r="K357" s="83"/>
      <c r="L357" s="83"/>
      <c r="M357" s="84"/>
      <c r="N357" s="84"/>
      <c r="O357" s="84"/>
      <c r="P357" s="85"/>
      <c r="Q357" s="85"/>
      <c r="R357" s="85"/>
      <c r="S357" s="85"/>
      <c r="T357" s="80"/>
      <c r="U357" s="80"/>
      <c r="V357" s="81"/>
      <c r="W357" s="81">
        <f>+VLOOKUP(A357,infradensité!$A$2:$B$67,2,FALSE)</f>
        <v>0.46</v>
      </c>
      <c r="X357" s="81">
        <v>1.3</v>
      </c>
      <c r="Y357" s="82">
        <f t="shared" si="47"/>
        <v>232.02400000000003</v>
      </c>
      <c r="Z357" s="82">
        <f t="shared" si="49"/>
        <v>56.720094243161071</v>
      </c>
      <c r="AA357" s="82" t="str">
        <f t="shared" si="43"/>
        <v>Pin Maritime_F2_Classique_GS Pineraies des plaines du Centre et du Nord Ouest_52_</v>
      </c>
      <c r="AB357" s="79">
        <f t="shared" si="45"/>
        <v>52</v>
      </c>
      <c r="AC357" s="82">
        <f t="shared" si="48"/>
        <v>502.89596414017223</v>
      </c>
      <c r="AD357" s="86">
        <f t="shared" si="44"/>
        <v>0</v>
      </c>
      <c r="AE357" s="86">
        <f t="shared" si="46"/>
        <v>484.32967082766908</v>
      </c>
    </row>
    <row r="358" spans="1:31" s="1" customFormat="1" hidden="1" x14ac:dyDescent="0.25">
      <c r="A358" s="79" t="s">
        <v>236</v>
      </c>
      <c r="B358" s="79" t="s">
        <v>10</v>
      </c>
      <c r="C358" s="79" t="s">
        <v>18</v>
      </c>
      <c r="D358" s="89" t="s">
        <v>235</v>
      </c>
      <c r="E358" s="79">
        <v>333</v>
      </c>
      <c r="F358" s="79">
        <v>62</v>
      </c>
      <c r="G358" s="79"/>
      <c r="H358" s="83"/>
      <c r="I358" s="83"/>
      <c r="J358" s="83">
        <v>611</v>
      </c>
      <c r="K358" s="83"/>
      <c r="L358" s="83"/>
      <c r="M358" s="84"/>
      <c r="N358" s="84"/>
      <c r="O358" s="84"/>
      <c r="P358" s="85"/>
      <c r="Q358" s="85"/>
      <c r="R358" s="85"/>
      <c r="S358" s="85"/>
      <c r="T358" s="80"/>
      <c r="U358" s="80"/>
      <c r="V358" s="81"/>
      <c r="W358" s="81">
        <f>+VLOOKUP(A358,infradensité!$A$2:$B$67,2,FALSE)</f>
        <v>0.46</v>
      </c>
      <c r="X358" s="81">
        <v>1.3</v>
      </c>
      <c r="Y358" s="82">
        <f t="shared" si="47"/>
        <v>365.37800000000004</v>
      </c>
      <c r="Z358" s="82">
        <f t="shared" si="49"/>
        <v>84.721033379606425</v>
      </c>
      <c r="AA358" s="82" t="str">
        <f t="shared" si="43"/>
        <v>Pin Maritime_F2_Classique_GS Pineraies des plaines du Centre et du Nord Ouest_62_</v>
      </c>
      <c r="AB358" s="79">
        <f t="shared" si="45"/>
        <v>62</v>
      </c>
      <c r="AC358" s="82">
        <f t="shared" si="48"/>
        <v>783.92248313614789</v>
      </c>
      <c r="AD358" s="86">
        <f t="shared" si="44"/>
        <v>6434.0922363816007</v>
      </c>
      <c r="AE358" s="86">
        <f t="shared" si="46"/>
        <v>484.32967082766908</v>
      </c>
    </row>
    <row r="359" spans="1:31" s="1" customFormat="1" hidden="1" x14ac:dyDescent="0.25">
      <c r="A359" s="79" t="s">
        <v>236</v>
      </c>
      <c r="B359" s="79" t="s">
        <v>10</v>
      </c>
      <c r="C359" s="79" t="s">
        <v>18</v>
      </c>
      <c r="D359" s="89" t="s">
        <v>235</v>
      </c>
      <c r="E359" s="79">
        <v>333</v>
      </c>
      <c r="F359" s="79">
        <v>62</v>
      </c>
      <c r="G359" s="79"/>
      <c r="H359" s="83"/>
      <c r="I359" s="83"/>
      <c r="J359" s="83">
        <v>516</v>
      </c>
      <c r="K359" s="83"/>
      <c r="L359" s="83"/>
      <c r="M359" s="84"/>
      <c r="N359" s="84"/>
      <c r="O359" s="84"/>
      <c r="P359" s="85"/>
      <c r="Q359" s="85"/>
      <c r="R359" s="85"/>
      <c r="S359" s="85"/>
      <c r="T359" s="80"/>
      <c r="U359" s="80"/>
      <c r="V359" s="81"/>
      <c r="W359" s="81">
        <f>+VLOOKUP(A359,infradensité!$A$2:$B$67,2,FALSE)</f>
        <v>0.46</v>
      </c>
      <c r="X359" s="81">
        <v>1.3</v>
      </c>
      <c r="Y359" s="82">
        <f t="shared" si="47"/>
        <v>308.56800000000004</v>
      </c>
      <c r="Z359" s="82">
        <f t="shared" si="49"/>
        <v>72.969691037219945</v>
      </c>
      <c r="AA359" s="82" t="str">
        <f t="shared" si="43"/>
        <v>Pin Maritime_F2_Classique_GS Pineraies des plaines du Centre et du Nord Ouest_62_</v>
      </c>
      <c r="AB359" s="79">
        <f t="shared" si="45"/>
        <v>62</v>
      </c>
      <c r="AC359" s="82">
        <f t="shared" si="48"/>
        <v>664.5114785564914</v>
      </c>
      <c r="AD359" s="86">
        <f t="shared" si="44"/>
        <v>0</v>
      </c>
      <c r="AE359" s="86">
        <f t="shared" si="46"/>
        <v>484.32967082766908</v>
      </c>
    </row>
    <row r="360" spans="1:31" s="1" customFormat="1" hidden="1" x14ac:dyDescent="0.25">
      <c r="A360" s="79" t="s">
        <v>236</v>
      </c>
      <c r="B360" s="79" t="s">
        <v>10</v>
      </c>
      <c r="C360" s="79" t="s">
        <v>18</v>
      </c>
      <c r="D360" s="89" t="s">
        <v>235</v>
      </c>
      <c r="E360" s="79">
        <v>333</v>
      </c>
      <c r="F360" s="79">
        <v>72</v>
      </c>
      <c r="G360" s="79"/>
      <c r="H360" s="83"/>
      <c r="I360" s="83"/>
      <c r="J360" s="83">
        <v>715</v>
      </c>
      <c r="K360" s="83"/>
      <c r="L360" s="83"/>
      <c r="M360" s="84"/>
      <c r="N360" s="84"/>
      <c r="O360" s="84"/>
      <c r="P360" s="85"/>
      <c r="Q360" s="85"/>
      <c r="R360" s="85"/>
      <c r="S360" s="85"/>
      <c r="T360" s="80"/>
      <c r="U360" s="80"/>
      <c r="V360" s="81"/>
      <c r="W360" s="81">
        <f>+VLOOKUP(A360,infradensité!$A$2:$B$67,2,FALSE)</f>
        <v>0.46</v>
      </c>
      <c r="X360" s="81">
        <v>1.3</v>
      </c>
      <c r="Y360" s="82">
        <f t="shared" si="47"/>
        <v>427.57000000000005</v>
      </c>
      <c r="Z360" s="82">
        <f t="shared" si="49"/>
        <v>97.344193108275022</v>
      </c>
      <c r="AA360" s="82" t="str">
        <f t="shared" si="43"/>
        <v>Pin Maritime_F2_Classique_GS Pineraies des plaines du Centre et du Nord Ouest_72_</v>
      </c>
      <c r="AB360" s="79">
        <f t="shared" si="45"/>
        <v>72</v>
      </c>
      <c r="AC360" s="82">
        <f t="shared" si="48"/>
        <v>914.22555299691237</v>
      </c>
      <c r="AD360" s="86">
        <f t="shared" si="44"/>
        <v>7893.6851577670186</v>
      </c>
      <c r="AE360" s="86">
        <f t="shared" si="46"/>
        <v>484.32967082766908</v>
      </c>
    </row>
    <row r="361" spans="1:31" s="1" customFormat="1" hidden="1" x14ac:dyDescent="0.25">
      <c r="A361" s="79" t="s">
        <v>236</v>
      </c>
      <c r="B361" s="79" t="s">
        <v>10</v>
      </c>
      <c r="C361" s="79" t="s">
        <v>18</v>
      </c>
      <c r="D361" s="89" t="s">
        <v>235</v>
      </c>
      <c r="E361" s="79">
        <v>333</v>
      </c>
      <c r="F361" s="79">
        <v>72</v>
      </c>
      <c r="G361" s="79"/>
      <c r="H361" s="83"/>
      <c r="I361" s="83"/>
      <c r="J361" s="83">
        <v>622</v>
      </c>
      <c r="K361" s="83"/>
      <c r="L361" s="83"/>
      <c r="M361" s="84"/>
      <c r="N361" s="84"/>
      <c r="O361" s="84"/>
      <c r="P361" s="85"/>
      <c r="Q361" s="85"/>
      <c r="R361" s="85"/>
      <c r="S361" s="85"/>
      <c r="T361" s="80"/>
      <c r="U361" s="80"/>
      <c r="V361" s="81"/>
      <c r="W361" s="81">
        <f>+VLOOKUP(A361,infradensité!$A$2:$B$67,2,FALSE)</f>
        <v>0.46</v>
      </c>
      <c r="X361" s="81">
        <v>1.3</v>
      </c>
      <c r="Y361" s="82">
        <f t="shared" si="47"/>
        <v>371.95600000000007</v>
      </c>
      <c r="Z361" s="82">
        <f t="shared" si="49"/>
        <v>86.067346758003751</v>
      </c>
      <c r="AA361" s="82" t="str">
        <f t="shared" si="43"/>
        <v>Pin Maritime_F2_Classique_GS Pineraies des plaines du Centre et du Nord Ouest_72_</v>
      </c>
      <c r="AB361" s="79">
        <f t="shared" si="45"/>
        <v>72</v>
      </c>
      <c r="AC361" s="82">
        <f t="shared" si="48"/>
        <v>797.72399560352324</v>
      </c>
      <c r="AD361" s="86">
        <f t="shared" si="44"/>
        <v>0</v>
      </c>
      <c r="AE361" s="86">
        <f t="shared" si="46"/>
        <v>484.32967082766908</v>
      </c>
    </row>
    <row r="362" spans="1:31" s="1" customFormat="1" hidden="1" x14ac:dyDescent="0.25">
      <c r="A362" s="79" t="s">
        <v>236</v>
      </c>
      <c r="B362" s="79" t="s">
        <v>10</v>
      </c>
      <c r="C362" s="79" t="s">
        <v>18</v>
      </c>
      <c r="D362" s="89" t="s">
        <v>235</v>
      </c>
      <c r="E362" s="79">
        <v>333</v>
      </c>
      <c r="F362" s="79">
        <v>80</v>
      </c>
      <c r="G362" s="79"/>
      <c r="H362" s="83"/>
      <c r="I362" s="83"/>
      <c r="J362" s="83">
        <v>725</v>
      </c>
      <c r="K362" s="83"/>
      <c r="L362" s="83"/>
      <c r="M362" s="84"/>
      <c r="N362" s="84"/>
      <c r="O362" s="84"/>
      <c r="P362" s="85"/>
      <c r="Q362" s="85"/>
      <c r="R362" s="85"/>
      <c r="S362" s="85"/>
      <c r="T362" s="80"/>
      <c r="U362" s="80"/>
      <c r="V362" s="81"/>
      <c r="W362" s="81">
        <f>+VLOOKUP(A362,infradensité!$A$2:$B$67,2,FALSE)</f>
        <v>0.46</v>
      </c>
      <c r="X362" s="81">
        <v>1.3</v>
      </c>
      <c r="Y362" s="82">
        <f t="shared" si="47"/>
        <v>433.55000000000007</v>
      </c>
      <c r="Z362" s="82">
        <f t="shared" si="49"/>
        <v>98.546202578313242</v>
      </c>
      <c r="AA362" s="82" t="str">
        <f t="shared" si="43"/>
        <v>Pin Maritime_F2_Classique_GS Pineraies des plaines du Centre et du Nord Ouest_80_</v>
      </c>
      <c r="AB362" s="79">
        <f t="shared" si="45"/>
        <v>80</v>
      </c>
      <c r="AC362" s="82">
        <f t="shared" si="48"/>
        <v>926.73421949056228</v>
      </c>
      <c r="AD362" s="86">
        <f t="shared" si="44"/>
        <v>6897.8328603763421</v>
      </c>
      <c r="AE362" s="86">
        <f t="shared" si="46"/>
        <v>484.32967082766908</v>
      </c>
    </row>
    <row r="363" spans="1:31" s="1" customFormat="1" hidden="1" x14ac:dyDescent="0.25">
      <c r="A363" s="333" t="s">
        <v>236</v>
      </c>
      <c r="B363" s="333" t="s">
        <v>10</v>
      </c>
      <c r="C363" s="333" t="s">
        <v>18</v>
      </c>
      <c r="D363" s="334" t="s">
        <v>235</v>
      </c>
      <c r="E363" s="333">
        <v>333</v>
      </c>
      <c r="F363" s="333">
        <v>90</v>
      </c>
      <c r="G363" s="333"/>
      <c r="H363" s="335"/>
      <c r="I363" s="335"/>
      <c r="J363" s="335">
        <v>805</v>
      </c>
      <c r="K363" s="335"/>
      <c r="L363" s="335"/>
      <c r="M363" s="336"/>
      <c r="N363" s="336"/>
      <c r="O363" s="336"/>
      <c r="P363" s="337"/>
      <c r="Q363" s="337"/>
      <c r="R363" s="337"/>
      <c r="S363" s="337"/>
      <c r="T363" s="338"/>
      <c r="U363" s="338"/>
      <c r="V363" s="339"/>
      <c r="W363" s="339">
        <f>+VLOOKUP(A363,infradensité!$A$2:$B$67,2,FALSE)</f>
        <v>0.46</v>
      </c>
      <c r="X363" s="339">
        <v>1.3</v>
      </c>
      <c r="Y363" s="340">
        <f t="shared" si="47"/>
        <v>481.39000000000004</v>
      </c>
      <c r="Z363" s="340">
        <f t="shared" si="49"/>
        <v>108.09521531494514</v>
      </c>
      <c r="AA363" s="340" t="str">
        <f t="shared" si="43"/>
        <v>Pin Maritime_F2_Classique_GS Pineraies des plaines du Centre et du Nord Ouest_90_</v>
      </c>
      <c r="AB363" s="333">
        <f t="shared" si="45"/>
        <v>90</v>
      </c>
      <c r="AC363" s="340">
        <f t="shared" si="48"/>
        <v>1026.6867500068627</v>
      </c>
      <c r="AD363" s="341">
        <f t="shared" si="44"/>
        <v>9767.1048474871241</v>
      </c>
      <c r="AE363" s="341">
        <f>+SUM($AD$345:$AD$363)/$AB$363</f>
        <v>484.32967082766908</v>
      </c>
    </row>
    <row r="364" spans="1:31" s="342" customFormat="1" x14ac:dyDescent="0.25">
      <c r="A364" s="330" t="s">
        <v>389</v>
      </c>
      <c r="B364" s="330" t="s">
        <v>9</v>
      </c>
      <c r="C364" s="330" t="s">
        <v>18</v>
      </c>
      <c r="D364" s="330" t="s">
        <v>137</v>
      </c>
      <c r="E364" s="330">
        <v>13</v>
      </c>
      <c r="F364" s="330">
        <v>0</v>
      </c>
      <c r="G364" s="330"/>
      <c r="J364" s="342">
        <v>0</v>
      </c>
      <c r="W364" s="339">
        <f>+VLOOKUP(A364,infradensité!$A$2:$B$67,2,FALSE)</f>
        <v>0.57999999999999996</v>
      </c>
      <c r="X364" s="339">
        <v>1.3</v>
      </c>
      <c r="Y364" s="340">
        <f t="shared" ref="Y364" si="50">+X364*W364*J364</f>
        <v>0</v>
      </c>
      <c r="Z364" s="340" t="e">
        <f t="shared" ref="Z364" si="51">+EXP(-1.0587+0.8836*LN(Y364)+0.284)</f>
        <v>#NUM!</v>
      </c>
      <c r="AA364" s="340" t="str">
        <f t="shared" ref="AA364" si="52">+_xlfn.CONCAT(A364,"_",B364,"_",C364,"_",D364,"_",AB364,"_")</f>
        <v>Chêne sessile_F1_Classique_Guide chênaie atlantique_0_</v>
      </c>
      <c r="AB364" s="333">
        <f t="shared" ref="AB364" si="53">F364</f>
        <v>0</v>
      </c>
      <c r="AC364" s="340">
        <v>0</v>
      </c>
      <c r="AD364" s="341">
        <f t="shared" si="44"/>
        <v>0</v>
      </c>
      <c r="AE364" s="341">
        <f>+SUM($AD$364:$AD$398)/$AB$398</f>
        <v>387.26639397599007</v>
      </c>
    </row>
    <row r="365" spans="1:31" s="342" customFormat="1" x14ac:dyDescent="0.25">
      <c r="A365" s="330" t="s">
        <v>389</v>
      </c>
      <c r="B365" s="330" t="s">
        <v>9</v>
      </c>
      <c r="C365" s="330" t="s">
        <v>18</v>
      </c>
      <c r="D365" s="330" t="s">
        <v>137</v>
      </c>
      <c r="E365" s="330">
        <v>13</v>
      </c>
      <c r="F365" s="330">
        <v>29</v>
      </c>
      <c r="G365" s="330"/>
      <c r="J365" s="342">
        <f>144/45*F365</f>
        <v>92.800000000000011</v>
      </c>
      <c r="W365" s="339">
        <f>+VLOOKUP(A365,infradensité!$A$2:$B$67,2,FALSE)</f>
        <v>0.57999999999999996</v>
      </c>
      <c r="X365" s="339">
        <v>1.3</v>
      </c>
      <c r="Y365" s="340">
        <f t="shared" si="47"/>
        <v>69.97120000000001</v>
      </c>
      <c r="Z365" s="340">
        <f t="shared" si="49"/>
        <v>19.666305345056259</v>
      </c>
      <c r="AA365" s="340" t="str">
        <f t="shared" ref="AA365:AA428" si="54">+_xlfn.CONCAT(A365,"_",B365,"_",C365,"_",D365,"_",AB365,"_")</f>
        <v>Chêne sessile_F1_Classique_Guide chênaie atlantique_29_</v>
      </c>
      <c r="AB365" s="333">
        <f t="shared" ref="AB365:AB428" si="55">F365</f>
        <v>29</v>
      </c>
      <c r="AC365" s="340">
        <f t="shared" si="48"/>
        <v>156.11865514263965</v>
      </c>
      <c r="AD365" s="341">
        <f t="shared" si="44"/>
        <v>2263.720499568275</v>
      </c>
      <c r="AE365" s="341">
        <f t="shared" ref="AE365:AE398" si="56">+SUM($AD$364:$AD$398)/$AB$398</f>
        <v>387.26639397599007</v>
      </c>
    </row>
    <row r="366" spans="1:31" s="342" customFormat="1" x14ac:dyDescent="0.25">
      <c r="A366" s="330" t="s">
        <v>389</v>
      </c>
      <c r="B366" s="330" t="s">
        <v>9</v>
      </c>
      <c r="C366" s="330" t="s">
        <v>18</v>
      </c>
      <c r="D366" s="330" t="s">
        <v>137</v>
      </c>
      <c r="E366" s="330">
        <v>13</v>
      </c>
      <c r="F366" s="330">
        <v>29</v>
      </c>
      <c r="G366" s="330"/>
      <c r="J366" s="342">
        <f t="shared" ref="J366:J369" si="57">144/45*F366</f>
        <v>92.800000000000011</v>
      </c>
      <c r="W366" s="339">
        <f>+VLOOKUP(A366,infradensité!$A$2:$B$67,2,FALSE)</f>
        <v>0.57999999999999996</v>
      </c>
      <c r="X366" s="339">
        <v>1.3</v>
      </c>
      <c r="Y366" s="340">
        <f t="shared" si="47"/>
        <v>69.97120000000001</v>
      </c>
      <c r="Z366" s="340">
        <f t="shared" si="49"/>
        <v>19.666305345056259</v>
      </c>
      <c r="AA366" s="340" t="str">
        <f t="shared" si="54"/>
        <v>Chêne sessile_F1_Classique_Guide chênaie atlantique_29_</v>
      </c>
      <c r="AB366" s="333">
        <f t="shared" si="55"/>
        <v>29</v>
      </c>
      <c r="AC366" s="340">
        <f t="shared" si="48"/>
        <v>156.11865514263965</v>
      </c>
      <c r="AD366" s="341">
        <f t="shared" si="44"/>
        <v>0</v>
      </c>
      <c r="AE366" s="341">
        <f t="shared" si="56"/>
        <v>387.26639397599007</v>
      </c>
    </row>
    <row r="367" spans="1:31" s="342" customFormat="1" x14ac:dyDescent="0.25">
      <c r="A367" s="330" t="s">
        <v>389</v>
      </c>
      <c r="B367" s="330" t="s">
        <v>9</v>
      </c>
      <c r="C367" s="330" t="s">
        <v>18</v>
      </c>
      <c r="D367" s="330" t="s">
        <v>137</v>
      </c>
      <c r="E367" s="330">
        <v>13</v>
      </c>
      <c r="F367" s="330">
        <v>30</v>
      </c>
      <c r="G367" s="330"/>
      <c r="J367" s="342">
        <f t="shared" si="57"/>
        <v>96</v>
      </c>
      <c r="W367" s="339">
        <f>+VLOOKUP(A367,infradensité!$A$2:$B$67,2,FALSE)</f>
        <v>0.57999999999999996</v>
      </c>
      <c r="X367" s="339">
        <v>1.3</v>
      </c>
      <c r="Y367" s="340">
        <f t="shared" ref="Y367" si="58">+X367*W367*J367</f>
        <v>72.384</v>
      </c>
      <c r="Z367" s="340">
        <f t="shared" ref="Z367" si="59">+EXP(-1.0587+0.8836*LN(Y367)+0.284)</f>
        <v>20.264329923804397</v>
      </c>
      <c r="AA367" s="340" t="str">
        <f t="shared" ref="AA367" si="60">+_xlfn.CONCAT(A367,"_",B367,"_",C367,"_",D367,"_",AB367,"_")</f>
        <v>Chêne sessile_F1_Classique_Guide chênaie atlantique_30_</v>
      </c>
      <c r="AB367" s="333">
        <f t="shared" ref="AB367" si="61">F367</f>
        <v>30</v>
      </c>
      <c r="AC367" s="340">
        <f t="shared" ref="AC367" si="62">+(Z367+Y367)*0.475*44/12</f>
        <v>161.362507950626</v>
      </c>
      <c r="AD367" s="341">
        <f t="shared" si="44"/>
        <v>158.74058154663282</v>
      </c>
      <c r="AE367" s="341">
        <f t="shared" si="56"/>
        <v>387.26639397599007</v>
      </c>
    </row>
    <row r="368" spans="1:31" s="342" customFormat="1" x14ac:dyDescent="0.25">
      <c r="A368" s="330" t="s">
        <v>389</v>
      </c>
      <c r="B368" s="330" t="s">
        <v>9</v>
      </c>
      <c r="C368" s="330" t="s">
        <v>18</v>
      </c>
      <c r="D368" s="330" t="s">
        <v>137</v>
      </c>
      <c r="E368" s="330">
        <v>13</v>
      </c>
      <c r="F368" s="330">
        <v>37</v>
      </c>
      <c r="G368" s="330"/>
      <c r="J368" s="342">
        <f t="shared" si="57"/>
        <v>118.4</v>
      </c>
      <c r="W368" s="339">
        <f>+VLOOKUP(A368,infradensité!$A$2:$B$67,2,FALSE)</f>
        <v>0.57999999999999996</v>
      </c>
      <c r="X368" s="339">
        <v>1.3</v>
      </c>
      <c r="Y368" s="340">
        <f t="shared" si="47"/>
        <v>89.273600000000002</v>
      </c>
      <c r="Z368" s="340">
        <f t="shared" si="49"/>
        <v>24.389952263746558</v>
      </c>
      <c r="AA368" s="340" t="str">
        <f t="shared" si="54"/>
        <v>Chêne sessile_F1_Classique_Guide chênaie atlantique_37_</v>
      </c>
      <c r="AB368" s="333">
        <f t="shared" si="55"/>
        <v>37</v>
      </c>
      <c r="AC368" s="340">
        <f t="shared" si="48"/>
        <v>197.96402019269192</v>
      </c>
      <c r="AD368" s="341">
        <f t="shared" si="44"/>
        <v>1257.6428485016127</v>
      </c>
      <c r="AE368" s="341">
        <f t="shared" si="56"/>
        <v>387.26639397599007</v>
      </c>
    </row>
    <row r="369" spans="1:31" s="342" customFormat="1" x14ac:dyDescent="0.25">
      <c r="A369" s="330" t="s">
        <v>389</v>
      </c>
      <c r="B369" s="330" t="s">
        <v>9</v>
      </c>
      <c r="C369" s="330" t="s">
        <v>18</v>
      </c>
      <c r="D369" s="330" t="s">
        <v>137</v>
      </c>
      <c r="E369" s="330">
        <v>13</v>
      </c>
      <c r="F369" s="330">
        <v>37</v>
      </c>
      <c r="G369" s="330"/>
      <c r="J369" s="342">
        <f t="shared" si="57"/>
        <v>118.4</v>
      </c>
      <c r="W369" s="339">
        <f>+VLOOKUP(A369,infradensité!$A$2:$B$67,2,FALSE)</f>
        <v>0.57999999999999996</v>
      </c>
      <c r="X369" s="339">
        <v>1.3</v>
      </c>
      <c r="Y369" s="340">
        <f t="shared" si="47"/>
        <v>89.273600000000002</v>
      </c>
      <c r="Z369" s="340">
        <f t="shared" si="49"/>
        <v>24.389952263746558</v>
      </c>
      <c r="AA369" s="340" t="str">
        <f t="shared" si="54"/>
        <v>Chêne sessile_F1_Classique_Guide chênaie atlantique_37_</v>
      </c>
      <c r="AB369" s="333">
        <f t="shared" si="55"/>
        <v>37</v>
      </c>
      <c r="AC369" s="340">
        <f t="shared" si="48"/>
        <v>197.96402019269192</v>
      </c>
      <c r="AD369" s="341">
        <f t="shared" si="44"/>
        <v>0</v>
      </c>
      <c r="AE369" s="341">
        <f t="shared" si="56"/>
        <v>387.26639397599007</v>
      </c>
    </row>
    <row r="370" spans="1:31" s="342" customFormat="1" x14ac:dyDescent="0.25">
      <c r="A370" s="330" t="s">
        <v>389</v>
      </c>
      <c r="B370" s="330" t="s">
        <v>9</v>
      </c>
      <c r="C370" s="330" t="s">
        <v>18</v>
      </c>
      <c r="D370" s="330" t="s">
        <v>137</v>
      </c>
      <c r="E370" s="330">
        <v>13</v>
      </c>
      <c r="F370" s="330">
        <v>45</v>
      </c>
      <c r="G370" s="330"/>
      <c r="J370" s="342">
        <v>144</v>
      </c>
      <c r="W370" s="339">
        <f>+VLOOKUP(A370,infradensité!$A$2:$B$67,2,FALSE)</f>
        <v>0.57999999999999996</v>
      </c>
      <c r="X370" s="339">
        <v>1.3</v>
      </c>
      <c r="Y370" s="340">
        <f t="shared" si="47"/>
        <v>108.57599999999999</v>
      </c>
      <c r="Z370" s="340">
        <f t="shared" si="49"/>
        <v>28.995225061228002</v>
      </c>
      <c r="AA370" s="340" t="str">
        <f t="shared" si="54"/>
        <v>Chêne sessile_F1_Classique_Guide chênaie atlantique_45_</v>
      </c>
      <c r="AB370" s="333">
        <f t="shared" si="55"/>
        <v>45</v>
      </c>
      <c r="AC370" s="340">
        <f t="shared" si="48"/>
        <v>239.60321698163875</v>
      </c>
      <c r="AD370" s="341">
        <f t="shared" si="44"/>
        <v>1750.2689486973227</v>
      </c>
      <c r="AE370" s="341">
        <f t="shared" si="56"/>
        <v>387.26639397599007</v>
      </c>
    </row>
    <row r="371" spans="1:31" s="342" customFormat="1" x14ac:dyDescent="0.25">
      <c r="A371" s="330" t="s">
        <v>389</v>
      </c>
      <c r="B371" s="330" t="s">
        <v>9</v>
      </c>
      <c r="C371" s="330" t="s">
        <v>18</v>
      </c>
      <c r="D371" s="330" t="s">
        <v>137</v>
      </c>
      <c r="E371" s="330">
        <v>13</v>
      </c>
      <c r="F371" s="330">
        <v>45</v>
      </c>
      <c r="G371" s="330"/>
      <c r="J371" s="342">
        <v>104</v>
      </c>
      <c r="O371" s="342">
        <f>J370-J371</f>
        <v>40</v>
      </c>
      <c r="W371" s="339">
        <f>+VLOOKUP(A371,infradensité!$A$2:$B$67,2,FALSE)</f>
        <v>0.57999999999999996</v>
      </c>
      <c r="X371" s="339">
        <v>1.3</v>
      </c>
      <c r="Y371" s="340">
        <f t="shared" si="47"/>
        <v>78.415999999999997</v>
      </c>
      <c r="Z371" s="340">
        <f t="shared" si="49"/>
        <v>21.749438265868008</v>
      </c>
      <c r="AA371" s="340" t="str">
        <f t="shared" si="54"/>
        <v>Chêne sessile_F1_Classique_Guide chênaie atlantique_45_</v>
      </c>
      <c r="AB371" s="333">
        <f t="shared" si="55"/>
        <v>45</v>
      </c>
      <c r="AC371" s="340">
        <f t="shared" si="48"/>
        <v>174.45480497972014</v>
      </c>
      <c r="AD371" s="341">
        <f t="shared" si="44"/>
        <v>0</v>
      </c>
      <c r="AE371" s="341">
        <f t="shared" si="56"/>
        <v>387.26639397599007</v>
      </c>
    </row>
    <row r="372" spans="1:31" s="342" customFormat="1" x14ac:dyDescent="0.25">
      <c r="A372" s="330" t="s">
        <v>389</v>
      </c>
      <c r="B372" s="330" t="s">
        <v>9</v>
      </c>
      <c r="C372" s="330" t="s">
        <v>18</v>
      </c>
      <c r="D372" s="330" t="s">
        <v>137</v>
      </c>
      <c r="E372" s="330">
        <v>13</v>
      </c>
      <c r="F372" s="330">
        <v>53</v>
      </c>
      <c r="G372" s="330"/>
      <c r="J372" s="342">
        <v>171</v>
      </c>
      <c r="W372" s="339">
        <f>+VLOOKUP(A372,infradensité!$A$2:$B$67,2,FALSE)</f>
        <v>0.57999999999999996</v>
      </c>
      <c r="X372" s="339">
        <v>1.3</v>
      </c>
      <c r="Y372" s="340">
        <f t="shared" si="47"/>
        <v>128.934</v>
      </c>
      <c r="Z372" s="340">
        <f t="shared" si="49"/>
        <v>33.749920116221382</v>
      </c>
      <c r="AA372" s="340" t="str">
        <f t="shared" si="54"/>
        <v>Chêne sessile_F1_Classique_Guide chênaie atlantique_53_</v>
      </c>
      <c r="AB372" s="333">
        <f t="shared" si="55"/>
        <v>53</v>
      </c>
      <c r="AC372" s="340">
        <f t="shared" si="48"/>
        <v>283.34116086908551</v>
      </c>
      <c r="AD372" s="341">
        <f t="shared" si="44"/>
        <v>1831.1838633952225</v>
      </c>
      <c r="AE372" s="341">
        <f t="shared" si="56"/>
        <v>387.26639397599007</v>
      </c>
    </row>
    <row r="373" spans="1:31" s="342" customFormat="1" x14ac:dyDescent="0.25">
      <c r="A373" s="330" t="s">
        <v>389</v>
      </c>
      <c r="B373" s="330" t="s">
        <v>9</v>
      </c>
      <c r="C373" s="330" t="s">
        <v>18</v>
      </c>
      <c r="D373" s="330" t="s">
        <v>137</v>
      </c>
      <c r="E373" s="330">
        <v>13</v>
      </c>
      <c r="F373" s="330">
        <v>53</v>
      </c>
      <c r="G373" s="330"/>
      <c r="J373" s="342">
        <v>131</v>
      </c>
      <c r="O373" s="342">
        <f>J372-J373</f>
        <v>40</v>
      </c>
      <c r="W373" s="339">
        <f>+VLOOKUP(A373,infradensité!$A$2:$B$67,2,FALSE)</f>
        <v>0.57999999999999996</v>
      </c>
      <c r="X373" s="339">
        <v>1.3</v>
      </c>
      <c r="Y373" s="340">
        <f t="shared" si="47"/>
        <v>98.774000000000001</v>
      </c>
      <c r="Z373" s="340">
        <f t="shared" si="49"/>
        <v>26.669710590727203</v>
      </c>
      <c r="AA373" s="340" t="str">
        <f t="shared" si="54"/>
        <v>Chêne sessile_F1_Classique_Guide chênaie atlantique_53_</v>
      </c>
      <c r="AB373" s="333">
        <f t="shared" si="55"/>
        <v>53</v>
      </c>
      <c r="AC373" s="340">
        <f t="shared" si="48"/>
        <v>218.48112927884986</v>
      </c>
      <c r="AD373" s="341">
        <f t="shared" si="44"/>
        <v>0</v>
      </c>
      <c r="AE373" s="341">
        <f t="shared" si="56"/>
        <v>387.26639397599007</v>
      </c>
    </row>
    <row r="374" spans="1:31" s="342" customFormat="1" x14ac:dyDescent="0.25">
      <c r="A374" s="330" t="s">
        <v>389</v>
      </c>
      <c r="B374" s="330" t="s">
        <v>9</v>
      </c>
      <c r="C374" s="330" t="s">
        <v>18</v>
      </c>
      <c r="D374" s="330" t="s">
        <v>137</v>
      </c>
      <c r="E374" s="330">
        <v>13</v>
      </c>
      <c r="F374" s="330">
        <v>61</v>
      </c>
      <c r="G374" s="330"/>
      <c r="J374" s="342">
        <v>197</v>
      </c>
      <c r="W374" s="339">
        <f>+VLOOKUP(A374,infradensité!$A$2:$B$67,2,FALSE)</f>
        <v>0.57999999999999996</v>
      </c>
      <c r="X374" s="339">
        <v>1.3</v>
      </c>
      <c r="Y374" s="340">
        <f t="shared" si="47"/>
        <v>148.53800000000001</v>
      </c>
      <c r="Z374" s="340">
        <f t="shared" si="49"/>
        <v>38.246151719709118</v>
      </c>
      <c r="AA374" s="340" t="str">
        <f t="shared" si="54"/>
        <v>Chêne sessile_F1_Classique_Guide chênaie atlantique_61_</v>
      </c>
      <c r="AB374" s="333">
        <f t="shared" si="55"/>
        <v>61</v>
      </c>
      <c r="AC374" s="340">
        <f t="shared" si="48"/>
        <v>325.31573091182673</v>
      </c>
      <c r="AD374" s="341">
        <f t="shared" si="44"/>
        <v>2175.1874407627065</v>
      </c>
      <c r="AE374" s="341">
        <f t="shared" si="56"/>
        <v>387.26639397599007</v>
      </c>
    </row>
    <row r="375" spans="1:31" s="342" customFormat="1" x14ac:dyDescent="0.25">
      <c r="A375" s="330" t="s">
        <v>389</v>
      </c>
      <c r="B375" s="330" t="s">
        <v>9</v>
      </c>
      <c r="C375" s="330" t="s">
        <v>18</v>
      </c>
      <c r="D375" s="330" t="s">
        <v>137</v>
      </c>
      <c r="E375" s="330">
        <v>13</v>
      </c>
      <c r="F375" s="330">
        <v>61</v>
      </c>
      <c r="G375" s="330"/>
      <c r="J375" s="342">
        <v>155</v>
      </c>
      <c r="O375" s="342">
        <f>J374-J375</f>
        <v>42</v>
      </c>
      <c r="W375" s="339">
        <f>+VLOOKUP(A375,infradensité!$A$2:$B$67,2,FALSE)</f>
        <v>0.57999999999999996</v>
      </c>
      <c r="X375" s="339">
        <v>1.3</v>
      </c>
      <c r="Y375" s="340">
        <f t="shared" si="47"/>
        <v>116.87</v>
      </c>
      <c r="Z375" s="340">
        <f t="shared" si="49"/>
        <v>30.943859078317832</v>
      </c>
      <c r="AA375" s="340" t="str">
        <f t="shared" si="54"/>
        <v>Chêne sessile_F1_Classique_Guide chênaie atlantique_61_</v>
      </c>
      <c r="AB375" s="333">
        <f t="shared" si="55"/>
        <v>61</v>
      </c>
      <c r="AC375" s="340">
        <f t="shared" si="48"/>
        <v>257.44247122807025</v>
      </c>
      <c r="AD375" s="341">
        <f t="shared" si="44"/>
        <v>0</v>
      </c>
      <c r="AE375" s="341">
        <f t="shared" si="56"/>
        <v>387.26639397599007</v>
      </c>
    </row>
    <row r="376" spans="1:31" s="342" customFormat="1" x14ac:dyDescent="0.25">
      <c r="A376" s="330" t="s">
        <v>389</v>
      </c>
      <c r="B376" s="330" t="s">
        <v>9</v>
      </c>
      <c r="C376" s="330" t="s">
        <v>18</v>
      </c>
      <c r="D376" s="330" t="s">
        <v>137</v>
      </c>
      <c r="E376" s="330">
        <v>13</v>
      </c>
      <c r="F376" s="330">
        <v>69</v>
      </c>
      <c r="G376" s="330"/>
      <c r="J376" s="342">
        <v>218</v>
      </c>
      <c r="W376" s="339">
        <f>+VLOOKUP(A376,infradensité!$A$2:$B$67,2,FALSE)</f>
        <v>0.57999999999999996</v>
      </c>
      <c r="X376" s="339">
        <v>1.3</v>
      </c>
      <c r="Y376" s="340">
        <f t="shared" si="47"/>
        <v>164.37200000000001</v>
      </c>
      <c r="Z376" s="340">
        <f t="shared" si="49"/>
        <v>41.827079694043114</v>
      </c>
      <c r="AA376" s="340" t="str">
        <f t="shared" si="54"/>
        <v>Chêne sessile_F1_Classique_Guide chênaie atlantique_69_</v>
      </c>
      <c r="AB376" s="333">
        <f t="shared" si="55"/>
        <v>69</v>
      </c>
      <c r="AC376" s="340">
        <f t="shared" si="48"/>
        <v>359.1300638004584</v>
      </c>
      <c r="AD376" s="341">
        <f t="shared" si="44"/>
        <v>2466.2901401141144</v>
      </c>
      <c r="AE376" s="341">
        <f t="shared" si="56"/>
        <v>387.26639397599007</v>
      </c>
    </row>
    <row r="377" spans="1:31" s="342" customFormat="1" x14ac:dyDescent="0.25">
      <c r="A377" s="330" t="s">
        <v>389</v>
      </c>
      <c r="B377" s="330" t="s">
        <v>9</v>
      </c>
      <c r="C377" s="330" t="s">
        <v>18</v>
      </c>
      <c r="D377" s="330" t="s">
        <v>137</v>
      </c>
      <c r="E377" s="330">
        <v>13</v>
      </c>
      <c r="F377" s="330">
        <v>69</v>
      </c>
      <c r="G377" s="330"/>
      <c r="J377" s="342">
        <v>177</v>
      </c>
      <c r="O377" s="342">
        <f>J376-J377</f>
        <v>41</v>
      </c>
      <c r="W377" s="339">
        <f>+VLOOKUP(A377,infradensité!$A$2:$B$67,2,FALSE)</f>
        <v>0.57999999999999996</v>
      </c>
      <c r="X377" s="339">
        <v>1.3</v>
      </c>
      <c r="Y377" s="340">
        <f t="shared" si="47"/>
        <v>133.458</v>
      </c>
      <c r="Z377" s="340">
        <f t="shared" si="49"/>
        <v>34.794176665003405</v>
      </c>
      <c r="AA377" s="340" t="str">
        <f t="shared" si="54"/>
        <v>Chêne sessile_F1_Classique_Guide chênaie atlantique_69_</v>
      </c>
      <c r="AB377" s="333">
        <f t="shared" si="55"/>
        <v>69</v>
      </c>
      <c r="AC377" s="340">
        <f t="shared" si="48"/>
        <v>293.03920769154757</v>
      </c>
      <c r="AD377" s="341">
        <f t="shared" si="44"/>
        <v>0</v>
      </c>
      <c r="AE377" s="341">
        <f t="shared" si="56"/>
        <v>387.26639397599007</v>
      </c>
    </row>
    <row r="378" spans="1:31" s="342" customFormat="1" x14ac:dyDescent="0.25">
      <c r="A378" s="330" t="s">
        <v>389</v>
      </c>
      <c r="B378" s="330" t="s">
        <v>9</v>
      </c>
      <c r="C378" s="330" t="s">
        <v>18</v>
      </c>
      <c r="D378" s="330" t="s">
        <v>137</v>
      </c>
      <c r="E378" s="330">
        <v>13</v>
      </c>
      <c r="F378" s="330">
        <v>77</v>
      </c>
      <c r="G378" s="330"/>
      <c r="J378" s="342">
        <v>238</v>
      </c>
      <c r="W378" s="339">
        <f>+VLOOKUP(A378,infradensité!$A$2:$B$67,2,FALSE)</f>
        <v>0.57999999999999996</v>
      </c>
      <c r="X378" s="339">
        <v>1.3</v>
      </c>
      <c r="Y378" s="340">
        <f t="shared" si="47"/>
        <v>179.452</v>
      </c>
      <c r="Z378" s="340">
        <f t="shared" si="49"/>
        <v>45.2002446357697</v>
      </c>
      <c r="AA378" s="340" t="str">
        <f t="shared" si="54"/>
        <v>Chêne sessile_F1_Classique_Guide chênaie atlantique_77_</v>
      </c>
      <c r="AB378" s="333">
        <f t="shared" si="55"/>
        <v>77</v>
      </c>
      <c r="AC378" s="340">
        <f t="shared" si="48"/>
        <v>391.2693260739656</v>
      </c>
      <c r="AD378" s="341">
        <f t="shared" si="44"/>
        <v>2737.2341350620527</v>
      </c>
      <c r="AE378" s="341">
        <f t="shared" si="56"/>
        <v>387.26639397599007</v>
      </c>
    </row>
    <row r="379" spans="1:31" s="342" customFormat="1" x14ac:dyDescent="0.25">
      <c r="A379" s="330" t="s">
        <v>389</v>
      </c>
      <c r="B379" s="330" t="s">
        <v>9</v>
      </c>
      <c r="C379" s="330" t="s">
        <v>18</v>
      </c>
      <c r="D379" s="330" t="s">
        <v>137</v>
      </c>
      <c r="E379" s="330">
        <v>13</v>
      </c>
      <c r="F379" s="330">
        <v>77</v>
      </c>
      <c r="G379" s="330"/>
      <c r="J379" s="342">
        <v>194</v>
      </c>
      <c r="O379" s="342">
        <f>J378-J379</f>
        <v>44</v>
      </c>
      <c r="W379" s="339">
        <f>+VLOOKUP(A379,infradensité!$A$2:$B$67,2,FALSE)</f>
        <v>0.57999999999999996</v>
      </c>
      <c r="X379" s="339">
        <v>1.3</v>
      </c>
      <c r="Y379" s="340">
        <f t="shared" si="47"/>
        <v>146.27600000000001</v>
      </c>
      <c r="Z379" s="340">
        <f t="shared" si="49"/>
        <v>37.73105899165121</v>
      </c>
      <c r="AA379" s="340" t="str">
        <f t="shared" si="54"/>
        <v>Chêne sessile_F1_Classique_Guide chênaie atlantique_77_</v>
      </c>
      <c r="AB379" s="333">
        <f t="shared" si="55"/>
        <v>77</v>
      </c>
      <c r="AC379" s="340">
        <f t="shared" si="48"/>
        <v>320.47896107712586</v>
      </c>
      <c r="AD379" s="341">
        <f t="shared" si="44"/>
        <v>0</v>
      </c>
      <c r="AE379" s="341">
        <f t="shared" si="56"/>
        <v>387.26639397599007</v>
      </c>
    </row>
    <row r="380" spans="1:31" s="342" customFormat="1" x14ac:dyDescent="0.25">
      <c r="A380" s="330" t="s">
        <v>389</v>
      </c>
      <c r="B380" s="330" t="s">
        <v>9</v>
      </c>
      <c r="C380" s="330" t="s">
        <v>18</v>
      </c>
      <c r="D380" s="330" t="s">
        <v>137</v>
      </c>
      <c r="E380" s="330">
        <v>13</v>
      </c>
      <c r="F380" s="330">
        <v>85</v>
      </c>
      <c r="G380" s="330"/>
      <c r="J380" s="342">
        <v>251</v>
      </c>
      <c r="W380" s="339">
        <f>+VLOOKUP(A380,infradensité!$A$2:$B$67,2,FALSE)</f>
        <v>0.57999999999999996</v>
      </c>
      <c r="X380" s="339">
        <v>1.3</v>
      </c>
      <c r="Y380" s="340">
        <f t="shared" si="47"/>
        <v>189.25399999999999</v>
      </c>
      <c r="Z380" s="340">
        <f t="shared" si="49"/>
        <v>47.374985099497351</v>
      </c>
      <c r="AA380" s="340" t="str">
        <f t="shared" si="54"/>
        <v>Chêne sessile_F1_Classique_Guide chênaie atlantique_85_</v>
      </c>
      <c r="AB380" s="333">
        <f t="shared" si="55"/>
        <v>85</v>
      </c>
      <c r="AC380" s="340">
        <f t="shared" si="48"/>
        <v>412.12881571495791</v>
      </c>
      <c r="AD380" s="341">
        <f t="shared" si="44"/>
        <v>2930.4311071683351</v>
      </c>
      <c r="AE380" s="341">
        <f t="shared" si="56"/>
        <v>387.26639397599007</v>
      </c>
    </row>
    <row r="381" spans="1:31" s="342" customFormat="1" x14ac:dyDescent="0.25">
      <c r="A381" s="330" t="s">
        <v>389</v>
      </c>
      <c r="B381" s="330" t="s">
        <v>9</v>
      </c>
      <c r="C381" s="330" t="s">
        <v>18</v>
      </c>
      <c r="D381" s="330" t="s">
        <v>137</v>
      </c>
      <c r="E381" s="330">
        <v>13</v>
      </c>
      <c r="F381" s="330">
        <v>85</v>
      </c>
      <c r="G381" s="330"/>
      <c r="J381" s="342">
        <v>217</v>
      </c>
      <c r="O381" s="342">
        <f>J380-J381</f>
        <v>34</v>
      </c>
      <c r="W381" s="339">
        <f>+VLOOKUP(A381,infradensité!$A$2:$B$67,2,FALSE)</f>
        <v>0.57999999999999996</v>
      </c>
      <c r="X381" s="339">
        <v>1.3</v>
      </c>
      <c r="Y381" s="340">
        <f t="shared" si="47"/>
        <v>163.61799999999999</v>
      </c>
      <c r="Z381" s="340">
        <f t="shared" si="49"/>
        <v>41.657500375789056</v>
      </c>
      <c r="AA381" s="340" t="str">
        <f t="shared" si="54"/>
        <v>Chêne sessile_F1_Classique_Guide chênaie atlantique_85_</v>
      </c>
      <c r="AB381" s="333">
        <f t="shared" si="55"/>
        <v>85</v>
      </c>
      <c r="AC381" s="340">
        <f t="shared" si="48"/>
        <v>357.52149648783256</v>
      </c>
      <c r="AD381" s="341">
        <f t="shared" si="44"/>
        <v>0</v>
      </c>
      <c r="AE381" s="341">
        <f t="shared" si="56"/>
        <v>387.26639397599007</v>
      </c>
    </row>
    <row r="382" spans="1:31" s="342" customFormat="1" x14ac:dyDescent="0.25">
      <c r="A382" s="330" t="s">
        <v>389</v>
      </c>
      <c r="B382" s="330" t="s">
        <v>9</v>
      </c>
      <c r="C382" s="330" t="s">
        <v>18</v>
      </c>
      <c r="D382" s="330" t="s">
        <v>137</v>
      </c>
      <c r="E382" s="330">
        <v>13</v>
      </c>
      <c r="F382" s="330">
        <v>95</v>
      </c>
      <c r="G382" s="330"/>
      <c r="J382" s="342">
        <v>287</v>
      </c>
      <c r="W382" s="339">
        <f>+VLOOKUP(A382,infradensité!$A$2:$B$67,2,FALSE)</f>
        <v>0.57999999999999996</v>
      </c>
      <c r="X382" s="339">
        <v>1.3</v>
      </c>
      <c r="Y382" s="340">
        <f t="shared" si="47"/>
        <v>216.398</v>
      </c>
      <c r="Z382" s="340">
        <f t="shared" si="49"/>
        <v>53.331258234647343</v>
      </c>
      <c r="AA382" s="340" t="str">
        <f t="shared" si="54"/>
        <v>Chêne sessile_F1_Classique_Guide chênaie atlantique_95_</v>
      </c>
      <c r="AB382" s="333">
        <f t="shared" si="55"/>
        <v>95</v>
      </c>
      <c r="AC382" s="340">
        <f t="shared" si="48"/>
        <v>469.77845809201079</v>
      </c>
      <c r="AD382" s="341">
        <f t="shared" si="44"/>
        <v>4136.4997728992166</v>
      </c>
      <c r="AE382" s="341">
        <f t="shared" si="56"/>
        <v>387.26639397599007</v>
      </c>
    </row>
    <row r="383" spans="1:31" s="342" customFormat="1" x14ac:dyDescent="0.25">
      <c r="A383" s="330" t="s">
        <v>389</v>
      </c>
      <c r="B383" s="330" t="s">
        <v>9</v>
      </c>
      <c r="C383" s="330" t="s">
        <v>18</v>
      </c>
      <c r="D383" s="330" t="s">
        <v>137</v>
      </c>
      <c r="E383" s="330">
        <v>13</v>
      </c>
      <c r="F383" s="330">
        <v>95</v>
      </c>
      <c r="G383" s="330"/>
      <c r="J383" s="342">
        <v>255</v>
      </c>
      <c r="O383" s="342">
        <f>J382-J383</f>
        <v>32</v>
      </c>
      <c r="W383" s="339">
        <f>+VLOOKUP(A383,infradensité!$A$2:$B$67,2,FALSE)</f>
        <v>0.57999999999999996</v>
      </c>
      <c r="X383" s="339">
        <v>1.3</v>
      </c>
      <c r="Y383" s="340">
        <f t="shared" si="47"/>
        <v>192.27</v>
      </c>
      <c r="Z383" s="340">
        <f t="shared" si="49"/>
        <v>48.041470197986364</v>
      </c>
      <c r="AA383" s="340" t="str">
        <f t="shared" si="54"/>
        <v>Chêne sessile_F1_Classique_Guide chênaie atlantique_95_</v>
      </c>
      <c r="AB383" s="333">
        <f t="shared" si="55"/>
        <v>95</v>
      </c>
      <c r="AC383" s="340">
        <f t="shared" si="48"/>
        <v>418.54247726149293</v>
      </c>
      <c r="AD383" s="341">
        <f t="shared" si="44"/>
        <v>0</v>
      </c>
      <c r="AE383" s="341">
        <f t="shared" si="56"/>
        <v>387.26639397599007</v>
      </c>
    </row>
    <row r="384" spans="1:31" s="342" customFormat="1" x14ac:dyDescent="0.25">
      <c r="A384" s="330" t="s">
        <v>389</v>
      </c>
      <c r="B384" s="330" t="s">
        <v>9</v>
      </c>
      <c r="C384" s="330" t="s">
        <v>18</v>
      </c>
      <c r="D384" s="330" t="s">
        <v>137</v>
      </c>
      <c r="E384" s="330">
        <v>13</v>
      </c>
      <c r="F384" s="330">
        <v>105</v>
      </c>
      <c r="G384" s="330"/>
      <c r="J384" s="342">
        <v>323</v>
      </c>
      <c r="W384" s="339">
        <f>+VLOOKUP(A384,infradensité!$A$2:$B$67,2,FALSE)</f>
        <v>0.57999999999999996</v>
      </c>
      <c r="X384" s="339">
        <v>1.3</v>
      </c>
      <c r="Y384" s="340">
        <f t="shared" si="47"/>
        <v>243.542</v>
      </c>
      <c r="Z384" s="340">
        <f t="shared" si="49"/>
        <v>59.200958027901123</v>
      </c>
      <c r="AA384" s="340" t="str">
        <f t="shared" si="54"/>
        <v>Chêne sessile_F1_Classique_Guide chênaie atlantique_105_</v>
      </c>
      <c r="AB384" s="333">
        <f t="shared" si="55"/>
        <v>105</v>
      </c>
      <c r="AC384" s="340">
        <f t="shared" si="48"/>
        <v>527.27731856526111</v>
      </c>
      <c r="AD384" s="341">
        <f t="shared" si="44"/>
        <v>4729.0989791337697</v>
      </c>
      <c r="AE384" s="341">
        <f t="shared" si="56"/>
        <v>387.26639397599007</v>
      </c>
    </row>
    <row r="385" spans="1:31" s="342" customFormat="1" x14ac:dyDescent="0.25">
      <c r="A385" s="330" t="s">
        <v>389</v>
      </c>
      <c r="B385" s="330" t="s">
        <v>9</v>
      </c>
      <c r="C385" s="330" t="s">
        <v>18</v>
      </c>
      <c r="D385" s="330" t="s">
        <v>137</v>
      </c>
      <c r="E385" s="330">
        <v>13</v>
      </c>
      <c r="F385" s="330">
        <v>105</v>
      </c>
      <c r="G385" s="330"/>
      <c r="J385" s="342">
        <v>280</v>
      </c>
      <c r="O385" s="342">
        <f>J384-J385</f>
        <v>43</v>
      </c>
      <c r="W385" s="339">
        <f>+VLOOKUP(A385,infradensité!$A$2:$B$67,2,FALSE)</f>
        <v>0.57999999999999996</v>
      </c>
      <c r="X385" s="339">
        <v>1.3</v>
      </c>
      <c r="Y385" s="340">
        <f t="shared" si="47"/>
        <v>211.12</v>
      </c>
      <c r="Z385" s="340">
        <f t="shared" si="49"/>
        <v>52.180258057609798</v>
      </c>
      <c r="AA385" s="340" t="str">
        <f t="shared" si="54"/>
        <v>Chêne sessile_F1_Classique_Guide chênaie atlantique_105_</v>
      </c>
      <c r="AB385" s="333">
        <f t="shared" si="55"/>
        <v>105</v>
      </c>
      <c r="AC385" s="340">
        <f t="shared" si="48"/>
        <v>458.58128278367047</v>
      </c>
      <c r="AD385" s="341">
        <f t="shared" si="44"/>
        <v>0</v>
      </c>
      <c r="AE385" s="341">
        <f t="shared" si="56"/>
        <v>387.26639397599007</v>
      </c>
    </row>
    <row r="386" spans="1:31" s="342" customFormat="1" x14ac:dyDescent="0.25">
      <c r="A386" s="330" t="s">
        <v>389</v>
      </c>
      <c r="B386" s="330" t="s">
        <v>9</v>
      </c>
      <c r="C386" s="330" t="s">
        <v>18</v>
      </c>
      <c r="D386" s="330" t="s">
        <v>137</v>
      </c>
      <c r="E386" s="330">
        <v>13</v>
      </c>
      <c r="F386" s="330">
        <v>115</v>
      </c>
      <c r="G386" s="330"/>
      <c r="J386" s="342">
        <v>348</v>
      </c>
      <c r="W386" s="339">
        <f>+VLOOKUP(A386,infradensité!$A$2:$B$67,2,FALSE)</f>
        <v>0.57999999999999996</v>
      </c>
      <c r="X386" s="339">
        <v>1.3</v>
      </c>
      <c r="Y386" s="340">
        <f t="shared" si="47"/>
        <v>262.392</v>
      </c>
      <c r="Z386" s="340">
        <f t="shared" si="49"/>
        <v>63.231983614474942</v>
      </c>
      <c r="AA386" s="340" t="str">
        <f t="shared" si="54"/>
        <v>Chêne sessile_F1_Classique_Guide chênaie atlantique_115_</v>
      </c>
      <c r="AB386" s="333">
        <f t="shared" si="55"/>
        <v>115</v>
      </c>
      <c r="AC386" s="340">
        <f t="shared" si="48"/>
        <v>567.12843812854373</v>
      </c>
      <c r="AD386" s="341">
        <f t="shared" si="44"/>
        <v>5128.5486045610705</v>
      </c>
      <c r="AE386" s="341">
        <f t="shared" si="56"/>
        <v>387.26639397599007</v>
      </c>
    </row>
    <row r="387" spans="1:31" s="342" customFormat="1" x14ac:dyDescent="0.25">
      <c r="A387" s="330" t="s">
        <v>389</v>
      </c>
      <c r="B387" s="330" t="s">
        <v>9</v>
      </c>
      <c r="C387" s="330" t="s">
        <v>18</v>
      </c>
      <c r="D387" s="330" t="s">
        <v>137</v>
      </c>
      <c r="E387" s="330">
        <v>13</v>
      </c>
      <c r="F387" s="330">
        <v>115</v>
      </c>
      <c r="G387" s="330"/>
      <c r="J387" s="342">
        <v>305</v>
      </c>
      <c r="O387" s="342">
        <f>J386-J387</f>
        <v>43</v>
      </c>
      <c r="W387" s="339">
        <f>+VLOOKUP(A387,infradensité!$A$2:$B$67,2,FALSE)</f>
        <v>0.57999999999999996</v>
      </c>
      <c r="X387" s="339">
        <v>1.3</v>
      </c>
      <c r="Y387" s="340">
        <f t="shared" si="47"/>
        <v>229.97</v>
      </c>
      <c r="Z387" s="340">
        <f t="shared" si="49"/>
        <v>56.276194780495985</v>
      </c>
      <c r="AA387" s="340" t="str">
        <f t="shared" si="54"/>
        <v>Chêne sessile_F1_Classique_Guide chênaie atlantique_115_</v>
      </c>
      <c r="AB387" s="333">
        <f t="shared" si="55"/>
        <v>115</v>
      </c>
      <c r="AC387" s="340">
        <f t="shared" si="48"/>
        <v>498.54545590936385</v>
      </c>
      <c r="AD387" s="341">
        <f t="shared" si="44"/>
        <v>0</v>
      </c>
      <c r="AE387" s="341">
        <f t="shared" si="56"/>
        <v>387.26639397599007</v>
      </c>
    </row>
    <row r="388" spans="1:31" s="342" customFormat="1" x14ac:dyDescent="0.25">
      <c r="A388" s="330" t="s">
        <v>389</v>
      </c>
      <c r="B388" s="330" t="s">
        <v>9</v>
      </c>
      <c r="C388" s="330" t="s">
        <v>18</v>
      </c>
      <c r="D388" s="330" t="s">
        <v>137</v>
      </c>
      <c r="E388" s="330">
        <v>13</v>
      </c>
      <c r="F388" s="330">
        <v>125</v>
      </c>
      <c r="G388" s="330"/>
      <c r="J388" s="342">
        <v>372</v>
      </c>
      <c r="W388" s="339">
        <f>+VLOOKUP(A388,infradensité!$A$2:$B$67,2,FALSE)</f>
        <v>0.57999999999999996</v>
      </c>
      <c r="X388" s="339">
        <v>1.3</v>
      </c>
      <c r="Y388" s="340">
        <f t="shared" si="47"/>
        <v>280.488</v>
      </c>
      <c r="Z388" s="340">
        <f t="shared" si="49"/>
        <v>67.070126855467564</v>
      </c>
      <c r="AA388" s="340" t="str">
        <f t="shared" si="54"/>
        <v>Chêne sessile_F1_Classique_Guide chênaie atlantique_125_</v>
      </c>
      <c r="AB388" s="333">
        <f t="shared" si="55"/>
        <v>125</v>
      </c>
      <c r="AC388" s="340">
        <f t="shared" si="48"/>
        <v>605.33040427327262</v>
      </c>
      <c r="AD388" s="341">
        <f t="shared" si="44"/>
        <v>5519.3793009131823</v>
      </c>
      <c r="AE388" s="341">
        <f t="shared" si="56"/>
        <v>387.26639397599007</v>
      </c>
    </row>
    <row r="389" spans="1:31" s="342" customFormat="1" x14ac:dyDescent="0.25">
      <c r="A389" s="330" t="s">
        <v>389</v>
      </c>
      <c r="B389" s="330" t="s">
        <v>9</v>
      </c>
      <c r="C389" s="330" t="s">
        <v>18</v>
      </c>
      <c r="D389" s="330" t="s">
        <v>137</v>
      </c>
      <c r="E389" s="330">
        <v>13</v>
      </c>
      <c r="F389" s="330">
        <v>125</v>
      </c>
      <c r="G389" s="330"/>
      <c r="J389" s="342">
        <v>326</v>
      </c>
      <c r="O389" s="342">
        <f>J388-J389</f>
        <v>46</v>
      </c>
      <c r="W389" s="339">
        <f>+VLOOKUP(A389,infradensité!$A$2:$B$67,2,FALSE)</f>
        <v>0.57999999999999996</v>
      </c>
      <c r="X389" s="339">
        <v>1.3</v>
      </c>
      <c r="Y389" s="340">
        <f t="shared" si="47"/>
        <v>245.804</v>
      </c>
      <c r="Z389" s="340">
        <f t="shared" si="49"/>
        <v>59.686547383038381</v>
      </c>
      <c r="AA389" s="340" t="str">
        <f t="shared" si="54"/>
        <v>Chêne sessile_F1_Classique_Guide chênaie atlantique_125_</v>
      </c>
      <c r="AB389" s="333">
        <f t="shared" si="55"/>
        <v>125</v>
      </c>
      <c r="AC389" s="340">
        <f t="shared" si="48"/>
        <v>532.06270335879185</v>
      </c>
      <c r="AD389" s="341">
        <f t="shared" si="44"/>
        <v>0</v>
      </c>
      <c r="AE389" s="341">
        <f t="shared" si="56"/>
        <v>387.26639397599007</v>
      </c>
    </row>
    <row r="390" spans="1:31" s="342" customFormat="1" x14ac:dyDescent="0.25">
      <c r="A390" s="330" t="s">
        <v>389</v>
      </c>
      <c r="B390" s="330" t="s">
        <v>9</v>
      </c>
      <c r="C390" s="330" t="s">
        <v>18</v>
      </c>
      <c r="D390" s="330" t="s">
        <v>137</v>
      </c>
      <c r="E390" s="330">
        <v>13</v>
      </c>
      <c r="F390" s="330">
        <v>135</v>
      </c>
      <c r="G390" s="330"/>
      <c r="J390" s="342">
        <v>393</v>
      </c>
      <c r="W390" s="339">
        <f>+VLOOKUP(A390,infradensité!$A$2:$B$67,2,FALSE)</f>
        <v>0.57999999999999996</v>
      </c>
      <c r="X390" s="339">
        <v>1.3</v>
      </c>
      <c r="Y390" s="340">
        <f t="shared" si="47"/>
        <v>296.322</v>
      </c>
      <c r="Z390" s="340">
        <f t="shared" si="49"/>
        <v>70.404860706775452</v>
      </c>
      <c r="AA390" s="340" t="str">
        <f t="shared" si="54"/>
        <v>Chêne sessile_F1_Classique_Guide chênaie atlantique_135_</v>
      </c>
      <c r="AB390" s="333">
        <f t="shared" si="55"/>
        <v>135</v>
      </c>
      <c r="AC390" s="340">
        <f t="shared" si="48"/>
        <v>638.71594906430062</v>
      </c>
      <c r="AD390" s="341">
        <f t="shared" ref="AD390:AD453" si="63">+IF(AC390=0,0,(AC390+AC389)*(AB390-AB389)/2)</f>
        <v>5853.8932621154618</v>
      </c>
      <c r="AE390" s="341">
        <f t="shared" si="56"/>
        <v>387.26639397599007</v>
      </c>
    </row>
    <row r="391" spans="1:31" s="342" customFormat="1" x14ac:dyDescent="0.25">
      <c r="A391" s="330" t="s">
        <v>389</v>
      </c>
      <c r="B391" s="330" t="s">
        <v>9</v>
      </c>
      <c r="C391" s="330" t="s">
        <v>18</v>
      </c>
      <c r="D391" s="330" t="s">
        <v>137</v>
      </c>
      <c r="E391" s="330">
        <v>13</v>
      </c>
      <c r="F391" s="330">
        <v>135</v>
      </c>
      <c r="G391" s="330"/>
      <c r="J391" s="342">
        <v>343</v>
      </c>
      <c r="O391" s="342">
        <f>J390-J391</f>
        <v>50</v>
      </c>
      <c r="W391" s="339">
        <f>+VLOOKUP(A391,infradensité!$A$2:$B$67,2,FALSE)</f>
        <v>0.57999999999999996</v>
      </c>
      <c r="X391" s="339">
        <v>1.3</v>
      </c>
      <c r="Y391" s="340">
        <f t="shared" si="47"/>
        <v>258.62200000000001</v>
      </c>
      <c r="Z391" s="340">
        <f t="shared" si="49"/>
        <v>62.42855325803675</v>
      </c>
      <c r="AA391" s="340" t="str">
        <f t="shared" si="54"/>
        <v>Chêne sessile_F1_Classique_Guide chênaie atlantique_135_</v>
      </c>
      <c r="AB391" s="333">
        <f t="shared" si="55"/>
        <v>135</v>
      </c>
      <c r="AC391" s="340">
        <f t="shared" si="48"/>
        <v>559.16304692441395</v>
      </c>
      <c r="AD391" s="341">
        <f t="shared" si="63"/>
        <v>0</v>
      </c>
      <c r="AE391" s="341">
        <f t="shared" si="56"/>
        <v>387.26639397599007</v>
      </c>
    </row>
    <row r="392" spans="1:31" s="342" customFormat="1" x14ac:dyDescent="0.25">
      <c r="A392" s="330" t="s">
        <v>389</v>
      </c>
      <c r="B392" s="330" t="s">
        <v>9</v>
      </c>
      <c r="C392" s="330" t="s">
        <v>18</v>
      </c>
      <c r="D392" s="330" t="s">
        <v>137</v>
      </c>
      <c r="E392" s="330">
        <v>13</v>
      </c>
      <c r="F392" s="330">
        <v>145</v>
      </c>
      <c r="G392" s="330"/>
      <c r="J392" s="342">
        <v>411</v>
      </c>
      <c r="W392" s="339">
        <f>+VLOOKUP(A392,infradensité!$A$2:$B$67,2,FALSE)</f>
        <v>0.57999999999999996</v>
      </c>
      <c r="X392" s="339">
        <v>1.3</v>
      </c>
      <c r="Y392" s="340">
        <f t="shared" si="47"/>
        <v>309.89400000000001</v>
      </c>
      <c r="Z392" s="340">
        <f t="shared" si="49"/>
        <v>73.246692712267546</v>
      </c>
      <c r="AA392" s="340" t="str">
        <f t="shared" si="54"/>
        <v>Chêne sessile_F1_Classique_Guide chênaie atlantique_145_</v>
      </c>
      <c r="AB392" s="333">
        <f t="shared" si="55"/>
        <v>145</v>
      </c>
      <c r="AC392" s="340">
        <f t="shared" si="48"/>
        <v>667.30337314053259</v>
      </c>
      <c r="AD392" s="341">
        <f t="shared" si="63"/>
        <v>6132.3321003247329</v>
      </c>
      <c r="AE392" s="341">
        <f t="shared" si="56"/>
        <v>387.26639397599007</v>
      </c>
    </row>
    <row r="393" spans="1:31" s="342" customFormat="1" x14ac:dyDescent="0.25">
      <c r="A393" s="330" t="s">
        <v>389</v>
      </c>
      <c r="B393" s="330" t="s">
        <v>9</v>
      </c>
      <c r="C393" s="330" t="s">
        <v>18</v>
      </c>
      <c r="D393" s="330" t="s">
        <v>137</v>
      </c>
      <c r="E393" s="330">
        <v>13</v>
      </c>
      <c r="F393" s="330">
        <v>145</v>
      </c>
      <c r="G393" s="330"/>
      <c r="J393" s="342">
        <v>367</v>
      </c>
      <c r="O393" s="342">
        <f>J392-J393</f>
        <v>44</v>
      </c>
      <c r="W393" s="339">
        <f>+VLOOKUP(A393,infradensité!$A$2:$B$67,2,FALSE)</f>
        <v>0.57999999999999996</v>
      </c>
      <c r="X393" s="339">
        <v>1.3</v>
      </c>
      <c r="Y393" s="340">
        <f t="shared" si="47"/>
        <v>276.71800000000002</v>
      </c>
      <c r="Z393" s="340">
        <f t="shared" si="49"/>
        <v>66.272952706018444</v>
      </c>
      <c r="AA393" s="340" t="str">
        <f t="shared" si="54"/>
        <v>Chêne sessile_F1_Classique_Guide chênaie atlantique_145_</v>
      </c>
      <c r="AB393" s="333">
        <f t="shared" si="55"/>
        <v>145</v>
      </c>
      <c r="AC393" s="340">
        <f t="shared" si="48"/>
        <v>597.3759092963154</v>
      </c>
      <c r="AD393" s="341">
        <f t="shared" si="63"/>
        <v>0</v>
      </c>
      <c r="AE393" s="341">
        <f t="shared" si="56"/>
        <v>387.26639397599007</v>
      </c>
    </row>
    <row r="394" spans="1:31" s="342" customFormat="1" x14ac:dyDescent="0.25">
      <c r="A394" s="330" t="s">
        <v>389</v>
      </c>
      <c r="B394" s="330" t="s">
        <v>9</v>
      </c>
      <c r="C394" s="330" t="s">
        <v>18</v>
      </c>
      <c r="D394" s="330" t="s">
        <v>137</v>
      </c>
      <c r="E394" s="330">
        <v>13</v>
      </c>
      <c r="F394" s="330">
        <v>155</v>
      </c>
      <c r="G394" s="330"/>
      <c r="J394" s="342">
        <v>435</v>
      </c>
      <c r="W394" s="339">
        <f>+VLOOKUP(A394,infradensité!$A$2:$B$67,2,FALSE)</f>
        <v>0.57999999999999996</v>
      </c>
      <c r="X394" s="339">
        <v>1.3</v>
      </c>
      <c r="Y394" s="340">
        <f t="shared" si="47"/>
        <v>327.99</v>
      </c>
      <c r="Z394" s="340">
        <f t="shared" si="49"/>
        <v>77.013434829027545</v>
      </c>
      <c r="AA394" s="340" t="str">
        <f t="shared" si="54"/>
        <v>Chêne sessile_F1_Classique_Guide chênaie atlantique_155_</v>
      </c>
      <c r="AB394" s="333">
        <f t="shared" si="55"/>
        <v>155</v>
      </c>
      <c r="AC394" s="340">
        <f t="shared" si="48"/>
        <v>705.38098232722302</v>
      </c>
      <c r="AD394" s="341">
        <f t="shared" si="63"/>
        <v>6513.7844581176923</v>
      </c>
      <c r="AE394" s="341">
        <f t="shared" si="56"/>
        <v>387.26639397599007</v>
      </c>
    </row>
    <row r="395" spans="1:31" s="342" customFormat="1" x14ac:dyDescent="0.25">
      <c r="A395" s="330" t="s">
        <v>389</v>
      </c>
      <c r="B395" s="330" t="s">
        <v>9</v>
      </c>
      <c r="C395" s="330" t="s">
        <v>18</v>
      </c>
      <c r="D395" s="330" t="s">
        <v>137</v>
      </c>
      <c r="E395" s="330">
        <v>13</v>
      </c>
      <c r="F395" s="330">
        <v>155</v>
      </c>
      <c r="G395" s="330"/>
      <c r="J395" s="342">
        <v>384</v>
      </c>
      <c r="O395" s="342">
        <f>J394-J395</f>
        <v>51</v>
      </c>
      <c r="W395" s="339">
        <f>+VLOOKUP(A395,infradensité!$A$2:$B$67,2,FALSE)</f>
        <v>0.57999999999999996</v>
      </c>
      <c r="X395" s="339">
        <v>1.3</v>
      </c>
      <c r="Y395" s="340">
        <f t="shared" si="47"/>
        <v>289.536</v>
      </c>
      <c r="Z395" s="340">
        <f t="shared" si="49"/>
        <v>68.97829509904436</v>
      </c>
      <c r="AA395" s="340" t="str">
        <f t="shared" si="54"/>
        <v>Chêne sessile_F1_Classique_Guide chênaie atlantique_155_</v>
      </c>
      <c r="AB395" s="333">
        <f t="shared" si="55"/>
        <v>155</v>
      </c>
      <c r="AC395" s="340">
        <f t="shared" si="48"/>
        <v>624.41239729750225</v>
      </c>
      <c r="AD395" s="341">
        <f t="shared" si="63"/>
        <v>0</v>
      </c>
      <c r="AE395" s="341">
        <f t="shared" si="56"/>
        <v>387.26639397599007</v>
      </c>
    </row>
    <row r="396" spans="1:31" s="342" customFormat="1" x14ac:dyDescent="0.25">
      <c r="A396" s="330" t="s">
        <v>389</v>
      </c>
      <c r="B396" s="330" t="s">
        <v>9</v>
      </c>
      <c r="C396" s="330" t="s">
        <v>18</v>
      </c>
      <c r="D396" s="330" t="s">
        <v>137</v>
      </c>
      <c r="E396" s="330">
        <v>13</v>
      </c>
      <c r="F396" s="330">
        <v>165</v>
      </c>
      <c r="G396" s="330"/>
      <c r="J396" s="342">
        <v>452</v>
      </c>
      <c r="W396" s="339">
        <f>+VLOOKUP(A396,infradensité!$A$2:$B$67,2,FALSE)</f>
        <v>0.57999999999999996</v>
      </c>
      <c r="X396" s="339">
        <v>1.3</v>
      </c>
      <c r="Y396" s="340">
        <f t="shared" si="47"/>
        <v>340.80799999999999</v>
      </c>
      <c r="Z396" s="340">
        <f t="shared" si="49"/>
        <v>79.66686126863695</v>
      </c>
      <c r="AA396" s="340" t="str">
        <f t="shared" si="54"/>
        <v>Chêne sessile_F1_Classique_Guide chênaie atlantique_165_</v>
      </c>
      <c r="AB396" s="333">
        <f t="shared" si="55"/>
        <v>165</v>
      </c>
      <c r="AC396" s="340">
        <f t="shared" si="48"/>
        <v>732.32705004287584</v>
      </c>
      <c r="AD396" s="341">
        <f t="shared" si="63"/>
        <v>6783.6972367018907</v>
      </c>
      <c r="AE396" s="341">
        <f t="shared" si="56"/>
        <v>387.26639397599007</v>
      </c>
    </row>
    <row r="397" spans="1:31" s="342" customFormat="1" x14ac:dyDescent="0.25">
      <c r="A397" s="330" t="s">
        <v>389</v>
      </c>
      <c r="B397" s="330" t="s">
        <v>9</v>
      </c>
      <c r="C397" s="330" t="s">
        <v>18</v>
      </c>
      <c r="D397" s="330" t="s">
        <v>137</v>
      </c>
      <c r="E397" s="330">
        <v>13</v>
      </c>
      <c r="F397" s="330">
        <v>165</v>
      </c>
      <c r="G397" s="330"/>
      <c r="J397" s="342">
        <v>407</v>
      </c>
      <c r="O397" s="342">
        <f>J396-J397</f>
        <v>45</v>
      </c>
      <c r="W397" s="339">
        <f>+VLOOKUP(A397,infradensité!$A$2:$B$67,2,FALSE)</f>
        <v>0.57999999999999996</v>
      </c>
      <c r="X397" s="339">
        <v>1.3</v>
      </c>
      <c r="Y397" s="340">
        <f t="shared" si="47"/>
        <v>306.87799999999999</v>
      </c>
      <c r="Z397" s="340">
        <f t="shared" si="49"/>
        <v>72.616448717142134</v>
      </c>
      <c r="AA397" s="340" t="str">
        <f t="shared" si="54"/>
        <v>Chêne sessile_F1_Classique_Guide chênaie atlantique_165_</v>
      </c>
      <c r="AB397" s="333">
        <f t="shared" si="55"/>
        <v>165</v>
      </c>
      <c r="AC397" s="340">
        <f t="shared" si="48"/>
        <v>660.95283151568913</v>
      </c>
      <c r="AD397" s="341">
        <f t="shared" si="63"/>
        <v>0</v>
      </c>
      <c r="AE397" s="341">
        <f t="shared" si="56"/>
        <v>387.26639397599007</v>
      </c>
    </row>
    <row r="398" spans="1:31" s="342" customFormat="1" x14ac:dyDescent="0.25">
      <c r="A398" s="330" t="s">
        <v>389</v>
      </c>
      <c r="B398" s="330" t="s">
        <v>9</v>
      </c>
      <c r="C398" s="330" t="s">
        <v>18</v>
      </c>
      <c r="D398" s="330" t="s">
        <v>137</v>
      </c>
      <c r="E398" s="330">
        <v>13</v>
      </c>
      <c r="F398" s="330">
        <v>170</v>
      </c>
      <c r="G398" s="330"/>
      <c r="J398" s="342">
        <v>448</v>
      </c>
      <c r="W398" s="339">
        <f>+VLOOKUP(A398,infradensité!$A$2:$B$67,2,FALSE)</f>
        <v>0.57999999999999996</v>
      </c>
      <c r="X398" s="339">
        <v>1.3</v>
      </c>
      <c r="Y398" s="340">
        <f t="shared" si="47"/>
        <v>337.79200000000003</v>
      </c>
      <c r="Z398" s="340">
        <f t="shared" si="49"/>
        <v>79.043586804777973</v>
      </c>
      <c r="AA398" s="340" t="str">
        <f t="shared" si="54"/>
        <v>Chêne sessile_F1_Classique_Guide chênaie atlantique_170_</v>
      </c>
      <c r="AB398" s="333">
        <f t="shared" si="55"/>
        <v>170</v>
      </c>
      <c r="AC398" s="340">
        <f t="shared" si="48"/>
        <v>725.98864701832156</v>
      </c>
      <c r="AD398" s="341">
        <f t="shared" si="63"/>
        <v>3467.3536963350266</v>
      </c>
      <c r="AE398" s="341">
        <f t="shared" si="56"/>
        <v>387.26639397599007</v>
      </c>
    </row>
    <row r="399" spans="1:31" s="345" customFormat="1" x14ac:dyDescent="0.25">
      <c r="A399" s="330" t="s">
        <v>389</v>
      </c>
      <c r="B399" s="331" t="s">
        <v>10</v>
      </c>
      <c r="C399" s="331" t="s">
        <v>18</v>
      </c>
      <c r="D399" s="330" t="s">
        <v>137</v>
      </c>
      <c r="E399" s="344">
        <v>14</v>
      </c>
      <c r="F399" s="344">
        <v>0</v>
      </c>
      <c r="G399" s="344"/>
      <c r="J399" s="345">
        <v>0</v>
      </c>
      <c r="W399" s="339">
        <f>+VLOOKUP(A399,infradensité!$A$2:$B$67,2,FALSE)</f>
        <v>0.57999999999999996</v>
      </c>
      <c r="X399" s="339">
        <v>1.3</v>
      </c>
      <c r="Y399" s="340">
        <f t="shared" si="47"/>
        <v>0</v>
      </c>
      <c r="Z399" s="340" t="e">
        <f t="shared" si="49"/>
        <v>#NUM!</v>
      </c>
      <c r="AA399" s="346" t="str">
        <f t="shared" si="54"/>
        <v>Chêne sessile_F2_Classique_Guide chênaie atlantique_0_</v>
      </c>
      <c r="AB399" s="347">
        <f t="shared" si="55"/>
        <v>0</v>
      </c>
      <c r="AC399" s="340">
        <v>0</v>
      </c>
      <c r="AD399" s="341">
        <f t="shared" si="63"/>
        <v>0</v>
      </c>
      <c r="AE399" s="348">
        <f>+SUM($AD$399:$AD$431)/$AB$431</f>
        <v>322.9899998590148</v>
      </c>
    </row>
    <row r="400" spans="1:31" s="345" customFormat="1" x14ac:dyDescent="0.25">
      <c r="A400" s="330" t="s">
        <v>389</v>
      </c>
      <c r="B400" s="331" t="s">
        <v>10</v>
      </c>
      <c r="C400" s="331" t="s">
        <v>18</v>
      </c>
      <c r="D400" s="330" t="s">
        <v>137</v>
      </c>
      <c r="E400" s="344">
        <v>14</v>
      </c>
      <c r="F400" s="344">
        <v>30</v>
      </c>
      <c r="G400" s="344"/>
      <c r="J400" s="332">
        <f>+($J$405/$F$405)*F400</f>
        <v>73.269230769230774</v>
      </c>
      <c r="W400" s="339">
        <f>+VLOOKUP(A400,infradensité!$A$2:$B$67,2,FALSE)</f>
        <v>0.57999999999999996</v>
      </c>
      <c r="X400" s="339">
        <v>1.3</v>
      </c>
      <c r="Y400" s="340">
        <f t="shared" si="47"/>
        <v>55.245000000000005</v>
      </c>
      <c r="Z400" s="340">
        <f t="shared" si="49"/>
        <v>15.960340049529075</v>
      </c>
      <c r="AA400" s="346" t="str">
        <f t="shared" si="54"/>
        <v>Chêne sessile_F2_Classique_Guide chênaie atlantique_30_</v>
      </c>
      <c r="AB400" s="347">
        <f t="shared" si="55"/>
        <v>30</v>
      </c>
      <c r="AC400" s="340">
        <f t="shared" si="48"/>
        <v>124.01596725292983</v>
      </c>
      <c r="AD400" s="341">
        <f t="shared" si="63"/>
        <v>1860.2395087939474</v>
      </c>
      <c r="AE400" s="348">
        <f t="shared" ref="AE400:AE431" si="64">+SUM($AD$399:$AD$431)/$AB$431</f>
        <v>322.9899998590148</v>
      </c>
    </row>
    <row r="401" spans="1:31" s="332" customFormat="1" x14ac:dyDescent="0.25">
      <c r="A401" s="330" t="s">
        <v>389</v>
      </c>
      <c r="B401" s="331" t="s">
        <v>10</v>
      </c>
      <c r="C401" s="331" t="s">
        <v>18</v>
      </c>
      <c r="D401" s="330" t="s">
        <v>137</v>
      </c>
      <c r="E401" s="331">
        <v>14</v>
      </c>
      <c r="F401" s="343">
        <v>36</v>
      </c>
      <c r="G401" s="331"/>
      <c r="J401" s="332">
        <f>+($J$405/$F$405)*F401</f>
        <v>87.923076923076934</v>
      </c>
      <c r="W401" s="339">
        <f>+VLOOKUP(A401,infradensité!$A$2:$B$67,2,FALSE)</f>
        <v>0.57999999999999996</v>
      </c>
      <c r="X401" s="339">
        <v>1.3</v>
      </c>
      <c r="Y401" s="340">
        <f t="shared" si="47"/>
        <v>66.294000000000011</v>
      </c>
      <c r="Z401" s="340">
        <f t="shared" si="49"/>
        <v>18.750233876262516</v>
      </c>
      <c r="AA401" s="346" t="str">
        <f t="shared" si="54"/>
        <v>Chêne sessile_F2_Classique_Guide chênaie atlantique_36_</v>
      </c>
      <c r="AB401" s="347">
        <f t="shared" si="55"/>
        <v>36</v>
      </c>
      <c r="AC401" s="340">
        <f t="shared" si="48"/>
        <v>148.11870733449055</v>
      </c>
      <c r="AD401" s="341">
        <f t="shared" si="63"/>
        <v>816.40402376226109</v>
      </c>
      <c r="AE401" s="348">
        <f t="shared" si="64"/>
        <v>322.9899998590148</v>
      </c>
    </row>
    <row r="402" spans="1:31" s="332" customFormat="1" x14ac:dyDescent="0.25">
      <c r="A402" s="330" t="s">
        <v>389</v>
      </c>
      <c r="B402" s="331" t="s">
        <v>10</v>
      </c>
      <c r="C402" s="331" t="s">
        <v>18</v>
      </c>
      <c r="D402" s="330" t="s">
        <v>137</v>
      </c>
      <c r="E402" s="331">
        <v>14</v>
      </c>
      <c r="F402" s="331">
        <v>36</v>
      </c>
      <c r="G402" s="331"/>
      <c r="J402" s="332">
        <f t="shared" ref="J402:J404" si="65">+($J$405/$F$405)*F402</f>
        <v>87.923076923076934</v>
      </c>
      <c r="W402" s="339">
        <f>+VLOOKUP(A402,infradensité!$A$2:$B$67,2,FALSE)</f>
        <v>0.57999999999999996</v>
      </c>
      <c r="X402" s="339">
        <v>1.3</v>
      </c>
      <c r="Y402" s="340">
        <f t="shared" si="47"/>
        <v>66.294000000000011</v>
      </c>
      <c r="Z402" s="340">
        <f t="shared" si="49"/>
        <v>18.750233876262516</v>
      </c>
      <c r="AA402" s="346" t="str">
        <f t="shared" si="54"/>
        <v>Chêne sessile_F2_Classique_Guide chênaie atlantique_36_</v>
      </c>
      <c r="AB402" s="347">
        <f t="shared" si="55"/>
        <v>36</v>
      </c>
      <c r="AC402" s="340">
        <f t="shared" si="48"/>
        <v>148.11870733449055</v>
      </c>
      <c r="AD402" s="341">
        <f t="shared" si="63"/>
        <v>0</v>
      </c>
      <c r="AE402" s="348">
        <f t="shared" si="64"/>
        <v>322.9899998590148</v>
      </c>
    </row>
    <row r="403" spans="1:31" s="332" customFormat="1" x14ac:dyDescent="0.25">
      <c r="A403" s="330" t="s">
        <v>389</v>
      </c>
      <c r="B403" s="331" t="s">
        <v>10</v>
      </c>
      <c r="C403" s="331" t="s">
        <v>18</v>
      </c>
      <c r="D403" s="330" t="s">
        <v>137</v>
      </c>
      <c r="E403" s="331">
        <v>14</v>
      </c>
      <c r="F403" s="331">
        <v>44</v>
      </c>
      <c r="G403" s="331"/>
      <c r="J403" s="332">
        <f t="shared" si="65"/>
        <v>107.46153846153847</v>
      </c>
      <c r="W403" s="339">
        <f>+VLOOKUP(A403,infradensité!$A$2:$B$67,2,FALSE)</f>
        <v>0.57999999999999996</v>
      </c>
      <c r="X403" s="339">
        <v>1.3</v>
      </c>
      <c r="Y403" s="340">
        <f t="shared" si="47"/>
        <v>81.02600000000001</v>
      </c>
      <c r="Z403" s="340">
        <f t="shared" si="49"/>
        <v>22.387860102762506</v>
      </c>
      <c r="AA403" s="346" t="str">
        <f t="shared" si="54"/>
        <v>Chêne sessile_F2_Classique_Guide chênaie atlantique_44_</v>
      </c>
      <c r="AB403" s="347">
        <f t="shared" si="55"/>
        <v>44</v>
      </c>
      <c r="AC403" s="340">
        <f t="shared" si="48"/>
        <v>180.11247301231137</v>
      </c>
      <c r="AD403" s="341">
        <f t="shared" si="63"/>
        <v>1312.9247213872077</v>
      </c>
      <c r="AE403" s="348">
        <f t="shared" si="64"/>
        <v>322.9899998590148</v>
      </c>
    </row>
    <row r="404" spans="1:31" s="332" customFormat="1" x14ac:dyDescent="0.25">
      <c r="A404" s="330" t="s">
        <v>389</v>
      </c>
      <c r="B404" s="331" t="s">
        <v>10</v>
      </c>
      <c r="C404" s="331" t="s">
        <v>18</v>
      </c>
      <c r="D404" s="330" t="s">
        <v>137</v>
      </c>
      <c r="E404" s="331">
        <v>14</v>
      </c>
      <c r="F404" s="331">
        <v>44</v>
      </c>
      <c r="G404" s="331"/>
      <c r="J404" s="332">
        <f t="shared" si="65"/>
        <v>107.46153846153847</v>
      </c>
      <c r="W404" s="339">
        <f>+VLOOKUP(A404,infradensité!$A$2:$B$67,2,FALSE)</f>
        <v>0.57999999999999996</v>
      </c>
      <c r="X404" s="339">
        <v>1.3</v>
      </c>
      <c r="Y404" s="340">
        <f t="shared" si="47"/>
        <v>81.02600000000001</v>
      </c>
      <c r="Z404" s="340">
        <f t="shared" si="49"/>
        <v>22.387860102762506</v>
      </c>
      <c r="AA404" s="346" t="str">
        <f t="shared" si="54"/>
        <v>Chêne sessile_F2_Classique_Guide chênaie atlantique_44_</v>
      </c>
      <c r="AB404" s="347">
        <f t="shared" si="55"/>
        <v>44</v>
      </c>
      <c r="AC404" s="340">
        <f t="shared" si="48"/>
        <v>180.11247301231137</v>
      </c>
      <c r="AD404" s="341">
        <f t="shared" si="63"/>
        <v>0</v>
      </c>
      <c r="AE404" s="348">
        <f t="shared" si="64"/>
        <v>322.9899998590148</v>
      </c>
    </row>
    <row r="405" spans="1:31" s="332" customFormat="1" x14ac:dyDescent="0.25">
      <c r="A405" s="330" t="s">
        <v>389</v>
      </c>
      <c r="B405" s="331" t="s">
        <v>10</v>
      </c>
      <c r="C405" s="331" t="s">
        <v>18</v>
      </c>
      <c r="D405" s="330" t="s">
        <v>137</v>
      </c>
      <c r="E405" s="331">
        <v>14</v>
      </c>
      <c r="F405" s="331">
        <v>52</v>
      </c>
      <c r="G405" s="331"/>
      <c r="J405" s="332">
        <v>127</v>
      </c>
      <c r="W405" s="339">
        <f>+VLOOKUP(A405,infradensité!$A$2:$B$67,2,FALSE)</f>
        <v>0.57999999999999996</v>
      </c>
      <c r="X405" s="339">
        <v>1.3</v>
      </c>
      <c r="Y405" s="340">
        <f t="shared" si="47"/>
        <v>95.757999999999996</v>
      </c>
      <c r="Z405" s="340">
        <f t="shared" si="49"/>
        <v>25.948864241262225</v>
      </c>
      <c r="AA405" s="346" t="str">
        <f t="shared" si="54"/>
        <v>Chêne sessile_F2_Classique_Guide chênaie atlantique_52_</v>
      </c>
      <c r="AB405" s="347">
        <f t="shared" si="55"/>
        <v>52</v>
      </c>
      <c r="AC405" s="340">
        <f t="shared" si="48"/>
        <v>211.9727885535317</v>
      </c>
      <c r="AD405" s="341">
        <f t="shared" si="63"/>
        <v>1568.3410462633724</v>
      </c>
      <c r="AE405" s="348">
        <f t="shared" si="64"/>
        <v>322.9899998590148</v>
      </c>
    </row>
    <row r="406" spans="1:31" s="332" customFormat="1" x14ac:dyDescent="0.25">
      <c r="A406" s="330" t="s">
        <v>389</v>
      </c>
      <c r="B406" s="331" t="s">
        <v>10</v>
      </c>
      <c r="C406" s="331" t="s">
        <v>18</v>
      </c>
      <c r="D406" s="330" t="s">
        <v>137</v>
      </c>
      <c r="E406" s="331">
        <v>14</v>
      </c>
      <c r="F406" s="331">
        <v>52</v>
      </c>
      <c r="G406" s="331"/>
      <c r="J406" s="332">
        <v>98</v>
      </c>
      <c r="O406" s="332">
        <f>J405-J406</f>
        <v>29</v>
      </c>
      <c r="W406" s="339">
        <f>+VLOOKUP(A406,infradensité!$A$2:$B$67,2,FALSE)</f>
        <v>0.57999999999999996</v>
      </c>
      <c r="X406" s="339">
        <v>1.3</v>
      </c>
      <c r="Y406" s="340">
        <f t="shared" si="47"/>
        <v>73.891999999999996</v>
      </c>
      <c r="Z406" s="340">
        <f t="shared" si="49"/>
        <v>20.636913630302118</v>
      </c>
      <c r="AA406" s="346" t="str">
        <f t="shared" si="54"/>
        <v>Chêne sessile_F2_Classique_Guide chênaie atlantique_52_</v>
      </c>
      <c r="AB406" s="347">
        <f t="shared" si="55"/>
        <v>52</v>
      </c>
      <c r="AC406" s="340">
        <f t="shared" si="48"/>
        <v>164.6378579061095</v>
      </c>
      <c r="AD406" s="341">
        <f t="shared" si="63"/>
        <v>0</v>
      </c>
      <c r="AE406" s="348">
        <f t="shared" si="64"/>
        <v>322.9899998590148</v>
      </c>
    </row>
    <row r="407" spans="1:31" s="332" customFormat="1" x14ac:dyDescent="0.25">
      <c r="A407" s="330" t="s">
        <v>389</v>
      </c>
      <c r="B407" s="331" t="s">
        <v>10</v>
      </c>
      <c r="C407" s="331" t="s">
        <v>18</v>
      </c>
      <c r="D407" s="330" t="s">
        <v>137</v>
      </c>
      <c r="E407" s="331">
        <v>14</v>
      </c>
      <c r="F407" s="331">
        <v>60</v>
      </c>
      <c r="G407" s="331"/>
      <c r="J407" s="332">
        <v>147</v>
      </c>
      <c r="W407" s="339">
        <f>+VLOOKUP(A407,infradensité!$A$2:$B$67,2,FALSE)</f>
        <v>0.57999999999999996</v>
      </c>
      <c r="X407" s="339">
        <v>1.3</v>
      </c>
      <c r="Y407" s="340">
        <f t="shared" si="47"/>
        <v>110.83799999999999</v>
      </c>
      <c r="Z407" s="340">
        <f t="shared" si="49"/>
        <v>29.528336615603067</v>
      </c>
      <c r="AA407" s="346" t="str">
        <f t="shared" si="54"/>
        <v>Chêne sessile_F2_Classique_Guide chênaie atlantique_60_</v>
      </c>
      <c r="AB407" s="347">
        <f t="shared" si="55"/>
        <v>60</v>
      </c>
      <c r="AC407" s="340">
        <f t="shared" si="48"/>
        <v>244.4713696055087</v>
      </c>
      <c r="AD407" s="341">
        <f t="shared" si="63"/>
        <v>1636.4369100464728</v>
      </c>
      <c r="AE407" s="348">
        <f t="shared" si="64"/>
        <v>322.9899998590148</v>
      </c>
    </row>
    <row r="408" spans="1:31" s="332" customFormat="1" x14ac:dyDescent="0.25">
      <c r="A408" s="330" t="s">
        <v>389</v>
      </c>
      <c r="B408" s="331" t="s">
        <v>10</v>
      </c>
      <c r="C408" s="331" t="s">
        <v>18</v>
      </c>
      <c r="D408" s="330" t="s">
        <v>137</v>
      </c>
      <c r="E408" s="331">
        <v>14</v>
      </c>
      <c r="F408" s="331">
        <v>60</v>
      </c>
      <c r="G408" s="331"/>
      <c r="J408" s="332">
        <v>117</v>
      </c>
      <c r="O408" s="332">
        <f t="shared" ref="O408:O430" si="66">J407-J408</f>
        <v>30</v>
      </c>
      <c r="W408" s="339">
        <f>+VLOOKUP(A408,infradensité!$A$2:$B$67,2,FALSE)</f>
        <v>0.57999999999999996</v>
      </c>
      <c r="X408" s="339">
        <v>1.3</v>
      </c>
      <c r="Y408" s="340">
        <f t="shared" si="47"/>
        <v>88.218000000000004</v>
      </c>
      <c r="Z408" s="340">
        <f t="shared" si="49"/>
        <v>24.134950560421586</v>
      </c>
      <c r="AA408" s="346" t="str">
        <f t="shared" si="54"/>
        <v>Chêne sessile_F2_Classique_Guide chênaie atlantique_60_</v>
      </c>
      <c r="AB408" s="347">
        <f t="shared" si="55"/>
        <v>60</v>
      </c>
      <c r="AC408" s="340">
        <f t="shared" si="48"/>
        <v>195.68138889273428</v>
      </c>
      <c r="AD408" s="341">
        <f t="shared" si="63"/>
        <v>0</v>
      </c>
      <c r="AE408" s="348">
        <f t="shared" si="64"/>
        <v>322.9899998590148</v>
      </c>
    </row>
    <row r="409" spans="1:31" s="332" customFormat="1" x14ac:dyDescent="0.25">
      <c r="A409" s="330" t="s">
        <v>389</v>
      </c>
      <c r="B409" s="331" t="s">
        <v>10</v>
      </c>
      <c r="C409" s="331" t="s">
        <v>18</v>
      </c>
      <c r="D409" s="330" t="s">
        <v>137</v>
      </c>
      <c r="E409" s="331">
        <v>14</v>
      </c>
      <c r="F409" s="331">
        <v>68</v>
      </c>
      <c r="G409" s="331"/>
      <c r="J409" s="332">
        <v>165</v>
      </c>
      <c r="W409" s="339">
        <f>+VLOOKUP(A409,infradensité!$A$2:$B$67,2,FALSE)</f>
        <v>0.57999999999999996</v>
      </c>
      <c r="X409" s="339">
        <v>1.3</v>
      </c>
      <c r="Y409" s="340">
        <f t="shared" si="47"/>
        <v>124.41</v>
      </c>
      <c r="Z409" s="340">
        <f t="shared" si="49"/>
        <v>32.701388952140334</v>
      </c>
      <c r="AA409" s="346" t="str">
        <f t="shared" si="54"/>
        <v>Chêne sessile_F2_Classique_Guide chênaie atlantique_68_</v>
      </c>
      <c r="AB409" s="347">
        <f t="shared" si="55"/>
        <v>68</v>
      </c>
      <c r="AC409" s="340">
        <f t="shared" si="48"/>
        <v>273.63566909164439</v>
      </c>
      <c r="AD409" s="341">
        <f t="shared" si="63"/>
        <v>1877.2682319375147</v>
      </c>
      <c r="AE409" s="348">
        <f t="shared" si="64"/>
        <v>322.9899998590148</v>
      </c>
    </row>
    <row r="410" spans="1:31" s="332" customFormat="1" x14ac:dyDescent="0.25">
      <c r="A410" s="330" t="s">
        <v>389</v>
      </c>
      <c r="B410" s="331" t="s">
        <v>10</v>
      </c>
      <c r="C410" s="331" t="s">
        <v>18</v>
      </c>
      <c r="D410" s="330" t="s">
        <v>137</v>
      </c>
      <c r="E410" s="331">
        <v>14</v>
      </c>
      <c r="F410" s="331">
        <v>68</v>
      </c>
      <c r="G410" s="331"/>
      <c r="J410" s="332">
        <v>135</v>
      </c>
      <c r="O410" s="332">
        <f t="shared" si="66"/>
        <v>30</v>
      </c>
      <c r="W410" s="339">
        <f>+VLOOKUP(A410,infradensité!$A$2:$B$67,2,FALSE)</f>
        <v>0.57999999999999996</v>
      </c>
      <c r="X410" s="339">
        <v>1.3</v>
      </c>
      <c r="Y410" s="340">
        <f t="shared" si="47"/>
        <v>101.79</v>
      </c>
      <c r="Z410" s="340">
        <f t="shared" si="49"/>
        <v>27.38799903683508</v>
      </c>
      <c r="AA410" s="346" t="str">
        <f t="shared" si="54"/>
        <v>Chêne sessile_F2_Classique_Guide chênaie atlantique_68_</v>
      </c>
      <c r="AB410" s="347">
        <f t="shared" si="55"/>
        <v>68</v>
      </c>
      <c r="AC410" s="340">
        <f t="shared" si="48"/>
        <v>224.98501498915439</v>
      </c>
      <c r="AD410" s="341">
        <f t="shared" si="63"/>
        <v>0</v>
      </c>
      <c r="AE410" s="348">
        <f t="shared" si="64"/>
        <v>322.9899998590148</v>
      </c>
    </row>
    <row r="411" spans="1:31" s="332" customFormat="1" x14ac:dyDescent="0.25">
      <c r="A411" s="330" t="s">
        <v>389</v>
      </c>
      <c r="B411" s="331" t="s">
        <v>10</v>
      </c>
      <c r="C411" s="331" t="s">
        <v>18</v>
      </c>
      <c r="D411" s="330" t="s">
        <v>137</v>
      </c>
      <c r="E411" s="331">
        <v>14</v>
      </c>
      <c r="F411" s="331">
        <v>78</v>
      </c>
      <c r="G411" s="331"/>
      <c r="J411" s="332">
        <v>194</v>
      </c>
      <c r="W411" s="339">
        <f>+VLOOKUP(A411,infradensité!$A$2:$B$67,2,FALSE)</f>
        <v>0.57999999999999996</v>
      </c>
      <c r="X411" s="339">
        <v>1.3</v>
      </c>
      <c r="Y411" s="340">
        <f t="shared" ref="Y411:Y474" si="67">+X411*W411*J411</f>
        <v>146.27600000000001</v>
      </c>
      <c r="Z411" s="340">
        <f t="shared" si="49"/>
        <v>37.73105899165121</v>
      </c>
      <c r="AA411" s="346" t="str">
        <f t="shared" si="54"/>
        <v>Chêne sessile_F2_Classique_Guide chênaie atlantique_78_</v>
      </c>
      <c r="AB411" s="347">
        <f t="shared" si="55"/>
        <v>78</v>
      </c>
      <c r="AC411" s="340">
        <f t="shared" ref="AC411:AC474" si="68">+(Z411+Y411)*0.475*44/12</f>
        <v>320.47896107712586</v>
      </c>
      <c r="AD411" s="341">
        <f t="shared" si="63"/>
        <v>2727.3198803314012</v>
      </c>
      <c r="AE411" s="348">
        <f t="shared" si="64"/>
        <v>322.9899998590148</v>
      </c>
    </row>
    <row r="412" spans="1:31" s="332" customFormat="1" x14ac:dyDescent="0.25">
      <c r="A412" s="330" t="s">
        <v>389</v>
      </c>
      <c r="B412" s="331" t="s">
        <v>10</v>
      </c>
      <c r="C412" s="331" t="s">
        <v>18</v>
      </c>
      <c r="D412" s="330" t="s">
        <v>137</v>
      </c>
      <c r="E412" s="331">
        <v>14</v>
      </c>
      <c r="F412" s="331">
        <v>78</v>
      </c>
      <c r="G412" s="331"/>
      <c r="J412" s="332">
        <v>162</v>
      </c>
      <c r="O412" s="332">
        <f t="shared" si="66"/>
        <v>32</v>
      </c>
      <c r="W412" s="339">
        <f>+VLOOKUP(A412,infradensité!$A$2:$B$67,2,FALSE)</f>
        <v>0.57999999999999996</v>
      </c>
      <c r="X412" s="339">
        <v>1.3</v>
      </c>
      <c r="Y412" s="340">
        <f t="shared" si="67"/>
        <v>122.148</v>
      </c>
      <c r="Z412" s="340">
        <f t="shared" ref="Z412:Z475" si="69">+EXP(-1.0587+0.8836*LN(Y412)+0.284)</f>
        <v>32.175466547071615</v>
      </c>
      <c r="AA412" s="346" t="str">
        <f t="shared" si="54"/>
        <v>Chêne sessile_F2_Classique_Guide chênaie atlantique_78_</v>
      </c>
      <c r="AB412" s="347">
        <f t="shared" si="55"/>
        <v>78</v>
      </c>
      <c r="AC412" s="340">
        <f t="shared" si="68"/>
        <v>268.78003756948306</v>
      </c>
      <c r="AD412" s="341">
        <f t="shared" si="63"/>
        <v>0</v>
      </c>
      <c r="AE412" s="348">
        <f t="shared" si="64"/>
        <v>322.9899998590148</v>
      </c>
    </row>
    <row r="413" spans="1:31" s="332" customFormat="1" x14ac:dyDescent="0.25">
      <c r="A413" s="330" t="s">
        <v>389</v>
      </c>
      <c r="B413" s="331" t="s">
        <v>10</v>
      </c>
      <c r="C413" s="331" t="s">
        <v>18</v>
      </c>
      <c r="D413" s="330" t="s">
        <v>137</v>
      </c>
      <c r="E413" s="331">
        <v>14</v>
      </c>
      <c r="F413" s="331">
        <v>88</v>
      </c>
      <c r="G413" s="331"/>
      <c r="J413" s="332">
        <v>219</v>
      </c>
      <c r="W413" s="339">
        <f>+VLOOKUP(A413,infradensité!$A$2:$B$67,2,FALSE)</f>
        <v>0.57999999999999996</v>
      </c>
      <c r="X413" s="339">
        <v>1.3</v>
      </c>
      <c r="Y413" s="340">
        <f t="shared" si="67"/>
        <v>165.126</v>
      </c>
      <c r="Z413" s="340">
        <f t="shared" si="69"/>
        <v>41.996568490108949</v>
      </c>
      <c r="AA413" s="346" t="str">
        <f t="shared" si="54"/>
        <v>Chêne sessile_F2_Classique_Guide chênaie atlantique_88_</v>
      </c>
      <c r="AB413" s="347">
        <f t="shared" si="55"/>
        <v>88</v>
      </c>
      <c r="AC413" s="340">
        <f t="shared" si="68"/>
        <v>360.73847345360645</v>
      </c>
      <c r="AD413" s="341">
        <f t="shared" si="63"/>
        <v>3147.5925551154478</v>
      </c>
      <c r="AE413" s="348">
        <f t="shared" si="64"/>
        <v>322.9899998590148</v>
      </c>
    </row>
    <row r="414" spans="1:31" s="332" customFormat="1" x14ac:dyDescent="0.25">
      <c r="A414" s="330" t="s">
        <v>389</v>
      </c>
      <c r="B414" s="331" t="s">
        <v>10</v>
      </c>
      <c r="C414" s="331" t="s">
        <v>18</v>
      </c>
      <c r="D414" s="330" t="s">
        <v>137</v>
      </c>
      <c r="E414" s="331">
        <v>14</v>
      </c>
      <c r="F414" s="331">
        <v>88</v>
      </c>
      <c r="G414" s="331"/>
      <c r="J414" s="332">
        <v>184</v>
      </c>
      <c r="O414" s="332">
        <f t="shared" si="66"/>
        <v>35</v>
      </c>
      <c r="W414" s="339">
        <f>+VLOOKUP(A414,infradensité!$A$2:$B$67,2,FALSE)</f>
        <v>0.57999999999999996</v>
      </c>
      <c r="X414" s="339">
        <v>1.3</v>
      </c>
      <c r="Y414" s="340">
        <f t="shared" si="67"/>
        <v>138.73599999999999</v>
      </c>
      <c r="Z414" s="340">
        <f t="shared" si="69"/>
        <v>36.007288175538044</v>
      </c>
      <c r="AA414" s="346" t="str">
        <f t="shared" si="54"/>
        <v>Chêne sessile_F2_Classique_Guide chênaie atlantique_88_</v>
      </c>
      <c r="AB414" s="347">
        <f t="shared" si="55"/>
        <v>88</v>
      </c>
      <c r="AC414" s="340">
        <f t="shared" si="68"/>
        <v>304.34456023906205</v>
      </c>
      <c r="AD414" s="341">
        <f t="shared" si="63"/>
        <v>0</v>
      </c>
      <c r="AE414" s="348">
        <f t="shared" si="64"/>
        <v>322.9899998590148</v>
      </c>
    </row>
    <row r="415" spans="1:31" s="332" customFormat="1" x14ac:dyDescent="0.25">
      <c r="A415" s="330" t="s">
        <v>389</v>
      </c>
      <c r="B415" s="331" t="s">
        <v>10</v>
      </c>
      <c r="C415" s="331" t="s">
        <v>18</v>
      </c>
      <c r="D415" s="330" t="s">
        <v>137</v>
      </c>
      <c r="E415" s="331">
        <v>14</v>
      </c>
      <c r="F415" s="331">
        <v>98</v>
      </c>
      <c r="G415" s="331"/>
      <c r="J415" s="332">
        <v>241</v>
      </c>
      <c r="W415" s="339">
        <f>+VLOOKUP(A415,infradensité!$A$2:$B$67,2,FALSE)</f>
        <v>0.57999999999999996</v>
      </c>
      <c r="X415" s="339">
        <v>1.3</v>
      </c>
      <c r="Y415" s="340">
        <f t="shared" si="67"/>
        <v>181.714</v>
      </c>
      <c r="Z415" s="340">
        <f t="shared" si="69"/>
        <v>45.703309000661321</v>
      </c>
      <c r="AA415" s="346" t="str">
        <f t="shared" si="54"/>
        <v>Chêne sessile_F2_Classique_Guide chênaie atlantique_98_</v>
      </c>
      <c r="AB415" s="347">
        <f t="shared" si="55"/>
        <v>98</v>
      </c>
      <c r="AC415" s="340">
        <f t="shared" si="68"/>
        <v>396.08514650948513</v>
      </c>
      <c r="AD415" s="341">
        <f t="shared" si="63"/>
        <v>3502.1485337427362</v>
      </c>
      <c r="AE415" s="348">
        <f t="shared" si="64"/>
        <v>322.9899998590148</v>
      </c>
    </row>
    <row r="416" spans="1:31" s="332" customFormat="1" x14ac:dyDescent="0.25">
      <c r="A416" s="330" t="s">
        <v>389</v>
      </c>
      <c r="B416" s="331" t="s">
        <v>10</v>
      </c>
      <c r="C416" s="331" t="s">
        <v>18</v>
      </c>
      <c r="D416" s="330" t="s">
        <v>137</v>
      </c>
      <c r="E416" s="331">
        <v>14</v>
      </c>
      <c r="F416" s="331">
        <v>98</v>
      </c>
      <c r="G416" s="331"/>
      <c r="J416" s="332">
        <v>207</v>
      </c>
      <c r="O416" s="332">
        <f t="shared" si="66"/>
        <v>34</v>
      </c>
      <c r="W416" s="339">
        <f>+VLOOKUP(A416,infradensité!$A$2:$B$67,2,FALSE)</f>
        <v>0.57999999999999996</v>
      </c>
      <c r="X416" s="339">
        <v>1.3</v>
      </c>
      <c r="Y416" s="340">
        <f t="shared" si="67"/>
        <v>156.078</v>
      </c>
      <c r="Z416" s="340">
        <f t="shared" si="69"/>
        <v>39.956623674978466</v>
      </c>
      <c r="AA416" s="346" t="str">
        <f t="shared" si="54"/>
        <v>Chêne sessile_F2_Classique_Guide chênaie atlantique_98_</v>
      </c>
      <c r="AB416" s="347">
        <f t="shared" si="55"/>
        <v>98</v>
      </c>
      <c r="AC416" s="340">
        <f t="shared" si="68"/>
        <v>341.42696956725416</v>
      </c>
      <c r="AD416" s="341">
        <f t="shared" si="63"/>
        <v>0</v>
      </c>
      <c r="AE416" s="348">
        <f t="shared" si="64"/>
        <v>322.9899998590148</v>
      </c>
    </row>
    <row r="417" spans="1:31" s="332" customFormat="1" x14ac:dyDescent="0.25">
      <c r="A417" s="330" t="s">
        <v>389</v>
      </c>
      <c r="B417" s="331" t="s">
        <v>10</v>
      </c>
      <c r="C417" s="331" t="s">
        <v>18</v>
      </c>
      <c r="D417" s="330" t="s">
        <v>137</v>
      </c>
      <c r="E417" s="331">
        <v>14</v>
      </c>
      <c r="F417" s="331">
        <v>108</v>
      </c>
      <c r="G417" s="331"/>
      <c r="J417" s="332">
        <v>263</v>
      </c>
      <c r="W417" s="339">
        <f>+VLOOKUP(A417,infradensité!$A$2:$B$67,2,FALSE)</f>
        <v>0.57999999999999996</v>
      </c>
      <c r="X417" s="339">
        <v>1.3</v>
      </c>
      <c r="Y417" s="340">
        <f t="shared" si="67"/>
        <v>198.30199999999999</v>
      </c>
      <c r="Z417" s="340">
        <f t="shared" si="69"/>
        <v>49.370813744014384</v>
      </c>
      <c r="AA417" s="346" t="str">
        <f t="shared" si="54"/>
        <v>Chêne sessile_F2_Classique_Guide chênaie atlantique_108_</v>
      </c>
      <c r="AB417" s="347">
        <f t="shared" si="55"/>
        <v>108</v>
      </c>
      <c r="AC417" s="340">
        <f t="shared" si="68"/>
        <v>431.36348393749171</v>
      </c>
      <c r="AD417" s="341">
        <f t="shared" si="63"/>
        <v>3863.9522675237295</v>
      </c>
      <c r="AE417" s="348">
        <f t="shared" si="64"/>
        <v>322.9899998590148</v>
      </c>
    </row>
    <row r="418" spans="1:31" s="332" customFormat="1" x14ac:dyDescent="0.25">
      <c r="A418" s="330" t="s">
        <v>389</v>
      </c>
      <c r="B418" s="331" t="s">
        <v>10</v>
      </c>
      <c r="C418" s="331" t="s">
        <v>18</v>
      </c>
      <c r="D418" s="330" t="s">
        <v>137</v>
      </c>
      <c r="E418" s="331">
        <v>14</v>
      </c>
      <c r="F418" s="331">
        <v>108</v>
      </c>
      <c r="G418" s="331"/>
      <c r="J418" s="332">
        <v>225</v>
      </c>
      <c r="O418" s="332">
        <f t="shared" si="66"/>
        <v>38</v>
      </c>
      <c r="W418" s="339">
        <f>+VLOOKUP(A418,infradensité!$A$2:$B$67,2,FALSE)</f>
        <v>0.57999999999999996</v>
      </c>
      <c r="X418" s="339">
        <v>1.3</v>
      </c>
      <c r="Y418" s="340">
        <f t="shared" si="67"/>
        <v>169.65</v>
      </c>
      <c r="Z418" s="340">
        <f t="shared" si="69"/>
        <v>43.01162582831487</v>
      </c>
      <c r="AA418" s="346" t="str">
        <f t="shared" si="54"/>
        <v>Chêne sessile_F2_Classique_Guide chênaie atlantique_108_</v>
      </c>
      <c r="AB418" s="347">
        <f t="shared" si="55"/>
        <v>108</v>
      </c>
      <c r="AC418" s="340">
        <f t="shared" si="68"/>
        <v>370.38566498431504</v>
      </c>
      <c r="AD418" s="341">
        <f t="shared" si="63"/>
        <v>0</v>
      </c>
      <c r="AE418" s="348">
        <f t="shared" si="64"/>
        <v>322.9899998590148</v>
      </c>
    </row>
    <row r="419" spans="1:31" s="332" customFormat="1" x14ac:dyDescent="0.25">
      <c r="A419" s="330" t="s">
        <v>389</v>
      </c>
      <c r="B419" s="331" t="s">
        <v>10</v>
      </c>
      <c r="C419" s="331" t="s">
        <v>18</v>
      </c>
      <c r="D419" s="330" t="s">
        <v>137</v>
      </c>
      <c r="E419" s="331">
        <v>14</v>
      </c>
      <c r="F419" s="331">
        <v>118</v>
      </c>
      <c r="G419" s="331"/>
      <c r="J419" s="332">
        <v>281</v>
      </c>
      <c r="W419" s="339">
        <f>+VLOOKUP(A419,infradensité!$A$2:$B$67,2,FALSE)</f>
        <v>0.57999999999999996</v>
      </c>
      <c r="X419" s="339">
        <v>1.3</v>
      </c>
      <c r="Y419" s="340">
        <f t="shared" si="67"/>
        <v>211.874</v>
      </c>
      <c r="Z419" s="340">
        <f t="shared" si="69"/>
        <v>52.344889861796688</v>
      </c>
      <c r="AA419" s="346" t="str">
        <f t="shared" si="54"/>
        <v>Chêne sessile_F2_Classique_Guide chênaie atlantique_118_</v>
      </c>
      <c r="AB419" s="347">
        <f t="shared" si="55"/>
        <v>118</v>
      </c>
      <c r="AC419" s="340">
        <f t="shared" si="68"/>
        <v>460.18123317596252</v>
      </c>
      <c r="AD419" s="341">
        <f t="shared" si="63"/>
        <v>4152.8344908013878</v>
      </c>
      <c r="AE419" s="348">
        <f t="shared" si="64"/>
        <v>322.9899998590148</v>
      </c>
    </row>
    <row r="420" spans="1:31" s="332" customFormat="1" x14ac:dyDescent="0.25">
      <c r="A420" s="330" t="s">
        <v>389</v>
      </c>
      <c r="B420" s="331" t="s">
        <v>10</v>
      </c>
      <c r="C420" s="331" t="s">
        <v>18</v>
      </c>
      <c r="D420" s="330" t="s">
        <v>137</v>
      </c>
      <c r="E420" s="331">
        <v>14</v>
      </c>
      <c r="F420" s="331">
        <v>118</v>
      </c>
      <c r="G420" s="331"/>
      <c r="J420" s="332">
        <v>241</v>
      </c>
      <c r="O420" s="332">
        <f t="shared" si="66"/>
        <v>40</v>
      </c>
      <c r="W420" s="339">
        <f>+VLOOKUP(A420,infradensité!$A$2:$B$67,2,FALSE)</f>
        <v>0.57999999999999996</v>
      </c>
      <c r="X420" s="339">
        <v>1.3</v>
      </c>
      <c r="Y420" s="340">
        <f t="shared" si="67"/>
        <v>181.714</v>
      </c>
      <c r="Z420" s="340">
        <f t="shared" si="69"/>
        <v>45.703309000661321</v>
      </c>
      <c r="AA420" s="346" t="str">
        <f t="shared" si="54"/>
        <v>Chêne sessile_F2_Classique_Guide chênaie atlantique_118_</v>
      </c>
      <c r="AB420" s="347">
        <f t="shared" si="55"/>
        <v>118</v>
      </c>
      <c r="AC420" s="340">
        <f t="shared" si="68"/>
        <v>396.08514650948513</v>
      </c>
      <c r="AD420" s="341">
        <f t="shared" si="63"/>
        <v>0</v>
      </c>
      <c r="AE420" s="348">
        <f t="shared" si="64"/>
        <v>322.9899998590148</v>
      </c>
    </row>
    <row r="421" spans="1:31" s="332" customFormat="1" x14ac:dyDescent="0.25">
      <c r="A421" s="330" t="s">
        <v>389</v>
      </c>
      <c r="B421" s="331" t="s">
        <v>10</v>
      </c>
      <c r="C421" s="331" t="s">
        <v>18</v>
      </c>
      <c r="D421" s="330" t="s">
        <v>137</v>
      </c>
      <c r="E421" s="331">
        <v>14</v>
      </c>
      <c r="F421" s="331">
        <v>128</v>
      </c>
      <c r="G421" s="331"/>
      <c r="J421" s="332">
        <v>297</v>
      </c>
      <c r="W421" s="339">
        <f>+VLOOKUP(A421,infradensité!$A$2:$B$67,2,FALSE)</f>
        <v>0.57999999999999996</v>
      </c>
      <c r="X421" s="339">
        <v>1.3</v>
      </c>
      <c r="Y421" s="340">
        <f t="shared" si="67"/>
        <v>223.93799999999999</v>
      </c>
      <c r="Z421" s="340">
        <f t="shared" si="69"/>
        <v>54.969904783066404</v>
      </c>
      <c r="AA421" s="346" t="str">
        <f t="shared" si="54"/>
        <v>Chêne sessile_F2_Classique_Guide chênaie atlantique_128_</v>
      </c>
      <c r="AB421" s="347">
        <f t="shared" si="55"/>
        <v>128</v>
      </c>
      <c r="AC421" s="340">
        <f t="shared" si="68"/>
        <v>485.76460083050716</v>
      </c>
      <c r="AD421" s="341">
        <f t="shared" si="63"/>
        <v>4409.2487366999612</v>
      </c>
      <c r="AE421" s="348">
        <f t="shared" si="64"/>
        <v>322.9899998590148</v>
      </c>
    </row>
    <row r="422" spans="1:31" s="332" customFormat="1" x14ac:dyDescent="0.25">
      <c r="A422" s="330" t="s">
        <v>389</v>
      </c>
      <c r="B422" s="331" t="s">
        <v>10</v>
      </c>
      <c r="C422" s="331" t="s">
        <v>18</v>
      </c>
      <c r="D422" s="330" t="s">
        <v>137</v>
      </c>
      <c r="E422" s="331">
        <v>14</v>
      </c>
      <c r="F422" s="331">
        <v>128</v>
      </c>
      <c r="G422" s="331"/>
      <c r="J422" s="332">
        <v>258</v>
      </c>
      <c r="O422" s="332">
        <f t="shared" si="66"/>
        <v>39</v>
      </c>
      <c r="W422" s="339">
        <f>+VLOOKUP(A422,infradensité!$A$2:$B$67,2,FALSE)</f>
        <v>0.57999999999999996</v>
      </c>
      <c r="X422" s="339">
        <v>1.3</v>
      </c>
      <c r="Y422" s="340">
        <f t="shared" si="67"/>
        <v>194.53200000000001</v>
      </c>
      <c r="Z422" s="340">
        <f t="shared" si="69"/>
        <v>48.540534952652621</v>
      </c>
      <c r="AA422" s="346" t="str">
        <f t="shared" si="54"/>
        <v>Chêne sessile_F2_Classique_Guide chênaie atlantique_128_</v>
      </c>
      <c r="AB422" s="347">
        <f t="shared" si="55"/>
        <v>128</v>
      </c>
      <c r="AC422" s="340">
        <f t="shared" si="68"/>
        <v>423.35133170920335</v>
      </c>
      <c r="AD422" s="341">
        <f t="shared" si="63"/>
        <v>0</v>
      </c>
      <c r="AE422" s="348">
        <f t="shared" si="64"/>
        <v>322.9899998590148</v>
      </c>
    </row>
    <row r="423" spans="1:31" s="332" customFormat="1" x14ac:dyDescent="0.25">
      <c r="A423" s="330" t="s">
        <v>389</v>
      </c>
      <c r="B423" s="331" t="s">
        <v>10</v>
      </c>
      <c r="C423" s="331" t="s">
        <v>18</v>
      </c>
      <c r="D423" s="330" t="s">
        <v>137</v>
      </c>
      <c r="E423" s="331">
        <v>14</v>
      </c>
      <c r="F423" s="331">
        <v>138</v>
      </c>
      <c r="G423" s="331"/>
      <c r="J423" s="332">
        <v>315</v>
      </c>
      <c r="W423" s="339">
        <f>+VLOOKUP(A423,infradensité!$A$2:$B$67,2,FALSE)</f>
        <v>0.57999999999999996</v>
      </c>
      <c r="X423" s="339">
        <v>1.3</v>
      </c>
      <c r="Y423" s="340">
        <f t="shared" si="67"/>
        <v>237.51</v>
      </c>
      <c r="Z423" s="340">
        <f t="shared" si="69"/>
        <v>57.9034701060217</v>
      </c>
      <c r="AA423" s="346" t="str">
        <f t="shared" si="54"/>
        <v>Chêne sessile_F2_Classique_Guide chênaie atlantique_138_</v>
      </c>
      <c r="AB423" s="347">
        <f t="shared" si="55"/>
        <v>138</v>
      </c>
      <c r="AC423" s="340">
        <f t="shared" si="68"/>
        <v>514.5117937679878</v>
      </c>
      <c r="AD423" s="341">
        <f t="shared" si="63"/>
        <v>4689.3156273859558</v>
      </c>
      <c r="AE423" s="348">
        <f t="shared" si="64"/>
        <v>322.9899998590148</v>
      </c>
    </row>
    <row r="424" spans="1:31" s="332" customFormat="1" x14ac:dyDescent="0.25">
      <c r="A424" s="330" t="s">
        <v>389</v>
      </c>
      <c r="B424" s="331" t="s">
        <v>10</v>
      </c>
      <c r="C424" s="331" t="s">
        <v>18</v>
      </c>
      <c r="D424" s="330" t="s">
        <v>137</v>
      </c>
      <c r="E424" s="331">
        <v>14</v>
      </c>
      <c r="F424" s="331">
        <v>138</v>
      </c>
      <c r="G424" s="331"/>
      <c r="J424" s="332">
        <v>276</v>
      </c>
      <c r="O424" s="332">
        <f t="shared" si="66"/>
        <v>39</v>
      </c>
      <c r="W424" s="339">
        <f>+VLOOKUP(A424,infradensité!$A$2:$B$67,2,FALSE)</f>
        <v>0.57999999999999996</v>
      </c>
      <c r="X424" s="339">
        <v>1.3</v>
      </c>
      <c r="Y424" s="340">
        <f t="shared" si="67"/>
        <v>208.10400000000001</v>
      </c>
      <c r="Z424" s="340">
        <f t="shared" si="69"/>
        <v>51.52104354893045</v>
      </c>
      <c r="AA424" s="346" t="str">
        <f t="shared" si="54"/>
        <v>Chêne sessile_F2_Classique_Guide chênaie atlantique_138_</v>
      </c>
      <c r="AB424" s="347">
        <f t="shared" si="55"/>
        <v>138</v>
      </c>
      <c r="AC424" s="340">
        <f t="shared" si="68"/>
        <v>452.18028418105388</v>
      </c>
      <c r="AD424" s="341">
        <f t="shared" si="63"/>
        <v>0</v>
      </c>
      <c r="AE424" s="348">
        <f t="shared" si="64"/>
        <v>322.9899998590148</v>
      </c>
    </row>
    <row r="425" spans="1:31" s="332" customFormat="1" x14ac:dyDescent="0.25">
      <c r="A425" s="330" t="s">
        <v>389</v>
      </c>
      <c r="B425" s="331" t="s">
        <v>10</v>
      </c>
      <c r="C425" s="331" t="s">
        <v>18</v>
      </c>
      <c r="D425" s="330" t="s">
        <v>137</v>
      </c>
      <c r="E425" s="331">
        <v>14</v>
      </c>
      <c r="F425" s="331">
        <v>148</v>
      </c>
      <c r="G425" s="331"/>
      <c r="J425" s="332">
        <v>333</v>
      </c>
      <c r="W425" s="339">
        <f>+VLOOKUP(A425,infradensité!$A$2:$B$67,2,FALSE)</f>
        <v>0.57999999999999996</v>
      </c>
      <c r="X425" s="339">
        <v>1.3</v>
      </c>
      <c r="Y425" s="340">
        <f t="shared" si="67"/>
        <v>251.08199999999999</v>
      </c>
      <c r="Z425" s="340">
        <f t="shared" si="69"/>
        <v>60.817576600008699</v>
      </c>
      <c r="AA425" s="346" t="str">
        <f t="shared" si="54"/>
        <v>Chêne sessile_F2_Classique_Guide chênaie atlantique_148_</v>
      </c>
      <c r="AB425" s="347">
        <f t="shared" si="55"/>
        <v>148</v>
      </c>
      <c r="AC425" s="340">
        <f t="shared" si="68"/>
        <v>543.22509591168171</v>
      </c>
      <c r="AD425" s="341">
        <f t="shared" si="63"/>
        <v>4977.0269004636784</v>
      </c>
      <c r="AE425" s="348">
        <f t="shared" si="64"/>
        <v>322.9899998590148</v>
      </c>
    </row>
    <row r="426" spans="1:31" s="332" customFormat="1" x14ac:dyDescent="0.25">
      <c r="A426" s="330" t="s">
        <v>389</v>
      </c>
      <c r="B426" s="331" t="s">
        <v>10</v>
      </c>
      <c r="C426" s="331" t="s">
        <v>18</v>
      </c>
      <c r="D426" s="330" t="s">
        <v>137</v>
      </c>
      <c r="E426" s="331">
        <v>14</v>
      </c>
      <c r="F426" s="331">
        <v>148</v>
      </c>
      <c r="G426" s="331"/>
      <c r="J426" s="332">
        <v>293</v>
      </c>
      <c r="O426" s="332">
        <f t="shared" si="66"/>
        <v>40</v>
      </c>
      <c r="W426" s="339">
        <f>+VLOOKUP(A426,infradensité!$A$2:$B$67,2,FALSE)</f>
        <v>0.57999999999999996</v>
      </c>
      <c r="X426" s="339">
        <v>1.3</v>
      </c>
      <c r="Y426" s="340">
        <f t="shared" si="67"/>
        <v>220.922</v>
      </c>
      <c r="Z426" s="340">
        <f t="shared" si="69"/>
        <v>54.315229063403009</v>
      </c>
      <c r="AA426" s="346" t="str">
        <f t="shared" si="54"/>
        <v>Chêne sessile_F2_Classique_Guide chênaie atlantique_148_</v>
      </c>
      <c r="AB426" s="347">
        <f t="shared" si="55"/>
        <v>148</v>
      </c>
      <c r="AC426" s="340">
        <f t="shared" si="68"/>
        <v>479.37150728542679</v>
      </c>
      <c r="AD426" s="341">
        <f t="shared" si="63"/>
        <v>0</v>
      </c>
      <c r="AE426" s="348">
        <f t="shared" si="64"/>
        <v>322.9899998590148</v>
      </c>
    </row>
    <row r="427" spans="1:31" s="332" customFormat="1" x14ac:dyDescent="0.25">
      <c r="A427" s="330" t="s">
        <v>389</v>
      </c>
      <c r="B427" s="331" t="s">
        <v>10</v>
      </c>
      <c r="C427" s="331" t="s">
        <v>18</v>
      </c>
      <c r="D427" s="330" t="s">
        <v>137</v>
      </c>
      <c r="E427" s="331">
        <v>14</v>
      </c>
      <c r="F427" s="331">
        <v>158</v>
      </c>
      <c r="G427" s="331"/>
      <c r="J427" s="332">
        <v>351</v>
      </c>
      <c r="W427" s="339">
        <f>+VLOOKUP(A427,infradensité!$A$2:$B$67,2,FALSE)</f>
        <v>0.57999999999999996</v>
      </c>
      <c r="X427" s="339">
        <v>1.3</v>
      </c>
      <c r="Y427" s="340">
        <f t="shared" si="67"/>
        <v>264.654</v>
      </c>
      <c r="Z427" s="340">
        <f t="shared" si="69"/>
        <v>63.713396011211117</v>
      </c>
      <c r="AA427" s="346" t="str">
        <f t="shared" si="54"/>
        <v>Chêne sessile_F2_Classique_Guide chênaie atlantique_158_</v>
      </c>
      <c r="AB427" s="347">
        <f t="shared" si="55"/>
        <v>158</v>
      </c>
      <c r="AC427" s="340">
        <f t="shared" si="68"/>
        <v>571.90654805285931</v>
      </c>
      <c r="AD427" s="341">
        <f t="shared" si="63"/>
        <v>5256.3902766914307</v>
      </c>
      <c r="AE427" s="348">
        <f t="shared" si="64"/>
        <v>322.9899998590148</v>
      </c>
    </row>
    <row r="428" spans="1:31" s="332" customFormat="1" x14ac:dyDescent="0.25">
      <c r="A428" s="330" t="s">
        <v>389</v>
      </c>
      <c r="B428" s="331" t="s">
        <v>10</v>
      </c>
      <c r="C428" s="331" t="s">
        <v>18</v>
      </c>
      <c r="D428" s="330" t="s">
        <v>137</v>
      </c>
      <c r="E428" s="331">
        <v>14</v>
      </c>
      <c r="F428" s="331">
        <v>158</v>
      </c>
      <c r="G428" s="331"/>
      <c r="J428" s="332">
        <v>310</v>
      </c>
      <c r="O428" s="332">
        <f t="shared" si="66"/>
        <v>41</v>
      </c>
      <c r="W428" s="339">
        <f>+VLOOKUP(A428,infradensité!$A$2:$B$67,2,FALSE)</f>
        <v>0.57999999999999996</v>
      </c>
      <c r="X428" s="339">
        <v>1.3</v>
      </c>
      <c r="Y428" s="340">
        <f t="shared" si="67"/>
        <v>233.74</v>
      </c>
      <c r="Z428" s="340">
        <f t="shared" si="69"/>
        <v>57.090596247628781</v>
      </c>
      <c r="AA428" s="346" t="str">
        <f t="shared" si="54"/>
        <v>Chêne sessile_F2_Classique_Guide chênaie atlantique_158_</v>
      </c>
      <c r="AB428" s="347">
        <f t="shared" si="55"/>
        <v>158</v>
      </c>
      <c r="AC428" s="340">
        <f t="shared" si="68"/>
        <v>506.5299551312869</v>
      </c>
      <c r="AD428" s="341">
        <f t="shared" si="63"/>
        <v>0</v>
      </c>
      <c r="AE428" s="348">
        <f t="shared" si="64"/>
        <v>322.9899998590148</v>
      </c>
    </row>
    <row r="429" spans="1:31" s="332" customFormat="1" x14ac:dyDescent="0.25">
      <c r="A429" s="330" t="s">
        <v>389</v>
      </c>
      <c r="B429" s="331" t="s">
        <v>10</v>
      </c>
      <c r="C429" s="331" t="s">
        <v>18</v>
      </c>
      <c r="D429" s="330" t="s">
        <v>137</v>
      </c>
      <c r="E429" s="331">
        <v>14</v>
      </c>
      <c r="F429" s="331">
        <v>168</v>
      </c>
      <c r="G429" s="331"/>
      <c r="J429" s="332">
        <v>369</v>
      </c>
      <c r="W429" s="339">
        <f>+VLOOKUP(A429,infradensité!$A$2:$B$67,2,FALSE)</f>
        <v>0.57999999999999996</v>
      </c>
      <c r="X429" s="339">
        <v>1.3</v>
      </c>
      <c r="Y429" s="340">
        <f t="shared" si="67"/>
        <v>278.226</v>
      </c>
      <c r="Z429" s="340">
        <f t="shared" si="69"/>
        <v>66.591973118559736</v>
      </c>
      <c r="AA429" s="346" t="str">
        <f t="shared" ref="AA429:AA492" si="70">+_xlfn.CONCAT(A429,"_",B429,"_",C429,"_",D429,"_",AB429,"_")</f>
        <v>Chêne sessile_F2_Classique_Guide chênaie atlantique_168_</v>
      </c>
      <c r="AB429" s="347">
        <f t="shared" ref="AB429:AB492" si="71">F429</f>
        <v>168</v>
      </c>
      <c r="AC429" s="340">
        <f t="shared" si="68"/>
        <v>600.55796984815822</v>
      </c>
      <c r="AD429" s="341">
        <f t="shared" si="63"/>
        <v>5535.4396248972262</v>
      </c>
      <c r="AE429" s="348">
        <f t="shared" si="64"/>
        <v>322.9899998590148</v>
      </c>
    </row>
    <row r="430" spans="1:31" s="332" customFormat="1" x14ac:dyDescent="0.25">
      <c r="A430" s="330" t="s">
        <v>389</v>
      </c>
      <c r="B430" s="331" t="s">
        <v>10</v>
      </c>
      <c r="C430" s="331" t="s">
        <v>18</v>
      </c>
      <c r="D430" s="330" t="s">
        <v>137</v>
      </c>
      <c r="E430" s="331">
        <v>14</v>
      </c>
      <c r="F430" s="331">
        <v>168</v>
      </c>
      <c r="G430" s="331"/>
      <c r="J430" s="332">
        <v>328</v>
      </c>
      <c r="O430" s="332">
        <f t="shared" si="66"/>
        <v>41</v>
      </c>
      <c r="W430" s="339">
        <f>+VLOOKUP(A430,infradensité!$A$2:$B$67,2,FALSE)</f>
        <v>0.57999999999999996</v>
      </c>
      <c r="X430" s="339">
        <v>1.3</v>
      </c>
      <c r="Y430" s="340">
        <f t="shared" si="67"/>
        <v>247.31200000000001</v>
      </c>
      <c r="Z430" s="340">
        <f t="shared" si="69"/>
        <v>60.009984471215603</v>
      </c>
      <c r="AA430" s="346" t="str">
        <f t="shared" si="70"/>
        <v>Chêne sessile_F2_Classique_Guide chênaie atlantique_168_</v>
      </c>
      <c r="AB430" s="347">
        <f t="shared" si="71"/>
        <v>168</v>
      </c>
      <c r="AC430" s="340">
        <f t="shared" si="68"/>
        <v>535.25245628736718</v>
      </c>
      <c r="AD430" s="341">
        <f t="shared" si="63"/>
        <v>0</v>
      </c>
      <c r="AE430" s="348">
        <f t="shared" si="64"/>
        <v>322.9899998590148</v>
      </c>
    </row>
    <row r="431" spans="1:31" s="332" customFormat="1" x14ac:dyDescent="0.25">
      <c r="A431" s="330" t="s">
        <v>389</v>
      </c>
      <c r="B431" s="331" t="s">
        <v>10</v>
      </c>
      <c r="C431" s="331" t="s">
        <v>18</v>
      </c>
      <c r="D431" s="330" t="s">
        <v>137</v>
      </c>
      <c r="E431" s="331">
        <v>14</v>
      </c>
      <c r="F431" s="331">
        <v>180</v>
      </c>
      <c r="G431" s="331"/>
      <c r="J431" s="332">
        <v>368</v>
      </c>
      <c r="W431" s="339">
        <f>+VLOOKUP(A431,infradensité!$A$2:$B$67,2,FALSE)</f>
        <v>0.57999999999999996</v>
      </c>
      <c r="X431" s="339">
        <v>1.3</v>
      </c>
      <c r="Y431" s="340">
        <f t="shared" si="67"/>
        <v>277.47199999999998</v>
      </c>
      <c r="Z431" s="340">
        <f t="shared" si="69"/>
        <v>66.432488139207578</v>
      </c>
      <c r="AA431" s="346" t="str">
        <f t="shared" si="70"/>
        <v>Chêne sessile_F2_Classique_Guide chênaie atlantique_180_</v>
      </c>
      <c r="AB431" s="347">
        <f t="shared" si="71"/>
        <v>180</v>
      </c>
      <c r="AC431" s="340">
        <f t="shared" si="68"/>
        <v>598.96698350911981</v>
      </c>
      <c r="AD431" s="341">
        <f t="shared" si="63"/>
        <v>6805.3166387789224</v>
      </c>
      <c r="AE431" s="348">
        <f t="shared" si="64"/>
        <v>322.9899998590148</v>
      </c>
    </row>
    <row r="432" spans="1:31" hidden="1" x14ac:dyDescent="0.25">
      <c r="A432" s="92" t="s">
        <v>308</v>
      </c>
      <c r="B432" s="92" t="s">
        <v>10</v>
      </c>
      <c r="C432" s="92" t="s">
        <v>18</v>
      </c>
      <c r="D432" s="92" t="s">
        <v>1512</v>
      </c>
      <c r="F432" s="92">
        <v>0</v>
      </c>
      <c r="J432" s="4">
        <v>0</v>
      </c>
      <c r="W432" s="339">
        <f>+VLOOKUP(A432,infradensité!$A$2:$B$67,2,FALSE)</f>
        <v>0.36</v>
      </c>
      <c r="X432" s="339">
        <v>1.3</v>
      </c>
      <c r="Y432" s="340">
        <f t="shared" si="67"/>
        <v>0</v>
      </c>
      <c r="Z432" s="340" t="e">
        <f t="shared" si="69"/>
        <v>#NUM!</v>
      </c>
      <c r="AA432" s="95" t="str">
        <f t="shared" si="70"/>
        <v>Cèdre de l'Atlas_F2_Classique_INRA_0_</v>
      </c>
      <c r="AB432" s="1">
        <f t="shared" si="71"/>
        <v>0</v>
      </c>
      <c r="AC432" s="340">
        <v>0</v>
      </c>
      <c r="AD432" s="341">
        <f t="shared" si="63"/>
        <v>0</v>
      </c>
      <c r="AE432" s="1">
        <f>+SUM($AD$432:$AD$542)/110</f>
        <v>307.81205601511681</v>
      </c>
    </row>
    <row r="433" spans="1:31" hidden="1" x14ac:dyDescent="0.25">
      <c r="A433" s="92" t="s">
        <v>308</v>
      </c>
      <c r="B433" s="92" t="s">
        <v>10</v>
      </c>
      <c r="C433" s="92" t="s">
        <v>18</v>
      </c>
      <c r="D433" s="92" t="s">
        <v>1512</v>
      </c>
      <c r="F433" s="92">
        <v>1</v>
      </c>
      <c r="J433">
        <v>7.15</v>
      </c>
      <c r="W433" s="339">
        <f>+VLOOKUP(A433,infradensité!$A$2:$B$67,2,FALSE)</f>
        <v>0.36</v>
      </c>
      <c r="X433" s="339">
        <v>1.3</v>
      </c>
      <c r="Y433" s="340">
        <f t="shared" si="67"/>
        <v>3.3462000000000001</v>
      </c>
      <c r="Z433" s="340">
        <f t="shared" si="69"/>
        <v>1.3398189597210337</v>
      </c>
      <c r="AA433" s="95" t="str">
        <f t="shared" si="70"/>
        <v>Cèdre de l'Atlas_F2_Classique_INRA_1_</v>
      </c>
      <c r="AB433" s="1">
        <f t="shared" si="71"/>
        <v>1</v>
      </c>
      <c r="AC433" s="340">
        <f t="shared" si="68"/>
        <v>8.161483021514135</v>
      </c>
      <c r="AD433" s="341">
        <f t="shared" si="63"/>
        <v>4.0807415107570675</v>
      </c>
      <c r="AE433" s="1">
        <f t="shared" ref="AE433:AE496" si="72">+SUM($AD$432:$AD$542)/110</f>
        <v>307.81205601511681</v>
      </c>
    </row>
    <row r="434" spans="1:31" hidden="1" x14ac:dyDescent="0.25">
      <c r="A434" s="92" t="s">
        <v>308</v>
      </c>
      <c r="B434" s="92" t="s">
        <v>10</v>
      </c>
      <c r="C434" s="92" t="s">
        <v>18</v>
      </c>
      <c r="D434" s="92" t="s">
        <v>1512</v>
      </c>
      <c r="F434" s="92">
        <v>2</v>
      </c>
      <c r="J434">
        <v>14.3</v>
      </c>
      <c r="W434" s="339">
        <f>+VLOOKUP(A434,infradensité!$A$2:$B$67,2,FALSE)</f>
        <v>0.36</v>
      </c>
      <c r="X434" s="339">
        <v>1.3</v>
      </c>
      <c r="Y434" s="340">
        <f t="shared" si="67"/>
        <v>6.6924000000000001</v>
      </c>
      <c r="Z434" s="340">
        <f t="shared" si="69"/>
        <v>2.4719303135641653</v>
      </c>
      <c r="AA434" s="95" t="str">
        <f t="shared" si="70"/>
        <v>Cèdre de l'Atlas_F2_Classique_INRA_2_</v>
      </c>
      <c r="AB434" s="1">
        <f t="shared" si="71"/>
        <v>2</v>
      </c>
      <c r="AC434" s="340">
        <f t="shared" si="68"/>
        <v>15.961208629457587</v>
      </c>
      <c r="AD434" s="341">
        <f t="shared" si="63"/>
        <v>12.061345825485862</v>
      </c>
      <c r="AE434" s="1">
        <f t="shared" si="72"/>
        <v>307.81205601511681</v>
      </c>
    </row>
    <row r="435" spans="1:31" hidden="1" x14ac:dyDescent="0.25">
      <c r="A435" s="92" t="s">
        <v>308</v>
      </c>
      <c r="B435" s="92" t="s">
        <v>10</v>
      </c>
      <c r="C435" s="92" t="s">
        <v>18</v>
      </c>
      <c r="D435" s="92" t="s">
        <v>1512</v>
      </c>
      <c r="F435" s="92">
        <v>3</v>
      </c>
      <c r="J435">
        <v>21.450000000000003</v>
      </c>
      <c r="W435" s="339">
        <f>+VLOOKUP(A435,infradensité!$A$2:$B$67,2,FALSE)</f>
        <v>0.36</v>
      </c>
      <c r="X435" s="339">
        <v>1.3</v>
      </c>
      <c r="Y435" s="340">
        <f t="shared" si="67"/>
        <v>10.038600000000001</v>
      </c>
      <c r="Z435" s="340">
        <f t="shared" si="69"/>
        <v>3.5369625369783226</v>
      </c>
      <c r="AA435" s="95" t="str">
        <f t="shared" si="70"/>
        <v>Cèdre de l'Atlas_F2_Classique_INRA_3_</v>
      </c>
      <c r="AB435" s="1">
        <f t="shared" si="71"/>
        <v>3</v>
      </c>
      <c r="AC435" s="340">
        <f t="shared" si="68"/>
        <v>23.64410475190391</v>
      </c>
      <c r="AD435" s="341">
        <f t="shared" si="63"/>
        <v>19.802656690680749</v>
      </c>
      <c r="AE435" s="1">
        <f t="shared" si="72"/>
        <v>307.81205601511681</v>
      </c>
    </row>
    <row r="436" spans="1:31" hidden="1" x14ac:dyDescent="0.25">
      <c r="A436" s="92" t="s">
        <v>308</v>
      </c>
      <c r="B436" s="92" t="s">
        <v>10</v>
      </c>
      <c r="C436" s="92" t="s">
        <v>18</v>
      </c>
      <c r="D436" s="92" t="s">
        <v>1512</v>
      </c>
      <c r="F436" s="92">
        <v>4</v>
      </c>
      <c r="J436">
        <v>28.6</v>
      </c>
      <c r="W436" s="339">
        <f>+VLOOKUP(A436,infradensité!$A$2:$B$67,2,FALSE)</f>
        <v>0.36</v>
      </c>
      <c r="X436" s="339">
        <v>1.3</v>
      </c>
      <c r="Y436" s="340">
        <f t="shared" si="67"/>
        <v>13.3848</v>
      </c>
      <c r="Z436" s="340">
        <f t="shared" si="69"/>
        <v>4.5606456236368675</v>
      </c>
      <c r="AA436" s="95" t="str">
        <f t="shared" si="70"/>
        <v>Cèdre de l'Atlas_F2_Classique_INRA_4_</v>
      </c>
      <c r="AB436" s="1">
        <f t="shared" si="71"/>
        <v>4</v>
      </c>
      <c r="AC436" s="340">
        <f t="shared" si="68"/>
        <v>31.254984461167542</v>
      </c>
      <c r="AD436" s="341">
        <f t="shared" si="63"/>
        <v>27.449544606535724</v>
      </c>
      <c r="AE436" s="1">
        <f t="shared" si="72"/>
        <v>307.81205601511681</v>
      </c>
    </row>
    <row r="437" spans="1:31" hidden="1" x14ac:dyDescent="0.25">
      <c r="A437" s="92" t="s">
        <v>308</v>
      </c>
      <c r="B437" s="92" t="s">
        <v>10</v>
      </c>
      <c r="C437" s="92" t="s">
        <v>18</v>
      </c>
      <c r="D437" s="92" t="s">
        <v>1512</v>
      </c>
      <c r="F437" s="92">
        <v>5</v>
      </c>
      <c r="J437">
        <v>35.75</v>
      </c>
      <c r="W437" s="339">
        <f>+VLOOKUP(A437,infradensité!$A$2:$B$67,2,FALSE)</f>
        <v>0.36</v>
      </c>
      <c r="X437" s="339">
        <v>1.3</v>
      </c>
      <c r="Y437" s="340">
        <f t="shared" si="67"/>
        <v>16.730999999999998</v>
      </c>
      <c r="Z437" s="340">
        <f t="shared" si="69"/>
        <v>5.5546412501575304</v>
      </c>
      <c r="AA437" s="95" t="str">
        <f t="shared" si="70"/>
        <v>Cèdre de l'Atlas_F2_Classique_INRA_5_</v>
      </c>
      <c r="AB437" s="1">
        <f t="shared" si="71"/>
        <v>5</v>
      </c>
      <c r="AC437" s="340">
        <f t="shared" si="68"/>
        <v>38.814158510691023</v>
      </c>
      <c r="AD437" s="341">
        <f t="shared" si="63"/>
        <v>35.034571485929284</v>
      </c>
      <c r="AE437" s="1">
        <f t="shared" si="72"/>
        <v>307.81205601511681</v>
      </c>
    </row>
    <row r="438" spans="1:31" hidden="1" x14ac:dyDescent="0.25">
      <c r="A438" s="92" t="s">
        <v>308</v>
      </c>
      <c r="B438" s="92" t="s">
        <v>10</v>
      </c>
      <c r="C438" s="92" t="s">
        <v>18</v>
      </c>
      <c r="D438" s="92" t="s">
        <v>1512</v>
      </c>
      <c r="F438" s="92">
        <v>6</v>
      </c>
      <c r="J438">
        <v>42.900000000000006</v>
      </c>
      <c r="W438" s="339">
        <f>+VLOOKUP(A438,infradensité!$A$2:$B$67,2,FALSE)</f>
        <v>0.36</v>
      </c>
      <c r="X438" s="339">
        <v>1.3</v>
      </c>
      <c r="Y438" s="340">
        <f t="shared" si="67"/>
        <v>20.077200000000001</v>
      </c>
      <c r="Z438" s="340">
        <f t="shared" si="69"/>
        <v>6.5256017237716613</v>
      </c>
      <c r="AA438" s="95" t="str">
        <f t="shared" si="70"/>
        <v>Cèdre de l'Atlas_F2_Classique_INRA_6_</v>
      </c>
      <c r="AB438" s="1">
        <f t="shared" si="71"/>
        <v>6</v>
      </c>
      <c r="AC438" s="340">
        <f t="shared" si="68"/>
        <v>46.333213002235645</v>
      </c>
      <c r="AD438" s="341">
        <f t="shared" si="63"/>
        <v>42.573685756463334</v>
      </c>
      <c r="AE438" s="1">
        <f t="shared" si="72"/>
        <v>307.81205601511681</v>
      </c>
    </row>
    <row r="439" spans="1:31" hidden="1" x14ac:dyDescent="0.25">
      <c r="A439" s="92" t="s">
        <v>308</v>
      </c>
      <c r="B439" s="92" t="s">
        <v>10</v>
      </c>
      <c r="C439" s="92" t="s">
        <v>18</v>
      </c>
      <c r="D439" s="92" t="s">
        <v>1512</v>
      </c>
      <c r="F439" s="92">
        <v>7</v>
      </c>
      <c r="J439">
        <v>50.050000000000004</v>
      </c>
      <c r="W439" s="339">
        <f>+VLOOKUP(A439,infradensité!$A$2:$B$67,2,FALSE)</f>
        <v>0.36</v>
      </c>
      <c r="X439" s="339">
        <v>1.3</v>
      </c>
      <c r="Y439" s="340">
        <f t="shared" si="67"/>
        <v>23.423400000000001</v>
      </c>
      <c r="Z439" s="340">
        <f t="shared" si="69"/>
        <v>7.477815529736108</v>
      </c>
      <c r="AA439" s="95" t="str">
        <f t="shared" si="70"/>
        <v>Cèdre de l'Atlas_F2_Classique_INRA_7_</v>
      </c>
      <c r="AB439" s="1">
        <f t="shared" si="71"/>
        <v>7</v>
      </c>
      <c r="AC439" s="340">
        <f t="shared" si="68"/>
        <v>53.819617047623723</v>
      </c>
      <c r="AD439" s="341">
        <f t="shared" si="63"/>
        <v>50.076415024929688</v>
      </c>
      <c r="AE439" s="1">
        <f t="shared" si="72"/>
        <v>307.81205601511681</v>
      </c>
    </row>
    <row r="440" spans="1:31" hidden="1" x14ac:dyDescent="0.25">
      <c r="A440" s="92" t="s">
        <v>308</v>
      </c>
      <c r="B440" s="92" t="s">
        <v>10</v>
      </c>
      <c r="C440" s="92" t="s">
        <v>18</v>
      </c>
      <c r="D440" s="92" t="s">
        <v>1512</v>
      </c>
      <c r="F440" s="92">
        <v>8</v>
      </c>
      <c r="J440">
        <v>57.2</v>
      </c>
      <c r="W440" s="339">
        <f>+VLOOKUP(A440,infradensité!$A$2:$B$67,2,FALSE)</f>
        <v>0.36</v>
      </c>
      <c r="X440" s="339">
        <v>1.3</v>
      </c>
      <c r="Y440" s="340">
        <f t="shared" si="67"/>
        <v>26.769600000000001</v>
      </c>
      <c r="Z440" s="340">
        <f t="shared" si="69"/>
        <v>8.4142697673415618</v>
      </c>
      <c r="AA440" s="95" t="str">
        <f t="shared" si="70"/>
        <v>Cèdre de l'Atlas_F2_Classique_INRA_8_</v>
      </c>
      <c r="AB440" s="1">
        <f t="shared" si="71"/>
        <v>8</v>
      </c>
      <c r="AC440" s="340">
        <f t="shared" si="68"/>
        <v>61.278573178119878</v>
      </c>
      <c r="AD440" s="341">
        <f t="shared" si="63"/>
        <v>57.549095112871797</v>
      </c>
      <c r="AE440" s="1">
        <f t="shared" si="72"/>
        <v>307.81205601511681</v>
      </c>
    </row>
    <row r="441" spans="1:31" hidden="1" x14ac:dyDescent="0.25">
      <c r="A441" s="92" t="s">
        <v>308</v>
      </c>
      <c r="B441" s="92" t="s">
        <v>10</v>
      </c>
      <c r="C441" s="92" t="s">
        <v>18</v>
      </c>
      <c r="D441" s="92" t="s">
        <v>1512</v>
      </c>
      <c r="F441" s="92">
        <v>9</v>
      </c>
      <c r="J441">
        <v>64.350000000000009</v>
      </c>
      <c r="W441" s="339">
        <f>+VLOOKUP(A441,infradensité!$A$2:$B$67,2,FALSE)</f>
        <v>0.36</v>
      </c>
      <c r="X441" s="339">
        <v>1.3</v>
      </c>
      <c r="Y441" s="340">
        <f t="shared" si="67"/>
        <v>30.115800000000004</v>
      </c>
      <c r="Z441" s="340">
        <f t="shared" si="69"/>
        <v>9.3371599925656295</v>
      </c>
      <c r="AA441" s="95" t="str">
        <f t="shared" si="70"/>
        <v>Cèdre de l'Atlas_F2_Classique_INRA_9_</v>
      </c>
      <c r="AB441" s="1">
        <f t="shared" si="71"/>
        <v>9</v>
      </c>
      <c r="AC441" s="340">
        <f t="shared" si="68"/>
        <v>68.713905320385138</v>
      </c>
      <c r="AD441" s="341">
        <f t="shared" si="63"/>
        <v>64.996239249252511</v>
      </c>
      <c r="AE441" s="1">
        <f t="shared" si="72"/>
        <v>307.81205601511681</v>
      </c>
    </row>
    <row r="442" spans="1:31" hidden="1" x14ac:dyDescent="0.25">
      <c r="A442" s="92" t="s">
        <v>308</v>
      </c>
      <c r="B442" s="92" t="s">
        <v>10</v>
      </c>
      <c r="C442" s="92" t="s">
        <v>18</v>
      </c>
      <c r="D442" s="92" t="s">
        <v>1512</v>
      </c>
      <c r="F442" s="92">
        <v>10</v>
      </c>
      <c r="J442">
        <v>71.5</v>
      </c>
      <c r="W442" s="339">
        <f>+VLOOKUP(A442,infradensité!$A$2:$B$67,2,FALSE)</f>
        <v>0.36</v>
      </c>
      <c r="X442" s="339">
        <v>1.3</v>
      </c>
      <c r="Y442" s="340">
        <f t="shared" si="67"/>
        <v>33.461999999999996</v>
      </c>
      <c r="Z442" s="340">
        <f t="shared" si="69"/>
        <v>10.248165237262528</v>
      </c>
      <c r="AA442" s="95" t="str">
        <f t="shared" si="70"/>
        <v>Cèdre de l'Atlas_F2_Classique_INRA_10_</v>
      </c>
      <c r="AB442" s="1">
        <f t="shared" si="71"/>
        <v>10</v>
      </c>
      <c r="AC442" s="340">
        <f t="shared" si="68"/>
        <v>76.128537788232222</v>
      </c>
      <c r="AD442" s="341">
        <f t="shared" si="63"/>
        <v>72.421221554308687</v>
      </c>
      <c r="AE442" s="1">
        <f t="shared" si="72"/>
        <v>307.81205601511681</v>
      </c>
    </row>
    <row r="443" spans="1:31" hidden="1" x14ac:dyDescent="0.25">
      <c r="A443" s="92" t="s">
        <v>308</v>
      </c>
      <c r="B443" s="92" t="s">
        <v>10</v>
      </c>
      <c r="C443" s="92" t="s">
        <v>18</v>
      </c>
      <c r="D443" s="92" t="s">
        <v>1512</v>
      </c>
      <c r="F443" s="92">
        <v>11</v>
      </c>
      <c r="J443">
        <v>78.650000000000006</v>
      </c>
      <c r="W443" s="339">
        <f>+VLOOKUP(A443,infradensité!$A$2:$B$67,2,FALSE)</f>
        <v>0.36</v>
      </c>
      <c r="X443" s="339">
        <v>1.3</v>
      </c>
      <c r="Y443" s="340">
        <f t="shared" si="67"/>
        <v>36.808199999999999</v>
      </c>
      <c r="Z443" s="340">
        <f t="shared" si="69"/>
        <v>11.148609294698469</v>
      </c>
      <c r="AA443" s="95" t="str">
        <f t="shared" si="70"/>
        <v>Cèdre de l'Atlas_F2_Classique_INRA_11_</v>
      </c>
      <c r="AB443" s="1">
        <f t="shared" si="71"/>
        <v>11</v>
      </c>
      <c r="AC443" s="340">
        <f t="shared" si="68"/>
        <v>83.524776188266486</v>
      </c>
      <c r="AD443" s="341">
        <f t="shared" si="63"/>
        <v>79.826656988249354</v>
      </c>
      <c r="AE443" s="1">
        <f t="shared" si="72"/>
        <v>307.81205601511681</v>
      </c>
    </row>
    <row r="444" spans="1:31" hidden="1" x14ac:dyDescent="0.25">
      <c r="A444" s="92" t="s">
        <v>308</v>
      </c>
      <c r="B444" s="92" t="s">
        <v>10</v>
      </c>
      <c r="C444" s="92" t="s">
        <v>18</v>
      </c>
      <c r="D444" s="92" t="s">
        <v>1512</v>
      </c>
      <c r="F444" s="92">
        <v>12</v>
      </c>
      <c r="J444">
        <v>85.800000000000011</v>
      </c>
      <c r="W444" s="339">
        <f>+VLOOKUP(A444,infradensité!$A$2:$B$67,2,FALSE)</f>
        <v>0.36</v>
      </c>
      <c r="X444" s="339">
        <v>1.3</v>
      </c>
      <c r="Y444" s="340">
        <f t="shared" si="67"/>
        <v>40.154400000000003</v>
      </c>
      <c r="Z444" s="340">
        <f t="shared" si="69"/>
        <v>12.039561463286329</v>
      </c>
      <c r="AA444" s="95" t="str">
        <f t="shared" si="70"/>
        <v>Cèdre de l'Atlas_F2_Classique_INRA_12_</v>
      </c>
      <c r="AB444" s="1">
        <f t="shared" si="71"/>
        <v>12</v>
      </c>
      <c r="AC444" s="340">
        <f t="shared" si="68"/>
        <v>90.90448288189036</v>
      </c>
      <c r="AD444" s="341">
        <f t="shared" si="63"/>
        <v>87.214629535078416</v>
      </c>
      <c r="AE444" s="1">
        <f t="shared" si="72"/>
        <v>307.81205601511681</v>
      </c>
    </row>
    <row r="445" spans="1:31" hidden="1" x14ac:dyDescent="0.25">
      <c r="A445" s="92" t="s">
        <v>308</v>
      </c>
      <c r="B445" s="92" t="s">
        <v>10</v>
      </c>
      <c r="C445" s="92" t="s">
        <v>18</v>
      </c>
      <c r="D445" s="92" t="s">
        <v>1512</v>
      </c>
      <c r="F445" s="92">
        <v>13</v>
      </c>
      <c r="J445">
        <v>92.95</v>
      </c>
      <c r="W445" s="339">
        <f>+VLOOKUP(A445,infradensité!$A$2:$B$67,2,FALSE)</f>
        <v>0.36</v>
      </c>
      <c r="X445" s="339">
        <v>1.3</v>
      </c>
      <c r="Y445" s="340">
        <f t="shared" si="67"/>
        <v>43.500599999999999</v>
      </c>
      <c r="Z445" s="340">
        <f t="shared" si="69"/>
        <v>12.921902662385671</v>
      </c>
      <c r="AA445" s="95" t="str">
        <f t="shared" si="70"/>
        <v>Cèdre de l'Atlas_F2_Classique_INRA_13_</v>
      </c>
      <c r="AB445" s="1">
        <f t="shared" si="71"/>
        <v>13</v>
      </c>
      <c r="AC445" s="340">
        <f t="shared" si="68"/>
        <v>98.269192136988366</v>
      </c>
      <c r="AD445" s="341">
        <f t="shared" si="63"/>
        <v>94.586837509439363</v>
      </c>
      <c r="AE445" s="1">
        <f t="shared" si="72"/>
        <v>307.81205601511681</v>
      </c>
    </row>
    <row r="446" spans="1:31" hidden="1" x14ac:dyDescent="0.25">
      <c r="A446" s="92" t="s">
        <v>308</v>
      </c>
      <c r="B446" s="92" t="s">
        <v>10</v>
      </c>
      <c r="C446" s="92" t="s">
        <v>18</v>
      </c>
      <c r="D446" s="92" t="s">
        <v>1512</v>
      </c>
      <c r="F446" s="92">
        <v>14</v>
      </c>
      <c r="J446">
        <v>100.10000000000001</v>
      </c>
      <c r="W446" s="339">
        <f>+VLOOKUP(A446,infradensité!$A$2:$B$67,2,FALSE)</f>
        <v>0.36</v>
      </c>
      <c r="X446" s="339">
        <v>1.3</v>
      </c>
      <c r="Y446" s="340">
        <f t="shared" si="67"/>
        <v>46.846800000000002</v>
      </c>
      <c r="Z446" s="340">
        <f t="shared" si="69"/>
        <v>13.796370586548711</v>
      </c>
      <c r="AA446" s="95" t="str">
        <f t="shared" si="70"/>
        <v>Cèdre de l'Atlas_F2_Classique_INRA_14_</v>
      </c>
      <c r="AB446" s="1">
        <f t="shared" si="71"/>
        <v>14</v>
      </c>
      <c r="AC446" s="340">
        <f t="shared" si="68"/>
        <v>105.62018877157233</v>
      </c>
      <c r="AD446" s="341">
        <f t="shared" si="63"/>
        <v>101.94469045428035</v>
      </c>
      <c r="AE446" s="1">
        <f t="shared" si="72"/>
        <v>307.81205601511681</v>
      </c>
    </row>
    <row r="447" spans="1:31" hidden="1" x14ac:dyDescent="0.25">
      <c r="A447" s="92" t="s">
        <v>308</v>
      </c>
      <c r="B447" s="92" t="s">
        <v>10</v>
      </c>
      <c r="C447" s="92" t="s">
        <v>18</v>
      </c>
      <c r="D447" s="92" t="s">
        <v>1512</v>
      </c>
      <c r="F447" s="92">
        <v>15</v>
      </c>
      <c r="J447">
        <v>107.25</v>
      </c>
      <c r="W447" s="339">
        <f>+VLOOKUP(A447,infradensité!$A$2:$B$67,2,FALSE)</f>
        <v>0.36</v>
      </c>
      <c r="X447" s="339">
        <v>1.3</v>
      </c>
      <c r="Y447" s="340">
        <f t="shared" si="67"/>
        <v>50.192999999999998</v>
      </c>
      <c r="Z447" s="340">
        <f t="shared" si="69"/>
        <v>14.663591573784165</v>
      </c>
      <c r="AA447" s="95" t="str">
        <f t="shared" si="70"/>
        <v>Cèdre de l'Atlas_F2_Classique_INRA_15_</v>
      </c>
      <c r="AB447" s="1">
        <f t="shared" si="71"/>
        <v>15</v>
      </c>
      <c r="AC447" s="340">
        <f t="shared" si="68"/>
        <v>112.95856365767406</v>
      </c>
      <c r="AD447" s="341">
        <f t="shared" si="63"/>
        <v>109.28937621462319</v>
      </c>
      <c r="AE447" s="1">
        <f t="shared" si="72"/>
        <v>307.81205601511681</v>
      </c>
    </row>
    <row r="448" spans="1:31" hidden="1" x14ac:dyDescent="0.25">
      <c r="A448" s="92" t="s">
        <v>308</v>
      </c>
      <c r="B448" s="92" t="s">
        <v>10</v>
      </c>
      <c r="C448" s="92" t="s">
        <v>18</v>
      </c>
      <c r="D448" s="92" t="s">
        <v>1512</v>
      </c>
      <c r="F448" s="92">
        <v>16</v>
      </c>
      <c r="J448">
        <v>114.4</v>
      </c>
      <c r="W448" s="339">
        <f>+VLOOKUP(A448,infradensité!$A$2:$B$67,2,FALSE)</f>
        <v>0.36</v>
      </c>
      <c r="X448" s="339">
        <v>1.3</v>
      </c>
      <c r="Y448" s="340">
        <f t="shared" si="67"/>
        <v>53.539200000000001</v>
      </c>
      <c r="Z448" s="340">
        <f t="shared" si="69"/>
        <v>15.524103725721874</v>
      </c>
      <c r="AA448" s="95" t="str">
        <f t="shared" si="70"/>
        <v>Cèdre de l'Atlas_F2_Classique_INRA_16_</v>
      </c>
      <c r="AB448" s="1">
        <f t="shared" si="71"/>
        <v>16</v>
      </c>
      <c r="AC448" s="340">
        <f t="shared" si="68"/>
        <v>120.28525398896561</v>
      </c>
      <c r="AD448" s="341">
        <f t="shared" si="63"/>
        <v>116.62190882331984</v>
      </c>
      <c r="AE448" s="1">
        <f t="shared" si="72"/>
        <v>307.81205601511681</v>
      </c>
    </row>
    <row r="449" spans="1:31" hidden="1" x14ac:dyDescent="0.25">
      <c r="A449" s="92" t="s">
        <v>308</v>
      </c>
      <c r="B449" s="92" t="s">
        <v>10</v>
      </c>
      <c r="C449" s="92" t="s">
        <v>18</v>
      </c>
      <c r="D449" s="92" t="s">
        <v>1512</v>
      </c>
      <c r="F449" s="92">
        <v>17</v>
      </c>
      <c r="J449">
        <v>121.55000000000001</v>
      </c>
      <c r="W449" s="339">
        <f>+VLOOKUP(A449,infradensité!$A$2:$B$67,2,FALSE)</f>
        <v>0.36</v>
      </c>
      <c r="X449" s="339">
        <v>1.3</v>
      </c>
      <c r="Y449" s="340">
        <f t="shared" si="67"/>
        <v>56.885400000000004</v>
      </c>
      <c r="Z449" s="340">
        <f t="shared" si="69"/>
        <v>16.37837407958768</v>
      </c>
      <c r="AA449" s="95" t="str">
        <f t="shared" si="70"/>
        <v>Cèdre de l'Atlas_F2_Classique_INRA_17_</v>
      </c>
      <c r="AB449" s="1">
        <f t="shared" si="71"/>
        <v>17</v>
      </c>
      <c r="AC449" s="340">
        <f t="shared" si="68"/>
        <v>127.6010731886152</v>
      </c>
      <c r="AD449" s="341">
        <f t="shared" si="63"/>
        <v>123.94316358879041</v>
      </c>
      <c r="AE449" s="1">
        <f t="shared" si="72"/>
        <v>307.81205601511681</v>
      </c>
    </row>
    <row r="450" spans="1:31" hidden="1" x14ac:dyDescent="0.25">
      <c r="A450" s="92" t="s">
        <v>308</v>
      </c>
      <c r="B450" s="92" t="s">
        <v>10</v>
      </c>
      <c r="C450" s="92" t="s">
        <v>18</v>
      </c>
      <c r="D450" s="92" t="s">
        <v>1512</v>
      </c>
      <c r="F450" s="92">
        <v>18</v>
      </c>
      <c r="J450">
        <v>128.70000000000002</v>
      </c>
      <c r="W450" s="339">
        <f>+VLOOKUP(A450,infradensité!$A$2:$B$67,2,FALSE)</f>
        <v>0.36</v>
      </c>
      <c r="X450" s="339">
        <v>1.3</v>
      </c>
      <c r="Y450" s="340">
        <f t="shared" si="67"/>
        <v>60.231600000000007</v>
      </c>
      <c r="Z450" s="340">
        <f t="shared" si="69"/>
        <v>17.226811623136925</v>
      </c>
      <c r="AA450" s="95" t="str">
        <f t="shared" si="70"/>
        <v>Cèdre de l'Atlas_F2_Classique_INRA_18_</v>
      </c>
      <c r="AB450" s="1">
        <f t="shared" si="71"/>
        <v>18</v>
      </c>
      <c r="AC450" s="340">
        <f t="shared" si="68"/>
        <v>134.90673357696349</v>
      </c>
      <c r="AD450" s="341">
        <f t="shared" si="63"/>
        <v>131.25390338278936</v>
      </c>
      <c r="AE450" s="1">
        <f t="shared" si="72"/>
        <v>307.81205601511681</v>
      </c>
    </row>
    <row r="451" spans="1:31" hidden="1" x14ac:dyDescent="0.25">
      <c r="A451" s="92" t="s">
        <v>308</v>
      </c>
      <c r="B451" s="92" t="s">
        <v>10</v>
      </c>
      <c r="C451" s="92" t="s">
        <v>18</v>
      </c>
      <c r="D451" s="92" t="s">
        <v>1512</v>
      </c>
      <c r="F451" s="92">
        <v>19</v>
      </c>
      <c r="J451">
        <v>135.85</v>
      </c>
      <c r="W451" s="339">
        <f>+VLOOKUP(A451,infradensité!$A$2:$B$67,2,FALSE)</f>
        <v>0.36</v>
      </c>
      <c r="X451" s="339">
        <v>1.3</v>
      </c>
      <c r="Y451" s="340">
        <f t="shared" si="67"/>
        <v>63.577799999999996</v>
      </c>
      <c r="Z451" s="340">
        <f t="shared" si="69"/>
        <v>18.069777334463559</v>
      </c>
      <c r="AA451" s="95" t="str">
        <f t="shared" si="70"/>
        <v>Cèdre de l'Atlas_F2_Classique_INRA_19_</v>
      </c>
      <c r="AB451" s="1">
        <f t="shared" si="71"/>
        <v>19</v>
      </c>
      <c r="AC451" s="340">
        <f t="shared" si="68"/>
        <v>142.20286385752405</v>
      </c>
      <c r="AD451" s="341">
        <f t="shared" si="63"/>
        <v>138.55479871724378</v>
      </c>
      <c r="AE451" s="1">
        <f t="shared" si="72"/>
        <v>307.81205601511681</v>
      </c>
    </row>
    <row r="452" spans="1:31" hidden="1" x14ac:dyDescent="0.25">
      <c r="A452" s="92" t="s">
        <v>308</v>
      </c>
      <c r="B452" s="92" t="s">
        <v>10</v>
      </c>
      <c r="C452" s="92" t="s">
        <v>18</v>
      </c>
      <c r="D452" s="92" t="s">
        <v>1512</v>
      </c>
      <c r="F452" s="92">
        <v>20</v>
      </c>
      <c r="J452">
        <v>143</v>
      </c>
      <c r="W452" s="339">
        <f>+VLOOKUP(A452,infradensité!$A$2:$B$67,2,FALSE)</f>
        <v>0.36</v>
      </c>
      <c r="X452" s="339">
        <v>1.3</v>
      </c>
      <c r="Y452" s="340">
        <f t="shared" si="67"/>
        <v>66.923999999999992</v>
      </c>
      <c r="Z452" s="340">
        <f t="shared" si="69"/>
        <v>18.90759204786767</v>
      </c>
      <c r="AA452" s="95" t="str">
        <f t="shared" si="70"/>
        <v>Cèdre de l'Atlas_F2_Classique_INRA_20_</v>
      </c>
      <c r="AB452" s="1">
        <f t="shared" si="71"/>
        <v>20</v>
      </c>
      <c r="AC452" s="340">
        <f t="shared" si="68"/>
        <v>149.49002281670283</v>
      </c>
      <c r="AD452" s="341">
        <f t="shared" si="63"/>
        <v>145.84644333711344</v>
      </c>
      <c r="AE452" s="1">
        <f t="shared" si="72"/>
        <v>307.81205601511681</v>
      </c>
    </row>
    <row r="453" spans="1:31" hidden="1" x14ac:dyDescent="0.25">
      <c r="A453" s="92" t="s">
        <v>308</v>
      </c>
      <c r="B453" s="92" t="s">
        <v>10</v>
      </c>
      <c r="C453" s="92" t="s">
        <v>18</v>
      </c>
      <c r="D453" s="92" t="s">
        <v>1512</v>
      </c>
      <c r="F453" s="92">
        <v>21</v>
      </c>
      <c r="J453">
        <v>150.15</v>
      </c>
      <c r="W453" s="339">
        <f>+VLOOKUP(A453,infradensité!$A$2:$B$67,2,FALSE)</f>
        <v>0.36</v>
      </c>
      <c r="X453" s="339">
        <v>1.3</v>
      </c>
      <c r="Y453" s="340">
        <f t="shared" si="67"/>
        <v>70.270200000000003</v>
      </c>
      <c r="Z453" s="340">
        <f t="shared" si="69"/>
        <v>19.740542701842557</v>
      </c>
      <c r="AA453" s="95" t="str">
        <f t="shared" si="70"/>
        <v>Cèdre de l'Atlas_F2_Classique_INRA_21_</v>
      </c>
      <c r="AB453" s="1">
        <f t="shared" si="71"/>
        <v>21</v>
      </c>
      <c r="AC453" s="340">
        <f t="shared" si="68"/>
        <v>156.76871020570911</v>
      </c>
      <c r="AD453" s="341">
        <f t="shared" si="63"/>
        <v>153.12936651120597</v>
      </c>
      <c r="AE453" s="1">
        <f t="shared" si="72"/>
        <v>307.81205601511681</v>
      </c>
    </row>
    <row r="454" spans="1:31" hidden="1" x14ac:dyDescent="0.25">
      <c r="A454" s="92" t="s">
        <v>308</v>
      </c>
      <c r="B454" s="92" t="s">
        <v>10</v>
      </c>
      <c r="C454" s="92" t="s">
        <v>18</v>
      </c>
      <c r="D454" s="92" t="s">
        <v>1512</v>
      </c>
      <c r="F454" s="92">
        <v>22</v>
      </c>
      <c r="J454">
        <v>157.30000000000001</v>
      </c>
      <c r="W454" s="339">
        <f>+VLOOKUP(A454,infradensité!$A$2:$B$67,2,FALSE)</f>
        <v>0.36</v>
      </c>
      <c r="X454" s="339">
        <v>1.3</v>
      </c>
      <c r="Y454" s="340">
        <f t="shared" si="67"/>
        <v>73.616399999999999</v>
      </c>
      <c r="Z454" s="340">
        <f t="shared" si="69"/>
        <v>20.568887363249718</v>
      </c>
      <c r="AA454" s="95" t="str">
        <f t="shared" si="70"/>
        <v>Cèdre de l'Atlas_F2_Classique_INRA_22_</v>
      </c>
      <c r="AB454" s="1">
        <f t="shared" si="71"/>
        <v>22</v>
      </c>
      <c r="AC454" s="340">
        <f t="shared" si="68"/>
        <v>164.03937549099325</v>
      </c>
      <c r="AD454" s="341">
        <f t="shared" ref="AD454:AD517" si="73">+IF(AC454=0,0,(AC454+AC453)*(AB454-AB453)/2)</f>
        <v>160.4040428483512</v>
      </c>
      <c r="AE454" s="1">
        <f t="shared" si="72"/>
        <v>307.81205601511681</v>
      </c>
    </row>
    <row r="455" spans="1:31" hidden="1" x14ac:dyDescent="0.25">
      <c r="A455" s="92" t="s">
        <v>308</v>
      </c>
      <c r="B455" s="92" t="s">
        <v>10</v>
      </c>
      <c r="C455" s="92" t="s">
        <v>18</v>
      </c>
      <c r="D455" s="92" t="s">
        <v>1512</v>
      </c>
      <c r="F455" s="92">
        <v>23</v>
      </c>
      <c r="J455">
        <v>164.45000000000002</v>
      </c>
      <c r="W455" s="339">
        <f>+VLOOKUP(A455,infradensité!$A$2:$B$67,2,FALSE)</f>
        <v>0.36</v>
      </c>
      <c r="X455" s="339">
        <v>1.3</v>
      </c>
      <c r="Y455" s="340">
        <f t="shared" si="67"/>
        <v>76.962600000000009</v>
      </c>
      <c r="Z455" s="340">
        <f t="shared" si="69"/>
        <v>21.39285931218528</v>
      </c>
      <c r="AA455" s="95" t="str">
        <f t="shared" si="70"/>
        <v>Cèdre de l'Atlas_F2_Classique_INRA_23_</v>
      </c>
      <c r="AB455" s="1">
        <f t="shared" si="71"/>
        <v>23</v>
      </c>
      <c r="AC455" s="340">
        <f t="shared" si="68"/>
        <v>171.3024249687227</v>
      </c>
      <c r="AD455" s="341">
        <f t="shared" si="73"/>
        <v>167.67090022985798</v>
      </c>
      <c r="AE455" s="1">
        <f t="shared" si="72"/>
        <v>307.81205601511681</v>
      </c>
    </row>
    <row r="456" spans="1:31" hidden="1" x14ac:dyDescent="0.25">
      <c r="A456" s="92" t="s">
        <v>308</v>
      </c>
      <c r="B456" s="92" t="s">
        <v>10</v>
      </c>
      <c r="C456" s="92" t="s">
        <v>18</v>
      </c>
      <c r="D456" s="92" t="s">
        <v>1512</v>
      </c>
      <c r="F456" s="92">
        <v>24</v>
      </c>
      <c r="J456">
        <v>171.60000000000002</v>
      </c>
      <c r="W456" s="339">
        <f>+VLOOKUP(A456,infradensité!$A$2:$B$67,2,FALSE)</f>
        <v>0.36</v>
      </c>
      <c r="X456" s="339">
        <v>1.3</v>
      </c>
      <c r="Y456" s="340">
        <f t="shared" si="67"/>
        <v>80.308800000000005</v>
      </c>
      <c r="Z456" s="340">
        <f t="shared" si="69"/>
        <v>22.212670396389218</v>
      </c>
      <c r="AA456" s="95" t="str">
        <f t="shared" si="70"/>
        <v>Cèdre de l'Atlas_F2_Classique_INRA_24_</v>
      </c>
      <c r="AB456" s="1">
        <f t="shared" si="71"/>
        <v>24</v>
      </c>
      <c r="AC456" s="340">
        <f t="shared" si="68"/>
        <v>178.55822760704453</v>
      </c>
      <c r="AD456" s="341">
        <f t="shared" si="73"/>
        <v>174.93032628788362</v>
      </c>
      <c r="AE456" s="1">
        <f t="shared" si="72"/>
        <v>307.81205601511681</v>
      </c>
    </row>
    <row r="457" spans="1:31" hidden="1" x14ac:dyDescent="0.25">
      <c r="A457" s="92" t="s">
        <v>308</v>
      </c>
      <c r="B457" s="92" t="s">
        <v>10</v>
      </c>
      <c r="C457" s="92" t="s">
        <v>18</v>
      </c>
      <c r="D457" s="92" t="s">
        <v>1512</v>
      </c>
      <c r="F457" s="92">
        <v>25</v>
      </c>
      <c r="J457">
        <v>178.75</v>
      </c>
      <c r="W457" s="339">
        <f>+VLOOKUP(A457,infradensité!$A$2:$B$67,2,FALSE)</f>
        <v>0.36</v>
      </c>
      <c r="X457" s="339">
        <v>1.3</v>
      </c>
      <c r="Y457" s="340">
        <f t="shared" si="67"/>
        <v>83.655000000000001</v>
      </c>
      <c r="Z457" s="340">
        <f t="shared" si="69"/>
        <v>23.028513810832905</v>
      </c>
      <c r="AA457" s="95" t="str">
        <f t="shared" si="70"/>
        <v>Cèdre de l'Atlas_F2_Classique_INRA_25_</v>
      </c>
      <c r="AB457" s="1">
        <f t="shared" si="71"/>
        <v>25</v>
      </c>
      <c r="AC457" s="340">
        <f t="shared" si="68"/>
        <v>185.80711988720063</v>
      </c>
      <c r="AD457" s="341">
        <f t="shared" si="73"/>
        <v>182.18267374712258</v>
      </c>
      <c r="AE457" s="1">
        <f t="shared" si="72"/>
        <v>307.81205601511681</v>
      </c>
    </row>
    <row r="458" spans="1:31" hidden="1" x14ac:dyDescent="0.25">
      <c r="A458" s="92" t="s">
        <v>308</v>
      </c>
      <c r="B458" s="92" t="s">
        <v>10</v>
      </c>
      <c r="C458" s="92" t="s">
        <v>18</v>
      </c>
      <c r="D458" s="92" t="s">
        <v>1512</v>
      </c>
      <c r="F458" s="92">
        <v>26</v>
      </c>
      <c r="J458">
        <v>185.9</v>
      </c>
      <c r="W458" s="339">
        <f>+VLOOKUP(A458,infradensité!$A$2:$B$67,2,FALSE)</f>
        <v>0.36</v>
      </c>
      <c r="X458" s="339">
        <v>1.3</v>
      </c>
      <c r="Y458" s="340">
        <f t="shared" si="67"/>
        <v>87.001199999999997</v>
      </c>
      <c r="Z458" s="340">
        <f t="shared" si="69"/>
        <v>23.840566420053747</v>
      </c>
      <c r="AA458" s="95" t="str">
        <f t="shared" si="70"/>
        <v>Cèdre de l'Atlas_F2_Classique_INRA_26_</v>
      </c>
      <c r="AB458" s="1">
        <f t="shared" si="71"/>
        <v>26</v>
      </c>
      <c r="AC458" s="340">
        <f t="shared" si="68"/>
        <v>193.04940984826024</v>
      </c>
      <c r="AD458" s="341">
        <f t="shared" si="73"/>
        <v>189.42826486773043</v>
      </c>
      <c r="AE458" s="1">
        <f t="shared" si="72"/>
        <v>307.81205601511681</v>
      </c>
    </row>
    <row r="459" spans="1:31" hidden="1" x14ac:dyDescent="0.25">
      <c r="A459" s="92" t="s">
        <v>308</v>
      </c>
      <c r="B459" s="92" t="s">
        <v>10</v>
      </c>
      <c r="C459" s="92" t="s">
        <v>18</v>
      </c>
      <c r="D459" s="92" t="s">
        <v>1512</v>
      </c>
      <c r="F459" s="92">
        <v>27</v>
      </c>
      <c r="J459">
        <v>193.05</v>
      </c>
      <c r="W459" s="339">
        <f>+VLOOKUP(A459,infradensité!$A$2:$B$67,2,FALSE)</f>
        <v>0.36</v>
      </c>
      <c r="X459" s="339">
        <v>1.3</v>
      </c>
      <c r="Y459" s="340">
        <f t="shared" si="67"/>
        <v>90.347399999999993</v>
      </c>
      <c r="Z459" s="340">
        <f t="shared" si="69"/>
        <v>24.64899071315849</v>
      </c>
      <c r="AA459" s="95" t="str">
        <f t="shared" si="70"/>
        <v>Cèdre de l'Atlas_F2_Classique_INRA_27_</v>
      </c>
      <c r="AB459" s="1">
        <f t="shared" si="71"/>
        <v>27</v>
      </c>
      <c r="AC459" s="340">
        <f t="shared" si="68"/>
        <v>200.28538049208433</v>
      </c>
      <c r="AD459" s="341">
        <f t="shared" si="73"/>
        <v>196.66739517017228</v>
      </c>
      <c r="AE459" s="1">
        <f t="shared" si="72"/>
        <v>307.81205601511681</v>
      </c>
    </row>
    <row r="460" spans="1:31" hidden="1" x14ac:dyDescent="0.25">
      <c r="A460" s="92" t="s">
        <v>308</v>
      </c>
      <c r="B460" s="92" t="s">
        <v>10</v>
      </c>
      <c r="C460" s="92" t="s">
        <v>18</v>
      </c>
      <c r="D460" s="92" t="s">
        <v>1512</v>
      </c>
      <c r="F460" s="92">
        <v>28</v>
      </c>
      <c r="J460">
        <v>200.20000000000002</v>
      </c>
      <c r="W460" s="339">
        <f>+VLOOKUP(A460,infradensité!$A$2:$B$67,2,FALSE)</f>
        <v>0.36</v>
      </c>
      <c r="X460" s="339">
        <v>1.3</v>
      </c>
      <c r="Y460" s="340">
        <f t="shared" si="67"/>
        <v>93.693600000000004</v>
      </c>
      <c r="Z460" s="340">
        <f t="shared" si="69"/>
        <v>25.453936461054091</v>
      </c>
      <c r="AA460" s="95" t="str">
        <f t="shared" si="70"/>
        <v>Cèdre de l'Atlas_F2_Classique_INRA_28_</v>
      </c>
      <c r="AB460" s="1">
        <f t="shared" si="71"/>
        <v>28</v>
      </c>
      <c r="AC460" s="340">
        <f t="shared" si="68"/>
        <v>207.51529266966921</v>
      </c>
      <c r="AD460" s="341">
        <f t="shared" si="73"/>
        <v>203.90033658087677</v>
      </c>
      <c r="AE460" s="1">
        <f t="shared" si="72"/>
        <v>307.81205601511681</v>
      </c>
    </row>
    <row r="461" spans="1:31" hidden="1" x14ac:dyDescent="0.25">
      <c r="A461" s="92" t="s">
        <v>308</v>
      </c>
      <c r="B461" s="92" t="s">
        <v>10</v>
      </c>
      <c r="C461" s="92" t="s">
        <v>18</v>
      </c>
      <c r="D461" s="92" t="s">
        <v>1512</v>
      </c>
      <c r="F461" s="92">
        <v>29</v>
      </c>
      <c r="J461">
        <v>207.35000000000002</v>
      </c>
      <c r="W461" s="339">
        <f>+VLOOKUP(A461,infradensité!$A$2:$B$67,2,FALSE)</f>
        <v>0.36</v>
      </c>
      <c r="X461" s="339">
        <v>1.3</v>
      </c>
      <c r="Y461" s="340">
        <f t="shared" si="67"/>
        <v>97.0398</v>
      </c>
      <c r="Z461" s="340">
        <f t="shared" si="69"/>
        <v>26.255542130278698</v>
      </c>
      <c r="AA461" s="95" t="str">
        <f t="shared" si="70"/>
        <v>Cèdre de l'Atlas_F2_Classique_INRA_29_</v>
      </c>
      <c r="AB461" s="1">
        <f t="shared" si="71"/>
        <v>29</v>
      </c>
      <c r="AC461" s="340">
        <f t="shared" si="68"/>
        <v>214.73938754356871</v>
      </c>
      <c r="AD461" s="341">
        <f t="shared" si="73"/>
        <v>211.12734010661896</v>
      </c>
      <c r="AE461" s="1">
        <f t="shared" si="72"/>
        <v>307.81205601511681</v>
      </c>
    </row>
    <row r="462" spans="1:31" hidden="1" x14ac:dyDescent="0.25">
      <c r="A462" s="92" t="s">
        <v>308</v>
      </c>
      <c r="B462" s="92" t="s">
        <v>10</v>
      </c>
      <c r="C462" s="92" t="s">
        <v>18</v>
      </c>
      <c r="D462" s="92" t="s">
        <v>1512</v>
      </c>
      <c r="F462" s="92">
        <v>30</v>
      </c>
      <c r="J462">
        <v>214.5</v>
      </c>
      <c r="W462" s="339">
        <f>+VLOOKUP(A462,infradensité!$A$2:$B$67,2,FALSE)</f>
        <v>0.36</v>
      </c>
      <c r="X462" s="339">
        <v>1.3</v>
      </c>
      <c r="Y462" s="340">
        <f t="shared" si="67"/>
        <v>100.386</v>
      </c>
      <c r="Z462" s="340">
        <f t="shared" si="69"/>
        <v>27.05393609634266</v>
      </c>
      <c r="AA462" s="95" t="str">
        <f t="shared" si="70"/>
        <v>Cèdre de l'Atlas_F2_Classique_INRA_30_</v>
      </c>
      <c r="AB462" s="1">
        <f t="shared" si="71"/>
        <v>30</v>
      </c>
      <c r="AC462" s="340">
        <f t="shared" si="68"/>
        <v>221.95788870113009</v>
      </c>
      <c r="AD462" s="341">
        <f t="shared" si="73"/>
        <v>218.3486381223494</v>
      </c>
      <c r="AE462" s="1">
        <f t="shared" si="72"/>
        <v>307.81205601511681</v>
      </c>
    </row>
    <row r="463" spans="1:31" hidden="1" x14ac:dyDescent="0.25">
      <c r="A463" s="92" t="s">
        <v>308</v>
      </c>
      <c r="B463" s="92" t="s">
        <v>10</v>
      </c>
      <c r="C463" s="92" t="s">
        <v>18</v>
      </c>
      <c r="D463" s="92" t="s">
        <v>1512</v>
      </c>
      <c r="F463" s="92">
        <v>31</v>
      </c>
      <c r="J463">
        <v>222.86666666666667</v>
      </c>
      <c r="W463" s="339">
        <f>+VLOOKUP(A463,infradensité!$A$2:$B$67,2,FALSE)</f>
        <v>0.36</v>
      </c>
      <c r="X463" s="339">
        <v>1.3</v>
      </c>
      <c r="Y463" s="340">
        <f t="shared" si="67"/>
        <v>104.30159999999999</v>
      </c>
      <c r="Z463" s="340">
        <f t="shared" si="69"/>
        <v>27.984268978879296</v>
      </c>
      <c r="AA463" s="95" t="str">
        <f t="shared" si="70"/>
        <v>Cèdre de l'Atlas_F2_Classique_INRA_31_</v>
      </c>
      <c r="AB463" s="1">
        <f t="shared" si="71"/>
        <v>31</v>
      </c>
      <c r="AC463" s="340">
        <f t="shared" si="68"/>
        <v>230.39788847154807</v>
      </c>
      <c r="AD463" s="341">
        <f t="shared" si="73"/>
        <v>226.17788858633907</v>
      </c>
      <c r="AE463" s="1">
        <f t="shared" si="72"/>
        <v>307.81205601511681</v>
      </c>
    </row>
    <row r="464" spans="1:31" hidden="1" x14ac:dyDescent="0.25">
      <c r="A464" s="92" t="s">
        <v>308</v>
      </c>
      <c r="B464" s="92" t="s">
        <v>10</v>
      </c>
      <c r="C464" s="92" t="s">
        <v>18</v>
      </c>
      <c r="D464" s="92" t="s">
        <v>1512</v>
      </c>
      <c r="F464" s="92">
        <v>32</v>
      </c>
      <c r="J464">
        <v>231.23333333333335</v>
      </c>
      <c r="W464" s="339">
        <f>+VLOOKUP(A464,infradensité!$A$2:$B$67,2,FALSE)</f>
        <v>0.36</v>
      </c>
      <c r="X464" s="339">
        <v>1.3</v>
      </c>
      <c r="Y464" s="340">
        <f t="shared" si="67"/>
        <v>108.21720000000001</v>
      </c>
      <c r="Z464" s="340">
        <f t="shared" si="69"/>
        <v>28.910544367084089</v>
      </c>
      <c r="AA464" s="95" t="str">
        <f t="shared" si="70"/>
        <v>Cèdre de l'Atlas_F2_Classique_INRA_32_</v>
      </c>
      <c r="AB464" s="1">
        <f t="shared" si="71"/>
        <v>32</v>
      </c>
      <c r="AC464" s="340">
        <f t="shared" si="68"/>
        <v>238.83082143933814</v>
      </c>
      <c r="AD464" s="341">
        <f t="shared" si="73"/>
        <v>234.6143549554431</v>
      </c>
      <c r="AE464" s="1">
        <f t="shared" si="72"/>
        <v>307.81205601511681</v>
      </c>
    </row>
    <row r="465" spans="1:31" hidden="1" x14ac:dyDescent="0.25">
      <c r="A465" s="92" t="s">
        <v>308</v>
      </c>
      <c r="B465" s="92" t="s">
        <v>10</v>
      </c>
      <c r="C465" s="92" t="s">
        <v>18</v>
      </c>
      <c r="D465" s="92" t="s">
        <v>1512</v>
      </c>
      <c r="F465" s="92">
        <v>33</v>
      </c>
      <c r="J465">
        <v>239.60000000000002</v>
      </c>
      <c r="W465" s="339">
        <f>+VLOOKUP(A465,infradensité!$A$2:$B$67,2,FALSE)</f>
        <v>0.36</v>
      </c>
      <c r="X465" s="339">
        <v>1.3</v>
      </c>
      <c r="Y465" s="340">
        <f t="shared" si="67"/>
        <v>112.1328</v>
      </c>
      <c r="Z465" s="340">
        <f t="shared" si="69"/>
        <v>29.83292588922501</v>
      </c>
      <c r="AA465" s="95" t="str">
        <f t="shared" si="70"/>
        <v>Cèdre de l'Atlas_F2_Classique_INRA_33_</v>
      </c>
      <c r="AB465" s="1">
        <f t="shared" si="71"/>
        <v>33</v>
      </c>
      <c r="AC465" s="340">
        <f t="shared" si="68"/>
        <v>247.25697259040024</v>
      </c>
      <c r="AD465" s="341">
        <f t="shared" si="73"/>
        <v>243.04389701486917</v>
      </c>
      <c r="AE465" s="1">
        <f t="shared" si="72"/>
        <v>307.81205601511681</v>
      </c>
    </row>
    <row r="466" spans="1:31" hidden="1" x14ac:dyDescent="0.25">
      <c r="A466" s="92" t="s">
        <v>308</v>
      </c>
      <c r="B466" s="92" t="s">
        <v>10</v>
      </c>
      <c r="C466" s="92" t="s">
        <v>18</v>
      </c>
      <c r="D466" s="92" t="s">
        <v>1512</v>
      </c>
      <c r="F466" s="92">
        <v>34</v>
      </c>
      <c r="J466">
        <v>247.9666666666667</v>
      </c>
      <c r="W466" s="339">
        <f>+VLOOKUP(A466,infradensité!$A$2:$B$67,2,FALSE)</f>
        <v>0.36</v>
      </c>
      <c r="X466" s="339">
        <v>1.3</v>
      </c>
      <c r="Y466" s="340">
        <f t="shared" si="67"/>
        <v>116.0484</v>
      </c>
      <c r="Z466" s="340">
        <f t="shared" si="69"/>
        <v>30.751565097980826</v>
      </c>
      <c r="AA466" s="95" t="str">
        <f t="shared" si="70"/>
        <v>Cèdre de l'Atlas_F2_Classique_INRA_34_</v>
      </c>
      <c r="AB466" s="1">
        <f t="shared" si="71"/>
        <v>34</v>
      </c>
      <c r="AC466" s="340">
        <f t="shared" si="68"/>
        <v>255.67660587898322</v>
      </c>
      <c r="AD466" s="341">
        <f t="shared" si="73"/>
        <v>251.46678923469173</v>
      </c>
      <c r="AE466" s="1">
        <f t="shared" si="72"/>
        <v>307.81205601511681</v>
      </c>
    </row>
    <row r="467" spans="1:31" hidden="1" x14ac:dyDescent="0.25">
      <c r="A467" s="92" t="s">
        <v>308</v>
      </c>
      <c r="B467" s="92" t="s">
        <v>10</v>
      </c>
      <c r="C467" s="92" t="s">
        <v>18</v>
      </c>
      <c r="D467" s="92" t="s">
        <v>1512</v>
      </c>
      <c r="F467" s="92">
        <v>35</v>
      </c>
      <c r="J467">
        <v>256.33333333333337</v>
      </c>
      <c r="W467" s="339">
        <f>+VLOOKUP(A467,infradensité!$A$2:$B$67,2,FALSE)</f>
        <v>0.36</v>
      </c>
      <c r="X467" s="339">
        <v>1.3</v>
      </c>
      <c r="Y467" s="340">
        <f t="shared" si="67"/>
        <v>119.96400000000001</v>
      </c>
      <c r="Z467" s="340">
        <f t="shared" si="69"/>
        <v>31.666602738692504</v>
      </c>
      <c r="AA467" s="95" t="str">
        <f t="shared" si="70"/>
        <v>Cèdre de l'Atlas_F2_Classique_INRA_35_</v>
      </c>
      <c r="AB467" s="1">
        <f t="shared" si="71"/>
        <v>35</v>
      </c>
      <c r="AC467" s="340">
        <f t="shared" si="68"/>
        <v>264.0899664365561</v>
      </c>
      <c r="AD467" s="341">
        <f t="shared" si="73"/>
        <v>259.88328615776965</v>
      </c>
      <c r="AE467" s="1">
        <f t="shared" si="72"/>
        <v>307.81205601511681</v>
      </c>
    </row>
    <row r="468" spans="1:31" hidden="1" x14ac:dyDescent="0.25">
      <c r="A468" s="92" t="s">
        <v>308</v>
      </c>
      <c r="B468" s="92" t="s">
        <v>10</v>
      </c>
      <c r="C468" s="92" t="s">
        <v>18</v>
      </c>
      <c r="D468" s="92" t="s">
        <v>1512</v>
      </c>
      <c r="F468" s="92">
        <v>36</v>
      </c>
      <c r="J468">
        <v>264.70000000000005</v>
      </c>
      <c r="W468" s="339">
        <f>+VLOOKUP(A468,infradensité!$A$2:$B$67,2,FALSE)</f>
        <v>0.36</v>
      </c>
      <c r="X468" s="339">
        <v>1.3</v>
      </c>
      <c r="Y468" s="340">
        <f t="shared" si="67"/>
        <v>123.87960000000001</v>
      </c>
      <c r="Z468" s="340">
        <f t="shared" si="69"/>
        <v>32.578169847381183</v>
      </c>
      <c r="AA468" s="95" t="str">
        <f t="shared" si="70"/>
        <v>Cèdre de l'Atlas_F2_Classique_INRA_36_</v>
      </c>
      <c r="AB468" s="1">
        <f t="shared" si="71"/>
        <v>36</v>
      </c>
      <c r="AC468" s="340">
        <f t="shared" si="68"/>
        <v>272.49728248418893</v>
      </c>
      <c r="AD468" s="341">
        <f t="shared" si="73"/>
        <v>268.29362446037248</v>
      </c>
      <c r="AE468" s="1">
        <f t="shared" si="72"/>
        <v>307.81205601511681</v>
      </c>
    </row>
    <row r="469" spans="1:31" hidden="1" x14ac:dyDescent="0.25">
      <c r="A469" s="92" t="s">
        <v>308</v>
      </c>
      <c r="B469" s="92" t="s">
        <v>10</v>
      </c>
      <c r="C469" s="92" t="s">
        <v>18</v>
      </c>
      <c r="D469" s="92" t="s">
        <v>1512</v>
      </c>
      <c r="F469" s="92">
        <v>37</v>
      </c>
      <c r="J469">
        <v>273.06666666666672</v>
      </c>
      <c r="W469" s="339">
        <f>+VLOOKUP(A469,infradensité!$A$2:$B$67,2,FALSE)</f>
        <v>0.36</v>
      </c>
      <c r="X469" s="339">
        <v>1.3</v>
      </c>
      <c r="Y469" s="340">
        <f t="shared" si="67"/>
        <v>127.79520000000002</v>
      </c>
      <c r="Z469" s="340">
        <f t="shared" si="69"/>
        <v>33.486388706041758</v>
      </c>
      <c r="AA469" s="95" t="str">
        <f t="shared" si="70"/>
        <v>Cèdre de l'Atlas_F2_Classique_INRA_37_</v>
      </c>
      <c r="AB469" s="1">
        <f t="shared" si="71"/>
        <v>37</v>
      </c>
      <c r="AC469" s="340">
        <f t="shared" si="68"/>
        <v>280.89876699635607</v>
      </c>
      <c r="AD469" s="341">
        <f t="shared" si="73"/>
        <v>276.6980247402725</v>
      </c>
      <c r="AE469" s="1">
        <f t="shared" si="72"/>
        <v>307.81205601511681</v>
      </c>
    </row>
    <row r="470" spans="1:31" hidden="1" x14ac:dyDescent="0.25">
      <c r="A470" s="92" t="s">
        <v>308</v>
      </c>
      <c r="B470" s="92" t="s">
        <v>10</v>
      </c>
      <c r="C470" s="92" t="s">
        <v>18</v>
      </c>
      <c r="D470" s="92" t="s">
        <v>1512</v>
      </c>
      <c r="F470" s="92">
        <v>38</v>
      </c>
      <c r="J470">
        <v>281.43333333333339</v>
      </c>
      <c r="W470" s="339">
        <f>+VLOOKUP(A470,infradensité!$A$2:$B$67,2,FALSE)</f>
        <v>0.36</v>
      </c>
      <c r="X470" s="339">
        <v>1.3</v>
      </c>
      <c r="Y470" s="340">
        <f t="shared" si="67"/>
        <v>131.71080000000003</v>
      </c>
      <c r="Z470" s="340">
        <f t="shared" si="69"/>
        <v>34.391373677567202</v>
      </c>
      <c r="AA470" s="95" t="str">
        <f t="shared" si="70"/>
        <v>Cèdre de l'Atlas_F2_Classique_INRA_38_</v>
      </c>
      <c r="AB470" s="1">
        <f t="shared" si="71"/>
        <v>38</v>
      </c>
      <c r="AC470" s="340">
        <f t="shared" si="68"/>
        <v>289.29461915509631</v>
      </c>
      <c r="AD470" s="341">
        <f t="shared" si="73"/>
        <v>285.09669307572619</v>
      </c>
      <c r="AE470" s="1">
        <f t="shared" si="72"/>
        <v>307.81205601511681</v>
      </c>
    </row>
    <row r="471" spans="1:31" hidden="1" x14ac:dyDescent="0.25">
      <c r="A471" s="92" t="s">
        <v>308</v>
      </c>
      <c r="B471" s="92" t="s">
        <v>10</v>
      </c>
      <c r="C471" s="92" t="s">
        <v>18</v>
      </c>
      <c r="D471" s="92" t="s">
        <v>1512</v>
      </c>
      <c r="F471" s="92">
        <v>39</v>
      </c>
      <c r="J471">
        <v>289.80000000000007</v>
      </c>
      <c r="W471" s="339">
        <f>+VLOOKUP(A471,infradensité!$A$2:$B$67,2,FALSE)</f>
        <v>0.36</v>
      </c>
      <c r="X471" s="339">
        <v>1.3</v>
      </c>
      <c r="Y471" s="340">
        <f t="shared" si="67"/>
        <v>135.62640000000002</v>
      </c>
      <c r="Z471" s="340">
        <f t="shared" si="69"/>
        <v>35.293231938598481</v>
      </c>
      <c r="AA471" s="95" t="str">
        <f t="shared" si="70"/>
        <v>Cèdre de l'Atlas_F2_Classique_INRA_39_</v>
      </c>
      <c r="AB471" s="1">
        <f t="shared" si="71"/>
        <v>39</v>
      </c>
      <c r="AC471" s="340">
        <f t="shared" si="68"/>
        <v>297.68502562639242</v>
      </c>
      <c r="AD471" s="341">
        <f t="shared" si="73"/>
        <v>293.48982239074439</v>
      </c>
      <c r="AE471" s="1">
        <f t="shared" si="72"/>
        <v>307.81205601511681</v>
      </c>
    </row>
    <row r="472" spans="1:31" hidden="1" x14ac:dyDescent="0.25">
      <c r="A472" s="92" t="s">
        <v>308</v>
      </c>
      <c r="B472" s="92" t="s">
        <v>10</v>
      </c>
      <c r="C472" s="92" t="s">
        <v>18</v>
      </c>
      <c r="D472" s="92" t="s">
        <v>1512</v>
      </c>
      <c r="F472" s="92">
        <v>40</v>
      </c>
      <c r="J472">
        <v>298.16666666666674</v>
      </c>
      <c r="W472" s="339">
        <f>+VLOOKUP(A472,infradensité!$A$2:$B$67,2,FALSE)</f>
        <v>0.36</v>
      </c>
      <c r="X472" s="339">
        <v>1.3</v>
      </c>
      <c r="Y472" s="340">
        <f t="shared" si="67"/>
        <v>139.54200000000003</v>
      </c>
      <c r="Z472" s="340">
        <f t="shared" si="69"/>
        <v>36.192064125364574</v>
      </c>
      <c r="AA472" s="95" t="str">
        <f t="shared" si="70"/>
        <v>Cèdre de l'Atlas_F2_Classique_INRA_40_</v>
      </c>
      <c r="AB472" s="1">
        <f t="shared" si="71"/>
        <v>40</v>
      </c>
      <c r="AC472" s="340">
        <f t="shared" si="68"/>
        <v>306.07016168500996</v>
      </c>
      <c r="AD472" s="341">
        <f t="shared" si="73"/>
        <v>301.87759365570116</v>
      </c>
      <c r="AE472" s="1">
        <f t="shared" si="72"/>
        <v>307.81205601511681</v>
      </c>
    </row>
    <row r="473" spans="1:31" hidden="1" x14ac:dyDescent="0.25">
      <c r="A473" s="92" t="s">
        <v>308</v>
      </c>
      <c r="B473" s="92" t="s">
        <v>10</v>
      </c>
      <c r="C473" s="92" t="s">
        <v>18</v>
      </c>
      <c r="D473" s="92" t="s">
        <v>1512</v>
      </c>
      <c r="F473" s="92">
        <v>41</v>
      </c>
      <c r="J473">
        <v>306.53333333333342</v>
      </c>
      <c r="W473" s="339">
        <f>+VLOOKUP(A473,infradensité!$A$2:$B$67,2,FALSE)</f>
        <v>0.36</v>
      </c>
      <c r="X473" s="339">
        <v>1.3</v>
      </c>
      <c r="Y473" s="340">
        <f t="shared" si="67"/>
        <v>143.45760000000004</v>
      </c>
      <c r="Z473" s="340">
        <f t="shared" si="69"/>
        <v>37.087964904995097</v>
      </c>
      <c r="AA473" s="95" t="str">
        <f t="shared" si="70"/>
        <v>Cèdre de l'Atlas_F2_Classique_INRA_41_</v>
      </c>
      <c r="AB473" s="1">
        <f t="shared" si="71"/>
        <v>41</v>
      </c>
      <c r="AC473" s="340">
        <f t="shared" si="68"/>
        <v>314.45019220953321</v>
      </c>
      <c r="AD473" s="341">
        <f t="shared" si="73"/>
        <v>310.26017694727159</v>
      </c>
      <c r="AE473" s="1">
        <f t="shared" si="72"/>
        <v>307.81205601511681</v>
      </c>
    </row>
    <row r="474" spans="1:31" hidden="1" x14ac:dyDescent="0.25">
      <c r="A474" s="92" t="s">
        <v>308</v>
      </c>
      <c r="B474" s="92" t="s">
        <v>10</v>
      </c>
      <c r="C474" s="92" t="s">
        <v>18</v>
      </c>
      <c r="D474" s="92" t="s">
        <v>1512</v>
      </c>
      <c r="F474" s="92">
        <v>42</v>
      </c>
      <c r="J474">
        <v>314.90000000000009</v>
      </c>
      <c r="W474" s="339">
        <f>+VLOOKUP(A474,infradensité!$A$2:$B$67,2,FALSE)</f>
        <v>0.36</v>
      </c>
      <c r="X474" s="339">
        <v>1.3</v>
      </c>
      <c r="Y474" s="340">
        <f t="shared" si="67"/>
        <v>147.37320000000003</v>
      </c>
      <c r="Z474" s="340">
        <f t="shared" si="69"/>
        <v>37.981023482703954</v>
      </c>
      <c r="AA474" s="95" t="str">
        <f t="shared" si="70"/>
        <v>Cèdre de l'Atlas_F2_Classique_INRA_42_</v>
      </c>
      <c r="AB474" s="1">
        <f t="shared" si="71"/>
        <v>42</v>
      </c>
      <c r="AC474" s="340">
        <f t="shared" si="68"/>
        <v>322.82527256570944</v>
      </c>
      <c r="AD474" s="341">
        <f t="shared" si="73"/>
        <v>318.63773238762133</v>
      </c>
      <c r="AE474" s="1">
        <f t="shared" si="72"/>
        <v>307.81205601511681</v>
      </c>
    </row>
    <row r="475" spans="1:31" hidden="1" x14ac:dyDescent="0.25">
      <c r="A475" s="92" t="s">
        <v>308</v>
      </c>
      <c r="B475" s="92" t="s">
        <v>10</v>
      </c>
      <c r="C475" s="92" t="s">
        <v>18</v>
      </c>
      <c r="D475" s="92" t="s">
        <v>1512</v>
      </c>
      <c r="F475" s="92">
        <v>43</v>
      </c>
      <c r="J475">
        <v>323.26666666666677</v>
      </c>
      <c r="W475" s="339">
        <f>+VLOOKUP(A475,infradensité!$A$2:$B$67,2,FALSE)</f>
        <v>0.36</v>
      </c>
      <c r="X475" s="339">
        <v>1.3</v>
      </c>
      <c r="Y475" s="340">
        <f t="shared" ref="Y475:Y538" si="74">+X475*W475*J475</f>
        <v>151.28880000000004</v>
      </c>
      <c r="Z475" s="340">
        <f t="shared" si="69"/>
        <v>38.871324053555178</v>
      </c>
      <c r="AA475" s="95" t="str">
        <f t="shared" si="70"/>
        <v>Cèdre de l'Atlas_F2_Classique_INRA_43_</v>
      </c>
      <c r="AB475" s="1">
        <f t="shared" si="71"/>
        <v>43</v>
      </c>
      <c r="AC475" s="340">
        <f t="shared" ref="AC475:AC538" si="75">+(Z475+Y475)*0.475*44/12</f>
        <v>331.19554939327537</v>
      </c>
      <c r="AD475" s="341">
        <f t="shared" si="73"/>
        <v>327.01041097949241</v>
      </c>
      <c r="AE475" s="1">
        <f t="shared" si="72"/>
        <v>307.81205601511681</v>
      </c>
    </row>
    <row r="476" spans="1:31" hidden="1" x14ac:dyDescent="0.25">
      <c r="A476" s="92" t="s">
        <v>308</v>
      </c>
      <c r="B476" s="92" t="s">
        <v>10</v>
      </c>
      <c r="C476" s="92" t="s">
        <v>18</v>
      </c>
      <c r="D476" s="92" t="s">
        <v>1512</v>
      </c>
      <c r="F476" s="92">
        <v>44</v>
      </c>
      <c r="J476">
        <v>331.63333333333344</v>
      </c>
      <c r="W476" s="339">
        <f>+VLOOKUP(A476,infradensité!$A$2:$B$67,2,FALSE)</f>
        <v>0.36</v>
      </c>
      <c r="X476" s="339">
        <v>1.3</v>
      </c>
      <c r="Y476" s="340">
        <f t="shared" si="74"/>
        <v>155.20440000000005</v>
      </c>
      <c r="Z476" s="340">
        <f t="shared" ref="Z476:Z539" si="76">+EXP(-1.0587+0.8836*LN(Y476)+0.284)</f>
        <v>39.75894620614293</v>
      </c>
      <c r="AA476" s="95" t="str">
        <f t="shared" si="70"/>
        <v>Cèdre de l'Atlas_F2_Classique_INRA_44_</v>
      </c>
      <c r="AB476" s="1">
        <f t="shared" si="71"/>
        <v>44</v>
      </c>
      <c r="AC476" s="340">
        <f t="shared" si="75"/>
        <v>339.56116130903234</v>
      </c>
      <c r="AD476" s="341">
        <f t="shared" si="73"/>
        <v>335.37835535115386</v>
      </c>
      <c r="AE476" s="1">
        <f t="shared" si="72"/>
        <v>307.81205601511681</v>
      </c>
    </row>
    <row r="477" spans="1:31" hidden="1" x14ac:dyDescent="0.25">
      <c r="A477" s="92" t="s">
        <v>308</v>
      </c>
      <c r="B477" s="92" t="s">
        <v>10</v>
      </c>
      <c r="C477" s="92" t="s">
        <v>18</v>
      </c>
      <c r="D477" s="92" t="s">
        <v>1512</v>
      </c>
      <c r="F477" s="92">
        <v>45</v>
      </c>
      <c r="J477">
        <v>340</v>
      </c>
      <c r="W477" s="339">
        <f>+VLOOKUP(A477,infradensité!$A$2:$B$67,2,FALSE)</f>
        <v>0.36</v>
      </c>
      <c r="X477" s="339">
        <v>1.3</v>
      </c>
      <c r="Y477" s="340">
        <f t="shared" si="74"/>
        <v>159.12</v>
      </c>
      <c r="Z477" s="340">
        <f t="shared" si="76"/>
        <v>40.643965284387697</v>
      </c>
      <c r="AA477" s="95" t="str">
        <f t="shared" si="70"/>
        <v>Cèdre de l'Atlas_F2_Classique_INRA_45_</v>
      </c>
      <c r="AB477" s="1">
        <f t="shared" si="71"/>
        <v>45</v>
      </c>
      <c r="AC477" s="340">
        <f t="shared" si="75"/>
        <v>347.92223953697521</v>
      </c>
      <c r="AD477" s="341">
        <f t="shared" si="73"/>
        <v>343.74170042300375</v>
      </c>
      <c r="AE477" s="1">
        <f t="shared" si="72"/>
        <v>307.81205601511681</v>
      </c>
    </row>
    <row r="478" spans="1:31" hidden="1" x14ac:dyDescent="0.25">
      <c r="A478" s="92" t="s">
        <v>308</v>
      </c>
      <c r="B478" s="92" t="s">
        <v>10</v>
      </c>
      <c r="C478" s="92" t="s">
        <v>18</v>
      </c>
      <c r="D478" s="92" t="s">
        <v>1512</v>
      </c>
      <c r="F478" s="92">
        <v>46</v>
      </c>
      <c r="J478">
        <v>226</v>
      </c>
      <c r="W478" s="339">
        <f>+VLOOKUP(A478,infradensité!$A$2:$B$67,2,FALSE)</f>
        <v>0.36</v>
      </c>
      <c r="X478" s="339">
        <v>1.3</v>
      </c>
      <c r="Y478" s="340">
        <f t="shared" si="74"/>
        <v>105.768</v>
      </c>
      <c r="Z478" s="340">
        <f t="shared" si="76"/>
        <v>28.33162713151323</v>
      </c>
      <c r="AA478" s="95" t="str">
        <f t="shared" si="70"/>
        <v>Cèdre de l'Atlas_F2_Classique_INRA_46_</v>
      </c>
      <c r="AB478" s="1">
        <f t="shared" si="71"/>
        <v>46</v>
      </c>
      <c r="AC478" s="340">
        <f t="shared" si="75"/>
        <v>233.5568505873855</v>
      </c>
      <c r="AD478" s="341">
        <f t="shared" si="73"/>
        <v>290.73954506218035</v>
      </c>
      <c r="AE478" s="1">
        <f t="shared" si="72"/>
        <v>307.81205601511681</v>
      </c>
    </row>
    <row r="479" spans="1:31" hidden="1" x14ac:dyDescent="0.25">
      <c r="A479" s="92" t="s">
        <v>308</v>
      </c>
      <c r="B479" s="92" t="s">
        <v>10</v>
      </c>
      <c r="C479" s="92" t="s">
        <v>18</v>
      </c>
      <c r="D479" s="92" t="s">
        <v>1512</v>
      </c>
      <c r="F479" s="92">
        <v>47</v>
      </c>
      <c r="J479">
        <v>236.55555555555554</v>
      </c>
      <c r="W479" s="339">
        <f>+VLOOKUP(A479,infradensité!$A$2:$B$67,2,FALSE)</f>
        <v>0.36</v>
      </c>
      <c r="X479" s="339">
        <v>1.3</v>
      </c>
      <c r="Y479" s="340">
        <f t="shared" si="74"/>
        <v>110.70799999999998</v>
      </c>
      <c r="Z479" s="340">
        <f t="shared" si="76"/>
        <v>29.497732557374178</v>
      </c>
      <c r="AA479" s="95" t="str">
        <f t="shared" si="70"/>
        <v>Cèdre de l'Atlas_F2_Classique_INRA_47_</v>
      </c>
      <c r="AB479" s="1">
        <f t="shared" si="71"/>
        <v>47</v>
      </c>
      <c r="AC479" s="340">
        <f t="shared" si="75"/>
        <v>244.19165087076001</v>
      </c>
      <c r="AD479" s="341">
        <f t="shared" si="73"/>
        <v>238.87425072907274</v>
      </c>
      <c r="AE479" s="1">
        <f t="shared" si="72"/>
        <v>307.81205601511681</v>
      </c>
    </row>
    <row r="480" spans="1:31" hidden="1" x14ac:dyDescent="0.25">
      <c r="A480" s="92" t="s">
        <v>308</v>
      </c>
      <c r="B480" s="92" t="s">
        <v>10</v>
      </c>
      <c r="C480" s="92" t="s">
        <v>18</v>
      </c>
      <c r="D480" s="92" t="s">
        <v>1512</v>
      </c>
      <c r="F480" s="92">
        <v>48</v>
      </c>
      <c r="J480">
        <v>247.11111111111109</v>
      </c>
      <c r="W480" s="339">
        <f>+VLOOKUP(A480,infradensité!$A$2:$B$67,2,FALSE)</f>
        <v>0.36</v>
      </c>
      <c r="X480" s="339">
        <v>1.3</v>
      </c>
      <c r="Y480" s="340">
        <f t="shared" si="74"/>
        <v>115.64799999999998</v>
      </c>
      <c r="Z480" s="340">
        <f t="shared" si="76"/>
        <v>30.657794830341107</v>
      </c>
      <c r="AA480" s="95" t="str">
        <f t="shared" si="70"/>
        <v>Cèdre de l'Atlas_F2_Classique_INRA_48_</v>
      </c>
      <c r="AB480" s="1">
        <f t="shared" si="71"/>
        <v>48</v>
      </c>
      <c r="AC480" s="340">
        <f t="shared" si="75"/>
        <v>254.81592599617738</v>
      </c>
      <c r="AD480" s="341">
        <f t="shared" si="73"/>
        <v>249.50378843346869</v>
      </c>
      <c r="AE480" s="1">
        <f t="shared" si="72"/>
        <v>307.81205601511681</v>
      </c>
    </row>
    <row r="481" spans="1:31" hidden="1" x14ac:dyDescent="0.25">
      <c r="A481" s="92" t="s">
        <v>308</v>
      </c>
      <c r="B481" s="92" t="s">
        <v>10</v>
      </c>
      <c r="C481" s="92" t="s">
        <v>18</v>
      </c>
      <c r="D481" s="92" t="s">
        <v>1512</v>
      </c>
      <c r="F481" s="92">
        <v>49</v>
      </c>
      <c r="J481">
        <v>257.66666666666663</v>
      </c>
      <c r="W481" s="339">
        <f>+VLOOKUP(A481,infradensité!$A$2:$B$67,2,FALSE)</f>
        <v>0.36</v>
      </c>
      <c r="X481" s="339">
        <v>1.3</v>
      </c>
      <c r="Y481" s="340">
        <f t="shared" si="74"/>
        <v>120.58799999999998</v>
      </c>
      <c r="Z481" s="340">
        <f t="shared" si="76"/>
        <v>31.812101599229255</v>
      </c>
      <c r="AA481" s="95" t="str">
        <f t="shared" si="70"/>
        <v>Cèdre de l'Atlas_F2_Classique_INRA_49_</v>
      </c>
      <c r="AB481" s="1">
        <f t="shared" si="71"/>
        <v>49</v>
      </c>
      <c r="AC481" s="340">
        <f t="shared" si="75"/>
        <v>265.43017695199092</v>
      </c>
      <c r="AD481" s="341">
        <f t="shared" si="73"/>
        <v>260.12305147408415</v>
      </c>
      <c r="AE481" s="1">
        <f t="shared" si="72"/>
        <v>307.81205601511681</v>
      </c>
    </row>
    <row r="482" spans="1:31" hidden="1" x14ac:dyDescent="0.25">
      <c r="A482" s="92" t="s">
        <v>308</v>
      </c>
      <c r="B482" s="92" t="s">
        <v>10</v>
      </c>
      <c r="C482" s="92" t="s">
        <v>18</v>
      </c>
      <c r="D482" s="92" t="s">
        <v>1512</v>
      </c>
      <c r="F482" s="92">
        <v>50</v>
      </c>
      <c r="J482">
        <v>268.22222222222217</v>
      </c>
      <c r="W482" s="339">
        <f>+VLOOKUP(A482,infradensité!$A$2:$B$67,2,FALSE)</f>
        <v>0.36</v>
      </c>
      <c r="X482" s="339">
        <v>1.3</v>
      </c>
      <c r="Y482" s="340">
        <f t="shared" si="74"/>
        <v>125.52799999999996</v>
      </c>
      <c r="Z482" s="340">
        <f t="shared" si="76"/>
        <v>32.96091561162951</v>
      </c>
      <c r="AA482" s="95" t="str">
        <f t="shared" si="70"/>
        <v>Cèdre de l'Atlas_F2_Classique_INRA_50_</v>
      </c>
      <c r="AB482" s="1">
        <f t="shared" si="71"/>
        <v>50</v>
      </c>
      <c r="AC482" s="340">
        <f t="shared" si="75"/>
        <v>276.03486135692128</v>
      </c>
      <c r="AD482" s="341">
        <f t="shared" si="73"/>
        <v>270.7325191544561</v>
      </c>
      <c r="AE482" s="1">
        <f t="shared" si="72"/>
        <v>307.81205601511681</v>
      </c>
    </row>
    <row r="483" spans="1:31" hidden="1" x14ac:dyDescent="0.25">
      <c r="A483" s="92" t="s">
        <v>308</v>
      </c>
      <c r="B483" s="92" t="s">
        <v>10</v>
      </c>
      <c r="C483" s="92" t="s">
        <v>18</v>
      </c>
      <c r="D483" s="92" t="s">
        <v>1512</v>
      </c>
      <c r="F483" s="92">
        <v>51</v>
      </c>
      <c r="J483">
        <v>278.77777777777771</v>
      </c>
      <c r="W483" s="339">
        <f>+VLOOKUP(A483,infradensité!$A$2:$B$67,2,FALSE)</f>
        <v>0.36</v>
      </c>
      <c r="X483" s="339">
        <v>1.3</v>
      </c>
      <c r="Y483" s="340">
        <f t="shared" si="74"/>
        <v>130.46799999999996</v>
      </c>
      <c r="Z483" s="340">
        <f t="shared" si="76"/>
        <v>34.104477764113255</v>
      </c>
      <c r="AA483" s="95" t="str">
        <f t="shared" si="70"/>
        <v>Cèdre de l'Atlas_F2_Classique_INRA_51_</v>
      </c>
      <c r="AB483" s="1">
        <f t="shared" si="71"/>
        <v>51</v>
      </c>
      <c r="AC483" s="340">
        <f t="shared" si="75"/>
        <v>286.63039877249713</v>
      </c>
      <c r="AD483" s="341">
        <f t="shared" si="73"/>
        <v>281.33263006470918</v>
      </c>
      <c r="AE483" s="1">
        <f t="shared" si="72"/>
        <v>307.81205601511681</v>
      </c>
    </row>
    <row r="484" spans="1:31" hidden="1" x14ac:dyDescent="0.25">
      <c r="A484" s="92" t="s">
        <v>308</v>
      </c>
      <c r="B484" s="92" t="s">
        <v>10</v>
      </c>
      <c r="C484" s="92" t="s">
        <v>18</v>
      </c>
      <c r="D484" s="92" t="s">
        <v>1512</v>
      </c>
      <c r="F484" s="92">
        <v>52</v>
      </c>
      <c r="J484">
        <v>289.33333333333326</v>
      </c>
      <c r="W484" s="339">
        <f>+VLOOKUP(A484,infradensité!$A$2:$B$67,2,FALSE)</f>
        <v>0.36</v>
      </c>
      <c r="X484" s="339">
        <v>1.3</v>
      </c>
      <c r="Y484" s="340">
        <f t="shared" si="74"/>
        <v>135.40799999999996</v>
      </c>
      <c r="Z484" s="340">
        <f t="shared" si="76"/>
        <v>35.243009677478732</v>
      </c>
      <c r="AA484" s="95" t="str">
        <f t="shared" si="70"/>
        <v>Cèdre de l'Atlas_F2_Classique_INRA_52_</v>
      </c>
      <c r="AB484" s="1">
        <f t="shared" si="71"/>
        <v>52</v>
      </c>
      <c r="AC484" s="340">
        <f t="shared" si="75"/>
        <v>297.21717518827541</v>
      </c>
      <c r="AD484" s="341">
        <f t="shared" si="73"/>
        <v>291.92378698038624</v>
      </c>
      <c r="AE484" s="1">
        <f t="shared" si="72"/>
        <v>307.81205601511681</v>
      </c>
    </row>
    <row r="485" spans="1:31" hidden="1" x14ac:dyDescent="0.25">
      <c r="A485" s="92" t="s">
        <v>308</v>
      </c>
      <c r="B485" s="92" t="s">
        <v>10</v>
      </c>
      <c r="C485" s="92" t="s">
        <v>18</v>
      </c>
      <c r="D485" s="92" t="s">
        <v>1512</v>
      </c>
      <c r="F485" s="92">
        <v>53</v>
      </c>
      <c r="J485">
        <v>299.8888888888888</v>
      </c>
      <c r="W485" s="339">
        <f>+VLOOKUP(A485,infradensité!$A$2:$B$67,2,FALSE)</f>
        <v>0.36</v>
      </c>
      <c r="X485" s="339">
        <v>1.3</v>
      </c>
      <c r="Y485" s="340">
        <f t="shared" si="74"/>
        <v>140.34799999999996</v>
      </c>
      <c r="Z485" s="340">
        <f t="shared" si="76"/>
        <v>36.376715885630546</v>
      </c>
      <c r="AA485" s="95" t="str">
        <f t="shared" si="70"/>
        <v>Cèdre de l'Atlas_F2_Classique_INRA_53_</v>
      </c>
      <c r="AB485" s="1">
        <f t="shared" si="71"/>
        <v>53</v>
      </c>
      <c r="AC485" s="340">
        <f t="shared" si="75"/>
        <v>307.79554683413977</v>
      </c>
      <c r="AD485" s="341">
        <f t="shared" si="73"/>
        <v>302.50636101120756</v>
      </c>
      <c r="AE485" s="1">
        <f t="shared" si="72"/>
        <v>307.81205601511681</v>
      </c>
    </row>
    <row r="486" spans="1:31" hidden="1" x14ac:dyDescent="0.25">
      <c r="A486" s="92" t="s">
        <v>308</v>
      </c>
      <c r="B486" s="92" t="s">
        <v>10</v>
      </c>
      <c r="C486" s="92" t="s">
        <v>18</v>
      </c>
      <c r="D486" s="92" t="s">
        <v>1512</v>
      </c>
      <c r="F486" s="92">
        <v>54</v>
      </c>
      <c r="J486">
        <v>310.44444444444434</v>
      </c>
      <c r="W486" s="339">
        <f>+VLOOKUP(A486,infradensité!$A$2:$B$67,2,FALSE)</f>
        <v>0.36</v>
      </c>
      <c r="X486" s="339">
        <v>1.3</v>
      </c>
      <c r="Y486" s="340">
        <f t="shared" si="74"/>
        <v>145.28799999999995</v>
      </c>
      <c r="Z486" s="340">
        <f t="shared" si="76"/>
        <v>37.505785707621605</v>
      </c>
      <c r="AA486" s="95" t="str">
        <f t="shared" si="70"/>
        <v>Cèdre de l'Atlas_F2_Classique_INRA_54_</v>
      </c>
      <c r="AB486" s="1">
        <f t="shared" si="71"/>
        <v>54</v>
      </c>
      <c r="AC486" s="340">
        <f t="shared" si="75"/>
        <v>318.3658434407742</v>
      </c>
      <c r="AD486" s="341">
        <f t="shared" si="73"/>
        <v>313.08069513745698</v>
      </c>
      <c r="AE486" s="1">
        <f t="shared" si="72"/>
        <v>307.81205601511681</v>
      </c>
    </row>
    <row r="487" spans="1:31" hidden="1" x14ac:dyDescent="0.25">
      <c r="A487" s="92" t="s">
        <v>308</v>
      </c>
      <c r="B487" s="92" t="s">
        <v>10</v>
      </c>
      <c r="C487" s="92" t="s">
        <v>18</v>
      </c>
      <c r="D487" s="92" t="s">
        <v>1512</v>
      </c>
      <c r="F487" s="92">
        <v>55</v>
      </c>
      <c r="J487">
        <v>321</v>
      </c>
      <c r="W487" s="339">
        <f>+VLOOKUP(A487,infradensité!$A$2:$B$67,2,FALSE)</f>
        <v>0.36</v>
      </c>
      <c r="X487" s="339">
        <v>1.3</v>
      </c>
      <c r="Y487" s="340">
        <f t="shared" si="74"/>
        <v>150.22799999999998</v>
      </c>
      <c r="Z487" s="340">
        <f t="shared" si="76"/>
        <v>38.630394857933659</v>
      </c>
      <c r="AA487" s="95" t="str">
        <f t="shared" si="70"/>
        <v>Cèdre de l'Atlas_F2_Classique_INRA_55_</v>
      </c>
      <c r="AB487" s="1">
        <f t="shared" si="71"/>
        <v>55</v>
      </c>
      <c r="AC487" s="340">
        <f t="shared" si="75"/>
        <v>328.92837104423438</v>
      </c>
      <c r="AD487" s="341">
        <f t="shared" si="73"/>
        <v>323.64710724250426</v>
      </c>
      <c r="AE487" s="1">
        <f t="shared" si="72"/>
        <v>307.81205601511681</v>
      </c>
    </row>
    <row r="488" spans="1:31" hidden="1" x14ac:dyDescent="0.25">
      <c r="A488" s="92" t="s">
        <v>308</v>
      </c>
      <c r="B488" s="92" t="s">
        <v>10</v>
      </c>
      <c r="C488" s="92" t="s">
        <v>18</v>
      </c>
      <c r="D488" s="92" t="s">
        <v>1512</v>
      </c>
      <c r="F488" s="92">
        <v>56</v>
      </c>
      <c r="J488">
        <v>258</v>
      </c>
      <c r="W488" s="339">
        <f>+VLOOKUP(A488,infradensité!$A$2:$B$67,2,FALSE)</f>
        <v>0.36</v>
      </c>
      <c r="X488" s="339">
        <v>1.3</v>
      </c>
      <c r="Y488" s="340">
        <f t="shared" si="74"/>
        <v>120.744</v>
      </c>
      <c r="Z488" s="340">
        <f t="shared" si="76"/>
        <v>31.848462605207807</v>
      </c>
      <c r="AA488" s="95" t="str">
        <f t="shared" si="70"/>
        <v>Cèdre de l'Atlas_F2_Classique_INRA_56_</v>
      </c>
      <c r="AB488" s="1">
        <f t="shared" si="71"/>
        <v>56</v>
      </c>
      <c r="AC488" s="340">
        <f t="shared" si="75"/>
        <v>265.76520570407024</v>
      </c>
      <c r="AD488" s="341">
        <f t="shared" si="73"/>
        <v>297.34678837415231</v>
      </c>
      <c r="AE488" s="1">
        <f t="shared" si="72"/>
        <v>307.81205601511681</v>
      </c>
    </row>
    <row r="489" spans="1:31" hidden="1" x14ac:dyDescent="0.25">
      <c r="A489" s="92" t="s">
        <v>308</v>
      </c>
      <c r="B489" s="92" t="s">
        <v>10</v>
      </c>
      <c r="C489" s="92" t="s">
        <v>18</v>
      </c>
      <c r="D489" s="92" t="s">
        <v>1512</v>
      </c>
      <c r="F489" s="92">
        <v>57</v>
      </c>
      <c r="J489">
        <v>270.22222222222223</v>
      </c>
      <c r="W489" s="339">
        <f>+VLOOKUP(A489,infradensité!$A$2:$B$67,2,FALSE)</f>
        <v>0.36</v>
      </c>
      <c r="X489" s="339">
        <v>1.3</v>
      </c>
      <c r="Y489" s="340">
        <f t="shared" si="74"/>
        <v>126.464</v>
      </c>
      <c r="Z489" s="340">
        <f t="shared" si="76"/>
        <v>33.177986820065037</v>
      </c>
      <c r="AA489" s="95" t="str">
        <f t="shared" si="70"/>
        <v>Cèdre de l'Atlas_F2_Classique_INRA_57_</v>
      </c>
      <c r="AB489" s="1">
        <f t="shared" si="71"/>
        <v>57</v>
      </c>
      <c r="AC489" s="340">
        <f t="shared" si="75"/>
        <v>278.04312704494663</v>
      </c>
      <c r="AD489" s="341">
        <f t="shared" si="73"/>
        <v>271.90416637450846</v>
      </c>
      <c r="AE489" s="1">
        <f t="shared" si="72"/>
        <v>307.81205601511681</v>
      </c>
    </row>
    <row r="490" spans="1:31" hidden="1" x14ac:dyDescent="0.25">
      <c r="A490" s="92" t="s">
        <v>308</v>
      </c>
      <c r="B490" s="92" t="s">
        <v>10</v>
      </c>
      <c r="C490" s="92" t="s">
        <v>18</v>
      </c>
      <c r="D490" s="92" t="s">
        <v>1512</v>
      </c>
      <c r="F490" s="92">
        <v>58</v>
      </c>
      <c r="J490">
        <v>282.44444444444446</v>
      </c>
      <c r="W490" s="339">
        <f>+VLOOKUP(A490,infradensité!$A$2:$B$67,2,FALSE)</f>
        <v>0.36</v>
      </c>
      <c r="X490" s="339">
        <v>1.3</v>
      </c>
      <c r="Y490" s="340">
        <f t="shared" si="74"/>
        <v>132.184</v>
      </c>
      <c r="Z490" s="340">
        <f t="shared" si="76"/>
        <v>34.500527231592969</v>
      </c>
      <c r="AA490" s="95" t="str">
        <f t="shared" si="70"/>
        <v>Cèdre de l'Atlas_F2_Classique_INRA_58_</v>
      </c>
      <c r="AB490" s="1">
        <f t="shared" si="71"/>
        <v>58</v>
      </c>
      <c r="AC490" s="340">
        <f t="shared" si="75"/>
        <v>290.30888492835771</v>
      </c>
      <c r="AD490" s="341">
        <f t="shared" si="73"/>
        <v>284.17600598665217</v>
      </c>
      <c r="AE490" s="1">
        <f t="shared" si="72"/>
        <v>307.81205601511681</v>
      </c>
    </row>
    <row r="491" spans="1:31" hidden="1" x14ac:dyDescent="0.25">
      <c r="A491" s="92" t="s">
        <v>308</v>
      </c>
      <c r="B491" s="92" t="s">
        <v>10</v>
      </c>
      <c r="C491" s="92" t="s">
        <v>18</v>
      </c>
      <c r="D491" s="92" t="s">
        <v>1512</v>
      </c>
      <c r="F491" s="92">
        <v>59</v>
      </c>
      <c r="J491">
        <v>294.66666666666669</v>
      </c>
      <c r="W491" s="339">
        <f>+VLOOKUP(A491,infradensité!$A$2:$B$67,2,FALSE)</f>
        <v>0.36</v>
      </c>
      <c r="X491" s="339">
        <v>1.3</v>
      </c>
      <c r="Y491" s="340">
        <f t="shared" si="74"/>
        <v>137.904</v>
      </c>
      <c r="Z491" s="340">
        <f t="shared" si="76"/>
        <v>35.816420593519346</v>
      </c>
      <c r="AA491" s="95" t="str">
        <f t="shared" si="70"/>
        <v>Cèdre de l'Atlas_F2_Classique_INRA_59_</v>
      </c>
      <c r="AB491" s="1">
        <f t="shared" si="71"/>
        <v>59</v>
      </c>
      <c r="AC491" s="340">
        <f t="shared" si="75"/>
        <v>302.56306586704619</v>
      </c>
      <c r="AD491" s="341">
        <f t="shared" si="73"/>
        <v>296.43597539770195</v>
      </c>
      <c r="AE491" s="1">
        <f t="shared" si="72"/>
        <v>307.81205601511681</v>
      </c>
    </row>
    <row r="492" spans="1:31" hidden="1" x14ac:dyDescent="0.25">
      <c r="A492" s="92" t="s">
        <v>308</v>
      </c>
      <c r="B492" s="92" t="s">
        <v>10</v>
      </c>
      <c r="C492" s="92" t="s">
        <v>18</v>
      </c>
      <c r="D492" s="92" t="s">
        <v>1512</v>
      </c>
      <c r="F492" s="92">
        <v>60</v>
      </c>
      <c r="J492">
        <v>306.88888888888891</v>
      </c>
      <c r="W492" s="339">
        <f>+VLOOKUP(A492,infradensité!$A$2:$B$67,2,FALSE)</f>
        <v>0.36</v>
      </c>
      <c r="X492" s="339">
        <v>1.3</v>
      </c>
      <c r="Y492" s="340">
        <f t="shared" si="74"/>
        <v>143.624</v>
      </c>
      <c r="Z492" s="340">
        <f t="shared" si="76"/>
        <v>37.125974143165266</v>
      </c>
      <c r="AA492" s="95" t="str">
        <f t="shared" si="70"/>
        <v>Cèdre de l'Atlas_F2_Classique_INRA_60_</v>
      </c>
      <c r="AB492" s="1">
        <f t="shared" si="71"/>
        <v>60</v>
      </c>
      <c r="AC492" s="340">
        <f t="shared" si="75"/>
        <v>314.80620496601284</v>
      </c>
      <c r="AD492" s="341">
        <f t="shared" si="73"/>
        <v>308.68463541652955</v>
      </c>
      <c r="AE492" s="1">
        <f t="shared" si="72"/>
        <v>307.81205601511681</v>
      </c>
    </row>
    <row r="493" spans="1:31" hidden="1" x14ac:dyDescent="0.25">
      <c r="A493" s="92" t="s">
        <v>308</v>
      </c>
      <c r="B493" s="92" t="s">
        <v>10</v>
      </c>
      <c r="C493" s="92" t="s">
        <v>18</v>
      </c>
      <c r="D493" s="92" t="s">
        <v>1512</v>
      </c>
      <c r="F493" s="92">
        <v>61</v>
      </c>
      <c r="J493">
        <v>319.11111111111114</v>
      </c>
      <c r="W493" s="339">
        <f>+VLOOKUP(A493,infradensité!$A$2:$B$67,2,FALSE)</f>
        <v>0.36</v>
      </c>
      <c r="X493" s="339">
        <v>1.3</v>
      </c>
      <c r="Y493" s="340">
        <f t="shared" si="74"/>
        <v>149.34399999999999</v>
      </c>
      <c r="Z493" s="340">
        <f t="shared" si="76"/>
        <v>38.429469260374923</v>
      </c>
      <c r="AA493" s="95" t="str">
        <f t="shared" ref="AA493:AA556" si="77">+_xlfn.CONCAT(A493,"_",B493,"_",C493,"_",D493,"_",AB493,"_")</f>
        <v>Cèdre de l'Atlas_F2_Classique_INRA_61_</v>
      </c>
      <c r="AB493" s="1">
        <f t="shared" ref="AB493:AB556" si="78">F493</f>
        <v>61</v>
      </c>
      <c r="AC493" s="340">
        <f t="shared" si="75"/>
        <v>327.03879229515297</v>
      </c>
      <c r="AD493" s="341">
        <f t="shared" si="73"/>
        <v>320.92249863058294</v>
      </c>
      <c r="AE493" s="1">
        <f t="shared" si="72"/>
        <v>307.81205601511681</v>
      </c>
    </row>
    <row r="494" spans="1:31" hidden="1" x14ac:dyDescent="0.25">
      <c r="A494" s="92" t="s">
        <v>308</v>
      </c>
      <c r="B494" s="92" t="s">
        <v>10</v>
      </c>
      <c r="C494" s="92" t="s">
        <v>18</v>
      </c>
      <c r="D494" s="92" t="s">
        <v>1512</v>
      </c>
      <c r="F494" s="92">
        <v>62</v>
      </c>
      <c r="J494">
        <v>331.33333333333337</v>
      </c>
      <c r="W494" s="339">
        <f>+VLOOKUP(A494,infradensité!$A$2:$B$67,2,FALSE)</f>
        <v>0.36</v>
      </c>
      <c r="X494" s="339">
        <v>1.3</v>
      </c>
      <c r="Y494" s="340">
        <f t="shared" si="74"/>
        <v>155.06400000000002</v>
      </c>
      <c r="Z494" s="340">
        <f t="shared" si="76"/>
        <v>39.727164550120094</v>
      </c>
      <c r="AA494" s="95" t="str">
        <f t="shared" si="77"/>
        <v>Cèdre de l'Atlas_F2_Classique_INRA_62_</v>
      </c>
      <c r="AB494" s="1">
        <f t="shared" si="78"/>
        <v>62</v>
      </c>
      <c r="AC494" s="340">
        <f t="shared" si="75"/>
        <v>339.26127825812586</v>
      </c>
      <c r="AD494" s="341">
        <f t="shared" si="73"/>
        <v>333.15003527663941</v>
      </c>
      <c r="AE494" s="1">
        <f t="shared" si="72"/>
        <v>307.81205601511681</v>
      </c>
    </row>
    <row r="495" spans="1:31" hidden="1" x14ac:dyDescent="0.25">
      <c r="A495" s="92" t="s">
        <v>308</v>
      </c>
      <c r="B495" s="92" t="s">
        <v>10</v>
      </c>
      <c r="C495" s="92" t="s">
        <v>18</v>
      </c>
      <c r="D495" s="92" t="s">
        <v>1512</v>
      </c>
      <c r="F495" s="92">
        <v>63</v>
      </c>
      <c r="J495">
        <v>343.5555555555556</v>
      </c>
      <c r="W495" s="339">
        <f>+VLOOKUP(A495,infradensité!$A$2:$B$67,2,FALSE)</f>
        <v>0.36</v>
      </c>
      <c r="X495" s="339">
        <v>1.3</v>
      </c>
      <c r="Y495" s="340">
        <f t="shared" si="74"/>
        <v>160.78400000000002</v>
      </c>
      <c r="Z495" s="340">
        <f t="shared" si="76"/>
        <v>41.019298457473468</v>
      </c>
      <c r="AA495" s="95" t="str">
        <f t="shared" si="77"/>
        <v>Cèdre de l'Atlas_F2_Classique_INRA_63_</v>
      </c>
      <c r="AB495" s="1">
        <f t="shared" si="78"/>
        <v>63</v>
      </c>
      <c r="AC495" s="340">
        <f t="shared" si="75"/>
        <v>351.47407814676626</v>
      </c>
      <c r="AD495" s="341">
        <f t="shared" si="73"/>
        <v>345.36767820244609</v>
      </c>
      <c r="AE495" s="1">
        <f t="shared" si="72"/>
        <v>307.81205601511681</v>
      </c>
    </row>
    <row r="496" spans="1:31" hidden="1" x14ac:dyDescent="0.25">
      <c r="A496" s="92" t="s">
        <v>308</v>
      </c>
      <c r="B496" s="92" t="s">
        <v>10</v>
      </c>
      <c r="C496" s="92" t="s">
        <v>18</v>
      </c>
      <c r="D496" s="92" t="s">
        <v>1512</v>
      </c>
      <c r="F496" s="92">
        <v>64</v>
      </c>
      <c r="J496">
        <v>355.77777777777783</v>
      </c>
      <c r="W496" s="339">
        <f>+VLOOKUP(A496,infradensité!$A$2:$B$67,2,FALSE)</f>
        <v>0.36</v>
      </c>
      <c r="X496" s="339">
        <v>1.3</v>
      </c>
      <c r="Y496" s="340">
        <f t="shared" si="74"/>
        <v>166.50400000000002</v>
      </c>
      <c r="Z496" s="340">
        <f t="shared" si="76"/>
        <v>42.306091500008144</v>
      </c>
      <c r="AA496" s="95" t="str">
        <f t="shared" si="77"/>
        <v>Cèdre de l'Atlas_F2_Classique_INRA_64_</v>
      </c>
      <c r="AB496" s="1">
        <f t="shared" si="78"/>
        <v>64</v>
      </c>
      <c r="AC496" s="340">
        <f t="shared" si="75"/>
        <v>363.6775760291809</v>
      </c>
      <c r="AD496" s="341">
        <f t="shared" si="73"/>
        <v>357.57582708797361</v>
      </c>
      <c r="AE496" s="1">
        <f t="shared" si="72"/>
        <v>307.81205601511681</v>
      </c>
    </row>
    <row r="497" spans="1:31" hidden="1" x14ac:dyDescent="0.25">
      <c r="A497" s="92" t="s">
        <v>308</v>
      </c>
      <c r="B497" s="92" t="s">
        <v>10</v>
      </c>
      <c r="C497" s="92" t="s">
        <v>18</v>
      </c>
      <c r="D497" s="92" t="s">
        <v>1512</v>
      </c>
      <c r="F497" s="92">
        <v>65</v>
      </c>
      <c r="J497">
        <v>368</v>
      </c>
      <c r="W497" s="339">
        <f>+VLOOKUP(A497,infradensité!$A$2:$B$67,2,FALSE)</f>
        <v>0.36</v>
      </c>
      <c r="X497" s="339">
        <v>1.3</v>
      </c>
      <c r="Y497" s="340">
        <f t="shared" si="74"/>
        <v>172.22399999999999</v>
      </c>
      <c r="Z497" s="340">
        <f t="shared" si="76"/>
        <v>43.587748184815709</v>
      </c>
      <c r="AA497" s="95" t="str">
        <f t="shared" si="77"/>
        <v>Cèdre de l'Atlas_F2_Classique_INRA_65_</v>
      </c>
      <c r="AB497" s="1">
        <f t="shared" si="78"/>
        <v>65</v>
      </c>
      <c r="AC497" s="340">
        <f t="shared" si="75"/>
        <v>375.87212808855401</v>
      </c>
      <c r="AD497" s="341">
        <f t="shared" si="73"/>
        <v>369.77485205886745</v>
      </c>
      <c r="AE497" s="1">
        <f t="shared" ref="AE497:AE542" si="79">+SUM($AD$432:$AD$542)/110</f>
        <v>307.81205601511681</v>
      </c>
    </row>
    <row r="498" spans="1:31" hidden="1" x14ac:dyDescent="0.25">
      <c r="A498" s="92" t="s">
        <v>308</v>
      </c>
      <c r="B498" s="92" t="s">
        <v>10</v>
      </c>
      <c r="C498" s="92" t="s">
        <v>18</v>
      </c>
      <c r="D498" s="92" t="s">
        <v>1512</v>
      </c>
      <c r="F498" s="92">
        <v>66</v>
      </c>
      <c r="J498">
        <v>295</v>
      </c>
      <c r="W498" s="339">
        <f>+VLOOKUP(A498,infradensité!$A$2:$B$67,2,FALSE)</f>
        <v>0.36</v>
      </c>
      <c r="X498" s="339">
        <v>1.3</v>
      </c>
      <c r="Y498" s="340">
        <f t="shared" si="74"/>
        <v>138.06</v>
      </c>
      <c r="Z498" s="340">
        <f t="shared" si="76"/>
        <v>35.852218451596926</v>
      </c>
      <c r="AA498" s="95" t="str">
        <f t="shared" si="77"/>
        <v>Cèdre de l'Atlas_F2_Classique_INRA_66_</v>
      </c>
      <c r="AB498" s="1">
        <f t="shared" si="78"/>
        <v>66</v>
      </c>
      <c r="AC498" s="340">
        <f t="shared" si="75"/>
        <v>302.89711380319795</v>
      </c>
      <c r="AD498" s="341">
        <f t="shared" si="73"/>
        <v>339.38462094587601</v>
      </c>
      <c r="AE498" s="1">
        <f t="shared" si="79"/>
        <v>307.81205601511681</v>
      </c>
    </row>
    <row r="499" spans="1:31" hidden="1" x14ac:dyDescent="0.25">
      <c r="A499" s="92" t="s">
        <v>308</v>
      </c>
      <c r="B499" s="92" t="s">
        <v>10</v>
      </c>
      <c r="C499" s="92" t="s">
        <v>18</v>
      </c>
      <c r="D499" s="92" t="s">
        <v>1512</v>
      </c>
      <c r="F499" s="92">
        <v>67</v>
      </c>
      <c r="J499">
        <v>308</v>
      </c>
      <c r="W499" s="339">
        <f>+VLOOKUP(A499,infradensité!$A$2:$B$67,2,FALSE)</f>
        <v>0.36</v>
      </c>
      <c r="X499" s="339">
        <v>1.3</v>
      </c>
      <c r="Y499" s="340">
        <f t="shared" si="74"/>
        <v>144.14400000000001</v>
      </c>
      <c r="Z499" s="340">
        <f t="shared" si="76"/>
        <v>37.244720006976252</v>
      </c>
      <c r="AA499" s="95" t="str">
        <f t="shared" si="77"/>
        <v>Cèdre de l'Atlas_F2_Classique_INRA_67_</v>
      </c>
      <c r="AB499" s="1">
        <f t="shared" si="78"/>
        <v>67</v>
      </c>
      <c r="AC499" s="340">
        <f t="shared" si="75"/>
        <v>315.91868734548365</v>
      </c>
      <c r="AD499" s="341">
        <f t="shared" si="73"/>
        <v>309.40790057434083</v>
      </c>
      <c r="AE499" s="1">
        <f t="shared" si="79"/>
        <v>307.81205601511681</v>
      </c>
    </row>
    <row r="500" spans="1:31" hidden="1" x14ac:dyDescent="0.25">
      <c r="A500" s="92" t="s">
        <v>308</v>
      </c>
      <c r="B500" s="92" t="s">
        <v>10</v>
      </c>
      <c r="C500" s="92" t="s">
        <v>18</v>
      </c>
      <c r="D500" s="92" t="s">
        <v>1512</v>
      </c>
      <c r="F500" s="92">
        <v>68</v>
      </c>
      <c r="J500">
        <v>321</v>
      </c>
      <c r="W500" s="339">
        <f>+VLOOKUP(A500,infradensité!$A$2:$B$67,2,FALSE)</f>
        <v>0.36</v>
      </c>
      <c r="X500" s="339">
        <v>1.3</v>
      </c>
      <c r="Y500" s="340">
        <f t="shared" si="74"/>
        <v>150.22799999999998</v>
      </c>
      <c r="Z500" s="340">
        <f t="shared" si="76"/>
        <v>38.630394857933659</v>
      </c>
      <c r="AA500" s="95" t="str">
        <f t="shared" si="77"/>
        <v>Cèdre de l'Atlas_F2_Classique_INRA_68_</v>
      </c>
      <c r="AB500" s="1">
        <f t="shared" si="78"/>
        <v>68</v>
      </c>
      <c r="AC500" s="340">
        <f t="shared" si="75"/>
        <v>328.92837104423438</v>
      </c>
      <c r="AD500" s="341">
        <f t="shared" si="73"/>
        <v>322.42352919485904</v>
      </c>
      <c r="AE500" s="1">
        <f t="shared" si="79"/>
        <v>307.81205601511681</v>
      </c>
    </row>
    <row r="501" spans="1:31" hidden="1" x14ac:dyDescent="0.25">
      <c r="A501" s="92" t="s">
        <v>308</v>
      </c>
      <c r="B501" s="92" t="s">
        <v>10</v>
      </c>
      <c r="C501" s="92" t="s">
        <v>18</v>
      </c>
      <c r="D501" s="92" t="s">
        <v>1512</v>
      </c>
      <c r="F501" s="92">
        <v>69</v>
      </c>
      <c r="J501">
        <v>334</v>
      </c>
      <c r="W501" s="339">
        <f>+VLOOKUP(A501,infradensité!$A$2:$B$67,2,FALSE)</f>
        <v>0.36</v>
      </c>
      <c r="X501" s="339">
        <v>1.3</v>
      </c>
      <c r="Y501" s="340">
        <f t="shared" si="74"/>
        <v>156.31199999999998</v>
      </c>
      <c r="Z501" s="340">
        <f t="shared" si="76"/>
        <v>40.009551101892576</v>
      </c>
      <c r="AA501" s="95" t="str">
        <f t="shared" si="77"/>
        <v>Cèdre de l'Atlas_F2_Classique_INRA_69_</v>
      </c>
      <c r="AB501" s="1">
        <f t="shared" si="78"/>
        <v>69</v>
      </c>
      <c r="AC501" s="340">
        <f t="shared" si="75"/>
        <v>341.92670150246289</v>
      </c>
      <c r="AD501" s="341">
        <f t="shared" si="73"/>
        <v>335.42753627334866</v>
      </c>
      <c r="AE501" s="1">
        <f t="shared" si="79"/>
        <v>307.81205601511681</v>
      </c>
    </row>
    <row r="502" spans="1:31" hidden="1" x14ac:dyDescent="0.25">
      <c r="A502" s="92" t="s">
        <v>308</v>
      </c>
      <c r="B502" s="92" t="s">
        <v>10</v>
      </c>
      <c r="C502" s="92" t="s">
        <v>18</v>
      </c>
      <c r="D502" s="92" t="s">
        <v>1512</v>
      </c>
      <c r="F502" s="92">
        <v>70</v>
      </c>
      <c r="J502">
        <v>347</v>
      </c>
      <c r="W502" s="339">
        <f>+VLOOKUP(A502,infradensité!$A$2:$B$67,2,FALSE)</f>
        <v>0.36</v>
      </c>
      <c r="X502" s="339">
        <v>1.3</v>
      </c>
      <c r="Y502" s="340">
        <f t="shared" si="74"/>
        <v>162.39599999999999</v>
      </c>
      <c r="Z502" s="340">
        <f t="shared" si="76"/>
        <v>41.382471494629698</v>
      </c>
      <c r="AA502" s="95" t="str">
        <f t="shared" si="77"/>
        <v>Cèdre de l'Atlas_F2_Classique_INRA_70_</v>
      </c>
      <c r="AB502" s="1">
        <f t="shared" si="78"/>
        <v>70</v>
      </c>
      <c r="AC502" s="340">
        <f t="shared" si="75"/>
        <v>354.91417118648002</v>
      </c>
      <c r="AD502" s="341">
        <f t="shared" si="73"/>
        <v>348.42043634447145</v>
      </c>
      <c r="AE502" s="1">
        <f t="shared" si="79"/>
        <v>307.81205601511681</v>
      </c>
    </row>
    <row r="503" spans="1:31" hidden="1" x14ac:dyDescent="0.25">
      <c r="A503" s="92" t="s">
        <v>308</v>
      </c>
      <c r="B503" s="92" t="s">
        <v>10</v>
      </c>
      <c r="C503" s="92" t="s">
        <v>18</v>
      </c>
      <c r="D503" s="92" t="s">
        <v>1512</v>
      </c>
      <c r="F503" s="92">
        <v>71</v>
      </c>
      <c r="J503">
        <v>360</v>
      </c>
      <c r="W503" s="339">
        <f>+VLOOKUP(A503,infradensité!$A$2:$B$67,2,FALSE)</f>
        <v>0.36</v>
      </c>
      <c r="X503" s="339">
        <v>1.3</v>
      </c>
      <c r="Y503" s="340">
        <f t="shared" si="74"/>
        <v>168.48</v>
      </c>
      <c r="Z503" s="340">
        <f t="shared" si="76"/>
        <v>42.74941640538534</v>
      </c>
      <c r="AA503" s="95" t="str">
        <f t="shared" si="77"/>
        <v>Cèdre de l'Atlas_F2_Classique_INRA_71_</v>
      </c>
      <c r="AB503" s="1">
        <f t="shared" si="78"/>
        <v>71</v>
      </c>
      <c r="AC503" s="340">
        <f t="shared" si="75"/>
        <v>367.89123357271274</v>
      </c>
      <c r="AD503" s="341">
        <f t="shared" si="73"/>
        <v>361.40270237959635</v>
      </c>
      <c r="AE503" s="1">
        <f t="shared" si="79"/>
        <v>307.81205601511681</v>
      </c>
    </row>
    <row r="504" spans="1:31" hidden="1" x14ac:dyDescent="0.25">
      <c r="A504" s="92" t="s">
        <v>308</v>
      </c>
      <c r="B504" s="92" t="s">
        <v>10</v>
      </c>
      <c r="C504" s="92" t="s">
        <v>18</v>
      </c>
      <c r="D504" s="92" t="s">
        <v>1512</v>
      </c>
      <c r="F504" s="92">
        <v>72</v>
      </c>
      <c r="J504">
        <v>373</v>
      </c>
      <c r="W504" s="339">
        <f>+VLOOKUP(A504,infradensité!$A$2:$B$67,2,FALSE)</f>
        <v>0.36</v>
      </c>
      <c r="X504" s="339">
        <v>1.3</v>
      </c>
      <c r="Y504" s="340">
        <f t="shared" si="74"/>
        <v>174.56399999999999</v>
      </c>
      <c r="Z504" s="340">
        <f t="shared" si="76"/>
        <v>44.110626333127961</v>
      </c>
      <c r="AA504" s="95" t="str">
        <f t="shared" si="77"/>
        <v>Cèdre de l'Atlas_F2_Classique_INRA_72_</v>
      </c>
      <c r="AB504" s="1">
        <f t="shared" si="78"/>
        <v>72</v>
      </c>
      <c r="AC504" s="340">
        <f t="shared" si="75"/>
        <v>380.85830753019781</v>
      </c>
      <c r="AD504" s="341">
        <f t="shared" si="73"/>
        <v>374.3747705514553</v>
      </c>
      <c r="AE504" s="1">
        <f t="shared" si="79"/>
        <v>307.81205601511681</v>
      </c>
    </row>
    <row r="505" spans="1:31" hidden="1" x14ac:dyDescent="0.25">
      <c r="A505" s="92" t="s">
        <v>308</v>
      </c>
      <c r="B505" s="92" t="s">
        <v>10</v>
      </c>
      <c r="C505" s="92" t="s">
        <v>18</v>
      </c>
      <c r="D505" s="92" t="s">
        <v>1512</v>
      </c>
      <c r="F505" s="92">
        <v>73</v>
      </c>
      <c r="J505">
        <v>386</v>
      </c>
      <c r="W505" s="339">
        <f>+VLOOKUP(A505,infradensité!$A$2:$B$67,2,FALSE)</f>
        <v>0.36</v>
      </c>
      <c r="X505" s="339">
        <v>1.3</v>
      </c>
      <c r="Y505" s="340">
        <f t="shared" si="74"/>
        <v>180.648</v>
      </c>
      <c r="Z505" s="340">
        <f t="shared" si="76"/>
        <v>45.466324062169789</v>
      </c>
      <c r="AA505" s="95" t="str">
        <f t="shared" si="77"/>
        <v>Cèdre de l'Atlas_F2_Classique_INRA_73_</v>
      </c>
      <c r="AB505" s="1">
        <f t="shared" si="78"/>
        <v>73</v>
      </c>
      <c r="AC505" s="340">
        <f t="shared" si="75"/>
        <v>393.81578107494573</v>
      </c>
      <c r="AD505" s="341">
        <f t="shared" si="73"/>
        <v>387.33704430257177</v>
      </c>
      <c r="AE505" s="1">
        <f t="shared" si="79"/>
        <v>307.81205601511681</v>
      </c>
    </row>
    <row r="506" spans="1:31" hidden="1" x14ac:dyDescent="0.25">
      <c r="A506" s="92" t="s">
        <v>308</v>
      </c>
      <c r="B506" s="92" t="s">
        <v>10</v>
      </c>
      <c r="C506" s="92" t="s">
        <v>18</v>
      </c>
      <c r="D506" s="92" t="s">
        <v>1512</v>
      </c>
      <c r="F506" s="92">
        <v>74</v>
      </c>
      <c r="J506">
        <v>399</v>
      </c>
      <c r="W506" s="339">
        <f>+VLOOKUP(A506,infradensité!$A$2:$B$67,2,FALSE)</f>
        <v>0.36</v>
      </c>
      <c r="X506" s="339">
        <v>1.3</v>
      </c>
      <c r="Y506" s="340">
        <f t="shared" si="74"/>
        <v>186.732</v>
      </c>
      <c r="Z506" s="340">
        <f t="shared" si="76"/>
        <v>46.81671651923142</v>
      </c>
      <c r="AA506" s="95" t="str">
        <f t="shared" si="77"/>
        <v>Cèdre de l'Atlas_F2_Classique_INRA_74_</v>
      </c>
      <c r="AB506" s="1">
        <f t="shared" si="78"/>
        <v>74</v>
      </c>
      <c r="AC506" s="340">
        <f t="shared" si="75"/>
        <v>406.764014604328</v>
      </c>
      <c r="AD506" s="341">
        <f t="shared" si="73"/>
        <v>400.28989783963686</v>
      </c>
      <c r="AE506" s="1">
        <f t="shared" si="79"/>
        <v>307.81205601511681</v>
      </c>
    </row>
    <row r="507" spans="1:31" hidden="1" x14ac:dyDescent="0.25">
      <c r="A507" s="92" t="s">
        <v>308</v>
      </c>
      <c r="B507" s="92" t="s">
        <v>10</v>
      </c>
      <c r="C507" s="92" t="s">
        <v>18</v>
      </c>
      <c r="D507" s="92" t="s">
        <v>1512</v>
      </c>
      <c r="F507" s="92">
        <v>75</v>
      </c>
      <c r="J507">
        <v>412</v>
      </c>
      <c r="W507" s="339">
        <f>+VLOOKUP(A507,infradensité!$A$2:$B$67,2,FALSE)</f>
        <v>0.36</v>
      </c>
      <c r="X507" s="339">
        <v>1.3</v>
      </c>
      <c r="Y507" s="340">
        <f t="shared" si="74"/>
        <v>192.81599999999997</v>
      </c>
      <c r="Z507" s="340">
        <f t="shared" si="76"/>
        <v>48.161996381683636</v>
      </c>
      <c r="AA507" s="95" t="str">
        <f t="shared" si="77"/>
        <v>Cèdre de l'Atlas_F2_Classique_INRA_75_</v>
      </c>
      <c r="AB507" s="1">
        <f t="shared" si="78"/>
        <v>75</v>
      </c>
      <c r="AC507" s="340">
        <f t="shared" si="75"/>
        <v>419.70334369809893</v>
      </c>
      <c r="AD507" s="341">
        <f t="shared" si="73"/>
        <v>413.23367915121344</v>
      </c>
      <c r="AE507" s="1">
        <f t="shared" si="79"/>
        <v>307.81205601511681</v>
      </c>
    </row>
    <row r="508" spans="1:31" hidden="1" x14ac:dyDescent="0.25">
      <c r="A508" s="92" t="s">
        <v>308</v>
      </c>
      <c r="B508" s="92" t="s">
        <v>10</v>
      </c>
      <c r="C508" s="92" t="s">
        <v>18</v>
      </c>
      <c r="D508" s="92" t="s">
        <v>1512</v>
      </c>
      <c r="F508" s="92">
        <v>76</v>
      </c>
      <c r="J508">
        <v>334</v>
      </c>
      <c r="W508" s="339">
        <f>+VLOOKUP(A508,infradensité!$A$2:$B$67,2,FALSE)</f>
        <v>0.36</v>
      </c>
      <c r="X508" s="339">
        <v>1.3</v>
      </c>
      <c r="Y508" s="340">
        <f t="shared" si="74"/>
        <v>156.31199999999998</v>
      </c>
      <c r="Z508" s="340">
        <f t="shared" si="76"/>
        <v>40.009551101892576</v>
      </c>
      <c r="AA508" s="95" t="str">
        <f t="shared" si="77"/>
        <v>Cèdre de l'Atlas_F2_Classique_INRA_76_</v>
      </c>
      <c r="AB508" s="1">
        <f t="shared" si="78"/>
        <v>76</v>
      </c>
      <c r="AC508" s="340">
        <f t="shared" si="75"/>
        <v>341.92670150246289</v>
      </c>
      <c r="AD508" s="341">
        <f t="shared" si="73"/>
        <v>380.81502260028094</v>
      </c>
      <c r="AE508" s="1">
        <f t="shared" si="79"/>
        <v>307.81205601511681</v>
      </c>
    </row>
    <row r="509" spans="1:31" hidden="1" x14ac:dyDescent="0.25">
      <c r="A509" s="92" t="s">
        <v>308</v>
      </c>
      <c r="B509" s="92" t="s">
        <v>10</v>
      </c>
      <c r="C509" s="92" t="s">
        <v>18</v>
      </c>
      <c r="D509" s="92" t="s">
        <v>1512</v>
      </c>
      <c r="F509" s="92">
        <v>77</v>
      </c>
      <c r="J509">
        <v>348.71428571428572</v>
      </c>
      <c r="W509" s="339">
        <f>+VLOOKUP(A509,infradensité!$A$2:$B$67,2,FALSE)</f>
        <v>0.36</v>
      </c>
      <c r="X509" s="339">
        <v>1.3</v>
      </c>
      <c r="Y509" s="340">
        <f t="shared" si="74"/>
        <v>163.1982857142857</v>
      </c>
      <c r="Z509" s="340">
        <f t="shared" si="76"/>
        <v>41.563064615521839</v>
      </c>
      <c r="AA509" s="95" t="str">
        <f t="shared" si="77"/>
        <v>Cèdre de l'Atlas_F2_Classique_INRA_77_</v>
      </c>
      <c r="AB509" s="1">
        <f t="shared" si="78"/>
        <v>77</v>
      </c>
      <c r="AC509" s="340">
        <f t="shared" si="75"/>
        <v>356.62601849108142</v>
      </c>
      <c r="AD509" s="341">
        <f t="shared" si="73"/>
        <v>349.27635999677216</v>
      </c>
      <c r="AE509" s="1">
        <f t="shared" si="79"/>
        <v>307.81205601511681</v>
      </c>
    </row>
    <row r="510" spans="1:31" hidden="1" x14ac:dyDescent="0.25">
      <c r="A510" s="92" t="s">
        <v>308</v>
      </c>
      <c r="B510" s="92" t="s">
        <v>10</v>
      </c>
      <c r="C510" s="92" t="s">
        <v>18</v>
      </c>
      <c r="D510" s="92" t="s">
        <v>1512</v>
      </c>
      <c r="F510" s="92">
        <v>78</v>
      </c>
      <c r="J510">
        <v>363.42857142857144</v>
      </c>
      <c r="W510" s="339">
        <f>+VLOOKUP(A510,infradensité!$A$2:$B$67,2,FALSE)</f>
        <v>0.36</v>
      </c>
      <c r="X510" s="339">
        <v>1.3</v>
      </c>
      <c r="Y510" s="340">
        <f t="shared" si="74"/>
        <v>170.08457142857142</v>
      </c>
      <c r="Z510" s="340">
        <f t="shared" si="76"/>
        <v>43.108964223680886</v>
      </c>
      <c r="AA510" s="95" t="str">
        <f t="shared" si="77"/>
        <v>Cèdre de l'Atlas_F2_Classique_INRA_78_</v>
      </c>
      <c r="AB510" s="1">
        <f t="shared" si="78"/>
        <v>78</v>
      </c>
      <c r="AC510" s="340">
        <f t="shared" si="75"/>
        <v>371.31207459433944</v>
      </c>
      <c r="AD510" s="341">
        <f t="shared" si="73"/>
        <v>363.96904654271043</v>
      </c>
      <c r="AE510" s="1">
        <f t="shared" si="79"/>
        <v>307.81205601511681</v>
      </c>
    </row>
    <row r="511" spans="1:31" hidden="1" x14ac:dyDescent="0.25">
      <c r="A511" s="92" t="s">
        <v>308</v>
      </c>
      <c r="B511" s="92" t="s">
        <v>10</v>
      </c>
      <c r="C511" s="92" t="s">
        <v>18</v>
      </c>
      <c r="D511" s="92" t="s">
        <v>1512</v>
      </c>
      <c r="F511" s="92">
        <v>79</v>
      </c>
      <c r="J511">
        <v>378.14285714285717</v>
      </c>
      <c r="W511" s="339">
        <f>+VLOOKUP(A511,infradensité!$A$2:$B$67,2,FALSE)</f>
        <v>0.36</v>
      </c>
      <c r="X511" s="339">
        <v>1.3</v>
      </c>
      <c r="Y511" s="340">
        <f t="shared" si="74"/>
        <v>176.97085714285714</v>
      </c>
      <c r="Z511" s="340">
        <f t="shared" si="76"/>
        <v>44.647593457731134</v>
      </c>
      <c r="AA511" s="95" t="str">
        <f t="shared" si="77"/>
        <v>Cèdre de l'Atlas_F2_Classique_INRA_79_</v>
      </c>
      <c r="AB511" s="1">
        <f t="shared" si="78"/>
        <v>79</v>
      </c>
      <c r="AC511" s="340">
        <f t="shared" si="75"/>
        <v>385.98546812935791</v>
      </c>
      <c r="AD511" s="341">
        <f t="shared" si="73"/>
        <v>378.64877136184867</v>
      </c>
      <c r="AE511" s="1">
        <f t="shared" si="79"/>
        <v>307.81205601511681</v>
      </c>
    </row>
    <row r="512" spans="1:31" hidden="1" x14ac:dyDescent="0.25">
      <c r="A512" s="92" t="s">
        <v>308</v>
      </c>
      <c r="B512" s="92" t="s">
        <v>10</v>
      </c>
      <c r="C512" s="92" t="s">
        <v>18</v>
      </c>
      <c r="D512" s="92" t="s">
        <v>1512</v>
      </c>
      <c r="F512" s="92">
        <v>80</v>
      </c>
      <c r="J512">
        <v>392.85714285714289</v>
      </c>
      <c r="W512" s="339">
        <f>+VLOOKUP(A512,infradensité!$A$2:$B$67,2,FALSE)</f>
        <v>0.36</v>
      </c>
      <c r="X512" s="339">
        <v>1.3</v>
      </c>
      <c r="Y512" s="340">
        <f t="shared" si="74"/>
        <v>183.85714285714286</v>
      </c>
      <c r="Z512" s="340">
        <f t="shared" si="76"/>
        <v>46.17926760025837</v>
      </c>
      <c r="AA512" s="95" t="str">
        <f t="shared" si="77"/>
        <v>Cèdre de l'Atlas_F2_Classique_INRA_80_</v>
      </c>
      <c r="AB512" s="1">
        <f t="shared" si="78"/>
        <v>80</v>
      </c>
      <c r="AC512" s="340">
        <f t="shared" si="75"/>
        <v>400.64674821330715</v>
      </c>
      <c r="AD512" s="341">
        <f t="shared" si="73"/>
        <v>393.31610817133253</v>
      </c>
      <c r="AE512" s="1">
        <f t="shared" si="79"/>
        <v>307.81205601511681</v>
      </c>
    </row>
    <row r="513" spans="1:31" hidden="1" x14ac:dyDescent="0.25">
      <c r="A513" s="92" t="s">
        <v>308</v>
      </c>
      <c r="B513" s="92" t="s">
        <v>10</v>
      </c>
      <c r="C513" s="92" t="s">
        <v>18</v>
      </c>
      <c r="D513" s="92" t="s">
        <v>1512</v>
      </c>
      <c r="F513" s="92">
        <v>81</v>
      </c>
      <c r="J513">
        <v>407.57142857142861</v>
      </c>
      <c r="W513" s="339">
        <f>+VLOOKUP(A513,infradensité!$A$2:$B$67,2,FALSE)</f>
        <v>0.36</v>
      </c>
      <c r="X513" s="339">
        <v>1.3</v>
      </c>
      <c r="Y513" s="340">
        <f t="shared" si="74"/>
        <v>190.74342857142858</v>
      </c>
      <c r="Z513" s="340">
        <f t="shared" si="76"/>
        <v>47.704276978356155</v>
      </c>
      <c r="AA513" s="95" t="str">
        <f t="shared" si="77"/>
        <v>Cèdre de l'Atlas_F2_Classique_INRA_81_</v>
      </c>
      <c r="AB513" s="1">
        <f t="shared" si="78"/>
        <v>81</v>
      </c>
      <c r="AC513" s="340">
        <f t="shared" si="75"/>
        <v>415.29642049920841</v>
      </c>
      <c r="AD513" s="341">
        <f t="shared" si="73"/>
        <v>407.97158435625778</v>
      </c>
      <c r="AE513" s="1">
        <f t="shared" si="79"/>
        <v>307.81205601511681</v>
      </c>
    </row>
    <row r="514" spans="1:31" hidden="1" x14ac:dyDescent="0.25">
      <c r="A514" s="92" t="s">
        <v>308</v>
      </c>
      <c r="B514" s="92" t="s">
        <v>10</v>
      </c>
      <c r="C514" s="92" t="s">
        <v>18</v>
      </c>
      <c r="D514" s="92" t="s">
        <v>1512</v>
      </c>
      <c r="F514" s="92">
        <v>82</v>
      </c>
      <c r="J514">
        <v>422.28571428571433</v>
      </c>
      <c r="W514" s="339">
        <f>+VLOOKUP(A514,infradensité!$A$2:$B$67,2,FALSE)</f>
        <v>0.36</v>
      </c>
      <c r="X514" s="339">
        <v>1.3</v>
      </c>
      <c r="Y514" s="340">
        <f t="shared" si="74"/>
        <v>197.6297142857143</v>
      </c>
      <c r="Z514" s="340">
        <f t="shared" si="76"/>
        <v>49.222889767963053</v>
      </c>
      <c r="AA514" s="95" t="str">
        <f t="shared" si="77"/>
        <v>Cèdre de l'Atlas_F2_Classique_INRA_82_</v>
      </c>
      <c r="AB514" s="1">
        <f t="shared" si="78"/>
        <v>82</v>
      </c>
      <c r="AC514" s="340">
        <f t="shared" si="75"/>
        <v>429.93495206015473</v>
      </c>
      <c r="AD514" s="341">
        <f t="shared" si="73"/>
        <v>422.61568627968154</v>
      </c>
      <c r="AE514" s="1">
        <f t="shared" si="79"/>
        <v>307.81205601511681</v>
      </c>
    </row>
    <row r="515" spans="1:31" hidden="1" x14ac:dyDescent="0.25">
      <c r="A515" s="92" t="s">
        <v>308</v>
      </c>
      <c r="B515" s="92" t="s">
        <v>10</v>
      </c>
      <c r="C515" s="92" t="s">
        <v>18</v>
      </c>
      <c r="D515" s="92" t="s">
        <v>1512</v>
      </c>
      <c r="F515" s="92">
        <v>83</v>
      </c>
      <c r="J515">
        <v>437.00000000000006</v>
      </c>
      <c r="W515" s="339">
        <f>+VLOOKUP(A515,infradensité!$A$2:$B$67,2,FALSE)</f>
        <v>0.36</v>
      </c>
      <c r="X515" s="339">
        <v>1.3</v>
      </c>
      <c r="Y515" s="340">
        <f t="shared" si="74"/>
        <v>204.51600000000002</v>
      </c>
      <c r="Z515" s="340">
        <f t="shared" si="76"/>
        <v>50.735354396355888</v>
      </c>
      <c r="AA515" s="95" t="str">
        <f t="shared" si="77"/>
        <v>Cèdre de l'Atlas_F2_Classique_INRA_83_</v>
      </c>
      <c r="AB515" s="1">
        <f t="shared" si="78"/>
        <v>83</v>
      </c>
      <c r="AC515" s="340">
        <f t="shared" si="75"/>
        <v>444.5627755736532</v>
      </c>
      <c r="AD515" s="341">
        <f t="shared" si="73"/>
        <v>437.24886381690396</v>
      </c>
      <c r="AE515" s="1">
        <f t="shared" si="79"/>
        <v>307.81205601511681</v>
      </c>
    </row>
    <row r="516" spans="1:31" hidden="1" x14ac:dyDescent="0.25">
      <c r="A516" s="92" t="s">
        <v>308</v>
      </c>
      <c r="B516" s="92" t="s">
        <v>10</v>
      </c>
      <c r="C516" s="92" t="s">
        <v>18</v>
      </c>
      <c r="D516" s="92" t="s">
        <v>1512</v>
      </c>
      <c r="F516" s="92">
        <v>84</v>
      </c>
      <c r="J516">
        <v>451.71428571428578</v>
      </c>
      <c r="W516" s="339">
        <f>+VLOOKUP(A516,infradensité!$A$2:$B$67,2,FALSE)</f>
        <v>0.36</v>
      </c>
      <c r="X516" s="339">
        <v>1.3</v>
      </c>
      <c r="Y516" s="340">
        <f t="shared" si="74"/>
        <v>211.40228571428574</v>
      </c>
      <c r="Z516" s="340">
        <f t="shared" si="76"/>
        <v>52.241901611974725</v>
      </c>
      <c r="AA516" s="95" t="str">
        <f t="shared" si="77"/>
        <v>Cèdre de l'Atlas_F2_Classique_INRA_84_</v>
      </c>
      <c r="AB516" s="1">
        <f t="shared" si="78"/>
        <v>84</v>
      </c>
      <c r="AC516" s="340">
        <f t="shared" si="75"/>
        <v>459.1802929265703</v>
      </c>
      <c r="AD516" s="341">
        <f t="shared" si="73"/>
        <v>451.87153425011172</v>
      </c>
      <c r="AE516" s="1">
        <f t="shared" si="79"/>
        <v>307.81205601511681</v>
      </c>
    </row>
    <row r="517" spans="1:31" hidden="1" x14ac:dyDescent="0.25">
      <c r="A517" s="92" t="s">
        <v>308</v>
      </c>
      <c r="B517" s="92" t="s">
        <v>10</v>
      </c>
      <c r="C517" s="92" t="s">
        <v>18</v>
      </c>
      <c r="D517" s="92" t="s">
        <v>1512</v>
      </c>
      <c r="F517" s="92">
        <v>85</v>
      </c>
      <c r="J517">
        <v>466.4285714285715</v>
      </c>
      <c r="W517" s="339">
        <f>+VLOOKUP(A517,infradensité!$A$2:$B$67,2,FALSE)</f>
        <v>0.36</v>
      </c>
      <c r="X517" s="339">
        <v>1.3</v>
      </c>
      <c r="Y517" s="340">
        <f t="shared" si="74"/>
        <v>218.28857142857146</v>
      </c>
      <c r="Z517" s="340">
        <f t="shared" si="76"/>
        <v>53.742746276979332</v>
      </c>
      <c r="AA517" s="95" t="str">
        <f t="shared" si="77"/>
        <v>Cèdre de l'Atlas_F2_Classique_INRA_85_</v>
      </c>
      <c r="AB517" s="1">
        <f t="shared" si="78"/>
        <v>85</v>
      </c>
      <c r="AC517" s="340">
        <f t="shared" si="75"/>
        <v>473.78787833716757</v>
      </c>
      <c r="AD517" s="341">
        <f t="shared" si="73"/>
        <v>466.48408563186894</v>
      </c>
      <c r="AE517" s="1">
        <f t="shared" si="79"/>
        <v>307.81205601511681</v>
      </c>
    </row>
    <row r="518" spans="1:31" hidden="1" x14ac:dyDescent="0.25">
      <c r="A518" s="92" t="s">
        <v>308</v>
      </c>
      <c r="B518" s="92" t="s">
        <v>10</v>
      </c>
      <c r="C518" s="92" t="s">
        <v>18</v>
      </c>
      <c r="D518" s="92" t="s">
        <v>1512</v>
      </c>
      <c r="F518" s="92">
        <v>86</v>
      </c>
      <c r="J518">
        <v>481.14285714285722</v>
      </c>
      <c r="W518" s="339">
        <f>+VLOOKUP(A518,infradensité!$A$2:$B$67,2,FALSE)</f>
        <v>0.36</v>
      </c>
      <c r="X518" s="339">
        <v>1.3</v>
      </c>
      <c r="Y518" s="340">
        <f t="shared" si="74"/>
        <v>225.17485714285718</v>
      </c>
      <c r="Z518" s="340">
        <f t="shared" si="76"/>
        <v>55.238088927254239</v>
      </c>
      <c r="AA518" s="95" t="str">
        <f t="shared" si="77"/>
        <v>Cèdre de l'Atlas_F2_Classique_INRA_86_</v>
      </c>
      <c r="AB518" s="1">
        <f t="shared" si="78"/>
        <v>86</v>
      </c>
      <c r="AC518" s="340">
        <f t="shared" si="75"/>
        <v>488.38588107211064</v>
      </c>
      <c r="AD518" s="341">
        <f t="shared" ref="AD518:AD581" si="80">+IF(AC518=0,0,(AC518+AC517)*(AB518-AB517)/2)</f>
        <v>481.0868797046391</v>
      </c>
      <c r="AE518" s="1">
        <f t="shared" si="79"/>
        <v>307.81205601511681</v>
      </c>
    </row>
    <row r="519" spans="1:31" hidden="1" x14ac:dyDescent="0.25">
      <c r="A519" s="92" t="s">
        <v>308</v>
      </c>
      <c r="B519" s="92" t="s">
        <v>10</v>
      </c>
      <c r="C519" s="92" t="s">
        <v>18</v>
      </c>
      <c r="D519" s="92" t="s">
        <v>1512</v>
      </c>
      <c r="F519" s="92">
        <v>87</v>
      </c>
      <c r="J519">
        <v>495.85714285714295</v>
      </c>
      <c r="W519" s="339">
        <f>+VLOOKUP(A519,infradensité!$A$2:$B$67,2,FALSE)</f>
        <v>0.36</v>
      </c>
      <c r="X519" s="339">
        <v>1.3</v>
      </c>
      <c r="Y519" s="340">
        <f t="shared" si="74"/>
        <v>232.0611428571429</v>
      </c>
      <c r="Z519" s="340">
        <f t="shared" si="76"/>
        <v>56.728117136220625</v>
      </c>
      <c r="AA519" s="95" t="str">
        <f t="shared" si="77"/>
        <v>Cèdre de l'Atlas_F2_Classique_INRA_87_</v>
      </c>
      <c r="AB519" s="1">
        <f t="shared" si="78"/>
        <v>87</v>
      </c>
      <c r="AC519" s="340">
        <f t="shared" si="75"/>
        <v>502.97462782177485</v>
      </c>
      <c r="AD519" s="341">
        <f t="shared" si="80"/>
        <v>495.68025444694274</v>
      </c>
      <c r="AE519" s="1">
        <f t="shared" si="79"/>
        <v>307.81205601511681</v>
      </c>
    </row>
    <row r="520" spans="1:31" hidden="1" x14ac:dyDescent="0.25">
      <c r="A520" s="92" t="s">
        <v>308</v>
      </c>
      <c r="B520" s="92" t="s">
        <v>10</v>
      </c>
      <c r="C520" s="92" t="s">
        <v>18</v>
      </c>
      <c r="D520" s="92" t="s">
        <v>1512</v>
      </c>
      <c r="F520" s="92">
        <v>88</v>
      </c>
      <c r="J520">
        <v>510.57142857142867</v>
      </c>
      <c r="W520" s="339">
        <f>+VLOOKUP(A520,infradensité!$A$2:$B$67,2,FALSE)</f>
        <v>0.36</v>
      </c>
      <c r="X520" s="339">
        <v>1.3</v>
      </c>
      <c r="Y520" s="340">
        <f t="shared" si="74"/>
        <v>238.94742857142859</v>
      </c>
      <c r="Z520" s="340">
        <f t="shared" si="76"/>
        <v>58.213006712217961</v>
      </c>
      <c r="AA520" s="95" t="str">
        <f t="shared" si="77"/>
        <v>Cèdre de l'Atlas_F2_Classique_INRA_88_</v>
      </c>
      <c r="AB520" s="1">
        <f t="shared" si="78"/>
        <v>88</v>
      </c>
      <c r="AC520" s="340">
        <f t="shared" si="75"/>
        <v>517.55442478568432</v>
      </c>
      <c r="AD520" s="341">
        <f t="shared" si="80"/>
        <v>510.26452630372955</v>
      </c>
      <c r="AE520" s="1">
        <f t="shared" si="79"/>
        <v>307.81205601511681</v>
      </c>
    </row>
    <row r="521" spans="1:31" hidden="1" x14ac:dyDescent="0.25">
      <c r="A521" s="92" t="s">
        <v>308</v>
      </c>
      <c r="B521" s="92" t="s">
        <v>10</v>
      </c>
      <c r="C521" s="92" t="s">
        <v>18</v>
      </c>
      <c r="D521" s="92" t="s">
        <v>1512</v>
      </c>
      <c r="F521" s="92">
        <v>89</v>
      </c>
      <c r="J521">
        <v>525.28571428571433</v>
      </c>
      <c r="W521" s="339">
        <f>+VLOOKUP(A521,infradensité!$A$2:$B$67,2,FALSE)</f>
        <v>0.36</v>
      </c>
      <c r="X521" s="339">
        <v>1.3</v>
      </c>
      <c r="Y521" s="340">
        <f t="shared" si="74"/>
        <v>245.83371428571428</v>
      </c>
      <c r="Z521" s="340">
        <f t="shared" si="76"/>
        <v>59.692922753975587</v>
      </c>
      <c r="AA521" s="95" t="str">
        <f t="shared" si="77"/>
        <v>Cèdre de l'Atlas_F2_Classique_INRA_89_</v>
      </c>
      <c r="AB521" s="1">
        <f t="shared" si="78"/>
        <v>89</v>
      </c>
      <c r="AC521" s="340">
        <f t="shared" si="75"/>
        <v>532.12555951079321</v>
      </c>
      <c r="AD521" s="341">
        <f t="shared" si="80"/>
        <v>524.83999214823871</v>
      </c>
      <c r="AE521" s="1">
        <f t="shared" si="79"/>
        <v>307.81205601511681</v>
      </c>
    </row>
    <row r="522" spans="1:31" hidden="1" x14ac:dyDescent="0.25">
      <c r="A522" s="92" t="s">
        <v>308</v>
      </c>
      <c r="B522" s="92" t="s">
        <v>10</v>
      </c>
      <c r="C522" s="92" t="s">
        <v>18</v>
      </c>
      <c r="D522" s="92" t="s">
        <v>1512</v>
      </c>
      <c r="F522" s="92">
        <v>90</v>
      </c>
      <c r="J522">
        <v>540</v>
      </c>
      <c r="W522" s="339">
        <f>+VLOOKUP(A522,infradensité!$A$2:$B$67,2,FALSE)</f>
        <v>0.36</v>
      </c>
      <c r="X522" s="339">
        <v>1.3</v>
      </c>
      <c r="Y522" s="340">
        <f t="shared" si="74"/>
        <v>252.71999999999997</v>
      </c>
      <c r="Z522" s="340">
        <f t="shared" si="76"/>
        <v>61.168020584496823</v>
      </c>
      <c r="AA522" s="95" t="str">
        <f t="shared" si="77"/>
        <v>Cèdre de l'Atlas_F2_Classique_INRA_90_</v>
      </c>
      <c r="AB522" s="1">
        <f t="shared" si="78"/>
        <v>90</v>
      </c>
      <c r="AC522" s="340">
        <f t="shared" si="75"/>
        <v>546.68830251799852</v>
      </c>
      <c r="AD522" s="341">
        <f t="shared" si="80"/>
        <v>539.40693101439592</v>
      </c>
      <c r="AE522" s="1">
        <f t="shared" si="79"/>
        <v>307.81205601511681</v>
      </c>
    </row>
    <row r="523" spans="1:31" hidden="1" x14ac:dyDescent="0.25">
      <c r="A523" s="92" t="s">
        <v>308</v>
      </c>
      <c r="B523" s="92" t="s">
        <v>10</v>
      </c>
      <c r="C523" s="92" t="s">
        <v>18</v>
      </c>
      <c r="D523" s="92" t="s">
        <v>1512</v>
      </c>
      <c r="F523" s="92">
        <v>91</v>
      </c>
      <c r="J523">
        <v>402</v>
      </c>
      <c r="W523" s="339">
        <f>+VLOOKUP(A523,infradensité!$A$2:$B$67,2,FALSE)</f>
        <v>0.36</v>
      </c>
      <c r="X523" s="339">
        <v>1.3</v>
      </c>
      <c r="Y523" s="340">
        <f t="shared" si="74"/>
        <v>188.136</v>
      </c>
      <c r="Z523" s="340">
        <f t="shared" si="76"/>
        <v>47.127612753105289</v>
      </c>
      <c r="AA523" s="95" t="str">
        <f t="shared" si="77"/>
        <v>Cèdre de l'Atlas_F2_Classique_INRA_91_</v>
      </c>
      <c r="AB523" s="1">
        <f t="shared" si="78"/>
        <v>91</v>
      </c>
      <c r="AC523" s="340">
        <f t="shared" si="75"/>
        <v>409.75079221165839</v>
      </c>
      <c r="AD523" s="341">
        <f t="shared" si="80"/>
        <v>478.21954736482849</v>
      </c>
      <c r="AE523" s="1">
        <f t="shared" si="79"/>
        <v>307.81205601511681</v>
      </c>
    </row>
    <row r="524" spans="1:31" hidden="1" x14ac:dyDescent="0.25">
      <c r="A524" s="92" t="s">
        <v>308</v>
      </c>
      <c r="B524" s="92" t="s">
        <v>10</v>
      </c>
      <c r="C524" s="92" t="s">
        <v>18</v>
      </c>
      <c r="D524" s="92" t="s">
        <v>1512</v>
      </c>
      <c r="F524" s="92">
        <v>92</v>
      </c>
      <c r="J524">
        <v>415.14285714285717</v>
      </c>
      <c r="W524" s="339">
        <f>+VLOOKUP(A524,infradensité!$A$2:$B$67,2,FALSE)</f>
        <v>0.36</v>
      </c>
      <c r="X524" s="339">
        <v>1.3</v>
      </c>
      <c r="Y524" s="340">
        <f t="shared" si="74"/>
        <v>194.28685714285714</v>
      </c>
      <c r="Z524" s="340">
        <f t="shared" si="76"/>
        <v>48.486481887926253</v>
      </c>
      <c r="AA524" s="95" t="str">
        <f t="shared" si="77"/>
        <v>Cèdre de l'Atlas_F2_Classique_INRA_92_</v>
      </c>
      <c r="AB524" s="1">
        <f t="shared" si="78"/>
        <v>92</v>
      </c>
      <c r="AC524" s="340">
        <f t="shared" si="75"/>
        <v>422.83023214528106</v>
      </c>
      <c r="AD524" s="341">
        <f t="shared" si="80"/>
        <v>416.29051217846973</v>
      </c>
      <c r="AE524" s="1">
        <f t="shared" si="79"/>
        <v>307.81205601511681</v>
      </c>
    </row>
    <row r="525" spans="1:31" hidden="1" x14ac:dyDescent="0.25">
      <c r="A525" s="92" t="s">
        <v>308</v>
      </c>
      <c r="B525" s="92" t="s">
        <v>10</v>
      </c>
      <c r="C525" s="92" t="s">
        <v>18</v>
      </c>
      <c r="D525" s="92" t="s">
        <v>1512</v>
      </c>
      <c r="F525" s="92">
        <v>93</v>
      </c>
      <c r="J525">
        <v>428.28571428571433</v>
      </c>
      <c r="W525" s="339">
        <f>+VLOOKUP(A525,infradensité!$A$2:$B$67,2,FALSE)</f>
        <v>0.36</v>
      </c>
      <c r="X525" s="339">
        <v>1.3</v>
      </c>
      <c r="Y525" s="340">
        <f t="shared" si="74"/>
        <v>200.43771428571429</v>
      </c>
      <c r="Z525" s="340">
        <f t="shared" si="76"/>
        <v>49.840351834060797</v>
      </c>
      <c r="AA525" s="95" t="str">
        <f t="shared" si="77"/>
        <v>Cèdre de l'Atlas_F2_Classique_INRA_93_</v>
      </c>
      <c r="AB525" s="1">
        <f t="shared" si="78"/>
        <v>93</v>
      </c>
      <c r="AC525" s="340">
        <f t="shared" si="75"/>
        <v>435.90096515860819</v>
      </c>
      <c r="AD525" s="341">
        <f t="shared" si="80"/>
        <v>429.36559865194465</v>
      </c>
      <c r="AE525" s="1">
        <f t="shared" si="79"/>
        <v>307.81205601511681</v>
      </c>
    </row>
    <row r="526" spans="1:31" hidden="1" x14ac:dyDescent="0.25">
      <c r="A526" s="92" t="s">
        <v>308</v>
      </c>
      <c r="B526" s="92" t="s">
        <v>10</v>
      </c>
      <c r="C526" s="92" t="s">
        <v>18</v>
      </c>
      <c r="D526" s="92" t="s">
        <v>1512</v>
      </c>
      <c r="F526" s="92">
        <v>94</v>
      </c>
      <c r="J526">
        <v>441.4285714285715</v>
      </c>
      <c r="W526" s="339">
        <f>+VLOOKUP(A526,infradensité!$A$2:$B$67,2,FALSE)</f>
        <v>0.36</v>
      </c>
      <c r="X526" s="339">
        <v>1.3</v>
      </c>
      <c r="Y526" s="340">
        <f t="shared" si="74"/>
        <v>206.58857142857144</v>
      </c>
      <c r="Z526" s="340">
        <f t="shared" si="76"/>
        <v>51.189393608174235</v>
      </c>
      <c r="AA526" s="95" t="str">
        <f t="shared" si="77"/>
        <v>Cèdre de l'Atlas_F2_Classique_INRA_94_</v>
      </c>
      <c r="AB526" s="1">
        <f t="shared" si="78"/>
        <v>94</v>
      </c>
      <c r="AC526" s="340">
        <f t="shared" si="75"/>
        <v>448.96328910566535</v>
      </c>
      <c r="AD526" s="341">
        <f t="shared" si="80"/>
        <v>442.43212713213677</v>
      </c>
      <c r="AE526" s="1">
        <f t="shared" si="79"/>
        <v>307.81205601511681</v>
      </c>
    </row>
    <row r="527" spans="1:31" hidden="1" x14ac:dyDescent="0.25">
      <c r="A527" s="92" t="s">
        <v>308</v>
      </c>
      <c r="B527" s="92" t="s">
        <v>10</v>
      </c>
      <c r="C527" s="92" t="s">
        <v>18</v>
      </c>
      <c r="D527" s="92" t="s">
        <v>1512</v>
      </c>
      <c r="F527" s="92">
        <v>95</v>
      </c>
      <c r="J527">
        <v>454.57142857142867</v>
      </c>
      <c r="W527" s="339">
        <f>+VLOOKUP(A527,infradensité!$A$2:$B$67,2,FALSE)</f>
        <v>0.36</v>
      </c>
      <c r="X527" s="339">
        <v>1.3</v>
      </c>
      <c r="Y527" s="340">
        <f t="shared" si="74"/>
        <v>212.73942857142859</v>
      </c>
      <c r="Z527" s="340">
        <f t="shared" si="76"/>
        <v>52.533767464568712</v>
      </c>
      <c r="AA527" s="95" t="str">
        <f t="shared" si="77"/>
        <v>Cèdre de l'Atlas_F2_Classique_INRA_95_</v>
      </c>
      <c r="AB527" s="1">
        <f t="shared" si="78"/>
        <v>95</v>
      </c>
      <c r="AC527" s="340">
        <f t="shared" si="75"/>
        <v>462.01748309602863</v>
      </c>
      <c r="AD527" s="341">
        <f t="shared" si="80"/>
        <v>455.49038610084699</v>
      </c>
      <c r="AE527" s="1">
        <f t="shared" si="79"/>
        <v>307.81205601511681</v>
      </c>
    </row>
    <row r="528" spans="1:31" hidden="1" x14ac:dyDescent="0.25">
      <c r="A528" s="92" t="s">
        <v>308</v>
      </c>
      <c r="B528" s="92" t="s">
        <v>10</v>
      </c>
      <c r="C528" s="92" t="s">
        <v>18</v>
      </c>
      <c r="D528" s="92" t="s">
        <v>1512</v>
      </c>
      <c r="F528" s="92">
        <v>96</v>
      </c>
      <c r="J528">
        <v>467.71428571428584</v>
      </c>
      <c r="W528" s="339">
        <f>+VLOOKUP(A528,infradensité!$A$2:$B$67,2,FALSE)</f>
        <v>0.36</v>
      </c>
      <c r="X528" s="339">
        <v>1.3</v>
      </c>
      <c r="Y528" s="340">
        <f t="shared" si="74"/>
        <v>218.89028571428577</v>
      </c>
      <c r="Z528" s="340">
        <f t="shared" si="76"/>
        <v>53.873623863826204</v>
      </c>
      <c r="AA528" s="95" t="str">
        <f t="shared" si="77"/>
        <v>Cèdre de l'Atlas_F2_Classique_INRA_96_</v>
      </c>
      <c r="AB528" s="1">
        <f t="shared" si="78"/>
        <v>96</v>
      </c>
      <c r="AC528" s="340">
        <f t="shared" si="75"/>
        <v>475.06380918187824</v>
      </c>
      <c r="AD528" s="341">
        <f t="shared" si="80"/>
        <v>468.54064613895343</v>
      </c>
      <c r="AE528" s="1">
        <f t="shared" si="79"/>
        <v>307.81205601511681</v>
      </c>
    </row>
    <row r="529" spans="1:31" hidden="1" x14ac:dyDescent="0.25">
      <c r="A529" s="92" t="s">
        <v>308</v>
      </c>
      <c r="B529" s="92" t="s">
        <v>10</v>
      </c>
      <c r="C529" s="92" t="s">
        <v>18</v>
      </c>
      <c r="D529" s="92" t="s">
        <v>1512</v>
      </c>
      <c r="F529" s="92">
        <v>97</v>
      </c>
      <c r="J529">
        <v>480.857142857143</v>
      </c>
      <c r="W529" s="339">
        <f>+VLOOKUP(A529,infradensité!$A$2:$B$67,2,FALSE)</f>
        <v>0.36</v>
      </c>
      <c r="X529" s="339">
        <v>1.3</v>
      </c>
      <c r="Y529" s="340">
        <f t="shared" si="74"/>
        <v>225.04114285714292</v>
      </c>
      <c r="Z529" s="340">
        <f t="shared" si="76"/>
        <v>55.209104329514197</v>
      </c>
      <c r="AA529" s="95" t="str">
        <f t="shared" si="77"/>
        <v>Cèdre de l'Atlas_F2_Classique_INRA_97_</v>
      </c>
      <c r="AB529" s="1">
        <f t="shared" si="78"/>
        <v>97</v>
      </c>
      <c r="AC529" s="340">
        <f t="shared" si="75"/>
        <v>488.10251385009451</v>
      </c>
      <c r="AD529" s="341">
        <f t="shared" si="80"/>
        <v>481.58316151598638</v>
      </c>
      <c r="AE529" s="1">
        <f t="shared" si="79"/>
        <v>307.81205601511681</v>
      </c>
    </row>
    <row r="530" spans="1:31" hidden="1" x14ac:dyDescent="0.25">
      <c r="A530" s="92" t="s">
        <v>308</v>
      </c>
      <c r="B530" s="92" t="s">
        <v>10</v>
      </c>
      <c r="C530" s="92" t="s">
        <v>18</v>
      </c>
      <c r="D530" s="92" t="s">
        <v>1512</v>
      </c>
      <c r="F530" s="92">
        <v>98</v>
      </c>
      <c r="J530">
        <v>494.00000000000017</v>
      </c>
      <c r="W530" s="339">
        <f>+VLOOKUP(A530,infradensité!$A$2:$B$67,2,FALSE)</f>
        <v>0.36</v>
      </c>
      <c r="X530" s="339">
        <v>1.3</v>
      </c>
      <c r="Y530" s="340">
        <f t="shared" si="74"/>
        <v>231.19200000000006</v>
      </c>
      <c r="Z530" s="340">
        <f t="shared" si="76"/>
        <v>56.540342208595227</v>
      </c>
      <c r="AA530" s="95" t="str">
        <f t="shared" si="77"/>
        <v>Cèdre de l'Atlas_F2_Classique_INRA_98_</v>
      </c>
      <c r="AB530" s="1">
        <f t="shared" si="78"/>
        <v>98</v>
      </c>
      <c r="AC530" s="340">
        <f t="shared" si="75"/>
        <v>501.13382934663679</v>
      </c>
      <c r="AD530" s="341">
        <f t="shared" si="80"/>
        <v>494.61817159836562</v>
      </c>
      <c r="AE530" s="1">
        <f t="shared" si="79"/>
        <v>307.81205601511681</v>
      </c>
    </row>
    <row r="531" spans="1:31" hidden="1" x14ac:dyDescent="0.25">
      <c r="A531" s="92" t="s">
        <v>308</v>
      </c>
      <c r="B531" s="92" t="s">
        <v>10</v>
      </c>
      <c r="C531" s="92" t="s">
        <v>18</v>
      </c>
      <c r="D531" s="92" t="s">
        <v>1512</v>
      </c>
      <c r="F531" s="92">
        <v>99</v>
      </c>
      <c r="J531">
        <v>507.14285714285734</v>
      </c>
      <c r="W531" s="339">
        <f>+VLOOKUP(A531,infradensité!$A$2:$B$67,2,FALSE)</f>
        <v>0.36</v>
      </c>
      <c r="X531" s="339">
        <v>1.3</v>
      </c>
      <c r="Y531" s="340">
        <f t="shared" si="74"/>
        <v>237.34285714285721</v>
      </c>
      <c r="Z531" s="340">
        <f t="shared" si="76"/>
        <v>57.867463348638104</v>
      </c>
      <c r="AA531" s="95" t="str">
        <f t="shared" si="77"/>
        <v>Cèdre de l'Atlas_F2_Classique_INRA_99_</v>
      </c>
      <c r="AB531" s="1">
        <f t="shared" si="78"/>
        <v>99</v>
      </c>
      <c r="AC531" s="340">
        <f t="shared" si="75"/>
        <v>514.15797485602104</v>
      </c>
      <c r="AD531" s="341">
        <f t="shared" si="80"/>
        <v>507.64590210132894</v>
      </c>
      <c r="AE531" s="1">
        <f t="shared" si="79"/>
        <v>307.81205601511681</v>
      </c>
    </row>
    <row r="532" spans="1:31" hidden="1" x14ac:dyDescent="0.25">
      <c r="A532" s="92" t="s">
        <v>308</v>
      </c>
      <c r="B532" s="92" t="s">
        <v>10</v>
      </c>
      <c r="C532" s="92" t="s">
        <v>18</v>
      </c>
      <c r="D532" s="92" t="s">
        <v>1512</v>
      </c>
      <c r="F532" s="92">
        <v>100</v>
      </c>
      <c r="J532">
        <v>520.28571428571445</v>
      </c>
      <c r="W532" s="339">
        <f>+VLOOKUP(A532,infradensité!$A$2:$B$67,2,FALSE)</f>
        <v>0.36</v>
      </c>
      <c r="X532" s="339">
        <v>1.3</v>
      </c>
      <c r="Y532" s="340">
        <f t="shared" si="74"/>
        <v>243.49371428571433</v>
      </c>
      <c r="Z532" s="340">
        <f t="shared" si="76"/>
        <v>59.190586702852549</v>
      </c>
      <c r="AA532" s="95" t="str">
        <f t="shared" si="77"/>
        <v>Cèdre de l'Atlas_F2_Classique_INRA_100_</v>
      </c>
      <c r="AB532" s="1">
        <f t="shared" si="78"/>
        <v>100</v>
      </c>
      <c r="AC532" s="340">
        <f t="shared" si="75"/>
        <v>527.17515755508725</v>
      </c>
      <c r="AD532" s="341">
        <f t="shared" si="80"/>
        <v>520.66656620555409</v>
      </c>
      <c r="AE532" s="1">
        <f t="shared" si="79"/>
        <v>307.81205601511681</v>
      </c>
    </row>
    <row r="533" spans="1:31" hidden="1" x14ac:dyDescent="0.25">
      <c r="A533" s="92" t="s">
        <v>308</v>
      </c>
      <c r="B533" s="92" t="s">
        <v>10</v>
      </c>
      <c r="C533" s="92" t="s">
        <v>18</v>
      </c>
      <c r="D533" s="92" t="s">
        <v>1512</v>
      </c>
      <c r="F533" s="92">
        <v>101</v>
      </c>
      <c r="J533">
        <v>533.42857142857156</v>
      </c>
      <c r="W533" s="339">
        <f>+VLOOKUP(A533,infradensité!$A$2:$B$67,2,FALSE)</f>
        <v>0.36</v>
      </c>
      <c r="X533" s="339">
        <v>1.3</v>
      </c>
      <c r="Y533" s="340">
        <f t="shared" si="74"/>
        <v>249.64457142857148</v>
      </c>
      <c r="Z533" s="340">
        <f t="shared" si="76"/>
        <v>60.509824872268659</v>
      </c>
      <c r="AA533" s="95" t="str">
        <f t="shared" si="77"/>
        <v>Cèdre de l'Atlas_F2_Classique_INRA_101_</v>
      </c>
      <c r="AB533" s="1">
        <f t="shared" si="78"/>
        <v>101</v>
      </c>
      <c r="AC533" s="340">
        <f t="shared" si="75"/>
        <v>540.18557355729649</v>
      </c>
      <c r="AD533" s="341">
        <f t="shared" si="80"/>
        <v>533.68036555619187</v>
      </c>
      <c r="AE533" s="1">
        <f t="shared" si="79"/>
        <v>307.81205601511681</v>
      </c>
    </row>
    <row r="534" spans="1:31" hidden="1" x14ac:dyDescent="0.25">
      <c r="A534" s="92" t="s">
        <v>308</v>
      </c>
      <c r="B534" s="92" t="s">
        <v>10</v>
      </c>
      <c r="C534" s="92" t="s">
        <v>18</v>
      </c>
      <c r="D534" s="92" t="s">
        <v>1512</v>
      </c>
      <c r="F534" s="92">
        <v>102</v>
      </c>
      <c r="J534">
        <v>546.57142857142867</v>
      </c>
      <c r="W534" s="339">
        <f>+VLOOKUP(A534,infradensité!$A$2:$B$67,2,FALSE)</f>
        <v>0.36</v>
      </c>
      <c r="X534" s="339">
        <v>1.3</v>
      </c>
      <c r="Y534" s="340">
        <f t="shared" si="74"/>
        <v>255.7954285714286</v>
      </c>
      <c r="Z534" s="340">
        <f t="shared" si="76"/>
        <v>61.825284592977965</v>
      </c>
      <c r="AA534" s="95" t="str">
        <f t="shared" si="77"/>
        <v>Cèdre de l'Atlas_F2_Classique_INRA_102_</v>
      </c>
      <c r="AB534" s="1">
        <f t="shared" si="78"/>
        <v>102</v>
      </c>
      <c r="AC534" s="340">
        <f t="shared" si="75"/>
        <v>553.18940876134127</v>
      </c>
      <c r="AD534" s="341">
        <f t="shared" si="80"/>
        <v>546.68749115931882</v>
      </c>
      <c r="AE534" s="1">
        <f t="shared" si="79"/>
        <v>307.81205601511681</v>
      </c>
    </row>
    <row r="535" spans="1:31" hidden="1" x14ac:dyDescent="0.25">
      <c r="A535" s="92" t="s">
        <v>308</v>
      </c>
      <c r="B535" s="92" t="s">
        <v>10</v>
      </c>
      <c r="C535" s="92" t="s">
        <v>18</v>
      </c>
      <c r="D535" s="92" t="s">
        <v>1512</v>
      </c>
      <c r="F535" s="92">
        <v>103</v>
      </c>
      <c r="J535">
        <v>559.71428571428578</v>
      </c>
      <c r="W535" s="339">
        <f>+VLOOKUP(A535,infradensité!$A$2:$B$67,2,FALSE)</f>
        <v>0.36</v>
      </c>
      <c r="X535" s="339">
        <v>1.3</v>
      </c>
      <c r="Y535" s="340">
        <f t="shared" si="74"/>
        <v>261.94628571428575</v>
      </c>
      <c r="Z535" s="340">
        <f t="shared" si="76"/>
        <v>63.137067175190332</v>
      </c>
      <c r="AA535" s="95" t="str">
        <f t="shared" si="77"/>
        <v>Cèdre de l'Atlas_F2_Classique_INRA_103_</v>
      </c>
      <c r="AB535" s="1">
        <f t="shared" si="78"/>
        <v>103</v>
      </c>
      <c r="AC535" s="340">
        <f t="shared" si="75"/>
        <v>566.18683961583758</v>
      </c>
      <c r="AD535" s="341">
        <f t="shared" si="80"/>
        <v>559.68812418858943</v>
      </c>
      <c r="AE535" s="1">
        <f t="shared" si="79"/>
        <v>307.81205601511681</v>
      </c>
    </row>
    <row r="536" spans="1:31" hidden="1" x14ac:dyDescent="0.25">
      <c r="A536" s="92" t="s">
        <v>308</v>
      </c>
      <c r="B536" s="92" t="s">
        <v>10</v>
      </c>
      <c r="C536" s="92" t="s">
        <v>18</v>
      </c>
      <c r="D536" s="92" t="s">
        <v>1512</v>
      </c>
      <c r="F536" s="92">
        <v>104</v>
      </c>
      <c r="J536">
        <v>572.85714285714289</v>
      </c>
      <c r="W536" s="339">
        <f>+VLOOKUP(A536,infradensité!$A$2:$B$67,2,FALSE)</f>
        <v>0.36</v>
      </c>
      <c r="X536" s="339">
        <v>1.3</v>
      </c>
      <c r="Y536" s="340">
        <f t="shared" si="74"/>
        <v>268.09714285714284</v>
      </c>
      <c r="Z536" s="340">
        <f t="shared" si="76"/>
        <v>64.445268899889811</v>
      </c>
      <c r="AA536" s="95" t="str">
        <f t="shared" si="77"/>
        <v>Cèdre de l'Atlas_F2_Classique_INRA_104_</v>
      </c>
      <c r="AB536" s="1">
        <f t="shared" si="78"/>
        <v>104</v>
      </c>
      <c r="AC536" s="340">
        <f t="shared" si="75"/>
        <v>579.17803381016518</v>
      </c>
      <c r="AD536" s="341">
        <f t="shared" si="80"/>
        <v>572.68243671300138</v>
      </c>
      <c r="AE536" s="1">
        <f t="shared" si="79"/>
        <v>307.81205601511681</v>
      </c>
    </row>
    <row r="537" spans="1:31" hidden="1" x14ac:dyDescent="0.25">
      <c r="A537" s="92" t="s">
        <v>308</v>
      </c>
      <c r="B537" s="92" t="s">
        <v>10</v>
      </c>
      <c r="C537" s="92" t="s">
        <v>18</v>
      </c>
      <c r="D537" s="92" t="s">
        <v>1512</v>
      </c>
      <c r="F537" s="92">
        <v>105</v>
      </c>
      <c r="J537">
        <v>586</v>
      </c>
      <c r="W537" s="339">
        <f>+VLOOKUP(A537,infradensité!$A$2:$B$67,2,FALSE)</f>
        <v>0.36</v>
      </c>
      <c r="X537" s="339">
        <v>1.3</v>
      </c>
      <c r="Y537" s="340">
        <f t="shared" si="74"/>
        <v>274.24799999999999</v>
      </c>
      <c r="Z537" s="340">
        <f t="shared" si="76"/>
        <v>65.749981378063481</v>
      </c>
      <c r="AA537" s="95" t="str">
        <f t="shared" si="77"/>
        <v>Cèdre de l'Atlas_F2_Classique_INRA_105_</v>
      </c>
      <c r="AB537" s="1">
        <f t="shared" si="78"/>
        <v>105</v>
      </c>
      <c r="AC537" s="340">
        <f t="shared" si="75"/>
        <v>592.16315090012722</v>
      </c>
      <c r="AD537" s="341">
        <f t="shared" si="80"/>
        <v>585.67059235514625</v>
      </c>
      <c r="AE537" s="1">
        <f t="shared" si="79"/>
        <v>307.81205601511681</v>
      </c>
    </row>
    <row r="538" spans="1:31" hidden="1" x14ac:dyDescent="0.25">
      <c r="A538" s="92" t="s">
        <v>308</v>
      </c>
      <c r="B538" s="92" t="s">
        <v>10</v>
      </c>
      <c r="C538" s="92" t="s">
        <v>18</v>
      </c>
      <c r="D538" s="92" t="s">
        <v>1512</v>
      </c>
      <c r="F538" s="92">
        <v>106</v>
      </c>
      <c r="J538">
        <v>464</v>
      </c>
      <c r="W538" s="339">
        <f>+VLOOKUP(A538,infradensité!$A$2:$B$67,2,FALSE)</f>
        <v>0.36</v>
      </c>
      <c r="X538" s="339">
        <v>1.3</v>
      </c>
      <c r="Y538" s="340">
        <f t="shared" si="74"/>
        <v>217.15199999999999</v>
      </c>
      <c r="Z538" s="340">
        <f t="shared" si="76"/>
        <v>53.495418360394225</v>
      </c>
      <c r="AA538" s="95" t="str">
        <f t="shared" si="77"/>
        <v>Cèdre de l'Atlas_F2_Classique_INRA_106_</v>
      </c>
      <c r="AB538" s="1">
        <f t="shared" si="78"/>
        <v>106</v>
      </c>
      <c r="AC538" s="340">
        <f t="shared" si="75"/>
        <v>471.37758697768658</v>
      </c>
      <c r="AD538" s="341">
        <f t="shared" si="80"/>
        <v>531.77036893890693</v>
      </c>
      <c r="AE538" s="1">
        <f t="shared" si="79"/>
        <v>307.81205601511681</v>
      </c>
    </row>
    <row r="539" spans="1:31" hidden="1" x14ac:dyDescent="0.25">
      <c r="A539" s="92" t="s">
        <v>308</v>
      </c>
      <c r="B539" s="92" t="s">
        <v>10</v>
      </c>
      <c r="C539" s="92" t="s">
        <v>18</v>
      </c>
      <c r="D539" s="92" t="s">
        <v>1512</v>
      </c>
      <c r="F539" s="92">
        <v>107</v>
      </c>
      <c r="J539">
        <v>476.25</v>
      </c>
      <c r="W539" s="339">
        <f>+VLOOKUP(A539,infradensité!$A$2:$B$67,2,FALSE)</f>
        <v>0.36</v>
      </c>
      <c r="X539" s="339">
        <v>1.3</v>
      </c>
      <c r="Y539" s="340">
        <f t="shared" ref="Y539:Y602" si="81">+X539*W539*J539</f>
        <v>222.88499999999999</v>
      </c>
      <c r="Z539" s="340">
        <f t="shared" si="76"/>
        <v>54.74144996985298</v>
      </c>
      <c r="AA539" s="95" t="str">
        <f t="shared" si="77"/>
        <v>Cèdre de l'Atlas_F2_Classique_INRA_107_</v>
      </c>
      <c r="AB539" s="1">
        <f t="shared" si="78"/>
        <v>107</v>
      </c>
      <c r="AC539" s="340">
        <f t="shared" ref="AC539:AC602" si="82">+(Z539+Y539)*0.475*44/12</f>
        <v>483.53273369749394</v>
      </c>
      <c r="AD539" s="341">
        <f t="shared" si="80"/>
        <v>477.45516033759026</v>
      </c>
      <c r="AE539" s="1">
        <f t="shared" si="79"/>
        <v>307.81205601511681</v>
      </c>
    </row>
    <row r="540" spans="1:31" hidden="1" x14ac:dyDescent="0.25">
      <c r="A540" s="92" t="s">
        <v>308</v>
      </c>
      <c r="B540" s="92" t="s">
        <v>10</v>
      </c>
      <c r="C540" s="92" t="s">
        <v>18</v>
      </c>
      <c r="D540" s="92" t="s">
        <v>1512</v>
      </c>
      <c r="F540" s="92">
        <v>108</v>
      </c>
      <c r="J540">
        <v>488.5</v>
      </c>
      <c r="W540" s="339">
        <f>+VLOOKUP(A540,infradensité!$A$2:$B$67,2,FALSE)</f>
        <v>0.36</v>
      </c>
      <c r="X540" s="339">
        <v>1.3</v>
      </c>
      <c r="Y540" s="340">
        <f t="shared" si="81"/>
        <v>228.61799999999999</v>
      </c>
      <c r="Z540" s="340">
        <f t="shared" ref="Z540:Z603" si="83">+EXP(-1.0587+0.8836*LN(Y540)+0.284)</f>
        <v>55.983756086143778</v>
      </c>
      <c r="AA540" s="95" t="str">
        <f t="shared" si="77"/>
        <v>Cèdre de l'Atlas_F2_Classique_INRA_108_</v>
      </c>
      <c r="AB540" s="1">
        <f t="shared" si="78"/>
        <v>108</v>
      </c>
      <c r="AC540" s="340">
        <f t="shared" si="82"/>
        <v>495.68139185003378</v>
      </c>
      <c r="AD540" s="341">
        <f t="shared" si="80"/>
        <v>489.60706277376386</v>
      </c>
      <c r="AE540" s="1">
        <f t="shared" si="79"/>
        <v>307.81205601511681</v>
      </c>
    </row>
    <row r="541" spans="1:31" hidden="1" x14ac:dyDescent="0.25">
      <c r="A541" s="92" t="s">
        <v>308</v>
      </c>
      <c r="B541" s="92" t="s">
        <v>10</v>
      </c>
      <c r="C541" s="92" t="s">
        <v>18</v>
      </c>
      <c r="D541" s="92" t="s">
        <v>1512</v>
      </c>
      <c r="F541" s="92">
        <v>109</v>
      </c>
      <c r="J541">
        <v>500.75</v>
      </c>
      <c r="W541" s="339">
        <f>+VLOOKUP(A541,infradensité!$A$2:$B$67,2,FALSE)</f>
        <v>0.36</v>
      </c>
      <c r="X541" s="339">
        <v>1.3</v>
      </c>
      <c r="Y541" s="340">
        <f t="shared" si="81"/>
        <v>234.351</v>
      </c>
      <c r="Z541" s="340">
        <f t="shared" si="83"/>
        <v>57.222440877075861</v>
      </c>
      <c r="AA541" s="95" t="str">
        <f t="shared" si="77"/>
        <v>Cèdre de l'Atlas_F2_Classique_INRA_109_</v>
      </c>
      <c r="AB541" s="1">
        <f t="shared" si="78"/>
        <v>109</v>
      </c>
      <c r="AC541" s="340">
        <f t="shared" si="82"/>
        <v>507.82374286090709</v>
      </c>
      <c r="AD541" s="341">
        <f t="shared" si="80"/>
        <v>501.75256735547043</v>
      </c>
      <c r="AE541" s="1">
        <f t="shared" si="79"/>
        <v>307.81205601511681</v>
      </c>
    </row>
    <row r="542" spans="1:31" hidden="1" x14ac:dyDescent="0.25">
      <c r="A542" s="92" t="s">
        <v>308</v>
      </c>
      <c r="B542" s="92" t="s">
        <v>10</v>
      </c>
      <c r="C542" s="92" t="s">
        <v>18</v>
      </c>
      <c r="D542" s="92" t="s">
        <v>1512</v>
      </c>
      <c r="F542" s="92">
        <v>110</v>
      </c>
      <c r="J542">
        <v>513</v>
      </c>
      <c r="W542" s="339">
        <f>+VLOOKUP(A542,infradensité!$A$2:$B$67,2,FALSE)</f>
        <v>0.36</v>
      </c>
      <c r="X542" s="339">
        <v>1.3</v>
      </c>
      <c r="Y542" s="340">
        <f t="shared" si="81"/>
        <v>240.08399999999997</v>
      </c>
      <c r="Z542" s="340">
        <f t="shared" si="83"/>
        <v>58.457603123312154</v>
      </c>
      <c r="AA542" s="95" t="str">
        <f t="shared" si="77"/>
        <v>Cèdre de l'Atlas_F2_Classique_INRA_110_</v>
      </c>
      <c r="AB542" s="1">
        <f t="shared" si="78"/>
        <v>110</v>
      </c>
      <c r="AC542" s="340">
        <f t="shared" si="82"/>
        <v>519.9599587731019</v>
      </c>
      <c r="AD542" s="341">
        <f t="shared" si="80"/>
        <v>513.89185081700452</v>
      </c>
      <c r="AE542" s="1">
        <f t="shared" si="79"/>
        <v>307.81205601511681</v>
      </c>
    </row>
    <row r="543" spans="1:31" hidden="1" x14ac:dyDescent="0.25">
      <c r="A543" s="92" t="s">
        <v>367</v>
      </c>
      <c r="B543" s="92" t="s">
        <v>9</v>
      </c>
      <c r="C543" s="92" t="s">
        <v>18</v>
      </c>
      <c r="D543" s="92" t="s">
        <v>1513</v>
      </c>
      <c r="F543" s="92">
        <v>0</v>
      </c>
      <c r="J543" s="4">
        <v>0</v>
      </c>
      <c r="W543" s="339">
        <f>+VLOOKUP(A543,infradensité!$A$2:$B$67,2,FALSE)</f>
        <v>0.45</v>
      </c>
      <c r="X543" s="339">
        <v>1.3</v>
      </c>
      <c r="Y543" s="340">
        <f t="shared" si="81"/>
        <v>0</v>
      </c>
      <c r="Z543" s="340" t="e">
        <f t="shared" si="83"/>
        <v>#NUM!</v>
      </c>
      <c r="AA543" s="95" t="str">
        <f t="shared" si="77"/>
        <v>Pin d'Alep_F1_Classique_ONF 1993_0_</v>
      </c>
      <c r="AB543" s="1">
        <f t="shared" si="78"/>
        <v>0</v>
      </c>
      <c r="AC543" s="340">
        <v>0</v>
      </c>
      <c r="AD543" s="341">
        <f t="shared" si="80"/>
        <v>0</v>
      </c>
      <c r="AE543" s="1">
        <f>+SUM($AD$543:$AD$623)/80</f>
        <v>152.52304942019458</v>
      </c>
    </row>
    <row r="544" spans="1:31" hidden="1" x14ac:dyDescent="0.25">
      <c r="A544" s="92" t="s">
        <v>367</v>
      </c>
      <c r="B544" s="92" t="s">
        <v>9</v>
      </c>
      <c r="C544" s="92" t="s">
        <v>18</v>
      </c>
      <c r="D544" s="92" t="s">
        <v>1513</v>
      </c>
      <c r="F544">
        <v>1</v>
      </c>
      <c r="J544" s="349">
        <v>0.88069135802466247</v>
      </c>
      <c r="W544" s="339">
        <f>+VLOOKUP(A544,infradensité!$A$2:$B$67,2,FALSE)</f>
        <v>0.45</v>
      </c>
      <c r="X544" s="339">
        <v>1.3</v>
      </c>
      <c r="Y544" s="340">
        <f t="shared" si="81"/>
        <v>0.51520444444442759</v>
      </c>
      <c r="Z544" s="340">
        <f t="shared" si="83"/>
        <v>0.25648220587142395</v>
      </c>
      <c r="AA544" s="95" t="str">
        <f t="shared" si="77"/>
        <v>Pin d'Alep_F1_Classique_ONF 1993_1_</v>
      </c>
      <c r="AB544" s="1">
        <f t="shared" si="78"/>
        <v>1</v>
      </c>
      <c r="AC544" s="340">
        <f t="shared" si="82"/>
        <v>1.3440209159667746</v>
      </c>
      <c r="AD544" s="341">
        <f t="shared" si="80"/>
        <v>0.67201045798338732</v>
      </c>
      <c r="AE544" s="1">
        <f t="shared" ref="AE544:AE607" si="84">+SUM($AD$543:$AD$623)/80</f>
        <v>152.52304942019458</v>
      </c>
    </row>
    <row r="545" spans="1:31" hidden="1" x14ac:dyDescent="0.25">
      <c r="A545" s="92" t="s">
        <v>367</v>
      </c>
      <c r="B545" s="92" t="s">
        <v>9</v>
      </c>
      <c r="C545" s="92" t="s">
        <v>18</v>
      </c>
      <c r="D545" s="92" t="s">
        <v>1513</v>
      </c>
      <c r="F545">
        <v>2</v>
      </c>
      <c r="J545" s="349">
        <v>2.0277530864197235</v>
      </c>
      <c r="W545" s="339">
        <f>+VLOOKUP(A545,infradensité!$A$2:$B$67,2,FALSE)</f>
        <v>0.45</v>
      </c>
      <c r="X545" s="339">
        <v>1.3</v>
      </c>
      <c r="Y545" s="340">
        <f t="shared" si="81"/>
        <v>1.1862355555555384</v>
      </c>
      <c r="Z545" s="340">
        <f t="shared" si="83"/>
        <v>0.53590709273254744</v>
      </c>
      <c r="AA545" s="95" t="str">
        <f t="shared" si="77"/>
        <v>Pin d'Alep_F1_Classique_ONF 1993_2_</v>
      </c>
      <c r="AB545" s="1">
        <f t="shared" si="78"/>
        <v>2</v>
      </c>
      <c r="AC545" s="340">
        <f t="shared" si="82"/>
        <v>2.9993984457684157</v>
      </c>
      <c r="AD545" s="341">
        <f t="shared" si="80"/>
        <v>2.1717096808675951</v>
      </c>
      <c r="AE545" s="1">
        <f t="shared" si="84"/>
        <v>152.52304942019458</v>
      </c>
    </row>
    <row r="546" spans="1:31" hidden="1" x14ac:dyDescent="0.25">
      <c r="A546" s="92" t="s">
        <v>367</v>
      </c>
      <c r="B546" s="92" t="s">
        <v>9</v>
      </c>
      <c r="C546" s="92" t="s">
        <v>18</v>
      </c>
      <c r="D546" s="92" t="s">
        <v>1513</v>
      </c>
      <c r="F546">
        <v>3</v>
      </c>
      <c r="J546" s="349">
        <v>3.4319999999999702</v>
      </c>
      <c r="W546" s="339">
        <f>+VLOOKUP(A546,infradensité!$A$2:$B$67,2,FALSE)</f>
        <v>0.45</v>
      </c>
      <c r="X546" s="339">
        <v>1.3</v>
      </c>
      <c r="Y546" s="340">
        <f t="shared" si="81"/>
        <v>2.0077199999999826</v>
      </c>
      <c r="Z546" s="340">
        <f t="shared" si="83"/>
        <v>0.85314050961115351</v>
      </c>
      <c r="AA546" s="95" t="str">
        <f t="shared" si="77"/>
        <v>Pin d'Alep_F1_Classique_ONF 1993_3_</v>
      </c>
      <c r="AB546" s="1">
        <f t="shared" si="78"/>
        <v>3</v>
      </c>
      <c r="AC546" s="340">
        <f t="shared" si="82"/>
        <v>4.9826653875727294</v>
      </c>
      <c r="AD546" s="341">
        <f t="shared" si="80"/>
        <v>3.9910319166705728</v>
      </c>
      <c r="AE546" s="1">
        <f t="shared" si="84"/>
        <v>152.52304942019458</v>
      </c>
    </row>
    <row r="547" spans="1:31" hidden="1" x14ac:dyDescent="0.25">
      <c r="A547" s="92" t="s">
        <v>367</v>
      </c>
      <c r="B547" s="92" t="s">
        <v>9</v>
      </c>
      <c r="C547" s="92" t="s">
        <v>18</v>
      </c>
      <c r="D547" s="92" t="s">
        <v>1513</v>
      </c>
      <c r="F547">
        <v>4</v>
      </c>
      <c r="J547" s="349">
        <v>5.0842469135802162</v>
      </c>
      <c r="W547" s="339">
        <f>+VLOOKUP(A547,infradensité!$A$2:$B$67,2,FALSE)</f>
        <v>0.45</v>
      </c>
      <c r="X547" s="339">
        <v>1.3</v>
      </c>
      <c r="Y547" s="340">
        <f t="shared" si="81"/>
        <v>2.974284444444427</v>
      </c>
      <c r="Z547" s="340">
        <f t="shared" si="83"/>
        <v>1.2073490414329346</v>
      </c>
      <c r="AA547" s="95" t="str">
        <f t="shared" si="77"/>
        <v>Pin d'Alep_F1_Classique_ONF 1993_4_</v>
      </c>
      <c r="AB547" s="1">
        <f t="shared" si="78"/>
        <v>4</v>
      </c>
      <c r="AC547" s="340">
        <f t="shared" si="82"/>
        <v>7.2830116545697372</v>
      </c>
      <c r="AD547" s="341">
        <f t="shared" si="80"/>
        <v>6.1328385210712337</v>
      </c>
      <c r="AE547" s="1">
        <f t="shared" si="84"/>
        <v>152.52304942019458</v>
      </c>
    </row>
    <row r="548" spans="1:31" hidden="1" x14ac:dyDescent="0.25">
      <c r="A548" s="92" t="s">
        <v>367</v>
      </c>
      <c r="B548" s="92" t="s">
        <v>9</v>
      </c>
      <c r="C548" s="92" t="s">
        <v>18</v>
      </c>
      <c r="D548" s="92" t="s">
        <v>1513</v>
      </c>
      <c r="F548">
        <v>5</v>
      </c>
      <c r="J548" s="349">
        <v>6.9753086419752783</v>
      </c>
      <c r="W548" s="339">
        <f>+VLOOKUP(A548,infradensité!$A$2:$B$67,2,FALSE)</f>
        <v>0.45</v>
      </c>
      <c r="X548" s="339">
        <v>1.3</v>
      </c>
      <c r="Y548" s="340">
        <f t="shared" si="81"/>
        <v>4.0805555555555379</v>
      </c>
      <c r="Z548" s="340">
        <f t="shared" si="83"/>
        <v>1.5965540799669489</v>
      </c>
      <c r="AA548" s="95" t="str">
        <f t="shared" si="77"/>
        <v>Pin d'Alep_F1_Classique_ONF 1993_5_</v>
      </c>
      <c r="AB548" s="1">
        <f t="shared" si="78"/>
        <v>5</v>
      </c>
      <c r="AC548" s="340">
        <f t="shared" si="82"/>
        <v>9.8876326152016638</v>
      </c>
      <c r="AD548" s="341">
        <f t="shared" si="80"/>
        <v>8.5853221348857005</v>
      </c>
      <c r="AE548" s="1">
        <f t="shared" si="84"/>
        <v>152.52304942019458</v>
      </c>
    </row>
    <row r="549" spans="1:31" hidden="1" x14ac:dyDescent="0.25">
      <c r="A549" s="92" t="s">
        <v>367</v>
      </c>
      <c r="B549" s="92" t="s">
        <v>9</v>
      </c>
      <c r="C549" s="92" t="s">
        <v>18</v>
      </c>
      <c r="D549" s="92" t="s">
        <v>1513</v>
      </c>
      <c r="F549">
        <v>6</v>
      </c>
      <c r="J549" s="349">
        <v>9.0959999999999681</v>
      </c>
      <c r="W549" s="339">
        <f>+VLOOKUP(A549,infradensité!$A$2:$B$67,2,FALSE)</f>
        <v>0.45</v>
      </c>
      <c r="X549" s="339">
        <v>1.3</v>
      </c>
      <c r="Y549" s="340">
        <f t="shared" si="81"/>
        <v>5.3211599999999821</v>
      </c>
      <c r="Z549" s="340">
        <f t="shared" si="83"/>
        <v>2.0186045472659542</v>
      </c>
      <c r="AA549" s="95" t="str">
        <f t="shared" si="77"/>
        <v>Pin d'Alep_F1_Classique_ONF 1993_6_</v>
      </c>
      <c r="AB549" s="1">
        <f t="shared" si="78"/>
        <v>6</v>
      </c>
      <c r="AC549" s="340">
        <f t="shared" si="82"/>
        <v>12.783423253154838</v>
      </c>
      <c r="AD549" s="341">
        <f t="shared" si="80"/>
        <v>11.335527934178252</v>
      </c>
      <c r="AE549" s="1">
        <f t="shared" si="84"/>
        <v>152.52304942019458</v>
      </c>
    </row>
    <row r="550" spans="1:31" hidden="1" x14ac:dyDescent="0.25">
      <c r="A550" s="92" t="s">
        <v>367</v>
      </c>
      <c r="B550" s="92" t="s">
        <v>9</v>
      </c>
      <c r="C550" s="92" t="s">
        <v>18</v>
      </c>
      <c r="D550" s="92" t="s">
        <v>1513</v>
      </c>
      <c r="F550">
        <v>7</v>
      </c>
      <c r="J550" s="349">
        <v>11.437135802469104</v>
      </c>
      <c r="W550" s="339">
        <f>+VLOOKUP(A550,infradensité!$A$2:$B$67,2,FALSE)</f>
        <v>0.45</v>
      </c>
      <c r="X550" s="339">
        <v>1.3</v>
      </c>
      <c r="Y550" s="340">
        <f t="shared" si="81"/>
        <v>6.6907244444444265</v>
      </c>
      <c r="Z550" s="340">
        <f t="shared" si="83"/>
        <v>2.4713834547694797</v>
      </c>
      <c r="AA550" s="95" t="str">
        <f t="shared" si="77"/>
        <v>Pin d'Alep_F1_Classique_ONF 1993_7_</v>
      </c>
      <c r="AB550" s="1">
        <f t="shared" si="78"/>
        <v>7</v>
      </c>
      <c r="AC550" s="340">
        <f t="shared" si="82"/>
        <v>15.95733792446422</v>
      </c>
      <c r="AD550" s="341">
        <f t="shared" si="80"/>
        <v>14.370380588809528</v>
      </c>
      <c r="AE550" s="1">
        <f t="shared" si="84"/>
        <v>152.52304942019458</v>
      </c>
    </row>
    <row r="551" spans="1:31" hidden="1" x14ac:dyDescent="0.25">
      <c r="A551" s="92" t="s">
        <v>367</v>
      </c>
      <c r="B551" s="92" t="s">
        <v>9</v>
      </c>
      <c r="C551" s="92" t="s">
        <v>18</v>
      </c>
      <c r="D551" s="92" t="s">
        <v>1513</v>
      </c>
      <c r="F551">
        <v>8</v>
      </c>
      <c r="J551" s="349">
        <v>13.989530864197501</v>
      </c>
      <c r="W551" s="339">
        <f>+VLOOKUP(A551,infradensité!$A$2:$B$67,2,FALSE)</f>
        <v>0.45</v>
      </c>
      <c r="X551" s="339">
        <v>1.3</v>
      </c>
      <c r="Y551" s="340">
        <f t="shared" si="81"/>
        <v>8.1838755555555398</v>
      </c>
      <c r="Z551" s="340">
        <f t="shared" si="83"/>
        <v>2.9528586083900641</v>
      </c>
      <c r="AA551" s="95" t="str">
        <f t="shared" si="77"/>
        <v>Pin d'Alep_F1_Classique_ONF 1993_8_</v>
      </c>
      <c r="AB551" s="1">
        <f t="shared" si="78"/>
        <v>8</v>
      </c>
      <c r="AC551" s="340">
        <f t="shared" si="82"/>
        <v>19.396478668871925</v>
      </c>
      <c r="AD551" s="341">
        <f t="shared" si="80"/>
        <v>17.676908296668074</v>
      </c>
      <c r="AE551" s="1">
        <f t="shared" si="84"/>
        <v>152.52304942019458</v>
      </c>
    </row>
    <row r="552" spans="1:31" hidden="1" x14ac:dyDescent="0.25">
      <c r="A552" s="92" t="s">
        <v>367</v>
      </c>
      <c r="B552" s="92" t="s">
        <v>9</v>
      </c>
      <c r="C552" s="92" t="s">
        <v>18</v>
      </c>
      <c r="D552" s="92" t="s">
        <v>1513</v>
      </c>
      <c r="F552">
        <v>9</v>
      </c>
      <c r="J552" s="349">
        <v>16.743999999999968</v>
      </c>
      <c r="W552" s="339">
        <f>+VLOOKUP(A552,infradensité!$A$2:$B$67,2,FALSE)</f>
        <v>0.45</v>
      </c>
      <c r="X552" s="339">
        <v>1.3</v>
      </c>
      <c r="Y552" s="340">
        <f t="shared" si="81"/>
        <v>9.795239999999982</v>
      </c>
      <c r="Z552" s="340">
        <f t="shared" si="83"/>
        <v>3.4610907829617807</v>
      </c>
      <c r="AA552" s="95" t="str">
        <f t="shared" si="77"/>
        <v>Pin d'Alep_F1_Classique_ONF 1993_9_</v>
      </c>
      <c r="AB552" s="1">
        <f t="shared" si="78"/>
        <v>9</v>
      </c>
      <c r="AC552" s="340">
        <f t="shared" si="82"/>
        <v>23.088109446991737</v>
      </c>
      <c r="AD552" s="341">
        <f t="shared" si="80"/>
        <v>21.242294057931829</v>
      </c>
      <c r="AE552" s="1">
        <f t="shared" si="84"/>
        <v>152.52304942019458</v>
      </c>
    </row>
    <row r="553" spans="1:31" hidden="1" x14ac:dyDescent="0.25">
      <c r="A553" s="92" t="s">
        <v>367</v>
      </c>
      <c r="B553" s="92" t="s">
        <v>9</v>
      </c>
      <c r="C553" s="92" t="s">
        <v>18</v>
      </c>
      <c r="D553" s="92" t="s">
        <v>1513</v>
      </c>
      <c r="F553">
        <v>10</v>
      </c>
      <c r="J553" s="349">
        <v>19.691358024691326</v>
      </c>
      <c r="W553" s="339">
        <f>+VLOOKUP(A553,infradensité!$A$2:$B$67,2,FALSE)</f>
        <v>0.45</v>
      </c>
      <c r="X553" s="339">
        <v>1.3</v>
      </c>
      <c r="Y553" s="340">
        <f t="shared" si="81"/>
        <v>11.519444444444426</v>
      </c>
      <c r="Z553" s="340">
        <f t="shared" si="83"/>
        <v>3.9942290764110404</v>
      </c>
      <c r="AA553" s="95" t="str">
        <f t="shared" si="77"/>
        <v>Pin d'Alep_F1_Classique_ONF 1993_10_</v>
      </c>
      <c r="AB553" s="1">
        <f t="shared" si="78"/>
        <v>10</v>
      </c>
      <c r="AC553" s="340">
        <f t="shared" si="82"/>
        <v>27.019648048823267</v>
      </c>
      <c r="AD553" s="341">
        <f t="shared" si="80"/>
        <v>25.053878747907504</v>
      </c>
      <c r="AE553" s="1">
        <f t="shared" si="84"/>
        <v>152.52304942019458</v>
      </c>
    </row>
    <row r="554" spans="1:31" hidden="1" x14ac:dyDescent="0.25">
      <c r="A554" s="92" t="s">
        <v>367</v>
      </c>
      <c r="B554" s="92" t="s">
        <v>9</v>
      </c>
      <c r="C554" s="92" t="s">
        <v>18</v>
      </c>
      <c r="D554" s="92" t="s">
        <v>1513</v>
      </c>
      <c r="F554">
        <v>11</v>
      </c>
      <c r="J554" s="349">
        <v>22.822419753086386</v>
      </c>
      <c r="W554" s="339">
        <f>+VLOOKUP(A554,infradensité!$A$2:$B$67,2,FALSE)</f>
        <v>0.45</v>
      </c>
      <c r="X554" s="339">
        <v>1.3</v>
      </c>
      <c r="Y554" s="340">
        <f t="shared" si="81"/>
        <v>13.351115555555538</v>
      </c>
      <c r="Z554" s="340">
        <f t="shared" si="83"/>
        <v>4.5505026989129114</v>
      </c>
      <c r="AA554" s="95" t="str">
        <f t="shared" si="77"/>
        <v>Pin d'Alep_F1_Classique_ONF 1993_11_</v>
      </c>
      <c r="AB554" s="1">
        <f t="shared" si="78"/>
        <v>11</v>
      </c>
      <c r="AC554" s="340">
        <f t="shared" si="82"/>
        <v>31.178651793199219</v>
      </c>
      <c r="AD554" s="341">
        <f t="shared" si="80"/>
        <v>29.099149921011243</v>
      </c>
      <c r="AE554" s="1">
        <f t="shared" si="84"/>
        <v>152.52304942019458</v>
      </c>
    </row>
    <row r="555" spans="1:31" hidden="1" x14ac:dyDescent="0.25">
      <c r="A555" s="92" t="s">
        <v>367</v>
      </c>
      <c r="B555" s="92" t="s">
        <v>9</v>
      </c>
      <c r="C555" s="92" t="s">
        <v>18</v>
      </c>
      <c r="D555" s="92" t="s">
        <v>1513</v>
      </c>
      <c r="F555">
        <v>12</v>
      </c>
      <c r="J555" s="349">
        <v>26.127999999999968</v>
      </c>
      <c r="W555" s="339">
        <f>+VLOOKUP(A555,infradensité!$A$2:$B$67,2,FALSE)</f>
        <v>0.45</v>
      </c>
      <c r="X555" s="339">
        <v>1.3</v>
      </c>
      <c r="Y555" s="340">
        <f t="shared" si="81"/>
        <v>15.284879999999983</v>
      </c>
      <c r="Z555" s="340">
        <f t="shared" si="83"/>
        <v>5.1282123194830858</v>
      </c>
      <c r="AA555" s="95" t="str">
        <f t="shared" si="77"/>
        <v>Pin d'Alep_F1_Classique_ONF 1993_12_</v>
      </c>
      <c r="AB555" s="1">
        <f t="shared" si="78"/>
        <v>12</v>
      </c>
      <c r="AC555" s="340">
        <f t="shared" si="82"/>
        <v>35.552802456433007</v>
      </c>
      <c r="AD555" s="341">
        <f t="shared" si="80"/>
        <v>33.365727124816111</v>
      </c>
      <c r="AE555" s="1">
        <f t="shared" si="84"/>
        <v>152.52304942019458</v>
      </c>
    </row>
    <row r="556" spans="1:31" hidden="1" x14ac:dyDescent="0.25">
      <c r="A556" s="92" t="s">
        <v>367</v>
      </c>
      <c r="B556" s="92" t="s">
        <v>9</v>
      </c>
      <c r="C556" s="92" t="s">
        <v>18</v>
      </c>
      <c r="D556" s="92" t="s">
        <v>1513</v>
      </c>
      <c r="F556">
        <v>13</v>
      </c>
      <c r="J556" s="349">
        <v>29.598913580246883</v>
      </c>
      <c r="W556" s="339">
        <f>+VLOOKUP(A556,infradensité!$A$2:$B$67,2,FALSE)</f>
        <v>0.45</v>
      </c>
      <c r="X556" s="339">
        <v>1.3</v>
      </c>
      <c r="Y556" s="340">
        <f t="shared" si="81"/>
        <v>17.31536444444443</v>
      </c>
      <c r="Z556" s="340">
        <f t="shared" si="83"/>
        <v>5.7257220152185715</v>
      </c>
      <c r="AA556" s="95" t="str">
        <f t="shared" si="77"/>
        <v>Pin d'Alep_F1_Classique_ONF 1993_13_</v>
      </c>
      <c r="AB556" s="1">
        <f t="shared" si="78"/>
        <v>13</v>
      </c>
      <c r="AC556" s="340">
        <f t="shared" si="82"/>
        <v>40.129892250579729</v>
      </c>
      <c r="AD556" s="341">
        <f t="shared" si="80"/>
        <v>37.841347353506364</v>
      </c>
      <c r="AE556" s="1">
        <f t="shared" si="84"/>
        <v>152.52304942019458</v>
      </c>
    </row>
    <row r="557" spans="1:31" hidden="1" x14ac:dyDescent="0.25">
      <c r="A557" s="92" t="s">
        <v>367</v>
      </c>
      <c r="B557" s="92" t="s">
        <v>9</v>
      </c>
      <c r="C557" s="92" t="s">
        <v>18</v>
      </c>
      <c r="D557" s="92" t="s">
        <v>1513</v>
      </c>
      <c r="F557">
        <v>14</v>
      </c>
      <c r="J557" s="349">
        <v>33.225975308641942</v>
      </c>
      <c r="W557" s="339">
        <f>+VLOOKUP(A557,infradensité!$A$2:$B$67,2,FALSE)</f>
        <v>0.45</v>
      </c>
      <c r="X557" s="339">
        <v>1.3</v>
      </c>
      <c r="Y557" s="340">
        <f t="shared" si="81"/>
        <v>19.43719555555554</v>
      </c>
      <c r="Z557" s="340">
        <f t="shared" si="83"/>
        <v>6.341452115530954</v>
      </c>
      <c r="AA557" s="95" t="str">
        <f t="shared" ref="AA557:AA620" si="85">+_xlfn.CONCAT(A557,"_",B557,"_",C557,"_",D557,"_",AB557,"_")</f>
        <v>Pin d'Alep_F1_Classique_ONF 1993_14_</v>
      </c>
      <c r="AB557" s="1">
        <f t="shared" ref="AB557:AB620" si="86">F557</f>
        <v>14</v>
      </c>
      <c r="AC557" s="340">
        <f t="shared" si="82"/>
        <v>44.89781136047565</v>
      </c>
      <c r="AD557" s="341">
        <f t="shared" si="80"/>
        <v>42.513851805527693</v>
      </c>
      <c r="AE557" s="1">
        <f t="shared" si="84"/>
        <v>152.52304942019458</v>
      </c>
    </row>
    <row r="558" spans="1:31" hidden="1" x14ac:dyDescent="0.25">
      <c r="A558" s="92" t="s">
        <v>367</v>
      </c>
      <c r="B558" s="92" t="s">
        <v>9</v>
      </c>
      <c r="C558" s="92" t="s">
        <v>18</v>
      </c>
      <c r="D558" s="92" t="s">
        <v>1513</v>
      </c>
      <c r="F558">
        <v>15</v>
      </c>
      <c r="J558" s="349">
        <v>36.999999999999972</v>
      </c>
      <c r="W558" s="339">
        <f>+VLOOKUP(A558,infradensité!$A$2:$B$67,2,FALSE)</f>
        <v>0.45</v>
      </c>
      <c r="X558" s="339">
        <v>1.3</v>
      </c>
      <c r="Y558" s="340">
        <f t="shared" si="81"/>
        <v>21.644999999999985</v>
      </c>
      <c r="Z558" s="340">
        <f t="shared" si="83"/>
        <v>6.9738729562485036</v>
      </c>
      <c r="AA558" s="95" t="str">
        <f t="shared" si="85"/>
        <v>Pin d'Alep_F1_Classique_ONF 1993_15_</v>
      </c>
      <c r="AB558" s="1">
        <f t="shared" si="86"/>
        <v>15</v>
      </c>
      <c r="AC558" s="340">
        <f t="shared" si="82"/>
        <v>49.844537065466113</v>
      </c>
      <c r="AD558" s="341">
        <f t="shared" si="80"/>
        <v>47.371174212970885</v>
      </c>
      <c r="AE558" s="1">
        <f t="shared" si="84"/>
        <v>152.52304942019458</v>
      </c>
    </row>
    <row r="559" spans="1:31" hidden="1" x14ac:dyDescent="0.25">
      <c r="A559" s="92" t="s">
        <v>367</v>
      </c>
      <c r="B559" s="92" t="s">
        <v>9</v>
      </c>
      <c r="C559" s="92" t="s">
        <v>18</v>
      </c>
      <c r="D559" s="92" t="s">
        <v>1513</v>
      </c>
      <c r="F559">
        <v>16</v>
      </c>
      <c r="J559" s="349">
        <v>40.911802469135772</v>
      </c>
      <c r="W559" s="339">
        <f>+VLOOKUP(A559,infradensité!$A$2:$B$67,2,FALSE)</f>
        <v>0.45</v>
      </c>
      <c r="X559" s="339">
        <v>1.3</v>
      </c>
      <c r="Y559" s="340">
        <f t="shared" si="81"/>
        <v>23.933404444444431</v>
      </c>
      <c r="Z559" s="340">
        <f t="shared" si="83"/>
        <v>7.6214994620549597</v>
      </c>
      <c r="AA559" s="95" t="str">
        <f t="shared" si="85"/>
        <v>Pin d'Alep_F1_Classique_ONF 1993_16_</v>
      </c>
      <c r="AB559" s="1">
        <f t="shared" si="86"/>
        <v>16</v>
      </c>
      <c r="AC559" s="340">
        <f t="shared" si="82"/>
        <v>54.958124303819766</v>
      </c>
      <c r="AD559" s="341">
        <f t="shared" si="80"/>
        <v>52.401330684642943</v>
      </c>
      <c r="AE559" s="1">
        <f t="shared" si="84"/>
        <v>152.52304942019458</v>
      </c>
    </row>
    <row r="560" spans="1:31" hidden="1" x14ac:dyDescent="0.25">
      <c r="A560" s="92" t="s">
        <v>367</v>
      </c>
      <c r="B560" s="92" t="s">
        <v>9</v>
      </c>
      <c r="C560" s="92" t="s">
        <v>18</v>
      </c>
      <c r="D560" s="92" t="s">
        <v>1513</v>
      </c>
      <c r="F560">
        <v>17</v>
      </c>
      <c r="J560" s="349">
        <v>44.952197530864161</v>
      </c>
      <c r="W560" s="339">
        <f>+VLOOKUP(A560,infradensité!$A$2:$B$67,2,FALSE)</f>
        <v>0.45</v>
      </c>
      <c r="X560" s="339">
        <v>1.3</v>
      </c>
      <c r="Y560" s="340">
        <f t="shared" si="81"/>
        <v>26.297035555555539</v>
      </c>
      <c r="Z560" s="340">
        <f t="shared" si="83"/>
        <v>8.2828864501012465</v>
      </c>
      <c r="AA560" s="95" t="str">
        <f t="shared" si="85"/>
        <v>Pin d'Alep_F1_Classique_ONF 1993_17_</v>
      </c>
      <c r="AB560" s="1">
        <f t="shared" si="86"/>
        <v>17</v>
      </c>
      <c r="AC560" s="340">
        <f t="shared" si="82"/>
        <v>60.226697493185554</v>
      </c>
      <c r="AD560" s="341">
        <f t="shared" si="80"/>
        <v>57.592410898502663</v>
      </c>
      <c r="AE560" s="1">
        <f t="shared" si="84"/>
        <v>152.52304942019458</v>
      </c>
    </row>
    <row r="561" spans="1:31" hidden="1" x14ac:dyDescent="0.25">
      <c r="A561" s="92" t="s">
        <v>367</v>
      </c>
      <c r="B561" s="92" t="s">
        <v>9</v>
      </c>
      <c r="C561" s="92" t="s">
        <v>18</v>
      </c>
      <c r="D561" s="92" t="s">
        <v>1513</v>
      </c>
      <c r="F561">
        <v>18</v>
      </c>
      <c r="J561" s="349">
        <v>49.111999999999966</v>
      </c>
      <c r="W561" s="339">
        <f>+VLOOKUP(A561,infradensité!$A$2:$B$67,2,FALSE)</f>
        <v>0.45</v>
      </c>
      <c r="X561" s="339">
        <v>1.3</v>
      </c>
      <c r="Y561" s="340">
        <f t="shared" si="81"/>
        <v>28.730519999999984</v>
      </c>
      <c r="Z561" s="340">
        <f t="shared" si="83"/>
        <v>8.9566245492156629</v>
      </c>
      <c r="AA561" s="95" t="str">
        <f t="shared" si="85"/>
        <v>Pin d'Alep_F1_Classique_ONF 1993_18_</v>
      </c>
      <c r="AB561" s="1">
        <f t="shared" si="86"/>
        <v>18</v>
      </c>
      <c r="AC561" s="340">
        <f t="shared" si="82"/>
        <v>65.638443423217254</v>
      </c>
      <c r="AD561" s="341">
        <f t="shared" si="80"/>
        <v>62.932570458201404</v>
      </c>
      <c r="AE561" s="1">
        <f t="shared" si="84"/>
        <v>152.52304942019458</v>
      </c>
    </row>
    <row r="562" spans="1:31" hidden="1" x14ac:dyDescent="0.25">
      <c r="A562" s="92" t="s">
        <v>367</v>
      </c>
      <c r="B562" s="92" t="s">
        <v>9</v>
      </c>
      <c r="C562" s="92" t="s">
        <v>18</v>
      </c>
      <c r="D562" s="92" t="s">
        <v>1513</v>
      </c>
      <c r="F562">
        <v>19</v>
      </c>
      <c r="J562" s="349">
        <v>53.382024691357998</v>
      </c>
      <c r="W562" s="339">
        <f>+VLOOKUP(A562,infradensité!$A$2:$B$67,2,FALSE)</f>
        <v>0.45</v>
      </c>
      <c r="X562" s="339">
        <v>1.3</v>
      </c>
      <c r="Y562" s="340">
        <f t="shared" si="81"/>
        <v>31.228484444444433</v>
      </c>
      <c r="Z562" s="340">
        <f t="shared" si="83"/>
        <v>9.641336640228948</v>
      </c>
      <c r="AA562" s="95" t="str">
        <f t="shared" si="85"/>
        <v>Pin d'Alep_F1_Classique_ONF 1993_19_</v>
      </c>
      <c r="AB562" s="1">
        <f t="shared" si="86"/>
        <v>19</v>
      </c>
      <c r="AC562" s="340">
        <f t="shared" si="82"/>
        <v>71.181605055806145</v>
      </c>
      <c r="AD562" s="341">
        <f t="shared" si="80"/>
        <v>68.410024239511699</v>
      </c>
      <c r="AE562" s="1">
        <f t="shared" si="84"/>
        <v>152.52304942019458</v>
      </c>
    </row>
    <row r="563" spans="1:31" hidden="1" x14ac:dyDescent="0.25">
      <c r="A563" s="92" t="s">
        <v>367</v>
      </c>
      <c r="B563" s="92" t="s">
        <v>9</v>
      </c>
      <c r="C563" s="92" t="s">
        <v>18</v>
      </c>
      <c r="D563" s="92" t="s">
        <v>1513</v>
      </c>
      <c r="F563">
        <v>20</v>
      </c>
      <c r="J563" s="349">
        <v>57.753086419753053</v>
      </c>
      <c r="W563" s="339">
        <f>+VLOOKUP(A563,infradensité!$A$2:$B$67,2,FALSE)</f>
        <v>0.45</v>
      </c>
      <c r="X563" s="339">
        <v>1.3</v>
      </c>
      <c r="Y563" s="340">
        <f t="shared" si="81"/>
        <v>33.78555555555554</v>
      </c>
      <c r="Z563" s="340">
        <f t="shared" si="83"/>
        <v>10.33567473629555</v>
      </c>
      <c r="AA563" s="95" t="str">
        <f t="shared" si="85"/>
        <v>Pin d'Alep_F1_Classique_ONF 1993_20_</v>
      </c>
      <c r="AB563" s="1">
        <f t="shared" si="86"/>
        <v>20</v>
      </c>
      <c r="AC563" s="340">
        <f t="shared" si="82"/>
        <v>76.844476091640658</v>
      </c>
      <c r="AD563" s="341">
        <f t="shared" si="80"/>
        <v>74.013040573723401</v>
      </c>
      <c r="AE563" s="1">
        <f t="shared" si="84"/>
        <v>152.52304942019458</v>
      </c>
    </row>
    <row r="564" spans="1:31" hidden="1" x14ac:dyDescent="0.25">
      <c r="A564" s="92" t="s">
        <v>367</v>
      </c>
      <c r="B564" s="92" t="s">
        <v>9</v>
      </c>
      <c r="C564" s="92" t="s">
        <v>18</v>
      </c>
      <c r="D564" s="92" t="s">
        <v>1513</v>
      </c>
      <c r="F564">
        <v>21</v>
      </c>
      <c r="J564" s="349">
        <v>62.215999999999966</v>
      </c>
      <c r="W564" s="339">
        <f>+VLOOKUP(A564,infradensité!$A$2:$B$67,2,FALSE)</f>
        <v>0.45</v>
      </c>
      <c r="X564" s="339">
        <v>1.3</v>
      </c>
      <c r="Y564" s="340">
        <f t="shared" si="81"/>
        <v>36.396359999999987</v>
      </c>
      <c r="Z564" s="340">
        <f t="shared" si="83"/>
        <v>11.038317234897978</v>
      </c>
      <c r="AA564" s="95" t="str">
        <f t="shared" si="85"/>
        <v>Pin d'Alep_F1_Classique_ONF 1993_21_</v>
      </c>
      <c r="AB564" s="1">
        <f t="shared" si="86"/>
        <v>21</v>
      </c>
      <c r="AC564" s="340">
        <f t="shared" si="82"/>
        <v>82.615396184113948</v>
      </c>
      <c r="AD564" s="341">
        <f t="shared" si="80"/>
        <v>79.729936137877303</v>
      </c>
      <c r="AE564" s="1">
        <f t="shared" si="84"/>
        <v>152.52304942019458</v>
      </c>
    </row>
    <row r="565" spans="1:31" hidden="1" x14ac:dyDescent="0.25">
      <c r="A565" s="92" t="s">
        <v>367</v>
      </c>
      <c r="B565" s="92" t="s">
        <v>9</v>
      </c>
      <c r="C565" s="92" t="s">
        <v>18</v>
      </c>
      <c r="D565" s="92" t="s">
        <v>1513</v>
      </c>
      <c r="F565">
        <v>22</v>
      </c>
      <c r="J565" s="349">
        <v>66.761580246913553</v>
      </c>
      <c r="W565" s="339">
        <f>+VLOOKUP(A565,infradensité!$A$2:$B$67,2,FALSE)</f>
        <v>0.45</v>
      </c>
      <c r="X565" s="339">
        <v>1.3</v>
      </c>
      <c r="Y565" s="340">
        <f t="shared" si="81"/>
        <v>39.055524444444437</v>
      </c>
      <c r="Z565" s="340">
        <f t="shared" si="83"/>
        <v>11.747966484492931</v>
      </c>
      <c r="AA565" s="95" t="str">
        <f t="shared" si="85"/>
        <v>Pin d'Alep_F1_Classique_ONF 1993_22_</v>
      </c>
      <c r="AB565" s="1">
        <f t="shared" si="86"/>
        <v>22</v>
      </c>
      <c r="AC565" s="340">
        <f t="shared" si="82"/>
        <v>88.482746701232585</v>
      </c>
      <c r="AD565" s="341">
        <f t="shared" si="80"/>
        <v>85.549071442673267</v>
      </c>
      <c r="AE565" s="1">
        <f t="shared" si="84"/>
        <v>152.52304942019458</v>
      </c>
    </row>
    <row r="566" spans="1:31" hidden="1" x14ac:dyDescent="0.25">
      <c r="A566" s="92" t="s">
        <v>367</v>
      </c>
      <c r="B566" s="92" t="s">
        <v>9</v>
      </c>
      <c r="C566" s="92" t="s">
        <v>18</v>
      </c>
      <c r="D566" s="92" t="s">
        <v>1513</v>
      </c>
      <c r="F566">
        <v>23</v>
      </c>
      <c r="J566" s="349">
        <v>71.380641975308606</v>
      </c>
      <c r="W566" s="339">
        <f>+VLOOKUP(A566,infradensité!$A$2:$B$67,2,FALSE)</f>
        <v>0.45</v>
      </c>
      <c r="X566" s="339">
        <v>1.3</v>
      </c>
      <c r="Y566" s="340">
        <f t="shared" si="81"/>
        <v>41.757675555555537</v>
      </c>
      <c r="Z566" s="340">
        <f t="shared" si="83"/>
        <v>12.463346618302117</v>
      </c>
      <c r="AA566" s="95" t="str">
        <f t="shared" si="85"/>
        <v>Pin d'Alep_F1_Classique_ONF 1993_23_</v>
      </c>
      <c r="AB566" s="1">
        <f t="shared" si="86"/>
        <v>23</v>
      </c>
      <c r="AC566" s="340">
        <f t="shared" si="82"/>
        <v>94.434946952802079</v>
      </c>
      <c r="AD566" s="341">
        <f t="shared" si="80"/>
        <v>91.458846827017339</v>
      </c>
      <c r="AE566" s="1">
        <f t="shared" si="84"/>
        <v>152.52304942019458</v>
      </c>
    </row>
    <row r="567" spans="1:31" hidden="1" x14ac:dyDescent="0.25">
      <c r="A567" s="92" t="s">
        <v>367</v>
      </c>
      <c r="B567" s="92" t="s">
        <v>9</v>
      </c>
      <c r="C567" s="92" t="s">
        <v>18</v>
      </c>
      <c r="D567" s="92" t="s">
        <v>1513</v>
      </c>
      <c r="F567">
        <v>24</v>
      </c>
      <c r="J567" s="349">
        <v>76.063999999999965</v>
      </c>
      <c r="W567" s="339">
        <f>+VLOOKUP(A567,infradensité!$A$2:$B$67,2,FALSE)</f>
        <v>0.45</v>
      </c>
      <c r="X567" s="339">
        <v>1.3</v>
      </c>
      <c r="Y567" s="340">
        <f t="shared" si="81"/>
        <v>44.497439999999983</v>
      </c>
      <c r="Z567" s="340">
        <f t="shared" si="83"/>
        <v>13.18320161567717</v>
      </c>
      <c r="AA567" s="95" t="str">
        <f t="shared" si="85"/>
        <v>Pin d'Alep_F1_Classique_ONF 1993_24_</v>
      </c>
      <c r="AB567" s="1">
        <f t="shared" si="86"/>
        <v>24</v>
      </c>
      <c r="AC567" s="340">
        <f t="shared" si="82"/>
        <v>100.46045081397104</v>
      </c>
      <c r="AD567" s="341">
        <f t="shared" si="80"/>
        <v>97.447698883386551</v>
      </c>
      <c r="AE567" s="1">
        <f t="shared" si="84"/>
        <v>152.52304942019458</v>
      </c>
    </row>
    <row r="568" spans="1:31" hidden="1" x14ac:dyDescent="0.25">
      <c r="A568" s="92" t="s">
        <v>367</v>
      </c>
      <c r="B568" s="92" t="s">
        <v>9</v>
      </c>
      <c r="C568" s="92" t="s">
        <v>18</v>
      </c>
      <c r="D568" s="92" t="s">
        <v>1513</v>
      </c>
      <c r="F568">
        <v>25</v>
      </c>
      <c r="J568" s="349">
        <v>80.80246913580244</v>
      </c>
      <c r="W568" s="339">
        <f>+VLOOKUP(A568,infradensité!$A$2:$B$67,2,FALSE)</f>
        <v>0.45</v>
      </c>
      <c r="X568" s="339">
        <v>1.3</v>
      </c>
      <c r="Y568" s="340">
        <f t="shared" si="81"/>
        <v>47.269444444444431</v>
      </c>
      <c r="Z568" s="340">
        <f t="shared" si="83"/>
        <v>13.906293557991118</v>
      </c>
      <c r="AA568" s="95" t="str">
        <f t="shared" si="85"/>
        <v>Pin d'Alep_F1_Classique_ONF 1993_25_</v>
      </c>
      <c r="AB568" s="1">
        <f t="shared" si="86"/>
        <v>25</v>
      </c>
      <c r="AC568" s="340">
        <f t="shared" si="82"/>
        <v>106.54774368757525</v>
      </c>
      <c r="AD568" s="341">
        <f t="shared" si="80"/>
        <v>103.50409725077314</v>
      </c>
      <c r="AE568" s="1">
        <f t="shared" si="84"/>
        <v>152.52304942019458</v>
      </c>
    </row>
    <row r="569" spans="1:31" hidden="1" x14ac:dyDescent="0.25">
      <c r="A569" s="92" t="s">
        <v>367</v>
      </c>
      <c r="B569" s="92" t="s">
        <v>9</v>
      </c>
      <c r="C569" s="92" t="s">
        <v>18</v>
      </c>
      <c r="D569" s="92" t="s">
        <v>1513</v>
      </c>
      <c r="F569">
        <v>26</v>
      </c>
      <c r="J569" s="349">
        <v>85.586864197530844</v>
      </c>
      <c r="W569" s="339">
        <f>+VLOOKUP(A569,infradensité!$A$2:$B$67,2,FALSE)</f>
        <v>0.45</v>
      </c>
      <c r="X569" s="339">
        <v>1.3</v>
      </c>
      <c r="Y569" s="340">
        <f t="shared" si="81"/>
        <v>50.06831555555555</v>
      </c>
      <c r="Z569" s="340">
        <f t="shared" si="83"/>
        <v>14.631401051354985</v>
      </c>
      <c r="AA569" s="95" t="str">
        <f t="shared" si="85"/>
        <v>Pin d'Alep_F1_Classique_ONF 1993_26_</v>
      </c>
      <c r="AB569" s="1">
        <f t="shared" si="86"/>
        <v>26</v>
      </c>
      <c r="AC569" s="340">
        <f t="shared" si="82"/>
        <v>112.68533975703583</v>
      </c>
      <c r="AD569" s="341">
        <f t="shared" si="80"/>
        <v>109.61654172230554</v>
      </c>
      <c r="AE569" s="1">
        <f t="shared" si="84"/>
        <v>152.52304942019458</v>
      </c>
    </row>
    <row r="570" spans="1:31" hidden="1" x14ac:dyDescent="0.25">
      <c r="A570" s="92" t="s">
        <v>367</v>
      </c>
      <c r="B570" s="92" t="s">
        <v>9</v>
      </c>
      <c r="C570" s="92" t="s">
        <v>18</v>
      </c>
      <c r="D570" s="92" t="s">
        <v>1513</v>
      </c>
      <c r="F570">
        <v>27</v>
      </c>
      <c r="J570" s="349">
        <v>90.407999999999987</v>
      </c>
      <c r="W570" s="339">
        <f>+VLOOKUP(A570,infradensité!$A$2:$B$67,2,FALSE)</f>
        <v>0.45</v>
      </c>
      <c r="X570" s="339">
        <v>1.3</v>
      </c>
      <c r="Y570" s="340">
        <f t="shared" si="81"/>
        <v>52.888680000000001</v>
      </c>
      <c r="Z570" s="340">
        <f t="shared" si="83"/>
        <v>15.357317792836444</v>
      </c>
      <c r="AA570" s="95" t="str">
        <f t="shared" si="85"/>
        <v>Pin d'Alep_F1_Classique_ONF 1993_27_</v>
      </c>
      <c r="AB570" s="1">
        <f t="shared" si="86"/>
        <v>27</v>
      </c>
      <c r="AC570" s="340">
        <f t="shared" si="82"/>
        <v>118.86177948919014</v>
      </c>
      <c r="AD570" s="341">
        <f t="shared" si="80"/>
        <v>115.77355962311299</v>
      </c>
      <c r="AE570" s="1">
        <f t="shared" si="84"/>
        <v>152.52304942019458</v>
      </c>
    </row>
    <row r="571" spans="1:31" hidden="1" x14ac:dyDescent="0.25">
      <c r="A571" s="92" t="s">
        <v>367</v>
      </c>
      <c r="B571" s="92" t="s">
        <v>9</v>
      </c>
      <c r="C571" s="92" t="s">
        <v>18</v>
      </c>
      <c r="D571" s="92" t="s">
        <v>1513</v>
      </c>
      <c r="F571">
        <v>28</v>
      </c>
      <c r="J571" s="349">
        <v>95.256691358024668</v>
      </c>
      <c r="W571" s="339">
        <f>+VLOOKUP(A571,infradensité!$A$2:$B$67,2,FALSE)</f>
        <v>0.45</v>
      </c>
      <c r="X571" s="339">
        <v>1.3</v>
      </c>
      <c r="Y571" s="340">
        <f t="shared" si="81"/>
        <v>55.725164444444438</v>
      </c>
      <c r="Z571" s="340">
        <f t="shared" si="83"/>
        <v>16.082851260446752</v>
      </c>
      <c r="AA571" s="95" t="str">
        <f t="shared" si="85"/>
        <v>Pin d'Alep_F1_Classique_ONF 1993_28_</v>
      </c>
      <c r="AB571" s="1">
        <f t="shared" si="86"/>
        <v>28</v>
      </c>
      <c r="AC571" s="340">
        <f t="shared" si="82"/>
        <v>125.06562735268547</v>
      </c>
      <c r="AD571" s="341">
        <f t="shared" si="80"/>
        <v>121.9637034209378</v>
      </c>
      <c r="AE571" s="1">
        <f t="shared" si="84"/>
        <v>152.52304942019458</v>
      </c>
    </row>
    <row r="572" spans="1:31" hidden="1" x14ac:dyDescent="0.25">
      <c r="A572" s="92" t="s">
        <v>367</v>
      </c>
      <c r="B572" s="92" t="s">
        <v>9</v>
      </c>
      <c r="C572" s="92" t="s">
        <v>18</v>
      </c>
      <c r="D572" s="92" t="s">
        <v>1513</v>
      </c>
      <c r="F572">
        <v>29</v>
      </c>
      <c r="J572" s="349">
        <v>100.12375308641973</v>
      </c>
      <c r="W572" s="339">
        <f>+VLOOKUP(A572,infradensité!$A$2:$B$67,2,FALSE)</f>
        <v>0.45</v>
      </c>
      <c r="X572" s="339">
        <v>1.3</v>
      </c>
      <c r="Y572" s="340">
        <f t="shared" si="81"/>
        <v>58.572395555555545</v>
      </c>
      <c r="Z572" s="340">
        <f t="shared" si="83"/>
        <v>16.806821510109849</v>
      </c>
      <c r="AA572" s="95" t="str">
        <f t="shared" si="85"/>
        <v>Pin d'Alep_F1_Classique_ONF 1993_29_</v>
      </c>
      <c r="AB572" s="1">
        <f t="shared" si="86"/>
        <v>29</v>
      </c>
      <c r="AC572" s="340">
        <f t="shared" si="82"/>
        <v>131.28546972270053</v>
      </c>
      <c r="AD572" s="341">
        <f t="shared" si="80"/>
        <v>128.175548537693</v>
      </c>
      <c r="AE572" s="1">
        <f t="shared" si="84"/>
        <v>152.52304942019458</v>
      </c>
    </row>
    <row r="573" spans="1:31" hidden="1" x14ac:dyDescent="0.25">
      <c r="A573" s="92" t="s">
        <v>367</v>
      </c>
      <c r="B573" s="92" t="s">
        <v>9</v>
      </c>
      <c r="C573" s="92" t="s">
        <v>18</v>
      </c>
      <c r="D573" s="92" t="s">
        <v>1513</v>
      </c>
      <c r="F573" s="351">
        <v>30</v>
      </c>
      <c r="J573" s="349">
        <v>104.99999999999997</v>
      </c>
      <c r="W573" s="339">
        <f>+VLOOKUP(A573,infradensité!$A$2:$B$67,2,FALSE)</f>
        <v>0.45</v>
      </c>
      <c r="X573" s="339">
        <v>1.3</v>
      </c>
      <c r="Y573" s="340">
        <f t="shared" si="81"/>
        <v>61.42499999999999</v>
      </c>
      <c r="Z573" s="340">
        <f t="shared" si="83"/>
        <v>17.52806006525444</v>
      </c>
      <c r="AA573" s="95" t="str">
        <f t="shared" si="85"/>
        <v>Pin d'Alep_F1_Classique_ONF 1993_30_</v>
      </c>
      <c r="AB573" s="1">
        <f t="shared" si="86"/>
        <v>30</v>
      </c>
      <c r="AC573" s="340">
        <f t="shared" si="82"/>
        <v>137.5099129469848</v>
      </c>
      <c r="AD573" s="341">
        <f t="shared" si="80"/>
        <v>134.39769133484265</v>
      </c>
      <c r="AE573" s="1">
        <f t="shared" si="84"/>
        <v>152.52304942019458</v>
      </c>
    </row>
    <row r="574" spans="1:31" hidden="1" x14ac:dyDescent="0.25">
      <c r="A574" s="92" t="s">
        <v>367</v>
      </c>
      <c r="B574" s="92" t="s">
        <v>9</v>
      </c>
      <c r="C574" s="92" t="s">
        <v>18</v>
      </c>
      <c r="D574" s="92" t="s">
        <v>1513</v>
      </c>
      <c r="F574">
        <v>31</v>
      </c>
      <c r="J574" s="349">
        <v>65.666666666666671</v>
      </c>
      <c r="W574" s="339">
        <f>+VLOOKUP(A574,infradensité!$A$2:$B$67,2,FALSE)</f>
        <v>0.45</v>
      </c>
      <c r="X574" s="339">
        <v>1.3</v>
      </c>
      <c r="Y574" s="340">
        <f t="shared" si="81"/>
        <v>38.415000000000006</v>
      </c>
      <c r="Z574" s="340">
        <f t="shared" si="83"/>
        <v>11.577559054412854</v>
      </c>
      <c r="AA574" s="95" t="str">
        <f t="shared" si="85"/>
        <v>Pin d'Alep_F1_Classique_ONF 1993_31_</v>
      </c>
      <c r="AB574" s="1">
        <f t="shared" si="86"/>
        <v>31</v>
      </c>
      <c r="AC574" s="340">
        <f t="shared" si="82"/>
        <v>87.07037368643573</v>
      </c>
      <c r="AD574" s="341">
        <f t="shared" si="80"/>
        <v>112.29014331671027</v>
      </c>
      <c r="AE574" s="1">
        <f t="shared" si="84"/>
        <v>152.52304942019458</v>
      </c>
    </row>
    <row r="575" spans="1:31" hidden="1" x14ac:dyDescent="0.25">
      <c r="A575" s="92" t="s">
        <v>367</v>
      </c>
      <c r="B575" s="92" t="s">
        <v>9</v>
      </c>
      <c r="C575" s="92" t="s">
        <v>18</v>
      </c>
      <c r="D575" s="92" t="s">
        <v>1513</v>
      </c>
      <c r="F575">
        <v>32</v>
      </c>
      <c r="J575" s="349">
        <v>73.333333333333329</v>
      </c>
      <c r="W575" s="339">
        <f>+VLOOKUP(A575,infradensité!$A$2:$B$67,2,FALSE)</f>
        <v>0.45</v>
      </c>
      <c r="X575" s="339">
        <v>1.3</v>
      </c>
      <c r="Y575" s="340">
        <f t="shared" si="81"/>
        <v>42.900000000000006</v>
      </c>
      <c r="Z575" s="340">
        <f t="shared" si="83"/>
        <v>12.764133218298472</v>
      </c>
      <c r="AA575" s="95" t="str">
        <f t="shared" si="85"/>
        <v>Pin d'Alep_F1_Classique_ONF 1993_32_</v>
      </c>
      <c r="AB575" s="1">
        <f t="shared" si="86"/>
        <v>32</v>
      </c>
      <c r="AC575" s="340">
        <f t="shared" si="82"/>
        <v>96.948365355203165</v>
      </c>
      <c r="AD575" s="341">
        <f t="shared" si="80"/>
        <v>92.009369520819448</v>
      </c>
      <c r="AE575" s="1">
        <f t="shared" si="84"/>
        <v>152.52304942019458</v>
      </c>
    </row>
    <row r="576" spans="1:31" hidden="1" x14ac:dyDescent="0.25">
      <c r="A576" s="92" t="s">
        <v>367</v>
      </c>
      <c r="B576" s="92" t="s">
        <v>9</v>
      </c>
      <c r="C576" s="92" t="s">
        <v>18</v>
      </c>
      <c r="D576" s="92" t="s">
        <v>1513</v>
      </c>
      <c r="F576">
        <v>33</v>
      </c>
      <c r="J576" s="349">
        <v>81</v>
      </c>
      <c r="W576" s="339">
        <f>+VLOOKUP(A576,infradensité!$A$2:$B$67,2,FALSE)</f>
        <v>0.45</v>
      </c>
      <c r="X576" s="339">
        <v>1.3</v>
      </c>
      <c r="Y576" s="340">
        <f t="shared" si="81"/>
        <v>47.385000000000005</v>
      </c>
      <c r="Z576" s="340">
        <f t="shared" si="83"/>
        <v>13.936327732081288</v>
      </c>
      <c r="AA576" s="95" t="str">
        <f t="shared" si="85"/>
        <v>Pin d'Alep_F1_Classique_ONF 1993_33_</v>
      </c>
      <c r="AB576" s="1">
        <f t="shared" si="86"/>
        <v>33</v>
      </c>
      <c r="AC576" s="340">
        <f t="shared" si="82"/>
        <v>106.80131246670824</v>
      </c>
      <c r="AD576" s="341">
        <f t="shared" si="80"/>
        <v>101.8748389109557</v>
      </c>
      <c r="AE576" s="1">
        <f t="shared" si="84"/>
        <v>152.52304942019458</v>
      </c>
    </row>
    <row r="577" spans="1:31" hidden="1" x14ac:dyDescent="0.25">
      <c r="A577" s="92" t="s">
        <v>367</v>
      </c>
      <c r="B577" s="92" t="s">
        <v>9</v>
      </c>
      <c r="C577" s="92" t="s">
        <v>18</v>
      </c>
      <c r="D577" s="92" t="s">
        <v>1513</v>
      </c>
      <c r="F577">
        <v>34</v>
      </c>
      <c r="J577" s="349">
        <v>88.666666666666671</v>
      </c>
      <c r="W577" s="339">
        <f>+VLOOKUP(A577,infradensité!$A$2:$B$67,2,FALSE)</f>
        <v>0.45</v>
      </c>
      <c r="X577" s="339">
        <v>1.3</v>
      </c>
      <c r="Y577" s="340">
        <f t="shared" si="81"/>
        <v>51.870000000000012</v>
      </c>
      <c r="Z577" s="340">
        <f t="shared" si="83"/>
        <v>15.09565846911492</v>
      </c>
      <c r="AA577" s="95" t="str">
        <f t="shared" si="85"/>
        <v>Pin d'Alep_F1_Classique_ONF 1993_34_</v>
      </c>
      <c r="AB577" s="1">
        <f t="shared" si="86"/>
        <v>34</v>
      </c>
      <c r="AC577" s="340">
        <f t="shared" si="82"/>
        <v>116.63185516704182</v>
      </c>
      <c r="AD577" s="341">
        <f t="shared" si="80"/>
        <v>111.71658381687503</v>
      </c>
      <c r="AE577" s="1">
        <f t="shared" si="84"/>
        <v>152.52304942019458</v>
      </c>
    </row>
    <row r="578" spans="1:31" hidden="1" x14ac:dyDescent="0.25">
      <c r="A578" s="92" t="s">
        <v>367</v>
      </c>
      <c r="B578" s="92" t="s">
        <v>9</v>
      </c>
      <c r="C578" s="92" t="s">
        <v>18</v>
      </c>
      <c r="D578" s="92" t="s">
        <v>1513</v>
      </c>
      <c r="F578">
        <v>35</v>
      </c>
      <c r="J578" s="349">
        <v>96.333333333333343</v>
      </c>
      <c r="W578" s="339">
        <f>+VLOOKUP(A578,infradensité!$A$2:$B$67,2,FALSE)</f>
        <v>0.45</v>
      </c>
      <c r="X578" s="339">
        <v>1.3</v>
      </c>
      <c r="Y578" s="340">
        <f t="shared" si="81"/>
        <v>56.355000000000011</v>
      </c>
      <c r="Z578" s="340">
        <f t="shared" si="83"/>
        <v>16.243364177294705</v>
      </c>
      <c r="AA578" s="95" t="str">
        <f t="shared" si="85"/>
        <v>Pin d'Alep_F1_Classique_ONF 1993_35_</v>
      </c>
      <c r="AB578" s="1">
        <f t="shared" si="86"/>
        <v>35</v>
      </c>
      <c r="AC578" s="340">
        <f t="shared" si="82"/>
        <v>126.44215094212161</v>
      </c>
      <c r="AD578" s="341">
        <f t="shared" si="80"/>
        <v>121.53700305458172</v>
      </c>
      <c r="AE578" s="1">
        <f t="shared" si="84"/>
        <v>152.52304942019458</v>
      </c>
    </row>
    <row r="579" spans="1:31" hidden="1" x14ac:dyDescent="0.25">
      <c r="A579" s="92" t="s">
        <v>367</v>
      </c>
      <c r="B579" s="92" t="s">
        <v>9</v>
      </c>
      <c r="C579" s="92" t="s">
        <v>18</v>
      </c>
      <c r="D579" s="92" t="s">
        <v>1513</v>
      </c>
      <c r="F579">
        <v>36</v>
      </c>
      <c r="J579" s="349">
        <v>104</v>
      </c>
      <c r="W579" s="339">
        <f>+VLOOKUP(A579,infradensité!$A$2:$B$67,2,FALSE)</f>
        <v>0.45</v>
      </c>
      <c r="X579" s="339">
        <v>1.3</v>
      </c>
      <c r="Y579" s="340">
        <f t="shared" si="81"/>
        <v>60.840000000000011</v>
      </c>
      <c r="Z579" s="340">
        <f t="shared" si="83"/>
        <v>17.380475216531455</v>
      </c>
      <c r="AA579" s="95" t="str">
        <f t="shared" si="85"/>
        <v>Pin d'Alep_F1_Classique_ONF 1993_36_</v>
      </c>
      <c r="AB579" s="1">
        <f t="shared" si="86"/>
        <v>36</v>
      </c>
      <c r="AC579" s="340">
        <f t="shared" si="82"/>
        <v>136.23399433545896</v>
      </c>
      <c r="AD579" s="341">
        <f t="shared" si="80"/>
        <v>131.33807263879029</v>
      </c>
      <c r="AE579" s="1">
        <f t="shared" si="84"/>
        <v>152.52304942019458</v>
      </c>
    </row>
    <row r="580" spans="1:31" hidden="1" x14ac:dyDescent="0.25">
      <c r="A580" s="92" t="s">
        <v>367</v>
      </c>
      <c r="B580" s="92" t="s">
        <v>9</v>
      </c>
      <c r="C580" s="92" t="s">
        <v>18</v>
      </c>
      <c r="D580" s="92" t="s">
        <v>1513</v>
      </c>
      <c r="F580">
        <v>37</v>
      </c>
      <c r="J580" s="349">
        <v>111.66666666666667</v>
      </c>
      <c r="W580" s="339">
        <f>+VLOOKUP(A580,infradensité!$A$2:$B$67,2,FALSE)</f>
        <v>0.45</v>
      </c>
      <c r="X580" s="339">
        <v>1.3</v>
      </c>
      <c r="Y580" s="340">
        <f t="shared" si="81"/>
        <v>65.325000000000017</v>
      </c>
      <c r="Z580" s="340">
        <f t="shared" si="83"/>
        <v>18.507861418429783</v>
      </c>
      <c r="AA580" s="95" t="str">
        <f t="shared" si="85"/>
        <v>Pin d'Alep_F1_Classique_ONF 1993_37_</v>
      </c>
      <c r="AB580" s="1">
        <f t="shared" si="86"/>
        <v>37</v>
      </c>
      <c r="AC580" s="340">
        <f t="shared" si="82"/>
        <v>146.00890030376522</v>
      </c>
      <c r="AD580" s="341">
        <f t="shared" si="80"/>
        <v>141.12144731961209</v>
      </c>
      <c r="AE580" s="1">
        <f t="shared" si="84"/>
        <v>152.52304942019458</v>
      </c>
    </row>
    <row r="581" spans="1:31" hidden="1" x14ac:dyDescent="0.25">
      <c r="A581" s="92" t="s">
        <v>367</v>
      </c>
      <c r="B581" s="92" t="s">
        <v>9</v>
      </c>
      <c r="C581" s="92" t="s">
        <v>18</v>
      </c>
      <c r="D581" s="92" t="s">
        <v>1513</v>
      </c>
      <c r="F581">
        <v>38</v>
      </c>
      <c r="J581" s="349">
        <v>119.33333333333334</v>
      </c>
      <c r="W581" s="339">
        <f>+VLOOKUP(A581,infradensité!$A$2:$B$67,2,FALSE)</f>
        <v>0.45</v>
      </c>
      <c r="X581" s="339">
        <v>1.3</v>
      </c>
      <c r="Y581" s="340">
        <f t="shared" si="81"/>
        <v>69.810000000000016</v>
      </c>
      <c r="Z581" s="340">
        <f t="shared" si="83"/>
        <v>19.626266413721869</v>
      </c>
      <c r="AA581" s="95" t="str">
        <f t="shared" si="85"/>
        <v>Pin d'Alep_F1_Classique_ONF 1993_38_</v>
      </c>
      <c r="AB581" s="1">
        <f t="shared" si="86"/>
        <v>38</v>
      </c>
      <c r="AC581" s="340">
        <f t="shared" si="82"/>
        <v>155.76816400389893</v>
      </c>
      <c r="AD581" s="341">
        <f t="shared" si="80"/>
        <v>150.88853215383207</v>
      </c>
      <c r="AE581" s="1">
        <f t="shared" si="84"/>
        <v>152.52304942019458</v>
      </c>
    </row>
    <row r="582" spans="1:31" hidden="1" x14ac:dyDescent="0.25">
      <c r="A582" s="92" t="s">
        <v>367</v>
      </c>
      <c r="B582" s="92" t="s">
        <v>9</v>
      </c>
      <c r="C582" s="92" t="s">
        <v>18</v>
      </c>
      <c r="D582" s="92" t="s">
        <v>1513</v>
      </c>
      <c r="F582">
        <v>39</v>
      </c>
      <c r="J582" s="349">
        <v>127</v>
      </c>
      <c r="W582" s="339">
        <f>+VLOOKUP(A582,infradensité!$A$2:$B$67,2,FALSE)</f>
        <v>0.45</v>
      </c>
      <c r="X582" s="339">
        <v>1.3</v>
      </c>
      <c r="Y582" s="340">
        <f t="shared" si="81"/>
        <v>74.295000000000016</v>
      </c>
      <c r="Z582" s="340">
        <f t="shared" si="83"/>
        <v>20.736332880383845</v>
      </c>
      <c r="AA582" s="95" t="str">
        <f t="shared" si="85"/>
        <v>Pin d'Alep_F1_Classique_ONF 1993_39_</v>
      </c>
      <c r="AB582" s="1">
        <f t="shared" si="86"/>
        <v>39</v>
      </c>
      <c r="AC582" s="340">
        <f t="shared" si="82"/>
        <v>165.51290476666856</v>
      </c>
      <c r="AD582" s="341">
        <f t="shared" ref="AD582:AD645" si="87">+IF(AC582=0,0,(AC582+AC581)*(AB582-AB581)/2)</f>
        <v>160.64053438528373</v>
      </c>
      <c r="AE582" s="1">
        <f t="shared" si="84"/>
        <v>152.52304942019458</v>
      </c>
    </row>
    <row r="583" spans="1:31" hidden="1" x14ac:dyDescent="0.25">
      <c r="A583" s="92" t="s">
        <v>367</v>
      </c>
      <c r="B583" s="92" t="s">
        <v>9</v>
      </c>
      <c r="C583" s="92" t="s">
        <v>18</v>
      </c>
      <c r="D583" s="92" t="s">
        <v>1513</v>
      </c>
      <c r="F583">
        <v>40</v>
      </c>
      <c r="J583" s="349">
        <v>134.66666666666669</v>
      </c>
      <c r="W583" s="339">
        <f>+VLOOKUP(A583,infradensité!$A$2:$B$67,2,FALSE)</f>
        <v>0.45</v>
      </c>
      <c r="X583" s="339">
        <v>1.3</v>
      </c>
      <c r="Y583" s="340">
        <f t="shared" si="81"/>
        <v>78.780000000000015</v>
      </c>
      <c r="Z583" s="340">
        <f t="shared" si="83"/>
        <v>21.838621518606057</v>
      </c>
      <c r="AA583" s="95" t="str">
        <f t="shared" si="85"/>
        <v>Pin d'Alep_F1_Classique_ONF 1993_40_</v>
      </c>
      <c r="AB583" s="1">
        <f t="shared" si="86"/>
        <v>40</v>
      </c>
      <c r="AC583" s="340">
        <f t="shared" si="82"/>
        <v>175.24409914490556</v>
      </c>
      <c r="AD583" s="341">
        <f t="shared" si="87"/>
        <v>170.37850195578704</v>
      </c>
      <c r="AE583" s="1">
        <f t="shared" si="84"/>
        <v>152.52304942019458</v>
      </c>
    </row>
    <row r="584" spans="1:31" hidden="1" x14ac:dyDescent="0.25">
      <c r="A584" s="92" t="s">
        <v>367</v>
      </c>
      <c r="B584" s="92" t="s">
        <v>9</v>
      </c>
      <c r="C584" s="92" t="s">
        <v>18</v>
      </c>
      <c r="D584" s="92" t="s">
        <v>1513</v>
      </c>
      <c r="F584">
        <v>41</v>
      </c>
      <c r="J584" s="349">
        <v>142.33333333333334</v>
      </c>
      <c r="W584" s="339">
        <f>+VLOOKUP(A584,infradensité!$A$2:$B$67,2,FALSE)</f>
        <v>0.45</v>
      </c>
      <c r="X584" s="339">
        <v>1.3</v>
      </c>
      <c r="Y584" s="340">
        <f t="shared" si="81"/>
        <v>83.265000000000015</v>
      </c>
      <c r="Z584" s="340">
        <f t="shared" si="83"/>
        <v>22.933625580531533</v>
      </c>
      <c r="AA584" s="95" t="str">
        <f t="shared" si="85"/>
        <v>Pin d'Alep_F1_Classique_ONF 1993_41_</v>
      </c>
      <c r="AB584" s="1">
        <f t="shared" si="86"/>
        <v>41</v>
      </c>
      <c r="AC584" s="340">
        <f t="shared" si="82"/>
        <v>184.96260621942577</v>
      </c>
      <c r="AD584" s="341">
        <f t="shared" si="87"/>
        <v>180.10335268216568</v>
      </c>
      <c r="AE584" s="1">
        <f t="shared" si="84"/>
        <v>152.52304942019458</v>
      </c>
    </row>
    <row r="585" spans="1:31" hidden="1" x14ac:dyDescent="0.25">
      <c r="A585" s="92" t="s">
        <v>367</v>
      </c>
      <c r="B585" s="92" t="s">
        <v>9</v>
      </c>
      <c r="C585" s="92" t="s">
        <v>18</v>
      </c>
      <c r="D585" s="92" t="s">
        <v>1513</v>
      </c>
      <c r="F585">
        <v>42</v>
      </c>
      <c r="J585" s="349">
        <v>150</v>
      </c>
      <c r="W585" s="339">
        <f>+VLOOKUP(A585,infradensité!$A$2:$B$67,2,FALSE)</f>
        <v>0.45</v>
      </c>
      <c r="X585" s="339">
        <v>1.3</v>
      </c>
      <c r="Y585" s="340">
        <f t="shared" si="81"/>
        <v>87.750000000000014</v>
      </c>
      <c r="Z585" s="340">
        <f t="shared" si="83"/>
        <v>24.021782179979688</v>
      </c>
      <c r="AA585" s="95" t="str">
        <f t="shared" si="85"/>
        <v>Pin d'Alep_F1_Classique_ONF 1993_42_</v>
      </c>
      <c r="AB585" s="1">
        <f t="shared" si="86"/>
        <v>42</v>
      </c>
      <c r="AC585" s="340">
        <f t="shared" si="82"/>
        <v>194.66918729679799</v>
      </c>
      <c r="AD585" s="341">
        <f t="shared" si="87"/>
        <v>189.81589675811188</v>
      </c>
      <c r="AE585" s="1">
        <f t="shared" si="84"/>
        <v>152.52304942019458</v>
      </c>
    </row>
    <row r="586" spans="1:31" hidden="1" x14ac:dyDescent="0.25">
      <c r="A586" s="92" t="s">
        <v>367</v>
      </c>
      <c r="B586" s="92" t="s">
        <v>9</v>
      </c>
      <c r="C586" s="92" t="s">
        <v>18</v>
      </c>
      <c r="D586" s="92" t="s">
        <v>1513</v>
      </c>
      <c r="F586">
        <v>43</v>
      </c>
      <c r="J586" s="349">
        <v>157.66666666666669</v>
      </c>
      <c r="W586" s="339">
        <f>+VLOOKUP(A586,infradensité!$A$2:$B$67,2,FALSE)</f>
        <v>0.45</v>
      </c>
      <c r="X586" s="339">
        <v>1.3</v>
      </c>
      <c r="Y586" s="340">
        <f t="shared" si="81"/>
        <v>92.235000000000028</v>
      </c>
      <c r="Z586" s="340">
        <f t="shared" si="83"/>
        <v>25.103481224148766</v>
      </c>
      <c r="AA586" s="95" t="str">
        <f t="shared" si="85"/>
        <v>Pin d'Alep_F1_Classique_ONF 1993_43_</v>
      </c>
      <c r="AB586" s="1">
        <f t="shared" si="86"/>
        <v>43</v>
      </c>
      <c r="AC586" s="340">
        <f t="shared" si="82"/>
        <v>204.36452146539247</v>
      </c>
      <c r="AD586" s="341">
        <f t="shared" si="87"/>
        <v>199.51685438109524</v>
      </c>
      <c r="AE586" s="1">
        <f t="shared" si="84"/>
        <v>152.52304942019458</v>
      </c>
    </row>
    <row r="587" spans="1:31" hidden="1" x14ac:dyDescent="0.25">
      <c r="A587" s="92" t="s">
        <v>367</v>
      </c>
      <c r="B587" s="92" t="s">
        <v>9</v>
      </c>
      <c r="C587" s="92" t="s">
        <v>18</v>
      </c>
      <c r="D587" s="92" t="s">
        <v>1513</v>
      </c>
      <c r="F587">
        <v>44</v>
      </c>
      <c r="J587" s="350">
        <v>165.33333333333334</v>
      </c>
      <c r="W587" s="339">
        <f>+VLOOKUP(A587,infradensité!$A$2:$B$67,2,FALSE)</f>
        <v>0.45</v>
      </c>
      <c r="X587" s="339">
        <v>1.3</v>
      </c>
      <c r="Y587" s="340">
        <f t="shared" si="81"/>
        <v>96.720000000000013</v>
      </c>
      <c r="Z587" s="340">
        <f t="shared" si="83"/>
        <v>26.179072558792139</v>
      </c>
      <c r="AA587" s="95" t="str">
        <f t="shared" si="85"/>
        <v>Pin d'Alep_F1_Classique_ONF 1993_44_</v>
      </c>
      <c r="AB587" s="1">
        <f t="shared" si="86"/>
        <v>44</v>
      </c>
      <c r="AC587" s="340">
        <f t="shared" si="82"/>
        <v>214.04921803989632</v>
      </c>
      <c r="AD587" s="341">
        <f t="shared" si="87"/>
        <v>209.20686975264439</v>
      </c>
      <c r="AE587" s="1">
        <f t="shared" si="84"/>
        <v>152.52304942019458</v>
      </c>
    </row>
    <row r="588" spans="1:31" hidden="1" x14ac:dyDescent="0.25">
      <c r="A588" s="92" t="s">
        <v>367</v>
      </c>
      <c r="B588" s="92" t="s">
        <v>9</v>
      </c>
      <c r="C588" s="92" t="s">
        <v>18</v>
      </c>
      <c r="D588" s="92" t="s">
        <v>1513</v>
      </c>
      <c r="F588">
        <v>45</v>
      </c>
      <c r="J588" s="349">
        <v>173</v>
      </c>
      <c r="W588" s="339">
        <f>+VLOOKUP(A588,infradensité!$A$2:$B$67,2,FALSE)</f>
        <v>0.45</v>
      </c>
      <c r="X588" s="339">
        <v>1.3</v>
      </c>
      <c r="Y588" s="340">
        <f t="shared" si="81"/>
        <v>101.20500000000001</v>
      </c>
      <c r="Z588" s="340">
        <f t="shared" si="83"/>
        <v>27.248871750580868</v>
      </c>
      <c r="AA588" s="95" t="str">
        <f t="shared" si="85"/>
        <v>Pin d'Alep_F1_Classique_ONF 1993_45_</v>
      </c>
      <c r="AB588" s="1">
        <f t="shared" si="86"/>
        <v>45</v>
      </c>
      <c r="AC588" s="340">
        <f t="shared" si="82"/>
        <v>223.72382663226168</v>
      </c>
      <c r="AD588" s="341">
        <f t="shared" si="87"/>
        <v>218.886522336079</v>
      </c>
      <c r="AE588" s="1">
        <f t="shared" si="84"/>
        <v>152.52304942019458</v>
      </c>
    </row>
    <row r="589" spans="1:31" hidden="1" x14ac:dyDescent="0.25">
      <c r="A589" s="92" t="s">
        <v>367</v>
      </c>
      <c r="B589" s="92" t="s">
        <v>9</v>
      </c>
      <c r="C589" s="92" t="s">
        <v>18</v>
      </c>
      <c r="D589" s="92" t="s">
        <v>1513</v>
      </c>
      <c r="F589">
        <v>46</v>
      </c>
      <c r="J589" s="349">
        <v>106.4</v>
      </c>
      <c r="W589" s="339">
        <f>+VLOOKUP(A589,infradensité!$A$2:$B$67,2,FALSE)</f>
        <v>0.45</v>
      </c>
      <c r="X589" s="339">
        <v>1.3</v>
      </c>
      <c r="Y589" s="340">
        <f t="shared" si="81"/>
        <v>62.244000000000014</v>
      </c>
      <c r="Z589" s="340">
        <f t="shared" si="83"/>
        <v>17.734404526076446</v>
      </c>
      <c r="AA589" s="95" t="str">
        <f t="shared" si="85"/>
        <v>Pin d'Alep_F1_Classique_ONF 1993_46_</v>
      </c>
      <c r="AB589" s="1">
        <f t="shared" si="86"/>
        <v>46</v>
      </c>
      <c r="AC589" s="340">
        <f t="shared" si="82"/>
        <v>139.29572121624983</v>
      </c>
      <c r="AD589" s="341">
        <f t="shared" si="87"/>
        <v>181.50977392425574</v>
      </c>
      <c r="AE589" s="1">
        <f t="shared" si="84"/>
        <v>152.52304942019458</v>
      </c>
    </row>
    <row r="590" spans="1:31" hidden="1" x14ac:dyDescent="0.25">
      <c r="A590" s="92" t="s">
        <v>367</v>
      </c>
      <c r="B590" s="92" t="s">
        <v>9</v>
      </c>
      <c r="C590" s="92" t="s">
        <v>18</v>
      </c>
      <c r="D590" s="92" t="s">
        <v>1513</v>
      </c>
      <c r="F590">
        <v>47</v>
      </c>
      <c r="J590" s="349">
        <v>113.8</v>
      </c>
      <c r="W590" s="339">
        <f>+VLOOKUP(A590,infradensité!$A$2:$B$67,2,FALSE)</f>
        <v>0.45</v>
      </c>
      <c r="X590" s="339">
        <v>1.3</v>
      </c>
      <c r="Y590" s="340">
        <f t="shared" si="81"/>
        <v>66.573000000000008</v>
      </c>
      <c r="Z590" s="340">
        <f t="shared" si="83"/>
        <v>18.819942443173225</v>
      </c>
      <c r="AA590" s="95" t="str">
        <f t="shared" si="85"/>
        <v>Pin d'Alep_F1_Classique_ONF 1993_47_</v>
      </c>
      <c r="AB590" s="1">
        <f t="shared" si="86"/>
        <v>47</v>
      </c>
      <c r="AC590" s="340">
        <f t="shared" si="82"/>
        <v>148.72604142186006</v>
      </c>
      <c r="AD590" s="341">
        <f t="shared" si="87"/>
        <v>144.01088131905493</v>
      </c>
      <c r="AE590" s="1">
        <f t="shared" si="84"/>
        <v>152.52304942019458</v>
      </c>
    </row>
    <row r="591" spans="1:31" hidden="1" x14ac:dyDescent="0.25">
      <c r="A591" s="92" t="s">
        <v>367</v>
      </c>
      <c r="B591" s="92" t="s">
        <v>9</v>
      </c>
      <c r="C591" s="92" t="s">
        <v>18</v>
      </c>
      <c r="D591" s="92" t="s">
        <v>1513</v>
      </c>
      <c r="F591">
        <v>48</v>
      </c>
      <c r="J591" s="349">
        <v>121.2</v>
      </c>
      <c r="W591" s="339">
        <f>+VLOOKUP(A591,infradensité!$A$2:$B$67,2,FALSE)</f>
        <v>0.45</v>
      </c>
      <c r="X591" s="339">
        <v>1.3</v>
      </c>
      <c r="Y591" s="340">
        <f t="shared" si="81"/>
        <v>70.902000000000015</v>
      </c>
      <c r="Z591" s="340">
        <f t="shared" si="83"/>
        <v>19.897288774666517</v>
      </c>
      <c r="AA591" s="95" t="str">
        <f t="shared" si="85"/>
        <v>Pin d'Alep_F1_Classique_ONF 1993_48_</v>
      </c>
      <c r="AB591" s="1">
        <f t="shared" si="86"/>
        <v>48</v>
      </c>
      <c r="AC591" s="340">
        <f t="shared" si="82"/>
        <v>158.14209461587754</v>
      </c>
      <c r="AD591" s="341">
        <f t="shared" si="87"/>
        <v>153.4340680188688</v>
      </c>
      <c r="AE591" s="1">
        <f t="shared" si="84"/>
        <v>152.52304942019458</v>
      </c>
    </row>
    <row r="592" spans="1:31" hidden="1" x14ac:dyDescent="0.25">
      <c r="A592" s="92" t="s">
        <v>367</v>
      </c>
      <c r="B592" s="92" t="s">
        <v>9</v>
      </c>
      <c r="C592" s="92" t="s">
        <v>18</v>
      </c>
      <c r="D592" s="92" t="s">
        <v>1513</v>
      </c>
      <c r="F592">
        <v>49</v>
      </c>
      <c r="J592" s="349">
        <v>128.6</v>
      </c>
      <c r="W592" s="339">
        <f>+VLOOKUP(A592,infradensité!$A$2:$B$67,2,FALSE)</f>
        <v>0.45</v>
      </c>
      <c r="X592" s="339">
        <v>1.3</v>
      </c>
      <c r="Y592" s="340">
        <f t="shared" si="81"/>
        <v>75.231000000000009</v>
      </c>
      <c r="Z592" s="340">
        <f t="shared" si="83"/>
        <v>20.967000617518835</v>
      </c>
      <c r="AA592" s="95" t="str">
        <f t="shared" si="85"/>
        <v>Pin d'Alep_F1_Classique_ONF 1993_49_</v>
      </c>
      <c r="AB592" s="1">
        <f t="shared" si="86"/>
        <v>49</v>
      </c>
      <c r="AC592" s="340">
        <f t="shared" si="82"/>
        <v>167.54485107551196</v>
      </c>
      <c r="AD592" s="341">
        <f t="shared" si="87"/>
        <v>162.84347284569475</v>
      </c>
      <c r="AE592" s="1">
        <f t="shared" si="84"/>
        <v>152.52304942019458</v>
      </c>
    </row>
    <row r="593" spans="1:31" hidden="1" x14ac:dyDescent="0.25">
      <c r="A593" s="92" t="s">
        <v>367</v>
      </c>
      <c r="B593" s="92" t="s">
        <v>9</v>
      </c>
      <c r="C593" s="92" t="s">
        <v>18</v>
      </c>
      <c r="D593" s="92" t="s">
        <v>1513</v>
      </c>
      <c r="F593">
        <v>50</v>
      </c>
      <c r="J593" s="349">
        <v>136</v>
      </c>
      <c r="W593" s="339">
        <f>+VLOOKUP(A593,infradensité!$A$2:$B$67,2,FALSE)</f>
        <v>0.45</v>
      </c>
      <c r="X593" s="339">
        <v>1.3</v>
      </c>
      <c r="Y593" s="340">
        <f t="shared" si="81"/>
        <v>79.560000000000016</v>
      </c>
      <c r="Z593" s="340">
        <f t="shared" si="83"/>
        <v>22.029567333453311</v>
      </c>
      <c r="AA593" s="95" t="str">
        <f t="shared" si="85"/>
        <v>Pin d'Alep_F1_Classique_ONF 1993_50_</v>
      </c>
      <c r="AB593" s="1">
        <f t="shared" si="86"/>
        <v>50</v>
      </c>
      <c r="AC593" s="340">
        <f t="shared" si="82"/>
        <v>176.93516310576453</v>
      </c>
      <c r="AD593" s="341">
        <f t="shared" si="87"/>
        <v>172.24000709063824</v>
      </c>
      <c r="AE593" s="1">
        <f t="shared" si="84"/>
        <v>152.52304942019458</v>
      </c>
    </row>
    <row r="594" spans="1:31" hidden="1" x14ac:dyDescent="0.25">
      <c r="A594" s="92" t="s">
        <v>367</v>
      </c>
      <c r="B594" s="92" t="s">
        <v>9</v>
      </c>
      <c r="C594" s="92" t="s">
        <v>18</v>
      </c>
      <c r="D594" s="92" t="s">
        <v>1513</v>
      </c>
      <c r="F594">
        <v>51</v>
      </c>
      <c r="J594" s="349">
        <v>143.4</v>
      </c>
      <c r="W594" s="339">
        <f>+VLOOKUP(A594,infradensité!$A$2:$B$67,2,FALSE)</f>
        <v>0.45</v>
      </c>
      <c r="X594" s="339">
        <v>1.3</v>
      </c>
      <c r="Y594" s="340">
        <f t="shared" si="81"/>
        <v>83.88900000000001</v>
      </c>
      <c r="Z594" s="340">
        <f t="shared" si="83"/>
        <v>23.085422022440483</v>
      </c>
      <c r="AA594" s="95" t="str">
        <f t="shared" si="85"/>
        <v>Pin d'Alep_F1_Classique_ONF 1993_51_</v>
      </c>
      <c r="AB594" s="1">
        <f t="shared" si="86"/>
        <v>51</v>
      </c>
      <c r="AC594" s="340">
        <f t="shared" si="82"/>
        <v>186.31378502241719</v>
      </c>
      <c r="AD594" s="341">
        <f t="shared" si="87"/>
        <v>181.62447406409086</v>
      </c>
      <c r="AE594" s="1">
        <f t="shared" si="84"/>
        <v>152.52304942019458</v>
      </c>
    </row>
    <row r="595" spans="1:31" hidden="1" x14ac:dyDescent="0.25">
      <c r="A595" s="92" t="s">
        <v>367</v>
      </c>
      <c r="B595" s="92" t="s">
        <v>9</v>
      </c>
      <c r="C595" s="92" t="s">
        <v>18</v>
      </c>
      <c r="D595" s="92" t="s">
        <v>1513</v>
      </c>
      <c r="F595">
        <v>52</v>
      </c>
      <c r="J595" s="349">
        <v>150.80000000000001</v>
      </c>
      <c r="W595" s="339">
        <f>+VLOOKUP(A595,infradensité!$A$2:$B$67,2,FALSE)</f>
        <v>0.45</v>
      </c>
      <c r="X595" s="339">
        <v>1.3</v>
      </c>
      <c r="Y595" s="340">
        <f t="shared" si="81"/>
        <v>88.218000000000018</v>
      </c>
      <c r="Z595" s="340">
        <f t="shared" si="83"/>
        <v>24.134950560421608</v>
      </c>
      <c r="AA595" s="95" t="str">
        <f t="shared" si="85"/>
        <v>Pin d'Alep_F1_Classique_ONF 1993_52_</v>
      </c>
      <c r="AB595" s="1">
        <f t="shared" si="86"/>
        <v>52</v>
      </c>
      <c r="AC595" s="340">
        <f t="shared" si="82"/>
        <v>195.6813888927343</v>
      </c>
      <c r="AD595" s="341">
        <f t="shared" si="87"/>
        <v>190.99758695757575</v>
      </c>
      <c r="AE595" s="1">
        <f t="shared" si="84"/>
        <v>152.52304942019458</v>
      </c>
    </row>
    <row r="596" spans="1:31" hidden="1" x14ac:dyDescent="0.25">
      <c r="A596" s="92" t="s">
        <v>367</v>
      </c>
      <c r="B596" s="92" t="s">
        <v>9</v>
      </c>
      <c r="C596" s="92" t="s">
        <v>18</v>
      </c>
      <c r="D596" s="92" t="s">
        <v>1513</v>
      </c>
      <c r="F596">
        <v>53</v>
      </c>
      <c r="J596" s="349">
        <v>158.19999999999999</v>
      </c>
      <c r="W596" s="339">
        <f>+VLOOKUP(A596,infradensité!$A$2:$B$67,2,FALSE)</f>
        <v>0.45</v>
      </c>
      <c r="X596" s="339">
        <v>1.3</v>
      </c>
      <c r="Y596" s="340">
        <f t="shared" si="81"/>
        <v>92.547000000000011</v>
      </c>
      <c r="Z596" s="340">
        <f t="shared" si="83"/>
        <v>25.178498812697072</v>
      </c>
      <c r="AA596" s="95" t="str">
        <f t="shared" si="85"/>
        <v>Pin d'Alep_F1_Classique_ONF 1993_53_</v>
      </c>
      <c r="AB596" s="1">
        <f t="shared" si="86"/>
        <v>53</v>
      </c>
      <c r="AC596" s="340">
        <f t="shared" si="82"/>
        <v>205.03857709878073</v>
      </c>
      <c r="AD596" s="341">
        <f t="shared" si="87"/>
        <v>200.35998299575752</v>
      </c>
      <c r="AE596" s="1">
        <f t="shared" si="84"/>
        <v>152.52304942019458</v>
      </c>
    </row>
    <row r="597" spans="1:31" hidden="1" x14ac:dyDescent="0.25">
      <c r="A597" s="92" t="s">
        <v>367</v>
      </c>
      <c r="B597" s="92" t="s">
        <v>9</v>
      </c>
      <c r="C597" s="92" t="s">
        <v>18</v>
      </c>
      <c r="D597" s="92" t="s">
        <v>1513</v>
      </c>
      <c r="F597">
        <v>54</v>
      </c>
      <c r="J597" s="349">
        <v>165.60000000000002</v>
      </c>
      <c r="W597" s="339">
        <f>+VLOOKUP(A597,infradensité!$A$2:$B$67,2,FALSE)</f>
        <v>0.45</v>
      </c>
      <c r="X597" s="339">
        <v>1.3</v>
      </c>
      <c r="Y597" s="340">
        <f t="shared" si="81"/>
        <v>96.876000000000019</v>
      </c>
      <c r="Z597" s="340">
        <f t="shared" si="83"/>
        <v>26.21637845945024</v>
      </c>
      <c r="AA597" s="95" t="str">
        <f t="shared" si="85"/>
        <v>Pin d'Alep_F1_Classique_ONF 1993_54_</v>
      </c>
      <c r="AB597" s="1">
        <f t="shared" si="86"/>
        <v>54</v>
      </c>
      <c r="AC597" s="340">
        <f t="shared" si="82"/>
        <v>214.38589248354253</v>
      </c>
      <c r="AD597" s="341">
        <f t="shared" si="87"/>
        <v>209.71223479116162</v>
      </c>
      <c r="AE597" s="1">
        <f t="shared" si="84"/>
        <v>152.52304942019458</v>
      </c>
    </row>
    <row r="598" spans="1:31" hidden="1" x14ac:dyDescent="0.25">
      <c r="A598" s="92" t="s">
        <v>367</v>
      </c>
      <c r="B598" s="92" t="s">
        <v>9</v>
      </c>
      <c r="C598" s="92" t="s">
        <v>18</v>
      </c>
      <c r="D598" s="92" t="s">
        <v>1513</v>
      </c>
      <c r="F598">
        <v>55</v>
      </c>
      <c r="J598" s="349">
        <v>173</v>
      </c>
      <c r="W598" s="339">
        <f>+VLOOKUP(A598,infradensité!$A$2:$B$67,2,FALSE)</f>
        <v>0.45</v>
      </c>
      <c r="X598" s="339">
        <v>1.3</v>
      </c>
      <c r="Y598" s="340">
        <f t="shared" si="81"/>
        <v>101.20500000000001</v>
      </c>
      <c r="Z598" s="340">
        <f t="shared" si="83"/>
        <v>27.248871750580868</v>
      </c>
      <c r="AA598" s="95" t="str">
        <f t="shared" si="85"/>
        <v>Pin d'Alep_F1_Classique_ONF 1993_55_</v>
      </c>
      <c r="AB598" s="1">
        <f t="shared" si="86"/>
        <v>55</v>
      </c>
      <c r="AC598" s="340">
        <f t="shared" si="82"/>
        <v>223.72382663226168</v>
      </c>
      <c r="AD598" s="341">
        <f t="shared" si="87"/>
        <v>219.05485955790209</v>
      </c>
      <c r="AE598" s="1">
        <f t="shared" si="84"/>
        <v>152.52304942019458</v>
      </c>
    </row>
    <row r="599" spans="1:31" hidden="1" x14ac:dyDescent="0.25">
      <c r="A599" s="92" t="s">
        <v>367</v>
      </c>
      <c r="B599" s="92" t="s">
        <v>9</v>
      </c>
      <c r="C599" s="92" t="s">
        <v>18</v>
      </c>
      <c r="D599" s="92" t="s">
        <v>1513</v>
      </c>
      <c r="F599">
        <v>56</v>
      </c>
      <c r="J599" s="349">
        <v>180.4</v>
      </c>
      <c r="W599" s="339">
        <f>+VLOOKUP(A599,infradensité!$A$2:$B$67,2,FALSE)</f>
        <v>0.45</v>
      </c>
      <c r="X599" s="339">
        <v>1.3</v>
      </c>
      <c r="Y599" s="340">
        <f t="shared" si="81"/>
        <v>105.53400000000002</v>
      </c>
      <c r="Z599" s="340">
        <f t="shared" si="83"/>
        <v>28.276235424052324</v>
      </c>
      <c r="AA599" s="95" t="str">
        <f t="shared" si="85"/>
        <v>Pin d'Alep_F1_Classique_ONF 1993_56_</v>
      </c>
      <c r="AB599" s="1">
        <f t="shared" si="86"/>
        <v>56</v>
      </c>
      <c r="AC599" s="340">
        <f t="shared" si="82"/>
        <v>233.05282669689112</v>
      </c>
      <c r="AD599" s="341">
        <f t="shared" si="87"/>
        <v>228.3883266645764</v>
      </c>
      <c r="AE599" s="1">
        <f t="shared" si="84"/>
        <v>152.52304942019458</v>
      </c>
    </row>
    <row r="600" spans="1:31" hidden="1" x14ac:dyDescent="0.25">
      <c r="A600" s="92" t="s">
        <v>367</v>
      </c>
      <c r="B600" s="92" t="s">
        <v>9</v>
      </c>
      <c r="C600" s="92" t="s">
        <v>18</v>
      </c>
      <c r="D600" s="92" t="s">
        <v>1513</v>
      </c>
      <c r="F600">
        <v>57</v>
      </c>
      <c r="J600" s="349">
        <v>187.8</v>
      </c>
      <c r="W600" s="339">
        <f>+VLOOKUP(A600,infradensité!$A$2:$B$67,2,FALSE)</f>
        <v>0.45</v>
      </c>
      <c r="X600" s="339">
        <v>1.3</v>
      </c>
      <c r="Y600" s="340">
        <f t="shared" si="81"/>
        <v>109.86300000000001</v>
      </c>
      <c r="Z600" s="340">
        <f t="shared" si="83"/>
        <v>29.298703963208425</v>
      </c>
      <c r="AA600" s="95" t="str">
        <f t="shared" si="85"/>
        <v>Pin d'Alep_F1_Classique_ONF 1993_57_</v>
      </c>
      <c r="AB600" s="1">
        <f t="shared" si="86"/>
        <v>57</v>
      </c>
      <c r="AC600" s="340">
        <f t="shared" si="82"/>
        <v>242.37330106925467</v>
      </c>
      <c r="AD600" s="341">
        <f t="shared" si="87"/>
        <v>237.71306388307289</v>
      </c>
      <c r="AE600" s="1">
        <f t="shared" si="84"/>
        <v>152.52304942019458</v>
      </c>
    </row>
    <row r="601" spans="1:31" hidden="1" x14ac:dyDescent="0.25">
      <c r="A601" s="92" t="s">
        <v>367</v>
      </c>
      <c r="B601" s="92" t="s">
        <v>9</v>
      </c>
      <c r="C601" s="92" t="s">
        <v>18</v>
      </c>
      <c r="D601" s="92" t="s">
        <v>1513</v>
      </c>
      <c r="F601">
        <v>58</v>
      </c>
      <c r="J601" s="349">
        <v>195.2</v>
      </c>
      <c r="W601" s="339">
        <f>+VLOOKUP(A601,infradensité!$A$2:$B$67,2,FALSE)</f>
        <v>0.45</v>
      </c>
      <c r="X601" s="339">
        <v>1.3</v>
      </c>
      <c r="Y601" s="340">
        <f t="shared" si="81"/>
        <v>114.19200000000001</v>
      </c>
      <c r="Z601" s="340">
        <f t="shared" si="83"/>
        <v>30.316492326242802</v>
      </c>
      <c r="AA601" s="95" t="str">
        <f t="shared" si="85"/>
        <v>Pin d'Alep_F1_Classique_ONF 1993_58_</v>
      </c>
      <c r="AB601" s="1">
        <f t="shared" si="86"/>
        <v>58</v>
      </c>
      <c r="AC601" s="340">
        <f t="shared" si="82"/>
        <v>251.68562413487288</v>
      </c>
      <c r="AD601" s="341">
        <f t="shared" si="87"/>
        <v>247.02946260206377</v>
      </c>
      <c r="AE601" s="1">
        <f t="shared" si="84"/>
        <v>152.52304942019458</v>
      </c>
    </row>
    <row r="602" spans="1:31" hidden="1" x14ac:dyDescent="0.25">
      <c r="A602" s="92" t="s">
        <v>367</v>
      </c>
      <c r="B602" s="92" t="s">
        <v>9</v>
      </c>
      <c r="C602" s="92" t="s">
        <v>18</v>
      </c>
      <c r="D602" s="92" t="s">
        <v>1513</v>
      </c>
      <c r="F602">
        <v>59</v>
      </c>
      <c r="J602" s="350">
        <v>202.60000000000002</v>
      </c>
      <c r="W602" s="339">
        <f>+VLOOKUP(A602,infradensité!$A$2:$B$67,2,FALSE)</f>
        <v>0.45</v>
      </c>
      <c r="X602" s="339">
        <v>1.3</v>
      </c>
      <c r="Y602" s="340">
        <f t="shared" si="81"/>
        <v>118.52100000000003</v>
      </c>
      <c r="Z602" s="340">
        <f t="shared" si="83"/>
        <v>31.329798250134502</v>
      </c>
      <c r="AA602" s="95" t="str">
        <f t="shared" si="85"/>
        <v>Pin d'Alep_F1_Classique_ONF 1993_59_</v>
      </c>
      <c r="AB602" s="1">
        <f t="shared" si="86"/>
        <v>59</v>
      </c>
      <c r="AC602" s="340">
        <f t="shared" si="82"/>
        <v>260.99014028565091</v>
      </c>
      <c r="AD602" s="341">
        <f t="shared" si="87"/>
        <v>256.33788221026191</v>
      </c>
      <c r="AE602" s="1">
        <f t="shared" si="84"/>
        <v>152.52304942019458</v>
      </c>
    </row>
    <row r="603" spans="1:31" hidden="1" x14ac:dyDescent="0.25">
      <c r="A603" s="92" t="s">
        <v>367</v>
      </c>
      <c r="B603" s="92" t="s">
        <v>9</v>
      </c>
      <c r="C603" s="92" t="s">
        <v>18</v>
      </c>
      <c r="D603" s="92" t="s">
        <v>1513</v>
      </c>
      <c r="F603">
        <v>60</v>
      </c>
      <c r="J603" s="349">
        <v>210</v>
      </c>
      <c r="W603" s="339">
        <f>+VLOOKUP(A603,infradensité!$A$2:$B$67,2,FALSE)</f>
        <v>0.45</v>
      </c>
      <c r="X603" s="339">
        <v>1.3</v>
      </c>
      <c r="Y603" s="340">
        <f t="shared" ref="Y603:Y663" si="88">+X603*W603*J603</f>
        <v>122.85000000000002</v>
      </c>
      <c r="Z603" s="340">
        <f t="shared" si="83"/>
        <v>32.338804208515896</v>
      </c>
      <c r="AA603" s="95" t="str">
        <f t="shared" si="85"/>
        <v>Pin d'Alep_F1_Classique_ONF 1993_60_</v>
      </c>
      <c r="AB603" s="1">
        <f t="shared" si="86"/>
        <v>60</v>
      </c>
      <c r="AC603" s="340">
        <f t="shared" ref="AC603:AC663" si="89">+(Z603+Y603)*0.475*44/12</f>
        <v>270.2871673298319</v>
      </c>
      <c r="AD603" s="341">
        <f t="shared" si="87"/>
        <v>265.63865380774143</v>
      </c>
      <c r="AE603" s="1">
        <f t="shared" si="84"/>
        <v>152.52304942019458</v>
      </c>
    </row>
    <row r="604" spans="1:31" hidden="1" x14ac:dyDescent="0.25">
      <c r="A604" s="92" t="s">
        <v>367</v>
      </c>
      <c r="B604" s="92" t="s">
        <v>9</v>
      </c>
      <c r="C604" s="92" t="s">
        <v>18</v>
      </c>
      <c r="D604" s="92" t="s">
        <v>1513</v>
      </c>
      <c r="F604">
        <v>61</v>
      </c>
      <c r="J604" s="349">
        <v>140.5</v>
      </c>
      <c r="W604" s="339">
        <f>+VLOOKUP(A604,infradensité!$A$2:$B$67,2,FALSE)</f>
        <v>0.45</v>
      </c>
      <c r="X604" s="339">
        <v>1.3</v>
      </c>
      <c r="Y604" s="340">
        <f t="shared" si="88"/>
        <v>82.19250000000001</v>
      </c>
      <c r="Z604" s="340">
        <f t="shared" ref="Z604:Z663" si="90">+EXP(-1.0587+0.8836*LN(Y604)+0.284)</f>
        <v>22.672415305819115</v>
      </c>
      <c r="AA604" s="95" t="str">
        <f t="shared" si="85"/>
        <v>Pin d'Alep_F1_Classique_ONF 1993_61_</v>
      </c>
      <c r="AB604" s="1">
        <f t="shared" si="86"/>
        <v>61</v>
      </c>
      <c r="AC604" s="340">
        <f t="shared" si="89"/>
        <v>182.63972749096828</v>
      </c>
      <c r="AD604" s="341">
        <f t="shared" si="87"/>
        <v>226.46344741040008</v>
      </c>
      <c r="AE604" s="1">
        <f t="shared" si="84"/>
        <v>152.52304942019458</v>
      </c>
    </row>
    <row r="605" spans="1:31" hidden="1" x14ac:dyDescent="0.25">
      <c r="A605" s="92" t="s">
        <v>367</v>
      </c>
      <c r="B605" s="92" t="s">
        <v>9</v>
      </c>
      <c r="C605" s="92" t="s">
        <v>18</v>
      </c>
      <c r="D605" s="92" t="s">
        <v>1513</v>
      </c>
      <c r="F605">
        <v>62</v>
      </c>
      <c r="J605" s="349">
        <v>147</v>
      </c>
      <c r="W605" s="339">
        <f>+VLOOKUP(A605,infradensité!$A$2:$B$67,2,FALSE)</f>
        <v>0.45</v>
      </c>
      <c r="X605" s="339">
        <v>1.3</v>
      </c>
      <c r="Y605" s="340">
        <f t="shared" si="88"/>
        <v>85.995000000000005</v>
      </c>
      <c r="Z605" s="340">
        <f t="shared" si="90"/>
        <v>23.596771395162531</v>
      </c>
      <c r="AA605" s="95" t="str">
        <f t="shared" si="85"/>
        <v>Pin d'Alep_F1_Classique_ONF 1993_62_</v>
      </c>
      <c r="AB605" s="1">
        <f t="shared" si="86"/>
        <v>62</v>
      </c>
      <c r="AC605" s="340">
        <f t="shared" si="89"/>
        <v>190.87233517990808</v>
      </c>
      <c r="AD605" s="341">
        <f t="shared" si="87"/>
        <v>186.75603133543819</v>
      </c>
      <c r="AE605" s="1">
        <f t="shared" si="84"/>
        <v>152.52304942019458</v>
      </c>
    </row>
    <row r="606" spans="1:31" hidden="1" x14ac:dyDescent="0.25">
      <c r="A606" s="92" t="s">
        <v>367</v>
      </c>
      <c r="B606" s="92" t="s">
        <v>9</v>
      </c>
      <c r="C606" s="92" t="s">
        <v>18</v>
      </c>
      <c r="D606" s="92" t="s">
        <v>1513</v>
      </c>
      <c r="F606">
        <v>63</v>
      </c>
      <c r="J606" s="349">
        <v>153.5</v>
      </c>
      <c r="W606" s="339">
        <f>+VLOOKUP(A606,infradensité!$A$2:$B$67,2,FALSE)</f>
        <v>0.45</v>
      </c>
      <c r="X606" s="339">
        <v>1.3</v>
      </c>
      <c r="Y606" s="340">
        <f t="shared" si="88"/>
        <v>89.797500000000014</v>
      </c>
      <c r="Z606" s="340">
        <f t="shared" si="90"/>
        <v>24.516380469385524</v>
      </c>
      <c r="AA606" s="95" t="str">
        <f t="shared" si="85"/>
        <v>Pin d'Alep_F1_Classique_ONF 1993_63_</v>
      </c>
      <c r="AB606" s="1">
        <f t="shared" si="86"/>
        <v>63</v>
      </c>
      <c r="AC606" s="340">
        <f t="shared" si="89"/>
        <v>199.09667515084649</v>
      </c>
      <c r="AD606" s="341">
        <f t="shared" si="87"/>
        <v>194.9845051653773</v>
      </c>
      <c r="AE606" s="1">
        <f t="shared" si="84"/>
        <v>152.52304942019458</v>
      </c>
    </row>
    <row r="607" spans="1:31" hidden="1" x14ac:dyDescent="0.25">
      <c r="A607" s="92" t="s">
        <v>367</v>
      </c>
      <c r="B607" s="92" t="s">
        <v>9</v>
      </c>
      <c r="C607" s="92" t="s">
        <v>18</v>
      </c>
      <c r="D607" s="92" t="s">
        <v>1513</v>
      </c>
      <c r="F607">
        <v>64</v>
      </c>
      <c r="J607" s="349">
        <v>160</v>
      </c>
      <c r="W607" s="339">
        <f>+VLOOKUP(A607,infradensité!$A$2:$B$67,2,FALSE)</f>
        <v>0.45</v>
      </c>
      <c r="X607" s="339">
        <v>1.3</v>
      </c>
      <c r="Y607" s="340">
        <f t="shared" si="88"/>
        <v>93.600000000000009</v>
      </c>
      <c r="Z607" s="340">
        <f t="shared" si="90"/>
        <v>25.431466524572937</v>
      </c>
      <c r="AA607" s="95" t="str">
        <f t="shared" si="85"/>
        <v>Pin d'Alep_F1_Classique_ONF 1993_64_</v>
      </c>
      <c r="AB607" s="1">
        <f t="shared" si="86"/>
        <v>64</v>
      </c>
      <c r="AC607" s="340">
        <f t="shared" si="89"/>
        <v>207.31313753029789</v>
      </c>
      <c r="AD607" s="341">
        <f t="shared" si="87"/>
        <v>203.20490634057219</v>
      </c>
      <c r="AE607" s="1">
        <f t="shared" si="84"/>
        <v>152.52304942019458</v>
      </c>
    </row>
    <row r="608" spans="1:31" hidden="1" x14ac:dyDescent="0.25">
      <c r="A608" s="92" t="s">
        <v>367</v>
      </c>
      <c r="B608" s="92" t="s">
        <v>9</v>
      </c>
      <c r="C608" s="92" t="s">
        <v>18</v>
      </c>
      <c r="D608" s="92" t="s">
        <v>1513</v>
      </c>
      <c r="F608">
        <v>65</v>
      </c>
      <c r="J608" s="349">
        <v>166.5</v>
      </c>
      <c r="W608" s="339">
        <f>+VLOOKUP(A608,infradensité!$A$2:$B$67,2,FALSE)</f>
        <v>0.45</v>
      </c>
      <c r="X608" s="339">
        <v>1.3</v>
      </c>
      <c r="Y608" s="340">
        <f t="shared" si="88"/>
        <v>97.402500000000018</v>
      </c>
      <c r="Z608" s="340">
        <f t="shared" si="90"/>
        <v>26.342234327160678</v>
      </c>
      <c r="AA608" s="95" t="str">
        <f t="shared" si="85"/>
        <v>Pin d'Alep_F1_Classique_ONF 1993_65_</v>
      </c>
      <c r="AB608" s="1">
        <f t="shared" si="86"/>
        <v>65</v>
      </c>
      <c r="AC608" s="340">
        <f t="shared" si="89"/>
        <v>215.52207895313822</v>
      </c>
      <c r="AD608" s="341">
        <f t="shared" si="87"/>
        <v>211.41760824171806</v>
      </c>
      <c r="AE608" s="1">
        <f t="shared" ref="AE608:AE623" si="91">+SUM($AD$543:$AD$623)/80</f>
        <v>152.52304942019458</v>
      </c>
    </row>
    <row r="609" spans="1:31" hidden="1" x14ac:dyDescent="0.25">
      <c r="A609" s="92" t="s">
        <v>367</v>
      </c>
      <c r="B609" s="92" t="s">
        <v>9</v>
      </c>
      <c r="C609" s="92" t="s">
        <v>18</v>
      </c>
      <c r="D609" s="92" t="s">
        <v>1513</v>
      </c>
      <c r="F609">
        <v>66</v>
      </c>
      <c r="J609" s="349">
        <v>173</v>
      </c>
      <c r="W609" s="339">
        <f>+VLOOKUP(A609,infradensité!$A$2:$B$67,2,FALSE)</f>
        <v>0.45</v>
      </c>
      <c r="X609" s="339">
        <v>1.3</v>
      </c>
      <c r="Y609" s="340">
        <f t="shared" si="88"/>
        <v>101.20500000000001</v>
      </c>
      <c r="Z609" s="340">
        <f t="shared" si="90"/>
        <v>27.248871750580868</v>
      </c>
      <c r="AA609" s="95" t="str">
        <f t="shared" si="85"/>
        <v>Pin d'Alep_F1_Classique_ONF 1993_66_</v>
      </c>
      <c r="AB609" s="1">
        <f t="shared" si="86"/>
        <v>66</v>
      </c>
      <c r="AC609" s="340">
        <f t="shared" si="89"/>
        <v>223.72382663226168</v>
      </c>
      <c r="AD609" s="341">
        <f t="shared" si="87"/>
        <v>219.62295279269995</v>
      </c>
      <c r="AE609" s="1">
        <f t="shared" si="91"/>
        <v>152.52304942019458</v>
      </c>
    </row>
    <row r="610" spans="1:31" hidden="1" x14ac:dyDescent="0.25">
      <c r="A610" s="92" t="s">
        <v>367</v>
      </c>
      <c r="B610" s="92" t="s">
        <v>9</v>
      </c>
      <c r="C610" s="92" t="s">
        <v>18</v>
      </c>
      <c r="D610" s="92" t="s">
        <v>1513</v>
      </c>
      <c r="F610">
        <v>67</v>
      </c>
      <c r="J610" s="349">
        <v>179.5</v>
      </c>
      <c r="W610" s="339">
        <f>+VLOOKUP(A610,infradensité!$A$2:$B$67,2,FALSE)</f>
        <v>0.45</v>
      </c>
      <c r="X610" s="339">
        <v>1.3</v>
      </c>
      <c r="Y610" s="340">
        <f t="shared" si="88"/>
        <v>105.00750000000001</v>
      </c>
      <c r="Z610" s="340">
        <f t="shared" si="90"/>
        <v>28.151551750861255</v>
      </c>
      <c r="AA610" s="95" t="str">
        <f t="shared" si="85"/>
        <v>Pin d'Alep_F1_Classique_ONF 1993_67_</v>
      </c>
      <c r="AB610" s="1">
        <f t="shared" si="86"/>
        <v>67</v>
      </c>
      <c r="AC610" s="340">
        <f t="shared" si="89"/>
        <v>231.9186817994167</v>
      </c>
      <c r="AD610" s="341">
        <f t="shared" si="87"/>
        <v>227.82125421583919</v>
      </c>
      <c r="AE610" s="1">
        <f t="shared" si="91"/>
        <v>152.52304942019458</v>
      </c>
    </row>
    <row r="611" spans="1:31" hidden="1" x14ac:dyDescent="0.25">
      <c r="A611" s="92" t="s">
        <v>367</v>
      </c>
      <c r="B611" s="92" t="s">
        <v>9</v>
      </c>
      <c r="C611" s="92" t="s">
        <v>18</v>
      </c>
      <c r="D611" s="92" t="s">
        <v>1513</v>
      </c>
      <c r="F611">
        <v>68</v>
      </c>
      <c r="J611" s="349">
        <v>186</v>
      </c>
      <c r="W611" s="339">
        <f>+VLOOKUP(A611,infradensité!$A$2:$B$67,2,FALSE)</f>
        <v>0.45</v>
      </c>
      <c r="X611" s="339">
        <v>1.3</v>
      </c>
      <c r="Y611" s="340">
        <f t="shared" si="88"/>
        <v>108.81000000000002</v>
      </c>
      <c r="Z611" s="340">
        <f t="shared" si="90"/>
        <v>29.05043404802263</v>
      </c>
      <c r="AA611" s="95" t="str">
        <f t="shared" si="85"/>
        <v>Pin d'Alep_F1_Classique_ONF 1993_68_</v>
      </c>
      <c r="AB611" s="1">
        <f t="shared" si="86"/>
        <v>68</v>
      </c>
      <c r="AC611" s="340">
        <f t="shared" si="89"/>
        <v>240.10692263363944</v>
      </c>
      <c r="AD611" s="341">
        <f t="shared" si="87"/>
        <v>236.01280221652809</v>
      </c>
      <c r="AE611" s="1">
        <f t="shared" si="91"/>
        <v>152.52304942019458</v>
      </c>
    </row>
    <row r="612" spans="1:31" hidden="1" x14ac:dyDescent="0.25">
      <c r="A612" s="92" t="s">
        <v>367</v>
      </c>
      <c r="B612" s="92" t="s">
        <v>9</v>
      </c>
      <c r="C612" s="92" t="s">
        <v>18</v>
      </c>
      <c r="D612" s="92" t="s">
        <v>1513</v>
      </c>
      <c r="F612">
        <v>69</v>
      </c>
      <c r="J612" s="349">
        <v>192.5</v>
      </c>
      <c r="W612" s="339">
        <f>+VLOOKUP(A612,infradensité!$A$2:$B$67,2,FALSE)</f>
        <v>0.45</v>
      </c>
      <c r="X612" s="339">
        <v>1.3</v>
      </c>
      <c r="Y612" s="340">
        <f t="shared" si="88"/>
        <v>112.61250000000001</v>
      </c>
      <c r="Z612" s="340">
        <f t="shared" si="90"/>
        <v>29.945666565838753</v>
      </c>
      <c r="AA612" s="95" t="str">
        <f t="shared" si="85"/>
        <v>Pin d'Alep_F1_Classique_ONF 1993_69_</v>
      </c>
      <c r="AB612" s="1">
        <f t="shared" si="86"/>
        <v>69</v>
      </c>
      <c r="AC612" s="340">
        <f t="shared" si="89"/>
        <v>248.28880676883588</v>
      </c>
      <c r="AD612" s="341">
        <f t="shared" si="87"/>
        <v>244.19786470123768</v>
      </c>
      <c r="AE612" s="1">
        <f t="shared" si="91"/>
        <v>152.52304942019458</v>
      </c>
    </row>
    <row r="613" spans="1:31" hidden="1" x14ac:dyDescent="0.25">
      <c r="A613" s="92" t="s">
        <v>367</v>
      </c>
      <c r="B613" s="92" t="s">
        <v>9</v>
      </c>
      <c r="C613" s="92" t="s">
        <v>18</v>
      </c>
      <c r="D613" s="92" t="s">
        <v>1513</v>
      </c>
      <c r="F613">
        <v>70</v>
      </c>
      <c r="J613" s="349">
        <v>199</v>
      </c>
      <c r="W613" s="339">
        <f>+VLOOKUP(A613,infradensité!$A$2:$B$67,2,FALSE)</f>
        <v>0.45</v>
      </c>
      <c r="X613" s="339">
        <v>1.3</v>
      </c>
      <c r="Y613" s="340">
        <f t="shared" si="88"/>
        <v>116.41500000000002</v>
      </c>
      <c r="Z613" s="340">
        <f t="shared" si="90"/>
        <v>30.83738667167226</v>
      </c>
      <c r="AA613" s="95" t="str">
        <f t="shared" si="85"/>
        <v>Pin d'Alep_F1_Classique_ONF 1993_70_</v>
      </c>
      <c r="AB613" s="1">
        <f t="shared" si="86"/>
        <v>70</v>
      </c>
      <c r="AC613" s="340">
        <f t="shared" si="89"/>
        <v>256.46457345316253</v>
      </c>
      <c r="AD613" s="341">
        <f t="shared" si="87"/>
        <v>252.37669011099922</v>
      </c>
      <c r="AE613" s="1">
        <f t="shared" si="91"/>
        <v>152.52304942019458</v>
      </c>
    </row>
    <row r="614" spans="1:31" hidden="1" x14ac:dyDescent="0.25">
      <c r="A614" s="92" t="s">
        <v>367</v>
      </c>
      <c r="B614" s="92" t="s">
        <v>9</v>
      </c>
      <c r="C614" s="92" t="s">
        <v>18</v>
      </c>
      <c r="D614" s="92" t="s">
        <v>1513</v>
      </c>
      <c r="F614">
        <v>71</v>
      </c>
      <c r="J614" s="349">
        <v>205.5</v>
      </c>
      <c r="W614" s="339">
        <f>+VLOOKUP(A614,infradensité!$A$2:$B$67,2,FALSE)</f>
        <v>0.45</v>
      </c>
      <c r="X614" s="339">
        <v>1.3</v>
      </c>
      <c r="Y614" s="340">
        <f t="shared" si="88"/>
        <v>120.21750000000002</v>
      </c>
      <c r="Z614" s="340">
        <f t="shared" si="90"/>
        <v>31.725722249771565</v>
      </c>
      <c r="AA614" s="95" t="str">
        <f t="shared" si="85"/>
        <v>Pin d'Alep_F1_Classique_ONF 1993_71_</v>
      </c>
      <c r="AB614" s="1">
        <f t="shared" si="86"/>
        <v>71</v>
      </c>
      <c r="AC614" s="340">
        <f t="shared" si="89"/>
        <v>264.63444541835213</v>
      </c>
      <c r="AD614" s="341">
        <f t="shared" si="87"/>
        <v>260.54950943575733</v>
      </c>
      <c r="AE614" s="1">
        <f t="shared" si="91"/>
        <v>152.52304942019458</v>
      </c>
    </row>
    <row r="615" spans="1:31" hidden="1" x14ac:dyDescent="0.25">
      <c r="A615" s="92" t="s">
        <v>367</v>
      </c>
      <c r="B615" s="92" t="s">
        <v>9</v>
      </c>
      <c r="C615" s="92" t="s">
        <v>18</v>
      </c>
      <c r="D615" s="92" t="s">
        <v>1513</v>
      </c>
      <c r="F615">
        <v>72</v>
      </c>
      <c r="J615" s="349">
        <v>212</v>
      </c>
      <c r="W615" s="339">
        <f>+VLOOKUP(A615,infradensité!$A$2:$B$67,2,FALSE)</f>
        <v>0.45</v>
      </c>
      <c r="X615" s="339">
        <v>1.3</v>
      </c>
      <c r="Y615" s="340">
        <f t="shared" si="88"/>
        <v>124.02000000000001</v>
      </c>
      <c r="Z615" s="340">
        <f t="shared" si="90"/>
        <v>32.610792634958898</v>
      </c>
      <c r="AA615" s="95" t="str">
        <f t="shared" si="85"/>
        <v>Pin d'Alep_F1_Classique_ONF 1993_72_</v>
      </c>
      <c r="AB615" s="1">
        <f t="shared" si="86"/>
        <v>72</v>
      </c>
      <c r="AC615" s="340">
        <f t="shared" si="89"/>
        <v>272.79863050588676</v>
      </c>
      <c r="AD615" s="341">
        <f t="shared" si="87"/>
        <v>268.71653796211945</v>
      </c>
      <c r="AE615" s="1">
        <f t="shared" si="91"/>
        <v>152.52304942019458</v>
      </c>
    </row>
    <row r="616" spans="1:31" hidden="1" x14ac:dyDescent="0.25">
      <c r="A616" s="92" t="s">
        <v>367</v>
      </c>
      <c r="B616" s="92" t="s">
        <v>9</v>
      </c>
      <c r="C616" s="92" t="s">
        <v>18</v>
      </c>
      <c r="D616" s="92" t="s">
        <v>1513</v>
      </c>
      <c r="F616">
        <v>73</v>
      </c>
      <c r="J616" s="349">
        <v>218.5</v>
      </c>
      <c r="W616" s="339">
        <f>+VLOOKUP(A616,infradensité!$A$2:$B$67,2,FALSE)</f>
        <v>0.45</v>
      </c>
      <c r="X616" s="339">
        <v>1.3</v>
      </c>
      <c r="Y616" s="340">
        <f t="shared" si="88"/>
        <v>127.82250000000002</v>
      </c>
      <c r="Z616" s="340">
        <f t="shared" si="90"/>
        <v>33.492709428592256</v>
      </c>
      <c r="AA616" s="95" t="str">
        <f t="shared" si="85"/>
        <v>Pin d'Alep_F1_Classique_ONF 1993_73_</v>
      </c>
      <c r="AB616" s="1">
        <f t="shared" si="86"/>
        <v>73</v>
      </c>
      <c r="AC616" s="340">
        <f t="shared" si="89"/>
        <v>280.95732308813155</v>
      </c>
      <c r="AD616" s="341">
        <f t="shared" si="87"/>
        <v>276.87797679700918</v>
      </c>
      <c r="AE616" s="1">
        <f t="shared" si="91"/>
        <v>152.52304942019458</v>
      </c>
    </row>
    <row r="617" spans="1:31" hidden="1" x14ac:dyDescent="0.25">
      <c r="A617" s="92" t="s">
        <v>367</v>
      </c>
      <c r="B617" s="92" t="s">
        <v>9</v>
      </c>
      <c r="C617" s="92" t="s">
        <v>18</v>
      </c>
      <c r="D617" s="92" t="s">
        <v>1513</v>
      </c>
      <c r="F617">
        <v>74</v>
      </c>
      <c r="J617" s="350">
        <v>225</v>
      </c>
      <c r="W617" s="339">
        <f>+VLOOKUP(A617,infradensité!$A$2:$B$67,2,FALSE)</f>
        <v>0.45</v>
      </c>
      <c r="X617" s="339">
        <v>1.3</v>
      </c>
      <c r="Y617" s="340">
        <f t="shared" si="88"/>
        <v>131.62500000000003</v>
      </c>
      <c r="Z617" s="340">
        <f t="shared" si="90"/>
        <v>34.371577214705411</v>
      </c>
      <c r="AA617" s="95" t="str">
        <f t="shared" si="85"/>
        <v>Pin d'Alep_F1_Classique_ONF 1993_74_</v>
      </c>
      <c r="AB617" s="1">
        <f t="shared" si="86"/>
        <v>74</v>
      </c>
      <c r="AC617" s="340">
        <f t="shared" si="89"/>
        <v>289.11070531561194</v>
      </c>
      <c r="AD617" s="341">
        <f t="shared" si="87"/>
        <v>285.03401420187174</v>
      </c>
      <c r="AE617" s="1">
        <f t="shared" si="91"/>
        <v>152.52304942019458</v>
      </c>
    </row>
    <row r="618" spans="1:31" hidden="1" x14ac:dyDescent="0.25">
      <c r="A618" s="92" t="s">
        <v>367</v>
      </c>
      <c r="B618" s="92" t="s">
        <v>9</v>
      </c>
      <c r="C618" s="92" t="s">
        <v>18</v>
      </c>
      <c r="D618" s="92" t="s">
        <v>1513</v>
      </c>
      <c r="F618">
        <v>75</v>
      </c>
      <c r="J618" s="349">
        <v>231.5</v>
      </c>
      <c r="W618" s="339">
        <f>+VLOOKUP(A618,infradensité!$A$2:$B$67,2,FALSE)</f>
        <v>0.45</v>
      </c>
      <c r="X618" s="339">
        <v>1.3</v>
      </c>
      <c r="Y618" s="340">
        <f t="shared" si="88"/>
        <v>135.42750000000001</v>
      </c>
      <c r="Z618" s="340">
        <f t="shared" si="90"/>
        <v>35.247494191068036</v>
      </c>
      <c r="AA618" s="95" t="str">
        <f t="shared" si="85"/>
        <v>Pin d'Alep_F1_Classique_ONF 1993_75_</v>
      </c>
      <c r="AB618" s="1">
        <f t="shared" si="86"/>
        <v>75</v>
      </c>
      <c r="AC618" s="340">
        <f t="shared" si="89"/>
        <v>297.25894821611013</v>
      </c>
      <c r="AD618" s="341">
        <f t="shared" si="87"/>
        <v>293.18482676586103</v>
      </c>
      <c r="AE618" s="1">
        <f t="shared" si="91"/>
        <v>152.52304942019458</v>
      </c>
    </row>
    <row r="619" spans="1:31" hidden="1" x14ac:dyDescent="0.25">
      <c r="A619" s="92" t="s">
        <v>367</v>
      </c>
      <c r="B619" s="92" t="s">
        <v>9</v>
      </c>
      <c r="C619" s="92" t="s">
        <v>18</v>
      </c>
      <c r="D619" s="92" t="s">
        <v>1513</v>
      </c>
      <c r="F619">
        <v>76</v>
      </c>
      <c r="J619" s="349">
        <v>238</v>
      </c>
      <c r="W619" s="339">
        <f>+VLOOKUP(A619,infradensité!$A$2:$B$67,2,FALSE)</f>
        <v>0.45</v>
      </c>
      <c r="X619" s="339">
        <v>1.3</v>
      </c>
      <c r="Y619" s="340">
        <f t="shared" si="88"/>
        <v>139.23000000000002</v>
      </c>
      <c r="Z619" s="340">
        <f t="shared" si="90"/>
        <v>36.120552727378737</v>
      </c>
      <c r="AA619" s="95" t="str">
        <f t="shared" si="85"/>
        <v>Pin d'Alep_F1_Classique_ONF 1993_76_</v>
      </c>
      <c r="AB619" s="1">
        <f t="shared" si="86"/>
        <v>76</v>
      </c>
      <c r="AC619" s="340">
        <f t="shared" si="89"/>
        <v>305.40221266685131</v>
      </c>
      <c r="AD619" s="341">
        <f t="shared" si="87"/>
        <v>301.33058044148072</v>
      </c>
      <c r="AE619" s="1">
        <f t="shared" si="91"/>
        <v>152.52304942019458</v>
      </c>
    </row>
    <row r="620" spans="1:31" hidden="1" x14ac:dyDescent="0.25">
      <c r="A620" s="92" t="s">
        <v>367</v>
      </c>
      <c r="B620" s="92" t="s">
        <v>9</v>
      </c>
      <c r="C620" s="92" t="s">
        <v>18</v>
      </c>
      <c r="D620" s="92" t="s">
        <v>1513</v>
      </c>
      <c r="F620">
        <v>77</v>
      </c>
      <c r="J620" s="349">
        <v>244.5</v>
      </c>
      <c r="W620" s="339">
        <f>+VLOOKUP(A620,infradensité!$A$2:$B$67,2,FALSE)</f>
        <v>0.45</v>
      </c>
      <c r="X620" s="339">
        <v>1.3</v>
      </c>
      <c r="Y620" s="340">
        <f t="shared" si="88"/>
        <v>143.03250000000003</v>
      </c>
      <c r="Z620" s="340">
        <f t="shared" si="90"/>
        <v>36.990839860764012</v>
      </c>
      <c r="AA620" s="95" t="str">
        <f t="shared" si="85"/>
        <v>Pin d'Alep_F1_Classique_ONF 1993_77_</v>
      </c>
      <c r="AB620" s="1">
        <f t="shared" si="86"/>
        <v>77</v>
      </c>
      <c r="AC620" s="340">
        <f t="shared" si="89"/>
        <v>313.54065025749742</v>
      </c>
      <c r="AD620" s="341">
        <f t="shared" si="87"/>
        <v>309.47143146217434</v>
      </c>
      <c r="AE620" s="1">
        <f t="shared" si="91"/>
        <v>152.52304942019458</v>
      </c>
    </row>
    <row r="621" spans="1:31" hidden="1" x14ac:dyDescent="0.25">
      <c r="A621" s="92" t="s">
        <v>367</v>
      </c>
      <c r="B621" s="92" t="s">
        <v>9</v>
      </c>
      <c r="C621" s="92" t="s">
        <v>18</v>
      </c>
      <c r="D621" s="92" t="s">
        <v>1513</v>
      </c>
      <c r="F621">
        <v>78</v>
      </c>
      <c r="J621" s="349">
        <v>251</v>
      </c>
      <c r="W621" s="339">
        <f>+VLOOKUP(A621,infradensité!$A$2:$B$67,2,FALSE)</f>
        <v>0.45</v>
      </c>
      <c r="X621" s="339">
        <v>1.3</v>
      </c>
      <c r="Y621" s="340">
        <f t="shared" si="88"/>
        <v>146.83500000000001</v>
      </c>
      <c r="Z621" s="340">
        <f t="shared" si="90"/>
        <v>37.858437737104438</v>
      </c>
      <c r="AA621" s="95" t="str">
        <f t="shared" ref="AA621:AA663" si="92">+_xlfn.CONCAT(A621,"_",B621,"_",C621,"_",D621,"_",AB621,"_")</f>
        <v>Pin d'Alep_F1_Classique_ONF 1993_78_</v>
      </c>
      <c r="AB621" s="1">
        <f t="shared" ref="AB621:AB663" si="93">F621</f>
        <v>78</v>
      </c>
      <c r="AC621" s="340">
        <f t="shared" si="89"/>
        <v>321.67440405879017</v>
      </c>
      <c r="AD621" s="341">
        <f t="shared" si="87"/>
        <v>317.6075271581438</v>
      </c>
      <c r="AE621" s="1">
        <f t="shared" si="91"/>
        <v>152.52304942019458</v>
      </c>
    </row>
    <row r="622" spans="1:31" hidden="1" x14ac:dyDescent="0.25">
      <c r="A622" s="92" t="s">
        <v>367</v>
      </c>
      <c r="B622" s="92" t="s">
        <v>9</v>
      </c>
      <c r="C622" s="92" t="s">
        <v>18</v>
      </c>
      <c r="D622" s="92" t="s">
        <v>1513</v>
      </c>
      <c r="F622">
        <v>79</v>
      </c>
      <c r="J622" s="349">
        <v>257.5</v>
      </c>
      <c r="W622" s="339">
        <f>+VLOOKUP(A622,infradensité!$A$2:$B$67,2,FALSE)</f>
        <v>0.45</v>
      </c>
      <c r="X622" s="339">
        <v>1.3</v>
      </c>
      <c r="Y622" s="340">
        <f t="shared" si="88"/>
        <v>150.63750000000002</v>
      </c>
      <c r="Z622" s="340">
        <f t="shared" si="90"/>
        <v>38.723424005359277</v>
      </c>
      <c r="AA622" s="95" t="str">
        <f t="shared" si="92"/>
        <v>Pin d'Alep_F1_Classique_ONF 1993_79_</v>
      </c>
      <c r="AB622" s="1">
        <f t="shared" si="93"/>
        <v>79</v>
      </c>
      <c r="AC622" s="340">
        <f t="shared" si="89"/>
        <v>329.80360930933409</v>
      </c>
      <c r="AD622" s="341">
        <f t="shared" si="87"/>
        <v>325.73900668406213</v>
      </c>
      <c r="AE622" s="1">
        <f t="shared" si="91"/>
        <v>152.52304942019458</v>
      </c>
    </row>
    <row r="623" spans="1:31" hidden="1" x14ac:dyDescent="0.25">
      <c r="A623" s="92" t="s">
        <v>367</v>
      </c>
      <c r="B623" s="92" t="s">
        <v>9</v>
      </c>
      <c r="C623" s="92" t="s">
        <v>18</v>
      </c>
      <c r="D623" s="92" t="s">
        <v>1513</v>
      </c>
      <c r="F623">
        <v>80</v>
      </c>
      <c r="J623" s="349">
        <v>264</v>
      </c>
      <c r="W623" s="339">
        <f>+VLOOKUP(A623,infradensité!$A$2:$B$67,2,FALSE)</f>
        <v>0.45</v>
      </c>
      <c r="X623" s="339">
        <v>1.3</v>
      </c>
      <c r="Y623" s="340">
        <f t="shared" si="88"/>
        <v>154.44000000000003</v>
      </c>
      <c r="Z623" s="340">
        <f t="shared" si="90"/>
        <v>39.58587217095549</v>
      </c>
      <c r="AA623" s="95" t="str">
        <f t="shared" si="92"/>
        <v>Pin d'Alep_F1_Classique_ONF 1993_80_</v>
      </c>
      <c r="AB623" s="1">
        <f t="shared" si="93"/>
        <v>80</v>
      </c>
      <c r="AC623" s="340">
        <f t="shared" si="89"/>
        <v>337.92839403108087</v>
      </c>
      <c r="AD623" s="341">
        <f t="shared" si="87"/>
        <v>333.86600167020748</v>
      </c>
      <c r="AE623" s="1">
        <f t="shared" si="91"/>
        <v>152.52304942019458</v>
      </c>
    </row>
    <row r="624" spans="1:31" hidden="1" x14ac:dyDescent="0.25">
      <c r="A624" s="92" t="s">
        <v>236</v>
      </c>
      <c r="B624" s="92" t="s">
        <v>144</v>
      </c>
      <c r="C624" s="92" t="s">
        <v>18</v>
      </c>
      <c r="D624" s="92" t="s">
        <v>1519</v>
      </c>
      <c r="F624">
        <v>0</v>
      </c>
      <c r="J624" s="349"/>
      <c r="W624" s="339">
        <f>+VLOOKUP(A624,infradensité!$A$2:$B$67,2,FALSE)</f>
        <v>0.46</v>
      </c>
      <c r="X624" s="339">
        <v>1.3</v>
      </c>
      <c r="Y624" s="340">
        <f t="shared" si="88"/>
        <v>0</v>
      </c>
      <c r="Z624" s="340">
        <v>0</v>
      </c>
      <c r="AA624" s="95" t="str">
        <f t="shared" si="92"/>
        <v>Pin Maritime_F3_Classique_Forêts littorales Atlantiques dunaires_0_</v>
      </c>
      <c r="AB624" s="1">
        <f t="shared" si="93"/>
        <v>0</v>
      </c>
      <c r="AC624" s="340">
        <f t="shared" si="89"/>
        <v>0</v>
      </c>
      <c r="AD624" s="341">
        <f t="shared" si="87"/>
        <v>0</v>
      </c>
      <c r="AE624" s="1">
        <f t="shared" ref="AE624:AE634" si="94">+SUM($AD$624:$AD$634)/55</f>
        <v>170.08623791868141</v>
      </c>
    </row>
    <row r="625" spans="1:33" hidden="1" x14ac:dyDescent="0.25">
      <c r="A625" s="92" t="s">
        <v>236</v>
      </c>
      <c r="B625" s="92" t="s">
        <v>144</v>
      </c>
      <c r="C625" s="92" t="s">
        <v>18</v>
      </c>
      <c r="D625" s="92" t="s">
        <v>1519</v>
      </c>
      <c r="F625" s="92">
        <v>19</v>
      </c>
      <c r="H625" s="4">
        <v>1250</v>
      </c>
      <c r="J625" s="4">
        <v>87.500000000000014</v>
      </c>
      <c r="W625" s="339">
        <f>+VLOOKUP(A625,infradensité!$A$2:$B$67,2,FALSE)</f>
        <v>0.46</v>
      </c>
      <c r="X625" s="339">
        <v>1.3</v>
      </c>
      <c r="Y625" s="340">
        <f t="shared" si="88"/>
        <v>52.325000000000017</v>
      </c>
      <c r="Z625" s="340">
        <f t="shared" si="90"/>
        <v>15.212603524222455</v>
      </c>
      <c r="AA625" s="95" t="str">
        <f t="shared" si="92"/>
        <v>Pin Maritime_F3_Classique_Forêts littorales Atlantiques dunaires_19_</v>
      </c>
      <c r="AB625" s="1">
        <f t="shared" si="93"/>
        <v>19</v>
      </c>
      <c r="AC625" s="340">
        <f t="shared" si="89"/>
        <v>117.62799280468748</v>
      </c>
      <c r="AD625" s="341">
        <f t="shared" si="87"/>
        <v>1117.4659316445311</v>
      </c>
      <c r="AE625" s="1">
        <f t="shared" si="94"/>
        <v>170.08623791868141</v>
      </c>
    </row>
    <row r="626" spans="1:33" hidden="1" x14ac:dyDescent="0.25">
      <c r="A626" s="92" t="s">
        <v>236</v>
      </c>
      <c r="B626" s="92" t="s">
        <v>144</v>
      </c>
      <c r="C626" s="92" t="s">
        <v>18</v>
      </c>
      <c r="D626" s="92" t="s">
        <v>1519</v>
      </c>
      <c r="F626" s="92">
        <v>19</v>
      </c>
      <c r="H626" s="4">
        <v>800</v>
      </c>
      <c r="J626" s="4">
        <v>56</v>
      </c>
      <c r="O626" s="93">
        <f>+J625-J626</f>
        <v>31.500000000000014</v>
      </c>
      <c r="W626" s="339">
        <f>+VLOOKUP(A626,infradensité!$A$2:$B$67,2,FALSE)</f>
        <v>0.46</v>
      </c>
      <c r="X626" s="339">
        <v>1.3</v>
      </c>
      <c r="Y626" s="340">
        <f t="shared" si="88"/>
        <v>33.488000000000007</v>
      </c>
      <c r="Z626" s="340">
        <f t="shared" si="90"/>
        <v>10.255200877844667</v>
      </c>
      <c r="AA626" s="95" t="str">
        <f t="shared" si="92"/>
        <v>Pin Maritime_F3_Classique_Forêts littorales Atlantiques dunaires_19_</v>
      </c>
      <c r="AB626" s="1">
        <f t="shared" si="93"/>
        <v>19</v>
      </c>
      <c r="AC626" s="340">
        <f t="shared" si="89"/>
        <v>76.18607486224613</v>
      </c>
      <c r="AD626" s="341">
        <f t="shared" si="87"/>
        <v>0</v>
      </c>
      <c r="AE626" s="1">
        <f t="shared" si="94"/>
        <v>170.08623791868141</v>
      </c>
      <c r="AF626">
        <f>+O626*0.43</f>
        <v>13.545000000000005</v>
      </c>
    </row>
    <row r="627" spans="1:33" hidden="1" x14ac:dyDescent="0.25">
      <c r="A627" s="92" t="s">
        <v>236</v>
      </c>
      <c r="B627" s="92" t="s">
        <v>144</v>
      </c>
      <c r="C627" s="92" t="s">
        <v>18</v>
      </c>
      <c r="D627" s="92" t="s">
        <v>1519</v>
      </c>
      <c r="F627" s="92">
        <v>24</v>
      </c>
      <c r="H627" s="4">
        <v>800</v>
      </c>
      <c r="J627" s="4">
        <v>120</v>
      </c>
      <c r="W627" s="339">
        <f>+VLOOKUP(A627,infradensité!$A$2:$B$67,2,FALSE)</f>
        <v>0.46</v>
      </c>
      <c r="X627" s="339">
        <v>1.3</v>
      </c>
      <c r="Y627" s="340">
        <f t="shared" si="88"/>
        <v>71.760000000000005</v>
      </c>
      <c r="Z627" s="340">
        <f t="shared" si="90"/>
        <v>20.109893936516215</v>
      </c>
      <c r="AA627" s="95" t="str">
        <f t="shared" si="92"/>
        <v>Pin Maritime_F3_Classique_Forêts littorales Atlantiques dunaires_24_</v>
      </c>
      <c r="AB627" s="1">
        <f t="shared" si="93"/>
        <v>24</v>
      </c>
      <c r="AC627" s="340">
        <f t="shared" si="89"/>
        <v>160.0067319394324</v>
      </c>
      <c r="AD627" s="341">
        <f t="shared" si="87"/>
        <v>590.48201700419634</v>
      </c>
      <c r="AE627" s="1">
        <f t="shared" si="94"/>
        <v>170.08623791868141</v>
      </c>
    </row>
    <row r="628" spans="1:33" hidden="1" x14ac:dyDescent="0.25">
      <c r="A628" s="92" t="s">
        <v>236</v>
      </c>
      <c r="B628" s="92" t="s">
        <v>144</v>
      </c>
      <c r="C628" s="92" t="s">
        <v>18</v>
      </c>
      <c r="D628" s="92" t="s">
        <v>1519</v>
      </c>
      <c r="F628" s="92">
        <v>24</v>
      </c>
      <c r="H628" s="4">
        <v>550</v>
      </c>
      <c r="J628" s="4">
        <v>82.5</v>
      </c>
      <c r="O628" s="93">
        <f t="shared" ref="O628:O633" si="95">+J627-J628</f>
        <v>37.5</v>
      </c>
      <c r="W628" s="339">
        <f>+VLOOKUP(A628,infradensité!$A$2:$B$67,2,FALSE)</f>
        <v>0.46</v>
      </c>
      <c r="X628" s="339">
        <v>1.3</v>
      </c>
      <c r="Y628" s="340">
        <f t="shared" si="88"/>
        <v>49.335000000000008</v>
      </c>
      <c r="Z628" s="340">
        <f t="shared" si="90"/>
        <v>14.441886914512995</v>
      </c>
      <c r="AA628" s="95" t="str">
        <f t="shared" si="92"/>
        <v>Pin Maritime_F3_Classique_Forêts littorales Atlantiques dunaires_24_</v>
      </c>
      <c r="AB628" s="1">
        <f t="shared" si="93"/>
        <v>24</v>
      </c>
      <c r="AC628" s="340">
        <f t="shared" si="89"/>
        <v>111.0780780427768</v>
      </c>
      <c r="AD628" s="341">
        <f t="shared" si="87"/>
        <v>0</v>
      </c>
      <c r="AE628" s="1">
        <f t="shared" si="94"/>
        <v>170.08623791868141</v>
      </c>
      <c r="AF628">
        <f>0.43*O628</f>
        <v>16.125</v>
      </c>
    </row>
    <row r="629" spans="1:33" s="298" customFormat="1" hidden="1" x14ac:dyDescent="0.25">
      <c r="A629" s="92" t="s">
        <v>236</v>
      </c>
      <c r="B629" s="92" t="s">
        <v>144</v>
      </c>
      <c r="C629" s="92" t="s">
        <v>18</v>
      </c>
      <c r="D629" s="92" t="s">
        <v>1519</v>
      </c>
      <c r="E629" s="96"/>
      <c r="F629" s="96">
        <v>30</v>
      </c>
      <c r="G629" s="96"/>
      <c r="H629" s="96">
        <v>550</v>
      </c>
      <c r="I629" s="96"/>
      <c r="J629" s="96">
        <v>156</v>
      </c>
      <c r="K629" s="96"/>
      <c r="L629" s="96"/>
      <c r="M629" s="96"/>
      <c r="N629" s="96"/>
      <c r="O629" s="93"/>
      <c r="P629" s="96"/>
      <c r="Q629" s="96"/>
      <c r="R629" s="96"/>
      <c r="S629" s="96"/>
      <c r="T629" s="96"/>
      <c r="U629" s="96"/>
      <c r="V629" s="96"/>
      <c r="W629" s="339">
        <f>+VLOOKUP(A629,infradensité!$A$2:$B$67,2,FALSE)</f>
        <v>0.46</v>
      </c>
      <c r="X629" s="339">
        <v>1.3</v>
      </c>
      <c r="Y629" s="340">
        <f t="shared" si="88"/>
        <v>93.288000000000011</v>
      </c>
      <c r="Z629" s="340">
        <f t="shared" si="90"/>
        <v>25.356547829040977</v>
      </c>
      <c r="AA629" s="95" t="str">
        <f t="shared" si="92"/>
        <v>Pin Maritime_F3_Classique_Forêts littorales Atlantiques dunaires_30_</v>
      </c>
      <c r="AB629" s="1">
        <f t="shared" si="93"/>
        <v>30</v>
      </c>
      <c r="AC629" s="340">
        <f t="shared" si="89"/>
        <v>206.63925413557971</v>
      </c>
      <c r="AD629" s="341">
        <f t="shared" si="87"/>
        <v>953.15199653506954</v>
      </c>
      <c r="AE629" s="1">
        <f t="shared" si="94"/>
        <v>170.08623791868141</v>
      </c>
      <c r="AG629" s="298">
        <f>+AF628+AF626</f>
        <v>29.670000000000005</v>
      </c>
    </row>
    <row r="630" spans="1:33" hidden="1" x14ac:dyDescent="0.25">
      <c r="A630" s="92" t="s">
        <v>236</v>
      </c>
      <c r="B630" s="92" t="s">
        <v>144</v>
      </c>
      <c r="C630" s="92" t="s">
        <v>18</v>
      </c>
      <c r="D630" s="92" t="s">
        <v>1519</v>
      </c>
      <c r="F630" s="92">
        <v>32</v>
      </c>
      <c r="H630" s="4">
        <v>550</v>
      </c>
      <c r="J630" s="4">
        <v>181.5</v>
      </c>
      <c r="W630" s="339">
        <f>+VLOOKUP(A630,infradensité!$A$2:$B$67,2,FALSE)</f>
        <v>0.46</v>
      </c>
      <c r="X630" s="339">
        <v>1.3</v>
      </c>
      <c r="Y630" s="340">
        <f t="shared" si="88"/>
        <v>108.53700000000002</v>
      </c>
      <c r="Z630" s="340">
        <f t="shared" si="90"/>
        <v>28.986022217646841</v>
      </c>
      <c r="AA630" s="95" t="str">
        <f t="shared" si="92"/>
        <v>Pin Maritime_F3_Classique_Forêts littorales Atlantiques dunaires_32_</v>
      </c>
      <c r="AB630" s="1">
        <f t="shared" si="93"/>
        <v>32</v>
      </c>
      <c r="AC630" s="340">
        <f t="shared" si="89"/>
        <v>239.51926369573494</v>
      </c>
      <c r="AD630" s="341">
        <f t="shared" si="87"/>
        <v>446.15851783131461</v>
      </c>
      <c r="AE630" s="1">
        <f t="shared" si="94"/>
        <v>170.08623791868141</v>
      </c>
    </row>
    <row r="631" spans="1:33" hidden="1" x14ac:dyDescent="0.25">
      <c r="A631" s="92" t="s">
        <v>236</v>
      </c>
      <c r="B631" s="92" t="s">
        <v>144</v>
      </c>
      <c r="C631" s="92" t="s">
        <v>18</v>
      </c>
      <c r="D631" s="92" t="s">
        <v>1519</v>
      </c>
      <c r="F631" s="92">
        <v>32</v>
      </c>
      <c r="H631" s="4">
        <v>380</v>
      </c>
      <c r="J631" s="4">
        <v>125.4</v>
      </c>
      <c r="O631" s="93">
        <f t="shared" si="95"/>
        <v>56.099999999999994</v>
      </c>
      <c r="W631" s="339">
        <f>+VLOOKUP(A631,infradensité!$A$2:$B$67,2,FALSE)</f>
        <v>0.46</v>
      </c>
      <c r="X631" s="339">
        <v>1.3</v>
      </c>
      <c r="Y631" s="340">
        <f t="shared" si="88"/>
        <v>74.989200000000011</v>
      </c>
      <c r="Z631" s="340">
        <f t="shared" si="90"/>
        <v>20.907443618509163</v>
      </c>
      <c r="AA631" s="95" t="str">
        <f t="shared" si="92"/>
        <v>Pin Maritime_F3_Classique_Forêts littorales Atlantiques dunaires_32_</v>
      </c>
      <c r="AB631" s="1">
        <f t="shared" si="93"/>
        <v>32</v>
      </c>
      <c r="AC631" s="340">
        <f t="shared" si="89"/>
        <v>167.01998763557012</v>
      </c>
      <c r="AD631" s="341">
        <f t="shared" si="87"/>
        <v>0</v>
      </c>
      <c r="AE631" s="1">
        <f t="shared" si="94"/>
        <v>170.08623791868141</v>
      </c>
    </row>
    <row r="632" spans="1:33" hidden="1" x14ac:dyDescent="0.25">
      <c r="A632" s="92" t="s">
        <v>236</v>
      </c>
      <c r="B632" s="92" t="s">
        <v>144</v>
      </c>
      <c r="C632" s="92" t="s">
        <v>18</v>
      </c>
      <c r="D632" s="92" t="s">
        <v>1519</v>
      </c>
      <c r="F632" s="92">
        <v>42</v>
      </c>
      <c r="H632" s="4">
        <v>380</v>
      </c>
      <c r="J632" s="4">
        <v>235.6</v>
      </c>
      <c r="W632" s="339">
        <f>+VLOOKUP(A632,infradensité!$A$2:$B$67,2,FALSE)</f>
        <v>0.46</v>
      </c>
      <c r="X632" s="339">
        <v>1.3</v>
      </c>
      <c r="Y632" s="340">
        <f t="shared" si="88"/>
        <v>140.8888</v>
      </c>
      <c r="Z632" s="340">
        <f t="shared" si="90"/>
        <v>36.500542039399996</v>
      </c>
      <c r="AA632" s="95" t="str">
        <f t="shared" si="92"/>
        <v>Pin Maritime_F3_Classique_Forêts littorales Atlantiques dunaires_42_</v>
      </c>
      <c r="AB632" s="1">
        <f t="shared" si="93"/>
        <v>42</v>
      </c>
      <c r="AC632" s="340">
        <f t="shared" si="89"/>
        <v>308.95310405195499</v>
      </c>
      <c r="AD632" s="341">
        <f t="shared" si="87"/>
        <v>2379.8654584376254</v>
      </c>
      <c r="AE632" s="1">
        <f t="shared" si="94"/>
        <v>170.08623791868141</v>
      </c>
    </row>
    <row r="633" spans="1:33" hidden="1" x14ac:dyDescent="0.25">
      <c r="A633" s="92" t="s">
        <v>236</v>
      </c>
      <c r="B633" s="92" t="s">
        <v>144</v>
      </c>
      <c r="C633" s="92" t="s">
        <v>18</v>
      </c>
      <c r="D633" s="92" t="s">
        <v>1519</v>
      </c>
      <c r="F633" s="92">
        <v>42</v>
      </c>
      <c r="H633" s="4">
        <v>280</v>
      </c>
      <c r="J633" s="4">
        <v>173.6</v>
      </c>
      <c r="O633" s="93">
        <f t="shared" si="95"/>
        <v>62</v>
      </c>
      <c r="W633" s="339">
        <f>+VLOOKUP(A633,infradensité!$A$2:$B$67,2,FALSE)</f>
        <v>0.46</v>
      </c>
      <c r="X633" s="339">
        <v>1.3</v>
      </c>
      <c r="Y633" s="340">
        <f t="shared" si="88"/>
        <v>103.81280000000001</v>
      </c>
      <c r="Z633" s="340">
        <f t="shared" si="90"/>
        <v>27.868356940127882</v>
      </c>
      <c r="AA633" s="95" t="str">
        <f t="shared" si="92"/>
        <v>Pin Maritime_F3_Classique_Forêts littorales Atlantiques dunaires_42_</v>
      </c>
      <c r="AB633" s="1">
        <f t="shared" si="93"/>
        <v>42</v>
      </c>
      <c r="AC633" s="340">
        <f t="shared" si="89"/>
        <v>229.34468167072271</v>
      </c>
      <c r="AD633" s="341">
        <f t="shared" si="87"/>
        <v>0</v>
      </c>
      <c r="AE633" s="1">
        <f t="shared" si="94"/>
        <v>170.08623791868141</v>
      </c>
    </row>
    <row r="634" spans="1:33" hidden="1" x14ac:dyDescent="0.25">
      <c r="A634" s="92" t="s">
        <v>236</v>
      </c>
      <c r="B634" s="92" t="s">
        <v>144</v>
      </c>
      <c r="C634" s="92" t="s">
        <v>18</v>
      </c>
      <c r="D634" s="92" t="s">
        <v>1519</v>
      </c>
      <c r="F634" s="92">
        <v>55</v>
      </c>
      <c r="H634" s="4">
        <v>280</v>
      </c>
      <c r="J634" s="4">
        <v>280</v>
      </c>
      <c r="W634" s="339">
        <f>+VLOOKUP(A634,infradensité!$A$2:$B$67,2,FALSE)</f>
        <v>0.46</v>
      </c>
      <c r="X634" s="339">
        <v>1.3</v>
      </c>
      <c r="Y634" s="340">
        <f t="shared" si="88"/>
        <v>167.44000000000003</v>
      </c>
      <c r="Z634" s="340">
        <f t="shared" si="90"/>
        <v>42.516163405082935</v>
      </c>
      <c r="AA634" s="95" t="str">
        <f t="shared" si="92"/>
        <v>Pin Maritime_F3_Classique_Forêts littorales Atlantiques dunaires_55_</v>
      </c>
      <c r="AB634" s="1">
        <f t="shared" si="93"/>
        <v>55</v>
      </c>
      <c r="AC634" s="340">
        <f t="shared" si="89"/>
        <v>365.67365126385283</v>
      </c>
      <c r="AD634" s="341">
        <f t="shared" si="87"/>
        <v>3867.6191640747406</v>
      </c>
      <c r="AE634" s="1">
        <f t="shared" si="94"/>
        <v>170.08623791868141</v>
      </c>
    </row>
    <row r="635" spans="1:33" x14ac:dyDescent="0.25">
      <c r="A635" s="92" t="s">
        <v>389</v>
      </c>
      <c r="B635" s="92" t="s">
        <v>144</v>
      </c>
      <c r="C635" s="92" t="s">
        <v>18</v>
      </c>
      <c r="D635" s="92" t="s">
        <v>1521</v>
      </c>
      <c r="F635" s="92">
        <v>0</v>
      </c>
      <c r="J635" s="4">
        <f>F635*J637/47</f>
        <v>0</v>
      </c>
      <c r="W635" s="339">
        <f>+VLOOKUP(A635,infradensité!$A$2:$B$67,2,FALSE)</f>
        <v>0.57999999999999996</v>
      </c>
      <c r="X635" s="339">
        <v>1.3</v>
      </c>
      <c r="Y635" s="340">
        <f t="shared" si="88"/>
        <v>0</v>
      </c>
      <c r="Z635" s="340">
        <v>0</v>
      </c>
      <c r="AA635" s="95" t="str">
        <f t="shared" si="92"/>
        <v>Chêne sessile_F3_Classique_Guide chênaie atlantique - Mémento Sylvicole Coupes_0_</v>
      </c>
      <c r="AB635" s="1">
        <f t="shared" si="93"/>
        <v>0</v>
      </c>
      <c r="AC635" s="340">
        <f t="shared" si="89"/>
        <v>0</v>
      </c>
      <c r="AD635" s="341">
        <f t="shared" si="87"/>
        <v>0</v>
      </c>
      <c r="AE635" s="1">
        <f>+SUM($AD$635:$AD$663)/190</f>
        <v>269.60791697541794</v>
      </c>
    </row>
    <row r="636" spans="1:33" ht="30" x14ac:dyDescent="0.25">
      <c r="A636" s="92" t="s">
        <v>389</v>
      </c>
      <c r="B636" s="92" t="s">
        <v>144</v>
      </c>
      <c r="C636" s="92" t="s">
        <v>18</v>
      </c>
      <c r="D636" s="92" t="s">
        <v>1521</v>
      </c>
      <c r="F636" s="92">
        <v>30</v>
      </c>
      <c r="J636" s="96">
        <f>+J637/47*30</f>
        <v>81</v>
      </c>
      <c r="K636" s="355" t="s">
        <v>1520</v>
      </c>
      <c r="W636" s="339">
        <f>+VLOOKUP(A636,infradensité!$A$2:$B$67,2,FALSE)</f>
        <v>0.57999999999999996</v>
      </c>
      <c r="X636" s="339">
        <v>1.3</v>
      </c>
      <c r="Y636" s="340">
        <f t="shared" si="88"/>
        <v>61.073999999999998</v>
      </c>
      <c r="Z636" s="340">
        <f t="shared" si="90"/>
        <v>17.439528890067717</v>
      </c>
      <c r="AA636" s="95" t="str">
        <f t="shared" si="92"/>
        <v>Chêne sessile_F3_Classique_Guide chênaie atlantique - Mémento Sylvicole Coupes_30_</v>
      </c>
      <c r="AB636" s="1">
        <f t="shared" si="93"/>
        <v>30</v>
      </c>
      <c r="AC636" s="340">
        <f t="shared" si="89"/>
        <v>136.74439615020125</v>
      </c>
      <c r="AD636" s="341">
        <f t="shared" si="87"/>
        <v>2051.1659422530188</v>
      </c>
      <c r="AE636" s="1">
        <f t="shared" ref="AE636:AE663" si="96">+SUM($AD$635:$AD$663)/190</f>
        <v>269.60791697541794</v>
      </c>
    </row>
    <row r="637" spans="1:33" x14ac:dyDescent="0.25">
      <c r="A637" s="92" t="s">
        <v>389</v>
      </c>
      <c r="B637" s="92" t="s">
        <v>144</v>
      </c>
      <c r="C637" s="92" t="s">
        <v>18</v>
      </c>
      <c r="D637" s="92" t="s">
        <v>1521</v>
      </c>
      <c r="F637" s="92">
        <v>47</v>
      </c>
      <c r="J637" s="96">
        <v>126.9</v>
      </c>
      <c r="W637" s="339">
        <f>+VLOOKUP(A637,infradensité!$A$2:$B$67,2,FALSE)</f>
        <v>0.57999999999999996</v>
      </c>
      <c r="X637" s="339">
        <v>1.3</v>
      </c>
      <c r="Y637" s="340">
        <f t="shared" si="88"/>
        <v>95.682600000000008</v>
      </c>
      <c r="Z637" s="340">
        <f t="shared" si="90"/>
        <v>25.930809542453641</v>
      </c>
      <c r="AA637" s="95" t="str">
        <f t="shared" si="92"/>
        <v>Chêne sessile_F3_Classique_Guide chênaie atlantique - Mémento Sylvicole Coupes_47_</v>
      </c>
      <c r="AB637" s="1">
        <f t="shared" si="93"/>
        <v>47</v>
      </c>
      <c r="AC637" s="340">
        <f t="shared" si="89"/>
        <v>211.81002161977344</v>
      </c>
      <c r="AD637" s="341">
        <f t="shared" si="87"/>
        <v>2962.712551044785</v>
      </c>
      <c r="AE637" s="1">
        <f t="shared" si="96"/>
        <v>269.60791697541794</v>
      </c>
    </row>
    <row r="638" spans="1:33" x14ac:dyDescent="0.25">
      <c r="A638" s="92" t="s">
        <v>389</v>
      </c>
      <c r="B638" s="92" t="s">
        <v>144</v>
      </c>
      <c r="C638" s="92" t="s">
        <v>18</v>
      </c>
      <c r="D638" s="92" t="s">
        <v>1521</v>
      </c>
      <c r="F638" s="92">
        <v>47</v>
      </c>
      <c r="J638" s="96">
        <v>71.400000000000006</v>
      </c>
      <c r="O638" s="93">
        <f>J637-J638</f>
        <v>55.5</v>
      </c>
      <c r="W638" s="339">
        <f>+VLOOKUP(A638,infradensité!$A$2:$B$67,2,FALSE)</f>
        <v>0.57999999999999996</v>
      </c>
      <c r="X638" s="339">
        <v>1.3</v>
      </c>
      <c r="Y638" s="340">
        <f t="shared" si="88"/>
        <v>53.835600000000007</v>
      </c>
      <c r="Z638" s="340">
        <f t="shared" si="90"/>
        <v>15.600018953409981</v>
      </c>
      <c r="AA638" s="95" t="str">
        <f t="shared" si="92"/>
        <v>Chêne sessile_F3_Classique_Guide chênaie atlantique - Mémento Sylvicole Coupes_47_</v>
      </c>
      <c r="AB638" s="1">
        <f t="shared" si="93"/>
        <v>47</v>
      </c>
      <c r="AC638" s="340">
        <f t="shared" si="89"/>
        <v>120.93370301052239</v>
      </c>
      <c r="AD638" s="341">
        <f t="shared" si="87"/>
        <v>0</v>
      </c>
      <c r="AE638" s="1">
        <f t="shared" si="96"/>
        <v>269.60791697541794</v>
      </c>
    </row>
    <row r="639" spans="1:33" x14ac:dyDescent="0.25">
      <c r="A639" s="92" t="s">
        <v>389</v>
      </c>
      <c r="B639" s="92" t="s">
        <v>144</v>
      </c>
      <c r="C639" s="92" t="s">
        <v>18</v>
      </c>
      <c r="D639" s="92" t="s">
        <v>1521</v>
      </c>
      <c r="F639" s="92">
        <v>55</v>
      </c>
      <c r="J639" s="96">
        <v>108.3</v>
      </c>
      <c r="W639" s="339">
        <f>+VLOOKUP(A639,infradensité!$A$2:$B$67,2,FALSE)</f>
        <v>0.57999999999999996</v>
      </c>
      <c r="X639" s="339">
        <v>1.3</v>
      </c>
      <c r="Y639" s="340">
        <f t="shared" si="88"/>
        <v>81.658199999999994</v>
      </c>
      <c r="Z639" s="340">
        <f t="shared" si="90"/>
        <v>22.542137283990165</v>
      </c>
      <c r="AA639" s="95" t="str">
        <f t="shared" si="92"/>
        <v>Chêne sessile_F3_Classique_Guide chênaie atlantique - Mémento Sylvicole Coupes_55_</v>
      </c>
      <c r="AB639" s="1">
        <f t="shared" si="93"/>
        <v>55</v>
      </c>
      <c r="AC639" s="340">
        <f t="shared" si="89"/>
        <v>181.4822541029495</v>
      </c>
      <c r="AD639" s="341">
        <f t="shared" si="87"/>
        <v>1209.6638284538876</v>
      </c>
      <c r="AE639" s="1">
        <f t="shared" si="96"/>
        <v>269.60791697541794</v>
      </c>
    </row>
    <row r="640" spans="1:33" x14ac:dyDescent="0.25">
      <c r="A640" s="92" t="s">
        <v>389</v>
      </c>
      <c r="B640" s="92" t="s">
        <v>144</v>
      </c>
      <c r="C640" s="92" t="s">
        <v>18</v>
      </c>
      <c r="D640" s="92" t="s">
        <v>1521</v>
      </c>
      <c r="F640" s="92">
        <v>55</v>
      </c>
      <c r="J640" s="96">
        <v>79.2</v>
      </c>
      <c r="O640" s="93">
        <f>J639-J640</f>
        <v>29.099999999999994</v>
      </c>
      <c r="W640" s="339">
        <f>+VLOOKUP(A640,infradensité!$A$2:$B$67,2,FALSE)</f>
        <v>0.57999999999999996</v>
      </c>
      <c r="X640" s="339">
        <v>1.3</v>
      </c>
      <c r="Y640" s="340">
        <f t="shared" si="88"/>
        <v>59.716799999999999</v>
      </c>
      <c r="Z640" s="340">
        <f t="shared" si="90"/>
        <v>17.096647463151534</v>
      </c>
      <c r="AA640" s="95" t="str">
        <f t="shared" si="92"/>
        <v>Chêne sessile_F3_Classique_Guide chênaie atlantique - Mémento Sylvicole Coupes_55_</v>
      </c>
      <c r="AB640" s="1">
        <f t="shared" si="93"/>
        <v>55</v>
      </c>
      <c r="AC640" s="340">
        <f t="shared" si="89"/>
        <v>133.78342099832227</v>
      </c>
      <c r="AD640" s="341">
        <f t="shared" si="87"/>
        <v>0</v>
      </c>
      <c r="AE640" s="1">
        <f t="shared" si="96"/>
        <v>269.60791697541794</v>
      </c>
    </row>
    <row r="641" spans="1:31" x14ac:dyDescent="0.25">
      <c r="A641" s="92" t="s">
        <v>389</v>
      </c>
      <c r="B641" s="92" t="s">
        <v>144</v>
      </c>
      <c r="C641" s="92" t="s">
        <v>18</v>
      </c>
      <c r="D641" s="92" t="s">
        <v>1521</v>
      </c>
      <c r="F641" s="92">
        <v>63</v>
      </c>
      <c r="J641" s="4">
        <v>117</v>
      </c>
      <c r="W641" s="339">
        <f>+VLOOKUP(A641,infradensité!$A$2:$B$67,2,FALSE)</f>
        <v>0.57999999999999996</v>
      </c>
      <c r="X641" s="339">
        <v>1.3</v>
      </c>
      <c r="Y641" s="340">
        <f t="shared" si="88"/>
        <v>88.218000000000004</v>
      </c>
      <c r="Z641" s="340">
        <f t="shared" si="90"/>
        <v>24.134950560421586</v>
      </c>
      <c r="AA641" s="95" t="str">
        <f t="shared" si="92"/>
        <v>Chêne sessile_F3_Classique_Guide chênaie atlantique - Mémento Sylvicole Coupes_63_</v>
      </c>
      <c r="AB641" s="1">
        <f t="shared" si="93"/>
        <v>63</v>
      </c>
      <c r="AC641" s="340">
        <f t="shared" si="89"/>
        <v>195.68138889273428</v>
      </c>
      <c r="AD641" s="341">
        <f t="shared" si="87"/>
        <v>1317.8592395642263</v>
      </c>
      <c r="AE641" s="1">
        <f t="shared" si="96"/>
        <v>269.60791697541794</v>
      </c>
    </row>
    <row r="642" spans="1:31" x14ac:dyDescent="0.25">
      <c r="A642" s="92" t="s">
        <v>389</v>
      </c>
      <c r="B642" s="92" t="s">
        <v>144</v>
      </c>
      <c r="C642" s="92" t="s">
        <v>18</v>
      </c>
      <c r="D642" s="92" t="s">
        <v>1521</v>
      </c>
      <c r="F642" s="92">
        <v>63</v>
      </c>
      <c r="J642" s="4">
        <v>92</v>
      </c>
      <c r="O642" s="93">
        <f>J641-J642</f>
        <v>25</v>
      </c>
      <c r="W642" s="339">
        <f>+VLOOKUP(A642,infradensité!$A$2:$B$67,2,FALSE)</f>
        <v>0.57999999999999996</v>
      </c>
      <c r="X642" s="339">
        <v>1.3</v>
      </c>
      <c r="Y642" s="340">
        <f t="shared" si="88"/>
        <v>69.367999999999995</v>
      </c>
      <c r="Z642" s="340">
        <f t="shared" si="90"/>
        <v>19.516426948203531</v>
      </c>
      <c r="AA642" s="95" t="str">
        <f t="shared" si="92"/>
        <v>Chêne sessile_F3_Classique_Guide chênaie atlantique - Mémento Sylvicole Coupes_63_</v>
      </c>
      <c r="AB642" s="1">
        <f t="shared" si="93"/>
        <v>63</v>
      </c>
      <c r="AC642" s="340">
        <f t="shared" si="89"/>
        <v>154.80704360145447</v>
      </c>
      <c r="AD642" s="341">
        <f t="shared" si="87"/>
        <v>0</v>
      </c>
      <c r="AE642" s="1">
        <f t="shared" si="96"/>
        <v>269.60791697541794</v>
      </c>
    </row>
    <row r="643" spans="1:31" x14ac:dyDescent="0.25">
      <c r="A643" s="92" t="s">
        <v>389</v>
      </c>
      <c r="B643" s="92" t="s">
        <v>144</v>
      </c>
      <c r="C643" s="92" t="s">
        <v>18</v>
      </c>
      <c r="D643" s="92" t="s">
        <v>1521</v>
      </c>
      <c r="F643" s="92">
        <v>73</v>
      </c>
      <c r="J643" s="4">
        <v>137</v>
      </c>
      <c r="W643" s="339">
        <f>+VLOOKUP(A643,infradensité!$A$2:$B$67,2,FALSE)</f>
        <v>0.57999999999999996</v>
      </c>
      <c r="X643" s="339">
        <v>1.3</v>
      </c>
      <c r="Y643" s="340">
        <f t="shared" si="88"/>
        <v>103.298</v>
      </c>
      <c r="Z643" s="340">
        <f t="shared" si="90"/>
        <v>27.746210655823507</v>
      </c>
      <c r="AA643" s="95" t="str">
        <f t="shared" si="92"/>
        <v>Chêne sessile_F3_Classique_Guide chênaie atlantique - Mémento Sylvicole Coupes_73_</v>
      </c>
      <c r="AB643" s="1">
        <f t="shared" si="93"/>
        <v>73</v>
      </c>
      <c r="AC643" s="340">
        <f t="shared" si="89"/>
        <v>228.23533355889262</v>
      </c>
      <c r="AD643" s="341">
        <f t="shared" si="87"/>
        <v>1915.2118858017354</v>
      </c>
      <c r="AE643" s="1">
        <f t="shared" si="96"/>
        <v>269.60791697541794</v>
      </c>
    </row>
    <row r="644" spans="1:31" x14ac:dyDescent="0.25">
      <c r="A644" s="92" t="s">
        <v>389</v>
      </c>
      <c r="B644" s="92" t="s">
        <v>144</v>
      </c>
      <c r="C644" s="92" t="s">
        <v>18</v>
      </c>
      <c r="D644" s="92" t="s">
        <v>1521</v>
      </c>
      <c r="F644" s="92">
        <v>73</v>
      </c>
      <c r="J644" s="4">
        <v>112</v>
      </c>
      <c r="O644" s="93">
        <f>J643-J644</f>
        <v>25</v>
      </c>
      <c r="W644" s="339">
        <f>+VLOOKUP(A644,infradensité!$A$2:$B$67,2,FALSE)</f>
        <v>0.57999999999999996</v>
      </c>
      <c r="X644" s="339">
        <v>1.3</v>
      </c>
      <c r="Y644" s="340">
        <f t="shared" si="88"/>
        <v>84.448000000000008</v>
      </c>
      <c r="Z644" s="340">
        <f t="shared" si="90"/>
        <v>23.22129474312106</v>
      </c>
      <c r="AA644" s="95" t="str">
        <f t="shared" si="92"/>
        <v>Chêne sessile_F3_Classique_Guide chênaie atlantique - Mémento Sylvicole Coupes_73_</v>
      </c>
      <c r="AB644" s="1">
        <f t="shared" si="93"/>
        <v>73</v>
      </c>
      <c r="AC644" s="340">
        <f t="shared" si="89"/>
        <v>187.52402167760252</v>
      </c>
      <c r="AD644" s="341">
        <f t="shared" si="87"/>
        <v>0</v>
      </c>
      <c r="AE644" s="1">
        <f t="shared" si="96"/>
        <v>269.60791697541794</v>
      </c>
    </row>
    <row r="645" spans="1:31" x14ac:dyDescent="0.25">
      <c r="A645" s="92" t="s">
        <v>389</v>
      </c>
      <c r="B645" s="92" t="s">
        <v>144</v>
      </c>
      <c r="C645" s="92" t="s">
        <v>18</v>
      </c>
      <c r="D645" s="92" t="s">
        <v>1521</v>
      </c>
      <c r="F645" s="92">
        <v>83</v>
      </c>
      <c r="J645" s="4">
        <v>156</v>
      </c>
      <c r="W645" s="339">
        <f>+VLOOKUP(A645,infradensité!$A$2:$B$67,2,FALSE)</f>
        <v>0.57999999999999996</v>
      </c>
      <c r="X645" s="339">
        <v>1.3</v>
      </c>
      <c r="Y645" s="340">
        <f t="shared" si="88"/>
        <v>117.624</v>
      </c>
      <c r="Z645" s="340">
        <f t="shared" si="90"/>
        <v>31.120192961985413</v>
      </c>
      <c r="AA645" s="95" t="str">
        <f t="shared" si="92"/>
        <v>Chêne sessile_F3_Classique_Guide chênaie atlantique - Mémento Sylvicole Coupes_83_</v>
      </c>
      <c r="AB645" s="1">
        <f t="shared" si="93"/>
        <v>83</v>
      </c>
      <c r="AC645" s="340">
        <f t="shared" si="89"/>
        <v>259.06280274212457</v>
      </c>
      <c r="AD645" s="341">
        <f t="shared" si="87"/>
        <v>2232.9341220986357</v>
      </c>
      <c r="AE645" s="1">
        <f t="shared" si="96"/>
        <v>269.60791697541794</v>
      </c>
    </row>
    <row r="646" spans="1:31" x14ac:dyDescent="0.25">
      <c r="A646" s="92" t="s">
        <v>389</v>
      </c>
      <c r="B646" s="92" t="s">
        <v>144</v>
      </c>
      <c r="C646" s="92" t="s">
        <v>18</v>
      </c>
      <c r="D646" s="92" t="s">
        <v>1521</v>
      </c>
      <c r="F646" s="92">
        <v>83</v>
      </c>
      <c r="J646" s="4">
        <v>129</v>
      </c>
      <c r="O646" s="93">
        <f>J645-J646</f>
        <v>27</v>
      </c>
      <c r="W646" s="339">
        <f>+VLOOKUP(A646,infradensité!$A$2:$B$67,2,FALSE)</f>
        <v>0.57999999999999996</v>
      </c>
      <c r="X646" s="339">
        <v>1.3</v>
      </c>
      <c r="Y646" s="340">
        <f t="shared" si="88"/>
        <v>97.266000000000005</v>
      </c>
      <c r="Z646" s="340">
        <f t="shared" si="90"/>
        <v>26.309612648745627</v>
      </c>
      <c r="AA646" s="95" t="str">
        <f t="shared" si="92"/>
        <v>Chêne sessile_F3_Classique_Guide chênaie atlantique - Mémento Sylvicole Coupes_83_</v>
      </c>
      <c r="AB646" s="1">
        <f t="shared" si="93"/>
        <v>83</v>
      </c>
      <c r="AC646" s="340">
        <f t="shared" si="89"/>
        <v>215.22752536323196</v>
      </c>
      <c r="AD646" s="341">
        <f t="shared" ref="AD646:AD663" si="97">+IF(AC646=0,0,(AC646+AC645)*(AB646-AB645)/2)</f>
        <v>0</v>
      </c>
      <c r="AE646" s="1">
        <f t="shared" si="96"/>
        <v>269.60791697541794</v>
      </c>
    </row>
    <row r="647" spans="1:31" x14ac:dyDescent="0.25">
      <c r="A647" s="92" t="s">
        <v>389</v>
      </c>
      <c r="B647" s="92" t="s">
        <v>144</v>
      </c>
      <c r="C647" s="92" t="s">
        <v>18</v>
      </c>
      <c r="D647" s="92" t="s">
        <v>1521</v>
      </c>
      <c r="F647" s="92">
        <v>93</v>
      </c>
      <c r="J647" s="4">
        <v>173</v>
      </c>
      <c r="W647" s="339">
        <f>+VLOOKUP(A647,infradensité!$A$2:$B$67,2,FALSE)</f>
        <v>0.57999999999999996</v>
      </c>
      <c r="X647" s="339">
        <v>1.3</v>
      </c>
      <c r="Y647" s="340">
        <f t="shared" si="88"/>
        <v>130.44200000000001</v>
      </c>
      <c r="Z647" s="340">
        <f t="shared" si="90"/>
        <v>34.098472370313324</v>
      </c>
      <c r="AA647" s="95" t="str">
        <f t="shared" si="92"/>
        <v>Chêne sessile_F3_Classique_Guide chênaie atlantique - Mémento Sylvicole Coupes_93_</v>
      </c>
      <c r="AB647" s="1">
        <f t="shared" si="93"/>
        <v>93</v>
      </c>
      <c r="AC647" s="340">
        <f t="shared" si="89"/>
        <v>286.5746560449623</v>
      </c>
      <c r="AD647" s="341">
        <f t="shared" si="97"/>
        <v>2509.0109070409712</v>
      </c>
      <c r="AE647" s="1">
        <f t="shared" si="96"/>
        <v>269.60791697541794</v>
      </c>
    </row>
    <row r="648" spans="1:31" x14ac:dyDescent="0.25">
      <c r="A648" s="92" t="s">
        <v>389</v>
      </c>
      <c r="B648" s="92" t="s">
        <v>144</v>
      </c>
      <c r="C648" s="92" t="s">
        <v>18</v>
      </c>
      <c r="D648" s="92" t="s">
        <v>1521</v>
      </c>
      <c r="F648" s="92">
        <v>93</v>
      </c>
      <c r="J648" s="4">
        <v>145</v>
      </c>
      <c r="O648" s="93">
        <f>J647-J648</f>
        <v>28</v>
      </c>
      <c r="W648" s="339">
        <f>+VLOOKUP(A648,infradensité!$A$2:$B$67,2,FALSE)</f>
        <v>0.57999999999999996</v>
      </c>
      <c r="X648" s="339">
        <v>1.3</v>
      </c>
      <c r="Y648" s="340">
        <f t="shared" si="88"/>
        <v>109.33</v>
      </c>
      <c r="Z648" s="340">
        <f t="shared" si="90"/>
        <v>29.173071260551989</v>
      </c>
      <c r="AA648" s="95" t="str">
        <f t="shared" si="92"/>
        <v>Chêne sessile_F3_Classique_Guide chênaie atlantique - Mémento Sylvicole Coupes_93_</v>
      </c>
      <c r="AB648" s="1">
        <f t="shared" si="93"/>
        <v>93</v>
      </c>
      <c r="AC648" s="340">
        <f t="shared" si="89"/>
        <v>241.22618244546138</v>
      </c>
      <c r="AD648" s="341">
        <f t="shared" si="97"/>
        <v>0</v>
      </c>
      <c r="AE648" s="1">
        <f t="shared" si="96"/>
        <v>269.60791697541794</v>
      </c>
    </row>
    <row r="649" spans="1:31" x14ac:dyDescent="0.25">
      <c r="A649" s="92" t="s">
        <v>389</v>
      </c>
      <c r="B649" s="92" t="s">
        <v>144</v>
      </c>
      <c r="C649" s="92" t="s">
        <v>18</v>
      </c>
      <c r="D649" s="92" t="s">
        <v>1521</v>
      </c>
      <c r="F649" s="92">
        <v>103</v>
      </c>
      <c r="J649" s="4">
        <v>189</v>
      </c>
      <c r="W649" s="339">
        <f>+VLOOKUP(A649,infradensité!$A$2:$B$67,2,FALSE)</f>
        <v>0.57999999999999996</v>
      </c>
      <c r="X649" s="339">
        <v>1.3</v>
      </c>
      <c r="Y649" s="340">
        <f t="shared" si="88"/>
        <v>142.506</v>
      </c>
      <c r="Z649" s="340">
        <f t="shared" si="90"/>
        <v>36.870500776307537</v>
      </c>
      <c r="AA649" s="95" t="str">
        <f t="shared" si="92"/>
        <v>Chêne sessile_F3_Classique_Guide chênaie atlantique - Mémento Sylvicole Coupes_103_</v>
      </c>
      <c r="AB649" s="1">
        <f t="shared" si="93"/>
        <v>103</v>
      </c>
      <c r="AC649" s="340">
        <f t="shared" si="89"/>
        <v>312.41407218540223</v>
      </c>
      <c r="AD649" s="341">
        <f t="shared" si="97"/>
        <v>2768.2012731543182</v>
      </c>
      <c r="AE649" s="1">
        <f t="shared" si="96"/>
        <v>269.60791697541794</v>
      </c>
    </row>
    <row r="650" spans="1:31" x14ac:dyDescent="0.25">
      <c r="A650" s="92" t="s">
        <v>389</v>
      </c>
      <c r="B650" s="92" t="s">
        <v>144</v>
      </c>
      <c r="C650" s="92" t="s">
        <v>18</v>
      </c>
      <c r="D650" s="92" t="s">
        <v>1521</v>
      </c>
      <c r="F650" s="92">
        <v>103</v>
      </c>
      <c r="J650" s="4">
        <v>157</v>
      </c>
      <c r="O650" s="93">
        <f>J649-J650</f>
        <v>32</v>
      </c>
      <c r="W650" s="339">
        <f>+VLOOKUP(A650,infradensité!$A$2:$B$67,2,FALSE)</f>
        <v>0.57999999999999996</v>
      </c>
      <c r="X650" s="339">
        <v>1.3</v>
      </c>
      <c r="Y650" s="340">
        <f t="shared" si="88"/>
        <v>118.378</v>
      </c>
      <c r="Z650" s="340">
        <f t="shared" si="90"/>
        <v>31.296395321568994</v>
      </c>
      <c r="AA650" s="95" t="str">
        <f t="shared" si="92"/>
        <v>Chêne sessile_F3_Classique_Guide chênaie atlantique - Mémento Sylvicole Coupes_103_</v>
      </c>
      <c r="AB650" s="1">
        <f t="shared" si="93"/>
        <v>103</v>
      </c>
      <c r="AC650" s="340">
        <f t="shared" si="89"/>
        <v>260.68290518506598</v>
      </c>
      <c r="AD650" s="341">
        <f t="shared" si="97"/>
        <v>0</v>
      </c>
      <c r="AE650" s="1">
        <f t="shared" si="96"/>
        <v>269.60791697541794</v>
      </c>
    </row>
    <row r="651" spans="1:31" x14ac:dyDescent="0.25">
      <c r="A651" s="92" t="s">
        <v>389</v>
      </c>
      <c r="B651" s="92" t="s">
        <v>144</v>
      </c>
      <c r="C651" s="92" t="s">
        <v>18</v>
      </c>
      <c r="D651" s="92" t="s">
        <v>1521</v>
      </c>
      <c r="F651" s="92">
        <v>113</v>
      </c>
      <c r="J651" s="4">
        <v>202</v>
      </c>
      <c r="W651" s="339">
        <f>+VLOOKUP(A651,infradensité!$A$2:$B$67,2,FALSE)</f>
        <v>0.57999999999999996</v>
      </c>
      <c r="X651" s="339">
        <v>1.3</v>
      </c>
      <c r="Y651" s="340">
        <f t="shared" si="88"/>
        <v>152.30799999999999</v>
      </c>
      <c r="Z651" s="340">
        <f t="shared" si="90"/>
        <v>39.102619877525797</v>
      </c>
      <c r="AA651" s="95" t="str">
        <f t="shared" si="92"/>
        <v>Chêne sessile_F3_Classique_Guide chênaie atlantique - Mémento Sylvicole Coupes_113_</v>
      </c>
      <c r="AB651" s="1">
        <f t="shared" si="93"/>
        <v>113</v>
      </c>
      <c r="AC651" s="340">
        <f t="shared" si="89"/>
        <v>333.37349628669074</v>
      </c>
      <c r="AD651" s="341">
        <f t="shared" si="97"/>
        <v>2970.2820073587836</v>
      </c>
      <c r="AE651" s="1">
        <f t="shared" si="96"/>
        <v>269.60791697541794</v>
      </c>
    </row>
    <row r="652" spans="1:31" x14ac:dyDescent="0.25">
      <c r="A652" s="92" t="s">
        <v>389</v>
      </c>
      <c r="B652" s="92" t="s">
        <v>144</v>
      </c>
      <c r="C652" s="92" t="s">
        <v>18</v>
      </c>
      <c r="D652" s="92" t="s">
        <v>1521</v>
      </c>
      <c r="F652" s="92">
        <v>113</v>
      </c>
      <c r="J652" s="4">
        <v>170</v>
      </c>
      <c r="O652" s="93">
        <f>J651-J652</f>
        <v>32</v>
      </c>
      <c r="W652" s="339">
        <f>+VLOOKUP(A652,infradensité!$A$2:$B$67,2,FALSE)</f>
        <v>0.57999999999999996</v>
      </c>
      <c r="X652" s="339">
        <v>1.3</v>
      </c>
      <c r="Y652" s="340">
        <f t="shared" si="88"/>
        <v>128.18</v>
      </c>
      <c r="Z652" s="340">
        <f t="shared" si="90"/>
        <v>33.575466307326536</v>
      </c>
      <c r="AA652" s="95" t="str">
        <f t="shared" si="92"/>
        <v>Chêne sessile_F3_Classique_Guide chênaie atlantique - Mémento Sylvicole Coupes_113_</v>
      </c>
      <c r="AB652" s="1">
        <f t="shared" si="93"/>
        <v>113</v>
      </c>
      <c r="AC652" s="340">
        <f t="shared" si="89"/>
        <v>281.72410381859368</v>
      </c>
      <c r="AD652" s="341">
        <f t="shared" si="97"/>
        <v>0</v>
      </c>
      <c r="AE652" s="1">
        <f t="shared" si="96"/>
        <v>269.60791697541794</v>
      </c>
    </row>
    <row r="653" spans="1:31" x14ac:dyDescent="0.25">
      <c r="A653" s="92" t="s">
        <v>389</v>
      </c>
      <c r="B653" s="92" t="s">
        <v>144</v>
      </c>
      <c r="C653" s="92" t="s">
        <v>18</v>
      </c>
      <c r="D653" s="92" t="s">
        <v>1521</v>
      </c>
      <c r="F653" s="92">
        <v>125</v>
      </c>
      <c r="J653" s="4">
        <v>225</v>
      </c>
      <c r="W653" s="339">
        <f>+VLOOKUP(A653,infradensité!$A$2:$B$67,2,FALSE)</f>
        <v>0.57999999999999996</v>
      </c>
      <c r="X653" s="339">
        <v>1.3</v>
      </c>
      <c r="Y653" s="340">
        <f t="shared" si="88"/>
        <v>169.65</v>
      </c>
      <c r="Z653" s="340">
        <f t="shared" si="90"/>
        <v>43.01162582831487</v>
      </c>
      <c r="AA653" s="95" t="str">
        <f t="shared" si="92"/>
        <v>Chêne sessile_F3_Classique_Guide chênaie atlantique - Mémento Sylvicole Coupes_125_</v>
      </c>
      <c r="AB653" s="1">
        <f t="shared" si="93"/>
        <v>125</v>
      </c>
      <c r="AC653" s="340">
        <f t="shared" si="89"/>
        <v>370.38566498431504</v>
      </c>
      <c r="AD653" s="341">
        <f t="shared" si="97"/>
        <v>3912.6586128174526</v>
      </c>
      <c r="AE653" s="1">
        <f t="shared" si="96"/>
        <v>269.60791697541794</v>
      </c>
    </row>
    <row r="654" spans="1:31" x14ac:dyDescent="0.25">
      <c r="A654" s="92" t="s">
        <v>389</v>
      </c>
      <c r="B654" s="92" t="s">
        <v>144</v>
      </c>
      <c r="C654" s="92" t="s">
        <v>18</v>
      </c>
      <c r="D654" s="92" t="s">
        <v>1521</v>
      </c>
      <c r="F654" s="92">
        <v>125</v>
      </c>
      <c r="J654" s="4">
        <v>187</v>
      </c>
      <c r="O654" s="93">
        <f>J653-J654</f>
        <v>38</v>
      </c>
      <c r="W654" s="339">
        <f>+VLOOKUP(A654,infradensité!$A$2:$B$67,2,FALSE)</f>
        <v>0.57999999999999996</v>
      </c>
      <c r="X654" s="339">
        <v>1.3</v>
      </c>
      <c r="Y654" s="340">
        <f t="shared" si="88"/>
        <v>140.99799999999999</v>
      </c>
      <c r="Z654" s="340">
        <f t="shared" si="90"/>
        <v>36.525538677563652</v>
      </c>
      <c r="AA654" s="95" t="str">
        <f t="shared" si="92"/>
        <v>Chêne sessile_F3_Classique_Guide chênaie atlantique - Mémento Sylvicole Coupes_125_</v>
      </c>
      <c r="AB654" s="1">
        <f t="shared" si="93"/>
        <v>125</v>
      </c>
      <c r="AC654" s="340">
        <f t="shared" si="89"/>
        <v>309.18682986342333</v>
      </c>
      <c r="AD654" s="341">
        <f t="shared" si="97"/>
        <v>0</v>
      </c>
      <c r="AE654" s="1">
        <f t="shared" si="96"/>
        <v>269.60791697541794</v>
      </c>
    </row>
    <row r="655" spans="1:31" x14ac:dyDescent="0.25">
      <c r="A655" s="92" t="s">
        <v>389</v>
      </c>
      <c r="B655" s="92" t="s">
        <v>144</v>
      </c>
      <c r="C655" s="92" t="s">
        <v>18</v>
      </c>
      <c r="D655" s="92" t="s">
        <v>1521</v>
      </c>
      <c r="F655" s="92">
        <v>137</v>
      </c>
      <c r="J655" s="4">
        <v>243</v>
      </c>
      <c r="W655" s="339">
        <f>+VLOOKUP(A655,infradensité!$A$2:$B$67,2,FALSE)</f>
        <v>0.57999999999999996</v>
      </c>
      <c r="X655" s="339">
        <v>1.3</v>
      </c>
      <c r="Y655" s="340">
        <f t="shared" si="88"/>
        <v>183.22200000000001</v>
      </c>
      <c r="Z655" s="340">
        <f t="shared" si="90"/>
        <v>46.038279947586226</v>
      </c>
      <c r="AA655" s="95" t="str">
        <f t="shared" si="92"/>
        <v>Chêne sessile_F3_Classique_Guide chênaie atlantique - Mémento Sylvicole Coupes_137_</v>
      </c>
      <c r="AB655" s="1">
        <f t="shared" si="93"/>
        <v>137</v>
      </c>
      <c r="AC655" s="340">
        <f t="shared" si="89"/>
        <v>399.29498757537931</v>
      </c>
      <c r="AD655" s="341">
        <f t="shared" si="97"/>
        <v>4250.8909046328154</v>
      </c>
      <c r="AE655" s="1">
        <f t="shared" si="96"/>
        <v>269.60791697541794</v>
      </c>
    </row>
    <row r="656" spans="1:31" x14ac:dyDescent="0.25">
      <c r="A656" s="92" t="s">
        <v>389</v>
      </c>
      <c r="B656" s="92" t="s">
        <v>144</v>
      </c>
      <c r="C656" s="92" t="s">
        <v>18</v>
      </c>
      <c r="D656" s="92" t="s">
        <v>1521</v>
      </c>
      <c r="F656" s="92">
        <v>137</v>
      </c>
      <c r="J656" s="4">
        <v>203</v>
      </c>
      <c r="O656" s="93">
        <f>J655-J656</f>
        <v>40</v>
      </c>
      <c r="W656" s="339">
        <f>+VLOOKUP(A656,infradensité!$A$2:$B$67,2,FALSE)</f>
        <v>0.57999999999999996</v>
      </c>
      <c r="X656" s="339">
        <v>1.3</v>
      </c>
      <c r="Y656" s="340">
        <f t="shared" si="88"/>
        <v>153.06200000000001</v>
      </c>
      <c r="Z656" s="340">
        <f t="shared" si="90"/>
        <v>39.273615612181466</v>
      </c>
      <c r="AA656" s="95" t="str">
        <f t="shared" si="92"/>
        <v>Chêne sessile_F3_Classique_Guide chênaie atlantique - Mémento Sylvicole Coupes_137_</v>
      </c>
      <c r="AB656" s="1">
        <f t="shared" si="93"/>
        <v>137</v>
      </c>
      <c r="AC656" s="340">
        <f t="shared" si="89"/>
        <v>334.98453052454937</v>
      </c>
      <c r="AD656" s="341">
        <f t="shared" si="97"/>
        <v>0</v>
      </c>
      <c r="AE656" s="1">
        <f t="shared" si="96"/>
        <v>269.60791697541794</v>
      </c>
    </row>
    <row r="657" spans="1:31" x14ac:dyDescent="0.25">
      <c r="A657" s="92" t="s">
        <v>389</v>
      </c>
      <c r="B657" s="92" t="s">
        <v>144</v>
      </c>
      <c r="C657" s="92" t="s">
        <v>18</v>
      </c>
      <c r="D657" s="92" t="s">
        <v>1521</v>
      </c>
      <c r="F657" s="92">
        <v>149</v>
      </c>
      <c r="J657" s="4">
        <v>260</v>
      </c>
      <c r="W657" s="339">
        <f>+VLOOKUP(A657,infradensité!$A$2:$B$67,2,FALSE)</f>
        <v>0.57999999999999996</v>
      </c>
      <c r="X657" s="339">
        <v>1.3</v>
      </c>
      <c r="Y657" s="340">
        <f t="shared" si="88"/>
        <v>196.04</v>
      </c>
      <c r="Z657" s="340">
        <f t="shared" si="90"/>
        <v>48.872869229535063</v>
      </c>
      <c r="AA657" s="95" t="str">
        <f t="shared" si="92"/>
        <v>Chêne sessile_F3_Classique_Guide chênaie atlantique - Mémento Sylvicole Coupes_149_</v>
      </c>
      <c r="AB657" s="1">
        <f t="shared" si="93"/>
        <v>149</v>
      </c>
      <c r="AC657" s="340">
        <f t="shared" si="89"/>
        <v>426.55658057477353</v>
      </c>
      <c r="AD657" s="341">
        <f t="shared" si="97"/>
        <v>4569.2466665959382</v>
      </c>
      <c r="AE657" s="1">
        <f t="shared" si="96"/>
        <v>269.60791697541794</v>
      </c>
    </row>
    <row r="658" spans="1:31" x14ac:dyDescent="0.25">
      <c r="A658" s="92" t="s">
        <v>389</v>
      </c>
      <c r="B658" s="92" t="s">
        <v>144</v>
      </c>
      <c r="C658" s="92" t="s">
        <v>18</v>
      </c>
      <c r="D658" s="92" t="s">
        <v>1521</v>
      </c>
      <c r="F658" s="92">
        <v>149</v>
      </c>
      <c r="J658" s="4">
        <v>220</v>
      </c>
      <c r="O658" s="93">
        <f>J657-J658</f>
        <v>40</v>
      </c>
      <c r="W658" s="339">
        <f>+VLOOKUP(A658,infradensité!$A$2:$B$67,2,FALSE)</f>
        <v>0.57999999999999996</v>
      </c>
      <c r="X658" s="339">
        <v>1.3</v>
      </c>
      <c r="Y658" s="340">
        <f t="shared" si="88"/>
        <v>165.88</v>
      </c>
      <c r="Z658" s="340">
        <f t="shared" si="90"/>
        <v>42.165967225323705</v>
      </c>
      <c r="AA658" s="95" t="str">
        <f t="shared" si="92"/>
        <v>Chêne sessile_F3_Classique_Guide chênaie atlantique - Mémento Sylvicole Coupes_149_</v>
      </c>
      <c r="AB658" s="1">
        <f t="shared" si="93"/>
        <v>149</v>
      </c>
      <c r="AC658" s="340">
        <f t="shared" si="89"/>
        <v>362.34672625077206</v>
      </c>
      <c r="AD658" s="341">
        <f t="shared" si="97"/>
        <v>0</v>
      </c>
      <c r="AE658" s="1">
        <f t="shared" si="96"/>
        <v>269.60791697541794</v>
      </c>
    </row>
    <row r="659" spans="1:31" x14ac:dyDescent="0.25">
      <c r="A659" s="92" t="s">
        <v>389</v>
      </c>
      <c r="B659" s="92" t="s">
        <v>144</v>
      </c>
      <c r="C659" s="92" t="s">
        <v>18</v>
      </c>
      <c r="D659" s="92" t="s">
        <v>1521</v>
      </c>
      <c r="F659" s="92">
        <v>164</v>
      </c>
      <c r="J659" s="4">
        <v>295</v>
      </c>
      <c r="W659" s="339">
        <f>+VLOOKUP(A659,infradensité!$A$2:$B$67,2,FALSE)</f>
        <v>0.57999999999999996</v>
      </c>
      <c r="X659" s="339">
        <v>1.3</v>
      </c>
      <c r="Y659" s="340">
        <f t="shared" si="88"/>
        <v>222.43</v>
      </c>
      <c r="Z659" s="340">
        <f t="shared" si="90"/>
        <v>54.642696084027229</v>
      </c>
      <c r="AA659" s="95" t="str">
        <f t="shared" si="92"/>
        <v>Chêne sessile_F3_Classique_Guide chênaie atlantique - Mémento Sylvicole Coupes_164_</v>
      </c>
      <c r="AB659" s="1">
        <f t="shared" si="93"/>
        <v>164</v>
      </c>
      <c r="AC659" s="340">
        <f t="shared" si="89"/>
        <v>482.56827901301409</v>
      </c>
      <c r="AD659" s="341">
        <f t="shared" si="97"/>
        <v>6336.8625394783958</v>
      </c>
      <c r="AE659" s="1">
        <f t="shared" si="96"/>
        <v>269.60791697541794</v>
      </c>
    </row>
    <row r="660" spans="1:31" x14ac:dyDescent="0.25">
      <c r="A660" s="92" t="s">
        <v>389</v>
      </c>
      <c r="B660" s="92" t="s">
        <v>144</v>
      </c>
      <c r="C660" s="92" t="s">
        <v>18</v>
      </c>
      <c r="D660" s="92" t="s">
        <v>1521</v>
      </c>
      <c r="F660" s="92">
        <v>164</v>
      </c>
      <c r="J660" s="4">
        <v>244</v>
      </c>
      <c r="O660" s="93">
        <f>J659-J660</f>
        <v>51</v>
      </c>
      <c r="W660" s="339">
        <f>+VLOOKUP(A660,infradensité!$A$2:$B$67,2,FALSE)</f>
        <v>0.57999999999999996</v>
      </c>
      <c r="X660" s="339">
        <v>1.3</v>
      </c>
      <c r="Y660" s="340">
        <f t="shared" si="88"/>
        <v>183.976</v>
      </c>
      <c r="Z660" s="340">
        <f t="shared" si="90"/>
        <v>46.205644952016684</v>
      </c>
      <c r="AA660" s="95" t="str">
        <f t="shared" si="92"/>
        <v>Chêne sessile_F3_Classique_Guide chênaie atlantique - Mémento Sylvicole Coupes_164_</v>
      </c>
      <c r="AB660" s="1">
        <f t="shared" si="93"/>
        <v>164</v>
      </c>
      <c r="AC660" s="340">
        <f t="shared" si="89"/>
        <v>400.89969829142905</v>
      </c>
      <c r="AD660" s="341">
        <f t="shared" si="97"/>
        <v>0</v>
      </c>
      <c r="AE660" s="1">
        <f t="shared" si="96"/>
        <v>269.60791697541794</v>
      </c>
    </row>
    <row r="661" spans="1:31" x14ac:dyDescent="0.25">
      <c r="A661" s="92" t="s">
        <v>389</v>
      </c>
      <c r="B661" s="92" t="s">
        <v>144</v>
      </c>
      <c r="C661" s="92" t="s">
        <v>18</v>
      </c>
      <c r="D661" s="92" t="s">
        <v>1521</v>
      </c>
      <c r="F661" s="92">
        <v>179</v>
      </c>
      <c r="J661" s="4">
        <v>321</v>
      </c>
      <c r="W661" s="339">
        <f>+VLOOKUP(A661,infradensité!$A$2:$B$67,2,FALSE)</f>
        <v>0.57999999999999996</v>
      </c>
      <c r="X661" s="339">
        <v>1.3</v>
      </c>
      <c r="Y661" s="340">
        <f t="shared" si="88"/>
        <v>242.03399999999999</v>
      </c>
      <c r="Z661" s="340">
        <f t="shared" si="90"/>
        <v>58.876940312016231</v>
      </c>
      <c r="AA661" s="95" t="str">
        <f t="shared" si="92"/>
        <v>Chêne sessile_F3_Classique_Guide chênaie atlantique - Mémento Sylvicole Coupes_179_</v>
      </c>
      <c r="AB661" s="1">
        <f t="shared" si="93"/>
        <v>179</v>
      </c>
      <c r="AC661" s="340">
        <f t="shared" si="89"/>
        <v>524.08655437676157</v>
      </c>
      <c r="AD661" s="341">
        <f t="shared" si="97"/>
        <v>6937.3968950114304</v>
      </c>
      <c r="AE661" s="1">
        <f t="shared" si="96"/>
        <v>269.60791697541794</v>
      </c>
    </row>
    <row r="662" spans="1:31" x14ac:dyDescent="0.25">
      <c r="A662" s="92" t="s">
        <v>389</v>
      </c>
      <c r="B662" s="92" t="s">
        <v>144</v>
      </c>
      <c r="C662" s="92" t="s">
        <v>18</v>
      </c>
      <c r="D662" s="92" t="s">
        <v>1521</v>
      </c>
      <c r="F662" s="92">
        <v>179</v>
      </c>
      <c r="J662" s="4">
        <v>266</v>
      </c>
      <c r="O662" s="93">
        <f>J661-J662</f>
        <v>55</v>
      </c>
      <c r="W662" s="339">
        <f>+VLOOKUP(A662,infradensité!$A$2:$B$67,2,FALSE)</f>
        <v>0.57999999999999996</v>
      </c>
      <c r="X662" s="339">
        <v>1.3</v>
      </c>
      <c r="Y662" s="340">
        <f t="shared" si="88"/>
        <v>200.56399999999999</v>
      </c>
      <c r="Z662" s="340">
        <f t="shared" si="90"/>
        <v>49.868097532926853</v>
      </c>
      <c r="AA662" s="95" t="str">
        <f t="shared" si="92"/>
        <v>Chêne sessile_F3_Classique_Guide chênaie atlantique - Mémento Sylvicole Coupes_179_</v>
      </c>
      <c r="AB662" s="1">
        <f t="shared" si="93"/>
        <v>179</v>
      </c>
      <c r="AC662" s="340">
        <f t="shared" si="89"/>
        <v>436.16923653651423</v>
      </c>
      <c r="AD662" s="341">
        <f t="shared" si="97"/>
        <v>0</v>
      </c>
      <c r="AE662" s="1">
        <f t="shared" si="96"/>
        <v>269.60791697541794</v>
      </c>
    </row>
    <row r="663" spans="1:31" x14ac:dyDescent="0.25">
      <c r="A663" s="92" t="s">
        <v>389</v>
      </c>
      <c r="B663" s="92" t="s">
        <v>144</v>
      </c>
      <c r="C663" s="92" t="s">
        <v>18</v>
      </c>
      <c r="D663" s="92" t="s">
        <v>1521</v>
      </c>
      <c r="F663" s="92">
        <v>190</v>
      </c>
      <c r="J663" s="4">
        <v>321</v>
      </c>
      <c r="W663" s="339">
        <f>+VLOOKUP(A663,infradensité!$A$2:$B$67,2,FALSE)</f>
        <v>0.57999999999999996</v>
      </c>
      <c r="X663" s="339">
        <v>1.3</v>
      </c>
      <c r="Y663" s="340">
        <f t="shared" si="88"/>
        <v>242.03399999999999</v>
      </c>
      <c r="Z663" s="340">
        <f t="shared" si="90"/>
        <v>58.876940312016231</v>
      </c>
      <c r="AA663" s="95" t="str">
        <f t="shared" si="92"/>
        <v>Chêne sessile_F3_Classique_Guide chênaie atlantique - Mémento Sylvicole Coupes_190_</v>
      </c>
      <c r="AB663" s="1">
        <f t="shared" si="93"/>
        <v>190</v>
      </c>
      <c r="AC663" s="340">
        <f t="shared" si="89"/>
        <v>524.08655437676157</v>
      </c>
      <c r="AD663" s="341">
        <f t="shared" si="97"/>
        <v>5281.4068500230169</v>
      </c>
      <c r="AE663" s="1">
        <f t="shared" si="96"/>
        <v>269.60791697541794</v>
      </c>
    </row>
  </sheetData>
  <autoFilter ref="A2:AG663" xr:uid="{00000000-0009-0000-0000-000003000000}">
    <filterColumn colId="0">
      <filters>
        <filter val="Chêne sessile"/>
      </filters>
    </filterColumn>
  </autoFilter>
  <mergeCells count="3">
    <mergeCell ref="H1:L1"/>
    <mergeCell ref="M1:O1"/>
    <mergeCell ref="P1:S1"/>
  </mergeCells>
  <phoneticPr fontId="21" type="noConversion"/>
  <hyperlinks>
    <hyperlink ref="D5" r:id="rId1" xr:uid="{00000000-0004-0000-0300-000000000000}"/>
    <hyperlink ref="D280" r:id="rId2" xr:uid="{00000000-0004-0000-0300-000001000000}"/>
    <hyperlink ref="D281:D303" r:id="rId3" display="GS Sapinières du Massif Central" xr:uid="{00000000-0004-0000-0300-000002000000}"/>
    <hyperlink ref="D304:D327" r:id="rId4" display="GSM Alpes du Sud" xr:uid="{00000000-0004-0000-0300-000003000000}"/>
    <hyperlink ref="D328:D344" r:id="rId5" display="GSM Alpes du Sud" xr:uid="{00000000-0004-0000-0300-000004000000}"/>
    <hyperlink ref="D127:D134" r:id="rId6" display="GS Hêtraies et hêtraies sapinières des Pyrénées" xr:uid="{00000000-0004-0000-0300-000005000000}"/>
    <hyperlink ref="D245" r:id="rId7" xr:uid="{00000000-0004-0000-0300-000006000000}"/>
    <hyperlink ref="D84:D114" r:id="rId8" display="GS Pineraies des plaines du Centre et du Nord Ouest" xr:uid="{00000000-0004-0000-0300-000007000000}"/>
    <hyperlink ref="D160" r:id="rId9" xr:uid="{00000000-0004-0000-0300-000008000000}"/>
    <hyperlink ref="D136:D143" r:id="rId10" display="GS Hêtraies et hêtraies sapinières des Pyrénées" xr:uid="{00000000-0004-0000-0300-000009000000}"/>
    <hyperlink ref="D128:D135" r:id="rId11" display="GS Hêtraies et hêtraies sapinières des Pyrénées" xr:uid="{00000000-0004-0000-0300-00000A000000}"/>
    <hyperlink ref="D246" r:id="rId12" display="GS Pineraies des plaines du Centre et du Nord Ouest" xr:uid="{00000000-0004-0000-0300-00000B000000}"/>
    <hyperlink ref="D117:D126" r:id="rId13" display="GS Pineraies des plaines du Centre et du Nord Ouest" xr:uid="{00000000-0004-0000-0300-00000C000000}"/>
    <hyperlink ref="D85:D115" r:id="rId14" display="GSM Alpes du Sud" xr:uid="{00000000-0004-0000-0300-00000D000000}"/>
    <hyperlink ref="D3:D4" r:id="rId15" display="GS Arc Jurassien" xr:uid="{00000000-0004-0000-0300-00000E000000}"/>
    <hyperlink ref="D6:D64" r:id="rId16" display="GS Arc Jurassien" xr:uid="{00000000-0004-0000-0300-00000F000000}"/>
    <hyperlink ref="D99" r:id="rId17" display="GSM Alpes du Sud" xr:uid="{00000000-0004-0000-0300-000010000000}"/>
    <hyperlink ref="D113" r:id="rId18" display="GSM Alpes du Sud" xr:uid="{00000000-0004-0000-0300-000011000000}"/>
    <hyperlink ref="D116" r:id="rId19" display="GS Pineraies des plaines du Centre et du Nord Ouest" xr:uid="{00000000-0004-0000-0300-000012000000}"/>
    <hyperlink ref="D159" r:id="rId20" xr:uid="{00000000-0004-0000-0300-000013000000}"/>
    <hyperlink ref="D243" r:id="rId21" xr:uid="{00000000-0004-0000-0300-000014000000}"/>
    <hyperlink ref="D244" r:id="rId22" xr:uid="{00000000-0004-0000-0300-000015000000}"/>
  </hyperlinks>
  <pageMargins left="0.7" right="0.7" top="0.75" bottom="0.75" header="0.3" footer="0.3"/>
  <pageSetup paperSize="9" orientation="portrait" r:id="rId2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94"/>
  <sheetViews>
    <sheetView showGridLines="0" topLeftCell="A10" zoomScale="70" zoomScaleNormal="70" workbookViewId="0">
      <selection activeCell="F31" sqref="F31"/>
    </sheetView>
  </sheetViews>
  <sheetFormatPr baseColWidth="10" defaultColWidth="21.28515625" defaultRowHeight="15" x14ac:dyDescent="0.25"/>
  <cols>
    <col min="2" max="2" width="22.28515625" bestFit="1" customWidth="1"/>
    <col min="3" max="3" width="21.28515625" style="98"/>
    <col min="4" max="5" width="21.28515625" style="1"/>
    <col min="6" max="6" width="44.5703125" style="1" bestFit="1" customWidth="1"/>
    <col min="7" max="7" width="75.28515625" bestFit="1" customWidth="1"/>
  </cols>
  <sheetData>
    <row r="1" spans="1:8" ht="80.099999999999994" customHeight="1" x14ac:dyDescent="0.25">
      <c r="C1" s="97" t="s">
        <v>315</v>
      </c>
      <c r="D1" s="374" t="s">
        <v>423</v>
      </c>
      <c r="E1" s="375"/>
      <c r="F1" s="376"/>
    </row>
    <row r="2" spans="1:8" x14ac:dyDescent="0.25">
      <c r="C2" s="97" t="s">
        <v>316</v>
      </c>
      <c r="D2" s="377" t="s">
        <v>317</v>
      </c>
      <c r="E2" s="378"/>
      <c r="F2" s="379"/>
    </row>
    <row r="3" spans="1:8" x14ac:dyDescent="0.25">
      <c r="C3" s="97" t="s">
        <v>318</v>
      </c>
      <c r="D3" s="377" t="s">
        <v>319</v>
      </c>
      <c r="E3" s="378"/>
      <c r="F3" s="379"/>
    </row>
    <row r="6" spans="1:8" x14ac:dyDescent="0.25">
      <c r="A6" s="326" t="s">
        <v>1510</v>
      </c>
    </row>
    <row r="7" spans="1:8" x14ac:dyDescent="0.25">
      <c r="A7" s="305" t="s">
        <v>200</v>
      </c>
      <c r="B7" s="305" t="s">
        <v>409</v>
      </c>
      <c r="C7" s="305" t="s">
        <v>200</v>
      </c>
      <c r="D7" s="305" t="s">
        <v>201</v>
      </c>
      <c r="E7" s="305" t="s">
        <v>202</v>
      </c>
      <c r="F7" s="305" t="s">
        <v>203</v>
      </c>
      <c r="G7" s="305" t="s">
        <v>410</v>
      </c>
      <c r="H7" s="305" t="s">
        <v>1507</v>
      </c>
    </row>
    <row r="8" spans="1:8" x14ac:dyDescent="0.25">
      <c r="A8" s="100" t="s">
        <v>894</v>
      </c>
      <c r="B8" s="100" t="s">
        <v>1512</v>
      </c>
      <c r="C8" s="110" t="s">
        <v>308</v>
      </c>
      <c r="D8" s="110" t="s">
        <v>10</v>
      </c>
      <c r="E8" s="110" t="s">
        <v>18</v>
      </c>
      <c r="F8" s="110" t="s">
        <v>1512</v>
      </c>
      <c r="G8" s="310" t="str" cm="1">
        <f t="array" ref="G8">+_xlfn.CONCAT((C8:F8)&amp;"_")</f>
        <v>Cèdre de l'Atlas_F2_Classique_INRA_</v>
      </c>
      <c r="H8" s="110" t="s">
        <v>1435</v>
      </c>
    </row>
    <row r="9" spans="1:8" x14ac:dyDescent="0.25">
      <c r="A9" s="100" t="s">
        <v>17</v>
      </c>
      <c r="B9" s="100" t="s">
        <v>20</v>
      </c>
      <c r="C9" s="110" t="s">
        <v>389</v>
      </c>
      <c r="D9" s="110" t="s">
        <v>9</v>
      </c>
      <c r="E9" s="110" t="s">
        <v>18</v>
      </c>
      <c r="F9" s="110" t="s">
        <v>137</v>
      </c>
      <c r="G9" s="310" t="str" cm="1">
        <f t="array" ref="G9">+_xlfn.CONCAT((C9:F9)&amp;"_")</f>
        <v>Chêne sessile_F1_Classique_Guide chênaie atlantique_</v>
      </c>
      <c r="H9" s="110" t="s">
        <v>1508</v>
      </c>
    </row>
    <row r="10" spans="1:8" x14ac:dyDescent="0.25">
      <c r="A10" s="100" t="s">
        <v>17</v>
      </c>
      <c r="B10" s="100" t="s">
        <v>22</v>
      </c>
      <c r="C10" s="110" t="s">
        <v>389</v>
      </c>
      <c r="D10" s="110" t="s">
        <v>9</v>
      </c>
      <c r="E10" s="110" t="s">
        <v>146</v>
      </c>
      <c r="F10" s="110" t="s">
        <v>138</v>
      </c>
      <c r="G10" s="310" t="str" cm="1">
        <f t="array" ref="G10">+_xlfn.CONCAT((C10:F10)&amp;"_")</f>
        <v>Chêne sessile_F1_Dynamique_Guide chênaie continentale_</v>
      </c>
      <c r="H10" s="110" t="s">
        <v>1508</v>
      </c>
    </row>
    <row r="11" spans="1:8" x14ac:dyDescent="0.25">
      <c r="A11" s="100" t="s">
        <v>17</v>
      </c>
      <c r="B11" s="100" t="s">
        <v>20</v>
      </c>
      <c r="C11" s="110" t="s">
        <v>389</v>
      </c>
      <c r="D11" s="110" t="s">
        <v>10</v>
      </c>
      <c r="E11" s="110" t="s">
        <v>18</v>
      </c>
      <c r="F11" s="110" t="s">
        <v>137</v>
      </c>
      <c r="G11" s="310" t="str" cm="1">
        <f t="array" ref="G11">+_xlfn.CONCAT((C11:F11)&amp;"_")</f>
        <v>Chêne sessile_F2_Classique_Guide chênaie atlantique_</v>
      </c>
      <c r="H11" s="110" t="s">
        <v>1508</v>
      </c>
    </row>
    <row r="12" spans="1:8" x14ac:dyDescent="0.25">
      <c r="A12" s="100" t="s">
        <v>17</v>
      </c>
      <c r="B12" s="100" t="s">
        <v>22</v>
      </c>
      <c r="C12" s="110" t="s">
        <v>389</v>
      </c>
      <c r="D12" s="110" t="s">
        <v>10</v>
      </c>
      <c r="E12" s="110" t="s">
        <v>146</v>
      </c>
      <c r="F12" s="110" t="s">
        <v>138</v>
      </c>
      <c r="G12" s="310" t="str" cm="1">
        <f t="array" ref="G12">+_xlfn.CONCAT((C12:F12)&amp;"_")</f>
        <v>Chêne sessile_F2_Dynamique_Guide chênaie continentale_</v>
      </c>
      <c r="H12" s="110" t="s">
        <v>1508</v>
      </c>
    </row>
    <row r="13" spans="1:8" x14ac:dyDescent="0.25">
      <c r="A13" s="100" t="s">
        <v>17</v>
      </c>
      <c r="B13" s="100" t="s">
        <v>20</v>
      </c>
      <c r="C13" s="110" t="s">
        <v>389</v>
      </c>
      <c r="D13" s="110" t="s">
        <v>144</v>
      </c>
      <c r="E13" s="110" t="s">
        <v>18</v>
      </c>
      <c r="F13" s="110" t="s">
        <v>1521</v>
      </c>
      <c r="G13" s="310" t="str" cm="1">
        <f t="array" ref="G13">+_xlfn.CONCAT((C13:F13)&amp;"_")</f>
        <v>Chêne sessile_F3_Classique_Guide chênaie atlantique - Mémento Sylvicole Coupes_</v>
      </c>
      <c r="H13" s="110" t="s">
        <v>1508</v>
      </c>
    </row>
    <row r="14" spans="1:8" x14ac:dyDescent="0.25">
      <c r="A14" s="100" t="s">
        <v>69</v>
      </c>
      <c r="B14" s="100" t="s">
        <v>22</v>
      </c>
      <c r="C14" s="110" t="s">
        <v>1411</v>
      </c>
      <c r="D14" s="110" t="s">
        <v>9</v>
      </c>
      <c r="E14" s="110" t="s">
        <v>146</v>
      </c>
      <c r="F14" s="110" t="s">
        <v>138</v>
      </c>
      <c r="G14" s="310" t="str" cm="1">
        <f t="array" ref="G14">+_xlfn.CONCAT((C14:F14)&amp;"_")</f>
        <v>Chene_pedoncule_F1_Dynamique_Guide chênaie continentale_</v>
      </c>
      <c r="H14" s="110" t="s">
        <v>1508</v>
      </c>
    </row>
    <row r="15" spans="1:8" x14ac:dyDescent="0.25">
      <c r="A15" s="100" t="s">
        <v>69</v>
      </c>
      <c r="B15" s="100" t="s">
        <v>22</v>
      </c>
      <c r="C15" s="110" t="s">
        <v>1411</v>
      </c>
      <c r="D15" s="110" t="s">
        <v>10</v>
      </c>
      <c r="E15" s="110" t="s">
        <v>146</v>
      </c>
      <c r="F15" s="110" t="s">
        <v>138</v>
      </c>
      <c r="G15" s="310" t="str" cm="1">
        <f t="array" ref="G15">+_xlfn.CONCAT((C15:F15)&amp;"_")</f>
        <v>Chene_pedoncule_F2_Dynamique_Guide chênaie continentale_</v>
      </c>
      <c r="H15" s="110" t="s">
        <v>1508</v>
      </c>
    </row>
    <row r="16" spans="1:8" x14ac:dyDescent="0.25">
      <c r="A16" s="100" t="s">
        <v>8</v>
      </c>
      <c r="B16" s="100" t="s">
        <v>11</v>
      </c>
      <c r="C16" s="110" t="s">
        <v>131</v>
      </c>
      <c r="D16" s="110" t="s">
        <v>9</v>
      </c>
      <c r="E16" s="110" t="s">
        <v>12</v>
      </c>
      <c r="F16" s="110" t="s">
        <v>11</v>
      </c>
      <c r="G16" s="310" t="str" cm="1">
        <f t="array" ref="G16">+_xlfn.CONCAT((C16:F16)&amp;"_")</f>
        <v>Douglas_F1_Entree 17-18m, densité haute_National_</v>
      </c>
      <c r="H16" s="110" t="s">
        <v>1435</v>
      </c>
    </row>
    <row r="17" spans="1:8" x14ac:dyDescent="0.25">
      <c r="A17" s="100" t="s">
        <v>8</v>
      </c>
      <c r="B17" s="100" t="s">
        <v>11</v>
      </c>
      <c r="C17" s="110" t="s">
        <v>131</v>
      </c>
      <c r="D17" s="110" t="s">
        <v>10</v>
      </c>
      <c r="E17" s="110" t="s">
        <v>12</v>
      </c>
      <c r="F17" s="110" t="s">
        <v>11</v>
      </c>
      <c r="G17" s="310" t="str" cm="1">
        <f t="array" ref="G17">+_xlfn.CONCAT((C17:F17)&amp;"_")</f>
        <v>Douglas_F2_Entree 17-18m, densité haute_National_</v>
      </c>
      <c r="H17" s="110" t="s">
        <v>1435</v>
      </c>
    </row>
    <row r="18" spans="1:8" x14ac:dyDescent="0.25">
      <c r="A18" s="100" t="s">
        <v>8</v>
      </c>
      <c r="B18" s="100" t="s">
        <v>11</v>
      </c>
      <c r="C18" s="110" t="s">
        <v>131</v>
      </c>
      <c r="D18" s="110" t="s">
        <v>144</v>
      </c>
      <c r="E18" s="110" t="s">
        <v>143</v>
      </c>
      <c r="F18" s="110" t="s">
        <v>11</v>
      </c>
      <c r="G18" s="310" t="str" cm="1">
        <f t="array" ref="G18">+_xlfn.CONCAT((C18:F18)&amp;"_")</f>
        <v>Douglas_F3_Entree 19-20m_National_</v>
      </c>
      <c r="H18" s="110" t="s">
        <v>1435</v>
      </c>
    </row>
    <row r="19" spans="1:8" x14ac:dyDescent="0.25">
      <c r="A19" s="100" t="s">
        <v>182</v>
      </c>
      <c r="B19" s="100" t="s">
        <v>185</v>
      </c>
      <c r="C19" s="110" t="s">
        <v>229</v>
      </c>
      <c r="D19" s="110" t="s">
        <v>424</v>
      </c>
      <c r="E19" s="110" t="s">
        <v>183</v>
      </c>
      <c r="F19" s="110" t="s">
        <v>223</v>
      </c>
      <c r="G19" s="310" t="str" cm="1">
        <f t="array" ref="G19">+_xlfn.CONCAT((C19:F19)&amp;"_")</f>
        <v>Epicéa_FBonne_Entree 16-17 m_GS Arc Jurassien_</v>
      </c>
      <c r="H19" s="110" t="s">
        <v>1435</v>
      </c>
    </row>
    <row r="20" spans="1:8" x14ac:dyDescent="0.25">
      <c r="A20" s="100" t="s">
        <v>182</v>
      </c>
      <c r="B20" s="100" t="s">
        <v>185</v>
      </c>
      <c r="C20" s="110" t="s">
        <v>229</v>
      </c>
      <c r="D20" s="110" t="s">
        <v>426</v>
      </c>
      <c r="E20" s="110" t="s">
        <v>183</v>
      </c>
      <c r="F20" s="110" t="s">
        <v>223</v>
      </c>
      <c r="G20" s="310" t="str" cm="1">
        <f t="array" ref="G20">+_xlfn.CONCAT((C20:F20)&amp;"_")</f>
        <v>Epicéa_FMoyenne_Entree 16-17 m_GS Arc Jurassien_</v>
      </c>
      <c r="H20" s="110" t="s">
        <v>1435</v>
      </c>
    </row>
    <row r="21" spans="1:8" x14ac:dyDescent="0.25">
      <c r="A21" s="100" t="s">
        <v>427</v>
      </c>
      <c r="B21" s="100" t="s">
        <v>428</v>
      </c>
      <c r="C21" s="110" t="s">
        <v>238</v>
      </c>
      <c r="D21" s="110" t="s">
        <v>9</v>
      </c>
      <c r="E21" s="110" t="s">
        <v>143</v>
      </c>
      <c r="F21" s="110" t="s">
        <v>239</v>
      </c>
      <c r="G21" s="310" t="str" cm="1">
        <f t="array" ref="G21">+_xlfn.CONCAT((C21:F21)&amp;"_")</f>
        <v>Hêtre commun_F1_Entree 19-20m_GS Hêtraies et hêtraies sapinières des Pyrénées_</v>
      </c>
      <c r="H21" s="110" t="s">
        <v>1508</v>
      </c>
    </row>
    <row r="22" spans="1:8" x14ac:dyDescent="0.25">
      <c r="A22" s="100" t="s">
        <v>427</v>
      </c>
      <c r="B22" s="100" t="s">
        <v>428</v>
      </c>
      <c r="C22" s="110" t="s">
        <v>238</v>
      </c>
      <c r="D22" s="110" t="s">
        <v>10</v>
      </c>
      <c r="E22" s="110" t="s">
        <v>143</v>
      </c>
      <c r="F22" s="110" t="s">
        <v>239</v>
      </c>
      <c r="G22" s="310" t="str" cm="1">
        <f t="array" ref="G22">+_xlfn.CONCAT((C22:F22)&amp;"_")</f>
        <v>Hêtre commun_F2_Entree 19-20m_GS Hêtraies et hêtraies sapinières des Pyrénées_</v>
      </c>
      <c r="H22" s="110" t="s">
        <v>1508</v>
      </c>
    </row>
    <row r="23" spans="1:8" x14ac:dyDescent="0.25">
      <c r="A23" s="310" t="s">
        <v>1514</v>
      </c>
      <c r="B23" s="310" t="s">
        <v>1513</v>
      </c>
      <c r="C23" s="110" t="s">
        <v>367</v>
      </c>
      <c r="D23" s="110" t="s">
        <v>9</v>
      </c>
      <c r="E23" s="110" t="s">
        <v>18</v>
      </c>
      <c r="F23" s="110" t="s">
        <v>1513</v>
      </c>
      <c r="G23" s="310" t="str" cm="1">
        <f t="array" ref="G23">+_xlfn.CONCAT((C23:F23)&amp;"_")</f>
        <v>Pin d'Alep_F1_Classique_ONF 1993_</v>
      </c>
      <c r="H23" s="110" t="s">
        <v>1435</v>
      </c>
    </row>
    <row r="24" spans="1:8" x14ac:dyDescent="0.25">
      <c r="A24" s="356" t="s">
        <v>1514</v>
      </c>
      <c r="B24" s="356" t="s">
        <v>1527</v>
      </c>
      <c r="C24" s="357" t="s">
        <v>367</v>
      </c>
      <c r="D24" s="357" t="s">
        <v>9</v>
      </c>
      <c r="E24" s="357" t="s">
        <v>18</v>
      </c>
      <c r="F24" s="357" t="s">
        <v>367</v>
      </c>
      <c r="G24" s="356" t="str" cm="1">
        <f t="array" ref="G24">+_xlfn.CONCAT((C24:F24)&amp;"_")</f>
        <v>Pin d'Alep_F1_Classique_Pin d'Alep_</v>
      </c>
      <c r="H24" s="357" t="s">
        <v>1435</v>
      </c>
    </row>
    <row r="25" spans="1:8" x14ac:dyDescent="0.25">
      <c r="A25" s="356" t="s">
        <v>1514</v>
      </c>
      <c r="B25" s="356" t="s">
        <v>1527</v>
      </c>
      <c r="C25" s="357" t="s">
        <v>367</v>
      </c>
      <c r="D25" s="357" t="s">
        <v>9</v>
      </c>
      <c r="E25" s="357" t="s">
        <v>146</v>
      </c>
      <c r="F25" s="357" t="s">
        <v>367</v>
      </c>
      <c r="G25" s="356" t="str" cm="1">
        <f t="array" ref="G25">+_xlfn.CONCAT((C25:F25)&amp;"_")</f>
        <v>Pin d'Alep_F1_Dynamique_Pin d'Alep_</v>
      </c>
      <c r="H25" s="357" t="s">
        <v>1435</v>
      </c>
    </row>
    <row r="26" spans="1:8" x14ac:dyDescent="0.25">
      <c r="A26" s="100" t="s">
        <v>1514</v>
      </c>
      <c r="B26" s="100" t="s">
        <v>1527</v>
      </c>
      <c r="C26" s="110" t="s">
        <v>367</v>
      </c>
      <c r="D26" s="110" t="s">
        <v>10</v>
      </c>
      <c r="E26" s="110" t="s">
        <v>18</v>
      </c>
      <c r="F26" s="110" t="s">
        <v>367</v>
      </c>
      <c r="G26" s="310" t="str" cm="1">
        <f t="array" ref="G26">+_xlfn.CONCAT((C26:F26)&amp;"_")</f>
        <v>Pin d'Alep_F2_Classique_Pin d'Alep_</v>
      </c>
      <c r="H26" s="110" t="s">
        <v>1435</v>
      </c>
    </row>
    <row r="27" spans="1:8" x14ac:dyDescent="0.25">
      <c r="A27" s="356" t="s">
        <v>180</v>
      </c>
      <c r="B27" s="356" t="s">
        <v>21</v>
      </c>
      <c r="C27" s="357" t="s">
        <v>234</v>
      </c>
      <c r="D27" s="357" t="s">
        <v>9</v>
      </c>
      <c r="E27" s="357" t="s">
        <v>18</v>
      </c>
      <c r="F27" s="357" t="s">
        <v>235</v>
      </c>
      <c r="G27" s="356" t="str" cm="1">
        <f t="array" ref="G27">+_xlfn.CONCAT((C27:F27)&amp;"_")</f>
        <v>Pin Laricio_F1_Classique_GS Pineraies des plaines du Centre et du Nord Ouest_</v>
      </c>
      <c r="H27" s="357" t="s">
        <v>1435</v>
      </c>
    </row>
    <row r="28" spans="1:8" x14ac:dyDescent="0.25">
      <c r="A28" s="100" t="s">
        <v>180</v>
      </c>
      <c r="B28" s="100" t="s">
        <v>21</v>
      </c>
      <c r="C28" s="110" t="s">
        <v>234</v>
      </c>
      <c r="D28" s="110" t="s">
        <v>10</v>
      </c>
      <c r="E28" s="110" t="s">
        <v>18</v>
      </c>
      <c r="F28" s="110" t="s">
        <v>235</v>
      </c>
      <c r="G28" s="310" t="str" cm="1">
        <f t="array" ref="G28">+_xlfn.CONCAT((C28:F28)&amp;"_")</f>
        <v>Pin Laricio_F2_Classique_GS Pineraies des plaines du Centre et du Nord Ouest_</v>
      </c>
      <c r="H28" s="110" t="s">
        <v>1435</v>
      </c>
    </row>
    <row r="29" spans="1:8" x14ac:dyDescent="0.25">
      <c r="A29" s="100" t="s">
        <v>419</v>
      </c>
      <c r="B29" s="100" t="s">
        <v>21</v>
      </c>
      <c r="C29" s="110" t="s">
        <v>236</v>
      </c>
      <c r="D29" s="110" t="s">
        <v>9</v>
      </c>
      <c r="E29" s="110" t="s">
        <v>18</v>
      </c>
      <c r="F29" s="110" t="s">
        <v>235</v>
      </c>
      <c r="G29" s="310" t="str" cm="1">
        <f t="array" ref="G29">+_xlfn.CONCAT((C29:F29)&amp;"_")</f>
        <v>Pin Maritime_F1_Classique_GS Pineraies des plaines du Centre et du Nord Ouest_</v>
      </c>
      <c r="H29" s="110" t="s">
        <v>1435</v>
      </c>
    </row>
    <row r="30" spans="1:8" x14ac:dyDescent="0.25">
      <c r="A30" s="100" t="s">
        <v>419</v>
      </c>
      <c r="B30" s="100" t="s">
        <v>21</v>
      </c>
      <c r="C30" s="110" t="s">
        <v>236</v>
      </c>
      <c r="D30" s="110" t="s">
        <v>10</v>
      </c>
      <c r="E30" s="110" t="s">
        <v>18</v>
      </c>
      <c r="F30" s="110" t="s">
        <v>235</v>
      </c>
      <c r="G30" s="310" t="str" cm="1">
        <f t="array" ref="G30">+_xlfn.CONCAT((C30:F30)&amp;"_")</f>
        <v>Pin Maritime_F2_Classique_GS Pineraies des plaines du Centre et du Nord Ouest_</v>
      </c>
      <c r="H30" s="110" t="s">
        <v>1435</v>
      </c>
    </row>
    <row r="31" spans="1:8" x14ac:dyDescent="0.25">
      <c r="A31" s="100" t="s">
        <v>419</v>
      </c>
      <c r="B31" s="100" t="s">
        <v>1541</v>
      </c>
      <c r="C31" s="110" t="s">
        <v>236</v>
      </c>
      <c r="D31" s="110" t="s">
        <v>144</v>
      </c>
      <c r="E31" s="110" t="s">
        <v>18</v>
      </c>
      <c r="F31" s="110" t="s">
        <v>1543</v>
      </c>
      <c r="G31" s="310" t="str" cm="1">
        <f t="array" ref="G31">+_xlfn.CONCAT((C31:F31)&amp;"_")</f>
        <v>Pin Maritime_F3_Classique_Landes_</v>
      </c>
      <c r="H31" s="110"/>
    </row>
    <row r="32" spans="1:8" x14ac:dyDescent="0.25">
      <c r="A32" s="310" t="s">
        <v>419</v>
      </c>
      <c r="B32" s="310" t="s">
        <v>1518</v>
      </c>
      <c r="C32" s="110" t="s">
        <v>236</v>
      </c>
      <c r="D32" s="110" t="s">
        <v>144</v>
      </c>
      <c r="E32" s="110" t="s">
        <v>18</v>
      </c>
      <c r="F32" s="110" t="s">
        <v>1519</v>
      </c>
      <c r="G32" s="310" t="str" cm="1">
        <f t="array" ref="G32">+_xlfn.CONCAT((C32:F32)&amp;"_")</f>
        <v>Pin Maritime_F3_Classique_Forêts littorales Atlantiques dunaires_</v>
      </c>
      <c r="H32" s="110" t="s">
        <v>1435</v>
      </c>
    </row>
    <row r="33" spans="1:8" x14ac:dyDescent="0.25">
      <c r="A33" s="100" t="s">
        <v>1497</v>
      </c>
      <c r="B33" s="100" t="s">
        <v>1498</v>
      </c>
      <c r="C33" s="110" t="s">
        <v>231</v>
      </c>
      <c r="D33" s="110" t="s">
        <v>9</v>
      </c>
      <c r="E33" s="110" t="s">
        <v>232</v>
      </c>
      <c r="F33" s="110" t="s">
        <v>227</v>
      </c>
      <c r="G33" s="310" t="str" cm="1">
        <f t="array" ref="G33">+_xlfn.CONCAT((C33:F33)&amp;"_")</f>
        <v>Pin Noir d'Autriche_F1_PO1_d4_GSM Alpes du Sud_</v>
      </c>
      <c r="H33" s="110" t="s">
        <v>1435</v>
      </c>
    </row>
    <row r="34" spans="1:8" x14ac:dyDescent="0.25">
      <c r="A34" s="100" t="s">
        <v>1497</v>
      </c>
      <c r="B34" s="100" t="s">
        <v>1498</v>
      </c>
      <c r="C34" s="110" t="s">
        <v>231</v>
      </c>
      <c r="D34" s="110" t="s">
        <v>10</v>
      </c>
      <c r="E34" s="110" t="s">
        <v>233</v>
      </c>
      <c r="F34" s="110" t="s">
        <v>227</v>
      </c>
      <c r="G34" s="310" t="str" cm="1">
        <f t="array" ref="G34">+_xlfn.CONCAT((C34:F34)&amp;"_")</f>
        <v>Pin Noir d'Autriche_F2_PO2_d4_GSM Alpes du Sud_</v>
      </c>
      <c r="H34" s="110" t="s">
        <v>1435</v>
      </c>
    </row>
    <row r="35" spans="1:8" x14ac:dyDescent="0.25">
      <c r="A35" s="100" t="s">
        <v>15</v>
      </c>
      <c r="B35" s="100" t="s">
        <v>21</v>
      </c>
      <c r="C35" s="110" t="s">
        <v>387</v>
      </c>
      <c r="D35" s="110" t="s">
        <v>9</v>
      </c>
      <c r="E35" s="110" t="s">
        <v>147</v>
      </c>
      <c r="F35" s="110" t="s">
        <v>235</v>
      </c>
      <c r="G35" s="310" t="str" cm="1">
        <f t="array" ref="G35">+_xlfn.CONCAT((C35:F35)&amp;"_")</f>
        <v>Pin sylvestre_F1_Eclaircie tardive_GS Pineraies des plaines du Centre et du Nord Ouest_</v>
      </c>
      <c r="H35" s="110" t="s">
        <v>1435</v>
      </c>
    </row>
    <row r="36" spans="1:8" x14ac:dyDescent="0.25">
      <c r="A36" s="100" t="s">
        <v>15</v>
      </c>
      <c r="B36" s="100" t="s">
        <v>21</v>
      </c>
      <c r="C36" s="110" t="s">
        <v>387</v>
      </c>
      <c r="D36" s="110" t="s">
        <v>10</v>
      </c>
      <c r="E36" s="110" t="s">
        <v>16</v>
      </c>
      <c r="F36" s="110" t="s">
        <v>235</v>
      </c>
      <c r="G36" s="310" t="str" cm="1">
        <f t="array" ref="G36">+_xlfn.CONCAT((C36:F36)&amp;"_")</f>
        <v>Pin sylvestre_F2_Eclaircie précoce_GS Pineraies des plaines du Centre et du Nord Ouest_</v>
      </c>
      <c r="H36" s="110" t="s">
        <v>1435</v>
      </c>
    </row>
    <row r="37" spans="1:8" x14ac:dyDescent="0.25">
      <c r="A37" s="100" t="s">
        <v>15</v>
      </c>
      <c r="B37" s="100" t="s">
        <v>21</v>
      </c>
      <c r="C37" s="110" t="s">
        <v>387</v>
      </c>
      <c r="D37" s="110" t="s">
        <v>10</v>
      </c>
      <c r="E37" s="110" t="s">
        <v>147</v>
      </c>
      <c r="F37" s="110" t="s">
        <v>235</v>
      </c>
      <c r="G37" s="310" t="str" cm="1">
        <f t="array" ref="G37">+_xlfn.CONCAT((C37:F37)&amp;"_")</f>
        <v>Pin sylvestre_F2_Eclaircie tardive_GS Pineraies des plaines du Centre et du Nord Ouest_</v>
      </c>
      <c r="H37" s="110" t="s">
        <v>1435</v>
      </c>
    </row>
    <row r="38" spans="1:8" x14ac:dyDescent="0.25">
      <c r="A38" s="100" t="s">
        <v>432</v>
      </c>
      <c r="B38" s="100" t="s">
        <v>185</v>
      </c>
      <c r="C38" s="110" t="s">
        <v>221</v>
      </c>
      <c r="D38" s="110" t="s">
        <v>9</v>
      </c>
      <c r="E38" s="110" t="s">
        <v>222</v>
      </c>
      <c r="F38" s="110" t="s">
        <v>223</v>
      </c>
      <c r="G38" s="310" t="str" cm="1">
        <f t="array" ref="G38">+_xlfn.CONCAT((C38:F38)&amp;"_")</f>
        <v>Sapin pectiné_F1_Cas général_GS Arc Jurassien_</v>
      </c>
      <c r="H38" s="110" t="s">
        <v>1435</v>
      </c>
    </row>
    <row r="39" spans="1:8" x14ac:dyDescent="0.25">
      <c r="A39" s="100" t="s">
        <v>432</v>
      </c>
      <c r="B39" s="100" t="s">
        <v>1498</v>
      </c>
      <c r="C39" s="110" t="s">
        <v>221</v>
      </c>
      <c r="D39" s="110" t="s">
        <v>9</v>
      </c>
      <c r="E39" s="110" t="s">
        <v>226</v>
      </c>
      <c r="F39" s="110" t="s">
        <v>227</v>
      </c>
      <c r="G39" s="310" t="str" cm="1">
        <f t="array" ref="G39">+_xlfn.CONCAT((C39:F39)&amp;"_")</f>
        <v>Sapin pectiné_F1_SP1_d5_GSM Alpes du Sud_</v>
      </c>
      <c r="H39" s="110" t="s">
        <v>1435</v>
      </c>
    </row>
    <row r="40" spans="1:8" x14ac:dyDescent="0.25">
      <c r="A40" s="100" t="s">
        <v>432</v>
      </c>
      <c r="B40" s="100" t="s">
        <v>185</v>
      </c>
      <c r="C40" s="110" t="s">
        <v>221</v>
      </c>
      <c r="D40" s="110" t="s">
        <v>10</v>
      </c>
      <c r="E40" s="110" t="s">
        <v>222</v>
      </c>
      <c r="F40" s="110" t="s">
        <v>223</v>
      </c>
      <c r="G40" s="310" t="str" cm="1">
        <f t="array" ref="G40">+_xlfn.CONCAT((C40:F40)&amp;"_")</f>
        <v>Sapin pectiné_F2_Cas général_GS Arc Jurassien_</v>
      </c>
      <c r="H40" s="110" t="s">
        <v>1435</v>
      </c>
    </row>
    <row r="41" spans="1:8" x14ac:dyDescent="0.25">
      <c r="A41" s="100" t="s">
        <v>432</v>
      </c>
      <c r="B41" s="100" t="s">
        <v>1498</v>
      </c>
      <c r="C41" s="110" t="s">
        <v>221</v>
      </c>
      <c r="D41" s="110" t="s">
        <v>10</v>
      </c>
      <c r="E41" s="110" t="s">
        <v>228</v>
      </c>
      <c r="F41" s="110" t="s">
        <v>227</v>
      </c>
      <c r="G41" s="310" t="str" cm="1">
        <f t="array" ref="G41">+_xlfn.CONCAT((C41:F41)&amp;"_")</f>
        <v>Sapin pectiné_F2_SP2_4_GSM Alpes du Sud_</v>
      </c>
      <c r="H41" s="110" t="s">
        <v>1435</v>
      </c>
    </row>
    <row r="42" spans="1:8" x14ac:dyDescent="0.25">
      <c r="A42" s="100" t="s">
        <v>432</v>
      </c>
      <c r="B42" s="100" t="s">
        <v>185</v>
      </c>
      <c r="C42" s="110" t="s">
        <v>221</v>
      </c>
      <c r="D42" s="110" t="s">
        <v>144</v>
      </c>
      <c r="E42" s="110" t="s">
        <v>222</v>
      </c>
      <c r="F42" s="110" t="s">
        <v>223</v>
      </c>
      <c r="G42" s="310" t="str" cm="1">
        <f t="array" ref="G42">+_xlfn.CONCAT((C42:F42)&amp;"_")</f>
        <v>Sapin pectiné_F3_Cas général_GS Arc Jurassien_</v>
      </c>
      <c r="H42" s="110" t="s">
        <v>1435</v>
      </c>
    </row>
    <row r="44" spans="1:8" x14ac:dyDescent="0.25">
      <c r="A44" s="325" t="s">
        <v>1509</v>
      </c>
    </row>
    <row r="45" spans="1:8" x14ac:dyDescent="0.25">
      <c r="A45" s="323" t="s">
        <v>200</v>
      </c>
      <c r="B45" s="323" t="s">
        <v>409</v>
      </c>
      <c r="C45" s="323" t="s">
        <v>200</v>
      </c>
      <c r="D45" s="323" t="s">
        <v>201</v>
      </c>
      <c r="E45" s="323" t="s">
        <v>202</v>
      </c>
      <c r="F45" s="323" t="s">
        <v>203</v>
      </c>
      <c r="G45" s="323" t="s">
        <v>410</v>
      </c>
      <c r="H45" s="324" t="s">
        <v>1507</v>
      </c>
    </row>
    <row r="46" spans="1:8" x14ac:dyDescent="0.25">
      <c r="A46" s="100"/>
      <c r="B46" s="100"/>
      <c r="C46" s="110" t="s">
        <v>312</v>
      </c>
      <c r="D46" s="110" t="s">
        <v>9</v>
      </c>
      <c r="E46" s="110" t="s">
        <v>313</v>
      </c>
      <c r="F46" s="110" t="s">
        <v>227</v>
      </c>
      <c r="G46" s="310" t="str" cm="1">
        <f t="array" ref="G46">+_xlfn.CONCAT((C46:F46)&amp;"_")</f>
        <v>Mélèze d'Europe_F1_ME1_d5_GSM Alpes du Sud_</v>
      </c>
      <c r="H46" s="320" t="s">
        <v>1435</v>
      </c>
    </row>
    <row r="47" spans="1:8" x14ac:dyDescent="0.25">
      <c r="A47" s="100"/>
      <c r="B47" s="100"/>
      <c r="C47" s="110" t="s">
        <v>312</v>
      </c>
      <c r="D47" s="110" t="s">
        <v>10</v>
      </c>
      <c r="E47" s="110" t="s">
        <v>314</v>
      </c>
      <c r="F47" s="110" t="s">
        <v>227</v>
      </c>
      <c r="G47" s="310" t="str" cm="1">
        <f t="array" ref="G47">+_xlfn.CONCAT((C47:F47)&amp;"_")</f>
        <v>Mélèze d'Europe_F2_ME2_d6_GSM Alpes du Sud_</v>
      </c>
      <c r="H47" s="320" t="s">
        <v>1435</v>
      </c>
    </row>
    <row r="48" spans="1:8" x14ac:dyDescent="0.25">
      <c r="A48" s="100" t="s">
        <v>432</v>
      </c>
      <c r="B48" s="100"/>
      <c r="C48" s="110" t="s">
        <v>221</v>
      </c>
      <c r="D48" s="110" t="s">
        <v>9</v>
      </c>
      <c r="E48" s="110" t="s">
        <v>306</v>
      </c>
      <c r="F48" s="110" t="s">
        <v>307</v>
      </c>
      <c r="G48" s="310" t="str" cm="1">
        <f t="array" ref="G48">+_xlfn.CONCAT((C48:F48)&amp;"_")</f>
        <v>Sapin pectiné_F1_Normal_GS Sapinières du Massif Central_</v>
      </c>
      <c r="H48" s="320" t="s">
        <v>1435</v>
      </c>
    </row>
    <row r="49" spans="1:8" x14ac:dyDescent="0.25">
      <c r="A49" s="100" t="s">
        <v>432</v>
      </c>
      <c r="B49" s="100"/>
      <c r="C49" s="110" t="s">
        <v>221</v>
      </c>
      <c r="D49" s="110" t="s">
        <v>10</v>
      </c>
      <c r="E49" s="110" t="s">
        <v>306</v>
      </c>
      <c r="F49" s="110" t="s">
        <v>307</v>
      </c>
      <c r="G49" s="310" t="str" cm="1">
        <f t="array" ref="G49">+_xlfn.CONCAT((C49:F49)&amp;"_")</f>
        <v>Sapin pectiné_F2_Normal_GS Sapinières du Massif Central_</v>
      </c>
      <c r="H49" s="320" t="s">
        <v>1435</v>
      </c>
    </row>
    <row r="50" spans="1:8" x14ac:dyDescent="0.25">
      <c r="A50" s="100" t="s">
        <v>432</v>
      </c>
      <c r="B50" s="100"/>
      <c r="C50" s="110" t="s">
        <v>221</v>
      </c>
      <c r="D50" s="110" t="s">
        <v>144</v>
      </c>
      <c r="E50" s="110" t="s">
        <v>306</v>
      </c>
      <c r="F50" s="110" t="s">
        <v>307</v>
      </c>
      <c r="G50" s="310" t="str" cm="1">
        <f t="array" ref="G50">+_xlfn.CONCAT((C50:F50)&amp;"_")</f>
        <v>Sapin pectiné_F3_Normal_GS Sapinières du Massif Central_</v>
      </c>
      <c r="H50" s="320" t="s">
        <v>1435</v>
      </c>
    </row>
    <row r="51" spans="1:8" x14ac:dyDescent="0.25">
      <c r="A51" s="100"/>
      <c r="B51" s="100"/>
      <c r="C51" s="110" t="s">
        <v>1410</v>
      </c>
      <c r="D51" s="110" t="s">
        <v>9</v>
      </c>
      <c r="E51" s="110" t="s">
        <v>309</v>
      </c>
      <c r="F51" s="110" t="s">
        <v>227</v>
      </c>
      <c r="G51" s="310" t="str" cm="1">
        <f t="array" ref="G51">+_xlfn.CONCAT((C51:F51)&amp;"_")</f>
        <v>Cedre_Atlas_F1_CA1_d5_GSM Alpes du Sud_</v>
      </c>
      <c r="H51" s="319" t="s">
        <v>1435</v>
      </c>
    </row>
    <row r="52" spans="1:8" x14ac:dyDescent="0.25">
      <c r="A52" s="100"/>
      <c r="B52" s="100"/>
      <c r="C52" s="110" t="s">
        <v>1410</v>
      </c>
      <c r="D52" s="110" t="s">
        <v>10</v>
      </c>
      <c r="E52" s="110" t="s">
        <v>310</v>
      </c>
      <c r="F52" s="110" t="s">
        <v>227</v>
      </c>
      <c r="G52" s="310" t="str" cm="1">
        <f t="array" ref="G52">+_xlfn.CONCAT((C52:F52)&amp;"_")</f>
        <v>Cedre_Atlas_F2_CA2_d5_GSM Alpes du Sud_</v>
      </c>
      <c r="H52" s="319" t="s">
        <v>1435</v>
      </c>
    </row>
    <row r="53" spans="1:8" x14ac:dyDescent="0.25">
      <c r="A53" s="100"/>
      <c r="B53" s="100"/>
      <c r="C53" s="110" t="s">
        <v>1410</v>
      </c>
      <c r="D53" s="110" t="s">
        <v>144</v>
      </c>
      <c r="E53" s="110" t="s">
        <v>311</v>
      </c>
      <c r="F53" s="110" t="s">
        <v>227</v>
      </c>
      <c r="G53" s="310" t="str" cm="1">
        <f t="array" ref="G53">+_xlfn.CONCAT((C53:F53)&amp;"_")</f>
        <v>Cedre_Atlas_F3_CA3_d5_GSM Alpes du Sud_</v>
      </c>
      <c r="H53" s="319" t="s">
        <v>1435</v>
      </c>
    </row>
    <row r="54" spans="1:8" x14ac:dyDescent="0.25">
      <c r="A54" s="100" t="s">
        <v>17</v>
      </c>
      <c r="B54" s="100" t="s">
        <v>20</v>
      </c>
      <c r="C54" s="110" t="s">
        <v>389</v>
      </c>
      <c r="D54" s="110" t="s">
        <v>9</v>
      </c>
      <c r="E54" s="110" t="s">
        <v>18</v>
      </c>
      <c r="F54" s="110" t="s">
        <v>137</v>
      </c>
      <c r="G54" s="310" t="str" cm="1">
        <f t="array" ref="G54">+_xlfn.CONCAT((C54:F54)&amp;"_")</f>
        <v>Chêne sessile_F1_Classique_Guide chênaie atlantique_</v>
      </c>
      <c r="H54" s="320" t="s">
        <v>1508</v>
      </c>
    </row>
    <row r="55" spans="1:8" x14ac:dyDescent="0.25">
      <c r="A55" s="100" t="s">
        <v>17</v>
      </c>
      <c r="B55" s="100" t="s">
        <v>20</v>
      </c>
      <c r="C55" s="110" t="s">
        <v>389</v>
      </c>
      <c r="D55" s="110" t="s">
        <v>144</v>
      </c>
      <c r="E55" s="110" t="s">
        <v>18</v>
      </c>
      <c r="F55" s="110" t="s">
        <v>137</v>
      </c>
      <c r="G55" s="310" t="str" cm="1">
        <f t="array" ref="G55">+_xlfn.CONCAT((C55:F55)&amp;"_")</f>
        <v>Chêne sessile_F3_Classique_Guide chênaie atlantique_</v>
      </c>
      <c r="H55" s="320" t="s">
        <v>1508</v>
      </c>
    </row>
    <row r="56" spans="1:8" x14ac:dyDescent="0.25">
      <c r="A56" s="100" t="s">
        <v>17</v>
      </c>
      <c r="B56" s="100" t="s">
        <v>20</v>
      </c>
      <c r="C56" s="110" t="s">
        <v>389</v>
      </c>
      <c r="D56" s="110" t="s">
        <v>10</v>
      </c>
      <c r="E56" s="110" t="s">
        <v>18</v>
      </c>
      <c r="F56" s="110" t="s">
        <v>137</v>
      </c>
      <c r="G56" s="310" t="str" cm="1">
        <f t="array" ref="G56">+_xlfn.CONCAT((C56:F56)&amp;"_")</f>
        <v>Chêne sessile_F2_Classique_Guide chênaie atlantique_</v>
      </c>
      <c r="H56" s="320" t="s">
        <v>1508</v>
      </c>
    </row>
    <row r="57" spans="1:8" x14ac:dyDescent="0.25">
      <c r="C57"/>
      <c r="D57"/>
      <c r="E57"/>
      <c r="F57" s="111"/>
    </row>
    <row r="58" spans="1:8" x14ac:dyDescent="0.25">
      <c r="C58"/>
      <c r="D58"/>
      <c r="E58"/>
      <c r="F58" s="111"/>
    </row>
    <row r="59" spans="1:8" x14ac:dyDescent="0.25">
      <c r="C59"/>
      <c r="D59"/>
      <c r="E59"/>
      <c r="F59" s="111"/>
    </row>
    <row r="60" spans="1:8" x14ac:dyDescent="0.25">
      <c r="C60"/>
      <c r="D60"/>
      <c r="E60"/>
      <c r="F60" s="111"/>
    </row>
    <row r="61" spans="1:8" x14ac:dyDescent="0.25">
      <c r="C61" s="313" t="s">
        <v>200</v>
      </c>
      <c r="D61" s="313" t="s">
        <v>201</v>
      </c>
      <c r="E61" s="313" t="s">
        <v>1476</v>
      </c>
      <c r="F61" s="313" t="s">
        <v>1476</v>
      </c>
      <c r="G61" s="313" t="s">
        <v>1477</v>
      </c>
    </row>
    <row r="62" spans="1:8" x14ac:dyDescent="0.25">
      <c r="C62" s="310" t="s">
        <v>752</v>
      </c>
      <c r="D62" s="310" t="s">
        <v>10</v>
      </c>
      <c r="E62" s="310" t="s">
        <v>1389</v>
      </c>
      <c r="F62" s="310" t="s">
        <v>1389</v>
      </c>
      <c r="G62" s="310" t="str">
        <f t="shared" ref="G62:G125" si="0">+_xlfn.CONCAT(C62:F62)</f>
        <v>A1 génériqueF2BT31-RDVTECH44BT31-RDVTECH44</v>
      </c>
    </row>
    <row r="63" spans="1:8" x14ac:dyDescent="0.25">
      <c r="C63" s="310" t="s">
        <v>773</v>
      </c>
      <c r="D63" s="310" t="s">
        <v>10</v>
      </c>
      <c r="E63" s="310" t="s">
        <v>1389</v>
      </c>
      <c r="F63" s="310" t="s">
        <v>1389</v>
      </c>
      <c r="G63" s="310" t="str">
        <f t="shared" si="0"/>
        <v>A2 génériqueF2BT31-RDVTECH44BT31-RDVTECH44</v>
      </c>
    </row>
    <row r="64" spans="1:8" x14ac:dyDescent="0.25">
      <c r="C64" s="310" t="s">
        <v>849</v>
      </c>
      <c r="D64" s="310" t="s">
        <v>10</v>
      </c>
      <c r="E64" s="310" t="s">
        <v>1389</v>
      </c>
      <c r="F64" s="310" t="s">
        <v>1389</v>
      </c>
      <c r="G64" s="310" t="str">
        <f t="shared" si="0"/>
        <v>A3 génériqueF2BT31-RDVTECH44BT31-RDVTECH44</v>
      </c>
    </row>
    <row r="65" spans="3:7" x14ac:dyDescent="0.25">
      <c r="C65" s="310" t="s">
        <v>1171</v>
      </c>
      <c r="D65" s="310" t="s">
        <v>10</v>
      </c>
      <c r="E65" s="310" t="s">
        <v>1389</v>
      </c>
      <c r="F65" s="310" t="s">
        <v>1389</v>
      </c>
      <c r="G65" s="310" t="str">
        <f t="shared" si="0"/>
        <v>AbricotierF2BT31-RDVTECH44BT31-RDVTECH44</v>
      </c>
    </row>
    <row r="66" spans="3:7" x14ac:dyDescent="0.25">
      <c r="C66" s="310" t="s">
        <v>497</v>
      </c>
      <c r="D66" s="310" t="s">
        <v>10</v>
      </c>
      <c r="E66" s="310" t="s">
        <v>1389</v>
      </c>
      <c r="F66" s="310" t="s">
        <v>1389</v>
      </c>
      <c r="G66" s="310" t="str">
        <f t="shared" si="0"/>
        <v>AilanteF2BT31-RDVTECH44BT31-RDVTECH44</v>
      </c>
    </row>
    <row r="67" spans="3:7" x14ac:dyDescent="0.25">
      <c r="C67" s="310" t="s">
        <v>1047</v>
      </c>
      <c r="D67" s="310" t="s">
        <v>10</v>
      </c>
      <c r="E67" s="310" t="s">
        <v>1389</v>
      </c>
      <c r="F67" s="310" t="s">
        <v>1389</v>
      </c>
      <c r="G67" s="310" t="str">
        <f t="shared" si="0"/>
        <v>Alisier blancF2BT31-RDVTECH44BT31-RDVTECH44</v>
      </c>
    </row>
    <row r="68" spans="3:7" x14ac:dyDescent="0.25">
      <c r="C68" s="310" t="s">
        <v>1052</v>
      </c>
      <c r="D68" s="310" t="s">
        <v>10</v>
      </c>
      <c r="E68" s="310" t="s">
        <v>1389</v>
      </c>
      <c r="F68" s="310" t="s">
        <v>1389</v>
      </c>
      <c r="G68" s="310" t="str">
        <f t="shared" si="0"/>
        <v>Alisier de FontainebleauF2BT31-RDVTECH44BT31-RDVTECH44</v>
      </c>
    </row>
    <row r="69" spans="3:7" x14ac:dyDescent="0.25">
      <c r="C69" s="310" t="s">
        <v>1057</v>
      </c>
      <c r="D69" s="310" t="s">
        <v>10</v>
      </c>
      <c r="E69" s="310" t="s">
        <v>1389</v>
      </c>
      <c r="F69" s="310" t="s">
        <v>1389</v>
      </c>
      <c r="G69" s="310" t="str">
        <f t="shared" si="0"/>
        <v>Alisier de MougeotF2BT31-RDVTECH44BT31-RDVTECH44</v>
      </c>
    </row>
    <row r="70" spans="3:7" x14ac:dyDescent="0.25">
      <c r="C70" s="310" t="s">
        <v>1014</v>
      </c>
      <c r="D70" s="310" t="s">
        <v>10</v>
      </c>
      <c r="E70" s="310" t="s">
        <v>1389</v>
      </c>
      <c r="F70" s="310" t="s">
        <v>1389</v>
      </c>
      <c r="G70" s="310" t="str">
        <f t="shared" si="0"/>
        <v>Alisier torminalF2BT31-RDVTECH44BT31-RDVTECH44</v>
      </c>
    </row>
    <row r="71" spans="3:7" x14ac:dyDescent="0.25">
      <c r="C71" s="310" t="s">
        <v>1042</v>
      </c>
      <c r="D71" s="310" t="s">
        <v>10</v>
      </c>
      <c r="E71" s="310" t="s">
        <v>1389</v>
      </c>
      <c r="F71" s="310" t="s">
        <v>1389</v>
      </c>
      <c r="G71" s="310" t="str">
        <f t="shared" si="0"/>
        <v>AmandierF2BT31-RDVTECH44BT31-RDVTECH44</v>
      </c>
    </row>
    <row r="72" spans="3:7" x14ac:dyDescent="0.25">
      <c r="C72" s="310" t="s">
        <v>1321</v>
      </c>
      <c r="D72" s="310" t="s">
        <v>10</v>
      </c>
      <c r="E72" s="310" t="s">
        <v>1389</v>
      </c>
      <c r="F72" s="310" t="s">
        <v>1389</v>
      </c>
      <c r="G72" s="310" t="str">
        <f t="shared" si="0"/>
        <v>ArbousierF2BT31-RDVTECH44BT31-RDVTECH44</v>
      </c>
    </row>
    <row r="73" spans="3:7" x14ac:dyDescent="0.25">
      <c r="C73" s="310" t="s">
        <v>1145</v>
      </c>
      <c r="D73" s="310" t="s">
        <v>10</v>
      </c>
      <c r="E73" s="310" t="s">
        <v>1389</v>
      </c>
      <c r="F73" s="310" t="s">
        <v>1389</v>
      </c>
      <c r="G73" s="310" t="str">
        <f t="shared" si="0"/>
        <v>Arbre de JudéeF2BT31-RDVTECH44BT31-RDVTECH44</v>
      </c>
    </row>
    <row r="74" spans="3:7" x14ac:dyDescent="0.25">
      <c r="C74" s="310" t="s">
        <v>574</v>
      </c>
      <c r="D74" s="310" t="s">
        <v>10</v>
      </c>
      <c r="E74" s="310" t="s">
        <v>1389</v>
      </c>
      <c r="F74" s="310" t="s">
        <v>1389</v>
      </c>
      <c r="G74" s="310" t="str">
        <f t="shared" si="0"/>
        <v>Aubépine AzerolierF2BT31-RDVTECH44BT31-RDVTECH44</v>
      </c>
    </row>
    <row r="75" spans="3:7" x14ac:dyDescent="0.25">
      <c r="C75" s="310" t="s">
        <v>577</v>
      </c>
      <c r="D75" s="310" t="s">
        <v>10</v>
      </c>
      <c r="E75" s="310" t="s">
        <v>1389</v>
      </c>
      <c r="F75" s="310" t="s">
        <v>1389</v>
      </c>
      <c r="G75" s="310" t="str">
        <f t="shared" si="0"/>
        <v>Aubépine épineuseF2BT31-RDVTECH44BT31-RDVTECH44</v>
      </c>
    </row>
    <row r="76" spans="3:7" x14ac:dyDescent="0.25">
      <c r="C76" s="310" t="s">
        <v>582</v>
      </c>
      <c r="D76" s="310" t="s">
        <v>10</v>
      </c>
      <c r="E76" s="310" t="s">
        <v>1389</v>
      </c>
      <c r="F76" s="310" t="s">
        <v>1389</v>
      </c>
      <c r="G76" s="310" t="str">
        <f t="shared" si="0"/>
        <v>Aubépine monogyneF2BT31-RDVTECH44BT31-RDVTECH44</v>
      </c>
    </row>
    <row r="77" spans="3:7" x14ac:dyDescent="0.25">
      <c r="C77" s="310" t="s">
        <v>1345</v>
      </c>
      <c r="D77" s="310" t="s">
        <v>10</v>
      </c>
      <c r="E77" s="310" t="s">
        <v>1389</v>
      </c>
      <c r="F77" s="310" t="s">
        <v>1389</v>
      </c>
      <c r="G77" s="310" t="str">
        <f t="shared" si="0"/>
        <v>Aulne blancF2BT31-RDVTECH44BT31-RDVTECH44</v>
      </c>
    </row>
    <row r="78" spans="3:7" x14ac:dyDescent="0.25">
      <c r="C78" s="310" t="s">
        <v>1350</v>
      </c>
      <c r="D78" s="310" t="s">
        <v>10</v>
      </c>
      <c r="E78" s="310" t="s">
        <v>1389</v>
      </c>
      <c r="F78" s="310" t="s">
        <v>1389</v>
      </c>
      <c r="G78" s="310" t="str">
        <f t="shared" si="0"/>
        <v>Aulne de CorseF2BT31-RDVTECH44BT31-RDVTECH44</v>
      </c>
    </row>
    <row r="79" spans="3:7" x14ac:dyDescent="0.25">
      <c r="C79" s="310" t="s">
        <v>607</v>
      </c>
      <c r="D79" s="310" t="s">
        <v>10</v>
      </c>
      <c r="E79" s="310" t="s">
        <v>1389</v>
      </c>
      <c r="F79" s="310" t="s">
        <v>1389</v>
      </c>
      <c r="G79" s="310" t="str">
        <f t="shared" si="0"/>
        <v>Aulne génériqueF2BT31-RDVTECH44BT31-RDVTECH44</v>
      </c>
    </row>
    <row r="80" spans="3:7" x14ac:dyDescent="0.25">
      <c r="C80" s="310" t="s">
        <v>1355</v>
      </c>
      <c r="D80" s="310" t="s">
        <v>10</v>
      </c>
      <c r="E80" s="310" t="s">
        <v>1389</v>
      </c>
      <c r="F80" s="310" t="s">
        <v>1389</v>
      </c>
      <c r="G80" s="310" t="str">
        <f t="shared" si="0"/>
        <v>Aulne glutineuxF2BT31-RDVTECH44BT31-RDVTECH44</v>
      </c>
    </row>
    <row r="81" spans="3:7" x14ac:dyDescent="0.25">
      <c r="C81" s="310" t="s">
        <v>330</v>
      </c>
      <c r="D81" s="310" t="s">
        <v>10</v>
      </c>
      <c r="E81" s="310" t="s">
        <v>1389</v>
      </c>
      <c r="F81" s="310" t="s">
        <v>1389</v>
      </c>
      <c r="G81" s="310" t="str">
        <f t="shared" si="0"/>
        <v>Aulne vert F2BT31-RDVTECH44BT31-RDVTECH44</v>
      </c>
    </row>
    <row r="82" spans="3:7" x14ac:dyDescent="0.25">
      <c r="C82" s="310" t="s">
        <v>725</v>
      </c>
      <c r="D82" s="310" t="s">
        <v>10</v>
      </c>
      <c r="E82" s="310" t="s">
        <v>1389</v>
      </c>
      <c r="F82" s="310" t="s">
        <v>1389</v>
      </c>
      <c r="G82" s="310" t="str">
        <f t="shared" si="0"/>
        <v>Autre conifère exotiqueF2BT31-RDVTECH44BT31-RDVTECH44</v>
      </c>
    </row>
    <row r="83" spans="3:7" x14ac:dyDescent="0.25">
      <c r="C83" s="310" t="s">
        <v>495</v>
      </c>
      <c r="D83" s="310" t="s">
        <v>10</v>
      </c>
      <c r="E83" s="310" t="s">
        <v>1389</v>
      </c>
      <c r="F83" s="310" t="s">
        <v>1389</v>
      </c>
      <c r="G83" s="310" t="str">
        <f t="shared" si="0"/>
        <v>Autre feuillu exotiqueF2BT31-RDVTECH44BT31-RDVTECH44</v>
      </c>
    </row>
    <row r="84" spans="3:7" x14ac:dyDescent="0.25">
      <c r="C84" s="310" t="s">
        <v>890</v>
      </c>
      <c r="D84" s="310" t="s">
        <v>10</v>
      </c>
      <c r="E84" s="310" t="s">
        <v>1389</v>
      </c>
      <c r="F84" s="310" t="s">
        <v>1389</v>
      </c>
      <c r="G84" s="310" t="str">
        <f t="shared" si="0"/>
        <v>B1 génériqueF2BT31-RDVTECH44BT31-RDVTECH44</v>
      </c>
    </row>
    <row r="85" spans="3:7" x14ac:dyDescent="0.25">
      <c r="C85" s="310" t="s">
        <v>950</v>
      </c>
      <c r="D85" s="310" t="s">
        <v>10</v>
      </c>
      <c r="E85" s="310" t="s">
        <v>1389</v>
      </c>
      <c r="F85" s="310" t="s">
        <v>1389</v>
      </c>
      <c r="G85" s="310" t="str">
        <f t="shared" si="0"/>
        <v>B2 génériqueF2BT31-RDVTECH44BT31-RDVTECH44</v>
      </c>
    </row>
    <row r="86" spans="3:7" x14ac:dyDescent="0.25">
      <c r="C86" s="310" t="s">
        <v>609</v>
      </c>
      <c r="D86" s="310" t="s">
        <v>10</v>
      </c>
      <c r="E86" s="310" t="s">
        <v>1389</v>
      </c>
      <c r="F86" s="310" t="s">
        <v>1389</v>
      </c>
      <c r="G86" s="310" t="str">
        <f t="shared" si="0"/>
        <v>Bouleau génériqueF2BT31-RDVTECH44BT31-RDVTECH44</v>
      </c>
    </row>
    <row r="87" spans="3:7" x14ac:dyDescent="0.25">
      <c r="C87" s="310" t="s">
        <v>1335</v>
      </c>
      <c r="D87" s="310" t="s">
        <v>10</v>
      </c>
      <c r="E87" s="310" t="s">
        <v>1389</v>
      </c>
      <c r="F87" s="310" t="s">
        <v>1389</v>
      </c>
      <c r="G87" s="310" t="str">
        <f t="shared" si="0"/>
        <v>Bouleau pubescentF2BT31-RDVTECH44BT31-RDVTECH44</v>
      </c>
    </row>
    <row r="88" spans="3:7" x14ac:dyDescent="0.25">
      <c r="C88" s="310" t="s">
        <v>1340</v>
      </c>
      <c r="D88" s="310" t="s">
        <v>10</v>
      </c>
      <c r="E88" s="310" t="s">
        <v>1389</v>
      </c>
      <c r="F88" s="310" t="s">
        <v>1389</v>
      </c>
      <c r="G88" s="310" t="str">
        <f t="shared" si="0"/>
        <v>Bouleau verruqueuxF2BT31-RDVTECH44BT31-RDVTECH44</v>
      </c>
    </row>
    <row r="89" spans="3:7" x14ac:dyDescent="0.25">
      <c r="C89" s="310" t="s">
        <v>1128</v>
      </c>
      <c r="D89" s="310" t="s">
        <v>10</v>
      </c>
      <c r="E89" s="310" t="s">
        <v>1389</v>
      </c>
      <c r="F89" s="310" t="s">
        <v>1389</v>
      </c>
      <c r="G89" s="310" t="str">
        <f t="shared" si="0"/>
        <v>BourdaineF2BT31-RDVTECH44BT31-RDVTECH44</v>
      </c>
    </row>
    <row r="90" spans="3:7" x14ac:dyDescent="0.25">
      <c r="C90" s="310" t="s">
        <v>1287</v>
      </c>
      <c r="D90" s="310" t="s">
        <v>10</v>
      </c>
      <c r="E90" s="310" t="s">
        <v>1389</v>
      </c>
      <c r="F90" s="310" t="s">
        <v>1389</v>
      </c>
      <c r="G90" s="310" t="str">
        <f t="shared" si="0"/>
        <v>Bruyère arborescenteF2BT31-RDVTECH44BT31-RDVTECH44</v>
      </c>
    </row>
    <row r="91" spans="3:7" x14ac:dyDescent="0.25">
      <c r="C91" s="310" t="s">
        <v>587</v>
      </c>
      <c r="D91" s="310" t="s">
        <v>10</v>
      </c>
      <c r="E91" s="310" t="s">
        <v>1389</v>
      </c>
      <c r="F91" s="310" t="s">
        <v>1389</v>
      </c>
      <c r="G91" s="310" t="str">
        <f t="shared" si="0"/>
        <v>BuisF2BT31-RDVTECH44BT31-RDVTECH44</v>
      </c>
    </row>
    <row r="92" spans="3:7" x14ac:dyDescent="0.25">
      <c r="C92" s="310" t="s">
        <v>1007</v>
      </c>
      <c r="D92" s="310" t="s">
        <v>10</v>
      </c>
      <c r="E92" s="310" t="s">
        <v>1389</v>
      </c>
      <c r="F92" s="310" t="s">
        <v>1389</v>
      </c>
      <c r="G92" s="310" t="str">
        <f t="shared" si="0"/>
        <v>C1 génériqueF2BT31-RDVTECH44BT31-RDVTECH44</v>
      </c>
    </row>
    <row r="93" spans="3:7" x14ac:dyDescent="0.25">
      <c r="C93" s="310" t="s">
        <v>1218</v>
      </c>
      <c r="D93" s="310" t="s">
        <v>10</v>
      </c>
      <c r="E93" s="310" t="s">
        <v>1389</v>
      </c>
      <c r="F93" s="310" t="s">
        <v>1389</v>
      </c>
      <c r="G93" s="310" t="str">
        <f t="shared" si="0"/>
        <v>C2 génériqueF2BT31-RDVTECH44BT31-RDVTECH44</v>
      </c>
    </row>
    <row r="94" spans="3:7" x14ac:dyDescent="0.25">
      <c r="C94" s="310" t="s">
        <v>1261</v>
      </c>
      <c r="D94" s="310" t="s">
        <v>10</v>
      </c>
      <c r="E94" s="310" t="s">
        <v>1389</v>
      </c>
      <c r="F94" s="310" t="s">
        <v>1389</v>
      </c>
      <c r="G94" s="310" t="str">
        <f t="shared" si="0"/>
        <v>C3 génériqueF2BT31-RDVTECH44BT31-RDVTECH44</v>
      </c>
    </row>
    <row r="95" spans="3:7" x14ac:dyDescent="0.25">
      <c r="C95" s="310" t="s">
        <v>502</v>
      </c>
      <c r="D95" s="310" t="s">
        <v>10</v>
      </c>
      <c r="E95" s="310" t="s">
        <v>1389</v>
      </c>
      <c r="F95" s="310" t="s">
        <v>1389</v>
      </c>
      <c r="G95" s="310" t="str">
        <f t="shared" si="0"/>
        <v>CaroubierF2BT31-RDVTECH44BT31-RDVTECH44</v>
      </c>
    </row>
    <row r="96" spans="3:7" x14ac:dyDescent="0.25">
      <c r="C96" s="310" t="s">
        <v>507</v>
      </c>
      <c r="D96" s="310" t="s">
        <v>10</v>
      </c>
      <c r="E96" s="310" t="s">
        <v>1389</v>
      </c>
      <c r="F96" s="310" t="s">
        <v>1389</v>
      </c>
      <c r="G96" s="310" t="str">
        <f t="shared" si="0"/>
        <v>CatalpaF2BT31-RDVTECH44BT31-RDVTECH44</v>
      </c>
    </row>
    <row r="97" spans="3:7" x14ac:dyDescent="0.25">
      <c r="C97" s="310" t="s">
        <v>1139</v>
      </c>
      <c r="D97" s="310" t="s">
        <v>10</v>
      </c>
      <c r="E97" s="310" t="s">
        <v>1389</v>
      </c>
      <c r="F97" s="310" t="s">
        <v>1389</v>
      </c>
      <c r="G97" s="310" t="str">
        <f t="shared" si="0"/>
        <v>CédratierF2BT31-RDVTECH44BT31-RDVTECH44</v>
      </c>
    </row>
    <row r="98" spans="3:7" x14ac:dyDescent="0.25">
      <c r="C98" s="310" t="s">
        <v>870</v>
      </c>
      <c r="D98" s="310" t="s">
        <v>10</v>
      </c>
      <c r="E98" s="310" t="s">
        <v>1389</v>
      </c>
      <c r="F98" s="310" t="s">
        <v>1389</v>
      </c>
      <c r="G98" s="310" t="str">
        <f t="shared" si="0"/>
        <v>Cèdre de chypreF2BT31-RDVTECH44BT31-RDVTECH44</v>
      </c>
    </row>
    <row r="99" spans="3:7" x14ac:dyDescent="0.25">
      <c r="C99" s="310" t="s">
        <v>308</v>
      </c>
      <c r="D99" s="310" t="s">
        <v>10</v>
      </c>
      <c r="E99" s="310" t="s">
        <v>1389</v>
      </c>
      <c r="F99" s="310" t="s">
        <v>1389</v>
      </c>
      <c r="G99" s="310" t="str">
        <f t="shared" si="0"/>
        <v>Cèdre de l'AtlasF2BT31-RDVTECH44BT31-RDVTECH44</v>
      </c>
    </row>
    <row r="100" spans="3:7" x14ac:dyDescent="0.25">
      <c r="C100" s="310" t="s">
        <v>875</v>
      </c>
      <c r="D100" s="310" t="s">
        <v>10</v>
      </c>
      <c r="E100" s="310" t="s">
        <v>1389</v>
      </c>
      <c r="F100" s="310" t="s">
        <v>1389</v>
      </c>
      <c r="G100" s="310" t="str">
        <f t="shared" si="0"/>
        <v>Cèdre de l'HymalayaF2BT31-RDVTECH44BT31-RDVTECH44</v>
      </c>
    </row>
    <row r="101" spans="3:7" x14ac:dyDescent="0.25">
      <c r="C101" s="310" t="s">
        <v>866</v>
      </c>
      <c r="D101" s="310" t="s">
        <v>10</v>
      </c>
      <c r="E101" s="310" t="s">
        <v>1389</v>
      </c>
      <c r="F101" s="310" t="s">
        <v>1389</v>
      </c>
      <c r="G101" s="310" t="str">
        <f t="shared" si="0"/>
        <v>Cèdre du LibanF2BT31-RDVTECH44BT31-RDVTECH44</v>
      </c>
    </row>
    <row r="102" spans="3:7" x14ac:dyDescent="0.25">
      <c r="C102" s="310" t="s">
        <v>892</v>
      </c>
      <c r="D102" s="310" t="s">
        <v>10</v>
      </c>
      <c r="E102" s="310" t="s">
        <v>1389</v>
      </c>
      <c r="F102" s="310" t="s">
        <v>1389</v>
      </c>
      <c r="G102" s="310" t="str">
        <f t="shared" si="0"/>
        <v>Cedrus atlantica ou libaniF2BT31-RDVTECH44BT31-RDVTECH44</v>
      </c>
    </row>
    <row r="103" spans="3:7" x14ac:dyDescent="0.25">
      <c r="C103" s="310" t="s">
        <v>1022</v>
      </c>
      <c r="D103" s="310" t="s">
        <v>10</v>
      </c>
      <c r="E103" s="310" t="s">
        <v>1389</v>
      </c>
      <c r="F103" s="310" t="s">
        <v>1389</v>
      </c>
      <c r="G103" s="310" t="str">
        <f t="shared" si="0"/>
        <v>CerisierF2BT31-RDVTECH44BT31-RDVTECH44</v>
      </c>
    </row>
    <row r="104" spans="3:7" x14ac:dyDescent="0.25">
      <c r="C104" s="310" t="s">
        <v>1027</v>
      </c>
      <c r="D104" s="310" t="s">
        <v>10</v>
      </c>
      <c r="E104" s="310" t="s">
        <v>1389</v>
      </c>
      <c r="F104" s="310" t="s">
        <v>1389</v>
      </c>
      <c r="G104" s="310" t="str">
        <f t="shared" si="0"/>
        <v>Cerisier à grappesF2BT31-RDVTECH44BT31-RDVTECH44</v>
      </c>
    </row>
    <row r="105" spans="3:7" x14ac:dyDescent="0.25">
      <c r="C105" s="310" t="s">
        <v>1185</v>
      </c>
      <c r="D105" s="310" t="s">
        <v>10</v>
      </c>
      <c r="E105" s="310" t="s">
        <v>1389</v>
      </c>
      <c r="F105" s="310" t="s">
        <v>1389</v>
      </c>
      <c r="G105" s="310" t="str">
        <f t="shared" si="0"/>
        <v>Cerisier de Sainte-LucieF2BT31-RDVTECH44BT31-RDVTECH44</v>
      </c>
    </row>
    <row r="106" spans="3:7" x14ac:dyDescent="0.25">
      <c r="C106" s="310" t="s">
        <v>1037</v>
      </c>
      <c r="D106" s="310" t="s">
        <v>10</v>
      </c>
      <c r="E106" s="310" t="s">
        <v>1389</v>
      </c>
      <c r="F106" s="310" t="s">
        <v>1389</v>
      </c>
      <c r="G106" s="310" t="str">
        <f t="shared" si="0"/>
        <v>Cerisier tardifF2BT31-RDVTECH44BT31-RDVTECH44</v>
      </c>
    </row>
    <row r="107" spans="3:7" x14ac:dyDescent="0.25">
      <c r="C107" s="310" t="s">
        <v>1231</v>
      </c>
      <c r="D107" s="310" t="s">
        <v>10</v>
      </c>
      <c r="E107" s="310" t="s">
        <v>1389</v>
      </c>
      <c r="F107" s="310" t="s">
        <v>1389</v>
      </c>
      <c r="G107" s="310" t="str">
        <f t="shared" si="0"/>
        <v>CharmeF2BT31-RDVTECH44BT31-RDVTECH44</v>
      </c>
    </row>
    <row r="108" spans="3:7" x14ac:dyDescent="0.25">
      <c r="C108" s="310" t="s">
        <v>1235</v>
      </c>
      <c r="D108" s="310" t="s">
        <v>10</v>
      </c>
      <c r="E108" s="310" t="s">
        <v>1389</v>
      </c>
      <c r="F108" s="310" t="s">
        <v>1389</v>
      </c>
      <c r="G108" s="310" t="str">
        <f t="shared" si="0"/>
        <v>Charme houblonF2BT31-RDVTECH44BT31-RDVTECH44</v>
      </c>
    </row>
    <row r="109" spans="3:7" x14ac:dyDescent="0.25">
      <c r="C109" s="310" t="s">
        <v>642</v>
      </c>
      <c r="D109" s="310" t="s">
        <v>10</v>
      </c>
      <c r="E109" s="310" t="s">
        <v>1389</v>
      </c>
      <c r="F109" s="310" t="s">
        <v>1389</v>
      </c>
      <c r="G109" s="310" t="str">
        <f t="shared" si="0"/>
        <v>ChâtaignierF2BT31-RDVTECH44BT31-RDVTECH44</v>
      </c>
    </row>
    <row r="110" spans="3:7" x14ac:dyDescent="0.25">
      <c r="C110" s="310" t="s">
        <v>669</v>
      </c>
      <c r="D110" s="310" t="s">
        <v>10</v>
      </c>
      <c r="E110" s="310" t="s">
        <v>1389</v>
      </c>
      <c r="F110" s="310" t="s">
        <v>1389</v>
      </c>
      <c r="G110" s="310" t="str">
        <f t="shared" si="0"/>
        <v>Chêne cheveluF2BT31-RDVTECH44BT31-RDVTECH44</v>
      </c>
    </row>
    <row r="111" spans="3:7" x14ac:dyDescent="0.25">
      <c r="C111" s="310" t="s">
        <v>686</v>
      </c>
      <c r="D111" s="310" t="s">
        <v>10</v>
      </c>
      <c r="E111" s="310" t="s">
        <v>1389</v>
      </c>
      <c r="F111" s="310" t="s">
        <v>1389</v>
      </c>
      <c r="G111" s="310" t="str">
        <f t="shared" si="0"/>
        <v>Chêne des maraisF2BT31-RDVTECH44BT31-RDVTECH44</v>
      </c>
    </row>
    <row r="112" spans="3:7" x14ac:dyDescent="0.25">
      <c r="C112" s="310" t="s">
        <v>681</v>
      </c>
      <c r="D112" s="310" t="s">
        <v>10</v>
      </c>
      <c r="E112" s="310" t="s">
        <v>1389</v>
      </c>
      <c r="F112" s="310" t="s">
        <v>1389</v>
      </c>
      <c r="G112" s="310" t="str">
        <f t="shared" si="0"/>
        <v>Chêne écarlateF2BT31-RDVTECH44BT31-RDVTECH44</v>
      </c>
    </row>
    <row r="113" spans="3:7" x14ac:dyDescent="0.25">
      <c r="C113" s="310" t="s">
        <v>673</v>
      </c>
      <c r="D113" s="310" t="s">
        <v>10</v>
      </c>
      <c r="E113" s="310" t="s">
        <v>1389</v>
      </c>
      <c r="F113" s="310" t="s">
        <v>1389</v>
      </c>
      <c r="G113" s="310" t="str">
        <f t="shared" si="0"/>
        <v>Chêne faux-liègeF2BT31-RDVTECH44BT31-RDVTECH44</v>
      </c>
    </row>
    <row r="114" spans="3:7" x14ac:dyDescent="0.25">
      <c r="C114" s="310" t="s">
        <v>388</v>
      </c>
      <c r="D114" s="310" t="s">
        <v>10</v>
      </c>
      <c r="E114" s="310" t="s">
        <v>1389</v>
      </c>
      <c r="F114" s="310" t="s">
        <v>1389</v>
      </c>
      <c r="G114" s="310" t="str">
        <f t="shared" si="0"/>
        <v>Chêne pédonculéF2BT31-RDVTECH44BT31-RDVTECH44</v>
      </c>
    </row>
    <row r="115" spans="3:7" x14ac:dyDescent="0.25">
      <c r="C115" s="310" t="s">
        <v>655</v>
      </c>
      <c r="D115" s="310" t="s">
        <v>10</v>
      </c>
      <c r="E115" s="310" t="s">
        <v>1389</v>
      </c>
      <c r="F115" s="310" t="s">
        <v>1389</v>
      </c>
      <c r="G115" s="310" t="str">
        <f t="shared" si="0"/>
        <v>Chêne pubescentF2BT31-RDVTECH44BT31-RDVTECH44</v>
      </c>
    </row>
    <row r="116" spans="3:7" x14ac:dyDescent="0.25">
      <c r="C116" s="310" t="s">
        <v>632</v>
      </c>
      <c r="D116" s="310" t="s">
        <v>10</v>
      </c>
      <c r="E116" s="310" t="s">
        <v>1389</v>
      </c>
      <c r="F116" s="310" t="s">
        <v>1389</v>
      </c>
      <c r="G116" s="310" t="str">
        <f t="shared" si="0"/>
        <v>Chêne rougeF2BT31-RDVTECH44BT31-RDVTECH44</v>
      </c>
    </row>
    <row r="117" spans="3:7" x14ac:dyDescent="0.25">
      <c r="C117" s="310" t="s">
        <v>389</v>
      </c>
      <c r="D117" s="310" t="s">
        <v>10</v>
      </c>
      <c r="E117" s="310" t="s">
        <v>1389</v>
      </c>
      <c r="F117" s="310" t="s">
        <v>1389</v>
      </c>
      <c r="G117" s="310" t="str">
        <f t="shared" si="0"/>
        <v>Chêne sessileF2BT31-RDVTECH44BT31-RDVTECH44</v>
      </c>
    </row>
    <row r="118" spans="3:7" x14ac:dyDescent="0.25">
      <c r="C118" s="310" t="s">
        <v>660</v>
      </c>
      <c r="D118" s="310" t="s">
        <v>10</v>
      </c>
      <c r="E118" s="310" t="s">
        <v>1389</v>
      </c>
      <c r="F118" s="310" t="s">
        <v>1389</v>
      </c>
      <c r="G118" s="310" t="str">
        <f t="shared" si="0"/>
        <v>Chêne tauzinF2BT31-RDVTECH44BT31-RDVTECH44</v>
      </c>
    </row>
    <row r="119" spans="3:7" x14ac:dyDescent="0.25">
      <c r="C119" s="310" t="s">
        <v>637</v>
      </c>
      <c r="D119" s="310" t="s">
        <v>10</v>
      </c>
      <c r="E119" s="310" t="s">
        <v>1389</v>
      </c>
      <c r="F119" s="310" t="s">
        <v>1389</v>
      </c>
      <c r="G119" s="310" t="str">
        <f t="shared" si="0"/>
        <v>Chêne vertF2BT31-RDVTECH44BT31-RDVTECH44</v>
      </c>
    </row>
    <row r="120" spans="3:7" x14ac:dyDescent="0.25">
      <c r="C120" s="310" t="s">
        <v>676</v>
      </c>
      <c r="D120" s="310" t="s">
        <v>10</v>
      </c>
      <c r="E120" s="310" t="s">
        <v>1389</v>
      </c>
      <c r="F120" s="310" t="s">
        <v>1389</v>
      </c>
      <c r="G120" s="310" t="str">
        <f t="shared" si="0"/>
        <v>Chêne-liègeF2BT31-RDVTECH44BT31-RDVTECH44</v>
      </c>
    </row>
    <row r="121" spans="3:7" x14ac:dyDescent="0.25">
      <c r="C121" s="310" t="s">
        <v>1133</v>
      </c>
      <c r="D121" s="310" t="s">
        <v>10</v>
      </c>
      <c r="E121" s="310" t="s">
        <v>1389</v>
      </c>
      <c r="F121" s="310" t="s">
        <v>1389</v>
      </c>
      <c r="G121" s="310" t="str">
        <f t="shared" si="0"/>
        <v>CognassierF2BT31-RDVTECH44BT31-RDVTECH44</v>
      </c>
    </row>
    <row r="122" spans="3:7" x14ac:dyDescent="0.25">
      <c r="C122" s="310" t="s">
        <v>1062</v>
      </c>
      <c r="D122" s="310" t="s">
        <v>10</v>
      </c>
      <c r="E122" s="310" t="s">
        <v>1389</v>
      </c>
      <c r="F122" s="310" t="s">
        <v>1389</v>
      </c>
      <c r="G122" s="310" t="str">
        <f t="shared" si="0"/>
        <v>CormierF2BT31-RDVTECH44BT31-RDVTECH44</v>
      </c>
    </row>
    <row r="123" spans="3:7" x14ac:dyDescent="0.25">
      <c r="C123" s="310" t="s">
        <v>961</v>
      </c>
      <c r="D123" s="310" t="s">
        <v>10</v>
      </c>
      <c r="E123" s="310" t="s">
        <v>1389</v>
      </c>
      <c r="F123" s="310" t="s">
        <v>1389</v>
      </c>
      <c r="G123" s="310" t="str">
        <f t="shared" si="0"/>
        <v>Cornouiller mâleF2BT31-RDVTECH44BT31-RDVTECH44</v>
      </c>
    </row>
    <row r="124" spans="3:7" x14ac:dyDescent="0.25">
      <c r="C124" s="310" t="s">
        <v>727</v>
      </c>
      <c r="D124" s="310" t="s">
        <v>10</v>
      </c>
      <c r="E124" s="310" t="s">
        <v>1389</v>
      </c>
      <c r="F124" s="310" t="s">
        <v>1389</v>
      </c>
      <c r="G124" s="310" t="str">
        <f t="shared" si="0"/>
        <v>Cryptoméria du JaponF2BT31-RDVTECH44BT31-RDVTECH44</v>
      </c>
    </row>
    <row r="125" spans="3:7" x14ac:dyDescent="0.25">
      <c r="C125" s="310" t="s">
        <v>779</v>
      </c>
      <c r="D125" s="310" t="s">
        <v>10</v>
      </c>
      <c r="E125" s="310" t="s">
        <v>1389</v>
      </c>
      <c r="F125" s="310" t="s">
        <v>1389</v>
      </c>
      <c r="G125" s="310" t="str">
        <f t="shared" si="0"/>
        <v>Cupressus génériqueF2BT31-RDVTECH44BT31-RDVTECH44</v>
      </c>
    </row>
    <row r="126" spans="3:7" x14ac:dyDescent="0.25">
      <c r="C126" s="310" t="s">
        <v>720</v>
      </c>
      <c r="D126" s="310" t="s">
        <v>10</v>
      </c>
      <c r="E126" s="310" t="s">
        <v>1389</v>
      </c>
      <c r="F126" s="310" t="s">
        <v>1389</v>
      </c>
      <c r="G126" s="310" t="str">
        <f t="shared" ref="G126:G189" si="1">+_xlfn.CONCAT(C126:F126)</f>
        <v>Cyprès chauveF2BT31-RDVTECH44BT31-RDVTECH44</v>
      </c>
    </row>
    <row r="127" spans="3:7" x14ac:dyDescent="0.25">
      <c r="C127" s="310" t="s">
        <v>737</v>
      </c>
      <c r="D127" s="310" t="s">
        <v>10</v>
      </c>
      <c r="E127" s="310" t="s">
        <v>1389</v>
      </c>
      <c r="F127" s="310" t="s">
        <v>1389</v>
      </c>
      <c r="G127" s="310" t="str">
        <f t="shared" si="1"/>
        <v>Cyprès de LambertF2BT31-RDVTECH44BT31-RDVTECH44</v>
      </c>
    </row>
    <row r="128" spans="3:7" x14ac:dyDescent="0.25">
      <c r="C128" s="310" t="s">
        <v>715</v>
      </c>
      <c r="D128" s="310" t="s">
        <v>10</v>
      </c>
      <c r="E128" s="310" t="s">
        <v>1389</v>
      </c>
      <c r="F128" s="310" t="s">
        <v>1389</v>
      </c>
      <c r="G128" s="310" t="str">
        <f t="shared" si="1"/>
        <v>Cyprès de l'ArizonaF2BT31-RDVTECH44BT31-RDVTECH44</v>
      </c>
    </row>
    <row r="129" spans="3:7" x14ac:dyDescent="0.25">
      <c r="C129" s="310" t="s">
        <v>732</v>
      </c>
      <c r="D129" s="310" t="s">
        <v>10</v>
      </c>
      <c r="E129" s="310" t="s">
        <v>1389</v>
      </c>
      <c r="F129" s="310" t="s">
        <v>1389</v>
      </c>
      <c r="G129" s="310" t="str">
        <f t="shared" si="1"/>
        <v>Cyprès de LawsonF2BT31-RDVTECH44BT31-RDVTECH44</v>
      </c>
    </row>
    <row r="130" spans="3:7" x14ac:dyDescent="0.25">
      <c r="C130" s="311" t="s">
        <v>775</v>
      </c>
      <c r="D130" s="310" t="s">
        <v>10</v>
      </c>
      <c r="E130" s="310" t="s">
        <v>1389</v>
      </c>
      <c r="F130" s="310" t="s">
        <v>1389</v>
      </c>
      <c r="G130" s="310" t="str">
        <f t="shared" si="1"/>
        <v>Cypres de LeylandF2BT31-RDVTECH44BT31-RDVTECH44</v>
      </c>
    </row>
    <row r="131" spans="3:7" x14ac:dyDescent="0.25">
      <c r="C131" s="310" t="s">
        <v>755</v>
      </c>
      <c r="D131" s="310" t="s">
        <v>10</v>
      </c>
      <c r="E131" s="310" t="s">
        <v>1389</v>
      </c>
      <c r="F131" s="310" t="s">
        <v>1389</v>
      </c>
      <c r="G131" s="310" t="str">
        <f t="shared" si="1"/>
        <v>Cyprès de ProvenceF2BT31-RDVTECH44BT31-RDVTECH44</v>
      </c>
    </row>
    <row r="132" spans="3:7" x14ac:dyDescent="0.25">
      <c r="C132" s="310" t="s">
        <v>569</v>
      </c>
      <c r="D132" s="310" t="s">
        <v>10</v>
      </c>
      <c r="E132" s="310" t="s">
        <v>1389</v>
      </c>
      <c r="F132" s="310" t="s">
        <v>1389</v>
      </c>
      <c r="G132" s="310" t="str">
        <f t="shared" si="1"/>
        <v>Cytise aubourF2BT31-RDVTECH44BT31-RDVTECH44</v>
      </c>
    </row>
    <row r="133" spans="3:7" x14ac:dyDescent="0.25">
      <c r="C133" s="310" t="s">
        <v>564</v>
      </c>
      <c r="D133" s="310" t="s">
        <v>10</v>
      </c>
      <c r="E133" s="310" t="s">
        <v>1389</v>
      </c>
      <c r="F133" s="310" t="s">
        <v>1389</v>
      </c>
      <c r="G133" s="310" t="str">
        <f t="shared" si="1"/>
        <v>Cytise des AlpesF2BT31-RDVTECH44BT31-RDVTECH44</v>
      </c>
    </row>
    <row r="134" spans="3:7" x14ac:dyDescent="0.25">
      <c r="C134" s="310" t="s">
        <v>616</v>
      </c>
      <c r="D134" s="310" t="s">
        <v>10</v>
      </c>
      <c r="E134" s="310" t="s">
        <v>1389</v>
      </c>
      <c r="F134" s="310" t="s">
        <v>1389</v>
      </c>
      <c r="G134" s="310" t="str">
        <f t="shared" si="1"/>
        <v>Cytise génériqueF2BT31-RDVTECH44BT31-RDVTECH44</v>
      </c>
    </row>
    <row r="135" spans="3:7" x14ac:dyDescent="0.25">
      <c r="C135" s="310" t="s">
        <v>1302</v>
      </c>
      <c r="D135" s="310" t="s">
        <v>10</v>
      </c>
      <c r="E135" s="310" t="s">
        <v>1389</v>
      </c>
      <c r="F135" s="310" t="s">
        <v>1389</v>
      </c>
      <c r="G135" s="310" t="str">
        <f t="shared" si="1"/>
        <v>D1 génériqueF2BT31-RDVTECH44BT31-RDVTECH44</v>
      </c>
    </row>
    <row r="136" spans="3:7" x14ac:dyDescent="0.25">
      <c r="C136" s="310" t="s">
        <v>612</v>
      </c>
      <c r="D136" s="310" t="s">
        <v>10</v>
      </c>
      <c r="E136" s="310" t="s">
        <v>1389</v>
      </c>
      <c r="F136" s="310" t="s">
        <v>1389</v>
      </c>
      <c r="G136" s="310" t="str">
        <f t="shared" si="1"/>
        <v>D2 génériqueF2BT31-RDVTECH44BT31-RDVTECH44</v>
      </c>
    </row>
    <row r="137" spans="3:7" x14ac:dyDescent="0.25">
      <c r="C137" s="310" t="s">
        <v>131</v>
      </c>
      <c r="D137" s="310" t="s">
        <v>10</v>
      </c>
      <c r="E137" s="310" t="s">
        <v>1389</v>
      </c>
      <c r="F137" s="310" t="s">
        <v>1389</v>
      </c>
      <c r="G137" s="310" t="str">
        <f t="shared" si="1"/>
        <v>DouglasF2BT31-RDVTECH44BT31-RDVTECH44</v>
      </c>
    </row>
    <row r="138" spans="3:7" x14ac:dyDescent="0.25">
      <c r="C138" s="310" t="s">
        <v>646</v>
      </c>
      <c r="D138" s="310" t="s">
        <v>10</v>
      </c>
      <c r="E138" s="310" t="s">
        <v>1389</v>
      </c>
      <c r="F138" s="310" t="s">
        <v>1389</v>
      </c>
      <c r="G138" s="310" t="str">
        <f t="shared" si="1"/>
        <v>E1 génériqueF2BT31-RDVTECH44BT31-RDVTECH44</v>
      </c>
    </row>
    <row r="139" spans="3:7" x14ac:dyDescent="0.25">
      <c r="C139" s="310" t="s">
        <v>704</v>
      </c>
      <c r="D139" s="310" t="s">
        <v>10</v>
      </c>
      <c r="E139" s="310" t="s">
        <v>1389</v>
      </c>
      <c r="F139" s="310" t="s">
        <v>1389</v>
      </c>
      <c r="G139" s="310" t="str">
        <f t="shared" si="1"/>
        <v>E2 génériqueF2BT31-RDVTECH44BT31-RDVTECH44</v>
      </c>
    </row>
    <row r="140" spans="3:7" x14ac:dyDescent="0.25">
      <c r="C140" s="310" t="s">
        <v>787</v>
      </c>
      <c r="D140" s="310" t="s">
        <v>10</v>
      </c>
      <c r="E140" s="310" t="s">
        <v>1389</v>
      </c>
      <c r="F140" s="310" t="s">
        <v>1389</v>
      </c>
      <c r="G140" s="310" t="str">
        <f t="shared" si="1"/>
        <v>Epicéa communF2BT31-RDVTECH44BT31-RDVTECH44</v>
      </c>
    </row>
    <row r="141" spans="3:7" x14ac:dyDescent="0.25">
      <c r="C141" s="310" t="s">
        <v>794</v>
      </c>
      <c r="D141" s="310" t="s">
        <v>10</v>
      </c>
      <c r="E141" s="310" t="s">
        <v>1389</v>
      </c>
      <c r="F141" s="310" t="s">
        <v>1389</v>
      </c>
      <c r="G141" s="310" t="str">
        <f t="shared" si="1"/>
        <v>Epicéa de SitkaF2BT31-RDVTECH44BT31-RDVTECH44</v>
      </c>
    </row>
    <row r="142" spans="3:7" x14ac:dyDescent="0.25">
      <c r="C142" s="310" t="s">
        <v>798</v>
      </c>
      <c r="D142" s="310" t="s">
        <v>10</v>
      </c>
      <c r="E142" s="310" t="s">
        <v>1389</v>
      </c>
      <c r="F142" s="310" t="s">
        <v>1389</v>
      </c>
      <c r="G142" s="310" t="str">
        <f t="shared" si="1"/>
        <v>Epicéa omoricaF2BT31-RDVTECH44BT31-RDVTECH44</v>
      </c>
    </row>
    <row r="143" spans="3:7" x14ac:dyDescent="0.25">
      <c r="C143" s="310" t="s">
        <v>985</v>
      </c>
      <c r="D143" s="310" t="s">
        <v>10</v>
      </c>
      <c r="E143" s="310" t="s">
        <v>1389</v>
      </c>
      <c r="F143" s="310" t="s">
        <v>1389</v>
      </c>
      <c r="G143" s="310" t="str">
        <f t="shared" si="1"/>
        <v>Erable à feuilles d'obierF2BT31-RDVTECH44BT31-RDVTECH44</v>
      </c>
    </row>
    <row r="144" spans="3:7" x14ac:dyDescent="0.25">
      <c r="C144" s="310" t="s">
        <v>975</v>
      </c>
      <c r="D144" s="310" t="s">
        <v>10</v>
      </c>
      <c r="E144" s="310" t="s">
        <v>1389</v>
      </c>
      <c r="F144" s="310" t="s">
        <v>1389</v>
      </c>
      <c r="G144" s="310" t="str">
        <f t="shared" si="1"/>
        <v>Erable champêtreF2BT31-RDVTECH44BT31-RDVTECH44</v>
      </c>
    </row>
    <row r="145" spans="3:7" x14ac:dyDescent="0.25">
      <c r="C145" s="310" t="s">
        <v>980</v>
      </c>
      <c r="D145" s="310" t="s">
        <v>10</v>
      </c>
      <c r="E145" s="310" t="s">
        <v>1389</v>
      </c>
      <c r="F145" s="310" t="s">
        <v>1389</v>
      </c>
      <c r="G145" s="310" t="str">
        <f t="shared" si="1"/>
        <v>Erable de MontpellierF2BT31-RDVTECH44BT31-RDVTECH44</v>
      </c>
    </row>
    <row r="146" spans="3:7" x14ac:dyDescent="0.25">
      <c r="C146" s="310" t="s">
        <v>1005</v>
      </c>
      <c r="D146" s="310" t="s">
        <v>10</v>
      </c>
      <c r="E146" s="310" t="s">
        <v>1389</v>
      </c>
      <c r="F146" s="310" t="s">
        <v>1389</v>
      </c>
      <c r="G146" s="310" t="str">
        <f t="shared" si="1"/>
        <v>Erable générique F2BT31-RDVTECH44BT31-RDVTECH44</v>
      </c>
    </row>
    <row r="147" spans="3:7" x14ac:dyDescent="0.25">
      <c r="C147" s="310" t="s">
        <v>990</v>
      </c>
      <c r="D147" s="310" t="s">
        <v>10</v>
      </c>
      <c r="E147" s="310" t="s">
        <v>1389</v>
      </c>
      <c r="F147" s="310" t="s">
        <v>1389</v>
      </c>
      <c r="G147" s="310" t="str">
        <f t="shared" si="1"/>
        <v>Erable negundoF2BT31-RDVTECH44BT31-RDVTECH44</v>
      </c>
    </row>
    <row r="148" spans="3:7" x14ac:dyDescent="0.25">
      <c r="C148" s="310" t="s">
        <v>965</v>
      </c>
      <c r="D148" s="310" t="s">
        <v>10</v>
      </c>
      <c r="E148" s="310" t="s">
        <v>1389</v>
      </c>
      <c r="F148" s="310" t="s">
        <v>1389</v>
      </c>
      <c r="G148" s="310" t="str">
        <f t="shared" si="1"/>
        <v>Erable planeF2BT31-RDVTECH44BT31-RDVTECH44</v>
      </c>
    </row>
    <row r="149" spans="3:7" x14ac:dyDescent="0.25">
      <c r="C149" s="310" t="s">
        <v>970</v>
      </c>
      <c r="D149" s="310" t="s">
        <v>10</v>
      </c>
      <c r="E149" s="310" t="s">
        <v>1389</v>
      </c>
      <c r="F149" s="310" t="s">
        <v>1389</v>
      </c>
      <c r="G149" s="310" t="str">
        <f t="shared" si="1"/>
        <v>Erable sycomoreF2BT31-RDVTECH44BT31-RDVTECH44</v>
      </c>
    </row>
    <row r="150" spans="3:7" x14ac:dyDescent="0.25">
      <c r="C150" s="310" t="s">
        <v>1268</v>
      </c>
      <c r="D150" s="310" t="s">
        <v>10</v>
      </c>
      <c r="E150" s="310" t="s">
        <v>1389</v>
      </c>
      <c r="F150" s="310" t="s">
        <v>1389</v>
      </c>
      <c r="G150" s="310" t="str">
        <f t="shared" si="1"/>
        <v>Eucalyptus (Genre)F2BT31-RDVTECH44BT31-RDVTECH44</v>
      </c>
    </row>
    <row r="151" spans="3:7" x14ac:dyDescent="0.25">
      <c r="C151" s="310" t="s">
        <v>614</v>
      </c>
      <c r="D151" s="310" t="s">
        <v>10</v>
      </c>
      <c r="E151" s="310" t="s">
        <v>1389</v>
      </c>
      <c r="F151" s="310" t="s">
        <v>1389</v>
      </c>
      <c r="G151" s="310" t="str">
        <f t="shared" si="1"/>
        <v>Feuillu exotiqueF2BT31-RDVTECH44BT31-RDVTECH44</v>
      </c>
    </row>
    <row r="152" spans="3:7" x14ac:dyDescent="0.25">
      <c r="C152" s="310" t="s">
        <v>444</v>
      </c>
      <c r="D152" s="310" t="s">
        <v>10</v>
      </c>
      <c r="E152" s="310" t="s">
        <v>1389</v>
      </c>
      <c r="F152" s="310" t="s">
        <v>1389</v>
      </c>
      <c r="G152" s="310" t="str">
        <f t="shared" si="1"/>
        <v>Figuier de CarieF2BT31-RDVTECH44BT31-RDVTECH44</v>
      </c>
    </row>
    <row r="153" spans="3:7" x14ac:dyDescent="0.25">
      <c r="C153" s="310" t="s">
        <v>1149</v>
      </c>
      <c r="D153" s="310" t="s">
        <v>10</v>
      </c>
      <c r="E153" s="310" t="s">
        <v>1389</v>
      </c>
      <c r="F153" s="310" t="s">
        <v>1389</v>
      </c>
      <c r="G153" s="310" t="str">
        <f t="shared" si="1"/>
        <v>Filaire à feuilles étroitesF2BT31-RDVTECH44BT31-RDVTECH44</v>
      </c>
    </row>
    <row r="154" spans="3:7" x14ac:dyDescent="0.25">
      <c r="C154" s="310" t="s">
        <v>1154</v>
      </c>
      <c r="D154" s="310" t="s">
        <v>10</v>
      </c>
      <c r="E154" s="310" t="s">
        <v>1389</v>
      </c>
      <c r="F154" s="310" t="s">
        <v>1389</v>
      </c>
      <c r="G154" s="310" t="str">
        <f t="shared" si="1"/>
        <v>Filaire à feuilles largesF2BT31-RDVTECH44BT31-RDVTECH44</v>
      </c>
    </row>
    <row r="155" spans="3:7" x14ac:dyDescent="0.25">
      <c r="C155" s="310" t="s">
        <v>510</v>
      </c>
      <c r="D155" s="310" t="s">
        <v>10</v>
      </c>
      <c r="E155" s="310" t="s">
        <v>1389</v>
      </c>
      <c r="F155" s="310" t="s">
        <v>1389</v>
      </c>
      <c r="G155" s="310" t="str">
        <f t="shared" si="1"/>
        <v>FilaoF2BT31-RDVTECH44BT31-RDVTECH44</v>
      </c>
    </row>
    <row r="156" spans="3:7" x14ac:dyDescent="0.25">
      <c r="C156" s="310" t="s">
        <v>1248</v>
      </c>
      <c r="D156" s="310" t="s">
        <v>10</v>
      </c>
      <c r="E156" s="310" t="s">
        <v>1389</v>
      </c>
      <c r="F156" s="310" t="s">
        <v>1389</v>
      </c>
      <c r="G156" s="310" t="str">
        <f t="shared" si="1"/>
        <v>Frêne à  fleurF2BT31-RDVTECH44BT31-RDVTECH44</v>
      </c>
    </row>
    <row r="157" spans="3:7" x14ac:dyDescent="0.25">
      <c r="C157" s="310" t="s">
        <v>1243</v>
      </c>
      <c r="D157" s="310" t="s">
        <v>10</v>
      </c>
      <c r="E157" s="310" t="s">
        <v>1389</v>
      </c>
      <c r="F157" s="310" t="s">
        <v>1389</v>
      </c>
      <c r="G157" s="310" t="str">
        <f t="shared" si="1"/>
        <v>Frêne communF2BT31-RDVTECH44BT31-RDVTECH44</v>
      </c>
    </row>
    <row r="158" spans="3:7" x14ac:dyDescent="0.25">
      <c r="C158" s="310" t="s">
        <v>1258</v>
      </c>
      <c r="D158" s="310" t="s">
        <v>10</v>
      </c>
      <c r="E158" s="310" t="s">
        <v>1389</v>
      </c>
      <c r="F158" s="310" t="s">
        <v>1389</v>
      </c>
      <c r="G158" s="310" t="str">
        <f t="shared" si="1"/>
        <v>Frêne d'AmériqueF2BT31-RDVTECH44BT31-RDVTECH44</v>
      </c>
    </row>
    <row r="159" spans="3:7" x14ac:dyDescent="0.25">
      <c r="C159" s="310" t="s">
        <v>1253</v>
      </c>
      <c r="D159" s="310" t="s">
        <v>10</v>
      </c>
      <c r="E159" s="310" t="s">
        <v>1389</v>
      </c>
      <c r="F159" s="310" t="s">
        <v>1389</v>
      </c>
      <c r="G159" s="310" t="str">
        <f t="shared" si="1"/>
        <v>Frêne oxyphylleF2BT31-RDVTECH44BT31-RDVTECH44</v>
      </c>
    </row>
    <row r="160" spans="3:7" x14ac:dyDescent="0.25">
      <c r="C160" s="310" t="s">
        <v>1220</v>
      </c>
      <c r="D160" s="310" t="s">
        <v>10</v>
      </c>
      <c r="E160" s="310" t="s">
        <v>1389</v>
      </c>
      <c r="F160" s="310" t="s">
        <v>1389</v>
      </c>
      <c r="G160" s="310" t="str">
        <f t="shared" si="1"/>
        <v>Fruitiers diversF2BT31-RDVTECH44BT31-RDVTECH44</v>
      </c>
    </row>
    <row r="161" spans="3:7" x14ac:dyDescent="0.25">
      <c r="C161" s="310" t="s">
        <v>995</v>
      </c>
      <c r="D161" s="310" t="s">
        <v>10</v>
      </c>
      <c r="E161" s="310" t="s">
        <v>1389</v>
      </c>
      <c r="F161" s="310" t="s">
        <v>1389</v>
      </c>
      <c r="G161" s="310" t="str">
        <f t="shared" si="1"/>
        <v>Fusain d'EuropeF2BT31-RDVTECH44BT31-RDVTECH44</v>
      </c>
    </row>
    <row r="162" spans="3:7" x14ac:dyDescent="0.25">
      <c r="C162" s="310" t="s">
        <v>763</v>
      </c>
      <c r="D162" s="310" t="s">
        <v>10</v>
      </c>
      <c r="E162" s="310" t="s">
        <v>1389</v>
      </c>
      <c r="F162" s="310" t="s">
        <v>1389</v>
      </c>
      <c r="G162" s="310" t="str">
        <f t="shared" si="1"/>
        <v>Genévrier communF2BT31-RDVTECH44BT31-RDVTECH44</v>
      </c>
    </row>
    <row r="163" spans="3:7" x14ac:dyDescent="0.25">
      <c r="C163" s="310" t="s">
        <v>768</v>
      </c>
      <c r="D163" s="310" t="s">
        <v>10</v>
      </c>
      <c r="E163" s="310" t="s">
        <v>1389</v>
      </c>
      <c r="F163" s="310" t="s">
        <v>1389</v>
      </c>
      <c r="G163" s="310" t="str">
        <f t="shared" si="1"/>
        <v>Genévrier oxycèdreF2BT31-RDVTECH44BT31-RDVTECH44</v>
      </c>
    </row>
    <row r="164" spans="3:7" x14ac:dyDescent="0.25">
      <c r="C164" s="310" t="s">
        <v>759</v>
      </c>
      <c r="D164" s="310" t="s">
        <v>10</v>
      </c>
      <c r="E164" s="310" t="s">
        <v>1389</v>
      </c>
      <c r="F164" s="310" t="s">
        <v>1389</v>
      </c>
      <c r="G164" s="310" t="str">
        <f t="shared" si="1"/>
        <v>Genévrier thurifèreF2BT31-RDVTECH44BT31-RDVTECH44</v>
      </c>
    </row>
    <row r="165" spans="3:7" x14ac:dyDescent="0.25">
      <c r="C165" s="310" t="s">
        <v>1224</v>
      </c>
      <c r="D165" s="310" t="s">
        <v>10</v>
      </c>
      <c r="E165" s="310" t="s">
        <v>1389</v>
      </c>
      <c r="F165" s="310" t="s">
        <v>1389</v>
      </c>
      <c r="G165" s="310" t="str">
        <f t="shared" si="1"/>
        <v>Genre prunusF2BT31-RDVTECH44BT31-RDVTECH44</v>
      </c>
    </row>
    <row r="166" spans="3:7" x14ac:dyDescent="0.25">
      <c r="C166" s="310" t="s">
        <v>1227</v>
      </c>
      <c r="D166" s="310" t="s">
        <v>10</v>
      </c>
      <c r="E166" s="310" t="s">
        <v>1389</v>
      </c>
      <c r="F166" s="310" t="s">
        <v>1389</v>
      </c>
      <c r="G166" s="310" t="str">
        <f t="shared" si="1"/>
        <v>HêtreF2BT31-RDVTECH44BT31-RDVTECH44</v>
      </c>
    </row>
    <row r="167" spans="3:7" x14ac:dyDescent="0.25">
      <c r="C167" s="310" t="s">
        <v>1000</v>
      </c>
      <c r="D167" s="310" t="s">
        <v>10</v>
      </c>
      <c r="E167" s="310" t="s">
        <v>1389</v>
      </c>
      <c r="F167" s="310" t="s">
        <v>1389</v>
      </c>
      <c r="G167" s="310" t="str">
        <f t="shared" si="1"/>
        <v>HouxF2BT31-RDVTECH44BT31-RDVTECH44</v>
      </c>
    </row>
    <row r="168" spans="3:7" x14ac:dyDescent="0.25">
      <c r="C168" s="310" t="s">
        <v>1239</v>
      </c>
      <c r="D168" s="310" t="s">
        <v>10</v>
      </c>
      <c r="E168" s="310" t="s">
        <v>1389</v>
      </c>
      <c r="F168" s="310" t="s">
        <v>1389</v>
      </c>
      <c r="G168" s="310" t="str">
        <f t="shared" si="1"/>
        <v>IfF2BT31-RDVTECH44BT31-RDVTECH44</v>
      </c>
    </row>
    <row r="169" spans="3:7" x14ac:dyDescent="0.25">
      <c r="C169" s="310" t="s">
        <v>781</v>
      </c>
      <c r="D169" s="310" t="s">
        <v>10</v>
      </c>
      <c r="E169" s="310" t="s">
        <v>1389</v>
      </c>
      <c r="F169" s="310" t="s">
        <v>1389</v>
      </c>
      <c r="G169" s="310" t="str">
        <f t="shared" si="1"/>
        <v>inconnu (resineux) sp.F2BT31-RDVTECH44BT31-RDVTECH44</v>
      </c>
    </row>
    <row r="170" spans="3:7" x14ac:dyDescent="0.25">
      <c r="C170" s="310" t="s">
        <v>1159</v>
      </c>
      <c r="D170" s="310" t="s">
        <v>10</v>
      </c>
      <c r="E170" s="310" t="s">
        <v>1389</v>
      </c>
      <c r="F170" s="310" t="s">
        <v>1389</v>
      </c>
      <c r="G170" s="310" t="str">
        <f t="shared" si="1"/>
        <v>KakiF2BT31-RDVTECH44BT31-RDVTECH44</v>
      </c>
    </row>
    <row r="171" spans="3:7" x14ac:dyDescent="0.25">
      <c r="C171" s="310" t="s">
        <v>1162</v>
      </c>
      <c r="D171" s="310" t="s">
        <v>10</v>
      </c>
      <c r="E171" s="310" t="s">
        <v>1389</v>
      </c>
      <c r="F171" s="310" t="s">
        <v>1389</v>
      </c>
      <c r="G171" s="310" t="str">
        <f t="shared" si="1"/>
        <v>Laurier nobleF2BT31-RDVTECH44BT31-RDVTECH44</v>
      </c>
    </row>
    <row r="172" spans="3:7" x14ac:dyDescent="0.25">
      <c r="C172" s="310" t="s">
        <v>515</v>
      </c>
      <c r="D172" s="310" t="s">
        <v>10</v>
      </c>
      <c r="E172" s="310" t="s">
        <v>1389</v>
      </c>
      <c r="F172" s="310" t="s">
        <v>1389</v>
      </c>
      <c r="G172" s="310" t="str">
        <f t="shared" si="1"/>
        <v>LiquidambarF2BT31-RDVTECH44BT31-RDVTECH44</v>
      </c>
    </row>
    <row r="173" spans="3:7" x14ac:dyDescent="0.25">
      <c r="C173" s="310" t="s">
        <v>1142</v>
      </c>
      <c r="D173" s="310" t="s">
        <v>10</v>
      </c>
      <c r="E173" s="310" t="s">
        <v>1389</v>
      </c>
      <c r="F173" s="310" t="s">
        <v>1389</v>
      </c>
      <c r="G173" s="310" t="str">
        <f t="shared" si="1"/>
        <v>MandarinierF2BT31-RDVTECH44BT31-RDVTECH44</v>
      </c>
    </row>
    <row r="174" spans="3:7" x14ac:dyDescent="0.25">
      <c r="C174" s="310" t="s">
        <v>520</v>
      </c>
      <c r="D174" s="310" t="s">
        <v>10</v>
      </c>
      <c r="E174" s="310" t="s">
        <v>1389</v>
      </c>
      <c r="F174" s="310" t="s">
        <v>1389</v>
      </c>
      <c r="G174" s="310" t="str">
        <f t="shared" si="1"/>
        <v>Marronnier d'IndeF2BT31-RDVTECH44BT31-RDVTECH44</v>
      </c>
    </row>
    <row r="175" spans="3:7" x14ac:dyDescent="0.25">
      <c r="C175" s="310" t="s">
        <v>312</v>
      </c>
      <c r="D175" s="310" t="s">
        <v>10</v>
      </c>
      <c r="E175" s="310" t="s">
        <v>1389</v>
      </c>
      <c r="F175" s="310" t="s">
        <v>1389</v>
      </c>
      <c r="G175" s="310" t="str">
        <f t="shared" si="1"/>
        <v>Mélèze d'EuropeF2BT31-RDVTECH44BT31-RDVTECH44</v>
      </c>
    </row>
    <row r="176" spans="3:7" x14ac:dyDescent="0.25">
      <c r="C176" s="310" t="s">
        <v>885</v>
      </c>
      <c r="D176" s="310" t="s">
        <v>10</v>
      </c>
      <c r="E176" s="310" t="s">
        <v>1389</v>
      </c>
      <c r="F176" s="310" t="s">
        <v>1389</v>
      </c>
      <c r="G176" s="310" t="str">
        <f t="shared" si="1"/>
        <v>Mélèze du JaponF2BT31-RDVTECH44BT31-RDVTECH44</v>
      </c>
    </row>
    <row r="177" spans="3:7" x14ac:dyDescent="0.25">
      <c r="C177" s="310" t="s">
        <v>880</v>
      </c>
      <c r="D177" s="310" t="s">
        <v>10</v>
      </c>
      <c r="E177" s="310" t="s">
        <v>1389</v>
      </c>
      <c r="F177" s="310" t="s">
        <v>1389</v>
      </c>
      <c r="G177" s="310" t="str">
        <f t="shared" si="1"/>
        <v>Mélèze hybrideF2BT31-RDVTECH44BT31-RDVTECH44</v>
      </c>
    </row>
    <row r="178" spans="3:7" x14ac:dyDescent="0.25">
      <c r="C178" s="310" t="s">
        <v>1032</v>
      </c>
      <c r="D178" s="310" t="s">
        <v>10</v>
      </c>
      <c r="E178" s="310" t="s">
        <v>1389</v>
      </c>
      <c r="F178" s="310" t="s">
        <v>1389</v>
      </c>
      <c r="G178" s="310" t="str">
        <f t="shared" si="1"/>
        <v>MerisierF2BT31-RDVTECH44BT31-RDVTECH44</v>
      </c>
    </row>
    <row r="179" spans="3:7" x14ac:dyDescent="0.25">
      <c r="C179" s="310" t="s">
        <v>665</v>
      </c>
      <c r="D179" s="310" t="s">
        <v>10</v>
      </c>
      <c r="E179" s="310" t="s">
        <v>1389</v>
      </c>
      <c r="F179" s="310" t="s">
        <v>1389</v>
      </c>
      <c r="G179" s="310" t="str">
        <f t="shared" si="1"/>
        <v>MicocoulierF2BT31-RDVTECH44BT31-RDVTECH44</v>
      </c>
    </row>
    <row r="180" spans="3:7" x14ac:dyDescent="0.25">
      <c r="C180" s="310" t="s">
        <v>525</v>
      </c>
      <c r="D180" s="310" t="s">
        <v>10</v>
      </c>
      <c r="E180" s="310" t="s">
        <v>1389</v>
      </c>
      <c r="F180" s="310" t="s">
        <v>1389</v>
      </c>
      <c r="G180" s="310" t="str">
        <f t="shared" si="1"/>
        <v>MimosaF2BT31-RDVTECH44BT31-RDVTECH44</v>
      </c>
    </row>
    <row r="181" spans="3:7" x14ac:dyDescent="0.25">
      <c r="C181" s="310" t="s">
        <v>691</v>
      </c>
      <c r="D181" s="310" t="s">
        <v>10</v>
      </c>
      <c r="E181" s="310" t="s">
        <v>1389</v>
      </c>
      <c r="F181" s="310" t="s">
        <v>1389</v>
      </c>
      <c r="G181" s="310" t="str">
        <f t="shared" si="1"/>
        <v>Murier blancF2BT31-RDVTECH44BT31-RDVTECH44</v>
      </c>
    </row>
    <row r="182" spans="3:7" x14ac:dyDescent="0.25">
      <c r="C182" s="310" t="s">
        <v>696</v>
      </c>
      <c r="D182" s="310" t="s">
        <v>10</v>
      </c>
      <c r="E182" s="310" t="s">
        <v>1389</v>
      </c>
      <c r="F182" s="310" t="s">
        <v>1389</v>
      </c>
      <c r="G182" s="310" t="str">
        <f t="shared" si="1"/>
        <v>Murier de ChineF2BT31-RDVTECH44BT31-RDVTECH44</v>
      </c>
    </row>
    <row r="183" spans="3:7" x14ac:dyDescent="0.25">
      <c r="C183" s="310" t="s">
        <v>706</v>
      </c>
      <c r="D183" s="310" t="s">
        <v>10</v>
      </c>
      <c r="E183" s="310" t="s">
        <v>1389</v>
      </c>
      <c r="F183" s="310" t="s">
        <v>1389</v>
      </c>
      <c r="G183" s="310" t="str">
        <f t="shared" si="1"/>
        <v>Murier génériqueF2BT31-RDVTECH44BT31-RDVTECH44</v>
      </c>
    </row>
    <row r="184" spans="3:7" x14ac:dyDescent="0.25">
      <c r="C184" s="310" t="s">
        <v>699</v>
      </c>
      <c r="D184" s="310" t="s">
        <v>10</v>
      </c>
      <c r="E184" s="310" t="s">
        <v>1389</v>
      </c>
      <c r="F184" s="310" t="s">
        <v>1389</v>
      </c>
      <c r="G184" s="310" t="str">
        <f t="shared" si="1"/>
        <v>Murier noirF2BT31-RDVTECH44BT31-RDVTECH44</v>
      </c>
    </row>
    <row r="185" spans="3:7" x14ac:dyDescent="0.25">
      <c r="C185" s="310" t="s">
        <v>1203</v>
      </c>
      <c r="D185" s="310" t="s">
        <v>10</v>
      </c>
      <c r="E185" s="310" t="s">
        <v>1389</v>
      </c>
      <c r="F185" s="310" t="s">
        <v>1389</v>
      </c>
      <c r="G185" s="310" t="str">
        <f t="shared" si="1"/>
        <v>Nerprun alaterneF2BT31-RDVTECH44BT31-RDVTECH44</v>
      </c>
    </row>
    <row r="186" spans="3:7" x14ac:dyDescent="0.25">
      <c r="C186" s="310" t="s">
        <v>1213</v>
      </c>
      <c r="D186" s="310" t="s">
        <v>10</v>
      </c>
      <c r="E186" s="310" t="s">
        <v>1389</v>
      </c>
      <c r="F186" s="310" t="s">
        <v>1389</v>
      </c>
      <c r="G186" s="310" t="str">
        <f t="shared" si="1"/>
        <v>Nerprun des AlpesF2BT31-RDVTECH44BT31-RDVTECH44</v>
      </c>
    </row>
    <row r="187" spans="3:7" x14ac:dyDescent="0.25">
      <c r="C187" s="310" t="s">
        <v>1208</v>
      </c>
      <c r="D187" s="310" t="s">
        <v>10</v>
      </c>
      <c r="E187" s="310" t="s">
        <v>1389</v>
      </c>
      <c r="F187" s="310" t="s">
        <v>1389</v>
      </c>
      <c r="G187" s="310" t="str">
        <f t="shared" si="1"/>
        <v>Nerprun purgatifF2BT31-RDVTECH44BT31-RDVTECH44</v>
      </c>
    </row>
    <row r="188" spans="3:7" x14ac:dyDescent="0.25">
      <c r="C188" s="310" t="s">
        <v>1264</v>
      </c>
      <c r="D188" s="310" t="s">
        <v>10</v>
      </c>
      <c r="E188" s="310" t="s">
        <v>1389</v>
      </c>
      <c r="F188" s="310" t="s">
        <v>1389</v>
      </c>
      <c r="G188" s="310" t="str">
        <f t="shared" si="1"/>
        <v>Noisetier coudrierF2BT31-RDVTECH44BT31-RDVTECH44</v>
      </c>
    </row>
    <row r="189" spans="3:7" x14ac:dyDescent="0.25">
      <c r="C189" s="310" t="s">
        <v>1115</v>
      </c>
      <c r="D189" s="310" t="s">
        <v>10</v>
      </c>
      <c r="E189" s="310" t="s">
        <v>1389</v>
      </c>
      <c r="F189" s="310" t="s">
        <v>1389</v>
      </c>
      <c r="G189" s="310" t="str">
        <f t="shared" si="1"/>
        <v>Noyer communF2BT31-RDVTECH44BT31-RDVTECH44</v>
      </c>
    </row>
    <row r="190" spans="3:7" x14ac:dyDescent="0.25">
      <c r="C190" s="310" t="s">
        <v>1120</v>
      </c>
      <c r="D190" s="310" t="s">
        <v>10</v>
      </c>
      <c r="E190" s="310" t="s">
        <v>1389</v>
      </c>
      <c r="F190" s="310" t="s">
        <v>1389</v>
      </c>
      <c r="G190" s="310" t="str">
        <f t="shared" ref="G190:G253" si="2">+_xlfn.CONCAT(C190:F190)</f>
        <v>Noyer noirF2BT31-RDVTECH44BT31-RDVTECH44</v>
      </c>
    </row>
    <row r="191" spans="3:7" x14ac:dyDescent="0.25">
      <c r="C191" s="310" t="s">
        <v>1165</v>
      </c>
      <c r="D191" s="310" t="s">
        <v>10</v>
      </c>
      <c r="E191" s="310" t="s">
        <v>1389</v>
      </c>
      <c r="F191" s="310" t="s">
        <v>1389</v>
      </c>
      <c r="G191" s="310" t="str">
        <f t="shared" si="2"/>
        <v>Olivier de BohêmeF2BT31-RDVTECH44BT31-RDVTECH44</v>
      </c>
    </row>
    <row r="192" spans="3:7" x14ac:dyDescent="0.25">
      <c r="C192" s="310" t="s">
        <v>1010</v>
      </c>
      <c r="D192" s="310" t="s">
        <v>10</v>
      </c>
      <c r="E192" s="310" t="s">
        <v>1389</v>
      </c>
      <c r="F192" s="310" t="s">
        <v>1389</v>
      </c>
      <c r="G192" s="310" t="str">
        <f t="shared" si="2"/>
        <v>Olivier d'EuropeF2BT31-RDVTECH44BT31-RDVTECH44</v>
      </c>
    </row>
    <row r="193" spans="3:7" x14ac:dyDescent="0.25">
      <c r="C193" s="310" t="s">
        <v>1136</v>
      </c>
      <c r="D193" s="310" t="s">
        <v>10</v>
      </c>
      <c r="E193" s="310" t="s">
        <v>1389</v>
      </c>
      <c r="F193" s="310" t="s">
        <v>1389</v>
      </c>
      <c r="G193" s="310" t="str">
        <f t="shared" si="2"/>
        <v>OrangerF2BT31-RDVTECH44BT31-RDVTECH44</v>
      </c>
    </row>
    <row r="194" spans="3:7" x14ac:dyDescent="0.25">
      <c r="C194" s="310" t="s">
        <v>1168</v>
      </c>
      <c r="D194" s="310" t="s">
        <v>10</v>
      </c>
      <c r="E194" s="310" t="s">
        <v>1389</v>
      </c>
      <c r="F194" s="310" t="s">
        <v>1389</v>
      </c>
      <c r="G194" s="310" t="str">
        <f t="shared" si="2"/>
        <v>Oranger des OsagesF2BT31-RDVTECH44BT31-RDVTECH44</v>
      </c>
    </row>
    <row r="195" spans="3:7" x14ac:dyDescent="0.25">
      <c r="C195" s="310" t="s">
        <v>1272</v>
      </c>
      <c r="D195" s="310" t="s">
        <v>10</v>
      </c>
      <c r="E195" s="310" t="s">
        <v>1389</v>
      </c>
      <c r="F195" s="310" t="s">
        <v>1389</v>
      </c>
      <c r="G195" s="310" t="str">
        <f t="shared" si="2"/>
        <v>Orme champêtreF2BT31-RDVTECH44BT31-RDVTECH44</v>
      </c>
    </row>
    <row r="196" spans="3:7" x14ac:dyDescent="0.25">
      <c r="C196" s="310" t="s">
        <v>1282</v>
      </c>
      <c r="D196" s="310" t="s">
        <v>10</v>
      </c>
      <c r="E196" s="310" t="s">
        <v>1389</v>
      </c>
      <c r="F196" s="310" t="s">
        <v>1389</v>
      </c>
      <c r="G196" s="310" t="str">
        <f t="shared" si="2"/>
        <v>Orme de montagneF2BT31-RDVTECH44BT31-RDVTECH44</v>
      </c>
    </row>
    <row r="197" spans="3:7" x14ac:dyDescent="0.25">
      <c r="C197" s="310" t="s">
        <v>1304</v>
      </c>
      <c r="D197" s="310" t="s">
        <v>10</v>
      </c>
      <c r="E197" s="310" t="s">
        <v>1389</v>
      </c>
      <c r="F197" s="310" t="s">
        <v>1389</v>
      </c>
      <c r="G197" s="310" t="str">
        <f t="shared" si="2"/>
        <v>Orme génériqueF2BT31-RDVTECH44BT31-RDVTECH44</v>
      </c>
    </row>
    <row r="198" spans="3:7" x14ac:dyDescent="0.25">
      <c r="C198" s="310" t="s">
        <v>1277</v>
      </c>
      <c r="D198" s="310" t="s">
        <v>10</v>
      </c>
      <c r="E198" s="310" t="s">
        <v>1389</v>
      </c>
      <c r="F198" s="310" t="s">
        <v>1389</v>
      </c>
      <c r="G198" s="310" t="str">
        <f t="shared" si="2"/>
        <v>Orme lisseF2BT31-RDVTECH44BT31-RDVTECH44</v>
      </c>
    </row>
    <row r="199" spans="3:7" x14ac:dyDescent="0.25">
      <c r="C199" s="310" t="s">
        <v>1125</v>
      </c>
      <c r="D199" s="310" t="s">
        <v>10</v>
      </c>
      <c r="E199" s="310" t="s">
        <v>1389</v>
      </c>
      <c r="F199" s="310" t="s">
        <v>1389</v>
      </c>
      <c r="G199" s="310" t="str">
        <f t="shared" si="2"/>
        <v>PaulowniaF2BT31-RDVTECH44BT31-RDVTECH44</v>
      </c>
    </row>
    <row r="200" spans="3:7" x14ac:dyDescent="0.25">
      <c r="C200" s="310" t="s">
        <v>1311</v>
      </c>
      <c r="D200" s="310" t="s">
        <v>10</v>
      </c>
      <c r="E200" s="310" t="s">
        <v>1389</v>
      </c>
      <c r="F200" s="310" t="s">
        <v>1389</v>
      </c>
      <c r="G200" s="310" t="str">
        <f t="shared" si="2"/>
        <v>Peuplier Autre cultivéF2BT31-RDVTECH44BT31-RDVTECH44</v>
      </c>
    </row>
    <row r="201" spans="3:7" x14ac:dyDescent="0.25">
      <c r="C201" s="310" t="s">
        <v>549</v>
      </c>
      <c r="D201" s="310" t="s">
        <v>10</v>
      </c>
      <c r="E201" s="310" t="s">
        <v>1389</v>
      </c>
      <c r="F201" s="310" t="s">
        <v>1389</v>
      </c>
      <c r="G201" s="310" t="str">
        <f t="shared" si="2"/>
        <v>Peuplier blancF2BT31-RDVTECH44BT31-RDVTECH44</v>
      </c>
    </row>
    <row r="202" spans="3:7" x14ac:dyDescent="0.25">
      <c r="C202" s="310" t="s">
        <v>620</v>
      </c>
      <c r="D202" s="310" t="s">
        <v>10</v>
      </c>
      <c r="E202" s="310" t="s">
        <v>1389</v>
      </c>
      <c r="F202" s="310" t="s">
        <v>1389</v>
      </c>
      <c r="G202" s="310" t="str">
        <f t="shared" si="2"/>
        <v>Peuplier générique non sélectionnéF2BT31-RDVTECH44BT31-RDVTECH44</v>
      </c>
    </row>
    <row r="203" spans="3:7" x14ac:dyDescent="0.25">
      <c r="C203" s="310" t="s">
        <v>554</v>
      </c>
      <c r="D203" s="310" t="s">
        <v>10</v>
      </c>
      <c r="E203" s="310" t="s">
        <v>1389</v>
      </c>
      <c r="F203" s="310" t="s">
        <v>1389</v>
      </c>
      <c r="G203" s="310" t="str">
        <f t="shared" si="2"/>
        <v>Peuplier grisardF2BT31-RDVTECH44BT31-RDVTECH44</v>
      </c>
    </row>
    <row r="204" spans="3:7" x14ac:dyDescent="0.25">
      <c r="C204" s="310" t="s">
        <v>559</v>
      </c>
      <c r="D204" s="310" t="s">
        <v>10</v>
      </c>
      <c r="E204" s="310" t="s">
        <v>1389</v>
      </c>
      <c r="F204" s="310" t="s">
        <v>1389</v>
      </c>
      <c r="G204" s="310" t="str">
        <f t="shared" si="2"/>
        <v>Peuplier noirF2BT31-RDVTECH44BT31-RDVTECH44</v>
      </c>
    </row>
    <row r="205" spans="3:7" x14ac:dyDescent="0.25">
      <c r="C205" s="310" t="s">
        <v>369</v>
      </c>
      <c r="D205" s="310" t="s">
        <v>10</v>
      </c>
      <c r="E205" s="310" t="s">
        <v>1389</v>
      </c>
      <c r="F205" s="310" t="s">
        <v>1389</v>
      </c>
      <c r="G205" s="310" t="str">
        <f t="shared" si="2"/>
        <v>Pin à crochets F2BT31-RDVTECH44BT31-RDVTECH44</v>
      </c>
    </row>
    <row r="206" spans="3:7" x14ac:dyDescent="0.25">
      <c r="C206" s="310" t="s">
        <v>935</v>
      </c>
      <c r="D206" s="310" t="s">
        <v>10</v>
      </c>
      <c r="E206" s="310" t="s">
        <v>1389</v>
      </c>
      <c r="F206" s="310" t="s">
        <v>1389</v>
      </c>
      <c r="G206" s="310" t="str">
        <f t="shared" si="2"/>
        <v>Pin brutia (ou) eldaricaF2BT31-RDVTECH44BT31-RDVTECH44</v>
      </c>
    </row>
    <row r="207" spans="3:7" x14ac:dyDescent="0.25">
      <c r="C207" s="310" t="s">
        <v>368</v>
      </c>
      <c r="D207" s="310" t="s">
        <v>10</v>
      </c>
      <c r="E207" s="310" t="s">
        <v>1389</v>
      </c>
      <c r="F207" s="310" t="s">
        <v>1389</v>
      </c>
      <c r="G207" s="310" t="str">
        <f t="shared" si="2"/>
        <v>Pin cembro F2BT31-RDVTECH44BT31-RDVTECH44</v>
      </c>
    </row>
    <row r="208" spans="3:7" x14ac:dyDescent="0.25">
      <c r="C208" s="310" t="s">
        <v>367</v>
      </c>
      <c r="D208" s="310" t="s">
        <v>10</v>
      </c>
      <c r="E208" s="310" t="s">
        <v>1389</v>
      </c>
      <c r="F208" s="310" t="s">
        <v>1389</v>
      </c>
      <c r="G208" s="310" t="str">
        <f t="shared" si="2"/>
        <v>Pin d'AlepF2BT31-RDVTECH44BT31-RDVTECH44</v>
      </c>
    </row>
    <row r="209" spans="3:7" x14ac:dyDescent="0.25">
      <c r="C209" s="310" t="s">
        <v>945</v>
      </c>
      <c r="D209" s="310" t="s">
        <v>10</v>
      </c>
      <c r="E209" s="310" t="s">
        <v>1389</v>
      </c>
      <c r="F209" s="310" t="s">
        <v>1389</v>
      </c>
      <c r="G209" s="310" t="str">
        <f t="shared" si="2"/>
        <v>Pin de MontereyF2BT31-RDVTECH44BT31-RDVTECH44</v>
      </c>
    </row>
    <row r="210" spans="3:7" x14ac:dyDescent="0.25">
      <c r="C210" s="310" t="s">
        <v>940</v>
      </c>
      <c r="D210" s="310" t="s">
        <v>10</v>
      </c>
      <c r="E210" s="310" t="s">
        <v>1389</v>
      </c>
      <c r="F210" s="310" t="s">
        <v>1389</v>
      </c>
      <c r="G210" s="310" t="str">
        <f t="shared" si="2"/>
        <v>Pin de MurrayF2BT31-RDVTECH44BT31-RDVTECH44</v>
      </c>
    </row>
    <row r="211" spans="3:7" x14ac:dyDescent="0.25">
      <c r="C211" s="310" t="s">
        <v>927</v>
      </c>
      <c r="D211" s="310" t="s">
        <v>10</v>
      </c>
      <c r="E211" s="310" t="s">
        <v>1389</v>
      </c>
      <c r="F211" s="310" t="s">
        <v>1389</v>
      </c>
      <c r="G211" s="310" t="str">
        <f t="shared" si="2"/>
        <v>Pin de SalzmannF2BT31-RDVTECH44BT31-RDVTECH44</v>
      </c>
    </row>
    <row r="212" spans="3:7" x14ac:dyDescent="0.25">
      <c r="C212" s="310" t="s">
        <v>955</v>
      </c>
      <c r="D212" s="310" t="s">
        <v>10</v>
      </c>
      <c r="E212" s="310" t="s">
        <v>1389</v>
      </c>
      <c r="F212" s="310" t="s">
        <v>1389</v>
      </c>
      <c r="G212" s="310" t="str">
        <f t="shared" si="2"/>
        <v>Pin génériqueF2BT31-RDVTECH44BT31-RDVTECH44</v>
      </c>
    </row>
    <row r="213" spans="3:7" x14ac:dyDescent="0.25">
      <c r="C213" s="310" t="s">
        <v>919</v>
      </c>
      <c r="D213" s="310" t="s">
        <v>10</v>
      </c>
      <c r="E213" s="310" t="s">
        <v>1389</v>
      </c>
      <c r="F213" s="310" t="s">
        <v>1389</v>
      </c>
      <c r="G213" s="310" t="str">
        <f t="shared" si="2"/>
        <v>Pin laricio de CalabreF2BT31-RDVTECH44BT31-RDVTECH44</v>
      </c>
    </row>
    <row r="214" spans="3:7" x14ac:dyDescent="0.25">
      <c r="C214" s="310" t="s">
        <v>923</v>
      </c>
      <c r="D214" s="310" t="s">
        <v>10</v>
      </c>
      <c r="E214" s="310" t="s">
        <v>1389</v>
      </c>
      <c r="F214" s="310" t="s">
        <v>1389</v>
      </c>
      <c r="G214" s="310" t="str">
        <f t="shared" si="2"/>
        <v>Pin laricio de CorseF2BT31-RDVTECH44BT31-RDVTECH44</v>
      </c>
    </row>
    <row r="215" spans="3:7" x14ac:dyDescent="0.25">
      <c r="C215" s="310" t="s">
        <v>896</v>
      </c>
      <c r="D215" s="310" t="s">
        <v>10</v>
      </c>
      <c r="E215" s="310" t="s">
        <v>1389</v>
      </c>
      <c r="F215" s="310" t="s">
        <v>1389</v>
      </c>
      <c r="G215" s="310" t="str">
        <f t="shared" si="2"/>
        <v>Pin maritimeF2BT31-RDVTECH44BT31-RDVTECH44</v>
      </c>
    </row>
    <row r="216" spans="3:7" x14ac:dyDescent="0.25">
      <c r="C216" s="310" t="s">
        <v>912</v>
      </c>
      <c r="D216" s="310" t="s">
        <v>10</v>
      </c>
      <c r="E216" s="310" t="s">
        <v>1389</v>
      </c>
      <c r="F216" s="310" t="s">
        <v>1389</v>
      </c>
      <c r="G216" s="310" t="str">
        <f t="shared" si="2"/>
        <v>Pin mugoF2BT31-RDVTECH44BT31-RDVTECH44</v>
      </c>
    </row>
    <row r="217" spans="3:7" x14ac:dyDescent="0.25">
      <c r="C217" s="310" t="s">
        <v>371</v>
      </c>
      <c r="D217" s="310" t="s">
        <v>10</v>
      </c>
      <c r="E217" s="310" t="s">
        <v>1389</v>
      </c>
      <c r="F217" s="310" t="s">
        <v>1389</v>
      </c>
      <c r="G217" s="310" t="str">
        <f t="shared" si="2"/>
        <v>Pin noir d'AutricheF2BT31-RDVTECH44BT31-RDVTECH44</v>
      </c>
    </row>
    <row r="218" spans="3:7" x14ac:dyDescent="0.25">
      <c r="C218" s="310" t="s">
        <v>952</v>
      </c>
      <c r="D218" s="310" t="s">
        <v>10</v>
      </c>
      <c r="E218" s="310" t="s">
        <v>1389</v>
      </c>
      <c r="F218" s="310" t="s">
        <v>1389</v>
      </c>
      <c r="G218" s="310" t="str">
        <f t="shared" si="2"/>
        <v>Pin noir pallasianaF2BT31-RDVTECH44BT31-RDVTECH44</v>
      </c>
    </row>
    <row r="219" spans="3:7" x14ac:dyDescent="0.25">
      <c r="C219" s="310" t="s">
        <v>906</v>
      </c>
      <c r="D219" s="310" t="s">
        <v>10</v>
      </c>
      <c r="E219" s="310" t="s">
        <v>1389</v>
      </c>
      <c r="F219" s="310" t="s">
        <v>1389</v>
      </c>
      <c r="G219" s="310" t="str">
        <f t="shared" si="2"/>
        <v>Pin parasolF2BT31-RDVTECH44BT31-RDVTECH44</v>
      </c>
    </row>
    <row r="220" spans="3:7" x14ac:dyDescent="0.25">
      <c r="C220" s="310" t="s">
        <v>387</v>
      </c>
      <c r="D220" s="310" t="s">
        <v>10</v>
      </c>
      <c r="E220" s="310" t="s">
        <v>1389</v>
      </c>
      <c r="F220" s="310" t="s">
        <v>1389</v>
      </c>
      <c r="G220" s="310" t="str">
        <f t="shared" si="2"/>
        <v>Pin sylvestreF2BT31-RDVTECH44BT31-RDVTECH44</v>
      </c>
    </row>
    <row r="221" spans="3:7" x14ac:dyDescent="0.25">
      <c r="C221" s="310" t="s">
        <v>853</v>
      </c>
      <c r="D221" s="310" t="s">
        <v>10</v>
      </c>
      <c r="E221" s="310" t="s">
        <v>1389</v>
      </c>
      <c r="F221" s="310" t="s">
        <v>1389</v>
      </c>
      <c r="G221" s="310" t="str">
        <f t="shared" si="2"/>
        <v>Pin WeymouthF2BT31-RDVTECH44BT31-RDVTECH44</v>
      </c>
    </row>
    <row r="222" spans="3:7" x14ac:dyDescent="0.25">
      <c r="C222" s="310" t="s">
        <v>916</v>
      </c>
      <c r="D222" s="310" t="s">
        <v>10</v>
      </c>
      <c r="E222" s="310" t="s">
        <v>1389</v>
      </c>
      <c r="F222" s="310" t="s">
        <v>1389</v>
      </c>
      <c r="G222" s="310" t="str">
        <f t="shared" si="2"/>
        <v>Pinus taedaF2BT31-RDVTECH44BT31-RDVTECH44</v>
      </c>
    </row>
    <row r="223" spans="3:7" x14ac:dyDescent="0.25">
      <c r="C223" s="310" t="s">
        <v>1180</v>
      </c>
      <c r="D223" s="310" t="s">
        <v>10</v>
      </c>
      <c r="E223" s="310" t="s">
        <v>1389</v>
      </c>
      <c r="F223" s="310" t="s">
        <v>1389</v>
      </c>
      <c r="G223" s="310" t="str">
        <f t="shared" si="2"/>
        <v>Pistachier lentisqueF2BT31-RDVTECH44BT31-RDVTECH44</v>
      </c>
    </row>
    <row r="224" spans="3:7" x14ac:dyDescent="0.25">
      <c r="C224" s="310" t="s">
        <v>1198</v>
      </c>
      <c r="D224" s="310" t="s">
        <v>10</v>
      </c>
      <c r="E224" s="310" t="s">
        <v>1389</v>
      </c>
      <c r="F224" s="310" t="s">
        <v>1389</v>
      </c>
      <c r="G224" s="310" t="str">
        <f t="shared" si="2"/>
        <v>Pistachier térébintheF2BT31-RDVTECH44BT31-RDVTECH44</v>
      </c>
    </row>
    <row r="225" spans="3:7" x14ac:dyDescent="0.25">
      <c r="C225" s="310" t="s">
        <v>533</v>
      </c>
      <c r="D225" s="310" t="s">
        <v>10</v>
      </c>
      <c r="E225" s="310" t="s">
        <v>1389</v>
      </c>
      <c r="F225" s="310" t="s">
        <v>1389</v>
      </c>
      <c r="G225" s="310" t="str">
        <f t="shared" si="2"/>
        <v>Pistachier vraiF2BT31-RDVTECH44BT31-RDVTECH44</v>
      </c>
    </row>
    <row r="226" spans="3:7" x14ac:dyDescent="0.25">
      <c r="C226" s="310" t="s">
        <v>530</v>
      </c>
      <c r="D226" s="310" t="s">
        <v>10</v>
      </c>
      <c r="E226" s="310" t="s">
        <v>1389</v>
      </c>
      <c r="F226" s="310" t="s">
        <v>1389</v>
      </c>
      <c r="G226" s="310" t="str">
        <f t="shared" si="2"/>
        <v>PlaqueminierF2BT31-RDVTECH44BT31-RDVTECH44</v>
      </c>
    </row>
    <row r="227" spans="3:7" x14ac:dyDescent="0.25">
      <c r="C227" s="310" t="s">
        <v>1101</v>
      </c>
      <c r="D227" s="310" t="s">
        <v>10</v>
      </c>
      <c r="E227" s="310" t="s">
        <v>1389</v>
      </c>
      <c r="F227" s="310" t="s">
        <v>1389</v>
      </c>
      <c r="G227" s="310" t="str">
        <f t="shared" si="2"/>
        <v>Platane à feuilles d'érableF2BT31-RDVTECH44BT31-RDVTECH44</v>
      </c>
    </row>
    <row r="228" spans="3:7" x14ac:dyDescent="0.25">
      <c r="C228" s="310" t="s">
        <v>1106</v>
      </c>
      <c r="D228" s="310" t="s">
        <v>10</v>
      </c>
      <c r="E228" s="310" t="s">
        <v>1389</v>
      </c>
      <c r="F228" s="310" t="s">
        <v>1389</v>
      </c>
      <c r="G228" s="310" t="str">
        <f t="shared" si="2"/>
        <v>Platane d'OccidentF2BT31-RDVTECH44BT31-RDVTECH44</v>
      </c>
    </row>
    <row r="229" spans="3:7" x14ac:dyDescent="0.25">
      <c r="C229" s="310" t="s">
        <v>1110</v>
      </c>
      <c r="D229" s="310" t="s">
        <v>10</v>
      </c>
      <c r="E229" s="310" t="s">
        <v>1389</v>
      </c>
      <c r="F229" s="310" t="s">
        <v>1389</v>
      </c>
      <c r="G229" s="310" t="str">
        <f t="shared" si="2"/>
        <v>Platane d'OrientF2BT31-RDVTECH44BT31-RDVTECH44</v>
      </c>
    </row>
    <row r="230" spans="3:7" x14ac:dyDescent="0.25">
      <c r="C230" s="310" t="s">
        <v>1222</v>
      </c>
      <c r="D230" s="310" t="s">
        <v>10</v>
      </c>
      <c r="E230" s="310" t="s">
        <v>1389</v>
      </c>
      <c r="F230" s="310" t="s">
        <v>1389</v>
      </c>
      <c r="G230" s="310" t="str">
        <f t="shared" si="2"/>
        <v>Platane génériqueF2BT31-RDVTECH44BT31-RDVTECH44</v>
      </c>
    </row>
    <row r="231" spans="3:7" x14ac:dyDescent="0.25">
      <c r="C231" s="310" t="s">
        <v>1067</v>
      </c>
      <c r="D231" s="310" t="s">
        <v>10</v>
      </c>
      <c r="E231" s="310" t="s">
        <v>1389</v>
      </c>
      <c r="F231" s="310" t="s">
        <v>1389</v>
      </c>
      <c r="G231" s="310" t="str">
        <f t="shared" si="2"/>
        <v>Poirier à feuilles d'amandierF2BT31-RDVTECH44BT31-RDVTECH44</v>
      </c>
    </row>
    <row r="232" spans="3:7" x14ac:dyDescent="0.25">
      <c r="C232" s="310" t="s">
        <v>1082</v>
      </c>
      <c r="D232" s="310" t="s">
        <v>10</v>
      </c>
      <c r="E232" s="310" t="s">
        <v>1389</v>
      </c>
      <c r="F232" s="310" t="s">
        <v>1389</v>
      </c>
      <c r="G232" s="310" t="str">
        <f t="shared" si="2"/>
        <v>Poirier à feuilles en coeurF2BT31-RDVTECH44BT31-RDVTECH44</v>
      </c>
    </row>
    <row r="233" spans="3:7" x14ac:dyDescent="0.25">
      <c r="C233" s="310" t="s">
        <v>1072</v>
      </c>
      <c r="D233" s="310" t="s">
        <v>10</v>
      </c>
      <c r="E233" s="310" t="s">
        <v>1389</v>
      </c>
      <c r="F233" s="310" t="s">
        <v>1389</v>
      </c>
      <c r="G233" s="310" t="str">
        <f t="shared" si="2"/>
        <v>Poirier commun F2BT31-RDVTECH44BT31-RDVTECH44</v>
      </c>
    </row>
    <row r="234" spans="3:7" x14ac:dyDescent="0.25">
      <c r="C234" s="310" t="s">
        <v>1190</v>
      </c>
      <c r="D234" s="310" t="s">
        <v>10</v>
      </c>
      <c r="E234" s="310" t="s">
        <v>1389</v>
      </c>
      <c r="F234" s="310" t="s">
        <v>1389</v>
      </c>
      <c r="G234" s="310" t="str">
        <f t="shared" si="2"/>
        <v>Poirier neigeuxF2BT31-RDVTECH44BT31-RDVTECH44</v>
      </c>
    </row>
    <row r="235" spans="3:7" x14ac:dyDescent="0.25">
      <c r="C235" s="310" t="s">
        <v>1085</v>
      </c>
      <c r="D235" s="310" t="s">
        <v>10</v>
      </c>
      <c r="E235" s="310" t="s">
        <v>1389</v>
      </c>
      <c r="F235" s="310" t="s">
        <v>1389</v>
      </c>
      <c r="G235" s="310" t="str">
        <f t="shared" si="2"/>
        <v>Pommier sauvageF2BT31-RDVTECH44BT31-RDVTECH44</v>
      </c>
    </row>
    <row r="236" spans="3:7" x14ac:dyDescent="0.25">
      <c r="C236" s="310" t="s">
        <v>1177</v>
      </c>
      <c r="D236" s="310" t="s">
        <v>10</v>
      </c>
      <c r="E236" s="310" t="s">
        <v>1389</v>
      </c>
      <c r="F236" s="310" t="s">
        <v>1389</v>
      </c>
      <c r="G236" s="310" t="str">
        <f t="shared" si="2"/>
        <v>Prune-ceriseF2BT31-RDVTECH44BT31-RDVTECH44</v>
      </c>
    </row>
    <row r="237" spans="3:7" x14ac:dyDescent="0.25">
      <c r="C237" s="310" t="s">
        <v>1193</v>
      </c>
      <c r="D237" s="310" t="s">
        <v>10</v>
      </c>
      <c r="E237" s="310" t="s">
        <v>1389</v>
      </c>
      <c r="F237" s="310" t="s">
        <v>1389</v>
      </c>
      <c r="G237" s="310" t="str">
        <f t="shared" si="2"/>
        <v>PrunellierF2BT31-RDVTECH44BT31-RDVTECH44</v>
      </c>
    </row>
    <row r="238" spans="3:7" x14ac:dyDescent="0.25">
      <c r="C238" s="310" t="s">
        <v>1174</v>
      </c>
      <c r="D238" s="310" t="s">
        <v>10</v>
      </c>
      <c r="E238" s="310" t="s">
        <v>1389</v>
      </c>
      <c r="F238" s="310" t="s">
        <v>1389</v>
      </c>
      <c r="G238" s="310" t="str">
        <f t="shared" si="2"/>
        <v>Prunier de Briançon F2BT31-RDVTECH44BT31-RDVTECH44</v>
      </c>
    </row>
    <row r="239" spans="3:7" x14ac:dyDescent="0.25">
      <c r="C239" s="310" t="s">
        <v>1077</v>
      </c>
      <c r="D239" s="310" t="s">
        <v>10</v>
      </c>
      <c r="E239" s="310" t="s">
        <v>1389</v>
      </c>
      <c r="F239" s="310" t="s">
        <v>1389</v>
      </c>
      <c r="G239" s="310" t="str">
        <f t="shared" si="2"/>
        <v>Prunier domestiqueF2BT31-RDVTECH44BT31-RDVTECH44</v>
      </c>
    </row>
    <row r="240" spans="3:7" x14ac:dyDescent="0.25">
      <c r="C240" s="310" t="s">
        <v>708</v>
      </c>
      <c r="D240" s="310" t="s">
        <v>10</v>
      </c>
      <c r="E240" s="310" t="s">
        <v>1389</v>
      </c>
      <c r="F240" s="310" t="s">
        <v>1389</v>
      </c>
      <c r="G240" s="310" t="str">
        <f t="shared" si="2"/>
        <v>Quercus_generiqueF2BT31-RDVTECH44BT31-RDVTECH44</v>
      </c>
    </row>
    <row r="241" spans="3:7" x14ac:dyDescent="0.25">
      <c r="C241" s="310" t="s">
        <v>1307</v>
      </c>
      <c r="D241" s="310" t="s">
        <v>10</v>
      </c>
      <c r="E241" s="310" t="s">
        <v>1389</v>
      </c>
      <c r="F241" s="310" t="s">
        <v>1389</v>
      </c>
      <c r="G241" s="310" t="str">
        <f t="shared" si="2"/>
        <v>Robinier faux acaciaF2BT31-RDVTECH44BT31-RDVTECH44</v>
      </c>
    </row>
    <row r="242" spans="3:7" x14ac:dyDescent="0.25">
      <c r="C242" s="310" t="s">
        <v>834</v>
      </c>
      <c r="D242" s="310" t="s">
        <v>10</v>
      </c>
      <c r="E242" s="310" t="s">
        <v>1389</v>
      </c>
      <c r="F242" s="310" t="s">
        <v>1389</v>
      </c>
      <c r="G242" s="310" t="str">
        <f t="shared" si="2"/>
        <v>Sapin d'AndalousieF2BT31-RDVTECH44BT31-RDVTECH44</v>
      </c>
    </row>
    <row r="243" spans="3:7" x14ac:dyDescent="0.25">
      <c r="C243" s="310" t="s">
        <v>829</v>
      </c>
      <c r="D243" s="310" t="s">
        <v>10</v>
      </c>
      <c r="E243" s="310" t="s">
        <v>1389</v>
      </c>
      <c r="F243" s="310" t="s">
        <v>1389</v>
      </c>
      <c r="G243" s="310" t="str">
        <f t="shared" si="2"/>
        <v>Sapin de CéphalonieF2BT31-RDVTECH44BT31-RDVTECH44</v>
      </c>
    </row>
    <row r="244" spans="3:7" x14ac:dyDescent="0.25">
      <c r="C244" s="310" t="s">
        <v>806</v>
      </c>
      <c r="D244" s="310" t="s">
        <v>10</v>
      </c>
      <c r="E244" s="310" t="s">
        <v>1389</v>
      </c>
      <c r="F244" s="310" t="s">
        <v>1389</v>
      </c>
      <c r="G244" s="310" t="str">
        <f t="shared" si="2"/>
        <v>Sapin de CilicieF2BT31-RDVTECH44BT31-RDVTECH44</v>
      </c>
    </row>
    <row r="245" spans="3:7" x14ac:dyDescent="0.25">
      <c r="C245" s="310" t="s">
        <v>790</v>
      </c>
      <c r="D245" s="310" t="s">
        <v>10</v>
      </c>
      <c r="E245" s="310" t="s">
        <v>1389</v>
      </c>
      <c r="F245" s="310" t="s">
        <v>1389</v>
      </c>
      <c r="G245" s="310" t="str">
        <f t="shared" si="2"/>
        <v>Sapin de NordmannF2BT31-RDVTECH44BT31-RDVTECH44</v>
      </c>
    </row>
    <row r="246" spans="3:7" x14ac:dyDescent="0.25">
      <c r="C246" s="310" t="s">
        <v>826</v>
      </c>
      <c r="D246" s="310" t="s">
        <v>10</v>
      </c>
      <c r="E246" s="310" t="s">
        <v>1389</v>
      </c>
      <c r="F246" s="310" t="s">
        <v>1389</v>
      </c>
      <c r="G246" s="310" t="str">
        <f t="shared" si="2"/>
        <v>Sapin de TurquieF2BT31-RDVTECH44BT31-RDVTECH44</v>
      </c>
    </row>
    <row r="247" spans="3:7" x14ac:dyDescent="0.25">
      <c r="C247" s="310" t="s">
        <v>844</v>
      </c>
      <c r="D247" s="310" t="s">
        <v>10</v>
      </c>
      <c r="E247" s="310" t="s">
        <v>1389</v>
      </c>
      <c r="F247" s="310" t="s">
        <v>1389</v>
      </c>
      <c r="G247" s="310" t="str">
        <f t="shared" si="2"/>
        <v>Sapin de VancouverF2BT31-RDVTECH44BT31-RDVTECH44</v>
      </c>
    </row>
    <row r="248" spans="3:7" x14ac:dyDescent="0.25">
      <c r="C248" s="310" t="s">
        <v>801</v>
      </c>
      <c r="D248" s="310" t="s">
        <v>10</v>
      </c>
      <c r="E248" s="310" t="s">
        <v>1389</v>
      </c>
      <c r="F248" s="310" t="s">
        <v>1389</v>
      </c>
      <c r="G248" s="310" t="str">
        <f t="shared" si="2"/>
        <v>Sapin du ColoradoF2BT31-RDVTECH44BT31-RDVTECH44</v>
      </c>
    </row>
    <row r="249" spans="3:7" x14ac:dyDescent="0.25">
      <c r="C249" s="310" t="s">
        <v>839</v>
      </c>
      <c r="D249" s="310" t="s">
        <v>10</v>
      </c>
      <c r="E249" s="310" t="s">
        <v>1389</v>
      </c>
      <c r="F249" s="310" t="s">
        <v>1389</v>
      </c>
      <c r="G249" s="310" t="str">
        <f t="shared" si="2"/>
        <v>Sapin nobleF2BT31-RDVTECH44BT31-RDVTECH44</v>
      </c>
    </row>
    <row r="250" spans="3:7" x14ac:dyDescent="0.25">
      <c r="C250" s="310" t="s">
        <v>221</v>
      </c>
      <c r="D250" s="310" t="s">
        <v>10</v>
      </c>
      <c r="E250" s="310" t="s">
        <v>1389</v>
      </c>
      <c r="F250" s="310" t="s">
        <v>1389</v>
      </c>
      <c r="G250" s="310" t="str">
        <f t="shared" si="2"/>
        <v>Sapin pectinéF2BT31-RDVTECH44BT31-RDVTECH44</v>
      </c>
    </row>
    <row r="251" spans="3:7" x14ac:dyDescent="0.25">
      <c r="C251" s="310" t="s">
        <v>1330</v>
      </c>
      <c r="D251" s="310" t="s">
        <v>10</v>
      </c>
      <c r="E251" s="310" t="s">
        <v>1389</v>
      </c>
      <c r="F251" s="310" t="s">
        <v>1389</v>
      </c>
      <c r="G251" s="310" t="str">
        <f t="shared" si="2"/>
        <v>Saule à cinq étamines F2BT31-RDVTECH44BT31-RDVTECH44</v>
      </c>
    </row>
    <row r="252" spans="3:7" x14ac:dyDescent="0.25">
      <c r="C252" s="310" t="s">
        <v>1325</v>
      </c>
      <c r="D252" s="310" t="s">
        <v>10</v>
      </c>
      <c r="E252" s="310" t="s">
        <v>1389</v>
      </c>
      <c r="F252" s="310" t="s">
        <v>1389</v>
      </c>
      <c r="G252" s="310" t="str">
        <f t="shared" si="2"/>
        <v>Saule à trois étaminesF2BT31-RDVTECH44BT31-RDVTECH44</v>
      </c>
    </row>
    <row r="253" spans="3:7" x14ac:dyDescent="0.25">
      <c r="C253" s="310" t="s">
        <v>449</v>
      </c>
      <c r="D253" s="310" t="s">
        <v>10</v>
      </c>
      <c r="E253" s="310" t="s">
        <v>1389</v>
      </c>
      <c r="F253" s="310" t="s">
        <v>1389</v>
      </c>
      <c r="G253" s="310" t="str">
        <f t="shared" si="2"/>
        <v>Saule blancF2BT31-RDVTECH44BT31-RDVTECH44</v>
      </c>
    </row>
    <row r="254" spans="3:7" x14ac:dyDescent="0.25">
      <c r="C254" s="310" t="s">
        <v>469</v>
      </c>
      <c r="D254" s="310" t="s">
        <v>10</v>
      </c>
      <c r="E254" s="310" t="s">
        <v>1389</v>
      </c>
      <c r="F254" s="310" t="s">
        <v>1389</v>
      </c>
      <c r="G254" s="310" t="str">
        <f t="shared" ref="G254:G288" si="3">+_xlfn.CONCAT(C254:F254)</f>
        <v>Saule cassantF2BT31-RDVTECH44BT31-RDVTECH44</v>
      </c>
    </row>
    <row r="255" spans="3:7" x14ac:dyDescent="0.25">
      <c r="C255" s="310" t="s">
        <v>454</v>
      </c>
      <c r="D255" s="310" t="s">
        <v>10</v>
      </c>
      <c r="E255" s="310" t="s">
        <v>1389</v>
      </c>
      <c r="F255" s="310" t="s">
        <v>1389</v>
      </c>
      <c r="G255" s="310" t="str">
        <f t="shared" si="3"/>
        <v>Saule cendréF2BT31-RDVTECH44BT31-RDVTECH44</v>
      </c>
    </row>
    <row r="256" spans="3:7" x14ac:dyDescent="0.25">
      <c r="C256" s="310" t="s">
        <v>487</v>
      </c>
      <c r="D256" s="310" t="s">
        <v>10</v>
      </c>
      <c r="E256" s="310" t="s">
        <v>1389</v>
      </c>
      <c r="F256" s="310" t="s">
        <v>1389</v>
      </c>
      <c r="G256" s="310" t="str">
        <f t="shared" si="3"/>
        <v>Saule des vanniersF2BT31-RDVTECH44BT31-RDVTECH44</v>
      </c>
    </row>
    <row r="257" spans="3:7" x14ac:dyDescent="0.25">
      <c r="C257" s="310" t="s">
        <v>459</v>
      </c>
      <c r="D257" s="310" t="s">
        <v>10</v>
      </c>
      <c r="E257" s="310" t="s">
        <v>1389</v>
      </c>
      <c r="F257" s="310" t="s">
        <v>1389</v>
      </c>
      <c r="G257" s="310" t="str">
        <f t="shared" si="3"/>
        <v>Saule drapéF2BT31-RDVTECH44BT31-RDVTECH44</v>
      </c>
    </row>
    <row r="258" spans="3:7" x14ac:dyDescent="0.25">
      <c r="C258" s="310" t="s">
        <v>464</v>
      </c>
      <c r="D258" s="310" t="s">
        <v>10</v>
      </c>
      <c r="E258" s="310" t="s">
        <v>1389</v>
      </c>
      <c r="F258" s="310" t="s">
        <v>1389</v>
      </c>
      <c r="G258" s="310" t="str">
        <f t="shared" si="3"/>
        <v>Saule faux daphnéF2BT31-RDVTECH44BT31-RDVTECH44</v>
      </c>
    </row>
    <row r="259" spans="3:7" x14ac:dyDescent="0.25">
      <c r="C259" s="311" t="s">
        <v>624</v>
      </c>
      <c r="D259" s="310" t="s">
        <v>10</v>
      </c>
      <c r="E259" s="310" t="s">
        <v>1389</v>
      </c>
      <c r="F259" s="310" t="s">
        <v>1389</v>
      </c>
      <c r="G259" s="310" t="str">
        <f t="shared" si="3"/>
        <v>Saule génériqueF2BT31-RDVTECH44BT31-RDVTECH44</v>
      </c>
    </row>
    <row r="260" spans="3:7" x14ac:dyDescent="0.25">
      <c r="C260" s="310" t="s">
        <v>474</v>
      </c>
      <c r="D260" s="310" t="s">
        <v>10</v>
      </c>
      <c r="E260" s="310" t="s">
        <v>1389</v>
      </c>
      <c r="F260" s="310" t="s">
        <v>1389</v>
      </c>
      <c r="G260" s="310" t="str">
        <f t="shared" si="3"/>
        <v>Saule marsaultF2BT31-RDVTECH44BT31-RDVTECH44</v>
      </c>
    </row>
    <row r="261" spans="3:7" x14ac:dyDescent="0.25">
      <c r="C261" s="310" t="s">
        <v>479</v>
      </c>
      <c r="D261" s="310" t="s">
        <v>10</v>
      </c>
      <c r="E261" s="310" t="s">
        <v>1389</v>
      </c>
      <c r="F261" s="310" t="s">
        <v>1389</v>
      </c>
      <c r="G261" s="310" t="str">
        <f t="shared" si="3"/>
        <v>Saule pédicelléF2BT31-RDVTECH44BT31-RDVTECH44</v>
      </c>
    </row>
    <row r="262" spans="3:7" x14ac:dyDescent="0.25">
      <c r="C262" s="310" t="s">
        <v>492</v>
      </c>
      <c r="D262" s="310" t="s">
        <v>10</v>
      </c>
      <c r="E262" s="310" t="s">
        <v>1389</v>
      </c>
      <c r="F262" s="310" t="s">
        <v>1389</v>
      </c>
      <c r="G262" s="310" t="str">
        <f t="shared" si="3"/>
        <v>Saule rougeF2BT31-RDVTECH44BT31-RDVTECH44</v>
      </c>
    </row>
    <row r="263" spans="3:7" x14ac:dyDescent="0.25">
      <c r="C263" s="310" t="s">
        <v>482</v>
      </c>
      <c r="D263" s="310" t="s">
        <v>10</v>
      </c>
      <c r="E263" s="310" t="s">
        <v>1389</v>
      </c>
      <c r="F263" s="310" t="s">
        <v>1389</v>
      </c>
      <c r="G263" s="310" t="str">
        <f t="shared" si="3"/>
        <v>Saule rouxF2BT31-RDVTECH44BT31-RDVTECH44</v>
      </c>
    </row>
    <row r="264" spans="3:7" x14ac:dyDescent="0.25">
      <c r="C264" s="310" t="s">
        <v>742</v>
      </c>
      <c r="D264" s="310" t="s">
        <v>10</v>
      </c>
      <c r="E264" s="310" t="s">
        <v>1389</v>
      </c>
      <c r="F264" s="310" t="s">
        <v>1389</v>
      </c>
      <c r="G264" s="310" t="str">
        <f t="shared" si="3"/>
        <v>Séquoia géantF2BT31-RDVTECH44BT31-RDVTECH44</v>
      </c>
    </row>
    <row r="265" spans="3:7" x14ac:dyDescent="0.25">
      <c r="C265" s="310" t="s">
        <v>747</v>
      </c>
      <c r="D265" s="310" t="s">
        <v>10</v>
      </c>
      <c r="E265" s="310" t="s">
        <v>1389</v>
      </c>
      <c r="F265" s="310" t="s">
        <v>1389</v>
      </c>
      <c r="G265" s="310" t="str">
        <f t="shared" si="3"/>
        <v>Séquoia toujours vertF2BT31-RDVTECH44BT31-RDVTECH44</v>
      </c>
    </row>
    <row r="266" spans="3:7" x14ac:dyDescent="0.25">
      <c r="C266" s="310" t="s">
        <v>1090</v>
      </c>
      <c r="D266" s="310" t="s">
        <v>10</v>
      </c>
      <c r="E266" s="310" t="s">
        <v>1389</v>
      </c>
      <c r="F266" s="310" t="s">
        <v>1389</v>
      </c>
      <c r="G266" s="310" t="str">
        <f t="shared" si="3"/>
        <v>Sorbier de FinlandeF2BT31-RDVTECH44BT31-RDVTECH44</v>
      </c>
    </row>
    <row r="267" spans="3:7" x14ac:dyDescent="0.25">
      <c r="C267" s="310" t="s">
        <v>1098</v>
      </c>
      <c r="D267" s="310" t="s">
        <v>10</v>
      </c>
      <c r="E267" s="310" t="s">
        <v>1389</v>
      </c>
      <c r="F267" s="310" t="s">
        <v>1389</v>
      </c>
      <c r="G267" s="310" t="str">
        <f t="shared" si="3"/>
        <v>Sorbier de SuèdeF2BT31-RDVTECH44BT31-RDVTECH44</v>
      </c>
    </row>
    <row r="268" spans="3:7" x14ac:dyDescent="0.25">
      <c r="C268" s="310" t="s">
        <v>1093</v>
      </c>
      <c r="D268" s="310" t="s">
        <v>10</v>
      </c>
      <c r="E268" s="310" t="s">
        <v>1389</v>
      </c>
      <c r="F268" s="310" t="s">
        <v>1389</v>
      </c>
      <c r="G268" s="310" t="str">
        <f t="shared" si="3"/>
        <v>Sorbier des oiseleursF2BT31-RDVTECH44BT31-RDVTECH44</v>
      </c>
    </row>
    <row r="269" spans="3:7" x14ac:dyDescent="0.25">
      <c r="C269" s="310" t="s">
        <v>592</v>
      </c>
      <c r="D269" s="310" t="s">
        <v>10</v>
      </c>
      <c r="E269" s="310" t="s">
        <v>1389</v>
      </c>
      <c r="F269" s="310" t="s">
        <v>1389</v>
      </c>
      <c r="G269" s="310" t="str">
        <f t="shared" si="3"/>
        <v>Sumac de VirginieF2BT31-RDVTECH44BT31-RDVTECH44</v>
      </c>
    </row>
    <row r="270" spans="3:7" x14ac:dyDescent="0.25">
      <c r="C270" s="310" t="s">
        <v>1297</v>
      </c>
      <c r="D270" s="310" t="s">
        <v>10</v>
      </c>
      <c r="E270" s="310" t="s">
        <v>1389</v>
      </c>
      <c r="F270" s="310" t="s">
        <v>1389</v>
      </c>
      <c r="G270" s="310" t="str">
        <f t="shared" si="3"/>
        <v>Sureau à grappesF2BT31-RDVTECH44BT31-RDVTECH44</v>
      </c>
    </row>
    <row r="271" spans="3:7" x14ac:dyDescent="0.25">
      <c r="C271" s="310" t="s">
        <v>1292</v>
      </c>
      <c r="D271" s="310" t="s">
        <v>10</v>
      </c>
      <c r="E271" s="310" t="s">
        <v>1389</v>
      </c>
      <c r="F271" s="310" t="s">
        <v>1389</v>
      </c>
      <c r="G271" s="310" t="str">
        <f t="shared" si="3"/>
        <v>Sureau noirF2BT31-RDVTECH44BT31-RDVTECH44</v>
      </c>
    </row>
    <row r="272" spans="3:7" x14ac:dyDescent="0.25">
      <c r="C272" s="310" t="s">
        <v>600</v>
      </c>
      <c r="D272" s="310" t="s">
        <v>10</v>
      </c>
      <c r="E272" s="310" t="s">
        <v>1389</v>
      </c>
      <c r="F272" s="310" t="s">
        <v>1389</v>
      </c>
      <c r="G272" s="310" t="str">
        <f t="shared" si="3"/>
        <v>Tamaris d'AfriqueF2BT31-RDVTECH44BT31-RDVTECH44</v>
      </c>
    </row>
    <row r="273" spans="3:7" x14ac:dyDescent="0.25">
      <c r="C273" s="310" t="s">
        <v>595</v>
      </c>
      <c r="D273" s="310" t="s">
        <v>10</v>
      </c>
      <c r="E273" s="310" t="s">
        <v>1389</v>
      </c>
      <c r="F273" s="310" t="s">
        <v>1389</v>
      </c>
      <c r="G273" s="310" t="str">
        <f t="shared" si="3"/>
        <v>Tamaris de FranceF2BT31-RDVTECH44BT31-RDVTECH44</v>
      </c>
    </row>
    <row r="274" spans="3:7" x14ac:dyDescent="0.25">
      <c r="C274" s="310" t="s">
        <v>595</v>
      </c>
      <c r="D274" s="310" t="s">
        <v>10</v>
      </c>
      <c r="E274" s="310" t="s">
        <v>1389</v>
      </c>
      <c r="F274" s="310" t="s">
        <v>1389</v>
      </c>
      <c r="G274" s="310" t="str">
        <f t="shared" si="3"/>
        <v>Tamaris de FranceF2BT31-RDVTECH44BT31-RDVTECH44</v>
      </c>
    </row>
    <row r="275" spans="3:7" x14ac:dyDescent="0.25">
      <c r="C275" s="310" t="s">
        <v>810</v>
      </c>
      <c r="D275" s="310" t="s">
        <v>10</v>
      </c>
      <c r="E275" s="310" t="s">
        <v>1389</v>
      </c>
      <c r="F275" s="310" t="s">
        <v>1389</v>
      </c>
      <c r="G275" s="310" t="str">
        <f t="shared" si="3"/>
        <v>Thuya du CanadaF2BT31-RDVTECH44BT31-RDVTECH44</v>
      </c>
    </row>
    <row r="276" spans="3:7" x14ac:dyDescent="0.25">
      <c r="C276" s="310" t="s">
        <v>813</v>
      </c>
      <c r="D276" s="310" t="s">
        <v>10</v>
      </c>
      <c r="E276" s="310" t="s">
        <v>1389</v>
      </c>
      <c r="F276" s="310" t="s">
        <v>1389</v>
      </c>
      <c r="G276" s="310" t="str">
        <f t="shared" si="3"/>
        <v>Thuya géantF2BT31-RDVTECH44BT31-RDVTECH44</v>
      </c>
    </row>
    <row r="277" spans="3:7" x14ac:dyDescent="0.25">
      <c r="C277" s="310" t="s">
        <v>1360</v>
      </c>
      <c r="D277" s="310" t="s">
        <v>10</v>
      </c>
      <c r="E277" s="310" t="s">
        <v>1389</v>
      </c>
      <c r="F277" s="310" t="s">
        <v>1389</v>
      </c>
      <c r="G277" s="310" t="str">
        <f t="shared" si="3"/>
        <v>Tilleul à grandes feuillesF2BT31-RDVTECH44BT31-RDVTECH44</v>
      </c>
    </row>
    <row r="278" spans="3:7" x14ac:dyDescent="0.25">
      <c r="C278" s="310" t="s">
        <v>436</v>
      </c>
      <c r="D278" s="310" t="s">
        <v>10</v>
      </c>
      <c r="E278" s="310" t="s">
        <v>1389</v>
      </c>
      <c r="F278" s="310" t="s">
        <v>1389</v>
      </c>
      <c r="G278" s="310" t="str">
        <f t="shared" si="3"/>
        <v>Tilleul à petites feuillesF2BT31-RDVTECH44BT31-RDVTECH44</v>
      </c>
    </row>
    <row r="279" spans="3:7" x14ac:dyDescent="0.25">
      <c r="C279" s="310" t="s">
        <v>541</v>
      </c>
      <c r="D279" s="310" t="s">
        <v>10</v>
      </c>
      <c r="E279" s="310" t="s">
        <v>1389</v>
      </c>
      <c r="F279" s="310" t="s">
        <v>1389</v>
      </c>
      <c r="G279" s="310" t="str">
        <f t="shared" si="3"/>
        <v>Tilleul argentéF2BT31-RDVTECH44BT31-RDVTECH44</v>
      </c>
    </row>
    <row r="280" spans="3:7" x14ac:dyDescent="0.25">
      <c r="C280" s="310" t="s">
        <v>538</v>
      </c>
      <c r="D280" s="310" t="s">
        <v>10</v>
      </c>
      <c r="E280" s="310" t="s">
        <v>1389</v>
      </c>
      <c r="F280" s="310" t="s">
        <v>1389</v>
      </c>
      <c r="G280" s="310" t="str">
        <f t="shared" si="3"/>
        <v>Tilleul d'Amérique du NordF2BT31-RDVTECH44BT31-RDVTECH44</v>
      </c>
    </row>
    <row r="281" spans="3:7" x14ac:dyDescent="0.25">
      <c r="C281" s="310" t="s">
        <v>441</v>
      </c>
      <c r="D281" s="310" t="s">
        <v>10</v>
      </c>
      <c r="E281" s="310" t="s">
        <v>1389</v>
      </c>
      <c r="F281" s="310" t="s">
        <v>1389</v>
      </c>
      <c r="G281" s="310" t="str">
        <f t="shared" si="3"/>
        <v>Tilleul de HollandeF2BT31-RDVTECH44BT31-RDVTECH44</v>
      </c>
    </row>
    <row r="282" spans="3:7" x14ac:dyDescent="0.25">
      <c r="C282" s="312" t="s">
        <v>627</v>
      </c>
      <c r="D282" s="310" t="s">
        <v>10</v>
      </c>
      <c r="E282" s="310" t="s">
        <v>1389</v>
      </c>
      <c r="F282" s="310" t="s">
        <v>1389</v>
      </c>
      <c r="G282" s="310" t="str">
        <f t="shared" si="3"/>
        <v>Tilleul génériqueF2BT31-RDVTECH44BT31-RDVTECH44</v>
      </c>
    </row>
    <row r="283" spans="3:7" x14ac:dyDescent="0.25">
      <c r="C283" s="310" t="s">
        <v>546</v>
      </c>
      <c r="D283" s="310" t="s">
        <v>10</v>
      </c>
      <c r="E283" s="310" t="s">
        <v>1389</v>
      </c>
      <c r="F283" s="310" t="s">
        <v>1389</v>
      </c>
      <c r="G283" s="310" t="str">
        <f t="shared" si="3"/>
        <v>Tilleul vertF2BT31-RDVTECH44BT31-RDVTECH44</v>
      </c>
    </row>
    <row r="284" spans="3:7" x14ac:dyDescent="0.25">
      <c r="C284" s="310" t="s">
        <v>1314</v>
      </c>
      <c r="D284" s="310" t="s">
        <v>10</v>
      </c>
      <c r="E284" s="310" t="s">
        <v>1389</v>
      </c>
      <c r="F284" s="310" t="s">
        <v>1389</v>
      </c>
      <c r="G284" s="310" t="str">
        <f t="shared" si="3"/>
        <v>TrembleF2BT31-RDVTECH44BT31-RDVTECH44</v>
      </c>
    </row>
    <row r="285" spans="3:7" x14ac:dyDescent="0.25">
      <c r="C285" s="310" t="s">
        <v>823</v>
      </c>
      <c r="D285" s="310" t="s">
        <v>10</v>
      </c>
      <c r="E285" s="310" t="s">
        <v>1389</v>
      </c>
      <c r="F285" s="310" t="s">
        <v>1389</v>
      </c>
      <c r="G285" s="310" t="str">
        <f t="shared" si="3"/>
        <v>Tsuga du CanadaF2BT31-RDVTECH44BT31-RDVTECH44</v>
      </c>
    </row>
    <row r="286" spans="3:7" x14ac:dyDescent="0.25">
      <c r="C286" s="310" t="s">
        <v>818</v>
      </c>
      <c r="D286" s="310" t="s">
        <v>10</v>
      </c>
      <c r="E286" s="310" t="s">
        <v>1389</v>
      </c>
      <c r="F286" s="310" t="s">
        <v>1389</v>
      </c>
      <c r="G286" s="310" t="str">
        <f t="shared" si="3"/>
        <v>Tsuga hétérophylleF2BT31-RDVTECH44BT31-RDVTECH44</v>
      </c>
    </row>
    <row r="287" spans="3:7" x14ac:dyDescent="0.25">
      <c r="C287" s="310" t="s">
        <v>1018</v>
      </c>
      <c r="D287" s="310" t="s">
        <v>10</v>
      </c>
      <c r="E287" s="310" t="s">
        <v>1389</v>
      </c>
      <c r="F287" s="310" t="s">
        <v>1389</v>
      </c>
      <c r="G287" s="310" t="str">
        <f t="shared" si="3"/>
        <v>Tulipier de VirginieF2BT31-RDVTECH44BT31-RDVTECH44</v>
      </c>
    </row>
    <row r="288" spans="3:7" x14ac:dyDescent="0.25">
      <c r="C288" s="310" t="s">
        <v>604</v>
      </c>
      <c r="D288" s="310" t="s">
        <v>10</v>
      </c>
      <c r="E288" s="310" t="s">
        <v>1389</v>
      </c>
      <c r="F288" s="310" t="s">
        <v>1389</v>
      </c>
      <c r="G288" s="310" t="str">
        <f t="shared" si="3"/>
        <v>Vernis vraiF2BT31-RDVTECH44BT31-RDVTECH44</v>
      </c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 s="290" t="s">
        <v>1436</v>
      </c>
      <c r="D293"/>
      <c r="E293"/>
      <c r="F293"/>
    </row>
    <row r="294" spans="3:6" x14ac:dyDescent="0.25">
      <c r="C294" s="291" t="s">
        <v>1437</v>
      </c>
      <c r="D294"/>
      <c r="E294"/>
      <c r="F294"/>
    </row>
    <row r="295" spans="3:6" x14ac:dyDescent="0.25">
      <c r="C295" s="291" t="s">
        <v>1428</v>
      </c>
      <c r="D295"/>
      <c r="E295"/>
      <c r="F295"/>
    </row>
    <row r="296" spans="3:6" x14ac:dyDescent="0.25">
      <c r="C296" s="291" t="s">
        <v>1429</v>
      </c>
      <c r="D296"/>
      <c r="E296"/>
      <c r="F296"/>
    </row>
    <row r="297" spans="3:6" x14ac:dyDescent="0.25">
      <c r="C297" s="112"/>
      <c r="D297"/>
      <c r="E297"/>
      <c r="F297"/>
    </row>
    <row r="298" spans="3:6" x14ac:dyDescent="0.25">
      <c r="C298" s="290" t="s">
        <v>1438</v>
      </c>
      <c r="D298"/>
      <c r="E298"/>
      <c r="F298"/>
    </row>
    <row r="299" spans="3:6" x14ac:dyDescent="0.25">
      <c r="C299" s="291" t="s">
        <v>1439</v>
      </c>
      <c r="D299"/>
      <c r="E299"/>
      <c r="F299"/>
    </row>
    <row r="300" spans="3:6" x14ac:dyDescent="0.25">
      <c r="C300" s="291" t="s">
        <v>1440</v>
      </c>
      <c r="D300"/>
      <c r="E300"/>
      <c r="F300"/>
    </row>
    <row r="301" spans="3:6" x14ac:dyDescent="0.25">
      <c r="C301" s="291" t="s">
        <v>1441</v>
      </c>
      <c r="D301"/>
      <c r="E301"/>
      <c r="F301"/>
    </row>
    <row r="302" spans="3:6" ht="30" x14ac:dyDescent="0.25">
      <c r="C302" s="291" t="s">
        <v>1442</v>
      </c>
      <c r="D302"/>
      <c r="E302"/>
      <c r="F302"/>
    </row>
    <row r="303" spans="3:6" x14ac:dyDescent="0.25">
      <c r="C303" s="291" t="s">
        <v>1429</v>
      </c>
      <c r="D303"/>
      <c r="E303"/>
      <c r="F303"/>
    </row>
    <row r="304" spans="3:6" x14ac:dyDescent="0.25">
      <c r="C304" s="291" t="s">
        <v>1443</v>
      </c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  <row r="363" spans="3:6" x14ac:dyDescent="0.25">
      <c r="C363"/>
      <c r="D363"/>
      <c r="E363"/>
      <c r="F363"/>
    </row>
    <row r="364" spans="3:6" x14ac:dyDescent="0.25">
      <c r="C364"/>
      <c r="D364"/>
      <c r="E364"/>
      <c r="F364"/>
    </row>
    <row r="365" spans="3:6" x14ac:dyDescent="0.25">
      <c r="C365"/>
      <c r="D365"/>
      <c r="E365"/>
      <c r="F365"/>
    </row>
    <row r="366" spans="3:6" x14ac:dyDescent="0.25">
      <c r="C366"/>
      <c r="D366"/>
      <c r="E366"/>
      <c r="F366"/>
    </row>
    <row r="367" spans="3:6" x14ac:dyDescent="0.25">
      <c r="C367"/>
      <c r="D367"/>
      <c r="E367"/>
      <c r="F367"/>
    </row>
    <row r="368" spans="3:6" x14ac:dyDescent="0.25">
      <c r="C368"/>
      <c r="D368"/>
      <c r="E368"/>
      <c r="F368"/>
    </row>
    <row r="369" spans="3:6" x14ac:dyDescent="0.25">
      <c r="C369"/>
      <c r="D369"/>
      <c r="E369"/>
      <c r="F369"/>
    </row>
    <row r="370" spans="3:6" x14ac:dyDescent="0.25">
      <c r="C370"/>
      <c r="D370"/>
      <c r="E370"/>
      <c r="F370"/>
    </row>
    <row r="371" spans="3:6" x14ac:dyDescent="0.25">
      <c r="C371"/>
      <c r="D371"/>
      <c r="E371"/>
      <c r="F371"/>
    </row>
    <row r="372" spans="3:6" x14ac:dyDescent="0.25">
      <c r="C372"/>
      <c r="D372"/>
      <c r="E372"/>
      <c r="F372"/>
    </row>
    <row r="373" spans="3:6" x14ac:dyDescent="0.25">
      <c r="C373"/>
      <c r="D373"/>
      <c r="E373"/>
      <c r="F373"/>
    </row>
    <row r="374" spans="3:6" x14ac:dyDescent="0.25">
      <c r="C374"/>
      <c r="D374"/>
      <c r="E374"/>
      <c r="F374"/>
    </row>
    <row r="375" spans="3:6" x14ac:dyDescent="0.25">
      <c r="C375"/>
      <c r="D375"/>
      <c r="E375"/>
      <c r="F375"/>
    </row>
    <row r="376" spans="3:6" x14ac:dyDescent="0.25">
      <c r="C376"/>
      <c r="D376"/>
      <c r="E376"/>
      <c r="F376"/>
    </row>
    <row r="377" spans="3:6" x14ac:dyDescent="0.25">
      <c r="C377"/>
      <c r="D377"/>
      <c r="E377"/>
      <c r="F377"/>
    </row>
    <row r="378" spans="3:6" x14ac:dyDescent="0.25">
      <c r="C378"/>
      <c r="D378"/>
      <c r="E378"/>
      <c r="F378"/>
    </row>
    <row r="379" spans="3:6" x14ac:dyDescent="0.25">
      <c r="C379"/>
      <c r="D379"/>
      <c r="E379"/>
      <c r="F379"/>
    </row>
    <row r="380" spans="3:6" x14ac:dyDescent="0.25">
      <c r="C380"/>
      <c r="D380"/>
      <c r="E380"/>
      <c r="F380"/>
    </row>
    <row r="381" spans="3:6" x14ac:dyDescent="0.25">
      <c r="C381"/>
      <c r="D381"/>
      <c r="E381"/>
      <c r="F381"/>
    </row>
    <row r="382" spans="3:6" x14ac:dyDescent="0.25">
      <c r="C382"/>
      <c r="D382"/>
      <c r="E382"/>
      <c r="F382"/>
    </row>
    <row r="383" spans="3:6" x14ac:dyDescent="0.25">
      <c r="C383"/>
      <c r="D383"/>
      <c r="E383"/>
      <c r="F383"/>
    </row>
    <row r="384" spans="3:6" x14ac:dyDescent="0.25">
      <c r="C384"/>
      <c r="D384"/>
      <c r="E384"/>
      <c r="F384"/>
    </row>
    <row r="385" spans="3:6" x14ac:dyDescent="0.25">
      <c r="C385"/>
      <c r="D385"/>
      <c r="E385"/>
      <c r="F385"/>
    </row>
    <row r="386" spans="3:6" x14ac:dyDescent="0.25">
      <c r="C386"/>
      <c r="D386"/>
      <c r="E386"/>
      <c r="F386"/>
    </row>
    <row r="387" spans="3:6" x14ac:dyDescent="0.25">
      <c r="C387"/>
      <c r="D387"/>
      <c r="E387"/>
      <c r="F387"/>
    </row>
    <row r="388" spans="3:6" x14ac:dyDescent="0.25">
      <c r="C388"/>
      <c r="D388"/>
      <c r="E388"/>
      <c r="F388"/>
    </row>
    <row r="389" spans="3:6" x14ac:dyDescent="0.25">
      <c r="C389"/>
      <c r="D389"/>
      <c r="E389"/>
      <c r="F389"/>
    </row>
    <row r="390" spans="3:6" x14ac:dyDescent="0.25">
      <c r="C390"/>
      <c r="D390"/>
      <c r="E390"/>
      <c r="F390"/>
    </row>
    <row r="391" spans="3:6" x14ac:dyDescent="0.25">
      <c r="C391"/>
      <c r="D391"/>
      <c r="E391"/>
      <c r="F391"/>
    </row>
    <row r="392" spans="3:6" x14ac:dyDescent="0.25">
      <c r="C392"/>
      <c r="D392"/>
      <c r="E392"/>
      <c r="F392"/>
    </row>
    <row r="393" spans="3:6" x14ac:dyDescent="0.25">
      <c r="C393"/>
      <c r="D393"/>
      <c r="E393"/>
      <c r="F393"/>
    </row>
    <row r="394" spans="3:6" x14ac:dyDescent="0.25">
      <c r="C394"/>
      <c r="D394"/>
      <c r="E394"/>
      <c r="F394"/>
    </row>
    <row r="395" spans="3:6" x14ac:dyDescent="0.25">
      <c r="C395"/>
      <c r="D395"/>
      <c r="E395"/>
      <c r="F395"/>
    </row>
    <row r="396" spans="3:6" x14ac:dyDescent="0.25">
      <c r="C396"/>
      <c r="D396"/>
      <c r="E396"/>
      <c r="F396"/>
    </row>
    <row r="397" spans="3:6" x14ac:dyDescent="0.25">
      <c r="C397"/>
      <c r="D397"/>
      <c r="E397"/>
      <c r="F397"/>
    </row>
    <row r="398" spans="3:6" x14ac:dyDescent="0.25">
      <c r="C398"/>
      <c r="D398"/>
      <c r="E398"/>
      <c r="F398"/>
    </row>
    <row r="399" spans="3:6" x14ac:dyDescent="0.25">
      <c r="C399"/>
      <c r="D399"/>
      <c r="E399"/>
      <c r="F399"/>
    </row>
    <row r="400" spans="3:6" x14ac:dyDescent="0.25">
      <c r="C400"/>
      <c r="D400"/>
      <c r="E400"/>
      <c r="F400"/>
    </row>
    <row r="401" spans="3:6" x14ac:dyDescent="0.25">
      <c r="C401"/>
      <c r="D401"/>
      <c r="E401"/>
      <c r="F401"/>
    </row>
    <row r="402" spans="3:6" x14ac:dyDescent="0.25">
      <c r="C402"/>
      <c r="D402"/>
      <c r="E402"/>
      <c r="F402"/>
    </row>
    <row r="403" spans="3:6" x14ac:dyDescent="0.25">
      <c r="C403"/>
      <c r="D403"/>
      <c r="E403"/>
      <c r="F403"/>
    </row>
    <row r="404" spans="3:6" x14ac:dyDescent="0.25">
      <c r="C404"/>
      <c r="D404"/>
      <c r="E404"/>
      <c r="F404"/>
    </row>
    <row r="405" spans="3:6" x14ac:dyDescent="0.25">
      <c r="C405"/>
      <c r="D405"/>
      <c r="E405"/>
      <c r="F405"/>
    </row>
    <row r="406" spans="3:6" x14ac:dyDescent="0.25">
      <c r="C406"/>
      <c r="D406"/>
      <c r="E406"/>
      <c r="F406"/>
    </row>
    <row r="407" spans="3:6" x14ac:dyDescent="0.25">
      <c r="C407"/>
      <c r="D407"/>
      <c r="E407"/>
      <c r="F407"/>
    </row>
    <row r="408" spans="3:6" x14ac:dyDescent="0.25">
      <c r="C408"/>
      <c r="D408"/>
      <c r="E408"/>
      <c r="F408"/>
    </row>
    <row r="409" spans="3:6" x14ac:dyDescent="0.25">
      <c r="C409"/>
      <c r="D409"/>
      <c r="E409"/>
      <c r="F409"/>
    </row>
    <row r="410" spans="3:6" x14ac:dyDescent="0.25">
      <c r="C410"/>
      <c r="D410"/>
      <c r="E410"/>
      <c r="F410"/>
    </row>
    <row r="411" spans="3:6" x14ac:dyDescent="0.25">
      <c r="C411"/>
      <c r="D411"/>
      <c r="E411"/>
      <c r="F411"/>
    </row>
    <row r="412" spans="3:6" x14ac:dyDescent="0.25">
      <c r="C412"/>
      <c r="D412"/>
      <c r="E412"/>
      <c r="F412"/>
    </row>
    <row r="413" spans="3:6" x14ac:dyDescent="0.25">
      <c r="C413"/>
      <c r="D413"/>
      <c r="E413"/>
      <c r="F413"/>
    </row>
    <row r="414" spans="3:6" x14ac:dyDescent="0.25">
      <c r="C414"/>
      <c r="D414"/>
      <c r="E414"/>
      <c r="F414"/>
    </row>
    <row r="415" spans="3:6" x14ac:dyDescent="0.25">
      <c r="C415"/>
      <c r="D415"/>
      <c r="E415"/>
      <c r="F415"/>
    </row>
    <row r="416" spans="3:6" x14ac:dyDescent="0.25">
      <c r="C416"/>
      <c r="D416"/>
      <c r="E416"/>
      <c r="F416"/>
    </row>
    <row r="417" spans="3:6" x14ac:dyDescent="0.25">
      <c r="C417"/>
      <c r="D417"/>
      <c r="E417"/>
      <c r="F417"/>
    </row>
    <row r="418" spans="3:6" x14ac:dyDescent="0.25">
      <c r="C418"/>
      <c r="D418"/>
      <c r="E418"/>
      <c r="F418"/>
    </row>
    <row r="419" spans="3:6" x14ac:dyDescent="0.25">
      <c r="C419"/>
      <c r="D419"/>
      <c r="E419"/>
      <c r="F419"/>
    </row>
    <row r="420" spans="3:6" x14ac:dyDescent="0.25">
      <c r="C420"/>
      <c r="D420"/>
      <c r="E420"/>
      <c r="F420"/>
    </row>
    <row r="421" spans="3:6" x14ac:dyDescent="0.25">
      <c r="C421"/>
      <c r="D421"/>
      <c r="E421"/>
      <c r="F421"/>
    </row>
    <row r="422" spans="3:6" x14ac:dyDescent="0.25">
      <c r="C422"/>
      <c r="D422"/>
      <c r="E422"/>
      <c r="F422"/>
    </row>
    <row r="423" spans="3:6" x14ac:dyDescent="0.25">
      <c r="C423"/>
      <c r="D423"/>
      <c r="E423"/>
      <c r="F423"/>
    </row>
    <row r="424" spans="3:6" x14ac:dyDescent="0.25">
      <c r="C424"/>
      <c r="D424"/>
      <c r="E424"/>
      <c r="F424"/>
    </row>
    <row r="425" spans="3:6" x14ac:dyDescent="0.25">
      <c r="C425"/>
      <c r="D425"/>
      <c r="E425"/>
      <c r="F425"/>
    </row>
    <row r="426" spans="3:6" x14ac:dyDescent="0.25">
      <c r="C426"/>
      <c r="D426"/>
      <c r="E426"/>
      <c r="F426"/>
    </row>
    <row r="427" spans="3:6" x14ac:dyDescent="0.25">
      <c r="C427"/>
      <c r="D427"/>
      <c r="E427"/>
      <c r="F427"/>
    </row>
    <row r="428" spans="3:6" x14ac:dyDescent="0.25">
      <c r="C428"/>
      <c r="D428"/>
      <c r="E428"/>
      <c r="F428"/>
    </row>
    <row r="429" spans="3:6" x14ac:dyDescent="0.25">
      <c r="C429"/>
      <c r="D429"/>
      <c r="E429"/>
      <c r="F429"/>
    </row>
    <row r="430" spans="3:6" x14ac:dyDescent="0.25">
      <c r="C430"/>
      <c r="D430"/>
      <c r="E430"/>
      <c r="F430"/>
    </row>
    <row r="431" spans="3:6" x14ac:dyDescent="0.25">
      <c r="C431"/>
      <c r="D431"/>
      <c r="E431"/>
      <c r="F431"/>
    </row>
    <row r="432" spans="3:6" x14ac:dyDescent="0.25">
      <c r="C432"/>
      <c r="D432"/>
      <c r="E432"/>
      <c r="F432"/>
    </row>
    <row r="433" spans="3:6" x14ac:dyDescent="0.25">
      <c r="C433"/>
      <c r="D433"/>
      <c r="E433"/>
      <c r="F433"/>
    </row>
    <row r="434" spans="3:6" x14ac:dyDescent="0.25">
      <c r="C434"/>
      <c r="D434"/>
      <c r="E434"/>
      <c r="F434"/>
    </row>
    <row r="435" spans="3:6" x14ac:dyDescent="0.25">
      <c r="C435"/>
      <c r="D435"/>
      <c r="E435"/>
      <c r="F435"/>
    </row>
    <row r="436" spans="3:6" x14ac:dyDescent="0.25">
      <c r="C436"/>
      <c r="D436"/>
      <c r="E436"/>
      <c r="F436"/>
    </row>
    <row r="437" spans="3:6" x14ac:dyDescent="0.25">
      <c r="C437"/>
      <c r="D437"/>
      <c r="E437"/>
      <c r="F437"/>
    </row>
    <row r="438" spans="3:6" x14ac:dyDescent="0.25">
      <c r="C438"/>
      <c r="D438"/>
      <c r="E438"/>
      <c r="F438"/>
    </row>
    <row r="439" spans="3:6" x14ac:dyDescent="0.25">
      <c r="C439"/>
      <c r="D439"/>
      <c r="E439"/>
      <c r="F439"/>
    </row>
    <row r="440" spans="3:6" x14ac:dyDescent="0.25">
      <c r="C440"/>
      <c r="D440"/>
      <c r="E440"/>
      <c r="F440"/>
    </row>
    <row r="441" spans="3:6" x14ac:dyDescent="0.25">
      <c r="C441"/>
      <c r="D441"/>
      <c r="E441"/>
      <c r="F441"/>
    </row>
    <row r="442" spans="3:6" x14ac:dyDescent="0.25">
      <c r="C442"/>
      <c r="D442"/>
      <c r="E442"/>
      <c r="F442"/>
    </row>
    <row r="443" spans="3:6" x14ac:dyDescent="0.25">
      <c r="C443"/>
      <c r="D443"/>
      <c r="E443"/>
      <c r="F443"/>
    </row>
    <row r="444" spans="3:6" x14ac:dyDescent="0.25">
      <c r="C444"/>
      <c r="D444"/>
      <c r="E444"/>
      <c r="F444"/>
    </row>
    <row r="445" spans="3:6" x14ac:dyDescent="0.25">
      <c r="C445"/>
      <c r="D445"/>
      <c r="E445"/>
      <c r="F445"/>
    </row>
    <row r="446" spans="3:6" x14ac:dyDescent="0.25">
      <c r="C446"/>
      <c r="D446"/>
      <c r="E446"/>
      <c r="F446"/>
    </row>
    <row r="447" spans="3:6" x14ac:dyDescent="0.25">
      <c r="C447"/>
      <c r="D447"/>
      <c r="E447"/>
      <c r="F447"/>
    </row>
    <row r="448" spans="3:6" x14ac:dyDescent="0.25">
      <c r="C448"/>
      <c r="D448"/>
      <c r="E448"/>
      <c r="F448"/>
    </row>
    <row r="449" spans="3:6" x14ac:dyDescent="0.25">
      <c r="C449"/>
      <c r="D449"/>
      <c r="E449"/>
      <c r="F449"/>
    </row>
    <row r="450" spans="3:6" x14ac:dyDescent="0.25">
      <c r="C450"/>
      <c r="D450"/>
      <c r="E450"/>
      <c r="F450"/>
    </row>
    <row r="451" spans="3:6" x14ac:dyDescent="0.25">
      <c r="C451"/>
      <c r="D451"/>
      <c r="E451"/>
      <c r="F451"/>
    </row>
    <row r="452" spans="3:6" x14ac:dyDescent="0.25">
      <c r="C452"/>
      <c r="D452"/>
      <c r="E452"/>
      <c r="F452"/>
    </row>
    <row r="453" spans="3:6" x14ac:dyDescent="0.25">
      <c r="C453"/>
      <c r="D453"/>
      <c r="E453"/>
      <c r="F453"/>
    </row>
    <row r="454" spans="3:6" x14ac:dyDescent="0.25">
      <c r="C454"/>
      <c r="D454"/>
      <c r="E454"/>
      <c r="F454"/>
    </row>
    <row r="455" spans="3:6" x14ac:dyDescent="0.25">
      <c r="C455"/>
      <c r="D455"/>
      <c r="E455"/>
      <c r="F455"/>
    </row>
    <row r="456" spans="3:6" x14ac:dyDescent="0.25">
      <c r="C456"/>
      <c r="D456"/>
      <c r="E456"/>
      <c r="F456"/>
    </row>
    <row r="457" spans="3:6" x14ac:dyDescent="0.25">
      <c r="C457"/>
      <c r="D457"/>
      <c r="E457"/>
      <c r="F457"/>
    </row>
    <row r="458" spans="3:6" x14ac:dyDescent="0.25">
      <c r="C458"/>
      <c r="D458"/>
      <c r="E458"/>
      <c r="F458"/>
    </row>
    <row r="459" spans="3:6" x14ac:dyDescent="0.25">
      <c r="C459"/>
      <c r="D459"/>
      <c r="E459"/>
      <c r="F459"/>
    </row>
    <row r="460" spans="3:6" x14ac:dyDescent="0.25">
      <c r="C460"/>
      <c r="D460"/>
      <c r="E460"/>
      <c r="F460"/>
    </row>
    <row r="461" spans="3:6" x14ac:dyDescent="0.25">
      <c r="C461"/>
      <c r="D461"/>
      <c r="E461"/>
      <c r="F461"/>
    </row>
    <row r="462" spans="3:6" x14ac:dyDescent="0.25">
      <c r="C462"/>
      <c r="D462"/>
      <c r="E462"/>
      <c r="F462"/>
    </row>
    <row r="463" spans="3:6" x14ac:dyDescent="0.25">
      <c r="C463"/>
      <c r="D463"/>
      <c r="E463"/>
      <c r="F463"/>
    </row>
    <row r="464" spans="3:6" x14ac:dyDescent="0.25">
      <c r="C464"/>
      <c r="D464"/>
      <c r="E464"/>
      <c r="F464"/>
    </row>
    <row r="465" spans="3:6" x14ac:dyDescent="0.25">
      <c r="C465"/>
      <c r="D465"/>
      <c r="E465"/>
      <c r="F465"/>
    </row>
    <row r="466" spans="3:6" x14ac:dyDescent="0.25">
      <c r="C466"/>
      <c r="D466"/>
      <c r="E466"/>
      <c r="F466"/>
    </row>
    <row r="467" spans="3:6" x14ac:dyDescent="0.25">
      <c r="C467"/>
      <c r="D467"/>
      <c r="E467"/>
      <c r="F467"/>
    </row>
    <row r="468" spans="3:6" x14ac:dyDescent="0.25">
      <c r="C468"/>
      <c r="D468"/>
      <c r="E468"/>
      <c r="F468"/>
    </row>
    <row r="469" spans="3:6" x14ac:dyDescent="0.25">
      <c r="C469"/>
      <c r="D469"/>
      <c r="E469"/>
      <c r="F469"/>
    </row>
    <row r="470" spans="3:6" x14ac:dyDescent="0.25">
      <c r="C470"/>
      <c r="D470"/>
      <c r="E470"/>
      <c r="F470"/>
    </row>
    <row r="471" spans="3:6" x14ac:dyDescent="0.25">
      <c r="C471"/>
      <c r="D471"/>
      <c r="E471"/>
      <c r="F471"/>
    </row>
    <row r="472" spans="3:6" x14ac:dyDescent="0.25">
      <c r="C472"/>
      <c r="D472"/>
      <c r="E472"/>
      <c r="F472"/>
    </row>
    <row r="473" spans="3:6" x14ac:dyDescent="0.25">
      <c r="C473"/>
      <c r="D473"/>
      <c r="E473"/>
      <c r="F473"/>
    </row>
    <row r="474" spans="3:6" x14ac:dyDescent="0.25">
      <c r="C474"/>
      <c r="D474"/>
      <c r="E474"/>
      <c r="F474"/>
    </row>
    <row r="475" spans="3:6" x14ac:dyDescent="0.25">
      <c r="C475"/>
      <c r="D475"/>
      <c r="E475"/>
      <c r="F475"/>
    </row>
    <row r="476" spans="3:6" x14ac:dyDescent="0.25">
      <c r="C476"/>
      <c r="D476"/>
      <c r="E476"/>
      <c r="F476"/>
    </row>
    <row r="477" spans="3:6" x14ac:dyDescent="0.25">
      <c r="C477"/>
      <c r="D477"/>
      <c r="E477"/>
      <c r="F477"/>
    </row>
    <row r="478" spans="3:6" x14ac:dyDescent="0.25">
      <c r="C478"/>
      <c r="D478"/>
      <c r="E478"/>
      <c r="F478"/>
    </row>
    <row r="479" spans="3:6" x14ac:dyDescent="0.25">
      <c r="C479"/>
      <c r="D479"/>
      <c r="E479"/>
      <c r="F479"/>
    </row>
    <row r="480" spans="3:6" x14ac:dyDescent="0.25">
      <c r="C480"/>
      <c r="D480"/>
      <c r="E480"/>
      <c r="F480"/>
    </row>
    <row r="481" spans="3:6" x14ac:dyDescent="0.25">
      <c r="C481"/>
      <c r="D481"/>
      <c r="E481"/>
      <c r="F481"/>
    </row>
    <row r="482" spans="3:6" x14ac:dyDescent="0.25">
      <c r="C482"/>
      <c r="D482"/>
      <c r="E482"/>
      <c r="F482"/>
    </row>
    <row r="483" spans="3:6" x14ac:dyDescent="0.25">
      <c r="C483"/>
      <c r="D483"/>
      <c r="E483"/>
      <c r="F483"/>
    </row>
    <row r="484" spans="3:6" x14ac:dyDescent="0.25">
      <c r="C484"/>
      <c r="D484"/>
      <c r="E484"/>
      <c r="F484"/>
    </row>
    <row r="485" spans="3:6" x14ac:dyDescent="0.25">
      <c r="C485"/>
      <c r="D485"/>
      <c r="E485"/>
      <c r="F485"/>
    </row>
    <row r="486" spans="3:6" x14ac:dyDescent="0.25">
      <c r="C486"/>
      <c r="D486"/>
      <c r="E486"/>
      <c r="F486"/>
    </row>
    <row r="487" spans="3:6" x14ac:dyDescent="0.25">
      <c r="C487"/>
      <c r="D487"/>
      <c r="E487"/>
      <c r="F487"/>
    </row>
    <row r="488" spans="3:6" x14ac:dyDescent="0.25">
      <c r="C488"/>
      <c r="D488"/>
      <c r="E488"/>
      <c r="F488"/>
    </row>
    <row r="489" spans="3:6" x14ac:dyDescent="0.25">
      <c r="C489"/>
      <c r="D489"/>
      <c r="E489"/>
      <c r="F489"/>
    </row>
    <row r="490" spans="3:6" x14ac:dyDescent="0.25">
      <c r="C490"/>
      <c r="D490"/>
      <c r="E490"/>
      <c r="F490"/>
    </row>
    <row r="491" spans="3:6" x14ac:dyDescent="0.25">
      <c r="C491"/>
      <c r="D491"/>
      <c r="E491"/>
      <c r="F491"/>
    </row>
    <row r="492" spans="3:6" x14ac:dyDescent="0.25">
      <c r="C492"/>
      <c r="D492"/>
      <c r="E492"/>
      <c r="F492"/>
    </row>
    <row r="493" spans="3:6" x14ac:dyDescent="0.25">
      <c r="C493"/>
      <c r="D493"/>
      <c r="E493"/>
      <c r="F493"/>
    </row>
    <row r="494" spans="3:6" x14ac:dyDescent="0.25">
      <c r="C494"/>
      <c r="D494"/>
      <c r="E494"/>
      <c r="F494"/>
    </row>
    <row r="495" spans="3:6" x14ac:dyDescent="0.25">
      <c r="C495"/>
      <c r="D495"/>
      <c r="E495"/>
      <c r="F495"/>
    </row>
    <row r="496" spans="3:6" x14ac:dyDescent="0.25">
      <c r="C496"/>
      <c r="D496"/>
      <c r="E496"/>
      <c r="F496"/>
    </row>
    <row r="497" spans="3:6" x14ac:dyDescent="0.25">
      <c r="C497"/>
      <c r="D497"/>
      <c r="E497"/>
      <c r="F497"/>
    </row>
    <row r="498" spans="3:6" x14ac:dyDescent="0.25">
      <c r="C498"/>
      <c r="D498"/>
      <c r="E498"/>
      <c r="F498"/>
    </row>
    <row r="499" spans="3:6" x14ac:dyDescent="0.25">
      <c r="C499"/>
      <c r="D499"/>
      <c r="E499"/>
      <c r="F499"/>
    </row>
    <row r="500" spans="3:6" x14ac:dyDescent="0.25">
      <c r="C500"/>
      <c r="D500"/>
      <c r="E500"/>
      <c r="F500"/>
    </row>
    <row r="501" spans="3:6" x14ac:dyDescent="0.25">
      <c r="C501"/>
      <c r="D501"/>
      <c r="E501"/>
      <c r="F501"/>
    </row>
    <row r="502" spans="3:6" x14ac:dyDescent="0.25">
      <c r="C502"/>
      <c r="D502"/>
      <c r="E502"/>
      <c r="F502"/>
    </row>
    <row r="503" spans="3:6" x14ac:dyDescent="0.25">
      <c r="C503"/>
      <c r="D503"/>
      <c r="E503"/>
      <c r="F503"/>
    </row>
    <row r="504" spans="3:6" x14ac:dyDescent="0.25">
      <c r="C504"/>
      <c r="D504"/>
      <c r="E504"/>
      <c r="F504"/>
    </row>
    <row r="505" spans="3:6" x14ac:dyDescent="0.25">
      <c r="C505"/>
      <c r="D505"/>
      <c r="E505"/>
      <c r="F505"/>
    </row>
    <row r="506" spans="3:6" x14ac:dyDescent="0.25">
      <c r="C506"/>
      <c r="D506"/>
      <c r="E506"/>
      <c r="F506"/>
    </row>
    <row r="507" spans="3:6" x14ac:dyDescent="0.25">
      <c r="C507"/>
      <c r="D507"/>
      <c r="E507"/>
      <c r="F507"/>
    </row>
    <row r="508" spans="3:6" x14ac:dyDescent="0.25">
      <c r="C508"/>
      <c r="D508"/>
      <c r="E508"/>
      <c r="F508"/>
    </row>
    <row r="509" spans="3:6" x14ac:dyDescent="0.25">
      <c r="C509"/>
      <c r="D509"/>
      <c r="E509"/>
      <c r="F509"/>
    </row>
    <row r="510" spans="3:6" x14ac:dyDescent="0.25">
      <c r="C510"/>
      <c r="D510"/>
      <c r="E510"/>
      <c r="F510"/>
    </row>
    <row r="511" spans="3:6" x14ac:dyDescent="0.25">
      <c r="C511"/>
      <c r="D511"/>
      <c r="E511"/>
      <c r="F511"/>
    </row>
    <row r="512" spans="3:6" x14ac:dyDescent="0.25">
      <c r="C512"/>
      <c r="D512"/>
      <c r="E512"/>
      <c r="F512"/>
    </row>
    <row r="513" spans="3:6" x14ac:dyDescent="0.25">
      <c r="C513"/>
      <c r="D513"/>
      <c r="E513"/>
      <c r="F513"/>
    </row>
    <row r="514" spans="3:6" x14ac:dyDescent="0.25">
      <c r="C514"/>
      <c r="D514"/>
      <c r="E514"/>
      <c r="F514"/>
    </row>
    <row r="515" spans="3:6" x14ac:dyDescent="0.25">
      <c r="C515"/>
      <c r="D515"/>
      <c r="E515"/>
      <c r="F515"/>
    </row>
    <row r="516" spans="3:6" x14ac:dyDescent="0.25">
      <c r="C516"/>
      <c r="D516"/>
      <c r="E516"/>
      <c r="F516"/>
    </row>
    <row r="517" spans="3:6" x14ac:dyDescent="0.25">
      <c r="C517"/>
      <c r="D517"/>
      <c r="E517"/>
      <c r="F517"/>
    </row>
    <row r="518" spans="3:6" x14ac:dyDescent="0.25">
      <c r="C518"/>
      <c r="D518"/>
      <c r="E518"/>
      <c r="F518"/>
    </row>
    <row r="519" spans="3:6" x14ac:dyDescent="0.25">
      <c r="C519"/>
      <c r="D519"/>
      <c r="E519"/>
      <c r="F519"/>
    </row>
    <row r="520" spans="3:6" x14ac:dyDescent="0.25">
      <c r="C520"/>
      <c r="D520"/>
      <c r="E520"/>
      <c r="F520"/>
    </row>
    <row r="521" spans="3:6" x14ac:dyDescent="0.25">
      <c r="C521"/>
      <c r="D521"/>
      <c r="E521"/>
      <c r="F521"/>
    </row>
    <row r="522" spans="3:6" x14ac:dyDescent="0.25">
      <c r="C522"/>
      <c r="D522"/>
      <c r="E522"/>
      <c r="F522"/>
    </row>
    <row r="523" spans="3:6" x14ac:dyDescent="0.25">
      <c r="C523"/>
      <c r="D523"/>
      <c r="E523"/>
      <c r="F523"/>
    </row>
    <row r="524" spans="3:6" x14ac:dyDescent="0.25">
      <c r="C524"/>
      <c r="D524"/>
      <c r="E524"/>
      <c r="F524"/>
    </row>
    <row r="525" spans="3:6" x14ac:dyDescent="0.25">
      <c r="C525"/>
      <c r="D525"/>
      <c r="E525"/>
      <c r="F525"/>
    </row>
    <row r="526" spans="3:6" x14ac:dyDescent="0.25">
      <c r="C526"/>
      <c r="D526"/>
      <c r="E526"/>
      <c r="F526"/>
    </row>
    <row r="527" spans="3:6" x14ac:dyDescent="0.25">
      <c r="C527"/>
      <c r="D527"/>
      <c r="E527"/>
      <c r="F527"/>
    </row>
    <row r="528" spans="3:6" x14ac:dyDescent="0.25">
      <c r="C528"/>
      <c r="D528"/>
      <c r="E528"/>
      <c r="F528"/>
    </row>
    <row r="529" spans="3:6" x14ac:dyDescent="0.25">
      <c r="C529"/>
      <c r="D529"/>
      <c r="E529"/>
      <c r="F529"/>
    </row>
    <row r="530" spans="3:6" x14ac:dyDescent="0.25">
      <c r="C530"/>
      <c r="D530"/>
      <c r="E530"/>
      <c r="F530"/>
    </row>
    <row r="531" spans="3:6" x14ac:dyDescent="0.25">
      <c r="C531"/>
      <c r="D531"/>
      <c r="E531"/>
      <c r="F531"/>
    </row>
    <row r="532" spans="3:6" x14ac:dyDescent="0.25">
      <c r="C532"/>
      <c r="D532"/>
      <c r="E532"/>
      <c r="F532"/>
    </row>
    <row r="533" spans="3:6" x14ac:dyDescent="0.25">
      <c r="C533"/>
      <c r="D533"/>
      <c r="E533"/>
      <c r="F533"/>
    </row>
    <row r="534" spans="3:6" x14ac:dyDescent="0.25">
      <c r="C534"/>
      <c r="D534"/>
      <c r="E534"/>
      <c r="F534"/>
    </row>
    <row r="535" spans="3:6" x14ac:dyDescent="0.25">
      <c r="C535"/>
      <c r="D535"/>
      <c r="E535"/>
      <c r="F535"/>
    </row>
    <row r="536" spans="3:6" x14ac:dyDescent="0.25">
      <c r="C536"/>
      <c r="D536"/>
      <c r="E536"/>
      <c r="F536"/>
    </row>
    <row r="537" spans="3:6" x14ac:dyDescent="0.25">
      <c r="C537"/>
      <c r="D537"/>
      <c r="E537"/>
      <c r="F537"/>
    </row>
    <row r="538" spans="3:6" x14ac:dyDescent="0.25">
      <c r="C538"/>
      <c r="D538"/>
      <c r="E538"/>
      <c r="F538"/>
    </row>
    <row r="539" spans="3:6" x14ac:dyDescent="0.25">
      <c r="C539"/>
      <c r="D539"/>
      <c r="E539"/>
      <c r="F539"/>
    </row>
    <row r="540" spans="3:6" x14ac:dyDescent="0.25">
      <c r="C540"/>
      <c r="D540"/>
      <c r="E540"/>
      <c r="F540"/>
    </row>
    <row r="541" spans="3:6" x14ac:dyDescent="0.25">
      <c r="C541"/>
      <c r="D541"/>
      <c r="E541"/>
      <c r="F541"/>
    </row>
    <row r="542" spans="3:6" x14ac:dyDescent="0.25">
      <c r="C542"/>
      <c r="D542"/>
      <c r="E542"/>
      <c r="F542"/>
    </row>
    <row r="543" spans="3:6" x14ac:dyDescent="0.25">
      <c r="C543"/>
      <c r="D543"/>
      <c r="E543"/>
      <c r="F543"/>
    </row>
    <row r="544" spans="3:6" x14ac:dyDescent="0.25">
      <c r="C544"/>
      <c r="D544"/>
      <c r="E544"/>
      <c r="F544"/>
    </row>
    <row r="545" spans="3:6" x14ac:dyDescent="0.25">
      <c r="C545"/>
      <c r="D545"/>
      <c r="E545"/>
      <c r="F545"/>
    </row>
    <row r="546" spans="3:6" x14ac:dyDescent="0.25">
      <c r="C546"/>
      <c r="D546"/>
      <c r="E546"/>
      <c r="F546"/>
    </row>
    <row r="547" spans="3:6" x14ac:dyDescent="0.25">
      <c r="C547"/>
      <c r="D547"/>
      <c r="E547"/>
      <c r="F547"/>
    </row>
    <row r="548" spans="3:6" x14ac:dyDescent="0.25">
      <c r="C548"/>
      <c r="D548"/>
      <c r="E548"/>
      <c r="F548"/>
    </row>
    <row r="549" spans="3:6" x14ac:dyDescent="0.25">
      <c r="C549"/>
      <c r="D549"/>
      <c r="E549"/>
      <c r="F549"/>
    </row>
    <row r="550" spans="3:6" x14ac:dyDescent="0.25">
      <c r="C550"/>
      <c r="D550"/>
      <c r="E550"/>
      <c r="F550"/>
    </row>
    <row r="551" spans="3:6" x14ac:dyDescent="0.25">
      <c r="C551"/>
      <c r="D551"/>
      <c r="E551"/>
      <c r="F551"/>
    </row>
    <row r="552" spans="3:6" x14ac:dyDescent="0.25">
      <c r="C552"/>
      <c r="D552"/>
      <c r="E552"/>
      <c r="F552"/>
    </row>
    <row r="553" spans="3:6" x14ac:dyDescent="0.25">
      <c r="C553"/>
      <c r="D553"/>
      <c r="E553"/>
      <c r="F553"/>
    </row>
    <row r="554" spans="3:6" x14ac:dyDescent="0.25">
      <c r="C554"/>
      <c r="D554"/>
      <c r="E554"/>
      <c r="F554"/>
    </row>
    <row r="555" spans="3:6" x14ac:dyDescent="0.25">
      <c r="C555"/>
      <c r="D555"/>
      <c r="E555"/>
      <c r="F555"/>
    </row>
    <row r="556" spans="3:6" x14ac:dyDescent="0.25">
      <c r="C556"/>
      <c r="D556"/>
      <c r="E556"/>
      <c r="F556"/>
    </row>
    <row r="557" spans="3:6" x14ac:dyDescent="0.25">
      <c r="C557"/>
      <c r="D557"/>
      <c r="E557"/>
      <c r="F557"/>
    </row>
    <row r="558" spans="3:6" x14ac:dyDescent="0.25">
      <c r="C558"/>
      <c r="D558"/>
      <c r="E558"/>
      <c r="F558"/>
    </row>
    <row r="559" spans="3:6" x14ac:dyDescent="0.25">
      <c r="C559"/>
      <c r="D559"/>
      <c r="E559"/>
      <c r="F559"/>
    </row>
    <row r="560" spans="3:6" x14ac:dyDescent="0.25">
      <c r="C560"/>
      <c r="D560"/>
      <c r="E560"/>
      <c r="F560"/>
    </row>
    <row r="561" spans="3:6" x14ac:dyDescent="0.25">
      <c r="C561"/>
      <c r="D561"/>
      <c r="E561"/>
      <c r="F561"/>
    </row>
    <row r="562" spans="3:6" x14ac:dyDescent="0.25">
      <c r="C562"/>
      <c r="D562"/>
      <c r="E562"/>
      <c r="F562"/>
    </row>
    <row r="563" spans="3:6" x14ac:dyDescent="0.25">
      <c r="C563"/>
      <c r="D563"/>
      <c r="E563"/>
      <c r="F563"/>
    </row>
    <row r="564" spans="3:6" x14ac:dyDescent="0.25">
      <c r="C564"/>
      <c r="D564"/>
      <c r="E564"/>
      <c r="F564"/>
    </row>
    <row r="565" spans="3:6" x14ac:dyDescent="0.25">
      <c r="C565"/>
      <c r="D565"/>
      <c r="E565"/>
      <c r="F565"/>
    </row>
    <row r="566" spans="3:6" x14ac:dyDescent="0.25">
      <c r="C566"/>
      <c r="D566"/>
      <c r="E566"/>
      <c r="F566"/>
    </row>
    <row r="567" spans="3:6" x14ac:dyDescent="0.25">
      <c r="C567"/>
      <c r="D567"/>
      <c r="E567"/>
      <c r="F567"/>
    </row>
    <row r="568" spans="3:6" x14ac:dyDescent="0.25">
      <c r="C568"/>
      <c r="D568"/>
      <c r="E568"/>
      <c r="F568"/>
    </row>
    <row r="569" spans="3:6" x14ac:dyDescent="0.25">
      <c r="C569"/>
      <c r="D569"/>
      <c r="E569"/>
      <c r="F569"/>
    </row>
    <row r="570" spans="3:6" x14ac:dyDescent="0.25">
      <c r="C570"/>
      <c r="D570"/>
      <c r="E570"/>
      <c r="F570"/>
    </row>
    <row r="571" spans="3:6" x14ac:dyDescent="0.25">
      <c r="C571"/>
      <c r="D571"/>
      <c r="E571"/>
      <c r="F571"/>
    </row>
    <row r="572" spans="3:6" x14ac:dyDescent="0.25">
      <c r="C572"/>
      <c r="D572"/>
      <c r="E572"/>
      <c r="F572"/>
    </row>
    <row r="573" spans="3:6" x14ac:dyDescent="0.25">
      <c r="C573"/>
      <c r="D573"/>
      <c r="E573"/>
      <c r="F573"/>
    </row>
    <row r="574" spans="3:6" x14ac:dyDescent="0.25">
      <c r="C574"/>
      <c r="D574"/>
      <c r="E574"/>
      <c r="F574"/>
    </row>
    <row r="575" spans="3:6" x14ac:dyDescent="0.25">
      <c r="C575"/>
      <c r="D575"/>
      <c r="E575"/>
      <c r="F575"/>
    </row>
    <row r="576" spans="3:6" x14ac:dyDescent="0.25">
      <c r="C576"/>
      <c r="D576"/>
      <c r="E576"/>
      <c r="F576"/>
    </row>
    <row r="577" spans="3:6" x14ac:dyDescent="0.25">
      <c r="C577"/>
      <c r="D577"/>
      <c r="E577"/>
      <c r="F577"/>
    </row>
    <row r="578" spans="3:6" x14ac:dyDescent="0.25">
      <c r="C578"/>
      <c r="D578"/>
      <c r="E578"/>
      <c r="F578"/>
    </row>
    <row r="579" spans="3:6" x14ac:dyDescent="0.25">
      <c r="C579"/>
      <c r="D579"/>
      <c r="E579"/>
      <c r="F579"/>
    </row>
    <row r="580" spans="3:6" x14ac:dyDescent="0.25">
      <c r="C580"/>
      <c r="D580"/>
      <c r="E580"/>
      <c r="F580"/>
    </row>
    <row r="581" spans="3:6" x14ac:dyDescent="0.25">
      <c r="C581"/>
      <c r="D581"/>
      <c r="E581"/>
      <c r="F581"/>
    </row>
    <row r="582" spans="3:6" x14ac:dyDescent="0.25">
      <c r="C582"/>
      <c r="D582"/>
      <c r="E582"/>
      <c r="F582"/>
    </row>
    <row r="583" spans="3:6" x14ac:dyDescent="0.25">
      <c r="C583"/>
      <c r="D583"/>
      <c r="E583"/>
      <c r="F583"/>
    </row>
    <row r="584" spans="3:6" x14ac:dyDescent="0.25">
      <c r="C584"/>
      <c r="D584"/>
      <c r="E584"/>
      <c r="F584"/>
    </row>
    <row r="585" spans="3:6" x14ac:dyDescent="0.25">
      <c r="C585"/>
      <c r="D585"/>
      <c r="E585"/>
      <c r="F585"/>
    </row>
    <row r="586" spans="3:6" x14ac:dyDescent="0.25">
      <c r="C586"/>
      <c r="D586"/>
      <c r="E586"/>
      <c r="F586"/>
    </row>
    <row r="587" spans="3:6" x14ac:dyDescent="0.25">
      <c r="C587"/>
      <c r="D587"/>
      <c r="E587"/>
      <c r="F587"/>
    </row>
    <row r="588" spans="3:6" x14ac:dyDescent="0.25">
      <c r="C588"/>
      <c r="D588"/>
      <c r="E588"/>
      <c r="F588"/>
    </row>
    <row r="589" spans="3:6" x14ac:dyDescent="0.25">
      <c r="C589"/>
      <c r="D589"/>
      <c r="E589"/>
      <c r="F589"/>
    </row>
    <row r="590" spans="3:6" x14ac:dyDescent="0.25">
      <c r="C590"/>
      <c r="D590"/>
      <c r="E590"/>
      <c r="F590"/>
    </row>
    <row r="591" spans="3:6" x14ac:dyDescent="0.25">
      <c r="C591"/>
      <c r="D591"/>
      <c r="E591"/>
      <c r="F591"/>
    </row>
    <row r="592" spans="3:6" x14ac:dyDescent="0.25">
      <c r="C592"/>
      <c r="D592"/>
      <c r="E592"/>
      <c r="F592"/>
    </row>
    <row r="593" spans="3:6" x14ac:dyDescent="0.25">
      <c r="C593"/>
      <c r="D593"/>
      <c r="E593"/>
      <c r="F593"/>
    </row>
    <row r="594" spans="3:6" x14ac:dyDescent="0.25">
      <c r="C594"/>
      <c r="D594"/>
      <c r="E594"/>
      <c r="F594"/>
    </row>
    <row r="595" spans="3:6" x14ac:dyDescent="0.25">
      <c r="C595"/>
      <c r="D595"/>
      <c r="E595"/>
      <c r="F595"/>
    </row>
    <row r="596" spans="3:6" x14ac:dyDescent="0.25">
      <c r="C596"/>
      <c r="D596"/>
      <c r="E596"/>
      <c r="F596"/>
    </row>
    <row r="597" spans="3:6" x14ac:dyDescent="0.25">
      <c r="C597"/>
      <c r="D597"/>
      <c r="E597"/>
      <c r="F597"/>
    </row>
    <row r="598" spans="3:6" x14ac:dyDescent="0.25">
      <c r="C598"/>
      <c r="D598"/>
      <c r="E598"/>
      <c r="F598"/>
    </row>
    <row r="599" spans="3:6" x14ac:dyDescent="0.25">
      <c r="C599"/>
      <c r="D599"/>
      <c r="E599"/>
      <c r="F599"/>
    </row>
    <row r="600" spans="3:6" x14ac:dyDescent="0.25">
      <c r="C600"/>
      <c r="D600"/>
      <c r="E600"/>
      <c r="F600"/>
    </row>
    <row r="601" spans="3:6" x14ac:dyDescent="0.25">
      <c r="C601"/>
      <c r="D601"/>
      <c r="E601"/>
      <c r="F601"/>
    </row>
    <row r="602" spans="3:6" x14ac:dyDescent="0.25">
      <c r="C602"/>
      <c r="D602"/>
      <c r="E602"/>
      <c r="F602"/>
    </row>
    <row r="603" spans="3:6" x14ac:dyDescent="0.25">
      <c r="C603"/>
      <c r="D603"/>
      <c r="E603"/>
      <c r="F603"/>
    </row>
    <row r="604" spans="3:6" x14ac:dyDescent="0.25">
      <c r="C604"/>
      <c r="D604"/>
      <c r="E604"/>
      <c r="F604"/>
    </row>
    <row r="605" spans="3:6" x14ac:dyDescent="0.25">
      <c r="C605"/>
      <c r="D605"/>
      <c r="E605"/>
      <c r="F605"/>
    </row>
    <row r="606" spans="3:6" x14ac:dyDescent="0.25">
      <c r="C606"/>
      <c r="D606"/>
      <c r="E606"/>
      <c r="F606"/>
    </row>
    <row r="607" spans="3:6" x14ac:dyDescent="0.25">
      <c r="C607"/>
      <c r="D607"/>
      <c r="E607"/>
      <c r="F607"/>
    </row>
    <row r="608" spans="3:6" x14ac:dyDescent="0.25">
      <c r="C608"/>
      <c r="D608"/>
      <c r="E608"/>
      <c r="F608"/>
    </row>
    <row r="609" spans="3:6" x14ac:dyDescent="0.25">
      <c r="C609"/>
      <c r="D609"/>
      <c r="E609"/>
      <c r="F609"/>
    </row>
    <row r="610" spans="3:6" x14ac:dyDescent="0.25">
      <c r="C610"/>
      <c r="D610"/>
      <c r="E610"/>
      <c r="F610"/>
    </row>
    <row r="611" spans="3:6" x14ac:dyDescent="0.25">
      <c r="C611"/>
      <c r="D611"/>
      <c r="E611"/>
      <c r="F611"/>
    </row>
    <row r="612" spans="3:6" x14ac:dyDescent="0.25">
      <c r="C612"/>
      <c r="D612"/>
      <c r="E612"/>
      <c r="F612"/>
    </row>
    <row r="613" spans="3:6" x14ac:dyDescent="0.25">
      <c r="C613"/>
      <c r="D613"/>
      <c r="E613"/>
      <c r="F613"/>
    </row>
    <row r="614" spans="3:6" x14ac:dyDescent="0.25">
      <c r="C614"/>
      <c r="D614"/>
      <c r="E614"/>
      <c r="F614"/>
    </row>
    <row r="615" spans="3:6" x14ac:dyDescent="0.25">
      <c r="C615"/>
      <c r="D615"/>
      <c r="E615"/>
      <c r="F615"/>
    </row>
    <row r="616" spans="3:6" x14ac:dyDescent="0.25">
      <c r="C616"/>
      <c r="D616"/>
      <c r="E616"/>
      <c r="F616"/>
    </row>
    <row r="617" spans="3:6" x14ac:dyDescent="0.25">
      <c r="C617"/>
      <c r="D617"/>
      <c r="E617"/>
      <c r="F617"/>
    </row>
    <row r="618" spans="3:6" x14ac:dyDescent="0.25">
      <c r="C618"/>
      <c r="D618"/>
      <c r="E618"/>
      <c r="F618"/>
    </row>
    <row r="619" spans="3:6" x14ac:dyDescent="0.25">
      <c r="C619"/>
      <c r="D619"/>
      <c r="E619"/>
      <c r="F619"/>
    </row>
    <row r="620" spans="3:6" x14ac:dyDescent="0.25">
      <c r="C620"/>
      <c r="D620"/>
      <c r="E620"/>
      <c r="F620"/>
    </row>
    <row r="621" spans="3:6" x14ac:dyDescent="0.25">
      <c r="C621"/>
      <c r="D621"/>
      <c r="E621"/>
      <c r="F621"/>
    </row>
    <row r="622" spans="3:6" x14ac:dyDescent="0.25">
      <c r="C622"/>
      <c r="D622"/>
      <c r="E622"/>
      <c r="F622"/>
    </row>
    <row r="623" spans="3:6" x14ac:dyDescent="0.25">
      <c r="C623"/>
      <c r="D623"/>
      <c r="E623"/>
      <c r="F623"/>
    </row>
    <row r="624" spans="3:6" x14ac:dyDescent="0.25">
      <c r="C624"/>
      <c r="D624"/>
      <c r="E624"/>
      <c r="F624"/>
    </row>
    <row r="625" spans="3:6" x14ac:dyDescent="0.25">
      <c r="C625"/>
      <c r="D625"/>
      <c r="E625"/>
      <c r="F625"/>
    </row>
    <row r="626" spans="3:6" x14ac:dyDescent="0.25">
      <c r="C626"/>
      <c r="D626"/>
      <c r="E626"/>
      <c r="F626"/>
    </row>
    <row r="627" spans="3:6" x14ac:dyDescent="0.25">
      <c r="C627"/>
      <c r="D627"/>
      <c r="E627"/>
      <c r="F627"/>
    </row>
    <row r="628" spans="3:6" x14ac:dyDescent="0.25">
      <c r="C628"/>
      <c r="D628"/>
      <c r="E628"/>
      <c r="F628"/>
    </row>
    <row r="629" spans="3:6" x14ac:dyDescent="0.25">
      <c r="C629"/>
      <c r="D629"/>
      <c r="E629"/>
      <c r="F629"/>
    </row>
    <row r="630" spans="3:6" x14ac:dyDescent="0.25">
      <c r="C630"/>
      <c r="D630"/>
      <c r="E630"/>
      <c r="F630"/>
    </row>
    <row r="631" spans="3:6" x14ac:dyDescent="0.25">
      <c r="C631"/>
      <c r="D631"/>
      <c r="E631"/>
      <c r="F631"/>
    </row>
    <row r="632" spans="3:6" x14ac:dyDescent="0.25">
      <c r="C632"/>
      <c r="D632"/>
      <c r="E632"/>
      <c r="F632"/>
    </row>
    <row r="633" spans="3:6" x14ac:dyDescent="0.25">
      <c r="C633"/>
      <c r="D633"/>
      <c r="E633"/>
      <c r="F633"/>
    </row>
    <row r="634" spans="3:6" x14ac:dyDescent="0.25">
      <c r="C634"/>
      <c r="D634"/>
      <c r="E634"/>
      <c r="F634"/>
    </row>
    <row r="635" spans="3:6" x14ac:dyDescent="0.25">
      <c r="C635"/>
      <c r="D635"/>
      <c r="E635"/>
      <c r="F635"/>
    </row>
    <row r="636" spans="3:6" x14ac:dyDescent="0.25">
      <c r="C636"/>
      <c r="D636"/>
      <c r="E636"/>
      <c r="F636"/>
    </row>
    <row r="637" spans="3:6" x14ac:dyDescent="0.25">
      <c r="C637"/>
      <c r="D637"/>
      <c r="E637"/>
      <c r="F637"/>
    </row>
    <row r="638" spans="3:6" x14ac:dyDescent="0.25">
      <c r="C638"/>
      <c r="D638"/>
      <c r="E638"/>
      <c r="F638"/>
    </row>
    <row r="639" spans="3:6" x14ac:dyDescent="0.25">
      <c r="C639"/>
      <c r="D639"/>
      <c r="E639"/>
      <c r="F639"/>
    </row>
    <row r="640" spans="3:6" x14ac:dyDescent="0.25">
      <c r="C640"/>
      <c r="D640"/>
      <c r="E640"/>
      <c r="F640"/>
    </row>
    <row r="641" spans="3:6" x14ac:dyDescent="0.25">
      <c r="C641"/>
      <c r="D641"/>
      <c r="E641"/>
      <c r="F641"/>
    </row>
    <row r="642" spans="3:6" x14ac:dyDescent="0.25">
      <c r="C642"/>
      <c r="D642"/>
      <c r="E642"/>
      <c r="F642"/>
    </row>
    <row r="643" spans="3:6" x14ac:dyDescent="0.25">
      <c r="C643"/>
      <c r="D643"/>
      <c r="E643"/>
      <c r="F643"/>
    </row>
    <row r="644" spans="3:6" x14ac:dyDescent="0.25">
      <c r="C644"/>
      <c r="D644"/>
      <c r="E644"/>
      <c r="F644"/>
    </row>
    <row r="645" spans="3:6" x14ac:dyDescent="0.25">
      <c r="C645"/>
      <c r="D645"/>
      <c r="E645"/>
      <c r="F645"/>
    </row>
    <row r="646" spans="3:6" x14ac:dyDescent="0.25">
      <c r="C646"/>
      <c r="D646"/>
      <c r="E646"/>
      <c r="F646"/>
    </row>
    <row r="647" spans="3:6" x14ac:dyDescent="0.25">
      <c r="C647"/>
      <c r="D647"/>
      <c r="E647"/>
      <c r="F647"/>
    </row>
    <row r="648" spans="3:6" x14ac:dyDescent="0.25">
      <c r="C648"/>
      <c r="D648"/>
      <c r="E648"/>
      <c r="F648"/>
    </row>
    <row r="649" spans="3:6" x14ac:dyDescent="0.25">
      <c r="C649"/>
      <c r="D649"/>
      <c r="E649"/>
      <c r="F649"/>
    </row>
    <row r="650" spans="3:6" x14ac:dyDescent="0.25">
      <c r="C650"/>
      <c r="D650"/>
      <c r="E650"/>
      <c r="F650"/>
    </row>
    <row r="651" spans="3:6" x14ac:dyDescent="0.25">
      <c r="C651"/>
      <c r="D651"/>
      <c r="E651"/>
      <c r="F651"/>
    </row>
    <row r="652" spans="3:6" x14ac:dyDescent="0.25">
      <c r="C652"/>
      <c r="D652"/>
      <c r="E652"/>
      <c r="F652"/>
    </row>
    <row r="653" spans="3:6" x14ac:dyDescent="0.25">
      <c r="C653"/>
      <c r="D653"/>
      <c r="E653"/>
      <c r="F653"/>
    </row>
    <row r="654" spans="3:6" x14ac:dyDescent="0.25">
      <c r="C654"/>
      <c r="D654"/>
      <c r="E654"/>
      <c r="F654"/>
    </row>
    <row r="655" spans="3:6" x14ac:dyDescent="0.25">
      <c r="C655"/>
      <c r="D655"/>
      <c r="E655"/>
      <c r="F655"/>
    </row>
    <row r="656" spans="3:6" x14ac:dyDescent="0.25">
      <c r="C656"/>
      <c r="D656"/>
      <c r="E656"/>
      <c r="F656"/>
    </row>
    <row r="657" spans="3:6" x14ac:dyDescent="0.25">
      <c r="C657"/>
      <c r="D657"/>
      <c r="E657"/>
      <c r="F657"/>
    </row>
    <row r="658" spans="3:6" x14ac:dyDescent="0.25">
      <c r="C658"/>
      <c r="D658"/>
      <c r="E658"/>
      <c r="F658"/>
    </row>
    <row r="659" spans="3:6" x14ac:dyDescent="0.25">
      <c r="C659"/>
      <c r="D659"/>
      <c r="E659"/>
      <c r="F659"/>
    </row>
    <row r="660" spans="3:6" x14ac:dyDescent="0.25">
      <c r="C660"/>
      <c r="D660"/>
      <c r="E660"/>
      <c r="F660"/>
    </row>
    <row r="661" spans="3:6" x14ac:dyDescent="0.25">
      <c r="C661"/>
      <c r="D661"/>
      <c r="E661"/>
      <c r="F661"/>
    </row>
    <row r="662" spans="3:6" x14ac:dyDescent="0.25">
      <c r="C662"/>
      <c r="D662"/>
      <c r="E662"/>
      <c r="F662"/>
    </row>
    <row r="663" spans="3:6" x14ac:dyDescent="0.25">
      <c r="C663"/>
      <c r="D663"/>
      <c r="E663"/>
      <c r="F663"/>
    </row>
    <row r="664" spans="3:6" x14ac:dyDescent="0.25">
      <c r="C664"/>
      <c r="D664"/>
      <c r="E664"/>
      <c r="F664"/>
    </row>
    <row r="665" spans="3:6" x14ac:dyDescent="0.25">
      <c r="C665"/>
      <c r="D665"/>
      <c r="E665"/>
      <c r="F665"/>
    </row>
    <row r="666" spans="3:6" x14ac:dyDescent="0.25">
      <c r="C666"/>
      <c r="D666"/>
      <c r="E666"/>
      <c r="F666"/>
    </row>
    <row r="667" spans="3:6" x14ac:dyDescent="0.25">
      <c r="C667"/>
      <c r="D667"/>
      <c r="E667"/>
      <c r="F667"/>
    </row>
    <row r="668" spans="3:6" x14ac:dyDescent="0.25">
      <c r="C668"/>
      <c r="D668"/>
      <c r="E668"/>
      <c r="F668"/>
    </row>
    <row r="669" spans="3:6" x14ac:dyDescent="0.25">
      <c r="C669"/>
      <c r="D669"/>
      <c r="E669"/>
      <c r="F669"/>
    </row>
    <row r="670" spans="3:6" x14ac:dyDescent="0.25">
      <c r="C670"/>
      <c r="D670"/>
      <c r="E670"/>
      <c r="F670"/>
    </row>
    <row r="671" spans="3:6" x14ac:dyDescent="0.25">
      <c r="C671"/>
      <c r="D671"/>
      <c r="E671"/>
      <c r="F671"/>
    </row>
    <row r="672" spans="3:6" x14ac:dyDescent="0.25">
      <c r="C672"/>
      <c r="D672"/>
      <c r="E672"/>
      <c r="F672"/>
    </row>
    <row r="673" spans="3:6" x14ac:dyDescent="0.25">
      <c r="C673"/>
      <c r="D673"/>
      <c r="E673"/>
      <c r="F673"/>
    </row>
    <row r="674" spans="3:6" x14ac:dyDescent="0.25">
      <c r="C674"/>
      <c r="D674"/>
      <c r="E674"/>
      <c r="F674"/>
    </row>
    <row r="675" spans="3:6" x14ac:dyDescent="0.25">
      <c r="C675"/>
      <c r="D675"/>
      <c r="E675"/>
      <c r="F675"/>
    </row>
    <row r="676" spans="3:6" x14ac:dyDescent="0.25">
      <c r="C676"/>
      <c r="D676"/>
      <c r="E676"/>
      <c r="F676"/>
    </row>
    <row r="677" spans="3:6" x14ac:dyDescent="0.25">
      <c r="C677"/>
      <c r="D677"/>
      <c r="E677"/>
      <c r="F677"/>
    </row>
    <row r="678" spans="3:6" x14ac:dyDescent="0.25">
      <c r="C678"/>
      <c r="D678"/>
      <c r="E678"/>
      <c r="F678"/>
    </row>
    <row r="679" spans="3:6" x14ac:dyDescent="0.25">
      <c r="C679"/>
      <c r="D679"/>
      <c r="E679"/>
      <c r="F679"/>
    </row>
    <row r="680" spans="3:6" x14ac:dyDescent="0.25">
      <c r="C680"/>
      <c r="D680"/>
      <c r="E680"/>
      <c r="F680"/>
    </row>
    <row r="681" spans="3:6" x14ac:dyDescent="0.25">
      <c r="C681"/>
      <c r="D681"/>
      <c r="E681"/>
      <c r="F681"/>
    </row>
    <row r="682" spans="3:6" x14ac:dyDescent="0.25">
      <c r="C682"/>
      <c r="D682"/>
      <c r="E682"/>
      <c r="F682"/>
    </row>
    <row r="683" spans="3:6" x14ac:dyDescent="0.25">
      <c r="C683"/>
      <c r="D683"/>
      <c r="E683"/>
      <c r="F683"/>
    </row>
    <row r="684" spans="3:6" x14ac:dyDescent="0.25">
      <c r="C684"/>
      <c r="D684"/>
      <c r="E684"/>
      <c r="F684"/>
    </row>
    <row r="685" spans="3:6" x14ac:dyDescent="0.25">
      <c r="C685"/>
      <c r="D685"/>
      <c r="E685"/>
      <c r="F685"/>
    </row>
    <row r="686" spans="3:6" x14ac:dyDescent="0.25">
      <c r="C686"/>
      <c r="D686"/>
      <c r="E686"/>
      <c r="F686"/>
    </row>
    <row r="687" spans="3:6" x14ac:dyDescent="0.25">
      <c r="C687"/>
      <c r="D687"/>
      <c r="E687"/>
      <c r="F687"/>
    </row>
    <row r="688" spans="3:6" x14ac:dyDescent="0.25">
      <c r="C688"/>
      <c r="D688"/>
      <c r="E688"/>
      <c r="F688"/>
    </row>
    <row r="689" spans="3:6" x14ac:dyDescent="0.25">
      <c r="C689"/>
      <c r="D689"/>
      <c r="E689"/>
      <c r="F689"/>
    </row>
    <row r="690" spans="3:6" x14ac:dyDescent="0.25">
      <c r="C690"/>
      <c r="D690"/>
      <c r="E690"/>
      <c r="F690"/>
    </row>
    <row r="691" spans="3:6" x14ac:dyDescent="0.25">
      <c r="C691"/>
      <c r="D691"/>
      <c r="E691"/>
      <c r="F691"/>
    </row>
    <row r="692" spans="3:6" x14ac:dyDescent="0.25">
      <c r="C692"/>
      <c r="D692"/>
      <c r="E692"/>
      <c r="F692"/>
    </row>
    <row r="693" spans="3:6" x14ac:dyDescent="0.25">
      <c r="C693"/>
      <c r="D693"/>
      <c r="E693"/>
      <c r="F693"/>
    </row>
    <row r="694" spans="3:6" x14ac:dyDescent="0.25">
      <c r="C694"/>
      <c r="D694"/>
      <c r="E694"/>
      <c r="F694"/>
    </row>
    <row r="695" spans="3:6" x14ac:dyDescent="0.25">
      <c r="C695"/>
      <c r="D695"/>
      <c r="E695"/>
      <c r="F695"/>
    </row>
    <row r="696" spans="3:6" x14ac:dyDescent="0.25">
      <c r="C696"/>
      <c r="D696"/>
      <c r="E696"/>
      <c r="F696"/>
    </row>
    <row r="697" spans="3:6" x14ac:dyDescent="0.25">
      <c r="C697"/>
      <c r="D697"/>
      <c r="E697"/>
      <c r="F697"/>
    </row>
    <row r="698" spans="3:6" x14ac:dyDescent="0.25">
      <c r="C698"/>
      <c r="D698"/>
      <c r="E698"/>
      <c r="F698"/>
    </row>
    <row r="699" spans="3:6" x14ac:dyDescent="0.25">
      <c r="C699"/>
      <c r="D699"/>
      <c r="E699"/>
      <c r="F699"/>
    </row>
    <row r="700" spans="3:6" x14ac:dyDescent="0.25">
      <c r="C700"/>
      <c r="D700"/>
      <c r="E700"/>
      <c r="F700"/>
    </row>
    <row r="701" spans="3:6" x14ac:dyDescent="0.25">
      <c r="C701"/>
      <c r="D701"/>
      <c r="E701"/>
      <c r="F701"/>
    </row>
    <row r="702" spans="3:6" x14ac:dyDescent="0.25">
      <c r="C702"/>
      <c r="D702"/>
      <c r="E702"/>
      <c r="F702"/>
    </row>
    <row r="703" spans="3:6" x14ac:dyDescent="0.25">
      <c r="C703"/>
      <c r="D703"/>
      <c r="E703"/>
      <c r="F703"/>
    </row>
    <row r="704" spans="3:6" x14ac:dyDescent="0.25">
      <c r="C704"/>
      <c r="D704"/>
      <c r="E704"/>
      <c r="F704"/>
    </row>
    <row r="705" spans="3:6" x14ac:dyDescent="0.25">
      <c r="C705"/>
      <c r="D705"/>
      <c r="E705"/>
      <c r="F705"/>
    </row>
    <row r="706" spans="3:6" x14ac:dyDescent="0.25">
      <c r="C706"/>
      <c r="D706"/>
      <c r="E706"/>
      <c r="F706"/>
    </row>
    <row r="707" spans="3:6" x14ac:dyDescent="0.25">
      <c r="C707"/>
      <c r="D707"/>
      <c r="E707"/>
      <c r="F707"/>
    </row>
    <row r="708" spans="3:6" x14ac:dyDescent="0.25">
      <c r="C708"/>
      <c r="D708"/>
      <c r="E708"/>
      <c r="F708"/>
    </row>
    <row r="709" spans="3:6" x14ac:dyDescent="0.25">
      <c r="C709"/>
      <c r="D709"/>
      <c r="E709"/>
      <c r="F709"/>
    </row>
    <row r="710" spans="3:6" x14ac:dyDescent="0.25">
      <c r="C710"/>
      <c r="D710"/>
      <c r="E710"/>
      <c r="F710"/>
    </row>
    <row r="711" spans="3:6" x14ac:dyDescent="0.25">
      <c r="C711"/>
      <c r="D711"/>
      <c r="E711"/>
      <c r="F711"/>
    </row>
    <row r="712" spans="3:6" x14ac:dyDescent="0.25">
      <c r="C712"/>
      <c r="D712"/>
      <c r="E712"/>
      <c r="F712"/>
    </row>
    <row r="713" spans="3:6" x14ac:dyDescent="0.25">
      <c r="C713"/>
      <c r="D713"/>
      <c r="E713"/>
      <c r="F713"/>
    </row>
    <row r="714" spans="3:6" x14ac:dyDescent="0.25">
      <c r="C714"/>
      <c r="D714"/>
      <c r="E714"/>
      <c r="F714"/>
    </row>
    <row r="715" spans="3:6" x14ac:dyDescent="0.25">
      <c r="C715"/>
      <c r="D715"/>
      <c r="E715"/>
      <c r="F715"/>
    </row>
    <row r="716" spans="3:6" x14ac:dyDescent="0.25">
      <c r="C716"/>
      <c r="D716"/>
      <c r="E716"/>
      <c r="F716"/>
    </row>
    <row r="717" spans="3:6" x14ac:dyDescent="0.25">
      <c r="C717"/>
      <c r="D717"/>
      <c r="E717"/>
      <c r="F717"/>
    </row>
    <row r="718" spans="3:6" x14ac:dyDescent="0.25">
      <c r="C718"/>
      <c r="D718"/>
      <c r="E718"/>
      <c r="F718"/>
    </row>
    <row r="719" spans="3:6" x14ac:dyDescent="0.25">
      <c r="C719"/>
      <c r="D719"/>
      <c r="E719"/>
      <c r="F719"/>
    </row>
    <row r="720" spans="3:6" x14ac:dyDescent="0.25">
      <c r="C720"/>
      <c r="D720"/>
      <c r="E720"/>
      <c r="F720"/>
    </row>
    <row r="721" spans="3:6" x14ac:dyDescent="0.25">
      <c r="C721"/>
      <c r="D721"/>
      <c r="E721"/>
      <c r="F721"/>
    </row>
    <row r="722" spans="3:6" x14ac:dyDescent="0.25">
      <c r="C722"/>
      <c r="D722"/>
      <c r="E722"/>
      <c r="F722"/>
    </row>
    <row r="723" spans="3:6" x14ac:dyDescent="0.25">
      <c r="C723"/>
      <c r="D723"/>
      <c r="E723"/>
      <c r="F723"/>
    </row>
    <row r="724" spans="3:6" x14ac:dyDescent="0.25">
      <c r="C724"/>
      <c r="D724"/>
      <c r="E724"/>
      <c r="F724"/>
    </row>
    <row r="725" spans="3:6" x14ac:dyDescent="0.25">
      <c r="C725"/>
      <c r="D725"/>
      <c r="E725"/>
      <c r="F725"/>
    </row>
    <row r="726" spans="3:6" x14ac:dyDescent="0.25">
      <c r="C726"/>
      <c r="D726"/>
      <c r="E726"/>
      <c r="F726"/>
    </row>
    <row r="727" spans="3:6" x14ac:dyDescent="0.25">
      <c r="C727"/>
      <c r="D727"/>
      <c r="E727"/>
      <c r="F727"/>
    </row>
    <row r="728" spans="3:6" x14ac:dyDescent="0.25">
      <c r="C728"/>
      <c r="D728"/>
      <c r="E728"/>
      <c r="F728"/>
    </row>
    <row r="729" spans="3:6" x14ac:dyDescent="0.25">
      <c r="C729"/>
      <c r="D729"/>
      <c r="E729"/>
      <c r="F729"/>
    </row>
    <row r="730" spans="3:6" x14ac:dyDescent="0.25">
      <c r="C730"/>
      <c r="D730"/>
      <c r="E730"/>
      <c r="F730"/>
    </row>
    <row r="731" spans="3:6" x14ac:dyDescent="0.25">
      <c r="C731"/>
      <c r="D731"/>
      <c r="E731"/>
      <c r="F731"/>
    </row>
    <row r="732" spans="3:6" x14ac:dyDescent="0.25">
      <c r="C732"/>
      <c r="D732"/>
      <c r="E732"/>
      <c r="F732"/>
    </row>
    <row r="733" spans="3:6" x14ac:dyDescent="0.25">
      <c r="C733"/>
      <c r="D733"/>
      <c r="E733"/>
      <c r="F733"/>
    </row>
    <row r="734" spans="3:6" x14ac:dyDescent="0.25">
      <c r="C734"/>
      <c r="D734"/>
      <c r="E734"/>
      <c r="F734"/>
    </row>
    <row r="735" spans="3:6" x14ac:dyDescent="0.25">
      <c r="C735"/>
      <c r="D735"/>
      <c r="E735"/>
      <c r="F735"/>
    </row>
    <row r="736" spans="3:6" x14ac:dyDescent="0.25">
      <c r="C736"/>
      <c r="D736"/>
      <c r="E736"/>
      <c r="F736"/>
    </row>
    <row r="737" spans="3:6" x14ac:dyDescent="0.25">
      <c r="C737"/>
      <c r="D737"/>
      <c r="E737"/>
      <c r="F737"/>
    </row>
    <row r="738" spans="3:6" x14ac:dyDescent="0.25">
      <c r="C738"/>
      <c r="D738"/>
      <c r="E738"/>
      <c r="F738"/>
    </row>
    <row r="739" spans="3:6" x14ac:dyDescent="0.25">
      <c r="C739"/>
      <c r="D739"/>
      <c r="E739"/>
      <c r="F739"/>
    </row>
    <row r="740" spans="3:6" x14ac:dyDescent="0.25">
      <c r="C740"/>
      <c r="D740"/>
      <c r="E740"/>
      <c r="F740"/>
    </row>
    <row r="741" spans="3:6" x14ac:dyDescent="0.25">
      <c r="C741"/>
      <c r="D741"/>
      <c r="E741"/>
      <c r="F741"/>
    </row>
    <row r="742" spans="3:6" x14ac:dyDescent="0.25">
      <c r="C742"/>
      <c r="D742"/>
      <c r="E742"/>
      <c r="F742"/>
    </row>
    <row r="743" spans="3:6" x14ac:dyDescent="0.25">
      <c r="C743"/>
      <c r="D743"/>
      <c r="E743"/>
      <c r="F743"/>
    </row>
    <row r="744" spans="3:6" x14ac:dyDescent="0.25">
      <c r="C744"/>
      <c r="D744"/>
      <c r="E744"/>
      <c r="F744"/>
    </row>
    <row r="745" spans="3:6" x14ac:dyDescent="0.25">
      <c r="C745"/>
      <c r="D745"/>
      <c r="E745"/>
      <c r="F745"/>
    </row>
    <row r="746" spans="3:6" x14ac:dyDescent="0.25">
      <c r="C746"/>
      <c r="D746"/>
      <c r="E746"/>
      <c r="F746"/>
    </row>
    <row r="747" spans="3:6" x14ac:dyDescent="0.25">
      <c r="C747"/>
      <c r="D747"/>
      <c r="E747"/>
      <c r="F747"/>
    </row>
    <row r="748" spans="3:6" x14ac:dyDescent="0.25">
      <c r="C748"/>
      <c r="D748"/>
      <c r="E748"/>
      <c r="F748"/>
    </row>
    <row r="749" spans="3:6" x14ac:dyDescent="0.25">
      <c r="C749"/>
      <c r="D749"/>
      <c r="E749"/>
      <c r="F749"/>
    </row>
    <row r="750" spans="3:6" x14ac:dyDescent="0.25">
      <c r="C750"/>
      <c r="D750"/>
      <c r="E750"/>
      <c r="F750"/>
    </row>
    <row r="751" spans="3:6" x14ac:dyDescent="0.25">
      <c r="C751"/>
      <c r="D751"/>
      <c r="E751"/>
      <c r="F751"/>
    </row>
    <row r="752" spans="3:6" x14ac:dyDescent="0.25">
      <c r="C752"/>
      <c r="D752"/>
      <c r="E752"/>
      <c r="F752"/>
    </row>
    <row r="753" spans="3:6" x14ac:dyDescent="0.25">
      <c r="C753"/>
      <c r="D753"/>
      <c r="E753"/>
      <c r="F753"/>
    </row>
    <row r="754" spans="3:6" x14ac:dyDescent="0.25">
      <c r="C754"/>
      <c r="D754"/>
      <c r="E754"/>
      <c r="F754"/>
    </row>
    <row r="755" spans="3:6" x14ac:dyDescent="0.25">
      <c r="C755"/>
      <c r="D755"/>
      <c r="E755"/>
      <c r="F755"/>
    </row>
    <row r="756" spans="3:6" x14ac:dyDescent="0.25">
      <c r="C756"/>
      <c r="D756"/>
      <c r="E756"/>
      <c r="F756"/>
    </row>
    <row r="757" spans="3:6" x14ac:dyDescent="0.25">
      <c r="C757"/>
      <c r="D757"/>
      <c r="E757"/>
      <c r="F757"/>
    </row>
    <row r="758" spans="3:6" x14ac:dyDescent="0.25">
      <c r="C758"/>
      <c r="D758"/>
      <c r="E758"/>
      <c r="F758"/>
    </row>
    <row r="759" spans="3:6" x14ac:dyDescent="0.25">
      <c r="C759"/>
      <c r="D759"/>
      <c r="E759"/>
      <c r="F759"/>
    </row>
    <row r="760" spans="3:6" x14ac:dyDescent="0.25">
      <c r="C760"/>
      <c r="D760"/>
      <c r="E760"/>
      <c r="F760"/>
    </row>
    <row r="761" spans="3:6" x14ac:dyDescent="0.25">
      <c r="C761"/>
      <c r="D761"/>
      <c r="E761"/>
      <c r="F761"/>
    </row>
    <row r="762" spans="3:6" x14ac:dyDescent="0.25">
      <c r="C762"/>
      <c r="D762"/>
      <c r="E762"/>
      <c r="F762"/>
    </row>
    <row r="763" spans="3:6" x14ac:dyDescent="0.25">
      <c r="C763"/>
      <c r="D763"/>
      <c r="E763"/>
      <c r="F763"/>
    </row>
    <row r="764" spans="3:6" x14ac:dyDescent="0.25">
      <c r="C764"/>
      <c r="D764"/>
      <c r="E764"/>
      <c r="F764"/>
    </row>
    <row r="765" spans="3:6" x14ac:dyDescent="0.25">
      <c r="C765"/>
      <c r="D765"/>
      <c r="E765"/>
      <c r="F765"/>
    </row>
    <row r="766" spans="3:6" x14ac:dyDescent="0.25">
      <c r="C766"/>
      <c r="D766"/>
      <c r="E766"/>
      <c r="F766"/>
    </row>
    <row r="767" spans="3:6" x14ac:dyDescent="0.25">
      <c r="C767"/>
      <c r="D767"/>
      <c r="E767"/>
      <c r="F767"/>
    </row>
    <row r="768" spans="3:6" x14ac:dyDescent="0.25">
      <c r="C768"/>
      <c r="D768"/>
      <c r="E768"/>
      <c r="F768"/>
    </row>
    <row r="769" spans="3:6" x14ac:dyDescent="0.25">
      <c r="C769"/>
      <c r="D769"/>
      <c r="E769"/>
      <c r="F769"/>
    </row>
    <row r="770" spans="3:6" x14ac:dyDescent="0.25">
      <c r="C770"/>
      <c r="D770"/>
      <c r="E770"/>
      <c r="F770"/>
    </row>
    <row r="771" spans="3:6" x14ac:dyDescent="0.25">
      <c r="C771"/>
      <c r="D771"/>
      <c r="E771"/>
      <c r="F771"/>
    </row>
    <row r="772" spans="3:6" x14ac:dyDescent="0.25">
      <c r="C772"/>
      <c r="D772"/>
      <c r="E772"/>
      <c r="F772"/>
    </row>
    <row r="773" spans="3:6" x14ac:dyDescent="0.25">
      <c r="C773"/>
      <c r="D773"/>
      <c r="E773"/>
      <c r="F773"/>
    </row>
    <row r="774" spans="3:6" x14ac:dyDescent="0.25">
      <c r="C774"/>
      <c r="D774"/>
      <c r="E774"/>
      <c r="F774"/>
    </row>
    <row r="775" spans="3:6" x14ac:dyDescent="0.25">
      <c r="C775"/>
      <c r="D775"/>
      <c r="E775"/>
      <c r="F775"/>
    </row>
    <row r="776" spans="3:6" x14ac:dyDescent="0.25">
      <c r="C776"/>
      <c r="D776"/>
      <c r="E776"/>
      <c r="F776"/>
    </row>
    <row r="777" spans="3:6" x14ac:dyDescent="0.25">
      <c r="C777"/>
      <c r="D777"/>
      <c r="E777"/>
      <c r="F777"/>
    </row>
    <row r="778" spans="3:6" x14ac:dyDescent="0.25">
      <c r="C778"/>
      <c r="D778"/>
      <c r="E778"/>
      <c r="F778"/>
    </row>
    <row r="779" spans="3:6" x14ac:dyDescent="0.25">
      <c r="C779"/>
      <c r="D779"/>
      <c r="E779"/>
      <c r="F779"/>
    </row>
    <row r="780" spans="3:6" x14ac:dyDescent="0.25">
      <c r="C780"/>
      <c r="D780"/>
      <c r="E780"/>
      <c r="F780"/>
    </row>
    <row r="781" spans="3:6" x14ac:dyDescent="0.25">
      <c r="C781"/>
      <c r="D781"/>
      <c r="E781"/>
    </row>
    <row r="782" spans="3:6" x14ac:dyDescent="0.25">
      <c r="C782"/>
      <c r="D782"/>
      <c r="E782"/>
    </row>
    <row r="783" spans="3:6" x14ac:dyDescent="0.25">
      <c r="C783"/>
      <c r="D783"/>
      <c r="E783"/>
    </row>
    <row r="784" spans="3:6" x14ac:dyDescent="0.25">
      <c r="C784"/>
      <c r="D784"/>
      <c r="E784"/>
    </row>
    <row r="785" spans="3:5" x14ac:dyDescent="0.25">
      <c r="C785"/>
      <c r="D785"/>
      <c r="E785"/>
    </row>
    <row r="786" spans="3:5" x14ac:dyDescent="0.25">
      <c r="C786"/>
      <c r="D786"/>
      <c r="E786"/>
    </row>
    <row r="787" spans="3:5" x14ac:dyDescent="0.25">
      <c r="C787"/>
      <c r="D787"/>
      <c r="E787"/>
    </row>
    <row r="788" spans="3:5" x14ac:dyDescent="0.25">
      <c r="C788"/>
      <c r="D788"/>
      <c r="E788"/>
    </row>
    <row r="789" spans="3:5" x14ac:dyDescent="0.25">
      <c r="C789"/>
      <c r="D789"/>
      <c r="E789"/>
    </row>
    <row r="790" spans="3:5" x14ac:dyDescent="0.25">
      <c r="C790"/>
      <c r="D790"/>
      <c r="E790"/>
    </row>
    <row r="791" spans="3:5" x14ac:dyDescent="0.25">
      <c r="C791"/>
      <c r="D791"/>
      <c r="E791"/>
    </row>
    <row r="792" spans="3:5" x14ac:dyDescent="0.25">
      <c r="C792"/>
      <c r="D792"/>
      <c r="E792"/>
    </row>
    <row r="793" spans="3:5" x14ac:dyDescent="0.25">
      <c r="C793"/>
      <c r="D793"/>
      <c r="E793"/>
    </row>
    <row r="794" spans="3:5" x14ac:dyDescent="0.25">
      <c r="C794"/>
      <c r="D794"/>
      <c r="E794"/>
    </row>
  </sheetData>
  <autoFilter ref="A7:H7" xr:uid="{00000000-0009-0000-0000-000004000000}">
    <sortState xmlns:xlrd2="http://schemas.microsoft.com/office/spreadsheetml/2017/richdata2" ref="A8:H41">
      <sortCondition ref="G7"/>
    </sortState>
  </autoFilter>
  <mergeCells count="3">
    <mergeCell ref="D1:F1"/>
    <mergeCell ref="D2:F2"/>
    <mergeCell ref="D3:F3"/>
  </mergeCells>
  <phoneticPr fontId="2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5050"/>
  </sheetPr>
  <dimension ref="A6:H10"/>
  <sheetViews>
    <sheetView workbookViewId="0">
      <selection activeCell="C10" sqref="C10"/>
    </sheetView>
  </sheetViews>
  <sheetFormatPr baseColWidth="10" defaultRowHeight="15" x14ac:dyDescent="0.25"/>
  <cols>
    <col min="1" max="1" width="30.42578125" bestFit="1" customWidth="1"/>
    <col min="2" max="2" width="33.28515625" customWidth="1"/>
    <col min="3" max="3" width="9.28515625" customWidth="1"/>
    <col min="4" max="5" width="13.42578125" customWidth="1"/>
    <col min="6" max="6" width="36.42578125" customWidth="1"/>
    <col min="7" max="7" width="40.28515625" customWidth="1"/>
    <col min="8" max="8" width="32.5703125" customWidth="1"/>
  </cols>
  <sheetData>
    <row r="6" spans="1:8" x14ac:dyDescent="0.25">
      <c r="A6" s="112"/>
      <c r="B6" s="112"/>
      <c r="C6" s="112"/>
      <c r="D6" s="112"/>
      <c r="E6" s="112"/>
      <c r="G6" s="137"/>
    </row>
    <row r="7" spans="1:8" ht="30" x14ac:dyDescent="0.25">
      <c r="A7" s="130" t="s">
        <v>320</v>
      </c>
      <c r="B7" s="130"/>
      <c r="C7" s="130"/>
      <c r="D7" s="130"/>
      <c r="E7" s="130"/>
      <c r="G7" s="137" t="s">
        <v>422</v>
      </c>
    </row>
    <row r="8" spans="1:8" x14ac:dyDescent="0.25">
      <c r="A8" s="125"/>
      <c r="B8" s="125"/>
      <c r="C8" s="125"/>
      <c r="D8" s="125"/>
      <c r="E8" s="125"/>
    </row>
    <row r="9" spans="1:8" ht="45" x14ac:dyDescent="0.25">
      <c r="A9" s="126" t="s">
        <v>200</v>
      </c>
      <c r="B9" s="126" t="s">
        <v>1413</v>
      </c>
      <c r="C9" s="126" t="s">
        <v>201</v>
      </c>
      <c r="D9" s="126" t="s">
        <v>202</v>
      </c>
      <c r="E9" s="126" t="s">
        <v>1422</v>
      </c>
      <c r="F9" s="79" t="s">
        <v>321</v>
      </c>
      <c r="G9" s="79" t="s">
        <v>322</v>
      </c>
      <c r="H9" s="79" t="s">
        <v>413</v>
      </c>
    </row>
    <row r="10" spans="1:8" x14ac:dyDescent="0.25">
      <c r="A10" s="127" t="s">
        <v>1412</v>
      </c>
      <c r="B10" s="127" t="s">
        <v>1416</v>
      </c>
      <c r="C10" s="127" t="s">
        <v>9</v>
      </c>
      <c r="D10" s="127" t="s">
        <v>146</v>
      </c>
      <c r="E10" s="127"/>
      <c r="F10" s="100">
        <v>30</v>
      </c>
      <c r="G10" s="100" t="str">
        <f>+_xlfn.CONCAT(A10,F10,"_")</f>
        <v>Chene_sessile30_</v>
      </c>
      <c r="H10" s="119">
        <f>+MIN(F32:F33)</f>
        <v>0</v>
      </c>
    </row>
  </sheetData>
  <conditionalFormatting sqref="G9">
    <cfRule type="duplicateValues" dxfId="2" priority="2"/>
  </conditionalFormatting>
  <conditionalFormatting sqref="H9">
    <cfRule type="duplicateValues" dxfId="1" priority="1"/>
  </conditionalFormatting>
  <conditionalFormatting sqref="A9:F9">
    <cfRule type="duplicateValues" dxfId="0" priority="44"/>
  </conditionalFormatting>
  <dataValidations count="3">
    <dataValidation type="list" allowBlank="1" showInputMessage="1" showErrorMessage="1" sqref="B10" xr:uid="{00000000-0002-0000-0500-000000000000}">
      <formula1>INDIRECT($A$10)</formula1>
    </dataValidation>
    <dataValidation type="list" allowBlank="1" showInputMessage="1" showErrorMessage="1" sqref="C10" xr:uid="{00000000-0002-0000-0500-000001000000}">
      <formula1>INDIRECT(CONCATENATE($A$10,$B$10))</formula1>
    </dataValidation>
    <dataValidation type="list" allowBlank="1" showInputMessage="1" showErrorMessage="1" sqref="D10:E10" xr:uid="{00000000-0002-0000-0500-000002000000}">
      <formula1>INDIRECT(CONCATENATE($A$10,$B$10,$C$10))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3000000}">
          <x14:formula1>
            <xm:f>'Liste test'!$A$3:$A$6</xm:f>
          </x14:formula1>
          <xm:sqref>A10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6"/>
  <sheetViews>
    <sheetView topLeftCell="A13" workbookViewId="0">
      <selection activeCell="G22" sqref="G22"/>
    </sheetView>
  </sheetViews>
  <sheetFormatPr baseColWidth="10" defaultRowHeight="15" x14ac:dyDescent="0.25"/>
  <cols>
    <col min="1" max="1" width="16.28515625" bestFit="1" customWidth="1"/>
    <col min="3" max="3" width="32.28515625" bestFit="1" customWidth="1"/>
    <col min="4" max="4" width="24.28515625" bestFit="1" customWidth="1"/>
    <col min="6" max="6" width="36.42578125" bestFit="1" customWidth="1"/>
    <col min="7" max="7" width="24.28515625" bestFit="1" customWidth="1"/>
    <col min="10" max="10" width="23.28515625" customWidth="1"/>
    <col min="11" max="11" width="24.28515625" bestFit="1" customWidth="1"/>
    <col min="13" max="13" width="25.28515625" bestFit="1" customWidth="1"/>
  </cols>
  <sheetData>
    <row r="2" spans="1:13" x14ac:dyDescent="0.25">
      <c r="A2" t="s">
        <v>1414</v>
      </c>
      <c r="C2" t="s">
        <v>1415</v>
      </c>
      <c r="F2" t="s">
        <v>1420</v>
      </c>
      <c r="J2" t="s">
        <v>1421</v>
      </c>
    </row>
    <row r="3" spans="1:13" x14ac:dyDescent="0.25">
      <c r="A3" s="131" t="s">
        <v>1410</v>
      </c>
      <c r="C3" s="131" t="s">
        <v>1410</v>
      </c>
      <c r="D3" s="131" t="s">
        <v>1416</v>
      </c>
      <c r="F3" s="131" t="s">
        <v>1410</v>
      </c>
      <c r="G3" s="131" t="s">
        <v>1416</v>
      </c>
      <c r="H3" s="279" t="s">
        <v>9</v>
      </c>
      <c r="J3" s="131" t="s">
        <v>1410</v>
      </c>
      <c r="K3" s="131" t="s">
        <v>1416</v>
      </c>
      <c r="L3" s="279" t="s">
        <v>9</v>
      </c>
      <c r="M3" s="131" t="s">
        <v>309</v>
      </c>
    </row>
    <row r="4" spans="1:13" x14ac:dyDescent="0.25">
      <c r="A4" s="131" t="s">
        <v>1411</v>
      </c>
      <c r="C4" s="1" t="s">
        <v>1411</v>
      </c>
      <c r="D4" t="s">
        <v>1417</v>
      </c>
      <c r="F4" s="131" t="s">
        <v>1410</v>
      </c>
      <c r="G4" s="131" t="s">
        <v>1416</v>
      </c>
      <c r="H4" s="137" t="s">
        <v>10</v>
      </c>
      <c r="J4" s="131" t="s">
        <v>1410</v>
      </c>
      <c r="K4" s="131" t="s">
        <v>1416</v>
      </c>
      <c r="L4" s="137" t="s">
        <v>10</v>
      </c>
      <c r="M4" s="131" t="s">
        <v>310</v>
      </c>
    </row>
    <row r="5" spans="1:13" x14ac:dyDescent="0.25">
      <c r="A5" s="131" t="s">
        <v>1412</v>
      </c>
      <c r="C5" t="s">
        <v>1412</v>
      </c>
      <c r="D5" t="s">
        <v>1417</v>
      </c>
      <c r="F5" s="131" t="s">
        <v>1410</v>
      </c>
      <c r="G5" s="131" t="s">
        <v>1416</v>
      </c>
      <c r="H5" s="137" t="s">
        <v>144</v>
      </c>
      <c r="J5" s="131" t="s">
        <v>1410</v>
      </c>
      <c r="K5" s="131" t="s">
        <v>1416</v>
      </c>
      <c r="L5" s="137" t="s">
        <v>144</v>
      </c>
      <c r="M5" s="131" t="s">
        <v>311</v>
      </c>
    </row>
    <row r="6" spans="1:13" x14ac:dyDescent="0.25">
      <c r="A6" s="131" t="s">
        <v>131</v>
      </c>
      <c r="C6" t="s">
        <v>1412</v>
      </c>
      <c r="D6" t="s">
        <v>1418</v>
      </c>
      <c r="F6" s="1" t="s">
        <v>1411</v>
      </c>
      <c r="G6" t="s">
        <v>1417</v>
      </c>
      <c r="H6" s="137" t="s">
        <v>9</v>
      </c>
      <c r="J6" s="1" t="s">
        <v>1411</v>
      </c>
      <c r="K6" t="s">
        <v>1417</v>
      </c>
      <c r="L6" s="137" t="s">
        <v>9</v>
      </c>
      <c r="M6" s="131" t="s">
        <v>146</v>
      </c>
    </row>
    <row r="7" spans="1:13" x14ac:dyDescent="0.25">
      <c r="C7" t="s">
        <v>131</v>
      </c>
      <c r="D7" t="s">
        <v>1419</v>
      </c>
      <c r="F7" s="1" t="s">
        <v>1411</v>
      </c>
      <c r="G7" t="s">
        <v>1417</v>
      </c>
      <c r="H7" s="137" t="s">
        <v>10</v>
      </c>
      <c r="J7" s="1" t="s">
        <v>1411</v>
      </c>
      <c r="K7" t="s">
        <v>1417</v>
      </c>
      <c r="L7" s="137" t="s">
        <v>10</v>
      </c>
      <c r="M7" s="131" t="s">
        <v>146</v>
      </c>
    </row>
    <row r="8" spans="1:13" x14ac:dyDescent="0.25">
      <c r="F8" t="s">
        <v>1412</v>
      </c>
      <c r="G8" t="s">
        <v>1417</v>
      </c>
      <c r="H8" s="280" t="s">
        <v>9</v>
      </c>
      <c r="J8" t="s">
        <v>1412</v>
      </c>
      <c r="K8" t="s">
        <v>1417</v>
      </c>
      <c r="L8" s="280" t="s">
        <v>9</v>
      </c>
      <c r="M8" s="279" t="s">
        <v>18</v>
      </c>
    </row>
    <row r="9" spans="1:13" x14ac:dyDescent="0.25">
      <c r="F9" t="s">
        <v>1412</v>
      </c>
      <c r="G9" t="s">
        <v>1417</v>
      </c>
      <c r="H9" s="280" t="s">
        <v>10</v>
      </c>
      <c r="J9" t="s">
        <v>1412</v>
      </c>
      <c r="K9" t="s">
        <v>1417</v>
      </c>
      <c r="L9" s="280" t="s">
        <v>9</v>
      </c>
      <c r="M9" s="279" t="s">
        <v>146</v>
      </c>
    </row>
    <row r="10" spans="1:13" x14ac:dyDescent="0.25">
      <c r="F10" t="s">
        <v>1412</v>
      </c>
      <c r="G10" t="s">
        <v>1418</v>
      </c>
      <c r="H10" s="280" t="s">
        <v>9</v>
      </c>
      <c r="J10" t="s">
        <v>1412</v>
      </c>
      <c r="K10" t="s">
        <v>1417</v>
      </c>
      <c r="L10" s="280" t="s">
        <v>10</v>
      </c>
      <c r="M10" s="279" t="s">
        <v>146</v>
      </c>
    </row>
    <row r="11" spans="1:13" x14ac:dyDescent="0.25">
      <c r="F11" t="s">
        <v>1412</v>
      </c>
      <c r="G11" t="s">
        <v>1418</v>
      </c>
      <c r="H11" s="280" t="s">
        <v>10</v>
      </c>
      <c r="J11" t="s">
        <v>1412</v>
      </c>
      <c r="K11" t="s">
        <v>1418</v>
      </c>
      <c r="L11" s="280" t="s">
        <v>9</v>
      </c>
      <c r="M11" s="279" t="s">
        <v>18</v>
      </c>
    </row>
    <row r="12" spans="1:13" x14ac:dyDescent="0.25">
      <c r="F12" t="s">
        <v>1412</v>
      </c>
      <c r="G12" t="s">
        <v>1418</v>
      </c>
      <c r="H12" s="280" t="s">
        <v>144</v>
      </c>
      <c r="J12" t="s">
        <v>1412</v>
      </c>
      <c r="K12" t="s">
        <v>1418</v>
      </c>
      <c r="L12" s="280" t="s">
        <v>10</v>
      </c>
      <c r="M12" s="279" t="s">
        <v>18</v>
      </c>
    </row>
    <row r="13" spans="1:13" x14ac:dyDescent="0.25">
      <c r="F13" t="s">
        <v>131</v>
      </c>
      <c r="G13" t="s">
        <v>1419</v>
      </c>
      <c r="H13" s="280" t="s">
        <v>9</v>
      </c>
      <c r="J13" t="s">
        <v>1412</v>
      </c>
      <c r="K13" t="s">
        <v>1418</v>
      </c>
      <c r="L13" s="280" t="s">
        <v>144</v>
      </c>
      <c r="M13" s="279" t="s">
        <v>18</v>
      </c>
    </row>
    <row r="14" spans="1:13" x14ac:dyDescent="0.25">
      <c r="F14" t="s">
        <v>131</v>
      </c>
      <c r="G14" t="s">
        <v>1419</v>
      </c>
      <c r="H14" s="280" t="s">
        <v>10</v>
      </c>
      <c r="J14" s="137" t="s">
        <v>131</v>
      </c>
      <c r="K14" s="137" t="s">
        <v>1419</v>
      </c>
      <c r="L14" s="137" t="s">
        <v>9</v>
      </c>
      <c r="M14" s="120" t="s">
        <v>12</v>
      </c>
    </row>
    <row r="15" spans="1:13" x14ac:dyDescent="0.25">
      <c r="F15" t="s">
        <v>131</v>
      </c>
      <c r="G15" t="s">
        <v>1419</v>
      </c>
      <c r="H15" s="280" t="s">
        <v>144</v>
      </c>
      <c r="J15" s="137" t="s">
        <v>131</v>
      </c>
      <c r="K15" s="137" t="s">
        <v>1419</v>
      </c>
      <c r="L15" s="137" t="s">
        <v>10</v>
      </c>
      <c r="M15" s="120" t="s">
        <v>12</v>
      </c>
    </row>
    <row r="16" spans="1:13" x14ac:dyDescent="0.25">
      <c r="J16" s="137" t="s">
        <v>131</v>
      </c>
      <c r="K16" s="137" t="s">
        <v>1419</v>
      </c>
      <c r="L16" s="137" t="s">
        <v>144</v>
      </c>
      <c r="M16" s="120" t="s">
        <v>143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3:AG25"/>
  <sheetViews>
    <sheetView showGridLines="0" zoomScale="85" zoomScaleNormal="85" workbookViewId="0">
      <selection activeCell="H38" sqref="H38"/>
    </sheetView>
  </sheetViews>
  <sheetFormatPr baseColWidth="10" defaultColWidth="10.7109375" defaultRowHeight="15" x14ac:dyDescent="0.25"/>
  <cols>
    <col min="1" max="1" width="10.7109375" style="266"/>
    <col min="2" max="14" width="10.7109375" style="264"/>
    <col min="15" max="15" width="10.7109375" style="275"/>
    <col min="16" max="26" width="10.7109375" style="264"/>
    <col min="27" max="29" width="10.7109375" style="265"/>
    <col min="30" max="30" width="10.7109375" style="264"/>
    <col min="31" max="31" width="10.7109375" style="265"/>
    <col min="32" max="33" width="10.7109375" style="264"/>
    <col min="34" max="16384" width="10.7109375" style="266"/>
  </cols>
  <sheetData>
    <row r="3" spans="1:20" x14ac:dyDescent="0.25">
      <c r="J3" s="264" t="s">
        <v>1400</v>
      </c>
      <c r="K3">
        <v>3.14159265358979</v>
      </c>
    </row>
    <row r="6" spans="1:20" x14ac:dyDescent="0.25">
      <c r="H6" s="354" t="s">
        <v>1517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353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+LBC!$B$72</f>
        <v>Chêne-liège</v>
      </c>
      <c r="B8" s="267">
        <v>12</v>
      </c>
      <c r="C8" s="268">
        <v>625</v>
      </c>
      <c r="D8" s="268" t="s">
        <v>52</v>
      </c>
      <c r="E8" s="268">
        <v>171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0.12424815540386876</v>
      </c>
      <c r="J8" s="268">
        <f>+VLOOKUP('Autre source1'!$A$8,'Coef Feuillus divers'!$G$2:$AA$228,10,FALSE)</f>
        <v>0.52196460300000003</v>
      </c>
      <c r="K8" s="268">
        <f>+VLOOKUP('Autre source1'!$A$8,'Coef Feuillus divers'!$G$2:$AA$228,11,FALSE)</f>
        <v>0.66106715155860996</v>
      </c>
      <c r="L8" s="268">
        <f>+VLOOKUP('Autre source1'!$A$8,'Coef Feuillus divers'!$G$2:$AA$228,12,FALSE)</f>
        <v>-1.6572449999999999E-3</v>
      </c>
      <c r="M8" s="274">
        <f>+I8*C8</f>
        <v>77.655097127417974</v>
      </c>
      <c r="N8" s="274">
        <f>+IF(D8="av",0,E8*I8)</f>
        <v>0</v>
      </c>
      <c r="O8" s="277">
        <f>+VLOOKUP(A8,'Coef Feuillus divers'!$G$2:$AA$228,21,FALSE)</f>
        <v>0.71</v>
      </c>
      <c r="P8" s="274">
        <f>+M8*O8</f>
        <v>55.135118960466762</v>
      </c>
      <c r="Q8" s="274">
        <f>EXP(-1.0587+0.8836*LN(P8)+0.284)</f>
        <v>15.932287138362499</v>
      </c>
      <c r="R8" s="274">
        <f>+Q8+P8</f>
        <v>71.067406098829267</v>
      </c>
      <c r="S8" s="274" t="str">
        <f>+_xlfn.CONCAT(A8,B8,D8)</f>
        <v>Chêne-liège12av</v>
      </c>
      <c r="T8" s="274">
        <f>+R8*0.475*44/12</f>
        <v>123.7757322887943</v>
      </c>
    </row>
    <row r="9" spans="1:20" x14ac:dyDescent="0.25">
      <c r="A9" s="268" t="str">
        <f>+LBC!$B$72</f>
        <v>Chêne-liège</v>
      </c>
      <c r="B9" s="267">
        <v>12</v>
      </c>
      <c r="C9" s="268">
        <v>454</v>
      </c>
      <c r="D9" s="268" t="s">
        <v>53</v>
      </c>
      <c r="E9" s="268">
        <v>171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0.12424815540386876</v>
      </c>
      <c r="J9" s="268">
        <f>+VLOOKUP('Autre source1'!$A$8,'Coef Feuillus divers'!$G$2:$AA$228,10,FALSE)</f>
        <v>0.52196460300000003</v>
      </c>
      <c r="K9" s="268">
        <f>+VLOOKUP('Autre source1'!$A$8,'Coef Feuillus divers'!$G$2:$AA$228,11,FALSE)</f>
        <v>0.66106715155860996</v>
      </c>
      <c r="L9" s="268">
        <f>+VLOOKUP('Autre source1'!$A$8,'Coef Feuillus divers'!$G$2:$AA$228,12,FALSE)</f>
        <v>-1.6572449999999999E-3</v>
      </c>
      <c r="M9" s="274">
        <f t="shared" ref="M9:M25" si="0">+I9*C9</f>
        <v>56.408662553356415</v>
      </c>
      <c r="N9" s="274">
        <f t="shared" ref="N9:N25" si="1">+IF(D9="av",0,E9*I9)</f>
        <v>21.246434574061556</v>
      </c>
      <c r="O9" s="277">
        <f>+VLOOKUP(A9,'Coef Feuillus divers'!$G$2:$AA$228,21,FALSE)</f>
        <v>0.71</v>
      </c>
      <c r="P9" s="274">
        <f t="shared" ref="P9:P25" si="2">+M9*O9</f>
        <v>40.050150412883049</v>
      </c>
      <c r="Q9" s="274">
        <f t="shared" ref="Q9:Q25" si="3">EXP(-1.0587+0.8836*LN(P9)+0.284)</f>
        <v>12.01193830967928</v>
      </c>
      <c r="R9" s="274">
        <f t="shared" ref="R9:R25" si="4">+Q9+P9</f>
        <v>52.062088722562329</v>
      </c>
      <c r="S9" s="274" t="str">
        <f t="shared" ref="S9:S25" si="5">+_xlfn.CONCAT(A9,B9,D9)</f>
        <v>Chêne-liège12ap</v>
      </c>
      <c r="T9" s="274">
        <f t="shared" ref="T9:T25" si="6">+R9*0.475*44/12</f>
        <v>90.674804525129389</v>
      </c>
    </row>
    <row r="10" spans="1:20" x14ac:dyDescent="0.25">
      <c r="A10" s="268" t="str">
        <f>+LBC!$B$72</f>
        <v>Chêne-liège</v>
      </c>
      <c r="B10" s="267">
        <v>16</v>
      </c>
      <c r="C10" s="268">
        <v>454</v>
      </c>
      <c r="D10" s="268" t="s">
        <v>52</v>
      </c>
      <c r="E10" s="268">
        <v>154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0.25319292864199999</v>
      </c>
      <c r="J10" s="268">
        <f>+VLOOKUP('Autre source1'!$A$8,'Coef Feuillus divers'!$G$2:$AA$228,10,FALSE)</f>
        <v>0.52196460300000003</v>
      </c>
      <c r="K10" s="268">
        <f>+VLOOKUP('Autre source1'!$A$8,'Coef Feuillus divers'!$G$2:$AA$228,11,FALSE)</f>
        <v>0.66106715155860996</v>
      </c>
      <c r="L10" s="268">
        <f>+VLOOKUP('Autre source1'!$A$8,'Coef Feuillus divers'!$G$2:$AA$228,12,FALSE)</f>
        <v>-1.6572449999999999E-3</v>
      </c>
      <c r="M10" s="274">
        <f t="shared" si="0"/>
        <v>114.949589603468</v>
      </c>
      <c r="N10" s="274">
        <f t="shared" si="1"/>
        <v>0</v>
      </c>
      <c r="O10" s="277">
        <f>+VLOOKUP(A10,'Coef Feuillus divers'!$G$2:$AA$228,21,FALSE)</f>
        <v>0.71</v>
      </c>
      <c r="P10" s="274">
        <f t="shared" si="2"/>
        <v>81.614208618462271</v>
      </c>
      <c r="Q10" s="274">
        <f t="shared" si="3"/>
        <v>22.531406481151613</v>
      </c>
      <c r="R10" s="274">
        <f t="shared" si="4"/>
        <v>104.14561509961388</v>
      </c>
      <c r="S10" s="274" t="str">
        <f t="shared" si="5"/>
        <v>Chêne-liège16av</v>
      </c>
      <c r="T10" s="274">
        <f t="shared" si="6"/>
        <v>181.38694629849417</v>
      </c>
    </row>
    <row r="11" spans="1:20" x14ac:dyDescent="0.25">
      <c r="A11" s="268" t="str">
        <f>+LBC!$B$72</f>
        <v>Chêne-liège</v>
      </c>
      <c r="B11" s="267">
        <v>16</v>
      </c>
      <c r="C11" s="268">
        <v>300</v>
      </c>
      <c r="D11" s="268" t="s">
        <v>53</v>
      </c>
      <c r="E11" s="268">
        <v>154</v>
      </c>
      <c r="F11" s="268">
        <v>20</v>
      </c>
      <c r="G11" s="269">
        <v>0.62831853071799992</v>
      </c>
      <c r="H11" s="270">
        <v>12</v>
      </c>
      <c r="I11" s="272">
        <f t="shared" si="7"/>
        <v>0.25319292864199999</v>
      </c>
      <c r="J11" s="268">
        <f>+VLOOKUP('Autre source1'!$A$8,'Coef Feuillus divers'!$G$2:$AA$228,10,FALSE)</f>
        <v>0.52196460300000003</v>
      </c>
      <c r="K11" s="268">
        <f>+VLOOKUP('Autre source1'!$A$8,'Coef Feuillus divers'!$G$2:$AA$228,11,FALSE)</f>
        <v>0.66106715155860996</v>
      </c>
      <c r="L11" s="268">
        <f>+VLOOKUP('Autre source1'!$A$8,'Coef Feuillus divers'!$G$2:$AA$228,12,FALSE)</f>
        <v>-1.6572449999999999E-3</v>
      </c>
      <c r="M11" s="274">
        <f t="shared" si="0"/>
        <v>75.957878592599997</v>
      </c>
      <c r="N11" s="274">
        <f t="shared" si="1"/>
        <v>38.991711010868002</v>
      </c>
      <c r="O11" s="277">
        <f>+VLOOKUP(A11,'Coef Feuillus divers'!$G$2:$AA$228,21,FALSE)</f>
        <v>0.71</v>
      </c>
      <c r="P11" s="274">
        <f t="shared" si="2"/>
        <v>53.930093800745993</v>
      </c>
      <c r="Q11" s="274">
        <f t="shared" si="3"/>
        <v>15.624210868794233</v>
      </c>
      <c r="R11" s="274">
        <f t="shared" si="4"/>
        <v>69.55430466954023</v>
      </c>
      <c r="S11" s="274" t="str">
        <f t="shared" si="5"/>
        <v>Chêne-liège16ap</v>
      </c>
      <c r="T11" s="274">
        <f t="shared" si="6"/>
        <v>121.1404139661159</v>
      </c>
    </row>
    <row r="12" spans="1:20" x14ac:dyDescent="0.25">
      <c r="A12" s="268" t="str">
        <f>+LBC!$B$72</f>
        <v>Chêne-liège</v>
      </c>
      <c r="B12" s="267">
        <v>20</v>
      </c>
      <c r="C12" s="268">
        <v>300</v>
      </c>
      <c r="D12" s="268" t="s">
        <v>52</v>
      </c>
      <c r="E12" s="268">
        <v>100</v>
      </c>
      <c r="F12" s="268">
        <v>25</v>
      </c>
      <c r="G12" s="269">
        <v>0.78539816339750002</v>
      </c>
      <c r="H12" s="270">
        <v>14</v>
      </c>
      <c r="I12" s="272">
        <f t="shared" si="7"/>
        <v>0.44617755138009657</v>
      </c>
      <c r="J12" s="268">
        <f>+VLOOKUP('Autre source1'!$A$8,'Coef Feuillus divers'!$G$2:$AA$228,10,FALSE)</f>
        <v>0.52196460300000003</v>
      </c>
      <c r="K12" s="268">
        <f>+VLOOKUP('Autre source1'!$A$8,'Coef Feuillus divers'!$G$2:$AA$228,11,FALSE)</f>
        <v>0.66106715155860996</v>
      </c>
      <c r="L12" s="268">
        <f>+VLOOKUP('Autre source1'!$A$8,'Coef Feuillus divers'!$G$2:$AA$228,12,FALSE)</f>
        <v>-1.6572449999999999E-3</v>
      </c>
      <c r="M12" s="274">
        <f t="shared" si="0"/>
        <v>133.85326541402898</v>
      </c>
      <c r="N12" s="274">
        <f t="shared" si="1"/>
        <v>0</v>
      </c>
      <c r="O12" s="277">
        <f>+VLOOKUP(A12,'Coef Feuillus divers'!$G$2:$AA$228,21,FALSE)</f>
        <v>0.71</v>
      </c>
      <c r="P12" s="274">
        <f t="shared" si="2"/>
        <v>95.035818443960579</v>
      </c>
      <c r="Q12" s="274">
        <f t="shared" si="3"/>
        <v>25.775868064004939</v>
      </c>
      <c r="R12" s="274">
        <f t="shared" si="4"/>
        <v>120.81168650796552</v>
      </c>
      <c r="S12" s="274" t="str">
        <f t="shared" si="5"/>
        <v>Chêne-liège20av</v>
      </c>
      <c r="T12" s="274">
        <f t="shared" si="6"/>
        <v>210.41368733470662</v>
      </c>
    </row>
    <row r="13" spans="1:20" x14ac:dyDescent="0.25">
      <c r="A13" s="268" t="str">
        <f>+LBC!$B$72</f>
        <v>Chêne-liège</v>
      </c>
      <c r="B13" s="267">
        <v>20</v>
      </c>
      <c r="C13" s="268">
        <v>200</v>
      </c>
      <c r="D13" s="268" t="s">
        <v>53</v>
      </c>
      <c r="E13" s="268">
        <v>100</v>
      </c>
      <c r="F13" s="268">
        <v>25</v>
      </c>
      <c r="G13" s="269">
        <v>0.78539816339750002</v>
      </c>
      <c r="H13" s="270">
        <v>14</v>
      </c>
      <c r="I13" s="272">
        <f t="shared" si="7"/>
        <v>0.44617755138009657</v>
      </c>
      <c r="J13" s="268">
        <f>+VLOOKUP('Autre source1'!$A$8,'Coef Feuillus divers'!$G$2:$AA$228,10,FALSE)</f>
        <v>0.52196460300000003</v>
      </c>
      <c r="K13" s="268">
        <f>+VLOOKUP('Autre source1'!$A$8,'Coef Feuillus divers'!$G$2:$AA$228,11,FALSE)</f>
        <v>0.66106715155860996</v>
      </c>
      <c r="L13" s="268">
        <f>+VLOOKUP('Autre source1'!$A$8,'Coef Feuillus divers'!$G$2:$AA$228,12,FALSE)</f>
        <v>-1.6572449999999999E-3</v>
      </c>
      <c r="M13" s="274">
        <f t="shared" si="0"/>
        <v>89.235510276019312</v>
      </c>
      <c r="N13" s="274">
        <f t="shared" si="1"/>
        <v>44.617755138009656</v>
      </c>
      <c r="O13" s="277">
        <f>+VLOOKUP(A13,'Coef Feuillus divers'!$G$2:$AA$228,21,FALSE)</f>
        <v>0.71</v>
      </c>
      <c r="P13" s="274">
        <f t="shared" si="2"/>
        <v>63.35721229597371</v>
      </c>
      <c r="Q13" s="274">
        <f t="shared" si="3"/>
        <v>18.014369380422625</v>
      </c>
      <c r="R13" s="274">
        <f t="shared" si="4"/>
        <v>81.371581676396332</v>
      </c>
      <c r="S13" s="274" t="str">
        <f t="shared" si="5"/>
        <v>Chêne-liège20ap</v>
      </c>
      <c r="T13" s="274">
        <f t="shared" si="6"/>
        <v>141.72217141972359</v>
      </c>
    </row>
    <row r="14" spans="1:20" x14ac:dyDescent="0.25">
      <c r="A14" s="268" t="str">
        <f>+LBC!$B$72</f>
        <v>Chêne-liège</v>
      </c>
      <c r="B14" s="267">
        <v>25</v>
      </c>
      <c r="C14" s="268">
        <v>200</v>
      </c>
      <c r="D14" s="268" t="s">
        <v>52</v>
      </c>
      <c r="E14" s="268">
        <v>60</v>
      </c>
      <c r="F14" s="268">
        <v>30</v>
      </c>
      <c r="G14" s="269">
        <v>0.942477796077</v>
      </c>
      <c r="H14" s="270">
        <v>16</v>
      </c>
      <c r="I14" s="272">
        <f t="shared" si="7"/>
        <v>0.71540346566995949</v>
      </c>
      <c r="J14" s="268">
        <f>+VLOOKUP('Autre source1'!$A$8,'Coef Feuillus divers'!$G$2:$AA$228,10,FALSE)</f>
        <v>0.52196460300000003</v>
      </c>
      <c r="K14" s="268">
        <f>+VLOOKUP('Autre source1'!$A$8,'Coef Feuillus divers'!$G$2:$AA$228,11,FALSE)</f>
        <v>0.66106715155860996</v>
      </c>
      <c r="L14" s="268">
        <f>+VLOOKUP('Autre source1'!$A$8,'Coef Feuillus divers'!$G$2:$AA$228,12,FALSE)</f>
        <v>-1.6572449999999999E-3</v>
      </c>
      <c r="M14" s="274">
        <f t="shared" si="0"/>
        <v>143.0806931339919</v>
      </c>
      <c r="N14" s="274">
        <f t="shared" si="1"/>
        <v>0</v>
      </c>
      <c r="O14" s="277">
        <f>+VLOOKUP(A14,'Coef Feuillus divers'!$G$2:$AA$228,21,FALSE)</f>
        <v>0.71</v>
      </c>
      <c r="P14" s="274">
        <f t="shared" si="2"/>
        <v>101.58729212513424</v>
      </c>
      <c r="Q14" s="274">
        <f t="shared" si="3"/>
        <v>27.33980071834474</v>
      </c>
      <c r="R14" s="274">
        <f t="shared" si="4"/>
        <v>128.92709284347899</v>
      </c>
      <c r="S14" s="274" t="str">
        <f t="shared" si="5"/>
        <v>Chêne-liège25av</v>
      </c>
      <c r="T14" s="274">
        <f t="shared" si="6"/>
        <v>224.5480200357259</v>
      </c>
    </row>
    <row r="15" spans="1:20" x14ac:dyDescent="0.25">
      <c r="A15" s="268" t="str">
        <f>+LBC!$B$72</f>
        <v>Chêne-liège</v>
      </c>
      <c r="B15" s="267">
        <v>25</v>
      </c>
      <c r="C15" s="268">
        <v>140</v>
      </c>
      <c r="D15" s="268" t="s">
        <v>53</v>
      </c>
      <c r="E15" s="268">
        <v>60</v>
      </c>
      <c r="F15" s="268">
        <v>30</v>
      </c>
      <c r="G15" s="269">
        <v>0.942477796077</v>
      </c>
      <c r="H15" s="270">
        <v>16</v>
      </c>
      <c r="I15" s="272">
        <f t="shared" si="7"/>
        <v>0.71540346566995949</v>
      </c>
      <c r="J15" s="268">
        <f>+VLOOKUP('Autre source1'!$A$8,'Coef Feuillus divers'!$G$2:$AA$228,10,FALSE)</f>
        <v>0.52196460300000003</v>
      </c>
      <c r="K15" s="268">
        <f>+VLOOKUP('Autre source1'!$A$8,'Coef Feuillus divers'!$G$2:$AA$228,11,FALSE)</f>
        <v>0.66106715155860996</v>
      </c>
      <c r="L15" s="268">
        <f>+VLOOKUP('Autre source1'!$A$8,'Coef Feuillus divers'!$G$2:$AA$228,12,FALSE)</f>
        <v>-1.6572449999999999E-3</v>
      </c>
      <c r="M15" s="274">
        <f t="shared" si="0"/>
        <v>100.15648519379432</v>
      </c>
      <c r="N15" s="274">
        <f t="shared" si="1"/>
        <v>42.924207940197569</v>
      </c>
      <c r="O15" s="277">
        <f>+VLOOKUP(A15,'Coef Feuillus divers'!$G$2:$AA$228,21,FALSE)</f>
        <v>0.71</v>
      </c>
      <c r="P15" s="274">
        <f t="shared" si="2"/>
        <v>71.111104487593963</v>
      </c>
      <c r="Q15" s="274">
        <f t="shared" si="3"/>
        <v>19.949130567115922</v>
      </c>
      <c r="R15" s="274">
        <f t="shared" si="4"/>
        <v>91.060235054709892</v>
      </c>
      <c r="S15" s="274" t="str">
        <f t="shared" si="5"/>
        <v>Chêne-liège25ap</v>
      </c>
      <c r="T15" s="274">
        <f t="shared" si="6"/>
        <v>158.59657605361971</v>
      </c>
    </row>
    <row r="16" spans="1:20" x14ac:dyDescent="0.25">
      <c r="A16" s="268" t="str">
        <f>+LBC!$B$72</f>
        <v>Chêne-liège</v>
      </c>
      <c r="B16" s="267">
        <v>30</v>
      </c>
      <c r="C16" s="268">
        <v>140</v>
      </c>
      <c r="D16" s="268" t="s">
        <v>52</v>
      </c>
      <c r="E16" s="268">
        <v>40</v>
      </c>
      <c r="F16" s="268">
        <v>30</v>
      </c>
      <c r="G16" s="269">
        <v>0.942477796077</v>
      </c>
      <c r="H16" s="270">
        <v>18</v>
      </c>
      <c r="I16" s="272">
        <f t="shared" si="7"/>
        <v>0.77745622317289398</v>
      </c>
      <c r="J16" s="268">
        <f>+VLOOKUP('Autre source1'!$A$8,'Coef Feuillus divers'!$G$2:$AA$228,10,FALSE)</f>
        <v>0.52196460300000003</v>
      </c>
      <c r="K16" s="268">
        <f>+VLOOKUP('Autre source1'!$A$8,'Coef Feuillus divers'!$G$2:$AA$228,11,FALSE)</f>
        <v>0.66106715155860996</v>
      </c>
      <c r="L16" s="268">
        <f>+VLOOKUP('Autre source1'!$A$8,'Coef Feuillus divers'!$G$2:$AA$228,12,FALSE)</f>
        <v>-1.6572449999999999E-3</v>
      </c>
      <c r="M16" s="274">
        <f t="shared" si="0"/>
        <v>108.84387124420516</v>
      </c>
      <c r="N16" s="274">
        <f t="shared" si="1"/>
        <v>0</v>
      </c>
      <c r="O16" s="277">
        <f>+VLOOKUP(A16,'Coef Feuillus divers'!$G$2:$AA$228,21,FALSE)</f>
        <v>0.71</v>
      </c>
      <c r="P16" s="274">
        <f t="shared" si="2"/>
        <v>77.279148583385663</v>
      </c>
      <c r="Q16" s="274">
        <f t="shared" si="3"/>
        <v>21.470588006353104</v>
      </c>
      <c r="R16" s="274">
        <f t="shared" si="4"/>
        <v>98.749736589738774</v>
      </c>
      <c r="S16" s="274" t="str">
        <f t="shared" si="5"/>
        <v>Chêne-liège30av</v>
      </c>
      <c r="T16" s="274">
        <f t="shared" si="6"/>
        <v>171.9891245604617</v>
      </c>
    </row>
    <row r="17" spans="1:20" x14ac:dyDescent="0.25">
      <c r="A17" s="268" t="str">
        <f>+LBC!$B$72</f>
        <v>Chêne-liège</v>
      </c>
      <c r="B17" s="267">
        <v>30</v>
      </c>
      <c r="C17" s="268">
        <v>100</v>
      </c>
      <c r="D17" s="268" t="s">
        <v>53</v>
      </c>
      <c r="E17" s="268">
        <v>40</v>
      </c>
      <c r="F17" s="268">
        <v>30</v>
      </c>
      <c r="G17" s="269">
        <v>0.942477796077</v>
      </c>
      <c r="H17" s="270">
        <v>18</v>
      </c>
      <c r="I17" s="272">
        <f t="shared" si="7"/>
        <v>0.77745622317289398</v>
      </c>
      <c r="J17" s="268">
        <f>+VLOOKUP('Autre source1'!$A$8,'Coef Feuillus divers'!$G$2:$AA$228,10,FALSE)</f>
        <v>0.52196460300000003</v>
      </c>
      <c r="K17" s="268">
        <f>+VLOOKUP('Autre source1'!$A$8,'Coef Feuillus divers'!$G$2:$AA$228,11,FALSE)</f>
        <v>0.66106715155860996</v>
      </c>
      <c r="L17" s="268">
        <f>+VLOOKUP('Autre source1'!$A$8,'Coef Feuillus divers'!$G$2:$AA$228,12,FALSE)</f>
        <v>-1.6572449999999999E-3</v>
      </c>
      <c r="M17" s="274">
        <f t="shared" si="0"/>
        <v>77.745622317289403</v>
      </c>
      <c r="N17" s="274">
        <f t="shared" si="1"/>
        <v>31.098248926915758</v>
      </c>
      <c r="O17" s="277">
        <f>+VLOOKUP(A17,'Coef Feuillus divers'!$G$2:$AA$228,21,FALSE)</f>
        <v>0.71</v>
      </c>
      <c r="P17" s="274">
        <f t="shared" si="2"/>
        <v>55.199391845275471</v>
      </c>
      <c r="Q17" s="274">
        <f t="shared" si="3"/>
        <v>15.948696959823931</v>
      </c>
      <c r="R17" s="274">
        <f t="shared" si="4"/>
        <v>71.148088805099405</v>
      </c>
      <c r="S17" s="274" t="str">
        <f t="shared" si="5"/>
        <v>Chêne-liège30ap</v>
      </c>
      <c r="T17" s="274">
        <f t="shared" si="6"/>
        <v>123.91625466888145</v>
      </c>
    </row>
    <row r="18" spans="1:20" x14ac:dyDescent="0.25">
      <c r="A18" s="268" t="str">
        <f>+LBC!$B$72</f>
        <v>Chêne-liège</v>
      </c>
      <c r="B18" s="267">
        <v>36</v>
      </c>
      <c r="C18" s="268">
        <v>100</v>
      </c>
      <c r="D18" s="268" t="s">
        <v>52</v>
      </c>
      <c r="E18" s="268">
        <v>28</v>
      </c>
      <c r="F18" s="268">
        <v>35</v>
      </c>
      <c r="G18" s="269">
        <v>1.0995574287565</v>
      </c>
      <c r="H18" s="270">
        <v>20</v>
      </c>
      <c r="I18" s="272">
        <f t="shared" si="7"/>
        <v>1.158817310394012</v>
      </c>
      <c r="J18" s="268">
        <f>+VLOOKUP('Autre source1'!$A$8,'Coef Feuillus divers'!$G$2:$AA$228,10,FALSE)</f>
        <v>0.52196460300000003</v>
      </c>
      <c r="K18" s="268">
        <f>+VLOOKUP('Autre source1'!$A$8,'Coef Feuillus divers'!$G$2:$AA$228,11,FALSE)</f>
        <v>0.66106715155860996</v>
      </c>
      <c r="L18" s="268">
        <f>+VLOOKUP('Autre source1'!$A$8,'Coef Feuillus divers'!$G$2:$AA$228,12,FALSE)</f>
        <v>-1.6572449999999999E-3</v>
      </c>
      <c r="M18" s="274">
        <f t="shared" si="0"/>
        <v>115.8817310394012</v>
      </c>
      <c r="N18" s="274">
        <f t="shared" si="1"/>
        <v>0</v>
      </c>
      <c r="O18" s="277">
        <f>+VLOOKUP(A18,'Coef Feuillus divers'!$G$2:$AA$228,21,FALSE)</f>
        <v>0.71</v>
      </c>
      <c r="P18" s="274">
        <f t="shared" si="2"/>
        <v>82.276029037974851</v>
      </c>
      <c r="Q18" s="274">
        <f t="shared" si="3"/>
        <v>22.692773211909717</v>
      </c>
      <c r="R18" s="274">
        <f t="shared" si="4"/>
        <v>104.96880224988456</v>
      </c>
      <c r="S18" s="274" t="str">
        <f t="shared" si="5"/>
        <v>Chêne-liège36av</v>
      </c>
      <c r="T18" s="274">
        <f t="shared" si="6"/>
        <v>182.82066391854892</v>
      </c>
    </row>
    <row r="19" spans="1:20" x14ac:dyDescent="0.25">
      <c r="A19" s="268" t="str">
        <f>+LBC!$B$72</f>
        <v>Chêne-liège</v>
      </c>
      <c r="B19" s="267">
        <v>36</v>
      </c>
      <c r="C19" s="268">
        <v>72</v>
      </c>
      <c r="D19" s="268" t="s">
        <v>53</v>
      </c>
      <c r="E19" s="268">
        <v>28</v>
      </c>
      <c r="F19" s="268">
        <v>35</v>
      </c>
      <c r="G19" s="269">
        <v>1.0995574287565</v>
      </c>
      <c r="H19" s="270">
        <v>20</v>
      </c>
      <c r="I19" s="272">
        <f t="shared" si="7"/>
        <v>1.158817310394012</v>
      </c>
      <c r="J19" s="268">
        <f>+VLOOKUP('Autre source1'!$A$8,'Coef Feuillus divers'!$G$2:$AA$228,10,FALSE)</f>
        <v>0.52196460300000003</v>
      </c>
      <c r="K19" s="268">
        <f>+VLOOKUP('Autre source1'!$A$8,'Coef Feuillus divers'!$G$2:$AA$228,11,FALSE)</f>
        <v>0.66106715155860996</v>
      </c>
      <c r="L19" s="268">
        <f>+VLOOKUP('Autre source1'!$A$8,'Coef Feuillus divers'!$G$2:$AA$228,12,FALSE)</f>
        <v>-1.6572449999999999E-3</v>
      </c>
      <c r="M19" s="274">
        <f t="shared" si="0"/>
        <v>83.434846348368865</v>
      </c>
      <c r="N19" s="274">
        <f t="shared" si="1"/>
        <v>32.446884691032338</v>
      </c>
      <c r="O19" s="277">
        <f>+VLOOKUP(A19,'Coef Feuillus divers'!$G$2:$AA$228,21,FALSE)</f>
        <v>0.71</v>
      </c>
      <c r="P19" s="274">
        <f t="shared" si="2"/>
        <v>59.238740907341892</v>
      </c>
      <c r="Q19" s="274">
        <f t="shared" si="3"/>
        <v>16.975656029710489</v>
      </c>
      <c r="R19" s="274">
        <f t="shared" si="4"/>
        <v>76.214396937052385</v>
      </c>
      <c r="S19" s="274" t="str">
        <f t="shared" si="5"/>
        <v>Chêne-liège36ap</v>
      </c>
      <c r="T19" s="274">
        <f t="shared" si="6"/>
        <v>132.74007466536622</v>
      </c>
    </row>
    <row r="20" spans="1:20" x14ac:dyDescent="0.25">
      <c r="A20" s="268" t="str">
        <f>+LBC!$B$72</f>
        <v>Chêne-liège</v>
      </c>
      <c r="B20" s="267">
        <v>43</v>
      </c>
      <c r="C20" s="268">
        <v>72</v>
      </c>
      <c r="D20" s="268" t="s">
        <v>52</v>
      </c>
      <c r="E20" s="268">
        <v>21</v>
      </c>
      <c r="F20" s="268">
        <v>40</v>
      </c>
      <c r="G20" s="269">
        <v>1.2566370614359998</v>
      </c>
      <c r="H20" s="270">
        <v>22</v>
      </c>
      <c r="I20" s="272">
        <f t="shared" si="7"/>
        <v>1.6445508951071388</v>
      </c>
      <c r="J20" s="268">
        <f>+VLOOKUP('Autre source1'!$A$8,'Coef Feuillus divers'!$G$2:$AA$228,10,FALSE)</f>
        <v>0.52196460300000003</v>
      </c>
      <c r="K20" s="268">
        <f>+VLOOKUP('Autre source1'!$A$8,'Coef Feuillus divers'!$G$2:$AA$228,11,FALSE)</f>
        <v>0.66106715155860996</v>
      </c>
      <c r="L20" s="268">
        <f>+VLOOKUP('Autre source1'!$A$8,'Coef Feuillus divers'!$G$2:$AA$228,12,FALSE)</f>
        <v>-1.6572449999999999E-3</v>
      </c>
      <c r="M20" s="274">
        <f t="shared" si="0"/>
        <v>118.407664447714</v>
      </c>
      <c r="N20" s="274">
        <f t="shared" si="1"/>
        <v>0</v>
      </c>
      <c r="O20" s="277">
        <f>+VLOOKUP(A20,'Coef Feuillus divers'!$G$2:$AA$228,21,FALSE)</f>
        <v>0.71</v>
      </c>
      <c r="P20" s="274">
        <f t="shared" si="2"/>
        <v>84.06944175787693</v>
      </c>
      <c r="Q20" s="274">
        <f t="shared" si="3"/>
        <v>23.129292385648107</v>
      </c>
      <c r="R20" s="274">
        <f t="shared" si="4"/>
        <v>107.19873414352503</v>
      </c>
      <c r="S20" s="274" t="str">
        <f t="shared" si="5"/>
        <v>Chêne-liège43av</v>
      </c>
      <c r="T20" s="274">
        <f t="shared" si="6"/>
        <v>186.70446196663943</v>
      </c>
    </row>
    <row r="21" spans="1:20" x14ac:dyDescent="0.25">
      <c r="A21" s="268" t="str">
        <f>+LBC!$B$72</f>
        <v>Chêne-liège</v>
      </c>
      <c r="B21" s="267">
        <v>43</v>
      </c>
      <c r="C21" s="267">
        <v>51</v>
      </c>
      <c r="D21" s="268" t="s">
        <v>53</v>
      </c>
      <c r="E21" s="268">
        <v>21</v>
      </c>
      <c r="F21" s="268">
        <v>40</v>
      </c>
      <c r="G21" s="269">
        <v>1.2566370614359998</v>
      </c>
      <c r="H21" s="270">
        <v>22</v>
      </c>
      <c r="I21" s="272">
        <f t="shared" si="7"/>
        <v>1.6445508951071388</v>
      </c>
      <c r="J21" s="268">
        <f>+VLOOKUP('Autre source1'!$A$8,'Coef Feuillus divers'!$G$2:$AA$228,10,FALSE)</f>
        <v>0.52196460300000003</v>
      </c>
      <c r="K21" s="268">
        <f>+VLOOKUP('Autre source1'!$A$8,'Coef Feuillus divers'!$G$2:$AA$228,11,FALSE)</f>
        <v>0.66106715155860996</v>
      </c>
      <c r="L21" s="268">
        <f>+VLOOKUP('Autre source1'!$A$8,'Coef Feuillus divers'!$G$2:$AA$228,12,FALSE)</f>
        <v>-1.6572449999999999E-3</v>
      </c>
      <c r="M21" s="274">
        <f t="shared" si="0"/>
        <v>83.872095650464075</v>
      </c>
      <c r="N21" s="274">
        <f t="shared" si="1"/>
        <v>34.535568797249915</v>
      </c>
      <c r="O21" s="277">
        <f>+VLOOKUP(A21,'Coef Feuillus divers'!$G$2:$AA$228,21,FALSE)</f>
        <v>0.71</v>
      </c>
      <c r="P21" s="274">
        <f t="shared" si="2"/>
        <v>59.549187911829492</v>
      </c>
      <c r="Q21" s="274">
        <f t="shared" si="3"/>
        <v>17.054239590656458</v>
      </c>
      <c r="R21" s="274">
        <f t="shared" si="4"/>
        <v>76.603427502485943</v>
      </c>
      <c r="S21" s="274" t="str">
        <f t="shared" si="5"/>
        <v>Chêne-liège43ap</v>
      </c>
      <c r="T21" s="274">
        <f t="shared" si="6"/>
        <v>133.41763623349635</v>
      </c>
    </row>
    <row r="22" spans="1:20" x14ac:dyDescent="0.25">
      <c r="A22" s="268" t="str">
        <f>+LBC!$B$72</f>
        <v>Chêne-liège</v>
      </c>
      <c r="B22" s="268">
        <v>50</v>
      </c>
      <c r="C22" s="268">
        <v>51</v>
      </c>
      <c r="D22" s="268" t="s">
        <v>52</v>
      </c>
      <c r="E22" s="268">
        <v>14</v>
      </c>
      <c r="F22" s="268">
        <v>45</v>
      </c>
      <c r="G22" s="269">
        <v>1.4137166941155002</v>
      </c>
      <c r="H22" s="270">
        <v>24</v>
      </c>
      <c r="I22" s="272">
        <f t="shared" si="7"/>
        <v>2.2467865812427661</v>
      </c>
      <c r="J22" s="268">
        <f>+VLOOKUP('Autre source1'!$A$8,'Coef Feuillus divers'!$G$2:$AA$228,10,FALSE)</f>
        <v>0.52196460300000003</v>
      </c>
      <c r="K22" s="268">
        <f>+VLOOKUP('Autre source1'!$A$8,'Coef Feuillus divers'!$G$2:$AA$228,11,FALSE)</f>
        <v>0.66106715155860996</v>
      </c>
      <c r="L22" s="268">
        <f>+VLOOKUP('Autre source1'!$A$8,'Coef Feuillus divers'!$G$2:$AA$228,12,FALSE)</f>
        <v>-1.6572449999999999E-3</v>
      </c>
      <c r="M22" s="274">
        <f t="shared" si="0"/>
        <v>114.58611564338108</v>
      </c>
      <c r="N22" s="274">
        <f t="shared" si="1"/>
        <v>0</v>
      </c>
      <c r="O22" s="277">
        <f>+VLOOKUP(A22,'Coef Feuillus divers'!$G$2:$AA$228,21,FALSE)</f>
        <v>0.71</v>
      </c>
      <c r="P22" s="274">
        <f t="shared" si="2"/>
        <v>81.356142106800561</v>
      </c>
      <c r="Q22" s="274">
        <f t="shared" si="3"/>
        <v>22.468442830950831</v>
      </c>
      <c r="R22" s="274">
        <f t="shared" si="4"/>
        <v>103.8245849377514</v>
      </c>
      <c r="S22" s="274" t="str">
        <f t="shared" si="5"/>
        <v>Chêne-liège50av</v>
      </c>
      <c r="T22" s="274">
        <f t="shared" si="6"/>
        <v>180.82781876658365</v>
      </c>
    </row>
    <row r="23" spans="1:20" x14ac:dyDescent="0.25">
      <c r="A23" s="268" t="str">
        <f>+LBC!$B$72</f>
        <v>Chêne-liège</v>
      </c>
      <c r="B23" s="268">
        <v>50</v>
      </c>
      <c r="C23" s="268">
        <v>37</v>
      </c>
      <c r="D23" s="268" t="s">
        <v>53</v>
      </c>
      <c r="E23" s="268">
        <v>14</v>
      </c>
      <c r="F23" s="268">
        <v>45</v>
      </c>
      <c r="G23" s="269">
        <v>1.4137166941155002</v>
      </c>
      <c r="H23" s="270">
        <v>24</v>
      </c>
      <c r="I23" s="272">
        <f t="shared" si="7"/>
        <v>2.2467865812427661</v>
      </c>
      <c r="J23" s="268">
        <f>+VLOOKUP('Autre source1'!$A$8,'Coef Feuillus divers'!$G$2:$AA$228,10,FALSE)</f>
        <v>0.52196460300000003</v>
      </c>
      <c r="K23" s="268">
        <f>+VLOOKUP('Autre source1'!$A$8,'Coef Feuillus divers'!$G$2:$AA$228,11,FALSE)</f>
        <v>0.66106715155860996</v>
      </c>
      <c r="L23" s="268">
        <f>+VLOOKUP('Autre source1'!$A$8,'Coef Feuillus divers'!$G$2:$AA$228,12,FALSE)</f>
        <v>-1.6572449999999999E-3</v>
      </c>
      <c r="M23" s="274">
        <f t="shared" si="0"/>
        <v>83.131103505982338</v>
      </c>
      <c r="N23" s="274">
        <f t="shared" si="1"/>
        <v>31.455012137398725</v>
      </c>
      <c r="O23" s="277">
        <f>+VLOOKUP(A23,'Coef Feuillus divers'!$G$2:$AA$228,21,FALSE)</f>
        <v>0.71</v>
      </c>
      <c r="P23" s="274">
        <f t="shared" si="2"/>
        <v>59.023083489247455</v>
      </c>
      <c r="Q23" s="274">
        <f t="shared" si="3"/>
        <v>16.921038382513672</v>
      </c>
      <c r="R23" s="274">
        <f t="shared" si="4"/>
        <v>75.944121871761126</v>
      </c>
      <c r="S23" s="274" t="str">
        <f t="shared" si="5"/>
        <v>Chêne-liège50ap</v>
      </c>
      <c r="T23" s="274">
        <f t="shared" si="6"/>
        <v>132.2693455933173</v>
      </c>
    </row>
    <row r="24" spans="1:20" x14ac:dyDescent="0.25">
      <c r="A24" s="268" t="str">
        <f>+LBC!$B$72</f>
        <v>Chêne-liège</v>
      </c>
      <c r="B24" s="268">
        <v>60</v>
      </c>
      <c r="C24" s="268">
        <v>37</v>
      </c>
      <c r="D24" s="268" t="s">
        <v>52</v>
      </c>
      <c r="E24" s="268">
        <v>37</v>
      </c>
      <c r="F24" s="268">
        <v>50</v>
      </c>
      <c r="G24" s="269">
        <v>1.570796326795</v>
      </c>
      <c r="H24" s="270">
        <v>26</v>
      </c>
      <c r="I24" s="272">
        <f t="shared" si="7"/>
        <v>2.9776382565053283</v>
      </c>
      <c r="J24" s="268">
        <f>+VLOOKUP('Autre source1'!$A$8,'Coef Feuillus divers'!$G$2:$AA$228,10,FALSE)</f>
        <v>0.52196460300000003</v>
      </c>
      <c r="K24" s="268">
        <f>+VLOOKUP('Autre source1'!$A$8,'Coef Feuillus divers'!$G$2:$AA$228,11,FALSE)</f>
        <v>0.66106715155860996</v>
      </c>
      <c r="L24" s="268">
        <f>+VLOOKUP('Autre source1'!$A$8,'Coef Feuillus divers'!$G$2:$AA$228,12,FALSE)</f>
        <v>-1.6572449999999999E-3</v>
      </c>
      <c r="M24" s="274">
        <f t="shared" si="0"/>
        <v>110.17261549069715</v>
      </c>
      <c r="N24" s="274">
        <f t="shared" si="1"/>
        <v>0</v>
      </c>
      <c r="O24" s="277">
        <f>+VLOOKUP(A24,'Coef Feuillus divers'!$G$2:$AA$228,21,FALSE)</f>
        <v>0.71</v>
      </c>
      <c r="P24" s="274">
        <f t="shared" si="2"/>
        <v>78.222556998394978</v>
      </c>
      <c r="Q24" s="274">
        <f t="shared" si="3"/>
        <v>21.702023403451822</v>
      </c>
      <c r="R24" s="274">
        <f t="shared" si="4"/>
        <v>99.924580401846796</v>
      </c>
      <c r="S24" s="274" t="str">
        <f t="shared" si="5"/>
        <v>Chêne-liège60av</v>
      </c>
      <c r="T24" s="274">
        <f t="shared" si="6"/>
        <v>174.03531086654982</v>
      </c>
    </row>
    <row r="25" spans="1:20" x14ac:dyDescent="0.25">
      <c r="A25" s="268" t="str">
        <f>+LBC!$B$72</f>
        <v>Chêne-liège</v>
      </c>
      <c r="B25" s="268">
        <v>60</v>
      </c>
      <c r="C25" s="268">
        <v>0</v>
      </c>
      <c r="D25" s="268" t="s">
        <v>53</v>
      </c>
      <c r="E25" s="268">
        <v>37</v>
      </c>
      <c r="F25" s="268">
        <v>50</v>
      </c>
      <c r="G25" s="269">
        <v>1.570796326795</v>
      </c>
      <c r="H25" s="270">
        <v>26</v>
      </c>
      <c r="I25" s="272">
        <f t="shared" si="7"/>
        <v>2.9776382565053283</v>
      </c>
      <c r="J25" s="268">
        <f>+VLOOKUP('Autre source1'!$A$8,'Coef Feuillus divers'!$G$2:$AA$228,10,FALSE)</f>
        <v>0.52196460300000003</v>
      </c>
      <c r="K25" s="268">
        <f>+VLOOKUP('Autre source1'!$A$8,'Coef Feuillus divers'!$G$2:$AA$228,11,FALSE)</f>
        <v>0.66106715155860996</v>
      </c>
      <c r="L25" s="268">
        <f>+VLOOKUP('Autre source1'!$A$8,'Coef Feuillus divers'!$G$2:$AA$228,12,FALSE)</f>
        <v>-1.6572449999999999E-3</v>
      </c>
      <c r="M25" s="274">
        <f t="shared" si="0"/>
        <v>0</v>
      </c>
      <c r="N25" s="274">
        <f t="shared" si="1"/>
        <v>110.17261549069715</v>
      </c>
      <c r="O25" s="277">
        <f>+VLOOKUP(A25,'Coef Feuillus divers'!$G$2:$AA$228,21,FALSE)</f>
        <v>0.71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Chêne-liège60ap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3:AG25"/>
  <sheetViews>
    <sheetView showGridLines="0" zoomScale="85" zoomScaleNormal="85" workbookViewId="0">
      <selection activeCell="D29" sqref="D29"/>
    </sheetView>
  </sheetViews>
  <sheetFormatPr baseColWidth="10" defaultColWidth="10.7109375" defaultRowHeight="15" x14ac:dyDescent="0.25"/>
  <cols>
    <col min="1" max="1" width="10.7109375" style="266"/>
    <col min="2" max="14" width="10.7109375" style="264"/>
    <col min="15" max="15" width="10.7109375" style="275"/>
    <col min="16" max="26" width="10.7109375" style="264"/>
    <col min="27" max="29" width="10.7109375" style="265"/>
    <col min="30" max="30" width="10.7109375" style="264"/>
    <col min="31" max="31" width="10.7109375" style="265"/>
    <col min="32" max="33" width="10.7109375" style="264"/>
    <col min="34" max="16384" width="10.7109375" style="266"/>
  </cols>
  <sheetData>
    <row r="3" spans="1:20" x14ac:dyDescent="0.25">
      <c r="J3" s="264" t="s">
        <v>1400</v>
      </c>
      <c r="K3">
        <v>3.14159265358979</v>
      </c>
    </row>
    <row r="7" spans="1:20" ht="48" x14ac:dyDescent="0.25">
      <c r="A7" s="262" t="s">
        <v>200</v>
      </c>
      <c r="B7" s="261" t="s">
        <v>205</v>
      </c>
      <c r="C7" s="262" t="s">
        <v>1390</v>
      </c>
      <c r="D7" s="262" t="s">
        <v>1391</v>
      </c>
      <c r="E7" s="262" t="s">
        <v>1392</v>
      </c>
      <c r="F7" s="262" t="s">
        <v>1393</v>
      </c>
      <c r="G7" s="263" t="s">
        <v>1394</v>
      </c>
      <c r="H7" s="262" t="s">
        <v>1395</v>
      </c>
      <c r="I7" s="271" t="s">
        <v>1396</v>
      </c>
      <c r="J7" s="262" t="s">
        <v>1397</v>
      </c>
      <c r="K7" s="262" t="s">
        <v>1398</v>
      </c>
      <c r="L7" s="262" t="s">
        <v>1399</v>
      </c>
      <c r="M7" s="273" t="s">
        <v>1401</v>
      </c>
      <c r="N7" s="273" t="s">
        <v>1402</v>
      </c>
      <c r="O7" s="276" t="s">
        <v>1403</v>
      </c>
      <c r="P7" s="273" t="s">
        <v>1404</v>
      </c>
      <c r="Q7" s="273" t="s">
        <v>1405</v>
      </c>
      <c r="R7" s="273" t="s">
        <v>1406</v>
      </c>
      <c r="S7" s="273" t="s">
        <v>1408</v>
      </c>
      <c r="T7" s="273" t="s">
        <v>1407</v>
      </c>
    </row>
    <row r="8" spans="1:20" x14ac:dyDescent="0.25">
      <c r="A8" s="268" t="str">
        <f>+LBC!$B$75</f>
        <v>Pin parasol</v>
      </c>
      <c r="B8" s="267">
        <v>12</v>
      </c>
      <c r="C8" s="268">
        <v>1100</v>
      </c>
      <c r="D8" s="268" t="s">
        <v>52</v>
      </c>
      <c r="E8" s="268">
        <v>300</v>
      </c>
      <c r="F8" s="268">
        <v>15</v>
      </c>
      <c r="G8" s="269">
        <v>0.4712388980385</v>
      </c>
      <c r="H8" s="270">
        <v>10</v>
      </c>
      <c r="I8" s="272">
        <f>+(H8*G8^2)/(4*$K$3*(1-(1.3/H8))^2)*(J8+K8*SQRT(G8)/H8+L8*H8/G8)</f>
        <v>0.11592312417557796</v>
      </c>
      <c r="J8" s="268">
        <f>+VLOOKUP('Autres sources2'!$A$8,'Coef Feuillus divers'!$G$2:$AA$228,10,FALSE)</f>
        <v>0.33229573185501998</v>
      </c>
      <c r="K8" s="268">
        <f>+VLOOKUP('Autres sources2'!$A$8,'Coef Feuillus divers'!$G$2:$AA$228,11,FALSE)</f>
        <v>1.7559231923802499</v>
      </c>
      <c r="L8" s="268">
        <f>+VLOOKUP('Autres sources2'!$A$8,'Coef Feuillus divers'!$G$2:$AA$228,12,FALSE)</f>
        <v>2.0586090419193099E-3</v>
      </c>
      <c r="M8" s="274">
        <f>+I8*C8</f>
        <v>127.51543659313575</v>
      </c>
      <c r="N8" s="274">
        <f>+IF(D8="av",0,E8*I8)</f>
        <v>0</v>
      </c>
      <c r="O8" s="277">
        <f>+VLOOKUP(A8,'Coef Feuillus divers'!$G$2:$AA$228,21,FALSE)</f>
        <v>0.45033333333333331</v>
      </c>
      <c r="P8" s="274">
        <f>+M8*O8</f>
        <v>57.424451612442127</v>
      </c>
      <c r="Q8" s="274">
        <f>EXP(-1.0587+0.8836*LN(P8)+0.284)</f>
        <v>16.515436148809524</v>
      </c>
      <c r="R8" s="274">
        <f>+Q8+P8</f>
        <v>73.939887761251654</v>
      </c>
      <c r="S8" s="274" t="str">
        <f>+_xlfn.CONCAT(A8,B8,D8)</f>
        <v>Pin parasol12av</v>
      </c>
      <c r="T8" s="274">
        <f>+R8*0.475*44/12</f>
        <v>128.77863785084662</v>
      </c>
    </row>
    <row r="9" spans="1:20" x14ac:dyDescent="0.25">
      <c r="A9" s="268" t="str">
        <f>+LBC!$B$75</f>
        <v>Pin parasol</v>
      </c>
      <c r="B9" s="267">
        <v>12</v>
      </c>
      <c r="C9" s="268">
        <v>800</v>
      </c>
      <c r="D9" s="268" t="s">
        <v>53</v>
      </c>
      <c r="E9" s="268">
        <v>300</v>
      </c>
      <c r="F9" s="268">
        <v>15</v>
      </c>
      <c r="G9" s="269">
        <v>0.4712388980385</v>
      </c>
      <c r="H9" s="270">
        <v>10</v>
      </c>
      <c r="I9" s="272">
        <f>+(H9*G9^2)/(4*$K$3*(1-(1.3/H9))^2)*(J9+K9*SQRT(G9)/H9+L9*H9/G9)</f>
        <v>0.11592312417557796</v>
      </c>
      <c r="J9" s="268">
        <f>+VLOOKUP('Autres sources2'!$A$8,'Coef Feuillus divers'!$G$2:$AA$228,10,FALSE)</f>
        <v>0.33229573185501998</v>
      </c>
      <c r="K9" s="268">
        <f>+VLOOKUP('Autres sources2'!$A$8,'Coef Feuillus divers'!$G$2:$AA$228,11,FALSE)</f>
        <v>1.7559231923802499</v>
      </c>
      <c r="L9" s="268">
        <f>+VLOOKUP('Autres sources2'!$A$8,'Coef Feuillus divers'!$G$2:$AA$228,12,FALSE)</f>
        <v>2.0586090419193099E-3</v>
      </c>
      <c r="M9" s="274">
        <f t="shared" ref="M9:M25" si="0">+I9*C9</f>
        <v>92.738499340462369</v>
      </c>
      <c r="N9" s="274">
        <f t="shared" ref="N9:N25" si="1">+IF(D9="av",0,E9*I9)</f>
        <v>34.776937252673385</v>
      </c>
      <c r="O9" s="277">
        <f>+VLOOKUP(A9,'Coef Feuillus divers'!$G$2:$AA$228,21,FALSE)</f>
        <v>0.45033333333333331</v>
      </c>
      <c r="P9" s="274">
        <f t="shared" ref="P9:P25" si="2">+M9*O9</f>
        <v>41.763237536321554</v>
      </c>
      <c r="Q9" s="274">
        <f t="shared" ref="Q9:Q25" si="3">EXP(-1.0587+0.8836*LN(P9)+0.284)</f>
        <v>12.464813449644396</v>
      </c>
      <c r="R9" s="274">
        <f t="shared" ref="R9:R25" si="4">+Q9+P9</f>
        <v>54.22805098596595</v>
      </c>
      <c r="S9" s="274" t="str">
        <f t="shared" ref="S9:S25" si="5">+_xlfn.CONCAT(A9,B9,D9)</f>
        <v>Pin parasol12ap</v>
      </c>
      <c r="T9" s="274">
        <f t="shared" ref="T9:T25" si="6">+R9*0.475*44/12</f>
        <v>94.447188800557356</v>
      </c>
    </row>
    <row r="10" spans="1:20" x14ac:dyDescent="0.25">
      <c r="A10" s="268" t="str">
        <f>+LBC!$B$75</f>
        <v>Pin parasol</v>
      </c>
      <c r="B10" s="267">
        <v>16</v>
      </c>
      <c r="C10" s="268">
        <v>800</v>
      </c>
      <c r="D10" s="268" t="s">
        <v>52</v>
      </c>
      <c r="E10" s="268">
        <v>200</v>
      </c>
      <c r="F10" s="268">
        <v>20</v>
      </c>
      <c r="G10" s="269">
        <v>0.62831853071799992</v>
      </c>
      <c r="H10" s="270">
        <v>12</v>
      </c>
      <c r="I10" s="272">
        <f t="shared" ref="I10:I25" si="7">+(H10*G10^2)/(4*$K$3*(1-(1.3/H10))^2)*(J10+K10*SQRT(G10)/H10+L10*H10/G10)</f>
        <v>0.23120129561763494</v>
      </c>
      <c r="J10" s="268">
        <f>+VLOOKUP('Autres sources2'!$A$8,'Coef Feuillus divers'!$G$2:$AA$228,10,FALSE)</f>
        <v>0.33229573185501998</v>
      </c>
      <c r="K10" s="268">
        <f>+VLOOKUP('Autres sources2'!$A$8,'Coef Feuillus divers'!$G$2:$AA$228,11,FALSE)</f>
        <v>1.7559231923802499</v>
      </c>
      <c r="L10" s="268">
        <f>+VLOOKUP('Autres sources2'!$A$8,'Coef Feuillus divers'!$G$2:$AA$228,12,FALSE)</f>
        <v>2.0586090419193099E-3</v>
      </c>
      <c r="M10" s="274">
        <f t="shared" si="0"/>
        <v>184.96103649410796</v>
      </c>
      <c r="N10" s="274">
        <f t="shared" si="1"/>
        <v>0</v>
      </c>
      <c r="O10" s="277">
        <f>+VLOOKUP(A10,'Coef Feuillus divers'!$G$2:$AA$228,21,FALSE)</f>
        <v>0.45033333333333331</v>
      </c>
      <c r="P10" s="274">
        <f t="shared" si="2"/>
        <v>83.294120101179942</v>
      </c>
      <c r="Q10" s="274">
        <f t="shared" si="3"/>
        <v>22.940712377319201</v>
      </c>
      <c r="R10" s="274">
        <f t="shared" si="4"/>
        <v>106.23483247849914</v>
      </c>
      <c r="S10" s="274" t="str">
        <f t="shared" si="5"/>
        <v>Pin parasol16av</v>
      </c>
      <c r="T10" s="274">
        <f t="shared" si="6"/>
        <v>185.02566656671934</v>
      </c>
    </row>
    <row r="11" spans="1:20" x14ac:dyDescent="0.25">
      <c r="A11" s="268" t="str">
        <f>+LBC!$B$75</f>
        <v>Pin parasol</v>
      </c>
      <c r="B11" s="267">
        <v>16</v>
      </c>
      <c r="C11" s="268">
        <v>600</v>
      </c>
      <c r="D11" s="268" t="s">
        <v>53</v>
      </c>
      <c r="E11" s="268">
        <v>200</v>
      </c>
      <c r="F11" s="268">
        <v>20</v>
      </c>
      <c r="G11" s="269">
        <v>0.62831853071799992</v>
      </c>
      <c r="H11" s="270">
        <v>12</v>
      </c>
      <c r="I11" s="272">
        <f t="shared" si="7"/>
        <v>0.23120129561763494</v>
      </c>
      <c r="J11" s="268">
        <f>+VLOOKUP('Autres sources2'!$A$8,'Coef Feuillus divers'!$G$2:$AA$228,10,FALSE)</f>
        <v>0.33229573185501998</v>
      </c>
      <c r="K11" s="268">
        <f>+VLOOKUP('Autres sources2'!$A$8,'Coef Feuillus divers'!$G$2:$AA$228,11,FALSE)</f>
        <v>1.7559231923802499</v>
      </c>
      <c r="L11" s="268">
        <f>+VLOOKUP('Autres sources2'!$A$8,'Coef Feuillus divers'!$G$2:$AA$228,12,FALSE)</f>
        <v>2.0586090419193099E-3</v>
      </c>
      <c r="M11" s="274">
        <f t="shared" si="0"/>
        <v>138.72077737058098</v>
      </c>
      <c r="N11" s="274">
        <f t="shared" si="1"/>
        <v>46.24025912352699</v>
      </c>
      <c r="O11" s="277">
        <f>+VLOOKUP(A11,'Coef Feuillus divers'!$G$2:$AA$228,21,FALSE)</f>
        <v>0.45033333333333331</v>
      </c>
      <c r="P11" s="274">
        <f t="shared" si="2"/>
        <v>62.470590075884964</v>
      </c>
      <c r="Q11" s="274">
        <f t="shared" si="3"/>
        <v>17.791437210038662</v>
      </c>
      <c r="R11" s="274">
        <f t="shared" si="4"/>
        <v>80.262027285923622</v>
      </c>
      <c r="S11" s="274" t="str">
        <f t="shared" si="5"/>
        <v>Pin parasol16ap</v>
      </c>
      <c r="T11" s="274">
        <f t="shared" si="6"/>
        <v>139.78969752298363</v>
      </c>
    </row>
    <row r="12" spans="1:20" x14ac:dyDescent="0.25">
      <c r="A12" s="268" t="str">
        <f>+LBC!$B$75</f>
        <v>Pin parasol</v>
      </c>
      <c r="B12" s="267">
        <v>20</v>
      </c>
      <c r="C12" s="268">
        <v>600</v>
      </c>
      <c r="D12" s="268" t="s">
        <v>52</v>
      </c>
      <c r="E12" s="268">
        <v>200</v>
      </c>
      <c r="F12" s="268">
        <v>25</v>
      </c>
      <c r="G12" s="269">
        <v>0.78539816339750002</v>
      </c>
      <c r="H12" s="270">
        <v>14</v>
      </c>
      <c r="I12" s="272">
        <f t="shared" si="7"/>
        <v>0.40097611639709635</v>
      </c>
      <c r="J12" s="268">
        <f>+VLOOKUP('Autres sources2'!$A$8,'Coef Feuillus divers'!$G$2:$AA$228,10,FALSE)</f>
        <v>0.33229573185501998</v>
      </c>
      <c r="K12" s="268">
        <f>+VLOOKUP('Autres sources2'!$A$8,'Coef Feuillus divers'!$G$2:$AA$228,11,FALSE)</f>
        <v>1.7559231923802499</v>
      </c>
      <c r="L12" s="268">
        <f>+VLOOKUP('Autres sources2'!$A$8,'Coef Feuillus divers'!$G$2:$AA$228,12,FALSE)</f>
        <v>2.0586090419193099E-3</v>
      </c>
      <c r="M12" s="274">
        <f t="shared" si="0"/>
        <v>240.58566983825781</v>
      </c>
      <c r="N12" s="274">
        <f t="shared" si="1"/>
        <v>0</v>
      </c>
      <c r="O12" s="277">
        <f>+VLOOKUP(A12,'Coef Feuillus divers'!$G$2:$AA$228,21,FALSE)</f>
        <v>0.45033333333333331</v>
      </c>
      <c r="P12" s="274">
        <f t="shared" si="2"/>
        <v>108.34374665049543</v>
      </c>
      <c r="Q12" s="274">
        <f t="shared" si="3"/>
        <v>28.940414475082893</v>
      </c>
      <c r="R12" s="274">
        <f t="shared" si="4"/>
        <v>137.28416112557832</v>
      </c>
      <c r="S12" s="274" t="str">
        <f t="shared" si="5"/>
        <v>Pin parasol20av</v>
      </c>
      <c r="T12" s="274">
        <f t="shared" si="6"/>
        <v>239.10324729371555</v>
      </c>
    </row>
    <row r="13" spans="1:20" x14ac:dyDescent="0.25">
      <c r="A13" s="268" t="str">
        <f>+LBC!$B$75</f>
        <v>Pin parasol</v>
      </c>
      <c r="B13" s="267">
        <v>20</v>
      </c>
      <c r="C13" s="268">
        <v>400</v>
      </c>
      <c r="D13" s="268" t="s">
        <v>53</v>
      </c>
      <c r="E13" s="268">
        <v>200</v>
      </c>
      <c r="F13" s="268">
        <v>25</v>
      </c>
      <c r="G13" s="269">
        <v>0.78539816339750002</v>
      </c>
      <c r="H13" s="270">
        <v>14</v>
      </c>
      <c r="I13" s="272">
        <f t="shared" si="7"/>
        <v>0.40097611639709635</v>
      </c>
      <c r="J13" s="268">
        <f>+VLOOKUP('Autres sources2'!$A$8,'Coef Feuillus divers'!$G$2:$AA$228,10,FALSE)</f>
        <v>0.33229573185501998</v>
      </c>
      <c r="K13" s="268">
        <f>+VLOOKUP('Autres sources2'!$A$8,'Coef Feuillus divers'!$G$2:$AA$228,11,FALSE)</f>
        <v>1.7559231923802499</v>
      </c>
      <c r="L13" s="268">
        <f>+VLOOKUP('Autres sources2'!$A$8,'Coef Feuillus divers'!$G$2:$AA$228,12,FALSE)</f>
        <v>2.0586090419193099E-3</v>
      </c>
      <c r="M13" s="274">
        <f t="shared" si="0"/>
        <v>160.39044655883853</v>
      </c>
      <c r="N13" s="274">
        <f t="shared" si="1"/>
        <v>80.195223279419267</v>
      </c>
      <c r="O13" s="277">
        <f>+VLOOKUP(A13,'Coef Feuillus divers'!$G$2:$AA$228,21,FALSE)</f>
        <v>0.45033333333333331</v>
      </c>
      <c r="P13" s="274">
        <f t="shared" si="2"/>
        <v>72.229164433663612</v>
      </c>
      <c r="Q13" s="274">
        <f t="shared" si="3"/>
        <v>20.226023623418143</v>
      </c>
      <c r="R13" s="274">
        <f t="shared" si="4"/>
        <v>92.455188057081756</v>
      </c>
      <c r="S13" s="274" t="str">
        <f t="shared" si="5"/>
        <v>Pin parasol20ap</v>
      </c>
      <c r="T13" s="274">
        <f t="shared" si="6"/>
        <v>161.02611919941739</v>
      </c>
    </row>
    <row r="14" spans="1:20" x14ac:dyDescent="0.25">
      <c r="A14" s="268" t="str">
        <f>+LBC!$B$75</f>
        <v>Pin parasol</v>
      </c>
      <c r="B14" s="267">
        <v>25</v>
      </c>
      <c r="C14" s="268">
        <v>400</v>
      </c>
      <c r="D14" s="268" t="s">
        <v>52</v>
      </c>
      <c r="E14" s="268">
        <v>120</v>
      </c>
      <c r="F14" s="268">
        <v>30</v>
      </c>
      <c r="G14" s="269">
        <v>0.942477796077</v>
      </c>
      <c r="H14" s="270">
        <v>16</v>
      </c>
      <c r="I14" s="272">
        <f t="shared" si="7"/>
        <v>0.63480411491726207</v>
      </c>
      <c r="J14" s="268">
        <f>+VLOOKUP('Autres sources2'!$A$8,'Coef Feuillus divers'!$G$2:$AA$228,10,FALSE)</f>
        <v>0.33229573185501998</v>
      </c>
      <c r="K14" s="268">
        <f>+VLOOKUP('Autres sources2'!$A$8,'Coef Feuillus divers'!$G$2:$AA$228,11,FALSE)</f>
        <v>1.7559231923802499</v>
      </c>
      <c r="L14" s="268">
        <f>+VLOOKUP('Autres sources2'!$A$8,'Coef Feuillus divers'!$G$2:$AA$228,12,FALSE)</f>
        <v>2.0586090419193099E-3</v>
      </c>
      <c r="M14" s="274">
        <f t="shared" si="0"/>
        <v>253.92164596690483</v>
      </c>
      <c r="N14" s="274">
        <f t="shared" si="1"/>
        <v>0</v>
      </c>
      <c r="O14" s="277">
        <f>+VLOOKUP(A14,'Coef Feuillus divers'!$G$2:$AA$228,21,FALSE)</f>
        <v>0.45033333333333331</v>
      </c>
      <c r="P14" s="274">
        <f t="shared" si="2"/>
        <v>114.3493812337628</v>
      </c>
      <c r="Q14" s="274">
        <f t="shared" si="3"/>
        <v>30.353408536028034</v>
      </c>
      <c r="R14" s="274">
        <f t="shared" si="4"/>
        <v>144.70278976979083</v>
      </c>
      <c r="S14" s="274" t="str">
        <f t="shared" si="5"/>
        <v>Pin parasol25av</v>
      </c>
      <c r="T14" s="274">
        <f t="shared" si="6"/>
        <v>252.02402551571902</v>
      </c>
    </row>
    <row r="15" spans="1:20" x14ac:dyDescent="0.25">
      <c r="A15" s="268" t="str">
        <f>+LBC!$B$75</f>
        <v>Pin parasol</v>
      </c>
      <c r="B15" s="267">
        <v>25</v>
      </c>
      <c r="C15" s="268">
        <v>280</v>
      </c>
      <c r="D15" s="268" t="s">
        <v>53</v>
      </c>
      <c r="E15" s="268">
        <v>120</v>
      </c>
      <c r="F15" s="268">
        <v>30</v>
      </c>
      <c r="G15" s="269">
        <v>0.942477796077</v>
      </c>
      <c r="H15" s="270">
        <v>16</v>
      </c>
      <c r="I15" s="272">
        <f t="shared" si="7"/>
        <v>0.63480411491726207</v>
      </c>
      <c r="J15" s="268">
        <f>+VLOOKUP('Autres sources2'!$A$8,'Coef Feuillus divers'!$G$2:$AA$228,10,FALSE)</f>
        <v>0.33229573185501998</v>
      </c>
      <c r="K15" s="268">
        <f>+VLOOKUP('Autres sources2'!$A$8,'Coef Feuillus divers'!$G$2:$AA$228,11,FALSE)</f>
        <v>1.7559231923802499</v>
      </c>
      <c r="L15" s="268">
        <f>+VLOOKUP('Autres sources2'!$A$8,'Coef Feuillus divers'!$G$2:$AA$228,12,FALSE)</f>
        <v>2.0586090419193099E-3</v>
      </c>
      <c r="M15" s="274">
        <f t="shared" si="0"/>
        <v>177.74515217683339</v>
      </c>
      <c r="N15" s="274">
        <f t="shared" si="1"/>
        <v>76.176493790071447</v>
      </c>
      <c r="O15" s="277">
        <f>+VLOOKUP(A15,'Coef Feuillus divers'!$G$2:$AA$228,21,FALSE)</f>
        <v>0.45033333333333331</v>
      </c>
      <c r="P15" s="274">
        <f t="shared" si="2"/>
        <v>80.04456686363396</v>
      </c>
      <c r="Q15" s="274">
        <f t="shared" si="3"/>
        <v>22.14808060528156</v>
      </c>
      <c r="R15" s="274">
        <f t="shared" si="4"/>
        <v>102.19264746891552</v>
      </c>
      <c r="S15" s="274" t="str">
        <f t="shared" si="5"/>
        <v>Pin parasol25ap</v>
      </c>
      <c r="T15" s="274">
        <f t="shared" si="6"/>
        <v>177.9855276750279</v>
      </c>
    </row>
    <row r="16" spans="1:20" x14ac:dyDescent="0.25">
      <c r="A16" s="268" t="str">
        <f>+LBC!$B$75</f>
        <v>Pin parasol</v>
      </c>
      <c r="B16" s="267">
        <v>30</v>
      </c>
      <c r="C16" s="268">
        <v>280</v>
      </c>
      <c r="D16" s="268" t="s">
        <v>52</v>
      </c>
      <c r="E16" s="268">
        <v>80</v>
      </c>
      <c r="F16" s="268">
        <v>30</v>
      </c>
      <c r="G16" s="269">
        <v>0.942477796077</v>
      </c>
      <c r="H16" s="270">
        <v>18</v>
      </c>
      <c r="I16" s="272">
        <f t="shared" si="7"/>
        <v>0.68928302274807018</v>
      </c>
      <c r="J16" s="268">
        <f>+VLOOKUP('Autres sources2'!$A$8,'Coef Feuillus divers'!$G$2:$AA$228,10,FALSE)</f>
        <v>0.33229573185501998</v>
      </c>
      <c r="K16" s="268">
        <f>+VLOOKUP('Autres sources2'!$A$8,'Coef Feuillus divers'!$G$2:$AA$228,11,FALSE)</f>
        <v>1.7559231923802499</v>
      </c>
      <c r="L16" s="268">
        <f>+VLOOKUP('Autres sources2'!$A$8,'Coef Feuillus divers'!$G$2:$AA$228,12,FALSE)</f>
        <v>2.0586090419193099E-3</v>
      </c>
      <c r="M16" s="274">
        <f t="shared" si="0"/>
        <v>192.99924636945966</v>
      </c>
      <c r="N16" s="274">
        <f t="shared" si="1"/>
        <v>0</v>
      </c>
      <c r="O16" s="277">
        <f>+VLOOKUP(A16,'Coef Feuillus divers'!$G$2:$AA$228,21,FALSE)</f>
        <v>0.45033333333333331</v>
      </c>
      <c r="P16" s="274">
        <f t="shared" si="2"/>
        <v>86.913993948379996</v>
      </c>
      <c r="Q16" s="274">
        <f t="shared" si="3"/>
        <v>23.819450062767796</v>
      </c>
      <c r="R16" s="274">
        <f t="shared" si="4"/>
        <v>110.7334440111478</v>
      </c>
      <c r="S16" s="274" t="str">
        <f t="shared" si="5"/>
        <v>Pin parasol30av</v>
      </c>
      <c r="T16" s="274">
        <f t="shared" si="6"/>
        <v>192.86074831941573</v>
      </c>
    </row>
    <row r="17" spans="1:20" x14ac:dyDescent="0.25">
      <c r="A17" s="268" t="str">
        <f>+LBC!$B$75</f>
        <v>Pin parasol</v>
      </c>
      <c r="B17" s="267">
        <v>30</v>
      </c>
      <c r="C17" s="268">
        <v>200</v>
      </c>
      <c r="D17" s="268" t="s">
        <v>53</v>
      </c>
      <c r="E17" s="268">
        <v>80</v>
      </c>
      <c r="F17" s="268">
        <v>30</v>
      </c>
      <c r="G17" s="269">
        <v>0.942477796077</v>
      </c>
      <c r="H17" s="270">
        <v>18</v>
      </c>
      <c r="I17" s="272">
        <f t="shared" si="7"/>
        <v>0.68928302274807018</v>
      </c>
      <c r="J17" s="268">
        <f>+VLOOKUP('Autres sources2'!$A$8,'Coef Feuillus divers'!$G$2:$AA$228,10,FALSE)</f>
        <v>0.33229573185501998</v>
      </c>
      <c r="K17" s="268">
        <f>+VLOOKUP('Autres sources2'!$A$8,'Coef Feuillus divers'!$G$2:$AA$228,11,FALSE)</f>
        <v>1.7559231923802499</v>
      </c>
      <c r="L17" s="268">
        <f>+VLOOKUP('Autres sources2'!$A$8,'Coef Feuillus divers'!$G$2:$AA$228,12,FALSE)</f>
        <v>2.0586090419193099E-3</v>
      </c>
      <c r="M17" s="274">
        <f t="shared" si="0"/>
        <v>137.85660454961405</v>
      </c>
      <c r="N17" s="274">
        <f t="shared" si="1"/>
        <v>55.142641819845615</v>
      </c>
      <c r="O17" s="277">
        <f>+VLOOKUP(A17,'Coef Feuillus divers'!$G$2:$AA$228,21,FALSE)</f>
        <v>0.45033333333333331</v>
      </c>
      <c r="P17" s="274">
        <f t="shared" si="2"/>
        <v>62.081424248842858</v>
      </c>
      <c r="Q17" s="274">
        <f t="shared" si="3"/>
        <v>17.693469349248126</v>
      </c>
      <c r="R17" s="274">
        <f t="shared" si="4"/>
        <v>79.774893598090983</v>
      </c>
      <c r="S17" s="274" t="str">
        <f t="shared" si="5"/>
        <v>Pin parasol30ap</v>
      </c>
      <c r="T17" s="274">
        <f t="shared" si="6"/>
        <v>138.94127301667513</v>
      </c>
    </row>
    <row r="18" spans="1:20" x14ac:dyDescent="0.25">
      <c r="A18" s="268" t="str">
        <f>+LBC!$B$75</f>
        <v>Pin parasol</v>
      </c>
      <c r="B18" s="267">
        <v>36</v>
      </c>
      <c r="C18" s="268">
        <v>200</v>
      </c>
      <c r="D18" s="268" t="s">
        <v>52</v>
      </c>
      <c r="E18" s="268">
        <v>60</v>
      </c>
      <c r="F18" s="268">
        <v>35</v>
      </c>
      <c r="G18" s="269">
        <v>1.0995574287565</v>
      </c>
      <c r="H18" s="270">
        <v>20</v>
      </c>
      <c r="I18" s="272">
        <f t="shared" si="7"/>
        <v>1.0164579444794224</v>
      </c>
      <c r="J18" s="268">
        <f>+VLOOKUP('Autres sources2'!$A$8,'Coef Feuillus divers'!$G$2:$AA$228,10,FALSE)</f>
        <v>0.33229573185501998</v>
      </c>
      <c r="K18" s="268">
        <f>+VLOOKUP('Autres sources2'!$A$8,'Coef Feuillus divers'!$G$2:$AA$228,11,FALSE)</f>
        <v>1.7559231923802499</v>
      </c>
      <c r="L18" s="268">
        <f>+VLOOKUP('Autres sources2'!$A$8,'Coef Feuillus divers'!$G$2:$AA$228,12,FALSE)</f>
        <v>2.0586090419193099E-3</v>
      </c>
      <c r="M18" s="274">
        <f t="shared" si="0"/>
        <v>203.29158889588447</v>
      </c>
      <c r="N18" s="274">
        <f t="shared" si="1"/>
        <v>0</v>
      </c>
      <c r="O18" s="277">
        <f>+VLOOKUP(A18,'Coef Feuillus divers'!$G$2:$AA$228,21,FALSE)</f>
        <v>0.45033333333333331</v>
      </c>
      <c r="P18" s="274">
        <f t="shared" si="2"/>
        <v>91.548978866113302</v>
      </c>
      <c r="Q18" s="274">
        <f t="shared" si="3"/>
        <v>24.938429570757496</v>
      </c>
      <c r="R18" s="274">
        <f t="shared" si="4"/>
        <v>116.48740843687079</v>
      </c>
      <c r="S18" s="274" t="str">
        <f t="shared" si="5"/>
        <v>Pin parasol36av</v>
      </c>
      <c r="T18" s="274">
        <f t="shared" si="6"/>
        <v>202.8822363608833</v>
      </c>
    </row>
    <row r="19" spans="1:20" x14ac:dyDescent="0.25">
      <c r="A19" s="268" t="str">
        <f>+LBC!$B$75</f>
        <v>Pin parasol</v>
      </c>
      <c r="B19" s="267">
        <v>36</v>
      </c>
      <c r="C19" s="268">
        <v>140</v>
      </c>
      <c r="D19" s="268" t="s">
        <v>53</v>
      </c>
      <c r="E19" s="268">
        <v>60</v>
      </c>
      <c r="F19" s="268">
        <v>35</v>
      </c>
      <c r="G19" s="269">
        <v>1.0995574287565</v>
      </c>
      <c r="H19" s="270">
        <v>20</v>
      </c>
      <c r="I19" s="272">
        <f t="shared" si="7"/>
        <v>1.0164579444794224</v>
      </c>
      <c r="J19" s="268">
        <f>+VLOOKUP('Autres sources2'!$A$8,'Coef Feuillus divers'!$G$2:$AA$228,10,FALSE)</f>
        <v>0.33229573185501998</v>
      </c>
      <c r="K19" s="268">
        <f>+VLOOKUP('Autres sources2'!$A$8,'Coef Feuillus divers'!$G$2:$AA$228,11,FALSE)</f>
        <v>1.7559231923802499</v>
      </c>
      <c r="L19" s="268">
        <f>+VLOOKUP('Autres sources2'!$A$8,'Coef Feuillus divers'!$G$2:$AA$228,12,FALSE)</f>
        <v>2.0586090419193099E-3</v>
      </c>
      <c r="M19" s="274">
        <f t="shared" si="0"/>
        <v>142.30411222711913</v>
      </c>
      <c r="N19" s="274">
        <f t="shared" si="1"/>
        <v>60.987476668765346</v>
      </c>
      <c r="O19" s="277">
        <f>+VLOOKUP(A19,'Coef Feuillus divers'!$G$2:$AA$228,21,FALSE)</f>
        <v>0.45033333333333331</v>
      </c>
      <c r="P19" s="274">
        <f t="shared" si="2"/>
        <v>64.084285206279318</v>
      </c>
      <c r="Q19" s="274">
        <f t="shared" si="3"/>
        <v>18.196913458555247</v>
      </c>
      <c r="R19" s="274">
        <f t="shared" si="4"/>
        <v>82.281198664834562</v>
      </c>
      <c r="S19" s="274" t="str">
        <f t="shared" si="5"/>
        <v>Pin parasol36ap</v>
      </c>
      <c r="T19" s="274">
        <f t="shared" si="6"/>
        <v>143.30642100792019</v>
      </c>
    </row>
    <row r="20" spans="1:20" x14ac:dyDescent="0.25">
      <c r="A20" s="268" t="str">
        <f>+LBC!$B$75</f>
        <v>Pin parasol</v>
      </c>
      <c r="B20" s="267">
        <v>43</v>
      </c>
      <c r="C20" s="268">
        <v>140</v>
      </c>
      <c r="D20" s="268" t="s">
        <v>52</v>
      </c>
      <c r="E20" s="268">
        <v>50</v>
      </c>
      <c r="F20" s="268">
        <v>40</v>
      </c>
      <c r="G20" s="269">
        <v>1.2566370614359998</v>
      </c>
      <c r="H20" s="270">
        <v>22</v>
      </c>
      <c r="I20" s="272">
        <f t="shared" si="7"/>
        <v>1.4296199843705399</v>
      </c>
      <c r="J20" s="268">
        <f>+VLOOKUP('Autres sources2'!$A$8,'Coef Feuillus divers'!$G$2:$AA$228,10,FALSE)</f>
        <v>0.33229573185501998</v>
      </c>
      <c r="K20" s="268">
        <f>+VLOOKUP('Autres sources2'!$A$8,'Coef Feuillus divers'!$G$2:$AA$228,11,FALSE)</f>
        <v>1.7559231923802499</v>
      </c>
      <c r="L20" s="268">
        <f>+VLOOKUP('Autres sources2'!$A$8,'Coef Feuillus divers'!$G$2:$AA$228,12,FALSE)</f>
        <v>2.0586090419193099E-3</v>
      </c>
      <c r="M20" s="274">
        <f t="shared" si="0"/>
        <v>200.14679781187559</v>
      </c>
      <c r="N20" s="274">
        <f t="shared" si="1"/>
        <v>0</v>
      </c>
      <c r="O20" s="277">
        <f>+VLOOKUP(A20,'Coef Feuillus divers'!$G$2:$AA$228,21,FALSE)</f>
        <v>0.45033333333333331</v>
      </c>
      <c r="P20" s="274">
        <f t="shared" si="2"/>
        <v>90.132774614614632</v>
      </c>
      <c r="Q20" s="274">
        <f t="shared" si="3"/>
        <v>24.597244285815133</v>
      </c>
      <c r="R20" s="274">
        <f t="shared" si="4"/>
        <v>114.73001890042977</v>
      </c>
      <c r="S20" s="274" t="str">
        <f t="shared" si="5"/>
        <v>Pin parasol43av</v>
      </c>
      <c r="T20" s="274">
        <f t="shared" si="6"/>
        <v>199.82144958491517</v>
      </c>
    </row>
    <row r="21" spans="1:20" x14ac:dyDescent="0.25">
      <c r="A21" s="268" t="str">
        <f>+LBC!$B$75</f>
        <v>Pin parasol</v>
      </c>
      <c r="B21" s="267">
        <v>43</v>
      </c>
      <c r="C21" s="267">
        <v>90</v>
      </c>
      <c r="D21" s="268" t="s">
        <v>53</v>
      </c>
      <c r="E21" s="268">
        <v>50</v>
      </c>
      <c r="F21" s="268">
        <v>40</v>
      </c>
      <c r="G21" s="269">
        <v>1.2566370614359998</v>
      </c>
      <c r="H21" s="270">
        <v>22</v>
      </c>
      <c r="I21" s="272">
        <f t="shared" si="7"/>
        <v>1.4296199843705399</v>
      </c>
      <c r="J21" s="268">
        <f>+VLOOKUP('Autres sources2'!$A$8,'Coef Feuillus divers'!$G$2:$AA$228,10,FALSE)</f>
        <v>0.33229573185501998</v>
      </c>
      <c r="K21" s="268">
        <f>+VLOOKUP('Autres sources2'!$A$8,'Coef Feuillus divers'!$G$2:$AA$228,11,FALSE)</f>
        <v>1.7559231923802499</v>
      </c>
      <c r="L21" s="268">
        <f>+VLOOKUP('Autres sources2'!$A$8,'Coef Feuillus divers'!$G$2:$AA$228,12,FALSE)</f>
        <v>2.0586090419193099E-3</v>
      </c>
      <c r="M21" s="274">
        <f t="shared" si="0"/>
        <v>128.6657985933486</v>
      </c>
      <c r="N21" s="274">
        <f t="shared" si="1"/>
        <v>71.480999218527003</v>
      </c>
      <c r="O21" s="277">
        <f>+VLOOKUP(A21,'Coef Feuillus divers'!$G$2:$AA$228,21,FALSE)</f>
        <v>0.45033333333333331</v>
      </c>
      <c r="P21" s="274">
        <f t="shared" si="2"/>
        <v>57.942497966537985</v>
      </c>
      <c r="Q21" s="274">
        <f t="shared" si="3"/>
        <v>16.647016244750656</v>
      </c>
      <c r="R21" s="274">
        <f t="shared" si="4"/>
        <v>74.589514211288645</v>
      </c>
      <c r="S21" s="274" t="str">
        <f t="shared" si="5"/>
        <v>Pin parasol43ap</v>
      </c>
      <c r="T21" s="274">
        <f t="shared" si="6"/>
        <v>129.91007058466107</v>
      </c>
    </row>
    <row r="22" spans="1:20" x14ac:dyDescent="0.25">
      <c r="A22" s="268" t="str">
        <f>+LBC!$B$75</f>
        <v>Pin parasol</v>
      </c>
      <c r="B22" s="268">
        <v>50</v>
      </c>
      <c r="C22" s="268">
        <v>90</v>
      </c>
      <c r="D22" s="268" t="s">
        <v>52</v>
      </c>
      <c r="E22" s="268">
        <v>30</v>
      </c>
      <c r="F22" s="268">
        <v>45</v>
      </c>
      <c r="G22" s="269">
        <v>1.4137166941155002</v>
      </c>
      <c r="H22" s="270">
        <v>24</v>
      </c>
      <c r="I22" s="272">
        <f t="shared" si="7"/>
        <v>1.9381059196870372</v>
      </c>
      <c r="J22" s="268">
        <f>+VLOOKUP('Autres sources2'!$A$8,'Coef Feuillus divers'!$G$2:$AA$228,10,FALSE)</f>
        <v>0.33229573185501998</v>
      </c>
      <c r="K22" s="268">
        <f>+VLOOKUP('Autres sources2'!$A$8,'Coef Feuillus divers'!$G$2:$AA$228,11,FALSE)</f>
        <v>1.7559231923802499</v>
      </c>
      <c r="L22" s="268">
        <f>+VLOOKUP('Autres sources2'!$A$8,'Coef Feuillus divers'!$G$2:$AA$228,12,FALSE)</f>
        <v>2.0586090419193099E-3</v>
      </c>
      <c r="M22" s="274">
        <f t="shared" si="0"/>
        <v>174.42953277183335</v>
      </c>
      <c r="N22" s="274">
        <f t="shared" si="1"/>
        <v>0</v>
      </c>
      <c r="O22" s="277">
        <f>+VLOOKUP(A22,'Coef Feuillus divers'!$G$2:$AA$228,21,FALSE)</f>
        <v>0.45033333333333331</v>
      </c>
      <c r="P22" s="274">
        <f t="shared" si="2"/>
        <v>78.551432924915616</v>
      </c>
      <c r="Q22" s="274">
        <f t="shared" si="3"/>
        <v>21.782626160012384</v>
      </c>
      <c r="R22" s="274">
        <f t="shared" si="4"/>
        <v>100.334059084928</v>
      </c>
      <c r="S22" s="274" t="str">
        <f t="shared" si="5"/>
        <v>Pin parasol50av</v>
      </c>
      <c r="T22" s="274">
        <f t="shared" si="6"/>
        <v>174.74848623958295</v>
      </c>
    </row>
    <row r="23" spans="1:20" x14ac:dyDescent="0.25">
      <c r="A23" s="268" t="str">
        <f>+LBC!$B$75</f>
        <v>Pin parasol</v>
      </c>
      <c r="B23" s="268">
        <v>50</v>
      </c>
      <c r="C23" s="268">
        <v>60</v>
      </c>
      <c r="D23" s="268" t="s">
        <v>53</v>
      </c>
      <c r="E23" s="268">
        <v>30</v>
      </c>
      <c r="F23" s="268">
        <v>45</v>
      </c>
      <c r="G23" s="269">
        <v>1.4137166941155002</v>
      </c>
      <c r="H23" s="270">
        <v>24</v>
      </c>
      <c r="I23" s="272">
        <f t="shared" si="7"/>
        <v>1.9381059196870372</v>
      </c>
      <c r="J23" s="268">
        <f>+VLOOKUP('Autres sources2'!$A$8,'Coef Feuillus divers'!$G$2:$AA$228,10,FALSE)</f>
        <v>0.33229573185501998</v>
      </c>
      <c r="K23" s="268">
        <f>+VLOOKUP('Autres sources2'!$A$8,'Coef Feuillus divers'!$G$2:$AA$228,11,FALSE)</f>
        <v>1.7559231923802499</v>
      </c>
      <c r="L23" s="268">
        <f>+VLOOKUP('Autres sources2'!$A$8,'Coef Feuillus divers'!$G$2:$AA$228,12,FALSE)</f>
        <v>2.0586090419193099E-3</v>
      </c>
      <c r="M23" s="274">
        <f t="shared" si="0"/>
        <v>116.28635518122223</v>
      </c>
      <c r="N23" s="274">
        <f t="shared" si="1"/>
        <v>58.143177590611117</v>
      </c>
      <c r="O23" s="277">
        <f>+VLOOKUP(A23,'Coef Feuillus divers'!$G$2:$AA$228,21,FALSE)</f>
        <v>0.45033333333333331</v>
      </c>
      <c r="P23" s="274">
        <f t="shared" si="2"/>
        <v>52.367621949943747</v>
      </c>
      <c r="Q23" s="274">
        <f t="shared" si="3"/>
        <v>15.223552229074791</v>
      </c>
      <c r="R23" s="274">
        <f t="shared" si="4"/>
        <v>67.591174179018537</v>
      </c>
      <c r="S23" s="274" t="str">
        <f t="shared" si="5"/>
        <v>Pin parasol50ap</v>
      </c>
      <c r="T23" s="274">
        <f t="shared" si="6"/>
        <v>117.72129502845729</v>
      </c>
    </row>
    <row r="24" spans="1:20" x14ac:dyDescent="0.25">
      <c r="A24" s="268" t="str">
        <f>+LBC!$B$75</f>
        <v>Pin parasol</v>
      </c>
      <c r="B24" s="268">
        <v>60</v>
      </c>
      <c r="C24" s="268">
        <v>60</v>
      </c>
      <c r="D24" s="268" t="s">
        <v>52</v>
      </c>
      <c r="E24" s="268">
        <v>60</v>
      </c>
      <c r="F24" s="268">
        <v>50</v>
      </c>
      <c r="G24" s="269">
        <v>1.570796326795</v>
      </c>
      <c r="H24" s="270">
        <v>26</v>
      </c>
      <c r="I24" s="272">
        <f t="shared" si="7"/>
        <v>2.5512049410476689</v>
      </c>
      <c r="J24" s="268">
        <f>+VLOOKUP('Autres sources2'!$A$8,'Coef Feuillus divers'!$G$2:$AA$228,10,FALSE)</f>
        <v>0.33229573185501998</v>
      </c>
      <c r="K24" s="268">
        <f>+VLOOKUP('Autres sources2'!$A$8,'Coef Feuillus divers'!$G$2:$AA$228,11,FALSE)</f>
        <v>1.7559231923802499</v>
      </c>
      <c r="L24" s="268">
        <f>+VLOOKUP('Autres sources2'!$A$8,'Coef Feuillus divers'!$G$2:$AA$228,12,FALSE)</f>
        <v>2.0586090419193099E-3</v>
      </c>
      <c r="M24" s="274">
        <f t="shared" si="0"/>
        <v>153.07229646286012</v>
      </c>
      <c r="N24" s="274">
        <f t="shared" si="1"/>
        <v>0</v>
      </c>
      <c r="O24" s="277">
        <f>+VLOOKUP(A24,'Coef Feuillus divers'!$G$2:$AA$228,21,FALSE)</f>
        <v>0.45033333333333331</v>
      </c>
      <c r="P24" s="274">
        <f t="shared" si="2"/>
        <v>68.933557507108006</v>
      </c>
      <c r="Q24" s="274">
        <f t="shared" si="3"/>
        <v>19.408386150423294</v>
      </c>
      <c r="R24" s="274">
        <f t="shared" si="4"/>
        <v>88.341943657531303</v>
      </c>
      <c r="S24" s="274" t="str">
        <f t="shared" si="5"/>
        <v>Pin parasol60av</v>
      </c>
      <c r="T24" s="274">
        <f t="shared" si="6"/>
        <v>153.862218536867</v>
      </c>
    </row>
    <row r="25" spans="1:20" x14ac:dyDescent="0.25">
      <c r="A25" s="268" t="str">
        <f>+LBC!$B$75</f>
        <v>Pin parasol</v>
      </c>
      <c r="B25" s="268">
        <v>60</v>
      </c>
      <c r="C25" s="268">
        <v>0</v>
      </c>
      <c r="D25" s="268" t="s">
        <v>53</v>
      </c>
      <c r="E25" s="268">
        <v>60</v>
      </c>
      <c r="F25" s="268">
        <v>50</v>
      </c>
      <c r="G25" s="269">
        <v>1.570796326795</v>
      </c>
      <c r="H25" s="270">
        <v>26</v>
      </c>
      <c r="I25" s="272">
        <f t="shared" si="7"/>
        <v>2.5512049410476689</v>
      </c>
      <c r="J25" s="268">
        <f>+VLOOKUP('Autres sources2'!$A$8,'Coef Feuillus divers'!$G$2:$AA$228,10,FALSE)</f>
        <v>0.33229573185501998</v>
      </c>
      <c r="K25" s="268">
        <f>+VLOOKUP('Autres sources2'!$A$8,'Coef Feuillus divers'!$G$2:$AA$228,11,FALSE)</f>
        <v>1.7559231923802499</v>
      </c>
      <c r="L25" s="268">
        <f>+VLOOKUP('Autres sources2'!$A$8,'Coef Feuillus divers'!$G$2:$AA$228,12,FALSE)</f>
        <v>2.0586090419193099E-3</v>
      </c>
      <c r="M25" s="274">
        <f t="shared" si="0"/>
        <v>0</v>
      </c>
      <c r="N25" s="274">
        <f t="shared" si="1"/>
        <v>153.07229646286012</v>
      </c>
      <c r="O25" s="277">
        <f>+VLOOKUP(A25,'Coef Feuillus divers'!$G$2:$AA$228,21,FALSE)</f>
        <v>0.45033333333333331</v>
      </c>
      <c r="P25" s="274">
        <f t="shared" si="2"/>
        <v>0</v>
      </c>
      <c r="Q25" s="274" t="e">
        <f t="shared" si="3"/>
        <v>#NUM!</v>
      </c>
      <c r="R25" s="274" t="e">
        <f t="shared" si="4"/>
        <v>#NUM!</v>
      </c>
      <c r="S25" s="274" t="str">
        <f t="shared" si="5"/>
        <v>Pin parasol60ap</v>
      </c>
      <c r="T25" s="274" t="e">
        <f t="shared" si="6"/>
        <v>#NUM!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1B3253C8E340AC385D7ACF1871AC" ma:contentTypeVersion="3" ma:contentTypeDescription="Crée un document." ma:contentTypeScope="" ma:versionID="8ff1721b33ab00af3be61d62fbb728e2">
  <xsd:schema xmlns:xsd="http://www.w3.org/2001/XMLSchema" xmlns:xs="http://www.w3.org/2001/XMLSchema" xmlns:p="http://schemas.microsoft.com/office/2006/metadata/properties" xmlns:ns3="318777b8-511b-4c2d-b6b6-233df6803a11" targetNamespace="http://schemas.microsoft.com/office/2006/metadata/properties" ma:root="true" ma:fieldsID="2c9ead31e7b4c013977da3b9d8c5898e" ns3:_="">
    <xsd:import namespace="318777b8-511b-4c2d-b6b6-233df6803a1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777b8-511b-4c2d-b6b6-233df6803a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E0BDC5-4E75-4B37-899D-30F967DC3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8777b8-511b-4c2d-b6b6-233df6803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CD26AF-CC26-4DD8-A5B2-3BC21DC8DF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D0996D-6BE1-4D96-985D-D339E20EB3B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18777b8-511b-4c2d-b6b6-233df6803a1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23</vt:i4>
      </vt:variant>
    </vt:vector>
  </HeadingPairs>
  <TitlesOfParts>
    <vt:vector size="39" baseType="lpstr">
      <vt:lpstr>carto_sylv</vt:lpstr>
      <vt:lpstr>LBC</vt:lpstr>
      <vt:lpstr>BDD-Modèles</vt:lpstr>
      <vt:lpstr>BDD-Guides</vt:lpstr>
      <vt:lpstr>Liste</vt:lpstr>
      <vt:lpstr>Test</vt:lpstr>
      <vt:lpstr>Liste test</vt:lpstr>
      <vt:lpstr>Autre source1</vt:lpstr>
      <vt:lpstr>Autres sources2</vt:lpstr>
      <vt:lpstr>Autres sources3</vt:lpstr>
      <vt:lpstr>Autres sources4</vt:lpstr>
      <vt:lpstr>Sc de ref</vt:lpstr>
      <vt:lpstr>Coef Feuillus divers</vt:lpstr>
      <vt:lpstr>dico_mod</vt:lpstr>
      <vt:lpstr>dico_var</vt:lpstr>
      <vt:lpstr>infradensité</vt:lpstr>
      <vt:lpstr>Cedre_Atlas</vt:lpstr>
      <vt:lpstr>Cedre_AtlasGSM_Alpes_du_Sud</vt:lpstr>
      <vt:lpstr>Cedre_AtlasGSM_Alpes_du_SudF1</vt:lpstr>
      <vt:lpstr>Cedre_AtlasGSM_Alpes_du_SudF2</vt:lpstr>
      <vt:lpstr>Cedre_AtlasGSM_Alpes_du_SudF3</vt:lpstr>
      <vt:lpstr>Chene_pedoncule</vt:lpstr>
      <vt:lpstr>Chene_pedonculeguide_chenaie_continentale</vt:lpstr>
      <vt:lpstr>Chene_pedonculeguide_chenaie_continentaleF1</vt:lpstr>
      <vt:lpstr>Chene_pedonculeguide_chenaie_continentaleF2</vt:lpstr>
      <vt:lpstr>Chene_sessile</vt:lpstr>
      <vt:lpstr>Chene_sessileguide_chenaie_atlantique</vt:lpstr>
      <vt:lpstr>Chene_sessileguide_chenaie_atlantiqueF1</vt:lpstr>
      <vt:lpstr>Chene_sessileguide_chenaie_atlantiqueF2</vt:lpstr>
      <vt:lpstr>Chene_sessileguide_chenaie_atlantiqueF3</vt:lpstr>
      <vt:lpstr>Chene_sessileguide_chenaie_continentale</vt:lpstr>
      <vt:lpstr>Chene_sessileguide_chenaie_continentaleF1</vt:lpstr>
      <vt:lpstr>Chene_sessileguide_chenaie_continentaleF2</vt:lpstr>
      <vt:lpstr>Douglas</vt:lpstr>
      <vt:lpstr>Douglasguide_national</vt:lpstr>
      <vt:lpstr>Douglasguide_nationalF1</vt:lpstr>
      <vt:lpstr>Douglasguide_nationalF2</vt:lpstr>
      <vt:lpstr>Douglasguide_nationalF3</vt:lpstr>
      <vt:lpstr>espece</vt:lpstr>
    </vt:vector>
  </TitlesOfParts>
  <Company>Office national des forêts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FOURNIER Salome</dc:creator>
  <cp:lastModifiedBy>PAGE Lolita</cp:lastModifiedBy>
  <dcterms:created xsi:type="dcterms:W3CDTF">2021-01-04T14:27:57Z</dcterms:created>
  <dcterms:modified xsi:type="dcterms:W3CDTF">2022-02-07T16:10:47Z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0x0101006B5F1B3253C8E340AC385D7ACF1871AC</vt:lpwstr>
  </property>
</Properties>
</file>